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ms-excel.documenttasks+xml" PartName="/xl/documenttasks/documenttask1.xml"/>
  <Override ContentType="application/vnd.ms-excel.threadedcomments+xml" PartName="/xl/threadedComments/threadedComment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DATE_ANOMALIES" sheetId="2" r:id="rId6"/>
    <sheet state="visible" name="STUDENTS" sheetId="3" r:id="rId7"/>
    <sheet state="visible" name="sheet2" sheetId="4" r:id="rId8"/>
    <sheet state="hidden" name="Log" sheetId="5" r:id="rId9"/>
    <sheet state="visible" name="ATTENDANCE_INPUT" sheetId="6" r:id="rId10"/>
    <sheet state="visible" name="ATTENDANCE_LOG" sheetId="7" r:id="rId11"/>
    <sheet state="visible" name="ATT_COUNT" sheetId="8" r:id="rId12"/>
    <sheet state="hidden" name="Pivot Table 1" sheetId="9" r:id="rId13"/>
    <sheet state="visible" name="Placement" sheetId="10" r:id="rId14"/>
    <sheet state="visible" name="PROGRESS" sheetId="11" r:id="rId15"/>
    <sheet state="visible" name="PIC" sheetId="12" r:id="rId16"/>
    <sheet state="visible" name="Trang tính14" sheetId="13" r:id="rId17"/>
    <sheet state="hidden" name="Bản sao của Trang tính8" sheetId="14" r:id="rId18"/>
    <sheet state="hidden" name="LEVEL_HELPER" sheetId="15" r:id="rId19"/>
    <sheet state="hidden" name="CLASS_DATES" sheetId="16" r:id="rId20"/>
    <sheet state="hidden" name="COURSE_PLAN" sheetId="17" r:id="rId21"/>
    <sheet state="hidden" name="Cross-check" sheetId="18" r:id="rId22"/>
  </sheets>
  <definedNames>
    <definedName hidden="1" localSheetId="0" name="_xlnm._FilterDatabase">DASHBOARD!$A$33:$H$112</definedName>
    <definedName hidden="1" localSheetId="2" name="_xlnm._FilterDatabase">STUDENTS!$A$1:$AD$309</definedName>
    <definedName hidden="1" localSheetId="3" name="_xlnm._FilterDatabase">sheet2!$A$1:$Z$538</definedName>
    <definedName hidden="1" localSheetId="5" name="_xlnm._FilterDatabase">ATTENDANCE_INPUT!$A$1:$W$549</definedName>
    <definedName hidden="1" localSheetId="7" name="_xlnm._FilterDatabase">ATT_COUNT!$A$1:$Z$1000</definedName>
    <definedName hidden="1" localSheetId="9" name="_xlnm._FilterDatabase">Placement!$A$4:$Z$339</definedName>
  </definedNames>
  <calcPr/>
  <pivotCaches>
    <pivotCache cacheId="0" r:id="rId23"/>
    <pivotCache cacheId="1" r:id="rId24"/>
    <pivotCache cacheId="2" r:id="rId25"/>
    <pivotCache cacheId="3" r:id="rId26"/>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tc={ab13fa27-ba42-4bc3-8d78-82c897b1e358}</author>
  </authors>
  <commentList>
    <comment authorId="0" xr:uid="{ab13fa27-ba42-4bc3-8d78-82c897b1e358}" ref="A1">
      <text>
        <t xml:space="preserve">[Threaded comment]
 Your version of Excel allows you to read this threaded comment; however, any edits to it will get removed if the file is opened in a newer version of Excel. Learn more: https://go.microsoft.com/fwlink/?linkid=870924
Comment:
	Chị giúp e fill EMP CODE của các bạn nì nha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Lay course cua buoi hoc Present gan nhat trong ATTENDANCE_LOG
Cong thuc: =IFERROR(INDEX(ATTENDANCE_LOG!B:B, MATCH(1, (A2=ATTENDANCE_LOG!C:C)*(H2=ATTENDANCE_LOG!F:F), 0)), "")</t>
      </text>
    </comment>
    <comment authorId="0" ref="J1">
      <text>
        <t xml:space="preserve">Ngay Present gan nhat trong ATTENDANCE_LOG
Cong thuc: =IFERROR(MAXIFS(ATTENDANCE_LOG!F:F, ATTENDANCE_LOG!C:C, A2, ATTENDANCE_LOG!G:G, "Present"), "")</t>
      </text>
    </comment>
    <comment authorId="0" ref="K1">
      <text>
        <t xml:space="preserve">So ngay ke tu Last Active
Cong thuc: =IF(H2="", "", TODAY()-H2)</t>
      </text>
    </comment>
    <comment authorId="0" ref="L1">
      <text>
        <t xml:space="preserve">Flag "Possibly Dropped" neu &gt; 20 ngay khong di hoc
Cong thuc: =IF(AND(ISNUMBER(I2), I2&gt;20), "⚠ Possibly Dropped",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[Threaded comment]
 Your version of Excel allows you to read this threaded comment; however, any edits to it will get removed if the file is opened in a newer version of Excel. Learn more: https://go.microsoft.com/fwlink/?linkid=870924
Comment:
	Chị giúp e fill EMP CODE của các bạn nì nha
</t>
      </text>
    </comment>
    <comment authorId="0" ref="F18">
      <text>
        <t xml:space="preserve">[Threaded comment]
 Your version of Excel allows you to read this threaded comment; however, any edits to it will get removed if the file is opened in a newer version of Excel. Learn more: https://go.microsoft.com/fwlink/?linkid=870924
Comment:
	Chị giúp e fill EMP CODE của các bạn nì nha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Tu dong lookup Full Name tu STUDENTS theo Emp Code
Cong thuc: =IFERROR(VLOOKUP(A2&amp;"", STUDENTS!A:B, 2, 0), "")</t>
      </text>
    </comment>
    <comment authorId="0" ref="D1">
      <text>
        <t xml:space="preserve">Tu dong lookup PIC tu PIC sheet theo Class Code
Cong thuc: =IFERROR(VLOOKUP(C2, PIC!A:B, 2, 0),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AUTO-GENERATED by Apps Script.
Khong nhap tay vao sheet nay.
Data tu ATTENDANCE_INPUT duoc unpivot bang script.</t>
      </text>
    </comment>
  </commentList>
</comments>
</file>

<file path=xl/sharedStrings.xml><?xml version="1.0" encoding="utf-8"?>
<sst xmlns="http://schemas.openxmlformats.org/spreadsheetml/2006/main" count="49345" uniqueCount="2214">
  <si>
    <t>📊  ENGLISH CLASS MANAGEMENT — DASHBOARD</t>
  </si>
  <si>
    <t>All metrics auto-calculate from STUDENTS, ENROLLMENTS &amp; ATTENDANCE_LOG.  Yellow cells = inputs you can change.</t>
  </si>
  <si>
    <t xml:space="preserve">  ▎  SECTION 1 — OVERVIEW</t>
  </si>
  <si>
    <t>ACTIVE STUDENTS</t>
  </si>
  <si>
    <t>OVERALL ATTENDANCE RATE</t>
  </si>
  <si>
    <t>TOTAL STUDENTS</t>
  </si>
  <si>
    <t>✅ Completed</t>
  </si>
  <si>
    <t>INACTIVE</t>
  </si>
  <si>
    <t>WAITING FOR CLASS</t>
  </si>
  <si>
    <t>⚠ Check</t>
  </si>
  <si>
    <t>❌ Dropped</t>
  </si>
  <si>
    <t>completed or stopped</t>
  </si>
  <si>
    <t>pending placement</t>
  </si>
  <si>
    <t>flagged for follow-up</t>
  </si>
  <si>
    <t xml:space="preserve">  ▎  SECTION 2 — ACTIVE STUDENTS BY COURSE</t>
  </si>
  <si>
    <t>Course Name</t>
  </si>
  <si>
    <t>Active</t>
  </si>
  <si>
    <t>Inactive</t>
  </si>
  <si>
    <t>Waiting</t>
  </si>
  <si>
    <t>Total</t>
  </si>
  <si>
    <t>% of Active</t>
  </si>
  <si>
    <t>Bar</t>
  </si>
  <si>
    <t>Communication 1</t>
  </si>
  <si>
    <t>Communication 2</t>
  </si>
  <si>
    <t>Communication 3</t>
  </si>
  <si>
    <t>Business English</t>
  </si>
  <si>
    <t>Foundation</t>
  </si>
  <si>
    <t>Extension of Foundation</t>
  </si>
  <si>
    <t>TOTAL</t>
  </si>
  <si>
    <t xml:space="preserve">  ▎  SECTION 3 — WHY STUDENTS GO INACTIVE</t>
  </si>
  <si>
    <t>Drop Reason</t>
  </si>
  <si>
    <t>Count</t>
  </si>
  <si>
    <t>%</t>
  </si>
  <si>
    <t>Inactive Classification</t>
  </si>
  <si>
    <t>High workload</t>
  </si>
  <si>
    <t>Completed (no continuation)</t>
  </si>
  <si>
    <t>Prefer different learning format</t>
  </si>
  <si>
    <t>Discontinued mid-course</t>
  </si>
  <si>
    <t>Learning goal achieved</t>
  </si>
  <si>
    <t>Business EL, chờ xếp lớp</t>
  </si>
  <si>
    <t>Team restructuring</t>
  </si>
  <si>
    <t>BE, chờ xếp lớp</t>
  </si>
  <si>
    <t>Maternity leave</t>
  </si>
  <si>
    <t>Resign</t>
  </si>
  <si>
    <t xml:space="preserve">  ▎  SECTION 4 — CLASS PROGRESS</t>
  </si>
  <si>
    <t>Class Code</t>
  </si>
  <si>
    <t>PIC</t>
  </si>
  <si>
    <t>Sessions Done</t>
  </si>
  <si>
    <t>Expected</t>
  </si>
  <si>
    <t>Progress %</t>
  </si>
  <si>
    <t>Progress Bar</t>
  </si>
  <si>
    <t>Status</t>
  </si>
  <si>
    <t>EL001</t>
  </si>
  <si>
    <t>EL002</t>
  </si>
  <si>
    <t>EL003</t>
  </si>
  <si>
    <t>EL004</t>
  </si>
  <si>
    <t>EL005</t>
  </si>
  <si>
    <t>EL006</t>
  </si>
  <si>
    <t>EL007</t>
  </si>
  <si>
    <t>EL008</t>
  </si>
  <si>
    <t>EL009</t>
  </si>
  <si>
    <t>EL010</t>
  </si>
  <si>
    <t>EL011</t>
  </si>
  <si>
    <t>EL012</t>
  </si>
  <si>
    <t>EL013</t>
  </si>
  <si>
    <t>EL014</t>
  </si>
  <si>
    <t>EL015</t>
  </si>
  <si>
    <t>EL017</t>
  </si>
  <si>
    <t>EL018</t>
  </si>
  <si>
    <t>EL019</t>
  </si>
  <si>
    <t>EL020</t>
  </si>
  <si>
    <t>EL021</t>
  </si>
  <si>
    <t>EL022</t>
  </si>
  <si>
    <t>EL023</t>
  </si>
  <si>
    <t>EL024</t>
  </si>
  <si>
    <t>EL025</t>
  </si>
  <si>
    <t>EL026</t>
  </si>
  <si>
    <t>EL027</t>
  </si>
  <si>
    <t>EL028</t>
  </si>
  <si>
    <t>EL029</t>
  </si>
  <si>
    <t>EL030</t>
  </si>
  <si>
    <t>EL031</t>
  </si>
  <si>
    <t>EL032</t>
  </si>
  <si>
    <t>EL033</t>
  </si>
  <si>
    <t>EL034</t>
  </si>
  <si>
    <t>EL035</t>
  </si>
  <si>
    <t>EL037</t>
  </si>
  <si>
    <t>EL038</t>
  </si>
  <si>
    <t>EL039</t>
  </si>
  <si>
    <t>EL040</t>
  </si>
  <si>
    <t>EL041</t>
  </si>
  <si>
    <t>EL042</t>
  </si>
  <si>
    <t>EL043</t>
  </si>
  <si>
    <t>EL044</t>
  </si>
  <si>
    <t>EL045</t>
  </si>
  <si>
    <t>EL049</t>
  </si>
  <si>
    <t>EL050</t>
  </si>
  <si>
    <t>EL051</t>
  </si>
  <si>
    <t>Dropped</t>
  </si>
  <si>
    <t>EL016</t>
  </si>
  <si>
    <t xml:space="preserve">  ▎  SECTION 5 — LOOK UP A CLASS</t>
  </si>
  <si>
    <t xml:space="preserve">  Enter Class Code →</t>
  </si>
  <si>
    <t xml:space="preserve">  PIC</t>
  </si>
  <si>
    <t>% tang level theo lop</t>
  </si>
  <si>
    <t xml:space="preserve">  Total Enrollments</t>
  </si>
  <si>
    <t xml:space="preserve">  Sessions Logged</t>
  </si>
  <si>
    <t xml:space="preserve">  Sessions Present</t>
  </si>
  <si>
    <t xml:space="preserve">  Sessions Absent</t>
  </si>
  <si>
    <t xml:space="preserve">  Class Attendance Rate</t>
  </si>
  <si>
    <t xml:space="preserve">  ▎  SECTION 6 — LOOK UP A STUDENT</t>
  </si>
  <si>
    <t xml:space="preserve">  Enter Emp Code →</t>
  </si>
  <si>
    <t>227047</t>
  </si>
  <si>
    <t xml:space="preserve">  Full Name</t>
  </si>
  <si>
    <t xml:space="preserve">  Status</t>
  </si>
  <si>
    <t xml:space="preserve">  Current Course</t>
  </si>
  <si>
    <t xml:space="preserve">  Last Active Date</t>
  </si>
  <si>
    <t xml:space="preserve">  Days Since Active</t>
  </si>
  <si>
    <t xml:space="preserve">  Drop Flag</t>
  </si>
  <si>
    <t xml:space="preserve">  At Risk Flag</t>
  </si>
  <si>
    <t xml:space="preserve">  Sessions Attended</t>
  </si>
  <si>
    <t xml:space="preserve">  Sessions Missed</t>
  </si>
  <si>
    <t xml:space="preserve">  Personal Attendance Rate</t>
  </si>
  <si>
    <t xml:space="preserve">  ▎  SECTION 7 — LEARNING EFFECTIVENESS (PROGRAM ROI)</t>
  </si>
  <si>
    <t>Source: sheet2 (Progress Category Overall) — most accurate split between tested vs not-tested students</t>
  </si>
  <si>
    <t>TESTED (with final result)</t>
  </si>
  <si>
    <t>LEVEL UP COUNT</t>
  </si>
  <si>
    <t>LEVEL UP % (of tested)</t>
  </si>
  <si>
    <t>AVG LEVEL Δ (tested only)</t>
  </si>
  <si>
    <t>Progress Category</t>
  </si>
  <si>
    <t>% of Total (301)</t>
  </si>
  <si>
    <t>% of Tested</t>
  </si>
  <si>
    <t>Lv1 → Lv2</t>
  </si>
  <si>
    <t>Lv2 → Lv3</t>
  </si>
  <si>
    <t>Lv3 → Lv4</t>
  </si>
  <si>
    <t>Lv1 → Lv3 (multi)</t>
  </si>
  <si>
    <t>Progress within level</t>
  </si>
  <si>
    <t>No Progress</t>
  </si>
  <si>
    <t>Regressed</t>
  </si>
  <si>
    <t>Not tested yet</t>
  </si>
  <si>
    <t>— n/a —</t>
  </si>
  <si>
    <t xml:space="preserve">  ▎  SECTION 8</t>
  </si>
  <si>
    <t>BU</t>
  </si>
  <si>
    <t>Tested</t>
  </si>
  <si>
    <t>Not Tested</t>
  </si>
  <si>
    <t>Level Up</t>
  </si>
  <si>
    <t>% Level Up (of tested)</t>
  </si>
  <si>
    <t>Avg Level Δ</t>
  </si>
  <si>
    <t>No Progress / Regressed</t>
  </si>
  <si>
    <t>BSG</t>
  </si>
  <si>
    <t>CHORUS</t>
  </si>
  <si>
    <t>LBU</t>
  </si>
  <si>
    <t>MOC</t>
  </si>
  <si>
    <t>ONC</t>
  </si>
  <si>
    <t>POC</t>
  </si>
  <si>
    <t>TBU</t>
  </si>
  <si>
    <t>Loại</t>
  </si>
  <si>
    <t>Cell</t>
  </si>
  <si>
    <t>Class/Course</t>
  </si>
  <si>
    <t>Chi tiết</t>
  </si>
  <si>
    <t>B - Typo năm</t>
  </si>
  <si>
    <t>H189</t>
  </si>
  <si>
    <t>EL020/Communication 1</t>
  </si>
  <si>
    <t>Ghi 12/30/2024 (năm 2024) — đa số bạn cùng buổi ghi năm 2025</t>
  </si>
  <si>
    <t>H192</t>
  </si>
  <si>
    <t>H195</t>
  </si>
  <si>
    <t>Emp Code</t>
  </si>
  <si>
    <t>Full Name</t>
  </si>
  <si>
    <t>ROLE</t>
  </si>
  <si>
    <t>Current Course</t>
  </si>
  <si>
    <t>Entrance Level</t>
  </si>
  <si>
    <t>Current Level</t>
  </si>
  <si>
    <t>Last Active Date</t>
  </si>
  <si>
    <t>Days Since Active</t>
  </si>
  <si>
    <t>Drop Flag
(&lt;30 days is safe)</t>
  </si>
  <si>
    <t>Define of drop
(not inc. resign)</t>
  </si>
  <si>
    <t>Drop reason</t>
  </si>
  <si>
    <t>Remark</t>
  </si>
  <si>
    <t>Latest Class Code</t>
  </si>
  <si>
    <t>Latest Course Name</t>
  </si>
  <si>
    <t>Entrance Numeric</t>
  </si>
  <si>
    <t>Current Numeric</t>
  </si>
  <si>
    <t>Entrance Group (1/2/3/4)</t>
  </si>
  <si>
    <t>Current Group (1/2/3/4)</t>
  </si>
  <si>
    <t>193445</t>
  </si>
  <si>
    <t>HUỲNH THỊ BẢO YẾN</t>
  </si>
  <si>
    <t>213815</t>
  </si>
  <si>
    <t>HUỲNH TRẦN HẢI LONG</t>
  </si>
  <si>
    <t>213914</t>
  </si>
  <si>
    <t>NGUYỄN TẤN PHÁT</t>
  </si>
  <si>
    <t>Đã complete Com1, stop 5/2025 và giờ quay lại học</t>
  </si>
  <si>
    <t>High workload / Can't arrange time</t>
  </si>
  <si>
    <t>213968</t>
  </si>
  <si>
    <t>NGUYỄN THỊ HOÀNG OANH</t>
  </si>
  <si>
    <t>Above the team's level</t>
  </si>
  <si>
    <t>213861</t>
  </si>
  <si>
    <t>TRẦN QUANG ĐẠO</t>
  </si>
  <si>
    <t>213851</t>
  </si>
  <si>
    <t>TRẦN THANH ĐIỀN</t>
  </si>
  <si>
    <t>247223</t>
  </si>
  <si>
    <t>TRẦN XUÂN KHOA</t>
  </si>
  <si>
    <t>113024</t>
  </si>
  <si>
    <t>LÊ VĂN SƠN</t>
  </si>
  <si>
    <t>Waiting for class</t>
  </si>
  <si>
    <t>Chờ ghép lớp com 3</t>
  </si>
  <si>
    <t>Left</t>
  </si>
  <si>
    <t>Resgined</t>
  </si>
  <si>
    <t>247378</t>
  </si>
  <si>
    <t>NGUYỄN BẢO ĐẠT</t>
  </si>
  <si>
    <t>Chờ ghép lớp com 3 tháng 7/8</t>
  </si>
  <si>
    <t>Ungroup team</t>
  </si>
  <si>
    <t>203765</t>
  </si>
  <si>
    <t>ĐỖ GIA KHÁNH</t>
  </si>
  <si>
    <t>247225</t>
  </si>
  <si>
    <t>LÊ PHƯỚC THIỆN</t>
  </si>
  <si>
    <t>213947</t>
  </si>
  <si>
    <t>NGUYỄN NGỌC PHƯƠNG NHI</t>
  </si>
  <si>
    <t>213876</t>
  </si>
  <si>
    <t>TÔ DIỆP THIÊN ANH</t>
  </si>
  <si>
    <t>247245</t>
  </si>
  <si>
    <t>THÁI NHẬT TÂN</t>
  </si>
  <si>
    <t>237050</t>
  </si>
  <si>
    <t>TRẦN THỊ THANH NGA</t>
  </si>
  <si>
    <t>227148</t>
  </si>
  <si>
    <t>TRẦN THỊ THÙY DUNG</t>
  </si>
  <si>
    <t>227155</t>
  </si>
  <si>
    <t>VŨ TÚ ANH</t>
  </si>
  <si>
    <t>247196</t>
  </si>
  <si>
    <t>ĐOÀN TRẦN BÁ ĐẠT</t>
  </si>
  <si>
    <t>247200</t>
  </si>
  <si>
    <t>NGÔ TRỌNG NGHĨA</t>
  </si>
  <si>
    <t>247156</t>
  </si>
  <si>
    <t>NGUYỄN VĂN HOÀNG</t>
  </si>
  <si>
    <t>247192</t>
  </si>
  <si>
    <t>TRẦN ĐỨC LỢI</t>
  </si>
  <si>
    <t>247195</t>
  </si>
  <si>
    <t>TRƯƠNG ĐĂNG QUANG</t>
  </si>
  <si>
    <t>193547</t>
  </si>
  <si>
    <t>VĂN TÂN LỢI</t>
  </si>
  <si>
    <t>247199</t>
  </si>
  <si>
    <t>VÕ PHÚ PHÁT</t>
  </si>
  <si>
    <t>247300</t>
  </si>
  <si>
    <t>ĐỖ CHÂU BỬU</t>
  </si>
  <si>
    <t>247264</t>
  </si>
  <si>
    <t>NGUYỄN NGỌC NGUYỆT NGÂN</t>
  </si>
  <si>
    <t>247360</t>
  </si>
  <si>
    <t>PHAN HỮU CƯỜNG</t>
  </si>
  <si>
    <t>193479</t>
  </si>
  <si>
    <t>BÙI NGỌC QUỐC</t>
  </si>
  <si>
    <t>213811</t>
  </si>
  <si>
    <t>ĐẶNG QUỐC MẠNH</t>
  </si>
  <si>
    <t>183431</t>
  </si>
  <si>
    <t>HOÀNG XUÂN MẪN</t>
  </si>
  <si>
    <t>193499</t>
  </si>
  <si>
    <t>HUỲNH TUẤN KHANH</t>
  </si>
  <si>
    <t>227141</t>
  </si>
  <si>
    <t>NGUYỄN ĐÔNG HỒ</t>
  </si>
  <si>
    <t>Prefer different format</t>
  </si>
  <si>
    <t>Prefer other learning methods</t>
  </si>
  <si>
    <t>193529</t>
  </si>
  <si>
    <t>NGUYỄN VĂN MẠNH CƯỜNG</t>
  </si>
  <si>
    <t>237130</t>
  </si>
  <si>
    <t>TRẦN KHANG</t>
  </si>
  <si>
    <t>237097</t>
  </si>
  <si>
    <t>VÕ ĐỒNG ĐỨC DUY</t>
  </si>
  <si>
    <t>247026</t>
  </si>
  <si>
    <t>ĐỖ HOÀNG MINH HUY</t>
  </si>
  <si>
    <t>Attend English center / 1-1 course</t>
  </si>
  <si>
    <t>183421</t>
  </si>
  <si>
    <t>NGUYỄN TẤT ĐẠT</t>
  </si>
  <si>
    <t>Chờ ghép lớp BE</t>
  </si>
  <si>
    <t>193548</t>
  </si>
  <si>
    <t>NGUYỄN THIÊN ÂN</t>
  </si>
  <si>
    <t>237182</t>
  </si>
  <si>
    <t>NGUYỄN TRỌNG BÌNH NGUYÊN</t>
  </si>
  <si>
    <t>213835</t>
  </si>
  <si>
    <t>ĐOÀN ANH MINH</t>
  </si>
  <si>
    <t>213901</t>
  </si>
  <si>
    <t>HOÀNG TIẾN DŨNG</t>
  </si>
  <si>
    <t>227081</t>
  </si>
  <si>
    <t>NGUYỄN HOÀNG PHÚC</t>
  </si>
  <si>
    <t>247332</t>
  </si>
  <si>
    <t>NGUYỄN PHÚC THANH TOÀN</t>
  </si>
  <si>
    <t>193613</t>
  </si>
  <si>
    <t>NGUYỄN QUANG TRUNG</t>
  </si>
  <si>
    <t>247097</t>
  </si>
  <si>
    <t>NGUYỄN THÀNH PHƯỚC</t>
  </si>
  <si>
    <t>247086</t>
  </si>
  <si>
    <t>THỚI PHI LONG</t>
  </si>
  <si>
    <t>237117</t>
  </si>
  <si>
    <t>HUỲNH TẤN PHÁT</t>
  </si>
  <si>
    <t>203780</t>
  </si>
  <si>
    <t>LÊ HOÀNG NGUYỄN</t>
  </si>
  <si>
    <t>193523</t>
  </si>
  <si>
    <t>PHẠM HỮU TUẤN</t>
  </si>
  <si>
    <t>193526</t>
  </si>
  <si>
    <t>TRẦN ĐÌNH CHIẾN</t>
  </si>
  <si>
    <t>237161</t>
  </si>
  <si>
    <t>TRẦN VĂN HÀ</t>
  </si>
  <si>
    <t>237008</t>
  </si>
  <si>
    <t>LẠC MINH HOÀNG</t>
  </si>
  <si>
    <t>227160</t>
  </si>
  <si>
    <t>LÊ THỊ LAN HƯƠNG</t>
  </si>
  <si>
    <t>237206</t>
  </si>
  <si>
    <t>LƯƠNG TRÀ VY</t>
  </si>
  <si>
    <t>193447</t>
  </si>
  <si>
    <t>NGUYỄN ANH ĐỨC</t>
  </si>
  <si>
    <t>247187</t>
  </si>
  <si>
    <t>NGUYỄN MINH THƯ</t>
  </si>
  <si>
    <t>237158</t>
  </si>
  <si>
    <t>NGUYỄN THÀNH PHI</t>
  </si>
  <si>
    <t>247043</t>
  </si>
  <si>
    <t>NGUYỄN THỊ HỒNG ĐÀO</t>
  </si>
  <si>
    <t>227092</t>
  </si>
  <si>
    <t>PHẠM THỊ BÍCH THÚY</t>
  </si>
  <si>
    <t>237207</t>
  </si>
  <si>
    <t>NGUYỄN THÙY GIANG</t>
  </si>
  <si>
    <t>247265</t>
  </si>
  <si>
    <t>NGÔ THỤY THANH NHƯ</t>
  </si>
  <si>
    <t>247415</t>
  </si>
  <si>
    <t>NGUYỄN THỊ HIỀN NI</t>
  </si>
  <si>
    <t>213946</t>
  </si>
  <si>
    <t>TRƯƠNG NHỰT MINH THƯ</t>
  </si>
  <si>
    <t>237061</t>
  </si>
  <si>
    <t>NGUYỄN TẤN HUY</t>
  </si>
  <si>
    <t>183423</t>
  </si>
  <si>
    <t>TRẦN VĨNH THUẬN</t>
  </si>
  <si>
    <t>237245</t>
  </si>
  <si>
    <t>TỪ NGUYỄN MINH NHẬT</t>
  </si>
  <si>
    <t>4/2025: Chờ ghép lớp BE</t>
  </si>
  <si>
    <t>227188</t>
  </si>
  <si>
    <t>VÕ THỊ TUYẾT HỒNG</t>
  </si>
  <si>
    <t>247037</t>
  </si>
  <si>
    <t>BÙI HUỲNH TRUNG TÍN</t>
  </si>
  <si>
    <t>247184</t>
  </si>
  <si>
    <t>HOÀNG MINH DUY</t>
  </si>
  <si>
    <t>247161</t>
  </si>
  <si>
    <t>HUỲNH NHẬT DUY</t>
  </si>
  <si>
    <t>247080</t>
  </si>
  <si>
    <t>MAI THỊ THÙY TRANG</t>
  </si>
  <si>
    <t>247078</t>
  </si>
  <si>
    <t>NGUYỄN CÔNG ĐOÀN</t>
  </si>
  <si>
    <t>247106</t>
  </si>
  <si>
    <t>NGUYỄN KHÁNH UYÊN</t>
  </si>
  <si>
    <t>247207</t>
  </si>
  <si>
    <t>NGUYỄN VĂN ĐỨC</t>
  </si>
  <si>
    <t>247038</t>
  </si>
  <si>
    <t>TĂNG HOÀNG YẾN</t>
  </si>
  <si>
    <t>247260</t>
  </si>
  <si>
    <t>TRẦN NHƯ TRÂM ANH</t>
  </si>
  <si>
    <t>247079</t>
  </si>
  <si>
    <t>VÕ CAO TRÍ</t>
  </si>
  <si>
    <t>237222</t>
  </si>
  <si>
    <t>ĐOÀN NHẬT QUANG</t>
  </si>
  <si>
    <t>237235</t>
  </si>
  <si>
    <t>HUỲNH TẤN LỘC</t>
  </si>
  <si>
    <t>237238</t>
  </si>
  <si>
    <t>LẠI MINH HIẾU</t>
  </si>
  <si>
    <t>227153</t>
  </si>
  <si>
    <t>NGUYỄN HOÀNG HẠ UYÊN</t>
  </si>
  <si>
    <t>Đã re-study 2 lần nhưng vẫn ở level Foundation</t>
  </si>
  <si>
    <t>247379</t>
  </si>
  <si>
    <t>NGUYỄN HỮU NGHỊ</t>
  </si>
  <si>
    <t>237227</t>
  </si>
  <si>
    <t>DƯƠNG HOÀNG LONG</t>
  </si>
  <si>
    <t>237169</t>
  </si>
  <si>
    <t>LƯƠNG ANH TUẤN</t>
  </si>
  <si>
    <t>213893</t>
  </si>
  <si>
    <t>HOÀNG NGỌC THẲNG</t>
  </si>
  <si>
    <t>227244</t>
  </si>
  <si>
    <t>HUỲNH PHÚC TRƯỜNG</t>
  </si>
  <si>
    <t>Final test on Apr 24, need to ask if they'll continue</t>
  </si>
  <si>
    <t>183422</t>
  </si>
  <si>
    <t>LÊ TRẦN XUÂN LÃNH</t>
  </si>
  <si>
    <t>183427</t>
  </si>
  <si>
    <t>PHAN CÔNG TOẠI</t>
  </si>
  <si>
    <t>3/2026: Chờ ghép lớp Com 3</t>
  </si>
  <si>
    <t>193516</t>
  </si>
  <si>
    <t>TRẦN ANH DUY</t>
  </si>
  <si>
    <t>247234</t>
  </si>
  <si>
    <t>TRẦN DƯƠNG HOÀN MỸ</t>
  </si>
  <si>
    <t>213936</t>
  </si>
  <si>
    <t>NGUYỄN QUỐC TUẤN</t>
  </si>
  <si>
    <t>213881</t>
  </si>
  <si>
    <t>ĐẶNG GIA LỘC</t>
  </si>
  <si>
    <t>227058</t>
  </si>
  <si>
    <t>LE VAN DONG TAM</t>
  </si>
  <si>
    <t>No further need to continue the course</t>
  </si>
  <si>
    <t>237072</t>
  </si>
  <si>
    <t>NGUYỄN MINH LIÊN</t>
  </si>
  <si>
    <t>237129</t>
  </si>
  <si>
    <t>PHẠM HUỲNH TÂN</t>
  </si>
  <si>
    <t>213929</t>
  </si>
  <si>
    <t>LE MINH TRUONG</t>
  </si>
  <si>
    <t>247082</t>
  </si>
  <si>
    <t>NGUYEN HUU DUY</t>
  </si>
  <si>
    <t>237237</t>
  </si>
  <si>
    <t>NGUYỄN ĐẶNG NGỌC MINH</t>
  </si>
  <si>
    <t>BA</t>
  </si>
  <si>
    <t>213895</t>
  </si>
  <si>
    <t>NGUYỄN VĂN THÁI</t>
  </si>
  <si>
    <t>DEV</t>
  </si>
  <si>
    <t>213991</t>
  </si>
  <si>
    <t>ÔNG HOÀI THỊNH</t>
  </si>
  <si>
    <t>247036</t>
  </si>
  <si>
    <t>PHẠM HỒ LƯỢNG</t>
  </si>
  <si>
    <t>247127</t>
  </si>
  <si>
    <t>THÁI TRẦN HỒNG PHÚC</t>
  </si>
  <si>
    <t>247076</t>
  </si>
  <si>
    <t>TRẦN THẾ ANH</t>
  </si>
  <si>
    <t>247313</t>
  </si>
  <si>
    <t>Nguyễn Hồng Mỹ</t>
  </si>
  <si>
    <t>237110</t>
  </si>
  <si>
    <t>Nguyễn Hữu Phước</t>
  </si>
  <si>
    <t>213870</t>
  </si>
  <si>
    <t>Trần Quốc Hiệp</t>
  </si>
  <si>
    <t>237160</t>
  </si>
  <si>
    <t>Trần Tuấn Kiệt</t>
  </si>
  <si>
    <t>247405</t>
  </si>
  <si>
    <t>PHẠM LÊ HOÀI PHƯƠNG</t>
  </si>
  <si>
    <t>247359</t>
  </si>
  <si>
    <t>HỒ HUỲNH THÔNG</t>
  </si>
  <si>
    <t>237043</t>
  </si>
  <si>
    <t>HUỲNH BỬU BỬU</t>
  </si>
  <si>
    <t>247298</t>
  </si>
  <si>
    <t>NGUYỄN LÊ KHOA</t>
  </si>
  <si>
    <t>227008</t>
  </si>
  <si>
    <t>PHẠM ĐỨC ÁO</t>
  </si>
  <si>
    <t>227069</t>
  </si>
  <si>
    <t>TÔ PHƯỚC THÁI</t>
  </si>
  <si>
    <t>237246</t>
  </si>
  <si>
    <t>TRẦN HƯƠNG QUỲNH</t>
  </si>
  <si>
    <t>227144</t>
  </si>
  <si>
    <t>TRẦN THỊ HOÀN MỸ</t>
  </si>
  <si>
    <t>247185</t>
  </si>
  <si>
    <t>LÊ MINH DUY</t>
  </si>
  <si>
    <t>257133</t>
  </si>
  <si>
    <t>Le Thi Diem Phuong</t>
  </si>
  <si>
    <t>193633</t>
  </si>
  <si>
    <t>Nguyen Hoai Nam</t>
  </si>
  <si>
    <t>227177</t>
  </si>
  <si>
    <t>NGUYỄN NGỌC HOÀNG BẢO TRÂN</t>
  </si>
  <si>
    <t>257132</t>
  </si>
  <si>
    <t>Tran Thi Huyen Tran</t>
  </si>
  <si>
    <t>193511</t>
  </si>
  <si>
    <t>Trang Duy Thông</t>
  </si>
  <si>
    <t>212007</t>
  </si>
  <si>
    <t>BÙI MINH NHẬT</t>
  </si>
  <si>
    <t>242009</t>
  </si>
  <si>
    <t>DƯƠNG THỊ HƯƠNG LAN</t>
  </si>
  <si>
    <t>232002</t>
  </si>
  <si>
    <t>HOÀNG NHƯ QUỲNH</t>
  </si>
  <si>
    <t>222010</t>
  </si>
  <si>
    <t>LÊ THỊ LAN ANH</t>
  </si>
  <si>
    <t>222014</t>
  </si>
  <si>
    <t>NGUYỄN THỊ THÙY TRANG</t>
  </si>
  <si>
    <t>242003</t>
  </si>
  <si>
    <t>TRẦN THỊ ÁNH NGUYỆT</t>
  </si>
  <si>
    <t>242006</t>
  </si>
  <si>
    <t>PHAN LÊ HỒNG LEL</t>
  </si>
  <si>
    <t>247388</t>
  </si>
  <si>
    <t>TRANG KỲ ANH</t>
  </si>
  <si>
    <t>247389</t>
  </si>
  <si>
    <t>ĐINH TRƯƠNG THANH TUYỀN</t>
  </si>
  <si>
    <t>4/2026: Chờ khóa Com3</t>
  </si>
  <si>
    <t>247390</t>
  </si>
  <si>
    <t>ĐOÀN KHÁNH NGUYÊN</t>
  </si>
  <si>
    <t>247190</t>
  </si>
  <si>
    <t>HUỲNH NGUYÊN KHANG</t>
  </si>
  <si>
    <t>247198</t>
  </si>
  <si>
    <t>NGUYỄN ĐỨC NHẬT</t>
  </si>
  <si>
    <t>247191</t>
  </si>
  <si>
    <t>TRẦN NGỌC PHƯỚC HOÀNG</t>
  </si>
  <si>
    <t>213891</t>
  </si>
  <si>
    <t>VÕ DUY KIỆT</t>
  </si>
  <si>
    <t>227183</t>
  </si>
  <si>
    <t>ĐỖ VŨ GIA LONG</t>
  </si>
  <si>
    <t>203759</t>
  </si>
  <si>
    <t>PHAN THẾ AN</t>
  </si>
  <si>
    <t>227023</t>
  </si>
  <si>
    <t>HOÀNG NAM VƯƠNG</t>
  </si>
  <si>
    <t>247357</t>
  </si>
  <si>
    <t>NGÔ MINH HIẾU</t>
  </si>
  <si>
    <t>183440</t>
  </si>
  <si>
    <t>NGUYỄN HOÀNG GIANG</t>
  </si>
  <si>
    <t>183432</t>
  </si>
  <si>
    <t>PHAN ĐÌNH MINH NHẬT</t>
  </si>
  <si>
    <t>227024</t>
  </si>
  <si>
    <t>TRẦN QUỐC VIỆT</t>
  </si>
  <si>
    <t>183400</t>
  </si>
  <si>
    <t>TRẦN THANH HIẾU</t>
  </si>
  <si>
    <t>227032</t>
  </si>
  <si>
    <t>VŨ NHẬT MINH TRƯỜNG</t>
  </si>
  <si>
    <t>193519</t>
  </si>
  <si>
    <t>LƯƠNG MINH QUÂN</t>
  </si>
  <si>
    <t>173286</t>
  </si>
  <si>
    <t>LÊ ANH TIẾN</t>
  </si>
  <si>
    <t>213810</t>
  </si>
  <si>
    <t>NGUYỄN MINH DUY</t>
  </si>
  <si>
    <t>203748</t>
  </si>
  <si>
    <t>LÂM MINH HOÀNG</t>
  </si>
  <si>
    <t>257045</t>
  </si>
  <si>
    <t>NGUYỄN BẢO DUY</t>
  </si>
  <si>
    <t>133067</t>
  </si>
  <si>
    <t>NGUYEN DUY PHU</t>
  </si>
  <si>
    <t>227055</t>
  </si>
  <si>
    <t>Vợ sinh ngay ngày thi Final nên không có kết quả =&gt; không join Com2 được cùng team</t>
  </si>
  <si>
    <t>213857</t>
  </si>
  <si>
    <t>NGUYỄN THÀNH NHÂN</t>
  </si>
  <si>
    <t>173231</t>
  </si>
  <si>
    <t>NGUYỄN THANH TÙNG</t>
  </si>
  <si>
    <t>193550</t>
  </si>
  <si>
    <t>PHẠM TƯỜNG NHÂN</t>
  </si>
  <si>
    <t>247423</t>
  </si>
  <si>
    <t>CHUNG QUANG PHƯƠNG</t>
  </si>
  <si>
    <t>257134</t>
  </si>
  <si>
    <t>ĐINH QUỐC HUẤN</t>
  </si>
  <si>
    <t>237239</t>
  </si>
  <si>
    <t>ĐỖ NGỌC THÀNH</t>
  </si>
  <si>
    <t>227116</t>
  </si>
  <si>
    <t>LÊ THẾ PHƯƠNG</t>
  </si>
  <si>
    <t>247413</t>
  </si>
  <si>
    <t>NGUYỄN ĐỨC TIẾN</t>
  </si>
  <si>
    <t>183382</t>
  </si>
  <si>
    <t>NGUYỄN DUY PHÚ</t>
  </si>
  <si>
    <t>227103</t>
  </si>
  <si>
    <t>NGUYỄN HUỲNH SƠN</t>
  </si>
  <si>
    <t>237201</t>
  </si>
  <si>
    <t>NGUYỄN MINH QUANG</t>
  </si>
  <si>
    <t>193495</t>
  </si>
  <si>
    <t>THẠCH THÁI HUY</t>
  </si>
  <si>
    <t>213856</t>
  </si>
  <si>
    <t>Chu Thị Lệ Quỳnh</t>
  </si>
  <si>
    <t>237035</t>
  </si>
  <si>
    <t>Nguyễn Đặng Khương Duy (Dustin)</t>
  </si>
  <si>
    <t>203664</t>
  </si>
  <si>
    <t>Nguyễn Hà Vi (V)</t>
  </si>
  <si>
    <t>247065</t>
  </si>
  <si>
    <t>Phạm Ngọc Hưng (Zero)</t>
  </si>
  <si>
    <t>183379</t>
  </si>
  <si>
    <t>Tạ Phạm Minh Chương (Chivas)</t>
  </si>
  <si>
    <t>227101</t>
  </si>
  <si>
    <t>Tạ Thiên Phước (Noah)</t>
  </si>
  <si>
    <t>193530</t>
  </si>
  <si>
    <t>Trần Hùng Cường (Ethan)</t>
  </si>
  <si>
    <t>247172</t>
  </si>
  <si>
    <t>NGUYỄN MINH QUÂN</t>
  </si>
  <si>
    <t>173232</t>
  </si>
  <si>
    <t>NGUYỄN QUANG ĐỨC</t>
  </si>
  <si>
    <t>203701</t>
  </si>
  <si>
    <t>PHẠM MAI NHẬT</t>
  </si>
  <si>
    <t>5/2025: Chờ lớp Business English</t>
  </si>
  <si>
    <t>213916</t>
  </si>
  <si>
    <t>VÕ CHÍ ĐẠI</t>
  </si>
  <si>
    <t>213854</t>
  </si>
  <si>
    <t>LÊ NHẬT</t>
  </si>
  <si>
    <t>213805</t>
  </si>
  <si>
    <t>NGUYỄN ĐỨC ANH</t>
  </si>
  <si>
    <t>213935</t>
  </si>
  <si>
    <t>TRẦN NHỰT DUY</t>
  </si>
  <si>
    <t>227063</t>
  </si>
  <si>
    <t>TRƯƠNG ĐÌNH ÁNH</t>
  </si>
  <si>
    <t>213954</t>
  </si>
  <si>
    <t>ĐOÀN QUANG TUẤN</t>
  </si>
  <si>
    <t>193579</t>
  </si>
  <si>
    <t>ĐƯỜNG QUANG HUY</t>
  </si>
  <si>
    <t>213974</t>
  </si>
  <si>
    <t>NGUYỄN QUÍ EM</t>
  </si>
  <si>
    <t>227112</t>
  </si>
  <si>
    <t>TRẦN ĐỨC NAM</t>
  </si>
  <si>
    <t>257036</t>
  </si>
  <si>
    <t>NGUYỄN PHÚC VINH</t>
  </si>
  <si>
    <t>227131</t>
  </si>
  <si>
    <t>NGUYỄN TRƯƠNG BẢO QUYÊN</t>
  </si>
  <si>
    <t>193620</t>
  </si>
  <si>
    <t>TRẦN THỊ HUỲNH NHƯ</t>
  </si>
  <si>
    <t>163215</t>
  </si>
  <si>
    <t>VÕ THỊ HƯƠNG GIANG</t>
  </si>
  <si>
    <t>193536</t>
  </si>
  <si>
    <t>LÊ MINH PHƯỚC</t>
  </si>
  <si>
    <t>213975</t>
  </si>
  <si>
    <t>LÊ NHẬT LINH</t>
  </si>
  <si>
    <t>237157</t>
  </si>
  <si>
    <t>NGUYỄN BÁ NGỌC</t>
  </si>
  <si>
    <t>247054</t>
  </si>
  <si>
    <t>NGUYỄN DOÃN NAM</t>
  </si>
  <si>
    <t>213808</t>
  </si>
  <si>
    <t>PHẠM HỒNG THIÊN TÀI</t>
  </si>
  <si>
    <t>247203</t>
  </si>
  <si>
    <t>PHAN HUY NHÂN</t>
  </si>
  <si>
    <t>237196</t>
  </si>
  <si>
    <t>VÕ CHÍ THIỆN</t>
  </si>
  <si>
    <t>237056</t>
  </si>
  <si>
    <t>LÊ THỊ DIỄM QUYÊN</t>
  </si>
  <si>
    <t>242001</t>
  </si>
  <si>
    <t>NGUYỄN ĐẠT THỊNH</t>
  </si>
  <si>
    <t>247183</t>
  </si>
  <si>
    <t>PHAN THU THẢO</t>
  </si>
  <si>
    <t>237230</t>
  </si>
  <si>
    <t>TRẦN KIM HẰNG</t>
  </si>
  <si>
    <t>247377</t>
  </si>
  <si>
    <t>TRẦN NHỰT TÂN</t>
  </si>
  <si>
    <t>247412</t>
  </si>
  <si>
    <t>TRẦN QUANG TỐNG</t>
  </si>
  <si>
    <t>247358</t>
  </si>
  <si>
    <t>TRẦN VĨNH PHÚC</t>
  </si>
  <si>
    <t>213817</t>
  </si>
  <si>
    <t>Bui Duy Tan</t>
  </si>
  <si>
    <t>193470</t>
  </si>
  <si>
    <t>Nguyễn Quốc Thái</t>
  </si>
  <si>
    <t>153138</t>
  </si>
  <si>
    <t>Nguyễn Đình Mạnh</t>
  </si>
  <si>
    <t>193522</t>
  </si>
  <si>
    <t>Đinh Bộ Lĩnh</t>
  </si>
  <si>
    <t>237070</t>
  </si>
  <si>
    <t>Cao Ngọc Nguyên</t>
  </si>
  <si>
    <t>203757</t>
  </si>
  <si>
    <t>Trần Hoàng Tuấn</t>
  </si>
  <si>
    <t>213911</t>
  </si>
  <si>
    <t>Hồ Phạm Sĩ Hùng</t>
  </si>
  <si>
    <t>203791</t>
  </si>
  <si>
    <t>Trương Quốc Quy</t>
  </si>
  <si>
    <t>237031</t>
  </si>
  <si>
    <t>Nguyễn Ngọc Thạch</t>
  </si>
  <si>
    <t>203713</t>
  </si>
  <si>
    <t>Bùi Quang Khôi</t>
  </si>
  <si>
    <t>213874</t>
  </si>
  <si>
    <t>Nguyễn Hoàng Hải</t>
  </si>
  <si>
    <t>203725</t>
  </si>
  <si>
    <t>Đặng Thanh Túc</t>
  </si>
  <si>
    <t>193607</t>
  </si>
  <si>
    <t>NGUYỄN TRẦN MINH NGHĨA</t>
  </si>
  <si>
    <t>193496</t>
  </si>
  <si>
    <t>PHẠM NGUYỄN TRƯỜNG BẢO</t>
  </si>
  <si>
    <t>193490</t>
  </si>
  <si>
    <t>PHAN GIA LỘC</t>
  </si>
  <si>
    <t>173268</t>
  </si>
  <si>
    <t>PHÙNG QUANG THÀNH</t>
  </si>
  <si>
    <t>217001</t>
  </si>
  <si>
    <t>NGUYỄN HỮU TRƯỜNG</t>
  </si>
  <si>
    <t>193443</t>
  </si>
  <si>
    <t>LÝ THỊ BÉ XÍU</t>
  </si>
  <si>
    <t>193451</t>
  </si>
  <si>
    <t>NGUYỄN CÔNG HẬU</t>
  </si>
  <si>
    <t>213938</t>
  </si>
  <si>
    <t>VŨ THANH THẢO</t>
  </si>
  <si>
    <t>213820</t>
  </si>
  <si>
    <t>TRẦN THỊ NI NA</t>
  </si>
  <si>
    <t>227130</t>
  </si>
  <si>
    <t>HỒ MẠNH DŨNG</t>
  </si>
  <si>
    <t>247163</t>
  </si>
  <si>
    <t>TRẦN ĐÌNH AN</t>
  </si>
  <si>
    <t>247384</t>
  </si>
  <si>
    <t>VÕ NGUYỄN DUY ANH</t>
  </si>
  <si>
    <t>193534</t>
  </si>
  <si>
    <t>LÊ HỒNG QUÂN</t>
  </si>
  <si>
    <t>LÊ THANH SƠN</t>
  </si>
  <si>
    <t>173230</t>
  </si>
  <si>
    <t>LÊ THỊ THU HIỀN</t>
  </si>
  <si>
    <t>133051</t>
  </si>
  <si>
    <t>LÝ KHÁNH LONG</t>
  </si>
  <si>
    <t>143079</t>
  </si>
  <si>
    <t>LÝ THỊ DIỄM MY</t>
  </si>
  <si>
    <t>227048</t>
  </si>
  <si>
    <t>NGUYỄN LÝ KHÁNH HUY</t>
  </si>
  <si>
    <t>227122</t>
  </si>
  <si>
    <t>NGUYỄN THỊ NGỌC DUNG</t>
  </si>
  <si>
    <t>183340</t>
  </si>
  <si>
    <t>TRƯƠNG TRUNG THIÊN</t>
  </si>
  <si>
    <t>203693</t>
  </si>
  <si>
    <t>QUÁCH NHẬT TRUNG</t>
  </si>
  <si>
    <t>Chờ xếp lớp BE</t>
  </si>
  <si>
    <t>227080</t>
  </si>
  <si>
    <t>NGUYỄN BÁ PHI NHẬT</t>
  </si>
  <si>
    <t>227064</t>
  </si>
  <si>
    <t>PHÙNG ĐÌNH HUY</t>
  </si>
  <si>
    <t>213859</t>
  </si>
  <si>
    <t>LÂM THỊ YẾN NHI</t>
  </si>
  <si>
    <t>193632</t>
  </si>
  <si>
    <t>NGUYỄN THÁI SƠN</t>
  </si>
  <si>
    <t>247263</t>
  </si>
  <si>
    <t>NGUYỄN TRẦN HOÀI MỸ</t>
  </si>
  <si>
    <t>247262</t>
  </si>
  <si>
    <t>TÔN THÀNH AN</t>
  </si>
  <si>
    <t>237147</t>
  </si>
  <si>
    <t>TRẦN THỊ HOÀI THƯƠNG</t>
  </si>
  <si>
    <t>247416</t>
  </si>
  <si>
    <t>NGUYỄN THỊ LOAN</t>
  </si>
  <si>
    <t>247088</t>
  </si>
  <si>
    <t>NGUYỄN VĂN HÙNG</t>
  </si>
  <si>
    <t>227097</t>
  </si>
  <si>
    <t>TRẦN MINH TRUNG</t>
  </si>
  <si>
    <t>227005</t>
  </si>
  <si>
    <t>Ngô Thị Huyền Trang (Joyce)</t>
  </si>
  <si>
    <t>213813</t>
  </si>
  <si>
    <t>Lê Trọng Ân</t>
  </si>
  <si>
    <t>203786</t>
  </si>
  <si>
    <t>Trần Ánh Tuyết (Taylor)</t>
  </si>
  <si>
    <t>257121</t>
  </si>
  <si>
    <t>Nguyễn Kim Khánh (Annie)</t>
  </si>
  <si>
    <t>257135</t>
  </si>
  <si>
    <t>Lê Tuyết Ngân</t>
  </si>
  <si>
    <t>257059</t>
  </si>
  <si>
    <t>Nguyễn Ngọc Hào</t>
  </si>
  <si>
    <t>237103</t>
  </si>
  <si>
    <t>NGUYỄN THỊ THÙY LINH</t>
  </si>
  <si>
    <t>183322</t>
  </si>
  <si>
    <t>ĐÀO TRUNG HIẾU</t>
  </si>
  <si>
    <t>213844</t>
  </si>
  <si>
    <t>LÊ MINH HY</t>
  </si>
  <si>
    <t>173246</t>
  </si>
  <si>
    <t>LÊ THỊ HOÀNG KIM</t>
  </si>
  <si>
    <t>247064</t>
  </si>
  <si>
    <t>NGUYỄN THỊ KIM OANH</t>
  </si>
  <si>
    <t>183330</t>
  </si>
  <si>
    <t>NGUYỄN THỊ KIM TRANG</t>
  </si>
  <si>
    <t>227091</t>
  </si>
  <si>
    <t>NGUYỄN VŨ LUÂN</t>
  </si>
  <si>
    <t>193588</t>
  </si>
  <si>
    <t>HÀ TRẦN TUẤN ANH</t>
  </si>
  <si>
    <t>213889</t>
  </si>
  <si>
    <t>LÊ TRIỆU HUẤN</t>
  </si>
  <si>
    <t>163188</t>
  </si>
  <si>
    <t>LƯƠNG CÔNG KỲ</t>
  </si>
  <si>
    <t>247119</t>
  </si>
  <si>
    <t>PHẠM HUY HOÀNG</t>
  </si>
  <si>
    <t>203764</t>
  </si>
  <si>
    <t>TRẦN MINH TRIẾT</t>
  </si>
  <si>
    <t>203746</t>
  </si>
  <si>
    <t>BẠCH NAM MINH TRÍ</t>
  </si>
  <si>
    <t>247098</t>
  </si>
  <si>
    <t>NGUYỄN VĂN TÀI</t>
  </si>
  <si>
    <t>237156</t>
  </si>
  <si>
    <t>PHẠM HOÀNG THÁI SƠN</t>
  </si>
  <si>
    <t>213863</t>
  </si>
  <si>
    <t>ĐINH TIẾN ĐẠT</t>
  </si>
  <si>
    <t>213898</t>
  </si>
  <si>
    <t>LÊ NGỌC TRUNG HIẾU</t>
  </si>
  <si>
    <t>237183</t>
  </si>
  <si>
    <t>NGUYỄN LÊ HOÀNG VĂN</t>
  </si>
  <si>
    <t>227104</t>
  </si>
  <si>
    <t>VŨ THỊ HỒNG LIÊN</t>
  </si>
  <si>
    <t>237226</t>
  </si>
  <si>
    <t>CHU KHÁNH LINH</t>
  </si>
  <si>
    <t>193584</t>
  </si>
  <si>
    <t>LÂM VĂN TIẾN</t>
  </si>
  <si>
    <t>227214</t>
  </si>
  <si>
    <t>NGUYỄN PHAN THẾ VINH</t>
  </si>
  <si>
    <t>203790</t>
  </si>
  <si>
    <t>247083</t>
  </si>
  <si>
    <t>NGUYỄN TRANG QUỲNH NHƯ</t>
  </si>
  <si>
    <t>247178</t>
  </si>
  <si>
    <t>NGUYỄN TRÚC DUYÊN</t>
  </si>
  <si>
    <t>173272</t>
  </si>
  <si>
    <t>ĐÀO SỸ THỜI</t>
  </si>
  <si>
    <t>143084</t>
  </si>
  <si>
    <t>PHAN QUỐC BÌNH</t>
  </si>
  <si>
    <t>247063</t>
  </si>
  <si>
    <t>GIANG KHIẾT ĐÌNH</t>
  </si>
  <si>
    <t>227218</t>
  </si>
  <si>
    <t>NGUYỄN HOÀNG BẢO TRÂN</t>
  </si>
  <si>
    <t>247062</t>
  </si>
  <si>
    <t>NGUYỄN THẾ ANH</t>
  </si>
  <si>
    <t>247147</t>
  </si>
  <si>
    <t>PHẠM LÊ QUỲNH HƯƠNG</t>
  </si>
  <si>
    <t>247102</t>
  </si>
  <si>
    <t>TRẦN ĐỨC VINH</t>
  </si>
  <si>
    <t>227035</t>
  </si>
  <si>
    <t>NGUYỄN NHẬT HÀO</t>
  </si>
  <si>
    <t>Violate Class Rule</t>
  </si>
  <si>
    <t>237006</t>
  </si>
  <si>
    <t>ĐỖ THANH TÙNG</t>
  </si>
  <si>
    <t>227200</t>
  </si>
  <si>
    <t>LÊ CÔNG DUY</t>
  </si>
  <si>
    <t>227225</t>
  </si>
  <si>
    <t>NGUYỄN PHI LONG</t>
  </si>
  <si>
    <t>193544</t>
  </si>
  <si>
    <t>VŨ ANH THƯ</t>
  </si>
  <si>
    <t>143071</t>
  </si>
  <si>
    <t>LÊ ĐẮC CƯỜNG</t>
  </si>
  <si>
    <t>227240</t>
  </si>
  <si>
    <t>VŨ ANH TÚ</t>
  </si>
  <si>
    <t>247230</t>
  </si>
  <si>
    <t>DƯƠNG LÊ XUÂN KHANG</t>
  </si>
  <si>
    <t>227224</t>
  </si>
  <si>
    <t>HOÀNG ĐĂNG TRIỆU</t>
  </si>
  <si>
    <t>247114</t>
  </si>
  <si>
    <t>NGUYỄN QUỐC DUY</t>
  </si>
  <si>
    <t>237023</t>
  </si>
  <si>
    <t>NGUYỄN THỊ NGỌC LỮ</t>
  </si>
  <si>
    <t>227170</t>
  </si>
  <si>
    <t>NGUYỄN TRẦN LỆ DUYÊN</t>
  </si>
  <si>
    <t>267040</t>
  </si>
  <si>
    <t>Nguyen Huynh Thao Tien</t>
  </si>
  <si>
    <t>213806</t>
  </si>
  <si>
    <t>Pham Thai Duong</t>
  </si>
  <si>
    <t>247338</t>
  </si>
  <si>
    <t>Tran Hai Phong</t>
  </si>
  <si>
    <t>247336</t>
  </si>
  <si>
    <t>Tran Dang Ngoc Vu</t>
  </si>
  <si>
    <t>257065</t>
  </si>
  <si>
    <t>Le Tan</t>
  </si>
  <si>
    <t>257068</t>
  </si>
  <si>
    <t>Ho Phuc</t>
  </si>
  <si>
    <t>267121</t>
  </si>
  <si>
    <t>Nguyen Ngoc Anh Duy</t>
  </si>
  <si>
    <t>183324</t>
  </si>
  <si>
    <t>PHẠM THỊ OANH THƠ</t>
  </si>
  <si>
    <t>237049</t>
  </si>
  <si>
    <t>NGUYỄN THẢO QUỲNH NHƯ</t>
  </si>
  <si>
    <t>247122</t>
  </si>
  <si>
    <t>TRẦN THỊ YẾN</t>
  </si>
  <si>
    <t>237101</t>
  </si>
  <si>
    <t>VÕ THỊ THU HƯƠNG</t>
  </si>
  <si>
    <t>227125</t>
  </si>
  <si>
    <t>ĐẶNG QUỐC VIỆT</t>
  </si>
  <si>
    <t>183332</t>
  </si>
  <si>
    <t>ĐOÀN QUỐC HẢI</t>
  </si>
  <si>
    <t>227220</t>
  </si>
  <si>
    <t>PHẠM NGỌC ANH DUYÊN</t>
  </si>
  <si>
    <t>247146</t>
  </si>
  <si>
    <t>VÕ QUỐC THIÊN</t>
  </si>
  <si>
    <t>Final Level</t>
  </si>
  <si>
    <t>start date</t>
  </si>
  <si>
    <t>First Class Start Date</t>
  </si>
  <si>
    <t xml:space="preserve">Entrance Numeric </t>
  </si>
  <si>
    <t>Final Numeric</t>
  </si>
  <si>
    <t>Role</t>
  </si>
  <si>
    <t>First Entrance Numeric</t>
  </si>
  <si>
    <t>Best Final Numeric</t>
  </si>
  <si>
    <t>Entrance Group (Overall)</t>
  </si>
  <si>
    <t>Final Group (Overall)</t>
  </si>
  <si>
    <t>Progress Category Overall</t>
  </si>
  <si>
    <t>Is_Unique_Row</t>
  </si>
  <si>
    <t>Emp Code
(unique)</t>
  </si>
  <si>
    <r>
      <rPr>
        <rFont val="Arial"/>
        <b/>
        <color rgb="FFFFFFFF"/>
        <sz val="11.0"/>
      </rPr>
      <t xml:space="preserve">Role
</t>
    </r>
    <r>
      <rPr>
        <rFont val="Arial"/>
        <b val="0"/>
        <color rgb="FFFFFFFF"/>
        <sz val="11.0"/>
      </rPr>
      <t>(unique)</t>
    </r>
  </si>
  <si>
    <t>Group Role</t>
  </si>
  <si>
    <r>
      <rPr>
        <rFont val="Arial"/>
        <b/>
        <color rgb="FFFFFFFF"/>
        <sz val="11.0"/>
      </rPr>
      <t xml:space="preserve">BU
</t>
    </r>
    <r>
      <rPr>
        <rFont val="Arial"/>
        <b val="0"/>
        <color rgb="FFFFFFFF"/>
        <sz val="11.0"/>
      </rPr>
      <t>(unique)</t>
    </r>
  </si>
  <si>
    <t>COUNTA của Emp Code
(unique)</t>
  </si>
  <si>
    <t>BU
(unique)</t>
  </si>
  <si>
    <t>COUNTUNIQUE của Class Code</t>
  </si>
  <si>
    <t>COUNTUNIQUE của Full Name</t>
  </si>
  <si>
    <r>
      <rPr>
        <rFont val="Arial"/>
        <color rgb="FFFFFFFF"/>
        <sz val="11.0"/>
      </rPr>
      <t xml:space="preserve">Emp Code
</t>
    </r>
    <r>
      <rPr>
        <rFont val="Arial"/>
        <color rgb="FFFFFFFF"/>
        <sz val="9.0"/>
      </rPr>
      <t>(Active, uniques)</t>
    </r>
  </si>
  <si>
    <r>
      <rPr>
        <rFont val="Arial"/>
        <b/>
        <color rgb="FFFFFFFF"/>
        <sz val="11.0"/>
      </rPr>
      <t xml:space="preserve">Role
</t>
    </r>
    <r>
      <rPr>
        <rFont val="Arial"/>
        <b val="0"/>
        <color rgb="FFFFFFFF"/>
        <sz val="11.0"/>
      </rPr>
      <t>(unique)</t>
    </r>
  </si>
  <si>
    <r>
      <rPr>
        <rFont val="Arial"/>
        <b/>
        <color rgb="FFFFFFFF"/>
        <sz val="11.0"/>
      </rPr>
      <t xml:space="preserve">BU
</t>
    </r>
    <r>
      <rPr>
        <rFont val="Arial"/>
        <b val="0"/>
        <color rgb="FFFFFFFF"/>
        <sz val="11.0"/>
      </rPr>
      <t>(unique)</t>
    </r>
  </si>
  <si>
    <t>COUNTA của Emp Code
(Active, uniques)</t>
  </si>
  <si>
    <t>Pre-Intermediate</t>
  </si>
  <si>
    <t>Pre-Intermediate 1</t>
  </si>
  <si>
    <t>QC</t>
  </si>
  <si>
    <t>227155_Vu Tu Anh</t>
  </si>
  <si>
    <t>Beginner</t>
  </si>
  <si>
    <t>173230_Le Thi Thu Hien</t>
  </si>
  <si>
    <t>DEV, TA</t>
  </si>
  <si>
    <t>BA, BC</t>
  </si>
  <si>
    <t>Beginner 2</t>
  </si>
  <si>
    <t>143079_LÝ THỊ DIỄM MY</t>
  </si>
  <si>
    <t>227122_Nguyen Thi Ngoc Dung</t>
  </si>
  <si>
    <t>Tổng cộng</t>
  </si>
  <si>
    <t>GSD</t>
  </si>
  <si>
    <t>Intermediate</t>
  </si>
  <si>
    <t>237050_Tran Thi Thanh Nga</t>
  </si>
  <si>
    <t xml:space="preserve">PPO, SM, IM </t>
  </si>
  <si>
    <t>Pre-Intermediate 2</t>
  </si>
  <si>
    <t>227148_Tran Thi Thuy Dung</t>
  </si>
  <si>
    <t>UI/UX, Des</t>
  </si>
  <si>
    <t>Beginner 3</t>
  </si>
  <si>
    <t>Intermediate 2</t>
  </si>
  <si>
    <t>All participants</t>
  </si>
  <si>
    <t>Active participants</t>
  </si>
  <si>
    <t>Intermediate 1</t>
  </si>
  <si>
    <t>SM</t>
  </si>
  <si>
    <t>247300_Đỗ Châu Bửu</t>
  </si>
  <si>
    <t>247196_Đoàn Trần Bá Đạt</t>
  </si>
  <si>
    <t>247200_Ngô Trọng Nghĩa</t>
  </si>
  <si>
    <t>TA</t>
  </si>
  <si>
    <t>247156_Nguyễn Văn Hoàng</t>
  </si>
  <si>
    <t>247192_Trần Đức Lợi</t>
  </si>
  <si>
    <t>247195_Trương Đăng Quang</t>
  </si>
  <si>
    <t>193547_Văn Tân Lợi</t>
  </si>
  <si>
    <t>247199_Võ Phú Phát</t>
  </si>
  <si>
    <t>247405_Phạm Lê Hoài Phương</t>
  </si>
  <si>
    <t>UI/UX</t>
  </si>
  <si>
    <t>247265_Ngô Thụy Thanh Như</t>
  </si>
  <si>
    <t>247264_Nguyễn Ngọc Nguyệt Ngân</t>
  </si>
  <si>
    <t>247415_Nguyễn Thị Hiền Ni</t>
  </si>
  <si>
    <t>247360_Phan Hữu Cường</t>
  </si>
  <si>
    <t>247298_Nguyễn Lê Khoa.pdf</t>
  </si>
  <si>
    <t>193529_NGUYỄN VĂN MẠNH CƯỜNG</t>
  </si>
  <si>
    <t>193479_BÙI NGỌC QUỐC</t>
  </si>
  <si>
    <t>213811_Dang Quoc Manh</t>
  </si>
  <si>
    <t>183431_Hoang Xuan Man</t>
  </si>
  <si>
    <t>193499_Huynh Tuan Khanh</t>
  </si>
  <si>
    <t>227141_Nguyen Dong Ho</t>
  </si>
  <si>
    <t>183427_Phan Cong Toai</t>
  </si>
  <si>
    <t>237130_Tran Khang</t>
  </si>
  <si>
    <t>193447_Nguyen Anh Duc</t>
  </si>
  <si>
    <t>227160_Le Thi Lan Huong</t>
  </si>
  <si>
    <t>247187_Nguyen Minh Thu</t>
  </si>
  <si>
    <t>227092_Pham Thi Bich Thuy</t>
  </si>
  <si>
    <t>183421_Nguyễn Tất Đạt</t>
  </si>
  <si>
    <t>247026_Đỗ Hoàng Minh Huy.pdf</t>
  </si>
  <si>
    <t>237043_Huỳnh Bửu Bửu</t>
  </si>
  <si>
    <t>193548_Nguyễn Thiên Ân</t>
  </si>
  <si>
    <t>247198_Nguyễn Đức Nhật</t>
  </si>
  <si>
    <t>247190_Huỳnh Nguyên Khang</t>
  </si>
  <si>
    <t>203759_Phan Thế An</t>
  </si>
  <si>
    <t>247191_Trần Ngọc Phước Hoàng</t>
  </si>
  <si>
    <t>247388_Trang Kỳ Anh</t>
  </si>
  <si>
    <t>247389_Dinh Truong Thanh Tuyen</t>
  </si>
  <si>
    <t>227183_Do Vu Gia Long</t>
  </si>
  <si>
    <t>247390_Doan Khanh Nguyen</t>
  </si>
  <si>
    <t>213891_Vo Duy Kiet</t>
  </si>
  <si>
    <t>193526_TRẦN ĐÌNH CHIẾN</t>
  </si>
  <si>
    <t>237117_HUỲNH TẤN PHÁT</t>
  </si>
  <si>
    <t>203780_LÊ HOÀNG NGUYỄN</t>
  </si>
  <si>
    <t>193523_PHẠM HỮU TUẤN</t>
  </si>
  <si>
    <t>237161_TRẦN VĂN HÀ</t>
  </si>
  <si>
    <t>237207_Nguyen Thuy Giang</t>
  </si>
  <si>
    <t>173272_Dao Sy Thoi</t>
  </si>
  <si>
    <t>237206_Luong Tra Vy</t>
  </si>
  <si>
    <t>203790_Nguyen Quang Trung</t>
  </si>
  <si>
    <t>237158_Nguyen Thanh Phi</t>
  </si>
  <si>
    <t>247043_Nguyen Thi Hong Dao</t>
  </si>
  <si>
    <t>237008_Lac Minh Hoang</t>
  </si>
  <si>
    <t>247260_Tran Nhu Tram Anh</t>
  </si>
  <si>
    <t>247184_Hoang Minh Duy</t>
  </si>
  <si>
    <t>247161_Huynh Nhat Duy</t>
  </si>
  <si>
    <t>247080_Mai Thi Thuy Trang</t>
  </si>
  <si>
    <t>247079_Vo Cao Tri</t>
  </si>
  <si>
    <t>247207_Nguyen Van Duc</t>
  </si>
  <si>
    <t>247037_Bui Huynh Trung Tin</t>
  </si>
  <si>
    <t>247078_Nguyen Cong Doan</t>
  </si>
  <si>
    <t>247106_Nguyen Khanh Uyen</t>
  </si>
  <si>
    <t>247038_Tang Hoang Yen</t>
  </si>
  <si>
    <t>237169_Luong Anh Tuan</t>
  </si>
  <si>
    <t>227153_Nguyen Hoang Ha Uyen</t>
  </si>
  <si>
    <t>237227_Duong Hoang Long</t>
  </si>
  <si>
    <t>237235_Huynh Tân Loc</t>
  </si>
  <si>
    <t>237238_Lai Minh Hieu</t>
  </si>
  <si>
    <t>247379_Nguyen Huu Nghi</t>
  </si>
  <si>
    <t>183422_Le Tran Xuan Lanh</t>
  </si>
  <si>
    <t>213893_Hoang Ngoc Thang</t>
  </si>
  <si>
    <t>227244_Huynh Phuc Truong</t>
  </si>
  <si>
    <t>213936_Nguyễn Quốc Tuấn.pdf</t>
  </si>
  <si>
    <t>193516_Tran Anh Duy</t>
  </si>
  <si>
    <t>247234_Tran Duong Hoan My</t>
  </si>
  <si>
    <t>213820_TRẦN THỊ NI NA</t>
  </si>
  <si>
    <t>193443_LÝ THỊ BÉ XÍU</t>
  </si>
  <si>
    <t>193451_NGUYỄN CÔNG HẬU</t>
  </si>
  <si>
    <t>193633_NGUYỄN HOÀI NAM</t>
  </si>
  <si>
    <t>213938_VŨ THANH THẢO</t>
  </si>
  <si>
    <t>213856_Chu Thị Lệ Quỳnh.pdf</t>
  </si>
  <si>
    <t>227130_Hồ Mạnh Dũng.pdf</t>
  </si>
  <si>
    <t>247185_Le Minh Duy</t>
  </si>
  <si>
    <t>227177_Nguyễn Ngọc Hoàng Bảo Trân</t>
  </si>
  <si>
    <t>247163_Tran Dinh An</t>
  </si>
  <si>
    <t>247384_Võ Nguyễn Duy Anh</t>
  </si>
  <si>
    <t>HR</t>
  </si>
  <si>
    <t>Admin</t>
  </si>
  <si>
    <t>183432_PHAN ĐÌNH MINH NHẬT</t>
  </si>
  <si>
    <t>227023_Hoang Nam Vuong</t>
  </si>
  <si>
    <t>183440_Nguyen Hoang Giang</t>
  </si>
  <si>
    <t>183400_Tran Thanh Hieu</t>
  </si>
  <si>
    <t>247357_NGÔ MINH HIẾU</t>
  </si>
  <si>
    <t>227024_TRẦN QUỐC VIỆT</t>
  </si>
  <si>
    <t>227032_VŨ NHẬT MINH TRƯỜNG</t>
  </si>
  <si>
    <t>173286_LÊ ANH TIẾN</t>
  </si>
  <si>
    <t>193519_LƯƠNG MINH QUÂN</t>
  </si>
  <si>
    <t>213810_NGUYỄN MINH DUY</t>
  </si>
  <si>
    <t>213974_Nguyễn Quí Em.pdf</t>
  </si>
  <si>
    <t>213954_Doan Quang Tuan</t>
  </si>
  <si>
    <t>193579_ĐƯỜNG QUANG HUY</t>
  </si>
  <si>
    <t>227112_Trần Đức Nam.pdf</t>
  </si>
  <si>
    <t>Upper-Intermediate</t>
  </si>
  <si>
    <t>Designer</t>
  </si>
  <si>
    <t>247377_Trần Nhựt Tân</t>
  </si>
  <si>
    <t>237056_Le Thi Diem Quyen</t>
  </si>
  <si>
    <t>-</t>
  </si>
  <si>
    <t>247183_Phan Thu Thảo</t>
  </si>
  <si>
    <t>237230_Trần Kim Hằng</t>
  </si>
  <si>
    <t>247412_Trần Quang Tống</t>
  </si>
  <si>
    <t>247358_Trần Vĩnh Phúc</t>
  </si>
  <si>
    <t>183340_Trương Trung Thiên</t>
  </si>
  <si>
    <t>193534_Lê Hồng Quân</t>
  </si>
  <si>
    <t>227047_Lê Thanh Sơn</t>
  </si>
  <si>
    <t>133051_Lý Khánh Long</t>
  </si>
  <si>
    <t>227080_Nguyễn Bá Phi Nhật</t>
  </si>
  <si>
    <t>227048_Nguyễn Lý Khánh Huy</t>
  </si>
  <si>
    <t>227064_Phùng Đình Huy</t>
  </si>
  <si>
    <t>203693_Quách Nhật Trung</t>
  </si>
  <si>
    <t>Pre-Intermediate 3</t>
  </si>
  <si>
    <t>163188_LƯƠNG CÔNG KỲ</t>
  </si>
  <si>
    <t>237157_NGUYỄN BÁ NGỌC</t>
  </si>
  <si>
    <t>247203_PHAN HUY NHÂN</t>
  </si>
  <si>
    <t>237196_VÕ CHÍ THIỆN</t>
  </si>
  <si>
    <t>213901_HOÀNG TIẾN DŨNG</t>
  </si>
  <si>
    <t>213835_ĐOÀN ANH MINH</t>
  </si>
  <si>
    <t>227081_NGUYỄN HOÀNG PHÚC</t>
  </si>
  <si>
    <t>247332_NGUYỄN PHÚC THANH TOÀN</t>
  </si>
  <si>
    <t>193613_NGUYỄN QUANG TRUNG</t>
  </si>
  <si>
    <t>247097_NGUYỄN THÀNH PHƯỚC</t>
  </si>
  <si>
    <t>213876_TÔ DIỆP THIÊN ANH</t>
  </si>
  <si>
    <t>203765_ĐỖ GIA KHÁNH</t>
  </si>
  <si>
    <t>247225_LÊ PHƯỚC THIỆN</t>
  </si>
  <si>
    <t>247378_Nguyen Bao Dat</t>
  </si>
  <si>
    <t>213947_NGUYỄN NGỌC PHƯƠNG NHI</t>
  </si>
  <si>
    <t>247245_THÁI NHẬT TÂN</t>
  </si>
  <si>
    <t>227144_TRẦN THỊ HOÀN MỸ</t>
  </si>
  <si>
    <t>247359_HỒ HUỲNH THÔNG</t>
  </si>
  <si>
    <t>237061_NGUYỄN TẤN HUY</t>
  </si>
  <si>
    <t>227008_PHẠM ĐỨC ÁO</t>
  </si>
  <si>
    <t>227069_TÔ PHƯỚC THÁI</t>
  </si>
  <si>
    <t>237246_TRẦN HƯƠNG QUỲNH</t>
  </si>
  <si>
    <t>237245_TỪ NGUYỄN MINH NHẬT</t>
  </si>
  <si>
    <t>227188_VÕ THỊ TUYẾT HỒNG</t>
  </si>
  <si>
    <t>227214_Nguyen Phan The Vinh</t>
  </si>
  <si>
    <t>237226_Chu Khanh Linh</t>
  </si>
  <si>
    <t>193584_Lam Van Tien</t>
  </si>
  <si>
    <t>213929_LÊ MINH TRƯỜNG</t>
  </si>
  <si>
    <t>227058_LE VAN DONG TAM</t>
  </si>
  <si>
    <t>247083_Nguyen Trang Quynh Nhu</t>
  </si>
  <si>
    <t>247178_Nguyen Truc Duyen</t>
  </si>
  <si>
    <t>143084_Phan Quoc Binh</t>
  </si>
  <si>
    <t>Management</t>
  </si>
  <si>
    <t>143071_Le Dac Cuong</t>
  </si>
  <si>
    <t>237006_Do Thanh Tung</t>
  </si>
  <si>
    <t>227200_Le Cong Duy</t>
  </si>
  <si>
    <t>227225_Nguyen Phi Long</t>
  </si>
  <si>
    <t>PPO</t>
  </si>
  <si>
    <t>193544_Vu Anh Thu</t>
  </si>
  <si>
    <t>227240_Vu Anh Tu</t>
  </si>
  <si>
    <t>183324_Pham Thi Oanh Tho</t>
  </si>
  <si>
    <t>247230_Duong Le Xuan Khang</t>
  </si>
  <si>
    <t>227224_Hoang Dang Trieu</t>
  </si>
  <si>
    <t>247114_Nguyen Quoc Duy</t>
  </si>
  <si>
    <t>237023_Nguyen Thi Ngoc Lu</t>
  </si>
  <si>
    <t>227170_Nguyen Tran Le Duyen</t>
  </si>
  <si>
    <t>247122_Tran Thi Yen</t>
  </si>
  <si>
    <t>183332_Doan Quoc Hai</t>
  </si>
  <si>
    <t>237049_Nguyen Thao Quynh Nhu</t>
  </si>
  <si>
    <t>227220_Pham Ngoc Anh Duyen</t>
  </si>
  <si>
    <t>247146_Vo Quoc Thien</t>
  </si>
  <si>
    <t>237101_Vo Thị Thu Huong</t>
  </si>
  <si>
    <t>247098_NGUYỄN VĂN TÀI</t>
  </si>
  <si>
    <t>237156_PHẠM HOÀNG THÁI SƠN</t>
  </si>
  <si>
    <t>247119_PHẠM HUY HOÀNG</t>
  </si>
  <si>
    <t>203764_TRẦN MINH TRIẾT</t>
  </si>
  <si>
    <t>213808_PHẠM HỒNG THIÊN TÀI</t>
  </si>
  <si>
    <t>193536_LÊ MINH PHƯỚC</t>
  </si>
  <si>
    <t>213975_LÊ NHẬT LINH</t>
  </si>
  <si>
    <t>213889_LÊ TRIỆU HUẤN</t>
  </si>
  <si>
    <t>247054_NGUYỄN DOÃN NAM</t>
  </si>
  <si>
    <t>193588_HÀ TRẦN TUẤN ANH</t>
  </si>
  <si>
    <t>213815_HUỲNH TRẦN HẢI LONG</t>
  </si>
  <si>
    <t>113024_LÊ VĂN SƠN</t>
  </si>
  <si>
    <t>213914_NGUYỄN TẤN PHÁT</t>
  </si>
  <si>
    <t>213861_TRẦN QUANG ĐẠO</t>
  </si>
  <si>
    <t>213851_TRẦN THANH ĐIỀN</t>
  </si>
  <si>
    <t>247223_TRẦN XUÂN KHOA</t>
  </si>
  <si>
    <t>193445_HUỲNH THỊ BẢO YẾN</t>
  </si>
  <si>
    <t>213968_NGUYỄN THỊ HOÀNG OANH</t>
  </si>
  <si>
    <t>237147_TRẦN THỊ HOÀI THƯƠNG</t>
  </si>
  <si>
    <t>213859_LÂM THỊ YẾN NHI</t>
  </si>
  <si>
    <t>193632_NGUYỄN THÁI SƠN</t>
  </si>
  <si>
    <t>247263_NGUYỄN TRẦN HOÀI MỸ</t>
  </si>
  <si>
    <t>247088_NGUYỄN VĂN HÙNG</t>
  </si>
  <si>
    <t>247262_TÔN THÀNH AN</t>
  </si>
  <si>
    <t>227097_TRẦN MINH TRUNG</t>
  </si>
  <si>
    <t>BC</t>
  </si>
  <si>
    <t>237183_NGUYỄN LÊ HOÀNG VĂN</t>
  </si>
  <si>
    <t>203746_BẠCH NAM MINH TRÍ</t>
  </si>
  <si>
    <t>Not Placement</t>
  </si>
  <si>
    <t>213863_ĐINH TIẾN ĐẠT</t>
  </si>
  <si>
    <t>213898_LÊ NGỌC TRUNG HIẾU</t>
  </si>
  <si>
    <t>213946_TRƯƠNG NHỰT MINH THƯ</t>
  </si>
  <si>
    <t>247172_NGUYỄN MINH QUÂN</t>
  </si>
  <si>
    <t>213881_ĐẶNG GIA LỘC</t>
  </si>
  <si>
    <t>213854_LÊ NHẬT</t>
  </si>
  <si>
    <t>213805_NGUYỄN ĐỨC ANH</t>
  </si>
  <si>
    <t>173232_NGUYỄN QUANG ĐỨC.pdf</t>
  </si>
  <si>
    <t>203701_PHẠM MAI NHẬT</t>
  </si>
  <si>
    <t>213935_TRẦN NHỰT DUY</t>
  </si>
  <si>
    <t>227063_TRƯƠNG ĐÌNH ÁNH</t>
  </si>
  <si>
    <t>213916_VÕ CHÍ ĐẠI</t>
  </si>
  <si>
    <t>247313_Nguyễn Hồng Mỹ</t>
  </si>
  <si>
    <t>237110_Nguyễn Hữu Phước</t>
  </si>
  <si>
    <t>213870_Trần Quốc Hiệp</t>
  </si>
  <si>
    <t>237160_Trần Tuấn Kiệt</t>
  </si>
  <si>
    <t>173268_PHÙNG QUANG THÀNH</t>
  </si>
  <si>
    <t>193496_PHẠM NGUYỄN TRƯỜNG BẢO</t>
  </si>
  <si>
    <t>193490_PHAN GIA LỘC</t>
  </si>
  <si>
    <t>183322_ĐÀO TRUNG HIẾU</t>
  </si>
  <si>
    <t>173246_LÊ THỊ HOÀNG KIM</t>
  </si>
  <si>
    <t>217001_NGUYỄN HỮU TRƯỜNG</t>
  </si>
  <si>
    <t>247064_NGUYỄN THỊ KIM OANH</t>
  </si>
  <si>
    <t>227091_NGUYỄN VŨ LUÂN</t>
  </si>
  <si>
    <t>237072_NGUYỄN MINH LIÊN</t>
  </si>
  <si>
    <t>213844_LÊ MINH HY</t>
  </si>
  <si>
    <t>247082_NGUYỄN HỮU DUY</t>
  </si>
  <si>
    <t>183330_NGUYỄN THỊ KIM TRANG</t>
  </si>
  <si>
    <t>237129_PHẠM HUỲNH TÂN</t>
  </si>
  <si>
    <t>EL046</t>
  </si>
  <si>
    <t>EL047</t>
  </si>
  <si>
    <t>Nguyen Tran Minh Nghia</t>
  </si>
  <si>
    <t>EL048</t>
  </si>
  <si>
    <t>IM</t>
  </si>
  <si>
    <t>Nguyễn Thị Thùy Linh</t>
  </si>
  <si>
    <t>EL052</t>
  </si>
  <si>
    <t>Sheet</t>
  </si>
  <si>
    <t>Column</t>
  </si>
  <si>
    <t>Row</t>
  </si>
  <si>
    <t xml:space="preserve">Phúc's </t>
  </si>
  <si>
    <t>Hào's</t>
  </si>
  <si>
    <t>Solved</t>
  </si>
  <si>
    <t>Hao Note</t>
  </si>
  <si>
    <t>Student</t>
  </si>
  <si>
    <t>Row 145, tên "Vũ Tú Anh"</t>
  </si>
  <si>
    <t>Suppose: đang học bth, và học lớp Business EL
As in file: at risk of dropping &amp; học Communication 2
=&gt; check thử xem trong data đổ qua có vde hay là công thức có vde he</t>
  </si>
  <si>
    <t>Đã update nha c. Nhập liệu sai ở Sheet Attendance_input về năm (2025 và 2026)</t>
  </si>
  <si>
    <t>x</t>
  </si>
  <si>
    <t>Lam sao de xac dinh 3 criteria nay</t>
  </si>
  <si>
    <t>Status gồm 3 loại: Active, Inactive, Waiting for class
1. Active = những bạn vẫn đang theo học
2. Inactive = những bạn Resigned (col O) + đã Dropped (col M)
3. Waiting for class = đang chờ xếp lớp (gồm: chưa join lần nào + đã join vài lớp &amp; chưa có lớp phù hợp)
=&gt; Ý completed có thể nằm ở cả 2 cột: Active (đã complete khóa trước &amp; đang join khóa sau) &amp; Inactive (complete khóa và ko học tiếp)</t>
  </si>
  <si>
    <t>needs to add some more columns for tracking (inactive status, level &amp; course)</t>
  </si>
  <si>
    <t>Nhóm columns về Inactive status:
Col L: record who dropped
col M: record drop reason
col N: record member who resigned
Nhóm columns về ghi nhận level &amp; các khóa đã join:</t>
  </si>
  <si>
    <t>Completed</t>
  </si>
  <si>
    <t>missing information of trainees (row 205 - 326 of Eng Training_Editing \ Master data)</t>
  </si>
  <si>
    <t>từ row 205 - 326, những data nào trùng với ds của H, c đã add các dữ liệu l/quan inactive rồi. Những cái nào ko trùng để T3 c làm tiếp</t>
  </si>
  <si>
    <t xml:space="preserve">Dropped </t>
  </si>
  <si>
    <t>Không thể Vlookup giữa 2 sheet "Students" &amp; "Left"; vì có thể bạn dừng học trước khi bạn resign (data left chỉ gồm emp. code &amp; full name, ko biết chính xác tgian bạn nghỉ) =&gt; prefer nhập tay</t>
  </si>
  <si>
    <t>212007        BÙI MINH NHẬT</t>
  </si>
  <si>
    <t>212007        BÙI MINH NHẬT đã ngừng join từ 2025 nhưng trong data 2026 vẫn còn
=&gt; Suggest: Cột A &amp; B của "Student" là cố định ko đổi. Cách sắp xếp trong sheet nên cấu trúc như sau để dễ track bugs: 
- Chia là 2 phần: Active &amp; Inactive (VD: Active từ row 2 -&gt; xx, Inactive từ row xx+1 -&gt; yy)
- Trong phần Active, xếp các bạn đang active có cùng Class code lại sát nhau để tiện theo dõi
=&gt; Chị chỉnh tay các dòng của Nhật, e add công thức vào sau nhé
=&gt; Structure như c suggest c tạm xếp; e recheck</t>
  </si>
  <si>
    <t>Update ve entrance level va current level</t>
  </si>
  <si>
    <t xml:space="preserve">Status, PIC, Last Active date </t>
  </si>
  <si>
    <t>183427        PHAN CÔNG TOẠI bạn này trc thuộc lớp của Cường Nguyễn. Sau khi lớp thi final ngày 3 Mar &amp; ngưng ko học tiếp thì chỉ có mình bạn join cùng lớp anh Lãnh Lê (last join của bạn là 1 Apr nhưng công thức dừng ở 3 Mar 
=&gt; Chị chỉnh tay các dòng của Toại, e add công thức vào sau nhé</t>
  </si>
  <si>
    <t>thai nguyen 1</t>
  </si>
  <si>
    <t>Row 90</t>
  </si>
  <si>
    <t>213881        ĐẶNG GIA LỘC last update của bạn là ở PIC Liên Nguyễn nhưng vẫn record là Quân Nguyên
=&gt; Chị chỉnh tay các dòng của bạn, e add công thức vào sau nhé</t>
  </si>
  <si>
    <t>Row 141</t>
  </si>
  <si>
    <t>227058        LE VAN DONG TAM (giống Đặng Gia Lộc)</t>
  </si>
  <si>
    <t>Lanh Le Lớp này vẫn đang học; ngày học gần nhất là 1/4 (ở file attendance check) nhưng mà file đang ghi nhận là Inactive và last active day là 23/1 
=&gt; Chị đã chỉnh tay lại, em add công thức vào sau nhé</t>
  </si>
  <si>
    <t>All row</t>
  </si>
  <si>
    <t xml:space="preserve">Vlookup_value bị nhảy 1 dòng =&gt; Data ko chính xác
=&gt; Chị đã chỉnh để tiện add thông tin về Inactived </t>
  </si>
  <si>
    <t>capnhat lop</t>
  </si>
  <si>
    <t>Có 2 lớp phải check tay, nếu xài công thức như hiện tại sẽ khó theo dõi:
1. Anh To: Vừa thi xong hôm t6 tuần rồi =&gt; phải note lại để nhớ mà check kết quả level các bạn để còn xếp lớp &amp; hỏi xem các bạn có muốn tiếp tục ko. Đồng thời recheck những người đang chờ ráp lớp xem có ai phù hợp ghép chung lớp Anh To ko
2. Hùng Nguyễn: Thi xong từ cuối háng 3 nhưng muốn nghỉ 1 tháng 4 &amp; đầu tháng 5 mới bắt đầu học tiếp</t>
  </si>
  <si>
    <t>thai nguyen 2</t>
  </si>
  <si>
    <t>At risk</t>
  </si>
  <si>
    <t>Chưa thấy đc sự tương quan giữa 2 sheet "At Risk" &amp; "Drop Flag"</t>
  </si>
  <si>
    <t>"Dashboard" &amp; "Data_Quality_Check"</t>
  </si>
  <si>
    <t xml:space="preserve">Có vẻ cấu trúc của 2 sheet này giống nhau nhưng số liệu lệch nhiều </t>
  </si>
  <si>
    <t xml:space="preserve">Trang ngo 6th </t>
  </si>
  <si>
    <t>PIC, Course_Plan, Level_Helper</t>
  </si>
  <si>
    <t>Đ/v các sheet có ít dữ liệu như 3 sheet này thì có thể ráp vào 1 sheet không? Để đỡ chuyển qua/lại giữa các sheet</t>
  </si>
  <si>
    <t>Attendance Log</t>
  </si>
  <si>
    <t>C hiểu cách lấy data của Attendance_Log; nhưng c chưa rõ mục tiêu của sheet này có thể giúp gì cho mình nhiều lắm</t>
  </si>
  <si>
    <t>1st</t>
  </si>
  <si>
    <t>2nd</t>
  </si>
  <si>
    <t>3rd</t>
  </si>
  <si>
    <t>4th</t>
  </si>
  <si>
    <t>5th</t>
  </si>
  <si>
    <t>6th</t>
  </si>
  <si>
    <t>All</t>
  </si>
  <si>
    <t>C cần 1 sheet tổng hợp mô tả linkage giữa các sheet với nhau trong file; để lỡ có vde gì thì còn cross-check nhanh đc
Gợi ý 1 số cột: 
Op1: Sheet name | Purpose | Main content | Input from | Output to | Key logic / link field | Owner
Op2: Sheet name | Purpose | Input | Output | Key link</t>
  </si>
  <si>
    <t>Trần Thị Kiều Anh</t>
  </si>
  <si>
    <t>A</t>
  </si>
  <si>
    <t>7th</t>
  </si>
  <si>
    <t>8th</t>
  </si>
  <si>
    <t>9th</t>
  </si>
  <si>
    <t>10th</t>
  </si>
  <si>
    <t>11th</t>
  </si>
  <si>
    <t>12th</t>
  </si>
  <si>
    <t>13th</t>
  </si>
  <si>
    <t>14th</t>
  </si>
  <si>
    <t>15th</t>
  </si>
  <si>
    <t>16th</t>
  </si>
  <si>
    <t xml:space="preserve"> </t>
  </si>
  <si>
    <t>Final the course?</t>
  </si>
  <si>
    <t>Yes</t>
  </si>
  <si>
    <t>Middle drop</t>
  </si>
  <si>
    <t>06/23/2026 11:00:00</t>
  </si>
  <si>
    <t>06/30/2026 15:00:00</t>
  </si>
  <si>
    <t>Thao Vu 1</t>
  </si>
  <si>
    <t>06/23/2026 13:00:00</t>
  </si>
  <si>
    <t>Hồ Phạm Sĩ Hưng</t>
  </si>
  <si>
    <t>06/23/2026 14:00:00</t>
  </si>
  <si>
    <t>Session Order</t>
  </si>
  <si>
    <t>Date</t>
  </si>
  <si>
    <t>Present</t>
  </si>
  <si>
    <t>Anh Vu</t>
  </si>
  <si>
    <t>Absent</t>
  </si>
  <si>
    <t>Buu Do 1</t>
  </si>
  <si>
    <t>Buu Do 2</t>
  </si>
  <si>
    <t>Cuong Nguyen</t>
  </si>
  <si>
    <t>Duc Nguyen</t>
  </si>
  <si>
    <t>Dat Nguyen</t>
  </si>
  <si>
    <t>Nhat Nguyen</t>
  </si>
  <si>
    <t>Hung Nguyen</t>
  </si>
  <si>
    <t>Huong Le</t>
  </si>
  <si>
    <t>Huy Tran 1</t>
  </si>
  <si>
    <t>Huy Tran 2</t>
  </si>
  <si>
    <t>Huyen Vo</t>
  </si>
  <si>
    <t>Lanh Le</t>
  </si>
  <si>
    <t>Thao Vu 2</t>
  </si>
  <si>
    <t>Minh Nguyen</t>
  </si>
  <si>
    <t>Nhat Bui</t>
  </si>
  <si>
    <t>Nhat Phan 1</t>
  </si>
  <si>
    <t>Nhat Phan 2</t>
  </si>
  <si>
    <t>Qui Em</t>
  </si>
  <si>
    <t>Tan Tran</t>
  </si>
  <si>
    <t>Thien Truong</t>
  </si>
  <si>
    <t>Ky Luong</t>
  </si>
  <si>
    <t>Dung Hoang</t>
  </si>
  <si>
    <t>Anh To</t>
  </si>
  <si>
    <t>My Tran</t>
  </si>
  <si>
    <t>Vinh Nguyen</t>
  </si>
  <si>
    <t>Yen Tran 1</t>
  </si>
  <si>
    <t>Yen Tran 2</t>
  </si>
  <si>
    <t>Yen Tran 3</t>
  </si>
  <si>
    <t>Tai Nguyen</t>
  </si>
  <si>
    <t>Tai Pham</t>
  </si>
  <si>
    <t>Anh Ha</t>
  </si>
  <si>
    <t>Thuong Tran</t>
  </si>
  <si>
    <t>Van Nguyen</t>
  </si>
  <si>
    <t>Quan Nguyen</t>
  </si>
  <si>
    <t>My Nguyen</t>
  </si>
  <si>
    <t>Huy Nguyen</t>
  </si>
  <si>
    <t>Thanh Phung</t>
  </si>
  <si>
    <t>Phu Nguyen</t>
  </si>
  <si>
    <t>Vinh Tran</t>
  </si>
  <si>
    <t>Liên Nguyễn</t>
  </si>
  <si>
    <t>Quyen Nguyen</t>
  </si>
  <si>
    <t>Phuoc Ta</t>
  </si>
  <si>
    <t>Thai Nguyen 1</t>
  </si>
  <si>
    <t>Thai Nguyen 2</t>
  </si>
  <si>
    <t>Trang Ngo</t>
  </si>
  <si>
    <t>Phung Nguyen</t>
  </si>
  <si>
    <t>Nam Nguyen</t>
  </si>
  <si>
    <t>Trang Nguyen</t>
  </si>
  <si>
    <t>Duong Pham</t>
  </si>
  <si>
    <t>Expected Session</t>
  </si>
  <si>
    <t>Completion Ratio</t>
  </si>
  <si>
    <t>Student Status</t>
  </si>
  <si>
    <t>Define of Drop</t>
  </si>
  <si>
    <t>Category</t>
  </si>
  <si>
    <t>COUNTUNIQUE của Emp Code</t>
  </si>
  <si>
    <t>Emp. Code</t>
  </si>
  <si>
    <t>Full name</t>
  </si>
  <si>
    <t>Entrance Test date</t>
  </si>
  <si>
    <t>1st session:</t>
  </si>
  <si>
    <t>Counta</t>
  </si>
  <si>
    <t>Check trùng</t>
  </si>
  <si>
    <t>Level</t>
  </si>
  <si>
    <t>Feedback (what they current can, what they need to improve)</t>
  </si>
  <si>
    <t xml:space="preserve">1. Grammar: </t>
  </si>
  <si>
    <t>2. Vocabulary:</t>
  </si>
  <si>
    <t>3. Pronunciation:</t>
  </si>
  <si>
    <t xml:space="preserve">4. Fluency: </t>
  </si>
  <si>
    <t>Input</t>
  </si>
  <si>
    <t>Formular</t>
  </si>
  <si>
    <t>Sentence construction and verb tenses</t>
  </si>
  <si>
    <t>limitted Vocabulary</t>
  </si>
  <si>
    <t>Not so clear words and mispronounced words</t>
  </si>
  <si>
    <t>VÕ THỊ XUÂN KIỀU</t>
  </si>
  <si>
    <t>Ly Thi Be Xiu</t>
  </si>
  <si>
    <t>Needs to improve sentence structures</t>
  </si>
  <si>
    <t>Needs to improve pronunciation</t>
  </si>
  <si>
    <t>She's shy to speak and not that confident rhe way she speaks.</t>
  </si>
  <si>
    <t>Nguyen Thuy Hoang May</t>
  </si>
  <si>
    <t>Just to polish some grammatical errors in sentence construction.</t>
  </si>
  <si>
    <t>Has good vocabulary but it will be good to have more advance words than simple words</t>
  </si>
  <si>
    <t>She has clear words and easy to understand but some words were mispronounced.</t>
  </si>
  <si>
    <t>She's confident in speaking and no hesitations.</t>
  </si>
  <si>
    <t>Tran Thi Ni Na</t>
  </si>
  <si>
    <t>She has to improve more on this aspect, like the structuring and the verb tenses.</t>
  </si>
  <si>
    <t>She has limitted Vocabulary.</t>
  </si>
  <si>
    <t xml:space="preserve">The words were not clear and mispronounced. </t>
  </si>
  <si>
    <t xml:space="preserve">She's not that confident yet in speaking and very shy. </t>
  </si>
  <si>
    <t>Nguyen Cong Hau</t>
  </si>
  <si>
    <t>Sentence structure and the usage of verb tenses.</t>
  </si>
  <si>
    <t>Limitted Vocabulary</t>
  </si>
  <si>
    <t>Some words were not clear and mispronounced.</t>
  </si>
  <si>
    <t>He's abit shy in speaking and not that confident yet.</t>
  </si>
  <si>
    <t>Vu Thanh Thao</t>
  </si>
  <si>
    <t>She has short answers i some questions..usage of has/have</t>
  </si>
  <si>
    <t>good vocabulary but not yet an advanced words</t>
  </si>
  <si>
    <t>Very clear and easy to understand</t>
  </si>
  <si>
    <t>PHẠM THỊ CẨM NHUNG</t>
  </si>
  <si>
    <t>Nguyen Ngoc Hoang Bao Tran</t>
  </si>
  <si>
    <t>Sentence structur is good just minor errors.</t>
  </si>
  <si>
    <t>Good vocabulary but not the advanced one.</t>
  </si>
  <si>
    <t>Some words were mispronounced and not that clear to understand.</t>
  </si>
  <si>
    <t>She speaks spontaneously and has the confidence.</t>
  </si>
  <si>
    <t>Tran Dinh An</t>
  </si>
  <si>
    <t>He's good with well structured sentences.</t>
  </si>
  <si>
    <t xml:space="preserve">Using wide range of vocabulary but not yet the advanced words. </t>
  </si>
  <si>
    <t>Good pronunciation but there's still a room for improvement.</t>
  </si>
  <si>
    <t>He speaks spontaneosly and has the confidence. What's good with him , he stiil joined for the second time just to learn more...good attitude.</t>
  </si>
  <si>
    <t>Bùi Hoàng Hoài Như</t>
  </si>
  <si>
    <t>Some answers were too short and a minor errors in using verb tenses.</t>
  </si>
  <si>
    <t>Good Vocabulary but not yet an advanced one.</t>
  </si>
  <si>
    <t>very clear words and just few mispronounced words</t>
  </si>
  <si>
    <t>She's confident in speaking and she speaks spontaneously.</t>
  </si>
  <si>
    <t>Ngô Thị Tú Vy</t>
  </si>
  <si>
    <t>Some minor errors in structuring and vefb tenses.</t>
  </si>
  <si>
    <t>good vocabulary but not yet an advanced one.</t>
  </si>
  <si>
    <t>Very clear words and easy to understand.. just few mispronounced words</t>
  </si>
  <si>
    <t>Speak smoothly and continously without any hesitations. she's confident..</t>
  </si>
  <si>
    <t>Nguyễn Ngọc Thanh Trúc</t>
  </si>
  <si>
    <t>Absent on 1st day</t>
  </si>
  <si>
    <t>Trần Nhật Hàn Lâm</t>
  </si>
  <si>
    <t>Some minor errors in sentence structures and verb tenses.</t>
  </si>
  <si>
    <t>good vocabulary but not an advanced yet.</t>
  </si>
  <si>
    <t xml:space="preserve">Clear and easy to understand </t>
  </si>
  <si>
    <t>He's confident and speak spontaneously.</t>
  </si>
  <si>
    <t>Phạm Thị Thu Thảo</t>
  </si>
  <si>
    <t>Huỳnh Luật</t>
  </si>
  <si>
    <t>Some errors in structuringand verb tenses</t>
  </si>
  <si>
    <t>good words but not that advanced yet</t>
  </si>
  <si>
    <t>He has to focus more in this aspect as some words were not that clear to understand.</t>
  </si>
  <si>
    <t>He's confident enough and he speaks continously.</t>
  </si>
  <si>
    <t>Vương Tấn Phát</t>
  </si>
  <si>
    <t>Quách Hải Thanh</t>
  </si>
  <si>
    <t>Some errors in sttructuring and veb tenses.</t>
  </si>
  <si>
    <t>Good vocabulary but not an advanced words yet.</t>
  </si>
  <si>
    <t>Some mispronounced words. Some were easy to uncderstand.</t>
  </si>
  <si>
    <t>He's not that shy in speaking but needto gain more confidence in speaking.</t>
  </si>
  <si>
    <t>Trần Nguyễn Phước Thành</t>
  </si>
  <si>
    <t>Advanced</t>
  </si>
  <si>
    <t>Avoiding grammatical mistakes..</t>
  </si>
  <si>
    <t>Choosing words correctly and with the correct usage but need to use more advanced words.</t>
  </si>
  <si>
    <t>Very clear and easy to understand but need to polish some more in this aspect.</t>
  </si>
  <si>
    <t>He's confident in speaking and speaks smoothly and continously without any hesitations.</t>
  </si>
  <si>
    <t>Phan Thị Kim Huyền</t>
  </si>
  <si>
    <t>PHAM Minh Hien</t>
  </si>
  <si>
    <t>He needs to focus more in structuring, verb tenses, articles, prepositions etc.</t>
  </si>
  <si>
    <t>He has limitted vocabulary that's why he couldn't understand the questions given.</t>
  </si>
  <si>
    <t>Focus on pronunciation. Some words were not clear and hard to understand.</t>
  </si>
  <si>
    <t>He's a bit shy to speak and has hesitations in speaking. He needs to gain confidence.</t>
  </si>
  <si>
    <t>Nguyen Lu Hai Ly</t>
  </si>
  <si>
    <t>The way she constructed her idear were great.</t>
  </si>
  <si>
    <t>She ahs good vocabulary but she needs to have more advanced words.</t>
  </si>
  <si>
    <t>She has clear words and easy to understand with a proper intonation.</t>
  </si>
  <si>
    <t>She speaks spontaneously and confidently.</t>
  </si>
  <si>
    <t>VĂN NGỌC TIẾN</t>
  </si>
  <si>
    <t>NGUYỄN HỮU DUY</t>
  </si>
  <si>
    <t>Tran Duong Hoan My</t>
  </si>
  <si>
    <t>Sentence structures and verb tenses</t>
  </si>
  <si>
    <t xml:space="preserve">Some wrong usage of words, limitted words </t>
  </si>
  <si>
    <t>Some words were not clear and hard to understand, some mispronounced words</t>
  </si>
  <si>
    <t>She's a bit shy and she has hesitations and she needs to gain more confidence.</t>
  </si>
  <si>
    <t>HUỲNH LUẬT</t>
  </si>
  <si>
    <t>Ta Cong Nghia</t>
  </si>
  <si>
    <t>ĐẶNG THÁI TÀI</t>
  </si>
  <si>
    <t>Tran Thi Hoang Nhan</t>
  </si>
  <si>
    <t>LÊ QUYỀN DUY</t>
  </si>
  <si>
    <t>Nguyen Van Tan</t>
  </si>
  <si>
    <t>He has short answers, sentence structures and verb tenses</t>
  </si>
  <si>
    <t>limitted vocabulary</t>
  </si>
  <si>
    <t>Some mispronounced words and not clear</t>
  </si>
  <si>
    <t>He's has still hesitations and not that confident in speaking.</t>
  </si>
  <si>
    <t>TRẦN TẤN HƯNG</t>
  </si>
  <si>
    <t>Van Ngoc Tien</t>
  </si>
  <si>
    <t>Sentence structures, verb tenses ,some ideas not clear</t>
  </si>
  <si>
    <t>Limitted vocabulary</t>
  </si>
  <si>
    <t>Hard to understand what he was saying, not so clear words and has misprounced words</t>
  </si>
  <si>
    <t>He has hesitation in speaking , he has to gain confidence.</t>
  </si>
  <si>
    <t>VƯƠNG TẤN PHÁT</t>
  </si>
  <si>
    <t>Dang Van Tuong</t>
  </si>
  <si>
    <t>some minor eroors in sentence structures like subject verb agreement.</t>
  </si>
  <si>
    <t>Good vocabulary but not the advanced words yet</t>
  </si>
  <si>
    <t>a bit in pronunciation but words are clear and easy to understand</t>
  </si>
  <si>
    <t>He's speaks smoothly and continously.</t>
  </si>
  <si>
    <t>NGUYỄN THỊ LỆ XUÂN</t>
  </si>
  <si>
    <t>Chu Van Diep</t>
  </si>
  <si>
    <t>Sentence structures/verb tenses and some ideas not clear</t>
  </si>
  <si>
    <t>Lack of Vocabulary</t>
  </si>
  <si>
    <t>Hard to understand because of the mispronounced words</t>
  </si>
  <si>
    <t xml:space="preserve">His speaking is not that smooth because he lacks ideas to express. </t>
  </si>
  <si>
    <t>NGÔ THỊ TÚ VY</t>
  </si>
  <si>
    <t>Huynh Phuc Truong</t>
  </si>
  <si>
    <t>Eventhough he could answer the questions but then has to focus on sentence structures. Some ideas were not clear. Verb tenses need as well.</t>
  </si>
  <si>
    <t xml:space="preserve">Word usage and choosing the words correctly. </t>
  </si>
  <si>
    <t>Some mispronounced words and not clear.</t>
  </si>
  <si>
    <t>A bit nervous and but he managed to speak continously.</t>
  </si>
  <si>
    <t>TRẦN NHẬT HÀN LÂM</t>
  </si>
  <si>
    <t>Nguyen Quoc Tuan</t>
  </si>
  <si>
    <t>Absent from 1st session</t>
  </si>
  <si>
    <t>NGUYỄN NGỌC THANH TRÚC</t>
  </si>
  <si>
    <t>Nguyen Anh Duc</t>
  </si>
  <si>
    <t>Sentence structures/ some ideas not clear</t>
  </si>
  <si>
    <t xml:space="preserve">Simple words usage </t>
  </si>
  <si>
    <t xml:space="preserve">some words mispronounced </t>
  </si>
  <si>
    <t>He's confident in speaking and speaks spontaneously.</t>
  </si>
  <si>
    <t>Nguyen Thuy Giang</t>
  </si>
  <si>
    <t>Using approprate and simple words</t>
  </si>
  <si>
    <t>Few mispronounced words but manageable</t>
  </si>
  <si>
    <t>Confident in speaking only that there were answers too short.</t>
  </si>
  <si>
    <t>BÙI HOÀNG HOÀI NHƯ</t>
  </si>
  <si>
    <t>Nguyen Thi Hong Dao</t>
  </si>
  <si>
    <t>Couldn't express the ideas in a well structured way, ideas not clear.</t>
  </si>
  <si>
    <t>A lot of mispronounced words and hard to understand what she was saying.</t>
  </si>
  <si>
    <t>She has to gain confidence in speaking .</t>
  </si>
  <si>
    <t>ĐẶNG VĂN TƯỜNG</t>
  </si>
  <si>
    <t>Nguyen Huu Duy</t>
  </si>
  <si>
    <t>Hard to understand his answers, not clear and needs to focus on sentence structures.</t>
  </si>
  <si>
    <t>Words hard to understand and the way he pronounced it.</t>
  </si>
  <si>
    <t>A bit nervous and not that confident in spekaing.</t>
  </si>
  <si>
    <t>PHẠM MINH HIỂN</t>
  </si>
  <si>
    <t>227227</t>
  </si>
  <si>
    <t>Hoang Phat Dat</t>
  </si>
  <si>
    <t>short ideas, sentence stucture</t>
  </si>
  <si>
    <t>good words but still simple words</t>
  </si>
  <si>
    <t xml:space="preserve">clear words and easy to understand </t>
  </si>
  <si>
    <t>He speaks smoothly and contnously.</t>
  </si>
  <si>
    <t>NGUYỄN HỒNG MỸ</t>
  </si>
  <si>
    <t>Pham Thi Bich Thuy</t>
  </si>
  <si>
    <t>A bit in sentence structure</t>
  </si>
  <si>
    <t xml:space="preserve">good words but not yet advanced </t>
  </si>
  <si>
    <t>clear words and easy to understand</t>
  </si>
  <si>
    <t>She speaks spontanously. She has the confidence.</t>
  </si>
  <si>
    <t>TRẦN THỊ HOÀNG NHẠN</t>
  </si>
  <si>
    <t>Nguyen Quang Trung</t>
  </si>
  <si>
    <t>Sentence structure, verb tenses</t>
  </si>
  <si>
    <t xml:space="preserve">Simple words used </t>
  </si>
  <si>
    <t>There was no hesitations in speaking.</t>
  </si>
  <si>
    <t>NGUYỄN LỮ HẢI LY</t>
  </si>
  <si>
    <t>Lê Quyền Duy</t>
  </si>
  <si>
    <t>Some sentence structures</t>
  </si>
  <si>
    <t>wrong usage of words but only few and not clear.</t>
  </si>
  <si>
    <t>Mispronounced words especially with "s" sound.</t>
  </si>
  <si>
    <t>Trần Tấn Hưng</t>
  </si>
  <si>
    <t>Sentence Structures/ Verb Tenses and some ideas not clear</t>
  </si>
  <si>
    <t>hard to understand some of his words and has to focus on pronunciation</t>
  </si>
  <si>
    <t>There was hesitations in speaking .</t>
  </si>
  <si>
    <t>ĐẶNG TRẦN PHƯƠNG ANH</t>
  </si>
  <si>
    <t>Đặng Thái Tài</t>
  </si>
  <si>
    <t xml:space="preserve">A lot of grammatical errors and sentences structure. </t>
  </si>
  <si>
    <t>lack of vocabulary</t>
  </si>
  <si>
    <t>A lot of mispronounced words</t>
  </si>
  <si>
    <t>He's nervous in speaking that's why there was hesittaions. He has to gain confidence..</t>
  </si>
  <si>
    <t>Nguyễn Thị Lệ Xuân</t>
  </si>
  <si>
    <t>She couldn't undertand the questions and even couldn't compose even just a simple sentence. A lot of grammatical errors.</t>
  </si>
  <si>
    <t>A bit nervous and therecwas hesittations in speaking. She has to gain confidence.</t>
  </si>
  <si>
    <t>Just minor errors in verb tenses but she was able to correct herself.</t>
  </si>
  <si>
    <t>good words but yet advanced vocabulary</t>
  </si>
  <si>
    <t xml:space="preserve">Few mispronounced words </t>
  </si>
  <si>
    <t>She's confident in speaking.</t>
  </si>
  <si>
    <t>Võ Khánh Duyên</t>
  </si>
  <si>
    <t>A bit in sentence structures and verb tenses</t>
  </si>
  <si>
    <t>She speaks without any hesitations.</t>
  </si>
  <si>
    <t>PHAN THỊ KIM HUYỀN</t>
  </si>
  <si>
    <t>Tran Duc Nam</t>
  </si>
  <si>
    <t>Vo Duy Kiet</t>
  </si>
  <si>
    <t>Sentence structures/ verb tenses, some ideas not clear</t>
  </si>
  <si>
    <t>wrong usage of words and couldn't understand some questions</t>
  </si>
  <si>
    <t>some mispronounced words and not clear</t>
  </si>
  <si>
    <t>There was a long pausing and hesitations. A bit nervouse while speaking.</t>
  </si>
  <si>
    <t>Do Vu Gia Long</t>
  </si>
  <si>
    <t>A lot of grammatical errors, sentences structures</t>
  </si>
  <si>
    <t xml:space="preserve">wrong usage of words </t>
  </si>
  <si>
    <t>The words were not clear and hard to understand</t>
  </si>
  <si>
    <t>A bit nervous and with hesitations</t>
  </si>
  <si>
    <t>PHẠM THÙY LAN</t>
  </si>
  <si>
    <t>Doan Quang Tuan</t>
  </si>
  <si>
    <t>limitted words and wrong usage of words</t>
  </si>
  <si>
    <t xml:space="preserve">Answers not clear and with hesittaions </t>
  </si>
  <si>
    <t>Nguyen Qui Em</t>
  </si>
  <si>
    <t>Duong Quang Huy</t>
  </si>
  <si>
    <t>Only few sentence structures</t>
  </si>
  <si>
    <t xml:space="preserve">simple words used </t>
  </si>
  <si>
    <t>easy to understand and few misprounced words</t>
  </si>
  <si>
    <t>He speaks smoothly and continously .</t>
  </si>
  <si>
    <t>Dinh Truong Thanh Tuyen</t>
  </si>
  <si>
    <t>Sentence structures/ verb tenses and not so clear ideas</t>
  </si>
  <si>
    <t>misprounced words and hard to understand</t>
  </si>
  <si>
    <t>A bit nervous and with hesittations</t>
  </si>
  <si>
    <t>Doan Khanh Nguyen</t>
  </si>
  <si>
    <t>some mispronounced words and wrong usage of words</t>
  </si>
  <si>
    <t>with short answersa bit nervous and with hesittations</t>
  </si>
  <si>
    <t>Vu Anh Tu</t>
  </si>
  <si>
    <t>Sentence structures, ideas not clear</t>
  </si>
  <si>
    <t>wrong usage of words</t>
  </si>
  <si>
    <t>words not clear and some mispronounced words</t>
  </si>
  <si>
    <t>He speaks continously without hesitations</t>
  </si>
  <si>
    <t>Do Thanh Tung</t>
  </si>
  <si>
    <t>some misprononced words</t>
  </si>
  <si>
    <t>He got a lot of fillers in speaking and there was hesittaions.</t>
  </si>
  <si>
    <t>Le Cong Duy</t>
  </si>
  <si>
    <t>limitted vocabulary and wrong usage of words</t>
  </si>
  <si>
    <t>A lot of mispronounced words and hard to understand</t>
  </si>
  <si>
    <t>He has to gain confidence in speaking.</t>
  </si>
  <si>
    <t>Le Dac Cuong</t>
  </si>
  <si>
    <t>minor errors in sentence constructions</t>
  </si>
  <si>
    <t xml:space="preserve">easy to understand </t>
  </si>
  <si>
    <t>He's confident in speaking.</t>
  </si>
  <si>
    <t>HUỲNH TRỌNG KHIÊM</t>
  </si>
  <si>
    <t>Vu Anh Thu</t>
  </si>
  <si>
    <t xml:space="preserve">some sentence structures </t>
  </si>
  <si>
    <t>short answers that made it not that smooth in speaking.</t>
  </si>
  <si>
    <t>Nguyen Van Hung</t>
  </si>
  <si>
    <t>He needs to focus in this area..a lot of mispronounced words and not clear</t>
  </si>
  <si>
    <t>Le Viet Duc</t>
  </si>
  <si>
    <t>A lot of grammatical errors, ideas not clear</t>
  </si>
  <si>
    <t>Some misprononced words and hard to understand</t>
  </si>
  <si>
    <t>simple responses but continously in speaking</t>
  </si>
  <si>
    <t>Nguyen Phi Long</t>
  </si>
  <si>
    <t>sentences structures, verb tenses, not clear ideas</t>
  </si>
  <si>
    <t>He's nervous and with hesitations in speaking</t>
  </si>
  <si>
    <t>NGUYỄN VĂN TẤN</t>
  </si>
  <si>
    <t>Hoang Dang Trieu</t>
  </si>
  <si>
    <t>Lack of vocabulary</t>
  </si>
  <si>
    <t>Some mispronounced words and hard to understand</t>
  </si>
  <si>
    <t>Le Tran Xuan Lanh</t>
  </si>
  <si>
    <t>Sentence structures, Verb tenses, some ideas not clear</t>
  </si>
  <si>
    <t>Hard to Understand, Not clear, mispronounced words</t>
  </si>
  <si>
    <t>There was hesitations.</t>
  </si>
  <si>
    <t>Tran Anh Duy</t>
  </si>
  <si>
    <t xml:space="preserve"> A bit in sentence structures, verb tenses</t>
  </si>
  <si>
    <t>He got good words but some in wrong usage</t>
  </si>
  <si>
    <t>He was able to answer the questions smoothly.</t>
  </si>
  <si>
    <t>LẠI MINH HIẾU HIẾU</t>
  </si>
  <si>
    <t>Hoang Ngoc Thang</t>
  </si>
  <si>
    <t>A lot of grammatical errors, he couldn't expressed well and the sentence structures are needed  to be fixed. Most of the ideas were not clear.</t>
  </si>
  <si>
    <t>Due to lack of vocabulary , that's the reason why he couldn't answer well and even couldn't understand the questions give.</t>
  </si>
  <si>
    <t>A lot of mispronounced words that led to unclear ideas.</t>
  </si>
  <si>
    <t>He has to gain confidence and for himand for him to achieve it, he has to focus first on his grammar, vocabulary and pronunciation.</t>
  </si>
  <si>
    <t>THÁI GIA HUY</t>
  </si>
  <si>
    <t>Nguyễn Tất Đạt</t>
  </si>
  <si>
    <t>Good structures but not that advanced ye.</t>
  </si>
  <si>
    <t>Good Vocabulary but not that advanced yet</t>
  </si>
  <si>
    <t>Easy to understand only few mispronoinced words</t>
  </si>
  <si>
    <t>He's confident and spontaneous in speaking.</t>
  </si>
  <si>
    <t>Nguyễn Thiên Ân</t>
  </si>
  <si>
    <t>some in sentence structures</t>
  </si>
  <si>
    <t xml:space="preserve">good words </t>
  </si>
  <si>
    <t>some mispronounced words and hard to understand</t>
  </si>
  <si>
    <t>He's spontaneous in speaking.</t>
  </si>
  <si>
    <t>Huỳnh Bửu Bửu</t>
  </si>
  <si>
    <t>Sentence structures, verb tenses</t>
  </si>
  <si>
    <t>Limitted Vocabualry</t>
  </si>
  <si>
    <t>Mispronounced words and hard to undertand</t>
  </si>
  <si>
    <t xml:space="preserve">A bit nervous and not comfortable in speaking </t>
  </si>
  <si>
    <t>Nguyễn Thi Liên</t>
  </si>
  <si>
    <t>Đỗ Hoàng Minh Huy</t>
  </si>
  <si>
    <t>Vo Thi Xuan Kieu</t>
  </si>
  <si>
    <t>some wrong usage of words</t>
  </si>
  <si>
    <t xml:space="preserve">Some mispronounced words and the tone of her voice </t>
  </si>
  <si>
    <t>Not that comfortable in speaking</t>
  </si>
  <si>
    <t>Phạm Thị Cẩm Nhung</t>
  </si>
  <si>
    <t>some mispronounced words and hard to undertand</t>
  </si>
  <si>
    <t>Bui Minh Nhat</t>
  </si>
  <si>
    <t>Good but not the advanced yet</t>
  </si>
  <si>
    <t>Good vocabulary but not the davanced yet</t>
  </si>
  <si>
    <t>She has agood pronunciation, easy to understand.</t>
  </si>
  <si>
    <t>She's confident and spontaneous in speaking.</t>
  </si>
  <si>
    <t>Le Thi Lan Anh</t>
  </si>
  <si>
    <t>Some sentence structures, verb tenses</t>
  </si>
  <si>
    <t>Some wrong usage of words</t>
  </si>
  <si>
    <t>few ideas hard to understand</t>
  </si>
  <si>
    <t>She's spontaneous in speaking.</t>
  </si>
  <si>
    <t>Nguyen Thi Thuy Trang</t>
  </si>
  <si>
    <t>few in sentence structures, verb tenses</t>
  </si>
  <si>
    <t>Easy to understand , few mispronounced words</t>
  </si>
  <si>
    <t>short answers and not comfortable in speaking</t>
  </si>
  <si>
    <t>Hoang Nhu Quynh</t>
  </si>
  <si>
    <t>good vocabualry but not the advanced yet</t>
  </si>
  <si>
    <t>Nguyen Dat Thinh</t>
  </si>
  <si>
    <t>few wrong usage of words</t>
  </si>
  <si>
    <t>Duong Thi Huong Lan</t>
  </si>
  <si>
    <t>Sentence structures, verb tense, some ideas not clear</t>
  </si>
  <si>
    <t>hard to understand and mispronounced words</t>
  </si>
  <si>
    <t>not comfortable in speaking</t>
  </si>
  <si>
    <t>Tran Thi Anh Nguyet</t>
  </si>
  <si>
    <t>There was a pausing and hesittations.</t>
  </si>
  <si>
    <t>PHẠM PHÚ MINH HƯNG</t>
  </si>
  <si>
    <t>Phan Le Hong Lel</t>
  </si>
  <si>
    <t>some ideas hard to understand, mispronounced words</t>
  </si>
  <si>
    <t>She's not comfortable in speaking.</t>
  </si>
  <si>
    <t>TRẦN PHAN PHÚC ÂN</t>
  </si>
  <si>
    <t>Hoang Xuan Man</t>
  </si>
  <si>
    <t>hard to undertand some of the ideas and words</t>
  </si>
  <si>
    <t>short answers, not comfortable in speaking</t>
  </si>
  <si>
    <t>HUỲNH VĂN THƠ MINH</t>
  </si>
  <si>
    <t>Phan Cong Toai</t>
  </si>
  <si>
    <t>hard to understand some of his ideas</t>
  </si>
  <si>
    <t>He answered right away the questions given.</t>
  </si>
  <si>
    <t>NGUYỄN TRẦN THẾ VŨ</t>
  </si>
  <si>
    <t>Huynh Tuan Khanh</t>
  </si>
  <si>
    <t>Lack of words</t>
  </si>
  <si>
    <t>There was hesittaions in speaking.</t>
  </si>
  <si>
    <t>PHẠM THỊ THU THẢO</t>
  </si>
  <si>
    <t>Dang Quoc Manh</t>
  </si>
  <si>
    <t>Some mispronounced words</t>
  </si>
  <si>
    <t>He speaks continously without hesitations.</t>
  </si>
  <si>
    <t>Vo Hong Duc Duy</t>
  </si>
  <si>
    <t>lack of ideas, not comfortable in speaking</t>
  </si>
  <si>
    <t>Nguyen Dong Ho</t>
  </si>
  <si>
    <t>some words hard to understand</t>
  </si>
  <si>
    <t>NGUYỄN PHÚC HƯNG</t>
  </si>
  <si>
    <t>Bui Ngoc Quoc</t>
  </si>
  <si>
    <t>NGUYỄN PHẠM BẢO DUY</t>
  </si>
  <si>
    <t>Tran Khang</t>
  </si>
  <si>
    <t>Sentence structures</t>
  </si>
  <si>
    <t>hard to find the correct words in English</t>
  </si>
  <si>
    <t>hard to understand some of his ideas and words</t>
  </si>
  <si>
    <t>There was hesitations in spekaing.</t>
  </si>
  <si>
    <t>237167</t>
  </si>
  <si>
    <t>Tran Khanh Quang Bao</t>
  </si>
  <si>
    <t>a bit in structures and verb tenses</t>
  </si>
  <si>
    <t>few wrong word usage</t>
  </si>
  <si>
    <t>easy to understand with a clear voice</t>
  </si>
  <si>
    <t>Nguyen Van Manh Cuong</t>
  </si>
  <si>
    <t>Nguyen Trong Binh Nguyen</t>
  </si>
  <si>
    <t>A lot of grammatical errors/ sentence structures</t>
  </si>
  <si>
    <t>Hard to understand , mispronounced words</t>
  </si>
  <si>
    <t>Luong Tra Vy</t>
  </si>
  <si>
    <t>lack of words and ideas</t>
  </si>
  <si>
    <t>Some ideas easy to understand</t>
  </si>
  <si>
    <t>Lack of ideas , not that comfortable in speaking</t>
  </si>
  <si>
    <t>Vo Thi Huong Giang</t>
  </si>
  <si>
    <t>She got a lot of words but when she answered the questions most it's out of the context.</t>
  </si>
  <si>
    <t xml:space="preserve">Easy to undertand </t>
  </si>
  <si>
    <t>She paused for a long time and her ideas were not clear.</t>
  </si>
  <si>
    <t>Le Thi Lan Huong</t>
  </si>
  <si>
    <t>Lack of ideas and words</t>
  </si>
  <si>
    <t>Dao Sy Thoi</t>
  </si>
  <si>
    <t>Limitted words</t>
  </si>
  <si>
    <t>Easy to undertand and few mispronounced words</t>
  </si>
  <si>
    <t>Ideas were not clear and there was hesitations in speaking</t>
  </si>
  <si>
    <t>Nguyen Thanh Phi</t>
  </si>
  <si>
    <t>Sentence Structures</t>
  </si>
  <si>
    <t>Nguyen Minh Thu</t>
  </si>
  <si>
    <t>Few errors in grammar and sentence structures</t>
  </si>
  <si>
    <t>wide range of simple words</t>
  </si>
  <si>
    <t>Easy to understand</t>
  </si>
  <si>
    <t>NGUYỄN HOÀI NAM</t>
  </si>
  <si>
    <t>Pham Phu Minh Hung</t>
  </si>
  <si>
    <t>Wrong usage of words</t>
  </si>
  <si>
    <t>Hard to understand, words not clear</t>
  </si>
  <si>
    <t>There was hesitations in speaking.</t>
  </si>
  <si>
    <t>Tran Phan Phuc An</t>
  </si>
  <si>
    <t>Speaking smoothly and continously but ideas not clear</t>
  </si>
  <si>
    <t>NGUYỄN THỤY HOÀNG MÂY</t>
  </si>
  <si>
    <t>Le Trung Hau</t>
  </si>
  <si>
    <t>few errors in verb tenses</t>
  </si>
  <si>
    <t>good vocabualry but yet adavanced</t>
  </si>
  <si>
    <t>Easy to understand, with a clear voice</t>
  </si>
  <si>
    <t>He's confident and spontaneously in speaking.</t>
  </si>
  <si>
    <t>CHU THỊ LỆ QUỲNH</t>
  </si>
  <si>
    <t>Nguyen Tran The Vu</t>
  </si>
  <si>
    <t>Couldn't find the correct words in English</t>
  </si>
  <si>
    <t>Nguyen Bao Dat</t>
  </si>
  <si>
    <t>Sentences structures</t>
  </si>
  <si>
    <t>Not clear words, some mispronounced words</t>
  </si>
  <si>
    <t>Nguyen Phuc Hung</t>
  </si>
  <si>
    <t>Some ideas not clear, answered the questions contnously</t>
  </si>
  <si>
    <t>Nguyen Pham Bao Duy</t>
  </si>
  <si>
    <t>Tran Nhu Tram Anh</t>
  </si>
  <si>
    <t>a bit clear to understand</t>
  </si>
  <si>
    <t>has short answers, there was hesitations in speaking</t>
  </si>
  <si>
    <t>Mai Thi Thuy Trang</t>
  </si>
  <si>
    <t>couldn't find the right words to say</t>
  </si>
  <si>
    <t>easy to understand</t>
  </si>
  <si>
    <t>couldn't answer at once, there was a long pause</t>
  </si>
  <si>
    <t>Nguyen Khanh Uyen</t>
  </si>
  <si>
    <t>few errors in grammar</t>
  </si>
  <si>
    <t>Vo Cao Tri</t>
  </si>
  <si>
    <t>limitted voacbualry</t>
  </si>
  <si>
    <t>some words not clear</t>
  </si>
  <si>
    <t>HOÀNG PHÁT ĐẠT</t>
  </si>
  <si>
    <t>Nguyen Van Duc</t>
  </si>
  <si>
    <t>hard to understand his words</t>
  </si>
  <si>
    <t>Hoang Minh Duy</t>
  </si>
  <si>
    <t>has wide variety of words but simple words</t>
  </si>
  <si>
    <t>Mispronounced words</t>
  </si>
  <si>
    <t>Speaking smoothly and contnously</t>
  </si>
  <si>
    <t>Huynh Nhat Duy</t>
  </si>
  <si>
    <t>Sentence structures, grammatical errors</t>
  </si>
  <si>
    <t>lack of words</t>
  </si>
  <si>
    <t>ideas not clear, there was hesitations in speaking</t>
  </si>
  <si>
    <t>Nguyen Cong Doan</t>
  </si>
  <si>
    <t>some words not clear and mispronounced</t>
  </si>
  <si>
    <t>not comfortablein speaking</t>
  </si>
  <si>
    <t>Tang Hoang Yen</t>
  </si>
  <si>
    <t>Bui Huynh Trung Tin</t>
  </si>
  <si>
    <t>Sentence structures. verb tenses</t>
  </si>
  <si>
    <t>Ho Manh Dung</t>
  </si>
  <si>
    <t>CHU VĂN ĐIỆP</t>
  </si>
  <si>
    <t>Le Minh Duy</t>
  </si>
  <si>
    <t>Sentence structures, few grammatical errors</t>
  </si>
  <si>
    <t>not comfortable in spekaing</t>
  </si>
  <si>
    <t>Chu Thi Le Quynh</t>
  </si>
  <si>
    <t>Võ Nguyễn Duy Anh</t>
  </si>
  <si>
    <t>few  sentence structures</t>
  </si>
  <si>
    <t>has wide variety of words but simple</t>
  </si>
  <si>
    <t>Speaking smoothly and continously</t>
  </si>
  <si>
    <t>Hoang Nam Vuong</t>
  </si>
  <si>
    <t>Wrong usage of words, limitted vocabulary</t>
  </si>
  <si>
    <t>hard to understand  his words</t>
  </si>
  <si>
    <t>Tran Thanh Hieu</t>
  </si>
  <si>
    <t>Sentence structure, grammatical errors</t>
  </si>
  <si>
    <t>Nguyen Hoang Giang</t>
  </si>
  <si>
    <t>Grammatical errors, sentence structures</t>
  </si>
  <si>
    <t>Nguyen Tran Le Duyen</t>
  </si>
  <si>
    <t>few in sentence structures</t>
  </si>
  <si>
    <t>has wide range in vocabulary but not advanced</t>
  </si>
  <si>
    <t>Pham Thi Oanh Tho</t>
  </si>
  <si>
    <t>She's comfortable in speaking.</t>
  </si>
  <si>
    <t>Nguyen Quoc Duy</t>
  </si>
  <si>
    <t>some words not clear and wrong usage of words</t>
  </si>
  <si>
    <t>some words mispronounced</t>
  </si>
  <si>
    <t>There was a long pause.</t>
  </si>
  <si>
    <t>Dang Quoc Viet</t>
  </si>
  <si>
    <t>Nguyen Thi Ngoc Lu</t>
  </si>
  <si>
    <t>has short answers, there was hesitaions in speaking</t>
  </si>
  <si>
    <t>Duong Le Xuan Khang</t>
  </si>
  <si>
    <t>has wide range in vocabulary but simple words</t>
  </si>
  <si>
    <t>Nguyen Thao Quynh Nhu</t>
  </si>
  <si>
    <t>Few in sentence structures</t>
  </si>
  <si>
    <t>Huynh Trong Khiem</t>
  </si>
  <si>
    <t>hard to understand</t>
  </si>
  <si>
    <t>Vo Quoc Thien</t>
  </si>
  <si>
    <t>mispronounced words</t>
  </si>
  <si>
    <t>Pham Thi Ngoc Tham</t>
  </si>
  <si>
    <t>Doan Nhat Quang</t>
  </si>
  <si>
    <t>Nguyen Huu Nghi</t>
  </si>
  <si>
    <t>Sentence Structures, grammatical errors</t>
  </si>
  <si>
    <t>limitted vocabualry</t>
  </si>
  <si>
    <t>hard to understand, difficulty with "s"sound</t>
  </si>
  <si>
    <t>Nguyen Hoang Ha Uyen</t>
  </si>
  <si>
    <t>some mispronounced words</t>
  </si>
  <si>
    <t>some words easy to undertand</t>
  </si>
  <si>
    <t>Duong Hoang Long</t>
  </si>
  <si>
    <t>easy to find the words to say</t>
  </si>
  <si>
    <t>speaking smoothly and continously</t>
  </si>
  <si>
    <t>Lai Minh Hieu</t>
  </si>
  <si>
    <t>Sentence Structures, verb tenses</t>
  </si>
  <si>
    <t>hard to find the right words to say</t>
  </si>
  <si>
    <t>Huynh Tân Loc</t>
  </si>
  <si>
    <t>Luong Anh Tuan</t>
  </si>
  <si>
    <t>Thai Gia Huy</t>
  </si>
  <si>
    <t>Lack of vocabualry</t>
  </si>
  <si>
    <t>Tran Thi Yen</t>
  </si>
  <si>
    <t>good vocabualry but simple words</t>
  </si>
  <si>
    <t>Vo Thị Thu Huong</t>
  </si>
  <si>
    <t>Shows confidence but some ideas not clear</t>
  </si>
  <si>
    <t>Pham Ngoc Anh Duyen</t>
  </si>
  <si>
    <t>A bit shy in speaking</t>
  </si>
  <si>
    <t>Doan Quoc Hai</t>
  </si>
  <si>
    <t>couldn't construct even simple sentences, grammatical errors</t>
  </si>
  <si>
    <t>soft voice, not clear answers, a bit shy to speak</t>
  </si>
  <si>
    <t>Pham Thuy Lan</t>
  </si>
  <si>
    <t>has wide range of vocabulary but simple</t>
  </si>
  <si>
    <t>Phan Dinh Minh Nhat</t>
  </si>
  <si>
    <t>Le Anh Tien</t>
  </si>
  <si>
    <t>Structures, verb tenses</t>
  </si>
  <si>
    <t>good vocabulary but simple words</t>
  </si>
  <si>
    <t>Easy to understamd</t>
  </si>
  <si>
    <t>short answers, he's confident in speaking</t>
  </si>
  <si>
    <t>Tran Quoc Viet</t>
  </si>
  <si>
    <t>some words misprononced</t>
  </si>
  <si>
    <t>a bit shy in speaking</t>
  </si>
  <si>
    <t>Vu Nhat Minh Truong</t>
  </si>
  <si>
    <t>spontaneous in speaking</t>
  </si>
  <si>
    <t>Luong Minh Quan</t>
  </si>
  <si>
    <t>soft spoken</t>
  </si>
  <si>
    <t>Ngo Minh Hieu</t>
  </si>
  <si>
    <t>mispronounced words, hard to undertsnad his words</t>
  </si>
  <si>
    <t>Nguyen Minh Duy</t>
  </si>
  <si>
    <t>a bit in structures, verb tenses</t>
  </si>
  <si>
    <t>has good words but simple</t>
  </si>
  <si>
    <t>some ideas not clear and too short but he's sponatneous in speaking</t>
  </si>
  <si>
    <t>Trần Ngọc Phước Hoàng</t>
  </si>
  <si>
    <t>Sentence structures, tenses</t>
  </si>
  <si>
    <t>Not confident in speaking</t>
  </si>
  <si>
    <t>Nguyễn Đức Nhật</t>
  </si>
  <si>
    <t>good vocabulary</t>
  </si>
  <si>
    <t>Confident in speaking</t>
  </si>
  <si>
    <t>Huỳnh Văn Thơ Minh</t>
  </si>
  <si>
    <t>Huỳnh Nguyên Khang</t>
  </si>
  <si>
    <t>has a lot of words</t>
  </si>
  <si>
    <t>A bit confident in speaking</t>
  </si>
  <si>
    <t>Quach Nhat Trung</t>
  </si>
  <si>
    <t>with simple words</t>
  </si>
  <si>
    <t>a bit confident</t>
  </si>
  <si>
    <t>Le Hong Quan</t>
  </si>
  <si>
    <t>confident in speaking</t>
  </si>
  <si>
    <t>Phung Dinh Huy</t>
  </si>
  <si>
    <t>not that confident yet</t>
  </si>
  <si>
    <t>Nguyen Ly Khanh Huy</t>
  </si>
  <si>
    <t>Nguyen Ba Phi Nhat</t>
  </si>
  <si>
    <t>short answers, structuring</t>
  </si>
  <si>
    <t>has good words</t>
  </si>
  <si>
    <t>fast in speaking</t>
  </si>
  <si>
    <t>Truong Trung Thien</t>
  </si>
  <si>
    <t>Ly Khanh Long</t>
  </si>
  <si>
    <t>Le Thanh Son</t>
  </si>
  <si>
    <t>Âu Đức Thịnh</t>
  </si>
  <si>
    <t>Structures</t>
  </si>
  <si>
    <t>Hà Thúc Nhật</t>
  </si>
  <si>
    <t>a bit nervous in speaking</t>
  </si>
  <si>
    <t>Huỳnh Như Ngọc</t>
  </si>
  <si>
    <t>Strctures, grammatical errors</t>
  </si>
  <si>
    <t>Nguyễn Huỳnh Trọng Khang</t>
  </si>
  <si>
    <t>minor structures</t>
  </si>
  <si>
    <t>has good words but not advanced</t>
  </si>
  <si>
    <t>good pronunciation</t>
  </si>
  <si>
    <t>Nguyễn Trần Quang Thuật</t>
  </si>
  <si>
    <t>good structures</t>
  </si>
  <si>
    <t>Jeff(Minh) Nguyễn</t>
  </si>
  <si>
    <t>a bit in sentence structures</t>
  </si>
  <si>
    <t>good vocabulary but simple</t>
  </si>
  <si>
    <t>Orson (Thịnh) Ông</t>
  </si>
  <si>
    <t>Grammar, sentence structure</t>
  </si>
  <si>
    <t>not thta confident in speaking</t>
  </si>
  <si>
    <t>Bill(Lượng) Phạm</t>
  </si>
  <si>
    <t>Some words mispronounced</t>
  </si>
  <si>
    <t>Shy in speaking</t>
  </si>
  <si>
    <t>Lucky(Thái) Nguyễn</t>
  </si>
  <si>
    <t>Very shy in speaking</t>
  </si>
  <si>
    <t>Arthur(Phúc) Thái</t>
  </si>
  <si>
    <t>Hard to find the right words</t>
  </si>
  <si>
    <t>Harry(Anh) Trần</t>
  </si>
  <si>
    <t>Nguyen Thi Ngoc Dung</t>
  </si>
  <si>
    <t>Structures, grammar</t>
  </si>
  <si>
    <t>Limitted Vocablary</t>
  </si>
  <si>
    <t>shy and nervous in spekaing</t>
  </si>
  <si>
    <t>Vu Tu Anh</t>
  </si>
  <si>
    <t>some structures, grammar</t>
  </si>
  <si>
    <t>good vocabulary but not adnaced</t>
  </si>
  <si>
    <t>Tran Thi Thanh Nga</t>
  </si>
  <si>
    <t>good structures, good grammar</t>
  </si>
  <si>
    <t>Good pronunciation, clear words</t>
  </si>
  <si>
    <t>She's confident and  fluent in speaking</t>
  </si>
  <si>
    <t>Tran Thi Thuy Dung</t>
  </si>
  <si>
    <t>Le Thi Thu Hien</t>
  </si>
  <si>
    <t>structuring, grammar</t>
  </si>
  <si>
    <t>not clear words, mispronounced words</t>
  </si>
  <si>
    <t>Lý Thị Diễm My</t>
  </si>
  <si>
    <t>needs improvemnet</t>
  </si>
  <si>
    <t>needs improvement</t>
  </si>
  <si>
    <t>Trang Kỳ Anh</t>
  </si>
  <si>
    <t>A bit in structure</t>
  </si>
  <si>
    <t>Good vocabulary</t>
  </si>
  <si>
    <t>Clear words and few mispronounced</t>
  </si>
  <si>
    <t>A bit confidenr in speaking</t>
  </si>
  <si>
    <t>Phan Thế An</t>
  </si>
  <si>
    <t>Misprononced words</t>
  </si>
  <si>
    <t>short answers</t>
  </si>
  <si>
    <t>Phạm Huỳnh Như Ngọc</t>
  </si>
  <si>
    <t>good words</t>
  </si>
  <si>
    <t>clear words, easy to understand</t>
  </si>
  <si>
    <t>Phan Thu Thảo</t>
  </si>
  <si>
    <t>Trần Vĩnh Phúc</t>
  </si>
  <si>
    <t>good words but not yet advanced</t>
  </si>
  <si>
    <t>Trần Nhựt Tân</t>
  </si>
  <si>
    <t>minimal wrong usage of words</t>
  </si>
  <si>
    <t>easy to understand, clear words</t>
  </si>
  <si>
    <t>Trần Quang Tống</t>
  </si>
  <si>
    <t>good grammar</t>
  </si>
  <si>
    <t>Trần Kim Hằng</t>
  </si>
  <si>
    <t>Le Thi Diem Quyen</t>
  </si>
  <si>
    <t>Grammatically good</t>
  </si>
  <si>
    <t>with good pronunciation and diction</t>
  </si>
  <si>
    <t>Võ Phú Phát</t>
  </si>
  <si>
    <t>structuring</t>
  </si>
  <si>
    <t>Đoàn Trần Bá Đạt</t>
  </si>
  <si>
    <t>limitted vocab</t>
  </si>
  <si>
    <t>Nguyễn Văn Hoàng</t>
  </si>
  <si>
    <t>Structuring</t>
  </si>
  <si>
    <t>words okay</t>
  </si>
  <si>
    <t>not clear words, mispronounced</t>
  </si>
  <si>
    <t>Trần Đức Lợi</t>
  </si>
  <si>
    <t>limitted words</t>
  </si>
  <si>
    <t>Trương Đăng Quang</t>
  </si>
  <si>
    <t>a bit okay confident in speaking</t>
  </si>
  <si>
    <t>Văn Tân Lợi</t>
  </si>
  <si>
    <t>Đỗ Châu Bửu</t>
  </si>
  <si>
    <t>Just few errors in structuring</t>
  </si>
  <si>
    <t>good words but not advanced</t>
  </si>
  <si>
    <t>easy tunderstand, few mispron.</t>
  </si>
  <si>
    <t>Nguyễn Ngọc Nguyệt Ngân</t>
  </si>
  <si>
    <t>still not comfortable in speaking</t>
  </si>
  <si>
    <t>Ngô Thụy Thanh Như</t>
  </si>
  <si>
    <t>structuring, vern tenses</t>
  </si>
  <si>
    <t>not easy to understand</t>
  </si>
  <si>
    <t>nervous in speaking</t>
  </si>
  <si>
    <t>Ngô Trọng Nghĩa</t>
  </si>
  <si>
    <t>Pham Hữu Cường</t>
  </si>
  <si>
    <t>too short answers, not clear ideas</t>
  </si>
  <si>
    <t>Phạm Lê Hoài Phương</t>
  </si>
  <si>
    <t>Mispronounced</t>
  </si>
  <si>
    <t>Nguyễn Thị Hiền Ni</t>
  </si>
  <si>
    <t>mispronounced</t>
  </si>
  <si>
    <t>not clear ideas, nervous in speaking</t>
  </si>
  <si>
    <t>Nguyen Vu Ngoc Phuoc</t>
  </si>
  <si>
    <t>Tran Thi Lan Anh</t>
  </si>
  <si>
    <t>a bit instructuring</t>
  </si>
  <si>
    <t>has the words but not advanced</t>
  </si>
  <si>
    <t>Pham Ngoc Sung</t>
  </si>
  <si>
    <t>has the words, some wrong usage</t>
  </si>
  <si>
    <t>he's spontaneous in speaking</t>
  </si>
  <si>
    <t>Trần Anh Hào</t>
  </si>
  <si>
    <t>not placement</t>
  </si>
  <si>
    <t>Nguyễn Lê Khoa</t>
  </si>
  <si>
    <t>Join after entrance test</t>
  </si>
  <si>
    <t>Nguyen Phan The Vinh</t>
  </si>
  <si>
    <t>Structuring, grammar</t>
  </si>
  <si>
    <t>too nervous in speaking</t>
  </si>
  <si>
    <t>Nguyen Trang Quynh Nhu</t>
  </si>
  <si>
    <t>a bit okay in words</t>
  </si>
  <si>
    <t>Nguyen Truc Duyen</t>
  </si>
  <si>
    <t>lack of vocab</t>
  </si>
  <si>
    <t>Chu Khanh Linh</t>
  </si>
  <si>
    <t>very shy in speaking</t>
  </si>
  <si>
    <t>Lac Minh Hoang</t>
  </si>
  <si>
    <t>clear and easy to understand</t>
  </si>
  <si>
    <t>pause for along time in aswering</t>
  </si>
  <si>
    <t>Lam Van Tien</t>
  </si>
  <si>
    <t>Le Van Dong Tam</t>
  </si>
  <si>
    <t>soft voice, hard to understand</t>
  </si>
  <si>
    <t>shy to speak</t>
  </si>
  <si>
    <t>Phan Quoc Binh</t>
  </si>
  <si>
    <t>has the words</t>
  </si>
  <si>
    <t>too fast in speaking</t>
  </si>
  <si>
    <t>uses simple words</t>
  </si>
  <si>
    <t>a bit shy but spontaneous in speaking</t>
  </si>
  <si>
    <t>gives simple responses</t>
  </si>
  <si>
    <t>NGUYỄN QUANG THẮNG</t>
  </si>
  <si>
    <t>short responses with unclear ideas</t>
  </si>
  <si>
    <t>little communication</t>
  </si>
  <si>
    <t>some ideas too short and not clear</t>
  </si>
  <si>
    <t>lack vocabulary</t>
  </si>
  <si>
    <t>hard to undertsand what he's saying</t>
  </si>
  <si>
    <t>needs to improve</t>
  </si>
  <si>
    <t>has good vocabulary</t>
  </si>
  <si>
    <t>not that comfortable yet in speaking</t>
  </si>
  <si>
    <t>needs more effort</t>
  </si>
  <si>
    <t>needs improvement in structuring</t>
  </si>
  <si>
    <t>has good vocabualry</t>
  </si>
  <si>
    <t>he's a bit nervous in speaking</t>
  </si>
  <si>
    <t>bad in structuring</t>
  </si>
  <si>
    <t>needs to improve, soft voice</t>
  </si>
  <si>
    <t>it's robotic speaking, needs improvement</t>
  </si>
  <si>
    <t>has good grammatical range</t>
  </si>
  <si>
    <t>wrong usage off some words</t>
  </si>
  <si>
    <t>not that comfortable in speaking</t>
  </si>
  <si>
    <t>needs inprovement</t>
  </si>
  <si>
    <t>Spontaneous  and confident in speaking</t>
  </si>
  <si>
    <t>only just minor errors in tenses</t>
  </si>
  <si>
    <t>with clear words and good pronunciation</t>
  </si>
  <si>
    <t>PHẠM TÀI HẬU</t>
  </si>
  <si>
    <t>no responses given</t>
  </si>
  <si>
    <t>short responses</t>
  </si>
  <si>
    <t>short responses, shy to speak</t>
  </si>
  <si>
    <t>no responses</t>
  </si>
  <si>
    <t>develops topic fluently</t>
  </si>
  <si>
    <t>LÊ THANH ÂN</t>
  </si>
  <si>
    <t>some words easy to understand</t>
  </si>
  <si>
    <t>PHẠM THÁI BÌNH</t>
  </si>
  <si>
    <t>LÊ TRIỆU HUẤN</t>
  </si>
  <si>
    <t>short and vague responses</t>
  </si>
  <si>
    <t>vague responses</t>
  </si>
  <si>
    <t>no ressponses</t>
  </si>
  <si>
    <t>no words to say</t>
  </si>
  <si>
    <t>easy to understand tand clear voice</t>
  </si>
  <si>
    <t>shy and nervous</t>
  </si>
  <si>
    <t>there was hesitations and pausing</t>
  </si>
  <si>
    <t>needs  more focus</t>
  </si>
  <si>
    <t>there was hesittaions and a bit nervous</t>
  </si>
  <si>
    <t>a bit nervous  and  shy to speak</t>
  </si>
  <si>
    <t>needs imorovement</t>
  </si>
  <si>
    <t>needs improvememt</t>
  </si>
  <si>
    <t>nervous and  hard to fnd the words to say</t>
  </si>
  <si>
    <t>a bit nervous</t>
  </si>
  <si>
    <t>needs to make the ideas longer</t>
  </si>
  <si>
    <t>good grammatical structure</t>
  </si>
  <si>
    <t>has good pronunciation and diction</t>
  </si>
  <si>
    <t>spontaneous in speaking but a bit nervous</t>
  </si>
  <si>
    <t>some ideas not clear</t>
  </si>
  <si>
    <t>TÔ THỊ KIỀU DIỄM</t>
  </si>
  <si>
    <t>He coulldn't answer  at once.</t>
  </si>
  <si>
    <t>makes mistakes in structuring</t>
  </si>
  <si>
    <t>has vocabulary but simple</t>
  </si>
  <si>
    <t>She speaks spontaneously</t>
  </si>
  <si>
    <t>TRẦN QUỐC HIỆP</t>
  </si>
  <si>
    <t>produces short sentences</t>
  </si>
  <si>
    <t>mispronounced words are frequent</t>
  </si>
  <si>
    <t>gives only simple reponses</t>
  </si>
  <si>
    <t>NGUYỄN HỮU PHƯỚC</t>
  </si>
  <si>
    <t>cannot produce good sentences</t>
  </si>
  <si>
    <t>TRẦN TUẤN KIỆT</t>
  </si>
  <si>
    <t>produces  short sentences</t>
  </si>
  <si>
    <t>cannot respond at once with the questions</t>
  </si>
  <si>
    <t>LÊ MINH TRƯỜNG</t>
  </si>
  <si>
    <t>Minor Improvement</t>
  </si>
  <si>
    <t>Lv1→Lv2</t>
  </si>
  <si>
    <t>Lv2→Lv3</t>
  </si>
  <si>
    <t>Lv3→Lv4</t>
  </si>
  <si>
    <t>Lv1→Lv3</t>
  </si>
  <si>
    <t>% of Total</t>
  </si>
  <si>
    <t>Validation</t>
  </si>
  <si>
    <t>Total Emp</t>
  </si>
  <si>
    <t>EMP Code</t>
  </si>
  <si>
    <t>Mail</t>
  </si>
  <si>
    <t>English name</t>
  </si>
  <si>
    <t>anh.vu@cyberlogitec.com</t>
  </si>
  <si>
    <t>buu.do@cyberlogitec.com</t>
  </si>
  <si>
    <t>dung.ntn@cyberlogitec.com</t>
  </si>
  <si>
    <t>nga.tran@cyberlogitec.com</t>
  </si>
  <si>
    <t>cuong.nguyen@cyberlogitec.com</t>
  </si>
  <si>
    <t>dung.ttt@cyberlogitec.com</t>
  </si>
  <si>
    <t>hien.le@cyberlogitec.com</t>
  </si>
  <si>
    <t>my.ly@cyberlogitec.com</t>
  </si>
  <si>
    <t>nhat.nd@cyberlogitec.com</t>
  </si>
  <si>
    <t>em.nguyen@cyberlogitec.com</t>
  </si>
  <si>
    <t>kiet.vo@cyberlogitec.com</t>
  </si>
  <si>
    <t>long.do@cyberlogitec.com</t>
  </si>
  <si>
    <t>tuyen.dinh@cyberlogitec.com</t>
  </si>
  <si>
    <t>nguyen.doan@cyberlogitec.com</t>
  </si>
  <si>
    <t>dung.hoang@cyberlogitec.com</t>
  </si>
  <si>
    <t>lanh.le@cyberlogitec.com</t>
  </si>
  <si>
    <t>toan.npt@cyberlogitec.com</t>
  </si>
  <si>
    <t>minh.doan@cyberlogitec.com</t>
  </si>
  <si>
    <t>phuoc.nt@cyberlogitec.com</t>
  </si>
  <si>
    <t>phuc.nguyenhoang@cyberlogitec.com</t>
  </si>
  <si>
    <t>trung.nguyenquang@cyberlogitec.com</t>
  </si>
  <si>
    <t>nhat.phandinhminh@cyberlogitec.com</t>
  </si>
  <si>
    <t>quan.nm@cyberlogitec.com</t>
  </si>
  <si>
    <t>duc.nguyen@cyberlogitec.com</t>
  </si>
  <si>
    <t>duy.tn@cyberlogitec.com</t>
  </si>
  <si>
    <t>tan.trannhut@cyberlogitec.com</t>
  </si>
  <si>
    <t>anh.td@cyberlogitec.com</t>
  </si>
  <si>
    <t>thien.truong@cyberlogitec.com</t>
  </si>
  <si>
    <t>loc.dang@cyberlogitec.com</t>
  </si>
  <si>
    <t>nhat.pham@cyberlogitec.com</t>
  </si>
  <si>
    <t>anh.nd@cyberlogitec.com</t>
  </si>
  <si>
    <t>anh.to@cyberlogitec.com</t>
  </si>
  <si>
    <t>dai.vo@cyberlogitec.com</t>
  </si>
  <si>
    <t>my.tran@cyberlogitec.com</t>
  </si>
  <si>
    <t>nhat.le@cyberlogitec.com</t>
  </si>
  <si>
    <t>vinh.npt@cyberlogitec.com</t>
  </si>
  <si>
    <t>thao.phan@cyberlogitec.com</t>
  </si>
  <si>
    <t>phuc.tv@cyberlogitec.com</t>
  </si>
  <si>
    <t>hang.tran@cyberlogitec.com</t>
  </si>
  <si>
    <t>tai.nv@cyberlogitec.com</t>
  </si>
  <si>
    <t>tong.tran@cyberlogitec.com</t>
  </si>
  <si>
    <t>tai.pham@cyberlogitec.com</t>
  </si>
  <si>
    <t>quyen.le@cyberlogitec.com</t>
  </si>
  <si>
    <t>anh.ha@cyberlogitec.com</t>
  </si>
  <si>
    <t>thinh.nguyendat@cyberlogitec.com</t>
  </si>
  <si>
    <t>thuong.tth@cyberlogitec.com</t>
  </si>
  <si>
    <t>van.nguyen@cyberlogitec.com</t>
  </si>
  <si>
    <t>quynh.tran@cyberlogitec.com</t>
  </si>
  <si>
    <t>EL036</t>
  </si>
  <si>
    <t>Ky Phuc</t>
  </si>
  <si>
    <t>thong.ho@cyberlogitec.com</t>
  </si>
  <si>
    <t>hong.vo@cyberlogitec.com</t>
  </si>
  <si>
    <t>my.nh@cyberlogitec.com</t>
  </si>
  <si>
    <t>thai.to@cyberlogitec.com</t>
  </si>
  <si>
    <t>nhat.tu@cyberlogitec.com</t>
  </si>
  <si>
    <t>huy.tannguyen@cyberlogitec.com</t>
  </si>
  <si>
    <t>thanh.phung@cyberlogitec.com</t>
  </si>
  <si>
    <t>Ken</t>
  </si>
  <si>
    <t>vinh.td@cyberlogitec.com</t>
  </si>
  <si>
    <t>Chris</t>
  </si>
  <si>
    <t>phuoc.ta@cyberlogitec.com</t>
  </si>
  <si>
    <t>Noah</t>
  </si>
  <si>
    <t>thai.nguyenquoc@cyberlogitec.com</t>
  </si>
  <si>
    <t>Stan</t>
  </si>
  <si>
    <t>trang.ngo@cyberlogitec.com</t>
  </si>
  <si>
    <t>Joyce</t>
  </si>
  <si>
    <t>phung.ny@cyberlogitec.com</t>
  </si>
  <si>
    <t>Tiffany</t>
  </si>
  <si>
    <t>nam.nguyen@cyberlogitec.com</t>
  </si>
  <si>
    <t>Nolan</t>
  </si>
  <si>
    <t>huan.le@cyberlogitec.com</t>
  </si>
  <si>
    <t>trang.nguyen@cyberlogitec.com</t>
  </si>
  <si>
    <t>Tyra</t>
  </si>
  <si>
    <t>linh.le@cyberlogitec.com</t>
  </si>
  <si>
    <t>phuoc.le@cyberlogitec.com</t>
  </si>
  <si>
    <t>ky.luong@cyberlogitec.com</t>
  </si>
  <si>
    <t>nhan.ph@cyberlogitec.com</t>
  </si>
  <si>
    <t>thien.vo@cyberlogitec.com</t>
  </si>
  <si>
    <t>ngoc.nb@cyberlogitec.com</t>
  </si>
  <si>
    <t>lien.vu@cyberlogitec.com</t>
  </si>
  <si>
    <t>hieu.lnt@cyberlogitec.com</t>
  </si>
  <si>
    <t>dat.dinh@cyberlogitec.com</t>
  </si>
  <si>
    <t>tri.bach@cuberlogitec.com</t>
  </si>
  <si>
    <t>son.pham@cyberlogitec.com</t>
  </si>
  <si>
    <t>hoang.ph@cyberlogitec.com</t>
  </si>
  <si>
    <t>triet.tran@cyberlogitec.com</t>
  </si>
  <si>
    <t>chien.tran@cyberlogitec.com</t>
  </si>
  <si>
    <t>nguyen.le@cyberlogitec.com</t>
  </si>
  <si>
    <t>ha.tran@cyberlogitec.com</t>
  </si>
  <si>
    <t>phat.huynh@cyberlogitec.com</t>
  </si>
  <si>
    <t>tuan.pham@cyberlogitec.com</t>
  </si>
  <si>
    <t>trung.quach@cyberlogitec.com</t>
  </si>
  <si>
    <t>nhat.nbp@cyberlogitec.com</t>
  </si>
  <si>
    <t>quan.le@cyberlogitec.com</t>
  </si>
  <si>
    <t>long.lk@cyberlogitec.com</t>
  </si>
  <si>
    <t>huy.phung@cyberlogitec.com</t>
  </si>
  <si>
    <t>son.lt@cyberlogitec.com</t>
  </si>
  <si>
    <t>huy.nlk@cyberlogitec.com</t>
  </si>
  <si>
    <t>long.huynh@cyberlogitec.com</t>
  </si>
  <si>
    <t>dao.tran@cyberlogitec.com</t>
  </si>
  <si>
    <t>khoa.tx@cyberlogitec.com</t>
  </si>
  <si>
    <t>son.le1@cyberlogitec.com</t>
  </si>
  <si>
    <t>dien.tran@cyberlogitec.com</t>
  </si>
  <si>
    <t>phat.nguyen@cyberlogitec.com</t>
  </si>
  <si>
    <t>oanh.nth@cyberlogitec.com</t>
  </si>
  <si>
    <t>yen.huynh@cyberlogitec.com</t>
  </si>
  <si>
    <t>my.nth@cyberlogitec.com</t>
  </si>
  <si>
    <t>nhi.lam@cyberlogitec.com</t>
  </si>
  <si>
    <t>trung.tm@cyberlogitec.com</t>
  </si>
  <si>
    <t>an.ton@cyberlogitec.com</t>
  </si>
  <si>
    <t>hung.vannguyen@cyberlogitec.com</t>
  </si>
  <si>
    <t>toai.phan@cyberlogitec.com</t>
  </si>
  <si>
    <t>man.hoang@cyberlogitec.com</t>
  </si>
  <si>
    <t>khang.tran@cyberlogitec.com</t>
  </si>
  <si>
    <t>quoc.bui@cyberlogitec.com</t>
  </si>
  <si>
    <t>khanh.huynh@cyberlogitec.com</t>
  </si>
  <si>
    <t>ho.nguyen@cyberlogitec.com</t>
  </si>
  <si>
    <t>manh.dang@cyberlogitec.com</t>
  </si>
  <si>
    <t>duc.nguyenanh@cyberlogitec.com</t>
  </si>
  <si>
    <t>thu.nm@cyberlogitec.com</t>
  </si>
  <si>
    <t>thuy.pham@cyberlogitec.com</t>
  </si>
  <si>
    <t>huong.le@cyberlogitec.com</t>
  </si>
  <si>
    <t>giang.nt@cyberlogitec.com</t>
  </si>
  <si>
    <t>dao.nguyenthihong@cyberlogitec.com</t>
  </si>
  <si>
    <t>vy.luong@cyberlogitec.com</t>
  </si>
  <si>
    <t>phi.nguyen@cyberlogitec.com</t>
  </si>
  <si>
    <t>hoang.lac@cyberlogitec.com</t>
  </si>
  <si>
    <t>binh.pq@cyberlogitec.com</t>
  </si>
  <si>
    <t>tien.lam@cyberlogitec.com</t>
  </si>
  <si>
    <t>linh.chu@cyberlogitec.com</t>
  </si>
  <si>
    <t>nhu.nguyentq@cyberlogitec.com</t>
  </si>
  <si>
    <t>duyen.nguyentruc@cyberlogitec.com</t>
  </si>
  <si>
    <t>trung.nq@cyberlogitec.com</t>
  </si>
  <si>
    <t>thoi.dao@cyberlogitec.com</t>
  </si>
  <si>
    <t>giang.nguyenhoang@cyberlogitec.com</t>
  </si>
  <si>
    <t>hieu.ngo@cyberlogitec.com</t>
  </si>
  <si>
    <t>truong.vu@cyberlogitec.com</t>
  </si>
  <si>
    <t>viet.tran@cyberlogitec.com</t>
  </si>
  <si>
    <t>hieu.tran@cyberlogitec.com</t>
  </si>
  <si>
    <t>vuong.hoang@cyberlogitec.com</t>
  </si>
  <si>
    <t>my.tdh@cyberlogitec.com</t>
  </si>
  <si>
    <t>thang.hoang@cyberlogitec.com</t>
  </si>
  <si>
    <t>truong.huynh@cyberlogitec.com</t>
  </si>
  <si>
    <t>tuan.nq@cyberlogitec.com</t>
  </si>
  <si>
    <t>duy.tran@cyberlogitec.com</t>
  </si>
  <si>
    <t>hiep.tq@cyberlogitec.com</t>
  </si>
  <si>
    <t>phuoc.nguyen@cyberlogitec.com</t>
  </si>
  <si>
    <t>kiet.tt@cyberlogitec.com</t>
  </si>
  <si>
    <t>an.phan@cyberlogitec.com</t>
  </si>
  <si>
    <t>hoang.tnp@cyberlogitec.com</t>
  </si>
  <si>
    <t>khang.hn@cyberlogitec.com</t>
  </si>
  <si>
    <t>loc.huynh@cyberlogitec.com</t>
  </si>
  <si>
    <t>tuan.luong@cyberlogitec.com</t>
  </si>
  <si>
    <t>duc.nv@cyberlogitec.com</t>
  </si>
  <si>
    <t>trang.mai@cyberlogitec.com</t>
  </si>
  <si>
    <t>uyen.nk@cyberlogitec.com</t>
  </si>
  <si>
    <t>duy.hm@cyberlogitec.com</t>
  </si>
  <si>
    <t>duy.huynh@cyberlogitec.com</t>
  </si>
  <si>
    <t>doan.nc@cyberlogitec.com</t>
  </si>
  <si>
    <t>yen.tang@cyberlogitec.com</t>
  </si>
  <si>
    <t>tin.bht@cyberlogitec.com</t>
  </si>
  <si>
    <t>tran.nguyen@cyberlogitec.com</t>
  </si>
  <si>
    <t>dung.ho@cyberlogitec.com</t>
  </si>
  <si>
    <t>duy.lm@cyberlogitec.com</t>
  </si>
  <si>
    <t>anh.vo@cyberlogitec.com</t>
  </si>
  <si>
    <t>thien.lp@cyberlogitec.com</t>
  </si>
  <si>
    <t>khanh.gd@cyberlogitec.com</t>
  </si>
  <si>
    <t>tan.nt@cyberlogitec.com</t>
  </si>
  <si>
    <t>nhi.nnp@cyberlogitec.com</t>
  </si>
  <si>
    <t>phat.vo.cyberlogitec@gmail.com</t>
  </si>
  <si>
    <t>dat.doan@cyberlogitec.com</t>
  </si>
  <si>
    <t>hoang.nguyenvan@cyberlogitec.com</t>
  </si>
  <si>
    <t>loi.tran@cyberlogitec.com</t>
  </si>
  <si>
    <t>quang.truong@cyberlogitec.com</t>
  </si>
  <si>
    <t>loi.van@cyberlogitec.com</t>
  </si>
  <si>
    <t>nghia.ngo@cyberlogitec.com</t>
  </si>
  <si>
    <t>thu.vu@cyberlogitec.com</t>
  </si>
  <si>
    <t>duy.lc@cyberlogitec.com</t>
  </si>
  <si>
    <t>tung.dt@cyberlogitec.com</t>
  </si>
  <si>
    <t>trieu.hoang@cyberlogitec.com</t>
  </si>
  <si>
    <t>duy.nq@cyberlogitec.com</t>
  </si>
  <si>
    <t>khang.duong@cyberlogitec.com</t>
  </si>
  <si>
    <t>hai.doan@cyberlogitec.com</t>
  </si>
  <si>
    <t>Hoàn thành</t>
  </si>
  <si>
    <t>Tiếp tục khóa sau</t>
  </si>
  <si>
    <t>Chờ lớp</t>
  </si>
  <si>
    <t>Nghỉ giữa</t>
  </si>
  <si>
    <t>Dang hoc (Active)</t>
  </si>
  <si>
    <t>Wait Class</t>
  </si>
  <si>
    <t>Đang học</t>
  </si>
  <si>
    <t>Chờ lớp mới (đã xong khóa này)</t>
  </si>
  <si>
    <t>Nghỉ giữa chừng</t>
  </si>
  <si>
    <t>Hoàn thành rồi nghỉ luôn</t>
  </si>
  <si>
    <t>Level Name</t>
  </si>
  <si>
    <t>Numeric Value</t>
  </si>
  <si>
    <t>lv1</t>
  </si>
  <si>
    <t>&lt;=2</t>
  </si>
  <si>
    <t>lv2</t>
  </si>
  <si>
    <t>&lt;=4</t>
  </si>
  <si>
    <t>lv3</t>
  </si>
  <si>
    <t>&lt;=5.5</t>
  </si>
  <si>
    <t>lv4</t>
  </si>
  <si>
    <t>&gt;5.5</t>
  </si>
  <si>
    <t>Expected Sessions</t>
  </si>
  <si>
    <t>Giới thiệu lại bản thân, team L&amp;D</t>
  </si>
  <si>
    <t>Giải thích các milestones trong c.trình</t>
  </si>
  <si>
    <t>Total có bao nhiêu sheet, ý nghĩa chính của sheet</t>
  </si>
  <si>
    <t>Sheet Schedule: giải thích ký hiệu (từ trên xuống hoặc theo độ quan trọng)</t>
  </si>
  <si>
    <t>Deal lương</t>
  </si>
  <si>
    <t>Group chat</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</si>
</sst>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yyyy&quot;-&quot;mm&quot;-&quot;dd&quot; &quot;hh&quot;:&quot;mm"/>
    <numFmt numFmtId="165" formatCode="0.0%"/>
    <numFmt numFmtId="166" formatCode="#,##0;(#,##0);-"/>
    <numFmt numFmtId="167" formatCode="yyyy-mm-dd hh:mm"/>
    <numFmt numFmtId="168" formatCode="\+0.00;\-0.00;0.00"/>
    <numFmt numFmtId="169" formatCode="M/d/yyyy"/>
    <numFmt numFmtId="170" formatCode="d mmm h:mm"/>
    <numFmt numFmtId="171" formatCode="dd/mm/yyyy hh:mm:ss"/>
    <numFmt numFmtId="172" formatCode="dd&quot;/&quot;mm&quot;/&quot;yyyy"/>
    <numFmt numFmtId="173" formatCode="d mmm"/>
  </numFmts>
  <fonts count="69">
    <font>
      <sz val="11.0"/>
      <color theme="1"/>
      <name val="Calibri"/>
      <scheme val="minor"/>
    </font>
    <font>
      <b/>
      <sz val="18.0"/>
      <color rgb="FFFFFFFF"/>
      <name val="Arial"/>
    </font>
    <font>
      <i/>
      <color rgb="FF666666"/>
      <name val="Arial"/>
    </font>
    <font>
      <sz val="11.0"/>
      <color theme="1"/>
      <name val="Calibri"/>
    </font>
    <font>
      <b/>
      <sz val="12.0"/>
      <color rgb="FFFFFFFF"/>
      <name val="Arial"/>
    </font>
    <font>
      <color rgb="FF666666"/>
      <name val="Arial"/>
    </font>
    <font>
      <b/>
      <sz val="20.0"/>
      <color rgb="FF1D9E75"/>
      <name val="Arial"/>
    </font>
    <font>
      <b/>
      <sz val="20.0"/>
      <color rgb="FF1F4E79"/>
      <name val="Arial"/>
    </font>
    <font>
      <b/>
      <sz val="20.0"/>
      <color rgb="FFBA7517"/>
      <name val="Arial"/>
    </font>
    <font>
      <b/>
      <sz val="20.0"/>
      <color rgb="FFC00000"/>
      <name val="Arial"/>
    </font>
    <font>
      <color theme="1"/>
      <name val="Calibri"/>
      <scheme val="minor"/>
    </font>
    <font>
      <b/>
      <sz val="11.0"/>
      <color rgb="FFFFFFFF"/>
      <name val="Arial"/>
    </font>
    <font/>
    <font>
      <color theme="1"/>
      <name val="Arial"/>
    </font>
    <font>
      <b/>
      <color rgb="FF2E75B6"/>
      <name val="Arial"/>
    </font>
    <font>
      <b/>
      <color theme="1"/>
      <name val="Arial"/>
    </font>
    <font>
      <b/>
      <color rgb="FF7030A0"/>
      <name val="Arial"/>
    </font>
    <font>
      <b/>
      <sz val="11.0"/>
      <color rgb="FF1F4E79"/>
      <name val="Arial"/>
    </font>
    <font>
      <i/>
      <sz val="9.0"/>
      <color rgb="FF808080"/>
      <name val="Arial"/>
    </font>
    <font>
      <i/>
      <sz val="9.0"/>
      <color rgb="FF666666"/>
      <name val="Arial"/>
    </font>
    <font>
      <b/>
      <color rgb="FF1F4E79"/>
      <name val="Arial"/>
    </font>
    <font>
      <b/>
      <color rgb="FFFFFFFF"/>
      <name val="Calibri"/>
      <scheme val="minor"/>
    </font>
    <font>
      <b/>
      <color theme="1"/>
      <name val="Calibri"/>
      <scheme val="minor"/>
    </font>
    <font>
      <sz val="10.0"/>
      <color theme="1"/>
      <name val="Arial"/>
    </font>
    <font>
      <sz val="10.0"/>
      <color rgb="FFFF0000"/>
      <name val="Var(--font-mono)"/>
    </font>
    <font>
      <color theme="1"/>
      <name val="Calibri"/>
    </font>
    <font>
      <sz val="10.0"/>
      <color rgb="FF000000"/>
      <name val="Arial"/>
    </font>
    <font>
      <i/>
      <sz val="9.0"/>
      <color rgb="FF999999"/>
      <name val="Arial"/>
    </font>
    <font>
      <sz val="10.0"/>
      <color rgb="FFFF0000"/>
      <name val="Calibri"/>
    </font>
    <font>
      <sz val="11.0"/>
      <color rgb="FFFFFFFF"/>
      <name val="Arial"/>
    </font>
    <font>
      <b/>
      <color rgb="FF0000FF"/>
      <name val="Calibri"/>
      <scheme val="minor"/>
    </font>
    <font>
      <b/>
      <u/>
      <sz val="9.0"/>
      <color rgb="FF0000FF"/>
      <name val="Arial"/>
    </font>
    <font>
      <color rgb="FF000000"/>
      <name val="Calibri"/>
      <scheme val="minor"/>
    </font>
    <font>
      <u/>
      <sz val="9.0"/>
      <color rgb="FF0000FF"/>
      <name val="Arial"/>
    </font>
    <font>
      <b/>
      <sz val="12.0"/>
      <color rgb="FF0000FF"/>
      <name val="Calibri"/>
      <scheme val="minor"/>
    </font>
    <font>
      <sz val="9.0"/>
      <color rgb="FF999999"/>
      <name val="Arial"/>
    </font>
    <font>
      <b/>
      <u/>
      <sz val="10.0"/>
      <color rgb="FF0000FF"/>
      <name val="Calibri"/>
    </font>
    <font>
      <u/>
      <sz val="10.0"/>
      <color rgb="FF0000FF"/>
      <name val="Calibri"/>
    </font>
    <font>
      <u/>
      <sz val="9.0"/>
      <color rgb="FF0000FF"/>
      <name val="Arial"/>
    </font>
    <font>
      <sz val="9.0"/>
      <color rgb="FF000000"/>
      <name val="Arial"/>
    </font>
    <font>
      <color rgb="FF0000FF"/>
      <name val="Calibri"/>
      <scheme val="minor"/>
    </font>
    <font>
      <b/>
      <sz val="9.0"/>
      <color rgb="FF0000FF"/>
      <name val="Arial"/>
    </font>
    <font>
      <b/>
      <color rgb="FF0000FF"/>
      <name val="Calibri"/>
    </font>
    <font>
      <b/>
      <sz val="11.0"/>
      <color theme="1"/>
      <name val="Calibri"/>
    </font>
    <font>
      <b/>
      <color theme="1"/>
      <name val="Calibri"/>
    </font>
    <font>
      <color rgb="FF0000FF"/>
      <name val="Calibri"/>
    </font>
    <font>
      <color rgb="FFCC0000"/>
      <name val="Calibri"/>
    </font>
    <font>
      <b/>
      <color rgb="FFFFFFFF"/>
      <name val="Arial"/>
    </font>
    <font>
      <b/>
      <sz val="9.0"/>
      <color theme="1"/>
      <name val="Arial"/>
    </font>
    <font>
      <b/>
      <color rgb="FFDE1873"/>
      <name val="Calibri"/>
    </font>
    <font>
      <color rgb="FFDE1873"/>
      <name val="Calibri"/>
    </font>
    <font>
      <sz val="9.0"/>
      <color theme="1"/>
      <name val="Arial"/>
    </font>
    <font>
      <b/>
      <sz val="10.0"/>
      <color rgb="FFFFFFFF"/>
      <name val="Arial"/>
    </font>
    <font>
      <sz val="11.0"/>
      <color rgb="FFFFFFFF"/>
      <name val="Calibri"/>
    </font>
    <font>
      <b/>
      <sz val="11.0"/>
      <color rgb="FFFFFFFF"/>
      <name val="Calibri"/>
    </font>
    <font>
      <sz val="10.0"/>
      <color theme="1"/>
      <name val="Calibri"/>
      <scheme val="minor"/>
    </font>
    <font>
      <b/>
      <sz val="10.0"/>
      <color theme="1"/>
      <name val="Arial"/>
    </font>
    <font>
      <sz val="10.0"/>
      <color theme="1"/>
      <name val="Calibri"/>
    </font>
    <font>
      <color rgb="FFEAECF0"/>
      <name val="Var(--font-mono)"/>
    </font>
    <font>
      <b/>
      <sz val="9.0"/>
      <color rgb="FFFFFFFF"/>
      <name val="Arial"/>
    </font>
    <font>
      <color rgb="FFFFFFFF"/>
      <name val="Arial"/>
    </font>
    <font>
      <b/>
      <color rgb="FFFFFF00"/>
      <name val="Arial"/>
    </font>
    <font>
      <i/>
      <sz val="8.0"/>
      <color rgb="FF999999"/>
      <name val="Arial"/>
    </font>
    <font>
      <i/>
      <color rgb="FF999999"/>
      <name val="Calibri"/>
      <scheme val="minor"/>
    </font>
    <font>
      <sz val="10.0"/>
      <color rgb="FFFFFFFF"/>
      <name val="Arial"/>
    </font>
    <font>
      <sz val="10.0"/>
      <color rgb="FF666666"/>
      <name val="Arial"/>
    </font>
    <font>
      <b/>
      <color rgb="FF1F1F1F"/>
      <name val="&quot;Google Sans Text&quot;"/>
    </font>
    <font>
      <color rgb="FF000000"/>
      <name val="&quot;Google Sans Text&quot;"/>
    </font>
    <font>
      <color rgb="FF1F1F1F"/>
      <name val="&quot;Google Sans Text&quot;"/>
    </font>
  </fonts>
  <fills count="34">
    <fill>
      <patternFill patternType="none"/>
    </fill>
    <fill>
      <patternFill patternType="lightGray"/>
    </fill>
    <fill>
      <patternFill patternType="solid">
        <fgColor rgb="FF1F4E79"/>
        <bgColor rgb="FF1F4E79"/>
      </patternFill>
    </fill>
    <fill>
      <patternFill patternType="solid">
        <fgColor rgb="FFF2F2F2"/>
        <bgColor rgb="FFF2F2F2"/>
      </patternFill>
    </fill>
    <fill>
      <patternFill patternType="solid">
        <fgColor rgb="FF2E75B6"/>
        <bgColor rgb="FF2E75B6"/>
      </patternFill>
    </fill>
    <fill>
      <patternFill patternType="solid">
        <fgColor rgb="FF548235"/>
        <bgColor rgb="FF548235"/>
      </patternFill>
    </fill>
    <fill>
      <patternFill patternType="solid">
        <fgColor rgb="FF305496"/>
        <bgColor rgb="FF305496"/>
      </patternFill>
    </fill>
    <fill>
      <patternFill patternType="solid">
        <fgColor rgb="FFF8F8F8"/>
        <bgColor rgb="FFF8F8F8"/>
      </patternFill>
    </fill>
    <fill>
      <patternFill patternType="solid">
        <fgColor rgb="FFD9E1F2"/>
        <bgColor rgb="FFD9E1F2"/>
      </patternFill>
    </fill>
    <fill>
      <patternFill patternType="solid">
        <fgColor rgb="FFC55A11"/>
        <bgColor rgb="FFC55A11"/>
      </patternFill>
    </fill>
    <fill>
      <patternFill patternType="solid">
        <fgColor rgb="FFFCE4D6"/>
        <bgColor rgb="FFFCE4D6"/>
      </patternFill>
    </fill>
    <fill>
      <patternFill patternType="solid">
        <fgColor rgb="FF7030A0"/>
        <bgColor rgb="FF7030A0"/>
      </patternFill>
    </fill>
    <fill>
      <patternFill patternType="solid">
        <fgColor rgb="FFC6EFCE"/>
        <bgColor rgb="FFC6EFCE"/>
      </patternFill>
    </fill>
    <fill>
      <patternFill patternType="solid">
        <fgColor rgb="FFDDEBF7"/>
        <bgColor rgb="FFDDEBF7"/>
      </patternFill>
    </fill>
    <fill>
      <patternFill patternType="solid">
        <fgColor rgb="FFF4CCCC"/>
        <bgColor rgb="FFF4CCCC"/>
      </patternFill>
    </fill>
    <fill>
      <patternFill patternType="solid">
        <fgColor rgb="FFFFF2CC"/>
        <bgColor rgb="FFFFF2CC"/>
      </patternFill>
    </fill>
    <fill>
      <patternFill patternType="solid">
        <fgColor rgb="FFFAFAFA"/>
        <bgColor rgb="FFFAFAFA"/>
      </patternFill>
    </fill>
    <fill>
      <patternFill patternType="solid">
        <fgColor rgb="FFE7E6E6"/>
        <bgColor rgb="FFE7E6E6"/>
      </patternFill>
    </fill>
    <fill>
      <patternFill patternType="solid">
        <fgColor rgb="FF0000FF"/>
        <bgColor rgb="FF0000FF"/>
      </patternFill>
    </fill>
    <fill>
      <patternFill patternType="solid">
        <fgColor rgb="FFFFFF00"/>
        <bgColor rgb="FFFFFF00"/>
      </patternFill>
    </fill>
    <fill>
      <patternFill patternType="solid">
        <fgColor rgb="FF6AA84F"/>
        <bgColor rgb="FF6AA84F"/>
      </patternFill>
    </fill>
    <fill>
      <patternFill patternType="solid">
        <fgColor rgb="FF000000"/>
        <bgColor rgb="FF000000"/>
      </patternFill>
    </fill>
    <fill>
      <patternFill patternType="solid">
        <fgColor rgb="FFFFFFFF"/>
        <bgColor rgb="FFFFFFFF"/>
      </patternFill>
    </fill>
    <fill>
      <patternFill patternType="solid">
        <fgColor rgb="FFF6F8F9"/>
        <bgColor rgb="FFF6F8F9"/>
      </patternFill>
    </fill>
    <fill>
      <patternFill patternType="solid">
        <fgColor rgb="FFD5A6BD"/>
        <bgColor rgb="FFD5A6BD"/>
      </patternFill>
    </fill>
    <fill>
      <patternFill patternType="solid">
        <fgColor rgb="FF4472C4"/>
        <bgColor rgb="FF4472C4"/>
      </patternFill>
    </fill>
    <fill>
      <patternFill patternType="solid">
        <fgColor rgb="FFC9DAF8"/>
        <bgColor rgb="FFC9DAF8"/>
      </patternFill>
    </fill>
    <fill>
      <patternFill patternType="solid">
        <fgColor rgb="FFC27BA0"/>
        <bgColor rgb="FFC27BA0"/>
      </patternFill>
    </fill>
    <fill>
      <patternFill patternType="solid">
        <fgColor rgb="FF00FF00"/>
        <bgColor rgb="FF00FF00"/>
      </patternFill>
    </fill>
    <fill>
      <patternFill patternType="solid">
        <fgColor rgb="FFDEEBF7"/>
        <bgColor rgb="FFDEEBF7"/>
      </patternFill>
    </fill>
    <fill>
      <patternFill patternType="solid">
        <fgColor rgb="FF3D85C6"/>
        <bgColor rgb="FF3D85C6"/>
      </patternFill>
    </fill>
    <fill>
      <patternFill patternType="solid">
        <fgColor rgb="FF6FA8DC"/>
        <bgColor rgb="FF6FA8DC"/>
      </patternFill>
    </fill>
    <fill>
      <patternFill patternType="solid">
        <fgColor rgb="FFD9D2E9"/>
        <bgColor rgb="FFD9D2E9"/>
      </patternFill>
    </fill>
    <fill>
      <patternFill patternType="solid">
        <fgColor rgb="FFFCE4EC"/>
        <bgColor rgb="FFFCE4EC"/>
      </patternFill>
    </fill>
  </fills>
  <borders count="12">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top/>
      <bottom/>
    </border>
    <border>
      <top/>
      <bottom/>
    </border>
    <border>
      <right/>
      <top/>
      <bottom/>
    </border>
    <border>
      <left/>
      <right/>
      <top/>
      <bottom/>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
      <left style="thin">
        <color rgb="FF000000"/>
      </left>
    </border>
  </borders>
  <cellStyleXfs count="1">
    <xf borderId="0" fillId="0" fontId="0" numFmtId="0" applyAlignment="1" applyFont="1"/>
  </cellStyleXfs>
  <cellXfs count="480">
    <xf borderId="0" fillId="0" fontId="0" numFmtId="0" xfId="0" applyAlignment="1" applyFont="1">
      <alignment readingOrder="0" shrinkToFit="0" vertical="bottom" wrapText="0"/>
    </xf>
    <xf borderId="0" fillId="2" fontId="1" numFmtId="0" xfId="0" applyFill="1" applyFont="1"/>
    <xf borderId="0" fillId="3" fontId="2" numFmtId="0" xfId="0" applyFill="1" applyFont="1"/>
    <xf borderId="0" fillId="0" fontId="3" numFmtId="0" xfId="0" applyAlignment="1" applyFont="1">
      <alignment horizontal="left" vertical="bottom"/>
    </xf>
    <xf borderId="0" fillId="4" fontId="4" numFmtId="0" xfId="0" applyAlignment="1" applyFill="1" applyFont="1">
      <alignment horizontal="left"/>
    </xf>
    <xf borderId="0" fillId="3" fontId="5" numFmtId="0" xfId="0" applyAlignment="1" applyFont="1">
      <alignment horizontal="left"/>
    </xf>
    <xf borderId="0" fillId="3" fontId="5" numFmtId="0" xfId="0" applyAlignment="1" applyFont="1">
      <alignment horizontal="left" readingOrder="0"/>
    </xf>
    <xf borderId="0" fillId="3" fontId="6" numFmtId="165" xfId="0" applyAlignment="1" applyFont="1" applyNumberFormat="1">
      <alignment horizontal="left"/>
    </xf>
    <xf borderId="0" fillId="3" fontId="7" numFmtId="3" xfId="0" applyAlignment="1" applyFont="1" applyNumberFormat="1">
      <alignment horizontal="left"/>
    </xf>
    <xf borderId="0" fillId="3" fontId="8" numFmtId="3" xfId="0" applyAlignment="1" applyFont="1" applyNumberFormat="1">
      <alignment horizontal="left"/>
    </xf>
    <xf borderId="0" fillId="3" fontId="9" numFmtId="3" xfId="0" applyAlignment="1" applyFont="1" applyNumberFormat="1">
      <alignment horizontal="left"/>
    </xf>
    <xf borderId="0" fillId="0" fontId="10" numFmtId="0" xfId="0" applyFont="1"/>
    <xf borderId="0" fillId="0" fontId="10" numFmtId="3" xfId="0" applyFont="1" applyNumberFormat="1"/>
    <xf borderId="0" fillId="3" fontId="2" numFmtId="0" xfId="0" applyAlignment="1" applyFont="1">
      <alignment horizontal="left"/>
    </xf>
    <xf borderId="0" fillId="0" fontId="3" numFmtId="0" xfId="0" applyAlignment="1" applyFont="1">
      <alignment vertical="bottom"/>
    </xf>
    <xf borderId="0" fillId="5" fontId="4" numFmtId="0" xfId="0" applyFill="1" applyFont="1"/>
    <xf borderId="0" fillId="0" fontId="10" numFmtId="0" xfId="0" applyAlignment="1" applyFont="1">
      <alignment readingOrder="0"/>
    </xf>
    <xf borderId="0" fillId="0" fontId="10" numFmtId="9" xfId="0" applyFont="1" applyNumberFormat="1"/>
    <xf borderId="1" fillId="6" fontId="11" numFmtId="0" xfId="0" applyAlignment="1" applyBorder="1" applyFill="1" applyFont="1">
      <alignment horizontal="center" shrinkToFit="0" wrapText="1"/>
    </xf>
    <xf borderId="2" fillId="6" fontId="11" numFmtId="0" xfId="0" applyAlignment="1" applyBorder="1" applyFont="1">
      <alignment horizontal="center" shrinkToFit="0" wrapText="1"/>
    </xf>
    <xf borderId="3" fillId="0" fontId="12" numFmtId="0" xfId="0" applyBorder="1" applyFont="1"/>
    <xf borderId="1" fillId="0" fontId="13" numFmtId="0" xfId="0" applyAlignment="1" applyBorder="1" applyFont="1">
      <alignment shrinkToFit="0" wrapText="1"/>
    </xf>
    <xf borderId="1" fillId="0" fontId="13" numFmtId="166" xfId="0" applyAlignment="1" applyBorder="1" applyFont="1" applyNumberFormat="1">
      <alignment horizontal="center" shrinkToFit="0" wrapText="1"/>
    </xf>
    <xf borderId="1" fillId="0" fontId="13" numFmtId="165" xfId="0" applyAlignment="1" applyBorder="1" applyFont="1" applyNumberFormat="1">
      <alignment horizontal="center" shrinkToFit="0" wrapText="1"/>
    </xf>
    <xf borderId="2" fillId="0" fontId="14" numFmtId="0" xfId="0" applyBorder="1" applyFont="1"/>
    <xf borderId="1" fillId="7" fontId="13" numFmtId="0" xfId="0" applyAlignment="1" applyBorder="1" applyFill="1" applyFont="1">
      <alignment shrinkToFit="0" wrapText="1"/>
    </xf>
    <xf borderId="1" fillId="7" fontId="13" numFmtId="166" xfId="0" applyAlignment="1" applyBorder="1" applyFont="1" applyNumberFormat="1">
      <alignment horizontal="center" shrinkToFit="0" wrapText="1"/>
    </xf>
    <xf borderId="1" fillId="7" fontId="13" numFmtId="165" xfId="0" applyAlignment="1" applyBorder="1" applyFont="1" applyNumberFormat="1">
      <alignment horizontal="center" shrinkToFit="0" wrapText="1"/>
    </xf>
    <xf borderId="2" fillId="7" fontId="14" numFmtId="0" xfId="0" applyBorder="1" applyFont="1"/>
    <xf borderId="1" fillId="8" fontId="15" numFmtId="0" xfId="0" applyAlignment="1" applyBorder="1" applyFill="1" applyFont="1">
      <alignment shrinkToFit="0" wrapText="1"/>
    </xf>
    <xf borderId="1" fillId="8" fontId="15" numFmtId="166" xfId="0" applyAlignment="1" applyBorder="1" applyFont="1" applyNumberFormat="1">
      <alignment horizontal="center" shrinkToFit="0" wrapText="1"/>
    </xf>
    <xf borderId="1" fillId="8" fontId="15" numFmtId="165" xfId="0" applyAlignment="1" applyBorder="1" applyFont="1" applyNumberFormat="1">
      <alignment horizontal="center" shrinkToFit="0" wrapText="1"/>
    </xf>
    <xf borderId="2" fillId="8" fontId="3" numFmtId="0" xfId="0" applyAlignment="1" applyBorder="1" applyFont="1">
      <alignment vertical="bottom"/>
    </xf>
    <xf borderId="0" fillId="9" fontId="4" numFmtId="0" xfId="0" applyFill="1" applyFont="1"/>
    <xf borderId="2" fillId="0" fontId="13" numFmtId="165" xfId="0" applyAlignment="1" applyBorder="1" applyFont="1" applyNumberFormat="1">
      <alignment horizontal="center" shrinkToFit="0" wrapText="1"/>
    </xf>
    <xf borderId="2" fillId="7" fontId="13" numFmtId="165" xfId="0" applyAlignment="1" applyBorder="1" applyFont="1" applyNumberFormat="1">
      <alignment horizontal="center" shrinkToFit="0" wrapText="1"/>
    </xf>
    <xf borderId="1" fillId="0" fontId="3" numFmtId="0" xfId="0" applyAlignment="1" applyBorder="1" applyFont="1">
      <alignment vertical="bottom"/>
    </xf>
    <xf borderId="1" fillId="0" fontId="13" numFmtId="0" xfId="0" applyAlignment="1" applyBorder="1" applyFont="1">
      <alignment readingOrder="0" shrinkToFit="0" wrapText="1"/>
    </xf>
    <xf borderId="1" fillId="10" fontId="15" numFmtId="0" xfId="0" applyAlignment="1" applyBorder="1" applyFill="1" applyFont="1">
      <alignment shrinkToFit="0" wrapText="1"/>
    </xf>
    <xf borderId="1" fillId="10" fontId="15" numFmtId="166" xfId="0" applyAlignment="1" applyBorder="1" applyFont="1" applyNumberFormat="1">
      <alignment horizontal="center" shrinkToFit="0" wrapText="1"/>
    </xf>
    <xf borderId="2" fillId="10" fontId="15" numFmtId="165" xfId="0" applyAlignment="1" applyBorder="1" applyFont="1" applyNumberFormat="1">
      <alignment horizontal="center" shrinkToFit="0" wrapText="1"/>
    </xf>
    <xf borderId="0" fillId="11" fontId="4" numFmtId="0" xfId="0" applyFill="1" applyFont="1"/>
    <xf borderId="1" fillId="6" fontId="11" numFmtId="0" xfId="0" applyAlignment="1" applyBorder="1" applyFont="1">
      <alignment horizontal="center" shrinkToFit="0" vertical="center" wrapText="1"/>
    </xf>
    <xf borderId="0" fillId="0" fontId="10" numFmtId="0" xfId="0" applyAlignment="1" applyFont="1">
      <alignment vertical="center"/>
    </xf>
    <xf borderId="1" fillId="7" fontId="13" numFmtId="0" xfId="0" applyAlignment="1" applyBorder="1" applyFont="1">
      <alignment horizontal="center" shrinkToFit="0" wrapText="1"/>
    </xf>
    <xf borderId="1" fillId="7" fontId="16" numFmtId="0" xfId="0" applyBorder="1" applyFont="1"/>
    <xf borderId="1" fillId="12" fontId="13" numFmtId="0" xfId="0" applyAlignment="1" applyBorder="1" applyFill="1" applyFont="1">
      <alignment shrinkToFit="0" wrapText="1"/>
    </xf>
    <xf borderId="1" fillId="0" fontId="13" numFmtId="0" xfId="0" applyAlignment="1" applyBorder="1" applyFont="1">
      <alignment horizontal="center" shrinkToFit="0" wrapText="1"/>
    </xf>
    <xf borderId="1" fillId="0" fontId="16" numFmtId="0" xfId="0" applyBorder="1" applyFont="1"/>
    <xf borderId="1" fillId="13" fontId="13" numFmtId="0" xfId="0" applyAlignment="1" applyBorder="1" applyFill="1" applyFont="1">
      <alignment shrinkToFit="0" wrapText="1"/>
    </xf>
    <xf borderId="1" fillId="14" fontId="13" numFmtId="0" xfId="0" applyAlignment="1" applyBorder="1" applyFill="1" applyFont="1">
      <alignment horizontal="center" shrinkToFit="0" wrapText="1"/>
    </xf>
    <xf borderId="1" fillId="14" fontId="13" numFmtId="0" xfId="0" applyAlignment="1" applyBorder="1" applyFont="1">
      <alignment shrinkToFit="0" wrapText="1"/>
    </xf>
    <xf borderId="1" fillId="14" fontId="13" numFmtId="166" xfId="0" applyAlignment="1" applyBorder="1" applyFont="1" applyNumberFormat="1">
      <alignment horizontal="center" shrinkToFit="0" wrapText="1"/>
    </xf>
    <xf borderId="1" fillId="14" fontId="13" numFmtId="165" xfId="0" applyAlignment="1" applyBorder="1" applyFont="1" applyNumberFormat="1">
      <alignment horizontal="center" shrinkToFit="0" wrapText="1"/>
    </xf>
    <xf borderId="1" fillId="14" fontId="16" numFmtId="0" xfId="0" applyBorder="1" applyFont="1"/>
    <xf borderId="1" fillId="14" fontId="13" numFmtId="0" xfId="0" applyAlignment="1" applyBorder="1" applyFont="1">
      <alignment horizontal="center" readingOrder="0" shrinkToFit="0" wrapText="1"/>
    </xf>
    <xf borderId="0" fillId="4" fontId="4" numFmtId="0" xfId="0" applyFont="1"/>
    <xf borderId="0" fillId="0" fontId="15" numFmtId="0" xfId="0" applyAlignment="1" applyFont="1">
      <alignment horizontal="right"/>
    </xf>
    <xf borderId="1" fillId="15" fontId="17" numFmtId="0" xfId="0" applyAlignment="1" applyBorder="1" applyFill="1" applyFont="1">
      <alignment horizontal="center" readingOrder="0" shrinkToFit="0" wrapText="1"/>
    </xf>
    <xf borderId="1" fillId="16" fontId="13" numFmtId="0" xfId="0" applyAlignment="1" applyBorder="1" applyFill="1" applyFont="1">
      <alignment shrinkToFit="0" wrapText="1"/>
    </xf>
    <xf borderId="1" fillId="0" fontId="15" numFmtId="0" xfId="0" applyAlignment="1" applyBorder="1" applyFont="1">
      <alignment horizontal="center" shrinkToFit="0" wrapText="1"/>
    </xf>
    <xf borderId="1" fillId="0" fontId="15" numFmtId="166" xfId="0" applyAlignment="1" applyBorder="1" applyFont="1" applyNumberFormat="1">
      <alignment horizontal="center" shrinkToFit="0" wrapText="1"/>
    </xf>
    <xf borderId="1" fillId="0" fontId="15" numFmtId="165" xfId="0" applyAlignment="1" applyBorder="1" applyFont="1" applyNumberFormat="1">
      <alignment horizontal="center" shrinkToFit="0" wrapText="1"/>
    </xf>
    <xf borderId="1" fillId="15" fontId="17" numFmtId="0" xfId="0" applyAlignment="1" applyBorder="1" applyFont="1">
      <alignment horizontal="center" shrinkToFit="0" wrapText="1"/>
    </xf>
    <xf borderId="1" fillId="0" fontId="15" numFmtId="167" xfId="0" applyAlignment="1" applyBorder="1" applyFont="1" applyNumberFormat="1">
      <alignment horizontal="center" shrinkToFit="0" wrapText="1"/>
    </xf>
    <xf borderId="1" fillId="0" fontId="3" numFmtId="0" xfId="0" applyAlignment="1" applyBorder="1" applyFont="1">
      <alignment horizontal="center"/>
    </xf>
    <xf borderId="4" fillId="11" fontId="4" numFmtId="0" xfId="0" applyBorder="1" applyFont="1"/>
    <xf borderId="5" fillId="0" fontId="12" numFmtId="0" xfId="0" applyBorder="1" applyFont="1"/>
    <xf borderId="6" fillId="0" fontId="12" numFmtId="0" xfId="0" applyBorder="1" applyFont="1"/>
    <xf borderId="0" fillId="0" fontId="18" numFmtId="0" xfId="0" applyAlignment="1" applyFont="1">
      <alignment vertical="bottom"/>
    </xf>
    <xf borderId="7" fillId="3" fontId="5" numFmtId="0" xfId="0" applyBorder="1" applyFont="1"/>
    <xf borderId="7" fillId="3" fontId="7" numFmtId="3" xfId="0" applyBorder="1" applyFont="1" applyNumberFormat="1"/>
    <xf borderId="7" fillId="3" fontId="7" numFmtId="165" xfId="0" applyBorder="1" applyFont="1" applyNumberFormat="1"/>
    <xf borderId="7" fillId="3" fontId="19" numFmtId="0" xfId="0" applyBorder="1" applyFont="1"/>
    <xf borderId="7" fillId="3" fontId="19" numFmtId="10" xfId="0" applyBorder="1" applyFont="1" applyNumberFormat="1"/>
    <xf borderId="7" fillId="3" fontId="7" numFmtId="168" xfId="0" applyBorder="1" applyFont="1" applyNumberFormat="1"/>
    <xf borderId="8" fillId="6" fontId="11" numFmtId="0" xfId="0" applyAlignment="1" applyBorder="1" applyFont="1">
      <alignment horizontal="center" shrinkToFit="0" wrapText="1"/>
    </xf>
    <xf borderId="8" fillId="0" fontId="13" numFmtId="0" xfId="0" applyBorder="1" applyFont="1"/>
    <xf borderId="8" fillId="0" fontId="13" numFmtId="3" xfId="0" applyAlignment="1" applyBorder="1" applyFont="1" applyNumberFormat="1">
      <alignment horizontal="center"/>
    </xf>
    <xf borderId="8" fillId="0" fontId="13" numFmtId="165" xfId="0" applyAlignment="1" applyBorder="1" applyFont="1" applyNumberFormat="1">
      <alignment horizontal="center"/>
    </xf>
    <xf borderId="8" fillId="0" fontId="13" numFmtId="0" xfId="0" applyAlignment="1" applyBorder="1" applyFont="1">
      <alignment horizontal="center"/>
    </xf>
    <xf borderId="8" fillId="17" fontId="20" numFmtId="0" xfId="0" applyAlignment="1" applyBorder="1" applyFill="1" applyFont="1">
      <alignment horizontal="center"/>
    </xf>
    <xf borderId="8" fillId="17" fontId="20" numFmtId="3" xfId="0" applyAlignment="1" applyBorder="1" applyFont="1" applyNumberFormat="1">
      <alignment horizontal="center"/>
    </xf>
    <xf borderId="8" fillId="17" fontId="20" numFmtId="165" xfId="0" applyAlignment="1" applyBorder="1" applyFont="1" applyNumberFormat="1">
      <alignment horizontal="center"/>
    </xf>
    <xf borderId="4" fillId="11" fontId="4" numFmtId="0" xfId="0" applyAlignment="1" applyBorder="1" applyFont="1">
      <alignment readingOrder="0"/>
    </xf>
    <xf borderId="9" fillId="18" fontId="21" numFmtId="0" xfId="0" applyAlignment="1" applyBorder="1" applyFill="1" applyFont="1">
      <alignment readingOrder="0"/>
    </xf>
    <xf borderId="9" fillId="15" fontId="22" numFmtId="0" xfId="0" applyAlignment="1" applyBorder="1" applyFont="1">
      <alignment readingOrder="0"/>
    </xf>
    <xf borderId="9" fillId="0" fontId="10" numFmtId="0" xfId="0" applyBorder="1" applyFont="1"/>
    <xf borderId="9" fillId="0" fontId="10" numFmtId="10" xfId="0" applyBorder="1" applyFont="1" applyNumberFormat="1"/>
    <xf borderId="9" fillId="0" fontId="10" numFmtId="2" xfId="0" applyBorder="1" applyFont="1" applyNumberFormat="1"/>
    <xf borderId="9" fillId="0" fontId="22" numFmtId="0" xfId="0" applyAlignment="1" applyBorder="1" applyFont="1">
      <alignment readingOrder="0"/>
    </xf>
    <xf borderId="9" fillId="19" fontId="22" numFmtId="0" xfId="0" applyAlignment="1" applyBorder="1" applyFill="1" applyFont="1">
      <alignment readingOrder="0"/>
    </xf>
    <xf borderId="9" fillId="19" fontId="22" numFmtId="0" xfId="0" applyBorder="1" applyFont="1"/>
    <xf borderId="9" fillId="19" fontId="22" numFmtId="10" xfId="0" applyBorder="1" applyFont="1" applyNumberFormat="1"/>
    <xf borderId="9" fillId="19" fontId="22" numFmtId="2" xfId="0" applyBorder="1" applyFont="1" applyNumberFormat="1"/>
    <xf borderId="0" fillId="15" fontId="22" numFmtId="0" xfId="0" applyAlignment="1" applyFont="1">
      <alignment readingOrder="0"/>
    </xf>
    <xf borderId="10" fillId="20" fontId="11" numFmtId="49" xfId="0" applyAlignment="1" applyBorder="1" applyFill="1" applyFont="1" applyNumberFormat="1">
      <alignment horizontal="center" shrinkToFit="0" vertical="center" wrapText="1"/>
    </xf>
    <xf borderId="10" fillId="20" fontId="11" numFmtId="49" xfId="0" applyAlignment="1" applyBorder="1" applyFont="1" applyNumberFormat="1">
      <alignment horizontal="center" readingOrder="0" shrinkToFit="0" vertical="center" wrapText="1"/>
    </xf>
    <xf borderId="10" fillId="20" fontId="11" numFmtId="0" xfId="0" applyAlignment="1" applyBorder="1" applyFont="1">
      <alignment horizontal="center" shrinkToFit="0" vertical="center" wrapText="1"/>
    </xf>
    <xf borderId="10" fillId="20" fontId="11" numFmtId="0" xfId="0" applyAlignment="1" applyBorder="1" applyFont="1">
      <alignment horizontal="center" readingOrder="0" shrinkToFit="0" vertical="center" wrapText="1"/>
    </xf>
    <xf borderId="10" fillId="21" fontId="11" numFmtId="0" xfId="0" applyAlignment="1" applyBorder="1" applyFill="1" applyFont="1">
      <alignment horizontal="center" shrinkToFit="0" vertical="center" wrapText="1"/>
    </xf>
    <xf borderId="10" fillId="21" fontId="11" numFmtId="1" xfId="0" applyAlignment="1" applyBorder="1" applyFont="1" applyNumberFormat="1">
      <alignment horizontal="center" shrinkToFit="0" vertical="center" wrapText="1"/>
    </xf>
    <xf borderId="10" fillId="0" fontId="10" numFmtId="0" xfId="0" applyBorder="1" applyFont="1"/>
    <xf borderId="10" fillId="0" fontId="10" numFmtId="0" xfId="0" applyAlignment="1" applyBorder="1" applyFont="1">
      <alignment horizontal="center"/>
    </xf>
    <xf borderId="10" fillId="22" fontId="23" numFmtId="49" xfId="0" applyAlignment="1" applyBorder="1" applyFill="1" applyFont="1" applyNumberFormat="1">
      <alignment vertical="center"/>
    </xf>
    <xf borderId="10" fillId="22" fontId="23" numFmtId="0" xfId="0" applyAlignment="1" applyBorder="1" applyFont="1">
      <alignment vertical="center"/>
    </xf>
    <xf borderId="10" fillId="22" fontId="23" numFmtId="0" xfId="0" applyAlignment="1" applyBorder="1" applyFont="1">
      <alignment horizontal="center" vertical="center"/>
    </xf>
    <xf borderId="10" fillId="22" fontId="23" numFmtId="49" xfId="0" applyAlignment="1" applyBorder="1" applyFont="1" applyNumberFormat="1">
      <alignment horizontal="center" vertical="center"/>
    </xf>
    <xf borderId="10" fillId="22" fontId="23" numFmtId="0" xfId="0" applyAlignment="1" applyBorder="1" applyFont="1">
      <alignment readingOrder="0" vertical="center"/>
    </xf>
    <xf borderId="10" fillId="22" fontId="3" numFmtId="49" xfId="0" applyAlignment="1" applyBorder="1" applyFont="1" applyNumberFormat="1">
      <alignment vertical="center"/>
    </xf>
    <xf borderId="10" fillId="22" fontId="3" numFmtId="169" xfId="0" applyAlignment="1" applyBorder="1" applyFont="1" applyNumberFormat="1">
      <alignment vertical="center"/>
    </xf>
    <xf borderId="10" fillId="22" fontId="3" numFmtId="1" xfId="0" applyAlignment="1" applyBorder="1" applyFont="1" applyNumberFormat="1">
      <alignment vertical="center"/>
    </xf>
    <xf borderId="10" fillId="22" fontId="24" numFmtId="0" xfId="0" applyAlignment="1" applyBorder="1" applyFont="1">
      <alignment vertical="center"/>
    </xf>
    <xf borderId="10" fillId="22" fontId="3" numFmtId="0" xfId="0" applyAlignment="1" applyBorder="1" applyFont="1">
      <alignment horizontal="center" vertical="center"/>
    </xf>
    <xf borderId="10" fillId="22" fontId="25" numFmtId="0" xfId="0" applyBorder="1" applyFont="1"/>
    <xf borderId="10" fillId="22" fontId="3" numFmtId="0" xfId="0" applyAlignment="1" applyBorder="1" applyFont="1">
      <alignment horizontal="left" readingOrder="0" vertical="center"/>
    </xf>
    <xf borderId="10" fillId="22" fontId="10" numFmtId="0" xfId="0" applyBorder="1" applyFont="1"/>
    <xf borderId="10" fillId="22" fontId="10" numFmtId="0" xfId="0" applyAlignment="1" applyBorder="1" applyFont="1">
      <alignment horizontal="center"/>
    </xf>
    <xf borderId="10" fillId="22" fontId="3" numFmtId="0" xfId="0" applyAlignment="1" applyBorder="1" applyFont="1">
      <alignment horizontal="left" vertical="center"/>
    </xf>
    <xf borderId="0" fillId="0" fontId="13" numFmtId="0" xfId="0" applyAlignment="1" applyFont="1">
      <alignment horizontal="center" vertical="bottom"/>
    </xf>
    <xf borderId="10" fillId="22" fontId="3" numFmtId="0" xfId="0" applyAlignment="1" applyBorder="1" applyFont="1">
      <alignment horizontal="center" readingOrder="0" vertical="center"/>
    </xf>
    <xf borderId="10" fillId="23" fontId="3" numFmtId="0" xfId="0" applyAlignment="1" applyBorder="1" applyFill="1" applyFont="1">
      <alignment horizontal="center" vertical="center"/>
    </xf>
    <xf borderId="10" fillId="23" fontId="23" numFmtId="49" xfId="0" applyAlignment="1" applyBorder="1" applyFont="1" applyNumberFormat="1">
      <alignment vertical="center"/>
    </xf>
    <xf borderId="10" fillId="23" fontId="23" numFmtId="0" xfId="0" applyAlignment="1" applyBorder="1" applyFont="1">
      <alignment vertical="center"/>
    </xf>
    <xf borderId="10" fillId="23" fontId="3" numFmtId="169" xfId="0" applyAlignment="1" applyBorder="1" applyFont="1" applyNumberFormat="1">
      <alignment vertical="center"/>
    </xf>
    <xf borderId="10" fillId="23" fontId="3" numFmtId="0" xfId="0" applyAlignment="1" applyBorder="1" applyFont="1">
      <alignment horizontal="center" readingOrder="0" vertical="center"/>
    </xf>
    <xf borderId="10" fillId="22" fontId="25" numFmtId="0" xfId="0" applyAlignment="1" applyBorder="1" applyFont="1">
      <alignment readingOrder="0"/>
    </xf>
    <xf borderId="10" fillId="22" fontId="26" numFmtId="49" xfId="0" applyAlignment="1" applyBorder="1" applyFont="1" applyNumberFormat="1">
      <alignment vertical="center"/>
    </xf>
    <xf borderId="10" fillId="22" fontId="3" numFmtId="0" xfId="0" applyBorder="1" applyFont="1"/>
    <xf borderId="10" fillId="22" fontId="3" numFmtId="0" xfId="0" applyAlignment="1" applyBorder="1" applyFont="1">
      <alignment horizontal="center" shrinkToFit="0" vertical="center" wrapText="1"/>
    </xf>
    <xf borderId="10" fillId="0" fontId="3" numFmtId="0" xfId="0" applyBorder="1" applyFont="1"/>
    <xf borderId="10" fillId="22" fontId="23" numFmtId="0" xfId="0" applyAlignment="1" applyBorder="1" applyFont="1">
      <alignment horizontal="center" vertical="center"/>
    </xf>
    <xf borderId="10" fillId="23" fontId="3" numFmtId="0" xfId="0" applyAlignment="1" applyBorder="1" applyFont="1">
      <alignment readingOrder="0" vertical="bottom"/>
    </xf>
    <xf borderId="10" fillId="23" fontId="3" numFmtId="0" xfId="0" applyAlignment="1" applyBorder="1" applyFont="1">
      <alignment horizontal="center" vertical="bottom"/>
    </xf>
    <xf borderId="10" fillId="22" fontId="3" numFmtId="49" xfId="0" applyAlignment="1" applyBorder="1" applyFont="1" applyNumberFormat="1">
      <alignment readingOrder="0" vertical="bottom"/>
    </xf>
    <xf borderId="10" fillId="22" fontId="3" numFmtId="0" xfId="0" applyAlignment="1" applyBorder="1" applyFont="1">
      <alignment readingOrder="0" vertical="bottom"/>
    </xf>
    <xf borderId="10" fillId="22" fontId="3" numFmtId="0" xfId="0" applyAlignment="1" applyBorder="1" applyFont="1">
      <alignment horizontal="center" vertical="bottom"/>
    </xf>
    <xf borderId="10" fillId="23" fontId="3" numFmtId="49" xfId="0" applyAlignment="1" applyBorder="1" applyFont="1" applyNumberFormat="1">
      <alignment readingOrder="0" vertical="bottom"/>
    </xf>
    <xf borderId="10" fillId="22" fontId="3" numFmtId="49" xfId="0" applyAlignment="1" applyBorder="1" applyFont="1" applyNumberFormat="1">
      <alignment horizontal="center" vertical="center"/>
    </xf>
    <xf borderId="10" fillId="23" fontId="27" numFmtId="0" xfId="0" applyAlignment="1" applyBorder="1" applyFont="1">
      <alignment horizontal="center" shrinkToFit="0" vertical="center" wrapText="1"/>
    </xf>
    <xf borderId="10" fillId="23" fontId="3" numFmtId="0" xfId="0" applyAlignment="1" applyBorder="1" applyFont="1">
      <alignment horizontal="center" shrinkToFit="0" vertical="center" wrapText="1"/>
    </xf>
    <xf borderId="10" fillId="24" fontId="3" numFmtId="0" xfId="0" applyAlignment="1" applyBorder="1" applyFill="1" applyFont="1">
      <alignment horizontal="center" vertical="center"/>
    </xf>
    <xf borderId="10" fillId="22" fontId="3" numFmtId="49" xfId="0" applyAlignment="1" applyBorder="1" applyFont="1" applyNumberFormat="1">
      <alignment vertical="bottom"/>
    </xf>
    <xf borderId="10" fillId="22" fontId="3" numFmtId="0" xfId="0" applyAlignment="1" applyBorder="1" applyFont="1">
      <alignment vertical="bottom"/>
    </xf>
    <xf borderId="10" fillId="22" fontId="3" numFmtId="49" xfId="0" applyAlignment="1" applyBorder="1" applyFont="1" applyNumberFormat="1">
      <alignment horizontal="center" vertical="bottom"/>
    </xf>
    <xf borderId="10" fillId="22" fontId="3" numFmtId="1" xfId="0" applyAlignment="1" applyBorder="1" applyFont="1" applyNumberFormat="1">
      <alignment vertical="bottom"/>
    </xf>
    <xf borderId="10" fillId="22" fontId="28" numFmtId="0" xfId="0" applyAlignment="1" applyBorder="1" applyFont="1">
      <alignment vertical="bottom"/>
    </xf>
    <xf borderId="10" fillId="23" fontId="3" numFmtId="49" xfId="0" applyAlignment="1" applyBorder="1" applyFont="1" applyNumberFormat="1">
      <alignment vertical="bottom"/>
    </xf>
    <xf borderId="10" fillId="23" fontId="3" numFmtId="0" xfId="0" applyAlignment="1" applyBorder="1" applyFont="1">
      <alignment vertical="bottom"/>
    </xf>
    <xf borderId="10" fillId="23" fontId="3" numFmtId="49" xfId="0" applyAlignment="1" applyBorder="1" applyFont="1" applyNumberFormat="1">
      <alignment horizontal="center" vertical="bottom"/>
    </xf>
    <xf borderId="10" fillId="23" fontId="3" numFmtId="1" xfId="0" applyAlignment="1" applyBorder="1" applyFont="1" applyNumberFormat="1">
      <alignment vertical="bottom"/>
    </xf>
    <xf borderId="10" fillId="23" fontId="28" numFmtId="0" xfId="0" applyAlignment="1" applyBorder="1" applyFont="1">
      <alignment vertical="bottom"/>
    </xf>
    <xf borderId="0" fillId="0" fontId="10" numFmtId="49" xfId="0" applyAlignment="1" applyFont="1" applyNumberFormat="1">
      <alignment readingOrder="0"/>
    </xf>
    <xf borderId="0" fillId="0" fontId="13" numFmtId="49" xfId="0" applyAlignment="1" applyFont="1" applyNumberFormat="1">
      <alignment horizontal="center" vertical="bottom"/>
    </xf>
    <xf borderId="10" fillId="25" fontId="11" numFmtId="49" xfId="0" applyAlignment="1" applyBorder="1" applyFill="1" applyFont="1" applyNumberFormat="1">
      <alignment horizontal="center" shrinkToFit="0" vertical="center" wrapText="1"/>
    </xf>
    <xf borderId="10" fillId="25" fontId="11" numFmtId="0" xfId="0" applyAlignment="1" applyBorder="1" applyFont="1">
      <alignment horizontal="center" shrinkToFit="0" vertical="center" wrapText="1"/>
    </xf>
    <xf borderId="10" fillId="25" fontId="11" numFmtId="0" xfId="0" applyAlignment="1" applyBorder="1" applyFont="1">
      <alignment horizontal="center" readingOrder="0" shrinkToFit="0" vertical="center" wrapText="1"/>
    </xf>
    <xf borderId="0" fillId="25" fontId="11" numFmtId="0" xfId="0" applyAlignment="1" applyFont="1">
      <alignment horizontal="center" readingOrder="0" shrinkToFit="0" vertical="center" wrapText="1"/>
    </xf>
    <xf borderId="0" fillId="25" fontId="11" numFmtId="0" xfId="0" applyAlignment="1" applyFont="1">
      <alignment horizontal="left" readingOrder="0" shrinkToFit="0" vertical="center" wrapText="1"/>
    </xf>
    <xf borderId="0" fillId="20" fontId="11" numFmtId="49" xfId="0" applyAlignment="1" applyFont="1" applyNumberFormat="1">
      <alignment horizontal="center" readingOrder="0" shrinkToFit="0" vertical="center" wrapText="1"/>
    </xf>
    <xf borderId="0" fillId="0" fontId="10" numFmtId="0" xfId="0" applyAlignment="1" applyFont="1">
      <alignment horizontal="center" vertical="center"/>
    </xf>
    <xf borderId="0" fillId="0" fontId="10" numFmtId="49" xfId="0" applyAlignment="1" applyFont="1" applyNumberFormat="1">
      <alignment horizontal="center" vertical="center"/>
    </xf>
    <xf borderId="0" fillId="0" fontId="10" numFmtId="0" xfId="0" applyAlignment="1" applyFont="1">
      <alignment horizontal="center" readingOrder="0" shrinkToFit="0" wrapText="1"/>
    </xf>
    <xf borderId="0" fillId="0" fontId="10" numFmtId="0" xfId="0" applyAlignment="1" applyFont="1">
      <alignment horizontal="center" shrinkToFit="0" vertical="center" wrapText="1"/>
    </xf>
    <xf borderId="0" fillId="0" fontId="10" numFmtId="3" xfId="0" applyAlignment="1" applyFont="1" applyNumberFormat="1">
      <alignment horizontal="center" vertical="center"/>
    </xf>
    <xf borderId="10" fillId="20" fontId="29" numFmtId="49" xfId="0" applyAlignment="1" applyBorder="1" applyFont="1" applyNumberFormat="1">
      <alignment horizontal="center" readingOrder="0" shrinkToFit="0" vertical="center" wrapText="1"/>
    </xf>
    <xf borderId="0" fillId="0" fontId="30" numFmtId="49" xfId="0" applyAlignment="1" applyFont="1" applyNumberFormat="1">
      <alignment horizontal="center"/>
    </xf>
    <xf borderId="0" fillId="0" fontId="30" numFmtId="0" xfId="0" applyFont="1"/>
    <xf borderId="0" fillId="0" fontId="30" numFmtId="49" xfId="0" applyFont="1" applyNumberFormat="1"/>
    <xf borderId="0" fillId="22" fontId="30" numFmtId="49" xfId="0" applyAlignment="1" applyFont="1" applyNumberFormat="1">
      <alignment readingOrder="0"/>
    </xf>
    <xf borderId="0" fillId="0" fontId="10" numFmtId="169" xfId="0" applyFont="1" applyNumberFormat="1"/>
    <xf borderId="0" fillId="0" fontId="10" numFmtId="0" xfId="0" applyAlignment="1" applyFont="1">
      <alignment horizontal="center"/>
    </xf>
    <xf borderId="0" fillId="0" fontId="31" numFmtId="0" xfId="0" applyAlignment="1" applyFont="1">
      <alignment horizontal="left" readingOrder="0" vertical="center"/>
    </xf>
    <xf borderId="0" fillId="0" fontId="10" numFmtId="0" xfId="0" applyAlignment="1" applyFont="1">
      <alignment horizontal="right" readingOrder="0" vertical="center"/>
    </xf>
    <xf borderId="0" fillId="0" fontId="10" numFmtId="49" xfId="0" applyAlignment="1" applyFont="1" applyNumberFormat="1">
      <alignment horizontal="center"/>
    </xf>
    <xf borderId="0" fillId="0" fontId="10" numFmtId="49" xfId="0" applyFont="1" applyNumberFormat="1"/>
    <xf borderId="0" fillId="22" fontId="32" numFmtId="49" xfId="0" applyAlignment="1" applyFont="1" applyNumberFormat="1">
      <alignment readingOrder="0"/>
    </xf>
    <xf borderId="0" fillId="0" fontId="33" numFmtId="0" xfId="0" applyAlignment="1" applyFont="1">
      <alignment horizontal="left" readingOrder="0" vertical="center"/>
    </xf>
    <xf borderId="0" fillId="0" fontId="10" numFmtId="0" xfId="0" applyAlignment="1" applyFont="1">
      <alignment horizontal="center" readingOrder="0" vertical="center"/>
    </xf>
    <xf borderId="0" fillId="0" fontId="10" numFmtId="10" xfId="0" applyAlignment="1" applyFont="1" applyNumberFormat="1">
      <alignment horizontal="center" vertical="center"/>
    </xf>
    <xf borderId="0" fillId="0" fontId="10" numFmtId="3" xfId="0" applyAlignment="1" applyFont="1" applyNumberFormat="1">
      <alignment horizontal="center" shrinkToFit="0" vertical="center" wrapText="1"/>
    </xf>
    <xf borderId="0" fillId="0" fontId="22" numFmtId="0" xfId="0" applyAlignment="1" applyFont="1">
      <alignment horizontal="center" vertical="center"/>
    </xf>
    <xf borderId="0" fillId="0" fontId="34" numFmtId="0" xfId="0" applyAlignment="1" applyFont="1">
      <alignment horizontal="left" readingOrder="0" vertical="center"/>
    </xf>
    <xf borderId="0" fillId="0" fontId="10" numFmtId="0" xfId="0" applyAlignment="1" applyFont="1">
      <alignment horizontal="center" readingOrder="0"/>
    </xf>
    <xf borderId="0" fillId="0" fontId="10" numFmtId="49" xfId="0" applyAlignment="1" applyFont="1" applyNumberFormat="1">
      <alignment horizontal="center" readingOrder="0"/>
    </xf>
    <xf borderId="0" fillId="0" fontId="35" numFmtId="0" xfId="0" applyAlignment="1" applyFont="1">
      <alignment horizontal="left" vertical="center"/>
    </xf>
    <xf borderId="0" fillId="0" fontId="36" numFmtId="0" xfId="0" applyAlignment="1" applyFont="1">
      <alignment horizontal="left" readingOrder="0" vertical="center"/>
    </xf>
    <xf borderId="0" fillId="0" fontId="37" numFmtId="0" xfId="0" applyAlignment="1" applyFont="1">
      <alignment horizontal="left" readingOrder="0" vertical="center"/>
    </xf>
    <xf borderId="0" fillId="22" fontId="10" numFmtId="49" xfId="0" applyAlignment="1" applyFont="1" applyNumberFormat="1">
      <alignment horizontal="center"/>
    </xf>
    <xf borderId="0" fillId="22" fontId="10" numFmtId="0" xfId="0" applyFont="1"/>
    <xf borderId="0" fillId="22" fontId="10" numFmtId="49" xfId="0" applyFont="1" applyNumberFormat="1"/>
    <xf borderId="0" fillId="22" fontId="10" numFmtId="0" xfId="0" applyAlignment="1" applyFont="1">
      <alignment readingOrder="0"/>
    </xf>
    <xf borderId="0" fillId="22" fontId="10" numFmtId="169" xfId="0" applyFont="1" applyNumberFormat="1"/>
    <xf borderId="0" fillId="22" fontId="10" numFmtId="0" xfId="0" applyAlignment="1" applyFont="1">
      <alignment horizontal="center"/>
    </xf>
    <xf borderId="0" fillId="22" fontId="10" numFmtId="0" xfId="0" applyAlignment="1" applyFont="1">
      <alignment horizontal="center" vertical="center"/>
    </xf>
    <xf borderId="0" fillId="22" fontId="38" numFmtId="0" xfId="0" applyAlignment="1" applyFont="1">
      <alignment horizontal="left" readingOrder="0" vertical="center"/>
    </xf>
    <xf borderId="0" fillId="22" fontId="10" numFmtId="3" xfId="0" applyAlignment="1" applyFont="1" applyNumberFormat="1">
      <alignment horizontal="center" vertical="center"/>
    </xf>
    <xf borderId="0" fillId="22" fontId="10" numFmtId="49" xfId="0" applyAlignment="1" applyFont="1" applyNumberFormat="1">
      <alignment horizontal="center" vertical="center"/>
    </xf>
    <xf borderId="0" fillId="0" fontId="39" numFmtId="0" xfId="0" applyAlignment="1" applyFont="1">
      <alignment horizontal="left" vertical="center"/>
    </xf>
    <xf borderId="0" fillId="0" fontId="30" numFmtId="49" xfId="0" applyAlignment="1" applyFont="1" applyNumberFormat="1">
      <alignment horizontal="center" readingOrder="0"/>
    </xf>
    <xf borderId="0" fillId="0" fontId="30" numFmtId="0" xfId="0" applyAlignment="1" applyFont="1">
      <alignment readingOrder="0"/>
    </xf>
    <xf borderId="0" fillId="0" fontId="30" numFmtId="49" xfId="0" applyAlignment="1" applyFont="1" applyNumberFormat="1">
      <alignment readingOrder="0"/>
    </xf>
    <xf borderId="0" fillId="0" fontId="40" numFmtId="0" xfId="0" applyFont="1"/>
    <xf borderId="0" fillId="0" fontId="40" numFmtId="0" xfId="0" applyAlignment="1" applyFont="1">
      <alignment horizontal="center"/>
    </xf>
    <xf borderId="0" fillId="0" fontId="40" numFmtId="0" xfId="0" applyAlignment="1" applyFont="1">
      <alignment horizontal="center" vertical="center"/>
    </xf>
    <xf borderId="0" fillId="0" fontId="30" numFmtId="0" xfId="0" applyAlignment="1" applyFont="1">
      <alignment horizontal="center"/>
    </xf>
    <xf borderId="0" fillId="0" fontId="30" numFmtId="0" xfId="0" applyAlignment="1" applyFont="1">
      <alignment horizontal="center" vertical="center"/>
    </xf>
    <xf borderId="0" fillId="0" fontId="10" numFmtId="0" xfId="0" applyAlignment="1" applyFont="1">
      <alignment horizontal="left" vertical="center"/>
    </xf>
    <xf borderId="0" fillId="0" fontId="41" numFmtId="0" xfId="0" applyAlignment="1" applyFont="1">
      <alignment horizontal="left" vertical="center"/>
    </xf>
    <xf borderId="0" fillId="22" fontId="30" numFmtId="49" xfId="0" applyAlignment="1" applyFont="1" applyNumberFormat="1">
      <alignment horizontal="center"/>
    </xf>
    <xf borderId="0" fillId="22" fontId="30" numFmtId="0" xfId="0" applyFont="1"/>
    <xf borderId="0" fillId="22" fontId="30" numFmtId="49" xfId="0" applyFont="1" applyNumberFormat="1"/>
    <xf borderId="0" fillId="22" fontId="30" numFmtId="0" xfId="0" applyAlignment="1" applyFont="1">
      <alignment readingOrder="0"/>
    </xf>
    <xf borderId="0" fillId="22" fontId="30" numFmtId="0" xfId="0" applyAlignment="1" applyFont="1">
      <alignment horizontal="center"/>
    </xf>
    <xf borderId="0" fillId="22" fontId="30" numFmtId="0" xfId="0" applyAlignment="1" applyFont="1">
      <alignment horizontal="center" vertical="center"/>
    </xf>
    <xf borderId="0" fillId="14" fontId="10" numFmtId="0" xfId="0" applyAlignment="1" applyFont="1">
      <alignment horizontal="center" readingOrder="0"/>
    </xf>
    <xf borderId="0" fillId="22" fontId="30" numFmtId="49" xfId="0" applyAlignment="1" applyFont="1" applyNumberFormat="1">
      <alignment horizontal="center" readingOrder="0"/>
    </xf>
    <xf borderId="0" fillId="22" fontId="30" numFmtId="0" xfId="0" applyAlignment="1" applyFont="1">
      <alignment horizontal="center" readingOrder="0"/>
    </xf>
    <xf borderId="0" fillId="22" fontId="10" numFmtId="49" xfId="0" applyAlignment="1" applyFont="1" applyNumberFormat="1">
      <alignment horizontal="center" readingOrder="0"/>
    </xf>
    <xf borderId="0" fillId="22" fontId="10" numFmtId="0" xfId="0" applyAlignment="1" applyFont="1">
      <alignment horizontal="center" readingOrder="0"/>
    </xf>
    <xf borderId="0" fillId="22" fontId="10" numFmtId="49" xfId="0" applyAlignment="1" applyFont="1" applyNumberFormat="1">
      <alignment readingOrder="0"/>
    </xf>
    <xf borderId="0" fillId="22" fontId="32" numFmtId="49" xfId="0" applyAlignment="1" applyFont="1" applyNumberFormat="1">
      <alignment horizontal="center"/>
    </xf>
    <xf borderId="10" fillId="22" fontId="13" numFmtId="49" xfId="0" applyBorder="1" applyFont="1" applyNumberFormat="1"/>
    <xf borderId="10" fillId="22" fontId="13" numFmtId="0" xfId="0" applyBorder="1" applyFont="1"/>
    <xf borderId="0" fillId="26" fontId="23" numFmtId="49" xfId="0" applyAlignment="1" applyFill="1" applyFont="1" applyNumberFormat="1">
      <alignment readingOrder="0" vertical="bottom"/>
    </xf>
    <xf borderId="0" fillId="0" fontId="42" numFmtId="0" xfId="0" applyAlignment="1" applyFont="1">
      <alignment horizontal="center" vertical="center"/>
    </xf>
    <xf borderId="0" fillId="0" fontId="42" numFmtId="0" xfId="0" applyAlignment="1" applyFont="1">
      <alignment horizontal="center" shrinkToFit="0" vertical="center" wrapText="1"/>
    </xf>
    <xf borderId="0" fillId="0" fontId="43" numFmtId="0" xfId="0" applyAlignment="1" applyFont="1">
      <alignment horizontal="center" vertical="center"/>
    </xf>
    <xf borderId="0" fillId="0" fontId="44" numFmtId="0" xfId="0" applyAlignment="1" applyFont="1">
      <alignment horizontal="center" vertical="center"/>
    </xf>
    <xf borderId="0" fillId="0" fontId="25" numFmtId="0" xfId="0" applyAlignment="1" applyFont="1">
      <alignment vertical="center"/>
    </xf>
    <xf borderId="0" fillId="0" fontId="42" numFmtId="0" xfId="0" applyAlignment="1" applyFont="1">
      <alignment horizontal="left" shrinkToFit="0" vertical="center" wrapText="1"/>
    </xf>
    <xf borderId="0" fillId="0" fontId="45" numFmtId="0" xfId="0" applyAlignment="1" applyFont="1">
      <alignment horizontal="left" shrinkToFit="0" vertical="center" wrapText="1"/>
    </xf>
    <xf borderId="0" fillId="0" fontId="45" numFmtId="0" xfId="0" applyAlignment="1" applyFont="1">
      <alignment horizontal="left" vertical="center"/>
    </xf>
    <xf borderId="0" fillId="0" fontId="25" numFmtId="0" xfId="0" applyAlignment="1" applyFont="1">
      <alignment shrinkToFit="0" vertical="center" wrapText="1"/>
    </xf>
    <xf borderId="0" fillId="0" fontId="25" numFmtId="0" xfId="0" applyAlignment="1" applyFont="1">
      <alignment horizontal="center" vertical="center"/>
    </xf>
    <xf borderId="0" fillId="0" fontId="3" numFmtId="0" xfId="0" applyAlignment="1" applyFont="1">
      <alignment vertical="center"/>
    </xf>
    <xf borderId="0" fillId="0" fontId="45" numFmtId="0" xfId="0" applyAlignment="1" applyFont="1">
      <alignment shrinkToFit="0" vertical="center" wrapText="1"/>
    </xf>
    <xf borderId="0" fillId="0" fontId="46" numFmtId="0" xfId="0" applyAlignment="1" applyFont="1">
      <alignment horizontal="left" shrinkToFit="0" vertical="center" wrapText="1"/>
    </xf>
    <xf borderId="0" fillId="0" fontId="25" numFmtId="0" xfId="0" applyAlignment="1" applyFont="1">
      <alignment horizontal="center" readingOrder="0" vertical="center"/>
    </xf>
    <xf borderId="0" fillId="0" fontId="25" numFmtId="0" xfId="0" applyAlignment="1" applyFont="1">
      <alignment readingOrder="0" vertical="center"/>
    </xf>
    <xf borderId="0" fillId="0" fontId="42" numFmtId="0" xfId="0" applyAlignment="1" applyFont="1">
      <alignment horizontal="left" vertical="center"/>
    </xf>
    <xf borderId="0" fillId="22" fontId="13" numFmtId="0" xfId="0" applyAlignment="1" applyFont="1">
      <alignment vertical="center"/>
    </xf>
    <xf borderId="0" fillId="27" fontId="47" numFmtId="0" xfId="0" applyAlignment="1" applyFill="1" applyFont="1">
      <alignment horizontal="center" vertical="center"/>
    </xf>
    <xf borderId="0" fillId="0" fontId="48" numFmtId="170" xfId="0" applyAlignment="1" applyFont="1" applyNumberFormat="1">
      <alignment horizontal="center" vertical="center"/>
    </xf>
    <xf borderId="0" fillId="0" fontId="48" numFmtId="0" xfId="0" applyAlignment="1" applyFont="1">
      <alignment horizontal="center" vertical="center"/>
    </xf>
    <xf borderId="0" fillId="0" fontId="49" numFmtId="0" xfId="0" applyAlignment="1" applyFont="1">
      <alignment horizontal="left" vertical="center"/>
    </xf>
    <xf borderId="0" fillId="0" fontId="50" numFmtId="0" xfId="0" applyAlignment="1" applyFont="1">
      <alignment horizontal="left" shrinkToFit="0" vertical="center" wrapText="1"/>
    </xf>
    <xf borderId="0" fillId="22" fontId="51" numFmtId="0" xfId="0" applyAlignment="1" applyFont="1">
      <alignment horizontal="center" vertical="center"/>
    </xf>
    <xf borderId="0" fillId="22" fontId="13" numFmtId="0" xfId="0" applyAlignment="1" applyFont="1">
      <alignment horizontal="center" vertical="center"/>
    </xf>
    <xf borderId="0" fillId="22" fontId="51" numFmtId="0" xfId="0" applyAlignment="1" applyFont="1">
      <alignment vertical="center"/>
    </xf>
    <xf borderId="0" fillId="0" fontId="13" numFmtId="170" xfId="0" applyAlignment="1" applyFont="1" applyNumberFormat="1">
      <alignment vertical="center"/>
    </xf>
    <xf borderId="0" fillId="0" fontId="51" numFmtId="170" xfId="0" applyAlignment="1" applyFont="1" applyNumberFormat="1">
      <alignment horizontal="center" vertical="center"/>
    </xf>
    <xf borderId="0" fillId="0" fontId="51" numFmtId="0" xfId="0" applyAlignment="1" applyFont="1">
      <alignment horizontal="center" vertical="center"/>
    </xf>
    <xf borderId="0" fillId="0" fontId="3" numFmtId="0" xfId="0" applyFont="1"/>
    <xf borderId="0" fillId="22" fontId="51" numFmtId="0" xfId="0" applyAlignment="1" applyFont="1">
      <alignment shrinkToFit="0" vertical="center" wrapText="1"/>
    </xf>
    <xf borderId="0" fillId="0" fontId="13" numFmtId="0" xfId="0" applyAlignment="1" applyFont="1">
      <alignment vertical="center"/>
    </xf>
    <xf borderId="10" fillId="18" fontId="11" numFmtId="49" xfId="0" applyAlignment="1" applyBorder="1" applyFont="1" applyNumberFormat="1">
      <alignment horizontal="center" shrinkToFit="0" vertical="center" wrapText="1"/>
    </xf>
    <xf borderId="10" fillId="18" fontId="11" numFmtId="0" xfId="0" applyAlignment="1" applyBorder="1" applyFont="1">
      <alignment horizontal="center" shrinkToFit="0" vertical="center" wrapText="1"/>
    </xf>
    <xf borderId="10" fillId="18" fontId="52" numFmtId="164" xfId="0" applyAlignment="1" applyBorder="1" applyFont="1" applyNumberFormat="1">
      <alignment horizontal="center" shrinkToFit="0" vertical="center" wrapText="1"/>
    </xf>
    <xf borderId="10" fillId="18" fontId="52" numFmtId="0" xfId="0" applyAlignment="1" applyBorder="1" applyFont="1">
      <alignment horizontal="center" readingOrder="0" shrinkToFit="0" vertical="center" wrapText="1"/>
    </xf>
    <xf borderId="0" fillId="18" fontId="52" numFmtId="0" xfId="0" applyAlignment="1" applyFont="1">
      <alignment horizontal="center" readingOrder="0" shrinkToFit="0" vertical="center" wrapText="1"/>
    </xf>
    <xf borderId="0" fillId="18" fontId="53" numFmtId="164" xfId="0" applyAlignment="1" applyFont="1" applyNumberFormat="1">
      <alignment vertical="center"/>
    </xf>
    <xf borderId="0" fillId="18" fontId="54" numFmtId="0" xfId="0" applyAlignment="1" applyFont="1">
      <alignment readingOrder="0" vertical="center"/>
    </xf>
    <xf borderId="0" fillId="18" fontId="3" numFmtId="0" xfId="0" applyAlignment="1" applyFont="1">
      <alignment vertical="center"/>
    </xf>
    <xf borderId="0" fillId="18" fontId="25" numFmtId="0" xfId="0" applyAlignment="1" applyFont="1">
      <alignment vertical="center"/>
    </xf>
    <xf borderId="10" fillId="22" fontId="23" numFmtId="49" xfId="0" applyAlignment="1" applyBorder="1" applyFont="1" applyNumberFormat="1">
      <alignment horizontal="left" vertical="center"/>
    </xf>
    <xf borderId="10" fillId="22" fontId="23" numFmtId="0" xfId="0" applyAlignment="1" applyBorder="1" applyFont="1">
      <alignment horizontal="left" vertical="center"/>
    </xf>
    <xf borderId="10" fillId="22" fontId="23" numFmtId="164" xfId="0" applyAlignment="1" applyBorder="1" applyFont="1" applyNumberFormat="1">
      <alignment horizontal="left" vertical="center"/>
    </xf>
    <xf borderId="10" fillId="22" fontId="23" numFmtId="164" xfId="0" applyAlignment="1" applyBorder="1" applyFont="1" applyNumberFormat="1">
      <alignment vertical="center"/>
    </xf>
    <xf borderId="10" fillId="22" fontId="23" numFmtId="164" xfId="0" applyAlignment="1" applyBorder="1" applyFont="1" applyNumberFormat="1">
      <alignment horizontal="left" readingOrder="0" vertical="center"/>
    </xf>
    <xf borderId="10" fillId="22" fontId="23" numFmtId="164" xfId="0" applyAlignment="1" applyBorder="1" applyFont="1" applyNumberFormat="1">
      <alignment readingOrder="0" vertical="center"/>
    </xf>
    <xf borderId="0" fillId="22" fontId="23" numFmtId="164" xfId="0" applyAlignment="1" applyFont="1" applyNumberFormat="1">
      <alignment vertical="center"/>
    </xf>
    <xf borderId="0" fillId="22" fontId="3" numFmtId="164" xfId="0" applyAlignment="1" applyFont="1" applyNumberFormat="1">
      <alignment vertical="center"/>
    </xf>
    <xf borderId="0" fillId="22" fontId="3" numFmtId="0" xfId="0" applyAlignment="1" applyFont="1">
      <alignment vertical="center"/>
    </xf>
    <xf borderId="0" fillId="22" fontId="25" numFmtId="0" xfId="0" applyAlignment="1" applyFont="1">
      <alignment vertical="center"/>
    </xf>
    <xf borderId="10" fillId="23" fontId="23" numFmtId="49" xfId="0" applyAlignment="1" applyBorder="1" applyFont="1" applyNumberFormat="1">
      <alignment horizontal="left" vertical="center"/>
    </xf>
    <xf borderId="10" fillId="23" fontId="23" numFmtId="0" xfId="0" applyAlignment="1" applyBorder="1" applyFont="1">
      <alignment horizontal="left" vertical="center"/>
    </xf>
    <xf borderId="10" fillId="23" fontId="23" numFmtId="164" xfId="0" applyAlignment="1" applyBorder="1" applyFont="1" applyNumberFormat="1">
      <alignment horizontal="left" vertical="center"/>
    </xf>
    <xf borderId="10" fillId="23" fontId="23" numFmtId="164" xfId="0" applyAlignment="1" applyBorder="1" applyFont="1" applyNumberFormat="1">
      <alignment vertical="center"/>
    </xf>
    <xf borderId="10" fillId="23" fontId="23" numFmtId="164" xfId="0" applyAlignment="1" applyBorder="1" applyFont="1" applyNumberFormat="1">
      <alignment horizontal="left" readingOrder="0" vertical="center"/>
    </xf>
    <xf borderId="10" fillId="23" fontId="23" numFmtId="164" xfId="0" applyAlignment="1" applyBorder="1" applyFont="1" applyNumberFormat="1">
      <alignment readingOrder="0" vertical="center"/>
    </xf>
    <xf borderId="0" fillId="23" fontId="23" numFmtId="164" xfId="0" applyAlignment="1" applyFont="1" applyNumberFormat="1">
      <alignment vertical="center"/>
    </xf>
    <xf borderId="0" fillId="23" fontId="3" numFmtId="164" xfId="0" applyAlignment="1" applyFont="1" applyNumberFormat="1">
      <alignment vertical="center"/>
    </xf>
    <xf borderId="0" fillId="23" fontId="3" numFmtId="0" xfId="0" applyAlignment="1" applyFont="1">
      <alignment vertical="center"/>
    </xf>
    <xf borderId="10" fillId="22" fontId="23" numFmtId="0" xfId="0" applyAlignment="1" applyBorder="1" applyFont="1">
      <alignment horizontal="left" readingOrder="0" vertical="center"/>
    </xf>
    <xf borderId="10" fillId="23" fontId="23" numFmtId="0" xfId="0" applyAlignment="1" applyBorder="1" applyFont="1">
      <alignment readingOrder="0" vertical="center"/>
    </xf>
    <xf borderId="10" fillId="22" fontId="55" numFmtId="0" xfId="0" applyAlignment="1" applyBorder="1" applyFont="1">
      <alignment vertical="center"/>
    </xf>
    <xf borderId="0" fillId="14" fontId="3" numFmtId="0" xfId="0" applyAlignment="1" applyFont="1">
      <alignment vertical="center"/>
    </xf>
    <xf borderId="0" fillId="14" fontId="10" numFmtId="0" xfId="0" applyAlignment="1" applyFont="1">
      <alignment vertical="center"/>
    </xf>
    <xf borderId="10" fillId="14" fontId="23" numFmtId="49" xfId="0" applyAlignment="1" applyBorder="1" applyFont="1" applyNumberFormat="1">
      <alignment horizontal="left" vertical="center"/>
    </xf>
    <xf borderId="10" fillId="14" fontId="23" numFmtId="0" xfId="0" applyAlignment="1" applyBorder="1" applyFont="1">
      <alignment horizontal="left" vertical="center"/>
    </xf>
    <xf borderId="10" fillId="14" fontId="23" numFmtId="49" xfId="0" applyAlignment="1" applyBorder="1" applyFont="1" applyNumberFormat="1">
      <alignment vertical="center"/>
    </xf>
    <xf borderId="10" fillId="14" fontId="23" numFmtId="0" xfId="0" applyAlignment="1" applyBorder="1" applyFont="1">
      <alignment vertical="center"/>
    </xf>
    <xf borderId="10" fillId="14" fontId="23" numFmtId="164" xfId="0" applyAlignment="1" applyBorder="1" applyFont="1" applyNumberFormat="1">
      <alignment horizontal="left" vertical="center"/>
    </xf>
    <xf borderId="10" fillId="14" fontId="23" numFmtId="164" xfId="0" applyAlignment="1" applyBorder="1" applyFont="1" applyNumberFormat="1">
      <alignment vertical="center"/>
    </xf>
    <xf borderId="0" fillId="14" fontId="23" numFmtId="164" xfId="0" applyAlignment="1" applyFont="1" applyNumberFormat="1">
      <alignment vertical="center"/>
    </xf>
    <xf borderId="0" fillId="14" fontId="3" numFmtId="164" xfId="0" applyAlignment="1" applyFont="1" applyNumberFormat="1">
      <alignment vertical="center"/>
    </xf>
    <xf borderId="0" fillId="23" fontId="23" numFmtId="164" xfId="0" applyAlignment="1" applyFont="1" applyNumberFormat="1">
      <alignment horizontal="left" vertical="center"/>
    </xf>
    <xf borderId="0" fillId="23" fontId="3" numFmtId="0" xfId="0" applyAlignment="1" applyFont="1">
      <alignment readingOrder="0" vertical="center"/>
    </xf>
    <xf borderId="0" fillId="22" fontId="23" numFmtId="164" xfId="0" applyAlignment="1" applyFont="1" applyNumberFormat="1">
      <alignment horizontal="left" vertical="center"/>
    </xf>
    <xf borderId="0" fillId="22" fontId="3" numFmtId="0" xfId="0" applyAlignment="1" applyFont="1">
      <alignment readingOrder="0" vertical="center"/>
    </xf>
    <xf borderId="10" fillId="22" fontId="56" numFmtId="49" xfId="0" applyAlignment="1" applyBorder="1" applyFont="1" applyNumberFormat="1">
      <alignment vertical="center"/>
    </xf>
    <xf borderId="10" fillId="23" fontId="55" numFmtId="164" xfId="0" applyAlignment="1" applyBorder="1" applyFont="1" applyNumberFormat="1">
      <alignment readingOrder="0" vertical="center"/>
    </xf>
    <xf borderId="10" fillId="23" fontId="23" numFmtId="0" xfId="0" applyAlignment="1" applyBorder="1" applyFont="1">
      <alignment horizontal="left" readingOrder="0" vertical="center"/>
    </xf>
    <xf borderId="0" fillId="22" fontId="55" numFmtId="164" xfId="0" applyAlignment="1" applyFont="1" applyNumberFormat="1">
      <alignment readingOrder="0" vertical="center"/>
    </xf>
    <xf borderId="10" fillId="22" fontId="55" numFmtId="164" xfId="0" applyAlignment="1" applyBorder="1" applyFont="1" applyNumberFormat="1">
      <alignment readingOrder="0" vertical="center"/>
    </xf>
    <xf borderId="10" fillId="22" fontId="23" numFmtId="171" xfId="0" applyAlignment="1" applyBorder="1" applyFont="1" applyNumberFormat="1">
      <alignment horizontal="left" readingOrder="0" vertical="center"/>
    </xf>
    <xf borderId="10" fillId="23" fontId="23" numFmtId="49" xfId="0" applyAlignment="1" applyBorder="1" applyFont="1" applyNumberFormat="1">
      <alignment readingOrder="0" vertical="center"/>
    </xf>
    <xf borderId="10" fillId="14" fontId="23" numFmtId="164" xfId="0" applyAlignment="1" applyBorder="1" applyFont="1" applyNumberFormat="1">
      <alignment horizontal="left" readingOrder="0" vertical="center"/>
    </xf>
    <xf borderId="10" fillId="14" fontId="23" numFmtId="164" xfId="0" applyAlignment="1" applyBorder="1" applyFont="1" applyNumberFormat="1">
      <alignment readingOrder="0" vertical="center"/>
    </xf>
    <xf borderId="0" fillId="14" fontId="23" numFmtId="164" xfId="0" applyAlignment="1" applyFont="1" applyNumberFormat="1">
      <alignment readingOrder="0" vertical="center"/>
    </xf>
    <xf borderId="0" fillId="23" fontId="23" numFmtId="164" xfId="0" applyAlignment="1" applyFont="1" applyNumberFormat="1">
      <alignment horizontal="left" readingOrder="0" vertical="center"/>
    </xf>
    <xf borderId="0" fillId="22" fontId="23" numFmtId="164" xfId="0" applyAlignment="1" applyFont="1" applyNumberFormat="1">
      <alignment horizontal="left" readingOrder="0" vertical="center"/>
    </xf>
    <xf borderId="0" fillId="22" fontId="55" numFmtId="0" xfId="0" applyAlignment="1" applyFont="1">
      <alignment readingOrder="0" vertical="center"/>
    </xf>
    <xf borderId="0" fillId="22" fontId="23" numFmtId="0" xfId="0" applyAlignment="1" applyFont="1">
      <alignment readingOrder="0" vertical="center"/>
    </xf>
    <xf borderId="0" fillId="23" fontId="55" numFmtId="0" xfId="0" applyAlignment="1" applyFont="1">
      <alignment readingOrder="0" vertical="center"/>
    </xf>
    <xf borderId="0" fillId="23" fontId="23" numFmtId="0" xfId="0" applyAlignment="1" applyFont="1">
      <alignment readingOrder="0" vertical="center"/>
    </xf>
    <xf borderId="10" fillId="28" fontId="23" numFmtId="49" xfId="0" applyAlignment="1" applyBorder="1" applyFill="1" applyFont="1" applyNumberFormat="1">
      <alignment horizontal="left" vertical="center"/>
    </xf>
    <xf borderId="10" fillId="28" fontId="23" numFmtId="0" xfId="0" applyAlignment="1" applyBorder="1" applyFont="1">
      <alignment horizontal="left" vertical="center"/>
    </xf>
    <xf borderId="10" fillId="28" fontId="23" numFmtId="49" xfId="0" applyAlignment="1" applyBorder="1" applyFont="1" applyNumberFormat="1">
      <alignment vertical="center"/>
    </xf>
    <xf borderId="10" fillId="28" fontId="23" numFmtId="0" xfId="0" applyAlignment="1" applyBorder="1" applyFont="1">
      <alignment vertical="center"/>
    </xf>
    <xf borderId="10" fillId="28" fontId="23" numFmtId="164" xfId="0" applyAlignment="1" applyBorder="1" applyFont="1" applyNumberFormat="1">
      <alignment horizontal="left" vertical="center"/>
    </xf>
    <xf borderId="10" fillId="28" fontId="23" numFmtId="164" xfId="0" applyAlignment="1" applyBorder="1" applyFont="1" applyNumberFormat="1">
      <alignment vertical="center"/>
    </xf>
    <xf borderId="10" fillId="28" fontId="23" numFmtId="164" xfId="0" applyAlignment="1" applyBorder="1" applyFont="1" applyNumberFormat="1">
      <alignment horizontal="left" readingOrder="0" vertical="center"/>
    </xf>
    <xf borderId="10" fillId="28" fontId="23" numFmtId="164" xfId="0" applyAlignment="1" applyBorder="1" applyFont="1" applyNumberFormat="1">
      <alignment readingOrder="0" vertical="center"/>
    </xf>
    <xf borderId="0" fillId="28" fontId="23" numFmtId="164" xfId="0" applyAlignment="1" applyFont="1" applyNumberFormat="1">
      <alignment vertical="center"/>
    </xf>
    <xf borderId="0" fillId="28" fontId="3" numFmtId="164" xfId="0" applyAlignment="1" applyFont="1" applyNumberFormat="1">
      <alignment vertical="center"/>
    </xf>
    <xf borderId="0" fillId="28" fontId="3" numFmtId="0" xfId="0" applyAlignment="1" applyFont="1">
      <alignment vertical="center"/>
    </xf>
    <xf borderId="0" fillId="28" fontId="10" numFmtId="0" xfId="0" applyAlignment="1" applyFont="1">
      <alignment vertical="center"/>
    </xf>
    <xf borderId="10" fillId="28" fontId="23" numFmtId="0" xfId="0" applyAlignment="1" applyBorder="1" applyFont="1">
      <alignment readingOrder="0" vertical="center"/>
    </xf>
    <xf borderId="10" fillId="28" fontId="23" numFmtId="0" xfId="0" applyAlignment="1" applyBorder="1" applyFont="1">
      <alignment horizontal="left" readingOrder="0" vertical="center"/>
    </xf>
    <xf borderId="0" fillId="23" fontId="23" numFmtId="164" xfId="0" applyAlignment="1" applyFont="1" applyNumberFormat="1">
      <alignment readingOrder="0" vertical="center"/>
    </xf>
    <xf borderId="10" fillId="22" fontId="57" numFmtId="164" xfId="0" applyAlignment="1" applyBorder="1" applyFont="1" applyNumberFormat="1">
      <alignment vertical="center"/>
    </xf>
    <xf borderId="0" fillId="22" fontId="57" numFmtId="164" xfId="0" applyAlignment="1" applyFont="1" applyNumberFormat="1">
      <alignment vertical="center"/>
    </xf>
    <xf borderId="0" fillId="22" fontId="23" numFmtId="164" xfId="0" applyAlignment="1" applyFont="1" applyNumberFormat="1">
      <alignment readingOrder="0" vertical="center"/>
    </xf>
    <xf borderId="10" fillId="22" fontId="3" numFmtId="49" xfId="0" applyAlignment="1" applyBorder="1" applyFont="1" applyNumberFormat="1">
      <alignment readingOrder="0" vertical="center"/>
    </xf>
    <xf borderId="10" fillId="22" fontId="3" numFmtId="0" xfId="0" applyAlignment="1" applyBorder="1" applyFont="1">
      <alignment readingOrder="0" vertical="center"/>
    </xf>
    <xf borderId="10" fillId="22" fontId="23" numFmtId="49" xfId="0" applyAlignment="1" applyBorder="1" applyFont="1" applyNumberFormat="1">
      <alignment readingOrder="0" vertical="center"/>
    </xf>
    <xf borderId="10" fillId="23" fontId="3" numFmtId="49" xfId="0" applyAlignment="1" applyBorder="1" applyFont="1" applyNumberFormat="1">
      <alignment readingOrder="0" vertical="center"/>
    </xf>
    <xf borderId="10" fillId="23" fontId="3" numFmtId="0" xfId="0" applyAlignment="1" applyBorder="1" applyFont="1">
      <alignment readingOrder="0" vertical="center"/>
    </xf>
    <xf borderId="10" fillId="22" fontId="55" numFmtId="0" xfId="0" applyAlignment="1" applyBorder="1" applyFont="1">
      <alignment readingOrder="0" vertical="center"/>
    </xf>
    <xf borderId="0" fillId="22" fontId="23" numFmtId="49" xfId="0" applyAlignment="1" applyFont="1" applyNumberFormat="1">
      <alignment horizontal="left" vertical="center"/>
    </xf>
    <xf borderId="0" fillId="22" fontId="23" numFmtId="0" xfId="0" applyAlignment="1" applyFont="1">
      <alignment horizontal="left" vertical="center"/>
    </xf>
    <xf borderId="0" fillId="22" fontId="23" numFmtId="49" xfId="0" applyAlignment="1" applyFont="1" applyNumberFormat="1">
      <alignment vertical="center"/>
    </xf>
    <xf borderId="0" fillId="22" fontId="23" numFmtId="0" xfId="0" applyAlignment="1" applyFont="1">
      <alignment vertical="center"/>
    </xf>
    <xf borderId="0" fillId="23" fontId="23" numFmtId="0" xfId="0" applyAlignment="1" applyFont="1">
      <alignment horizontal="left" readingOrder="0" vertical="center"/>
    </xf>
    <xf borderId="0" fillId="23" fontId="23" numFmtId="49" xfId="0" applyAlignment="1" applyFont="1" applyNumberFormat="1">
      <alignment horizontal="left" vertical="center"/>
    </xf>
    <xf borderId="0" fillId="23" fontId="23" numFmtId="0" xfId="0" applyAlignment="1" applyFont="1">
      <alignment horizontal="left" vertical="center"/>
    </xf>
    <xf borderId="0" fillId="23" fontId="23" numFmtId="49" xfId="0" applyAlignment="1" applyFont="1" applyNumberFormat="1">
      <alignment vertical="center"/>
    </xf>
    <xf borderId="0" fillId="23" fontId="23" numFmtId="0" xfId="0" applyAlignment="1" applyFont="1">
      <alignment vertical="center"/>
    </xf>
    <xf borderId="0" fillId="22" fontId="23" numFmtId="0" xfId="0" applyAlignment="1" applyFont="1">
      <alignment horizontal="left" readingOrder="0" vertical="center"/>
    </xf>
    <xf borderId="10" fillId="22" fontId="13" numFmtId="49" xfId="0" applyAlignment="1" applyBorder="1" applyFont="1" applyNumberFormat="1">
      <alignment vertical="center"/>
    </xf>
    <xf borderId="10" fillId="22" fontId="13" numFmtId="0" xfId="0" applyAlignment="1" applyBorder="1" applyFont="1">
      <alignment vertical="center"/>
    </xf>
    <xf borderId="0" fillId="22" fontId="13" numFmtId="49" xfId="0" applyAlignment="1" applyFont="1" applyNumberFormat="1">
      <alignment vertical="center"/>
    </xf>
    <xf borderId="0" fillId="22" fontId="23" numFmtId="49" xfId="0" applyAlignment="1" applyFont="1" applyNumberFormat="1">
      <alignment readingOrder="0" vertical="center"/>
    </xf>
    <xf borderId="0" fillId="23" fontId="23" numFmtId="49" xfId="0" applyAlignment="1" applyFont="1" applyNumberFormat="1">
      <alignment readingOrder="0" vertical="center"/>
    </xf>
    <xf borderId="0" fillId="22" fontId="23" numFmtId="164" xfId="0" applyAlignment="1" applyFont="1" applyNumberFormat="1">
      <alignment vertical="center"/>
    </xf>
    <xf borderId="0" fillId="23" fontId="23" numFmtId="164" xfId="0" applyAlignment="1" applyFont="1" applyNumberFormat="1">
      <alignment vertical="center"/>
    </xf>
    <xf borderId="10" fillId="28" fontId="13" numFmtId="49" xfId="0" applyAlignment="1" applyBorder="1" applyFont="1" applyNumberFormat="1">
      <alignment vertical="center"/>
    </xf>
    <xf borderId="10" fillId="28" fontId="13" numFmtId="0" xfId="0" applyAlignment="1" applyBorder="1" applyFont="1">
      <alignment vertical="center"/>
    </xf>
    <xf borderId="0" fillId="0" fontId="10" numFmtId="49" xfId="0" applyAlignment="1" applyFont="1" applyNumberFormat="1">
      <alignment vertical="center"/>
    </xf>
    <xf borderId="0" fillId="0" fontId="55" numFmtId="0" xfId="0" applyAlignment="1" applyFont="1">
      <alignment vertical="center"/>
    </xf>
    <xf borderId="0" fillId="0" fontId="10" numFmtId="164" xfId="0" applyAlignment="1" applyFont="1" applyNumberFormat="1">
      <alignment vertical="center"/>
    </xf>
    <xf borderId="10" fillId="25" fontId="11" numFmtId="49" xfId="0" applyAlignment="1" applyBorder="1" applyFont="1" applyNumberFormat="1">
      <alignment horizontal="center" readingOrder="0" shrinkToFit="0" vertical="center" wrapText="1"/>
    </xf>
    <xf borderId="0" fillId="29" fontId="3" numFmtId="0" xfId="0" applyAlignment="1" applyFill="1" applyFont="1">
      <alignment readingOrder="0" vertical="bottom"/>
    </xf>
    <xf borderId="0" fillId="29" fontId="3" numFmtId="49" xfId="0" applyAlignment="1" applyFont="1" applyNumberFormat="1">
      <alignment readingOrder="0" vertical="bottom"/>
    </xf>
    <xf borderId="0" fillId="29" fontId="3" numFmtId="0" xfId="0" applyAlignment="1" applyFont="1">
      <alignment readingOrder="0" vertical="bottom"/>
    </xf>
    <xf borderId="0" fillId="29" fontId="3" numFmtId="167" xfId="0" applyAlignment="1" applyFont="1" applyNumberFormat="1">
      <alignment readingOrder="0" vertical="bottom"/>
    </xf>
    <xf borderId="0" fillId="0" fontId="3" numFmtId="0" xfId="0" applyAlignment="1" applyFont="1">
      <alignment readingOrder="0" vertical="bottom"/>
    </xf>
    <xf borderId="0" fillId="0" fontId="3" numFmtId="49" xfId="0" applyAlignment="1" applyFont="1" applyNumberFormat="1">
      <alignment readingOrder="0" vertical="bottom"/>
    </xf>
    <xf borderId="0" fillId="0" fontId="3" numFmtId="0" xfId="0" applyAlignment="1" applyFont="1">
      <alignment readingOrder="0" vertical="bottom"/>
    </xf>
    <xf borderId="0" fillId="0" fontId="3" numFmtId="167" xfId="0" applyAlignment="1" applyFont="1" applyNumberFormat="1">
      <alignment readingOrder="0" vertical="bottom"/>
    </xf>
    <xf borderId="0" fillId="0" fontId="58" numFmtId="0" xfId="0" applyFont="1"/>
    <xf borderId="0" fillId="0" fontId="10" numFmtId="0" xfId="0" applyAlignment="1" applyFont="1">
      <alignment shrinkToFit="0" wrapText="1"/>
    </xf>
    <xf borderId="0" fillId="0" fontId="10" numFmtId="3" xfId="0" applyAlignment="1" applyFont="1" applyNumberFormat="1">
      <alignment shrinkToFit="0" wrapText="1"/>
    </xf>
    <xf borderId="0" fillId="30" fontId="47" numFmtId="0" xfId="0" applyAlignment="1" applyFill="1" applyFont="1">
      <alignment horizontal="center" shrinkToFit="0" vertical="center" wrapText="1"/>
    </xf>
    <xf borderId="0" fillId="30" fontId="59" numFmtId="172" xfId="0" applyAlignment="1" applyFont="1" applyNumberFormat="1">
      <alignment horizontal="center" readingOrder="0" shrinkToFit="0" vertical="center" wrapText="1"/>
    </xf>
    <xf borderId="0" fillId="30" fontId="60" numFmtId="0" xfId="0" applyAlignment="1" applyFont="1">
      <alignment readingOrder="0" vertical="center"/>
    </xf>
    <xf borderId="0" fillId="30" fontId="60" numFmtId="0" xfId="0" applyAlignment="1" applyFont="1">
      <alignment horizontal="center" readingOrder="0" shrinkToFit="0" vertical="center" wrapText="1"/>
    </xf>
    <xf borderId="0" fillId="31" fontId="47" numFmtId="0" xfId="0" applyAlignment="1" applyFill="1" applyFont="1">
      <alignment horizontal="center" shrinkToFit="0" vertical="center" wrapText="1"/>
    </xf>
    <xf borderId="0" fillId="31" fontId="61" numFmtId="0" xfId="0" applyAlignment="1" applyFont="1">
      <alignment horizontal="center" shrinkToFit="0" vertical="center" wrapText="1"/>
    </xf>
    <xf borderId="0" fillId="32" fontId="29" numFmtId="0" xfId="0" applyAlignment="1" applyFill="1" applyFont="1">
      <alignment horizontal="center" shrinkToFit="0" vertical="center" wrapText="1"/>
    </xf>
    <xf borderId="0" fillId="32" fontId="13" numFmtId="0" xfId="0" applyAlignment="1" applyFont="1">
      <alignment vertical="center"/>
    </xf>
    <xf borderId="0" fillId="0" fontId="62" numFmtId="0" xfId="0" applyAlignment="1" applyFont="1">
      <alignment horizontal="center" readingOrder="0" vertical="center"/>
    </xf>
    <xf borderId="0" fillId="0" fontId="62" numFmtId="172" xfId="0" applyAlignment="1" applyFont="1" applyNumberFormat="1">
      <alignment horizontal="center" readingOrder="0" vertical="center"/>
    </xf>
    <xf borderId="0" fillId="0" fontId="62" numFmtId="0" xfId="0" applyAlignment="1" applyFont="1">
      <alignment horizontal="center" readingOrder="0" shrinkToFit="0" vertical="center" wrapText="1"/>
    </xf>
    <xf borderId="0" fillId="0" fontId="63" numFmtId="0" xfId="0" applyAlignment="1" applyFont="1">
      <alignment horizontal="center" vertical="center"/>
    </xf>
    <xf borderId="0" fillId="18" fontId="52" numFmtId="0" xfId="0" applyAlignment="1" applyFont="1">
      <alignment shrinkToFit="0" vertical="center" wrapText="1"/>
    </xf>
    <xf borderId="0" fillId="18" fontId="51" numFmtId="172" xfId="0" applyAlignment="1" applyFont="1" applyNumberFormat="1">
      <alignment vertical="center"/>
    </xf>
    <xf borderId="0" fillId="18" fontId="23" numFmtId="0" xfId="0" applyAlignment="1" applyFont="1">
      <alignment vertical="center"/>
    </xf>
    <xf borderId="0" fillId="18" fontId="23" numFmtId="0" xfId="0" applyAlignment="1" applyFont="1">
      <alignment horizontal="left" shrinkToFit="0" vertical="center" wrapText="1"/>
    </xf>
    <xf borderId="0" fillId="18" fontId="64" numFmtId="0" xfId="0" applyAlignment="1" applyFont="1">
      <alignment horizontal="center" shrinkToFit="0" vertical="center" wrapText="1"/>
    </xf>
    <xf borderId="0" fillId="22" fontId="23" numFmtId="0" xfId="0" applyAlignment="1" applyFont="1">
      <alignment horizontal="right" shrinkToFit="0" vertical="center" wrapText="1"/>
    </xf>
    <xf borderId="0" fillId="22" fontId="23" numFmtId="0" xfId="0" applyAlignment="1" applyFont="1">
      <alignment shrinkToFit="0" vertical="center" wrapText="1"/>
    </xf>
    <xf borderId="0" fillId="22" fontId="51" numFmtId="172" xfId="0" applyAlignment="1" applyFont="1" applyNumberFormat="1">
      <alignment horizontal="center" readingOrder="0" vertical="center"/>
    </xf>
    <xf borderId="0" fillId="22" fontId="23" numFmtId="0" xfId="0" applyAlignment="1" applyFont="1">
      <alignment horizontal="center" shrinkToFit="0" vertical="center" wrapText="1"/>
    </xf>
    <xf borderId="0" fillId="22" fontId="23" numFmtId="0" xfId="0" applyAlignment="1" applyFont="1">
      <alignment horizontal="left" shrinkToFit="0" vertical="center" wrapText="1"/>
    </xf>
    <xf borderId="0" fillId="22" fontId="23" numFmtId="0" xfId="0" applyAlignment="1" applyFont="1">
      <alignment vertical="center"/>
    </xf>
    <xf borderId="0" fillId="0" fontId="13" numFmtId="0" xfId="0" applyAlignment="1" applyFont="1">
      <alignment vertical="bottom"/>
    </xf>
    <xf borderId="0" fillId="0" fontId="23" numFmtId="0" xfId="0" applyAlignment="1" applyFont="1">
      <alignment horizontal="right" shrinkToFit="0" vertical="center" wrapText="1"/>
    </xf>
    <xf borderId="0" fillId="0" fontId="23" numFmtId="0" xfId="0" applyAlignment="1" applyFont="1">
      <alignment shrinkToFit="0" vertical="center" wrapText="1"/>
    </xf>
    <xf borderId="0" fillId="0" fontId="23" numFmtId="0" xfId="0" applyAlignment="1" applyFont="1">
      <alignment horizontal="center" shrinkToFit="0" vertical="center" wrapText="1"/>
    </xf>
    <xf borderId="0" fillId="0" fontId="23" numFmtId="0" xfId="0" applyAlignment="1" applyFont="1">
      <alignment horizontal="left" shrinkToFit="0" vertical="center" wrapText="1"/>
    </xf>
    <xf borderId="0" fillId="0" fontId="23" numFmtId="0" xfId="0" applyAlignment="1" applyFont="1">
      <alignment vertical="center"/>
    </xf>
    <xf borderId="0" fillId="0" fontId="23" numFmtId="0" xfId="0" applyAlignment="1" applyFont="1">
      <alignment horizontal="center" readingOrder="0" shrinkToFit="0" vertical="center" wrapText="1"/>
    </xf>
    <xf borderId="0" fillId="0" fontId="23" numFmtId="0" xfId="0" applyAlignment="1" applyFont="1">
      <alignment horizontal="left" readingOrder="0" shrinkToFit="0" vertical="center" wrapText="1"/>
    </xf>
    <xf borderId="0" fillId="22" fontId="65" numFmtId="0" xfId="0" applyAlignment="1" applyFont="1">
      <alignment horizontal="center" vertical="center"/>
    </xf>
    <xf borderId="0" fillId="22" fontId="23" numFmtId="20" xfId="0" applyAlignment="1" applyFont="1" applyNumberFormat="1">
      <alignment shrinkToFit="0" vertical="center" wrapText="1"/>
    </xf>
    <xf borderId="0" fillId="22" fontId="23" numFmtId="49" xfId="0" applyAlignment="1" applyFont="1" applyNumberFormat="1">
      <alignment horizontal="center" shrinkToFit="0" vertical="center" wrapText="1"/>
    </xf>
    <xf borderId="0" fillId="0" fontId="23" numFmtId="49" xfId="0" applyAlignment="1" applyFont="1" applyNumberFormat="1">
      <alignment horizontal="center" shrinkToFit="0" vertical="center" wrapText="1"/>
    </xf>
    <xf borderId="0" fillId="22" fontId="51" numFmtId="49" xfId="0" applyAlignment="1" applyFont="1" applyNumberFormat="1">
      <alignment horizontal="center" shrinkToFit="0" vertical="center" wrapText="1"/>
    </xf>
    <xf borderId="0" fillId="22" fontId="23" numFmtId="0" xfId="0" applyAlignment="1" applyFont="1">
      <alignment horizontal="center" vertical="center"/>
    </xf>
    <xf borderId="0" fillId="22" fontId="23" numFmtId="0" xfId="0" applyAlignment="1" applyFont="1">
      <alignment horizontal="center" readingOrder="0" shrinkToFit="0" vertical="center" wrapText="1"/>
    </xf>
    <xf borderId="0" fillId="22" fontId="51" numFmtId="0" xfId="0" applyAlignment="1" applyFont="1">
      <alignment horizontal="left" readingOrder="0" vertical="center"/>
    </xf>
    <xf borderId="0" fillId="22" fontId="23" numFmtId="0" xfId="0" applyAlignment="1" applyFont="1">
      <alignment horizontal="left" readingOrder="0" shrinkToFit="0" vertical="center" wrapText="1"/>
    </xf>
    <xf borderId="0" fillId="22" fontId="23" numFmtId="0" xfId="0" applyAlignment="1" applyFont="1">
      <alignment readingOrder="0" shrinkToFit="0" vertical="center" wrapText="1"/>
    </xf>
    <xf borderId="0" fillId="22" fontId="51" numFmtId="0" xfId="0" applyAlignment="1" applyFont="1">
      <alignment horizontal="center" readingOrder="0" vertical="center"/>
    </xf>
    <xf borderId="0" fillId="18" fontId="13" numFmtId="0" xfId="0" applyFont="1"/>
    <xf borderId="0" fillId="18" fontId="13" numFmtId="172" xfId="0" applyFont="1" applyNumberFormat="1"/>
    <xf borderId="0" fillId="18" fontId="13" numFmtId="0" xfId="0" applyFont="1"/>
    <xf borderId="0" fillId="18" fontId="60" numFmtId="0" xfId="0" applyAlignment="1" applyFont="1">
      <alignment horizontal="center" shrinkToFit="0" wrapText="1"/>
    </xf>
    <xf borderId="0" fillId="0" fontId="13" numFmtId="0" xfId="0" applyFont="1"/>
    <xf borderId="0" fillId="0" fontId="55" numFmtId="173" xfId="0" applyAlignment="1" applyFont="1" applyNumberFormat="1">
      <alignment readingOrder="0" vertical="center"/>
    </xf>
    <xf borderId="10" fillId="22" fontId="13" numFmtId="0" xfId="0" applyBorder="1" applyFont="1"/>
    <xf borderId="0" fillId="22" fontId="13" numFmtId="49" xfId="0" applyFont="1" applyNumberFormat="1"/>
    <xf borderId="0" fillId="22" fontId="13" numFmtId="0" xfId="0" applyFont="1"/>
    <xf borderId="0" fillId="0" fontId="66" numFmtId="0" xfId="0" applyAlignment="1" applyFont="1">
      <alignment readingOrder="0"/>
    </xf>
    <xf borderId="0" fillId="0" fontId="22" numFmtId="0" xfId="0" applyAlignment="1" applyFont="1">
      <alignment horizontal="center" readingOrder="0"/>
    </xf>
    <xf borderId="0" fillId="0" fontId="22" numFmtId="0" xfId="0" applyAlignment="1" applyFont="1">
      <alignment readingOrder="0"/>
    </xf>
    <xf borderId="0" fillId="0" fontId="32" numFmtId="0" xfId="0" applyAlignment="1" applyFont="1">
      <alignment readingOrder="0"/>
    </xf>
    <xf borderId="0" fillId="0" fontId="67" numFmtId="0" xfId="0" applyAlignment="1" applyFont="1">
      <alignment horizontal="center" readingOrder="0"/>
    </xf>
    <xf borderId="0" fillId="0" fontId="32" numFmtId="0" xfId="0" applyAlignment="1" applyFont="1">
      <alignment horizontal="center"/>
    </xf>
    <xf borderId="0" fillId="0" fontId="32" numFmtId="10" xfId="0" applyFont="1" applyNumberFormat="1"/>
    <xf borderId="0" fillId="0" fontId="32" numFmtId="0" xfId="0" applyFont="1"/>
    <xf borderId="0" fillId="0" fontId="67" numFmtId="0" xfId="0" applyAlignment="1" applyFont="1">
      <alignment readingOrder="0"/>
    </xf>
    <xf borderId="0" fillId="0" fontId="68" numFmtId="0" xfId="0" applyAlignment="1" applyFont="1">
      <alignment horizontal="center" readingOrder="0"/>
    </xf>
    <xf borderId="0" fillId="0" fontId="10" numFmtId="10" xfId="0" applyFont="1" applyNumberFormat="1"/>
    <xf borderId="0" fillId="0" fontId="68" numFmtId="0" xfId="0" applyAlignment="1" applyFont="1">
      <alignment readingOrder="0"/>
    </xf>
    <xf borderId="0" fillId="22" fontId="68" numFmtId="0" xfId="0" applyAlignment="1" applyFont="1">
      <alignment horizontal="center" readingOrder="0"/>
    </xf>
    <xf borderId="0" fillId="22" fontId="10" numFmtId="10" xfId="0" applyFont="1" applyNumberFormat="1"/>
    <xf borderId="0" fillId="22" fontId="68" numFmtId="0" xfId="0" applyAlignment="1" applyFont="1">
      <alignment readingOrder="0"/>
    </xf>
    <xf borderId="0" fillId="0" fontId="68" numFmtId="10" xfId="0" applyAlignment="1" applyFont="1" applyNumberFormat="1">
      <alignment readingOrder="0"/>
    </xf>
    <xf borderId="0" fillId="0" fontId="3" numFmtId="0" xfId="0" applyAlignment="1" applyFont="1">
      <alignment readingOrder="0"/>
    </xf>
    <xf borderId="0" fillId="33" fontId="13" numFmtId="49" xfId="0" applyAlignment="1" applyFill="1" applyFont="1" applyNumberFormat="1">
      <alignment horizontal="left"/>
    </xf>
    <xf borderId="0" fillId="22" fontId="41" numFmtId="0" xfId="0" applyAlignment="1" applyFont="1">
      <alignment horizontal="center"/>
    </xf>
    <xf borderId="0" fillId="22" fontId="41" numFmtId="0" xfId="0" applyFont="1"/>
    <xf borderId="0" fillId="22" fontId="41" numFmtId="0" xfId="0" applyAlignment="1" applyFont="1">
      <alignment horizontal="center" shrinkToFit="0" wrapText="1"/>
    </xf>
    <xf borderId="0" fillId="0" fontId="13" numFmtId="49" xfId="0" applyAlignment="1" applyFont="1" applyNumberFormat="1">
      <alignment horizontal="left"/>
    </xf>
    <xf borderId="0" fillId="22" fontId="51" numFmtId="0" xfId="0" applyAlignment="1" applyFont="1">
      <alignment horizontal="center"/>
    </xf>
    <xf borderId="0" fillId="22" fontId="51" numFmtId="0" xfId="0" applyFont="1"/>
    <xf borderId="0" fillId="22" fontId="51" numFmtId="0" xfId="0" applyAlignment="1" applyFont="1">
      <alignment horizontal="center" shrinkToFit="0" wrapText="1"/>
    </xf>
    <xf borderId="0" fillId="22" fontId="51" numFmtId="0" xfId="0" applyAlignment="1" applyFont="1">
      <alignment shrinkToFit="0" wrapText="1"/>
    </xf>
    <xf borderId="11" fillId="22" fontId="41" numFmtId="0" xfId="0" applyAlignment="1" applyBorder="1" applyFont="1">
      <alignment horizontal="center" shrinkToFit="0" wrapText="1"/>
    </xf>
    <xf borderId="0" fillId="22" fontId="41" numFmtId="0" xfId="0" applyAlignment="1" applyFont="1">
      <alignment shrinkToFit="0" wrapText="1"/>
    </xf>
    <xf borderId="11" fillId="22" fontId="51" numFmtId="0" xfId="0" applyAlignment="1" applyBorder="1" applyFont="1">
      <alignment horizontal="center" shrinkToFit="0" wrapText="1"/>
    </xf>
    <xf borderId="11" fillId="22" fontId="51" numFmtId="0" xfId="0" applyAlignment="1" applyBorder="1" applyFont="1">
      <alignment horizontal="center"/>
    </xf>
    <xf borderId="0" fillId="0" fontId="15" numFmtId="49" xfId="0" applyAlignment="1" applyFont="1" applyNumberFormat="1">
      <alignment horizontal="left"/>
    </xf>
    <xf borderId="0" fillId="0" fontId="43" numFmtId="0" xfId="0" applyAlignment="1" applyFont="1">
      <alignment readingOrder="0"/>
    </xf>
    <xf borderId="11" fillId="22" fontId="41" numFmtId="0" xfId="0" applyAlignment="1" applyBorder="1" applyFont="1">
      <alignment horizontal="center" shrinkToFit="0" vertical="bottom" wrapText="1"/>
    </xf>
    <xf borderId="0" fillId="22" fontId="41" numFmtId="0" xfId="0" applyAlignment="1" applyFont="1">
      <alignment shrinkToFit="0" vertical="bottom" wrapText="1"/>
    </xf>
    <xf borderId="11" fillId="22" fontId="51" numFmtId="0" xfId="0" applyAlignment="1" applyBorder="1" applyFont="1">
      <alignment horizontal="center" shrinkToFit="0" vertical="bottom" wrapText="1"/>
    </xf>
    <xf borderId="0" fillId="22" fontId="51" numFmtId="0" xfId="0" applyAlignment="1" applyFont="1">
      <alignment shrinkToFit="0" vertical="bottom" wrapText="1"/>
    </xf>
    <xf borderId="0" fillId="22" fontId="51" numFmtId="0" xfId="0" applyAlignment="1" applyFont="1">
      <alignment vertical="bottom"/>
    </xf>
    <xf borderId="0" fillId="33" fontId="15" numFmtId="49" xfId="0" applyAlignment="1" applyFont="1" applyNumberFormat="1">
      <alignment horizontal="left"/>
    </xf>
    <xf borderId="0" fillId="0" fontId="15" numFmtId="49" xfId="0" applyAlignment="1" applyFont="1" applyNumberFormat="1">
      <alignment horizontal="left" readingOrder="0"/>
    </xf>
    <xf borderId="0" fillId="33" fontId="15" numFmtId="49" xfId="0" applyAlignment="1" applyFont="1" applyNumberFormat="1">
      <alignment horizontal="left" readingOrder="0"/>
    </xf>
    <xf borderId="0" fillId="0" fontId="25" numFmtId="49" xfId="0" applyAlignment="1" applyFont="1" applyNumberFormat="1">
      <alignment horizontal="left" readingOrder="0"/>
    </xf>
    <xf borderId="0" fillId="0" fontId="25" numFmtId="49" xfId="0" applyAlignment="1" applyFont="1" applyNumberFormat="1">
      <alignment readingOrder="0"/>
    </xf>
    <xf borderId="0" fillId="0" fontId="25" numFmtId="49" xfId="0" applyAlignment="1" applyFont="1" applyNumberFormat="1">
      <alignment horizontal="left"/>
    </xf>
    <xf borderId="0" fillId="0" fontId="25" numFmtId="49" xfId="0" applyFont="1" applyNumberFormat="1"/>
    <xf borderId="0" fillId="22" fontId="51" numFmtId="49" xfId="0" applyAlignment="1" applyFont="1" applyNumberFormat="1">
      <alignment horizontal="center" shrinkToFit="0" wrapText="1"/>
    </xf>
    <xf borderId="0" fillId="22" fontId="13" numFmtId="0" xfId="0" applyFont="1"/>
    <xf borderId="10" fillId="0" fontId="23" numFmtId="0" xfId="0" applyAlignment="1" applyBorder="1" applyFont="1">
      <alignment readingOrder="0" vertical="bottom"/>
    </xf>
    <xf borderId="0" fillId="0" fontId="3" numFmtId="0" xfId="0" applyAlignment="1" applyFont="1">
      <alignment horizontal="center" readingOrder="0" vertical="center"/>
    </xf>
    <xf borderId="10" fillId="0" fontId="23" numFmtId="0" xfId="0" applyAlignment="1" applyBorder="1" applyFont="1">
      <alignment vertical="bottom"/>
    </xf>
    <xf borderId="0" fillId="0" fontId="3" numFmtId="0" xfId="0" applyAlignment="1" applyFont="1">
      <alignment vertical="bottom"/>
    </xf>
    <xf borderId="0" fillId="0" fontId="22" numFmtId="0" xfId="0" applyAlignment="1" applyFont="1">
      <alignment horizontal="center" vertical="center"/>
    </xf>
    <xf borderId="0" fillId="0" fontId="10" numFmtId="0" xfId="0" applyAlignment="1" applyFont="1">
      <alignment readingOrder="0" vertical="center"/>
    </xf>
    <xf borderId="0" fillId="0" fontId="10" numFmtId="9" xfId="0" applyAlignment="1" applyFont="1" applyNumberFormat="1">
      <alignment horizontal="center" vertical="center"/>
    </xf>
    <xf borderId="0" fillId="0" fontId="22" numFmtId="0" xfId="0" applyAlignment="1" applyFont="1">
      <alignment vertical="center"/>
    </xf>
  </cellXfs>
  <cellStyles count="1">
    <cellStyle xfId="0" name="Normal" builtinId="0"/>
  </cellStyles>
  <dxfs count="9">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EFEFEF"/>
          <bgColor rgb="FFEFEFEF"/>
        </patternFill>
      </fill>
      <border/>
    </dxf>
    <dxf>
      <font/>
      <fill>
        <patternFill patternType="solid">
          <fgColor rgb="FFFFF2CC"/>
          <bgColor rgb="FFFFF2CC"/>
        </patternFill>
      </fill>
      <border/>
    </dxf>
    <dxf>
      <font/>
      <fill>
        <patternFill patternType="solid">
          <fgColor rgb="FFFF0000"/>
          <bgColor rgb="FFFF0000"/>
        </patternFill>
      </fill>
      <border/>
    </dxf>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Placement-style">
      <tableStyleElement dxfId="7" type="firstRowStripe"/>
      <tableStyleElement dxfId="8"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pivotCacheDefinition" Target="pivotCache/pivotCacheDefinition2.xml"/><Relationship Id="rId23" Type="http://schemas.openxmlformats.org/officeDocument/2006/relationships/pivotCacheDefinition" Target="pivotCache/pivotCacheDefinition1.xml"/><Relationship Id="rId26" Type="http://schemas.openxmlformats.org/officeDocument/2006/relationships/pivotCacheDefinition" Target="pivotCache/pivotCacheDefinition4.xml"/><Relationship Id="rId25" Type="http://schemas.openxmlformats.org/officeDocument/2006/relationships/pivotCacheDefinition" Target="pivotCache/pivotCacheDefinition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manualLayout>
          <c:xMode val="edge"/>
          <c:yMode val="edge"/>
          <c:x val="0.0"/>
          <c:y val="0.0"/>
          <c:w val="1.0"/>
          <c:h val="0.9946091644204852"/>
        </c:manualLayout>
      </c:layout>
      <c:pie3DChart>
        <c:varyColors val="1"/>
        <c:ser>
          <c:idx val="0"/>
          <c:order val="0"/>
          <c:tx>
            <c:strRef>
              <c:f>DASHBOARD!$B$22:$B$23</c:f>
            </c:strRef>
          </c:tx>
          <c:dPt>
            <c:idx val="0"/>
            <c:spPr>
              <a:solidFill>
                <a:srgbClr val="013C58"/>
              </a:solidFill>
            </c:spPr>
          </c:dPt>
          <c:dPt>
            <c:idx val="1"/>
            <c:spPr>
              <a:solidFill>
                <a:srgbClr val="A8E8F9"/>
              </a:solidFill>
            </c:spPr>
          </c:dPt>
          <c:dPt>
            <c:idx val="2"/>
            <c:spPr>
              <a:solidFill>
                <a:srgbClr val="9BBB59"/>
              </a:solidFill>
            </c:spPr>
          </c:dPt>
          <c:dPt>
            <c:idx val="3"/>
            <c:spPr>
              <a:solidFill>
                <a:srgbClr val="8064A2"/>
              </a:solidFill>
            </c:spPr>
          </c:dPt>
          <c:dPt>
            <c:idx val="4"/>
            <c:spPr>
              <a:solidFill>
                <a:srgbClr val="4BACC6"/>
              </a:solidFill>
            </c:spPr>
          </c:dPt>
          <c:dPt>
            <c:idx val="5"/>
            <c:spPr>
              <a:solidFill>
                <a:srgbClr val="F79646"/>
              </a:solidFill>
            </c:spPr>
          </c:dPt>
          <c:dLbls>
            <c:dLbl>
              <c:idx val="0"/>
              <c:txPr>
                <a:bodyPr/>
                <a:lstStyle/>
                <a:p>
                  <a:pPr lvl="0">
                    <a:defRPr>
                      <a:solidFill>
                        <a:srgbClr val="FFFFFF"/>
                      </a:solidFill>
                    </a:defRPr>
                  </a:pPr>
                </a:p>
              </c:txPr>
              <c:showLegendKey val="0"/>
              <c:showVal val="0"/>
              <c:showCatName val="0"/>
              <c:showSerName val="0"/>
              <c:showPercent val="1"/>
              <c:showBubbleSize val="0"/>
            </c:dLbl>
            <c:dLbl>
              <c:idx val="1"/>
              <c:txPr>
                <a:bodyPr/>
                <a:lstStyle/>
                <a:p>
                  <a:pPr lvl="0">
                    <a:defRPr>
                      <a:solidFill>
                        <a:srgbClr val="000000"/>
                      </a:solidFill>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DASHBOARD!$A$24:$A$29</c:f>
            </c:strRef>
          </c:cat>
          <c:val>
            <c:numRef>
              <c:f>DASHBOARD!$B$24:$B$29</c:f>
              <c:numCache/>
            </c:numRef>
          </c:val>
        </c:ser>
        <c:dLbls>
          <c:showLegendKey val="0"/>
          <c:showVal val="0"/>
          <c:showCatName val="0"/>
          <c:showSerName val="0"/>
          <c:showPercent val="0"/>
          <c:showBubbleSize val="0"/>
        </c:dLbls>
      </c:pie3DChart>
    </c:plotArea>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sheet2!$AB$3</c:f>
            </c:strRef>
          </c:tx>
          <c:spPr>
            <a:solidFill>
              <a:srgbClr val="264653"/>
            </a:solidFill>
            <a:ln cmpd="sng">
              <a:noFill/>
            </a:ln>
          </c:spPr>
          <c:cat>
            <c:strRef>
              <c:f>sheet2!$AC$2:$AI$2</c:f>
            </c:strRef>
          </c:cat>
          <c:val>
            <c:numRef>
              <c:f>sheet2!$AC$3:$AI$3</c:f>
              <c:numCache/>
            </c:numRef>
          </c:val>
        </c:ser>
        <c:ser>
          <c:idx val="1"/>
          <c:order val="1"/>
          <c:tx>
            <c:strRef>
              <c:f>sheet2!$AB$4</c:f>
            </c:strRef>
          </c:tx>
          <c:spPr>
            <a:solidFill>
              <a:srgbClr val="287271"/>
            </a:solidFill>
            <a:ln cmpd="sng">
              <a:noFill/>
            </a:ln>
          </c:spPr>
          <c:cat>
            <c:strRef>
              <c:f>sheet2!$AC$2:$AI$2</c:f>
            </c:strRef>
          </c:cat>
          <c:val>
            <c:numRef>
              <c:f>sheet2!$AC$4:$AI$4</c:f>
              <c:numCache/>
            </c:numRef>
          </c:val>
        </c:ser>
        <c:ser>
          <c:idx val="2"/>
          <c:order val="2"/>
          <c:tx>
            <c:strRef>
              <c:f>sheet2!$AB$5</c:f>
            </c:strRef>
          </c:tx>
          <c:spPr>
            <a:solidFill>
              <a:srgbClr val="2A9D8F"/>
            </a:solidFill>
            <a:ln cmpd="sng">
              <a:noFill/>
            </a:ln>
          </c:spPr>
          <c:cat>
            <c:strRef>
              <c:f>sheet2!$AC$2:$AI$2</c:f>
            </c:strRef>
          </c:cat>
          <c:val>
            <c:numRef>
              <c:f>sheet2!$AC$5:$AI$5</c:f>
              <c:numCache/>
            </c:numRef>
          </c:val>
        </c:ser>
        <c:ser>
          <c:idx val="3"/>
          <c:order val="3"/>
          <c:tx>
            <c:strRef>
              <c:f>sheet2!$AB$6</c:f>
            </c:strRef>
          </c:tx>
          <c:cat>
            <c:strRef>
              <c:f>sheet2!$AC$2:$AI$2</c:f>
            </c:strRef>
          </c:cat>
          <c:val>
            <c:numRef>
              <c:f>sheet2!$AC$6:$AI$6</c:f>
              <c:numCache/>
            </c:numRef>
          </c:val>
        </c:ser>
        <c:ser>
          <c:idx val="4"/>
          <c:order val="4"/>
          <c:tx>
            <c:strRef>
              <c:f>sheet2!$AB$7</c:f>
            </c:strRef>
          </c:tx>
          <c:cat>
            <c:strRef>
              <c:f>sheet2!$AC$2:$AI$2</c:f>
            </c:strRef>
          </c:cat>
          <c:val>
            <c:numRef>
              <c:f>sheet2!$AC$7:$AI$7</c:f>
              <c:numCache/>
            </c:numRef>
          </c:val>
        </c:ser>
        <c:ser>
          <c:idx val="5"/>
          <c:order val="5"/>
          <c:tx>
            <c:strRef>
              <c:f>sheet2!$AB$8</c:f>
            </c:strRef>
          </c:tx>
          <c:cat>
            <c:strRef>
              <c:f>sheet2!$AC$2:$AI$2</c:f>
            </c:strRef>
          </c:cat>
          <c:val>
            <c:numRef>
              <c:f>sheet2!$AC$8:$AI$8</c:f>
              <c:numCache/>
            </c:numRef>
          </c:val>
        </c:ser>
        <c:ser>
          <c:idx val="6"/>
          <c:order val="6"/>
          <c:tx>
            <c:strRef>
              <c:f>sheet2!$AB$9</c:f>
            </c:strRef>
          </c:tx>
          <c:cat>
            <c:strRef>
              <c:f>sheet2!$AC$2:$AI$2</c:f>
            </c:strRef>
          </c:cat>
          <c:val>
            <c:numRef>
              <c:f>sheet2!$AC$9:$AI$9</c:f>
              <c:numCache/>
            </c:numRef>
          </c:val>
        </c:ser>
        <c:overlap val="100"/>
        <c:axId val="152325318"/>
        <c:axId val="299632491"/>
      </c:barChart>
      <c:catAx>
        <c:axId val="1523253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sz="1400">
                <a:solidFill>
                  <a:srgbClr val="000000"/>
                </a:solidFill>
                <a:latin typeface="+mn-lt"/>
              </a:defRPr>
            </a:pPr>
          </a:p>
        </c:txPr>
        <c:crossAx val="299632491"/>
      </c:catAx>
      <c:valAx>
        <c:axId val="2996324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sz="1400">
                <a:solidFill>
                  <a:srgbClr val="000000"/>
                </a:solidFill>
                <a:latin typeface="+mn-lt"/>
              </a:defRPr>
            </a:pPr>
          </a:p>
        </c:txPr>
        <c:crossAx val="152325318"/>
      </c:valAx>
    </c:plotArea>
    <c:legend>
      <c:legendPos val="b"/>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sheet2!$AT$3</c:f>
            </c:strRef>
          </c:tx>
          <c:spPr>
            <a:solidFill>
              <a:srgbClr val="264653"/>
            </a:solidFill>
            <a:ln cmpd="sng">
              <a:noFill/>
            </a:ln>
          </c:spPr>
          <c:cat>
            <c:strRef>
              <c:f>sheet2!$AU$2:$BA$2</c:f>
            </c:strRef>
          </c:cat>
          <c:val>
            <c:numRef>
              <c:f>sheet2!$AU$3:$BA$3</c:f>
              <c:numCache/>
            </c:numRef>
          </c:val>
        </c:ser>
        <c:ser>
          <c:idx val="1"/>
          <c:order val="1"/>
          <c:tx>
            <c:strRef>
              <c:f>sheet2!$AT$4</c:f>
            </c:strRef>
          </c:tx>
          <c:spPr>
            <a:solidFill>
              <a:srgbClr val="287271"/>
            </a:solidFill>
            <a:ln cmpd="sng">
              <a:noFill/>
            </a:ln>
          </c:spPr>
          <c:cat>
            <c:strRef>
              <c:f>sheet2!$AU$2:$BA$2</c:f>
            </c:strRef>
          </c:cat>
          <c:val>
            <c:numRef>
              <c:f>sheet2!$AU$4:$BA$4</c:f>
              <c:numCache/>
            </c:numRef>
          </c:val>
        </c:ser>
        <c:ser>
          <c:idx val="2"/>
          <c:order val="2"/>
          <c:tx>
            <c:strRef>
              <c:f>sheet2!$AT$5</c:f>
            </c:strRef>
          </c:tx>
          <c:spPr>
            <a:solidFill>
              <a:srgbClr val="2A9D8F"/>
            </a:solidFill>
            <a:ln cmpd="sng">
              <a:noFill/>
            </a:ln>
          </c:spPr>
          <c:cat>
            <c:strRef>
              <c:f>sheet2!$AU$2:$BA$2</c:f>
            </c:strRef>
          </c:cat>
          <c:val>
            <c:numRef>
              <c:f>sheet2!$AU$5:$BA$5</c:f>
              <c:numCache/>
            </c:numRef>
          </c:val>
        </c:ser>
        <c:ser>
          <c:idx val="3"/>
          <c:order val="3"/>
          <c:tx>
            <c:strRef>
              <c:f>sheet2!$AT$6</c:f>
            </c:strRef>
          </c:tx>
          <c:spPr>
            <a:solidFill>
              <a:srgbClr val="8AB17D"/>
            </a:solidFill>
            <a:ln cmpd="sng">
              <a:noFill/>
            </a:ln>
          </c:spPr>
          <c:cat>
            <c:strRef>
              <c:f>sheet2!$AU$2:$BA$2</c:f>
            </c:strRef>
          </c:cat>
          <c:val>
            <c:numRef>
              <c:f>sheet2!$AU$6:$BA$6</c:f>
              <c:numCache/>
            </c:numRef>
          </c:val>
        </c:ser>
        <c:ser>
          <c:idx val="4"/>
          <c:order val="4"/>
          <c:tx>
            <c:strRef>
              <c:f>sheet2!$AT$7</c:f>
            </c:strRef>
          </c:tx>
          <c:spPr>
            <a:solidFill>
              <a:srgbClr val="E9C46A"/>
            </a:solidFill>
            <a:ln cmpd="sng">
              <a:noFill/>
            </a:ln>
          </c:spPr>
          <c:cat>
            <c:strRef>
              <c:f>sheet2!$AU$2:$BA$2</c:f>
            </c:strRef>
          </c:cat>
          <c:val>
            <c:numRef>
              <c:f>sheet2!$AU$7:$BA$7</c:f>
              <c:numCache/>
            </c:numRef>
          </c:val>
        </c:ser>
        <c:ser>
          <c:idx val="5"/>
          <c:order val="5"/>
          <c:tx>
            <c:strRef>
              <c:f>sheet2!$AT$8</c:f>
            </c:strRef>
          </c:tx>
          <c:spPr>
            <a:solidFill>
              <a:srgbClr val="F4A261"/>
            </a:solidFill>
            <a:ln cmpd="sng">
              <a:noFill/>
            </a:ln>
          </c:spPr>
          <c:dPt>
            <c:idx val="5"/>
          </c:dPt>
          <c:cat>
            <c:strRef>
              <c:f>sheet2!$AU$2:$BA$2</c:f>
            </c:strRef>
          </c:cat>
          <c:val>
            <c:numRef>
              <c:f>sheet2!$AU$8:$BA$8</c:f>
              <c:numCache/>
            </c:numRef>
          </c:val>
        </c:ser>
        <c:overlap val="100"/>
        <c:axId val="1774233650"/>
        <c:axId val="26533722"/>
      </c:barChart>
      <c:catAx>
        <c:axId val="17742336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sz="1400">
                <a:solidFill>
                  <a:srgbClr val="000000"/>
                </a:solidFill>
                <a:latin typeface="+mn-lt"/>
              </a:defRPr>
            </a:pPr>
          </a:p>
        </c:txPr>
        <c:crossAx val="26533722"/>
      </c:catAx>
      <c:valAx>
        <c:axId val="265337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sz="1400">
                <a:solidFill>
                  <a:srgbClr val="000000"/>
                </a:solidFill>
                <a:latin typeface="+mn-lt"/>
              </a:defRPr>
            </a:pPr>
          </a:p>
        </c:txPr>
        <c:crossAx val="1774233650"/>
      </c:valAx>
    </c:plotArea>
    <c:legend>
      <c:legendPos val="b"/>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strRef>
              <c:f>PROGRESS!$A$2</c:f>
            </c:strRef>
          </c:tx>
          <c:spPr>
            <a:solidFill>
              <a:srgbClr val="BD0F72"/>
            </a:solidFill>
            <a:ln cmpd="sng">
              <a:noFill/>
            </a:ln>
          </c:spPr>
          <c:dPt>
            <c:idx val="2"/>
          </c:dPt>
          <c:dLbls>
            <c:numFmt formatCode="General" sourceLinked="1"/>
            <c:txPr>
              <a:bodyPr/>
              <a:lstStyle/>
              <a:p>
                <a:pPr lvl="0">
                  <a:defRPr sz="1200"/>
                </a:pPr>
              </a:p>
            </c:txPr>
            <c:showLegendKey val="0"/>
            <c:showVal val="1"/>
            <c:showCatName val="0"/>
            <c:showSerName val="0"/>
            <c:showPercent val="0"/>
            <c:showBubbleSize val="0"/>
          </c:dLbls>
          <c:cat>
            <c:strRef>
              <c:f>PROGRESS!$B$1:$I$1</c:f>
            </c:strRef>
          </c:cat>
          <c:val>
            <c:numRef>
              <c:f>PROGRESS!$B$2:$I$2</c:f>
              <c:numCache/>
            </c:numRef>
          </c:val>
        </c:ser>
        <c:ser>
          <c:idx val="1"/>
          <c:order val="1"/>
          <c:tx>
            <c:strRef>
              <c:f>PROGRESS!$A$3</c:f>
            </c:strRef>
          </c:tx>
          <c:spPr>
            <a:solidFill>
              <a:srgbClr val="FDC42D"/>
            </a:solidFill>
            <a:ln cmpd="sng">
              <a:noFill/>
            </a:ln>
          </c:spPr>
          <c:dPt>
            <c:idx val="1"/>
          </c:dPt>
          <c:dLbls>
            <c:numFmt formatCode="General" sourceLinked="1"/>
            <c:txPr>
              <a:bodyPr/>
              <a:lstStyle/>
              <a:p>
                <a:pPr lvl="0">
                  <a:defRPr sz="1200"/>
                </a:pPr>
              </a:p>
            </c:txPr>
            <c:showLegendKey val="0"/>
            <c:showVal val="1"/>
            <c:showCatName val="0"/>
            <c:showSerName val="0"/>
            <c:showPercent val="0"/>
            <c:showBubbleSize val="0"/>
          </c:dLbls>
          <c:cat>
            <c:strRef>
              <c:f>PROGRESS!$B$1:$I$1</c:f>
            </c:strRef>
          </c:cat>
          <c:val>
            <c:numRef>
              <c:f>PROGRESS!$B$3:$I$3</c:f>
              <c:numCache/>
            </c:numRef>
          </c:val>
        </c:ser>
        <c:ser>
          <c:idx val="2"/>
          <c:order val="2"/>
          <c:tx>
            <c:strRef>
              <c:f>PROGRESS!$A$4</c:f>
            </c:strRef>
          </c:tx>
          <c:spPr>
            <a:solidFill>
              <a:srgbClr val="F3722C"/>
            </a:solidFill>
            <a:ln cmpd="sng">
              <a:noFill/>
            </a:ln>
          </c:spPr>
          <c:dPt>
            <c:idx val="1"/>
          </c:dPt>
          <c:dPt>
            <c:idx val="6"/>
          </c:dPt>
          <c:dLbls>
            <c:numFmt formatCode="General" sourceLinked="1"/>
            <c:txPr>
              <a:bodyPr/>
              <a:lstStyle/>
              <a:p>
                <a:pPr lvl="0">
                  <a:defRPr sz="1200"/>
                </a:pPr>
              </a:p>
            </c:txPr>
            <c:showLegendKey val="0"/>
            <c:showVal val="1"/>
            <c:showCatName val="0"/>
            <c:showSerName val="0"/>
            <c:showPercent val="0"/>
            <c:showBubbleSize val="0"/>
          </c:dLbls>
          <c:cat>
            <c:strRef>
              <c:f>PROGRESS!$B$1:$I$1</c:f>
            </c:strRef>
          </c:cat>
          <c:val>
            <c:numRef>
              <c:f>PROGRESS!$B$4:$I$4</c:f>
              <c:numCache/>
            </c:numRef>
          </c:val>
        </c:ser>
        <c:ser>
          <c:idx val="3"/>
          <c:order val="3"/>
          <c:tx>
            <c:strRef>
              <c:f>PROGRESS!$A$5</c:f>
            </c:strRef>
          </c:tx>
          <c:spPr>
            <a:solidFill>
              <a:srgbClr val="007E87"/>
            </a:solidFill>
            <a:ln cmpd="sng">
              <a:noFill/>
            </a:ln>
          </c:spPr>
          <c:dPt>
            <c:idx val="6"/>
          </c:dPt>
          <c:dLbls>
            <c:numFmt formatCode="General" sourceLinked="1"/>
            <c:txPr>
              <a:bodyPr/>
              <a:lstStyle/>
              <a:p>
                <a:pPr lvl="0">
                  <a:defRPr sz="1200"/>
                </a:pPr>
              </a:p>
            </c:txPr>
            <c:showLegendKey val="0"/>
            <c:showVal val="1"/>
            <c:showCatName val="0"/>
            <c:showSerName val="0"/>
            <c:showPercent val="0"/>
            <c:showBubbleSize val="0"/>
          </c:dLbls>
          <c:cat>
            <c:strRef>
              <c:f>PROGRESS!$B$1:$I$1</c:f>
            </c:strRef>
          </c:cat>
          <c:val>
            <c:numRef>
              <c:f>PROGRESS!$B$5:$I$5</c:f>
              <c:numCache/>
            </c:numRef>
          </c:val>
        </c:ser>
        <c:ser>
          <c:idx val="4"/>
          <c:order val="4"/>
          <c:tx>
            <c:strRef>
              <c:f>PROGRESS!$A$6</c:f>
            </c:strRef>
          </c:tx>
          <c:spPr>
            <a:solidFill>
              <a:srgbClr val="C1D3FE"/>
            </a:solidFill>
            <a:ln cmpd="sng">
              <a:noFill/>
            </a:ln>
          </c:spPr>
          <c:dPt>
            <c:idx val="1"/>
          </c:dPt>
          <c:dPt>
            <c:idx val="5"/>
          </c:dPt>
          <c:dPt>
            <c:idx val="6"/>
          </c:dPt>
          <c:dLbls>
            <c:numFmt formatCode="General" sourceLinked="1"/>
            <c:txPr>
              <a:bodyPr/>
              <a:lstStyle/>
              <a:p>
                <a:pPr lvl="0">
                  <a:defRPr sz="1200"/>
                </a:pPr>
              </a:p>
            </c:txPr>
            <c:showLegendKey val="0"/>
            <c:showVal val="1"/>
            <c:showCatName val="0"/>
            <c:showSerName val="0"/>
            <c:showPercent val="0"/>
            <c:showBubbleSize val="0"/>
          </c:dLbls>
          <c:cat>
            <c:strRef>
              <c:f>PROGRESS!$B$1:$I$1</c:f>
            </c:strRef>
          </c:cat>
          <c:val>
            <c:numRef>
              <c:f>PROGRESS!$B$6:$I$6</c:f>
              <c:numCache/>
            </c:numRef>
          </c:val>
        </c:ser>
        <c:ser>
          <c:idx val="5"/>
          <c:order val="5"/>
          <c:tx>
            <c:strRef>
              <c:f>PROGRESS!$A$7</c:f>
            </c:strRef>
          </c:tx>
          <c:spPr>
            <a:solidFill>
              <a:srgbClr val="3C78D8"/>
            </a:solidFill>
            <a:ln cmpd="sng">
              <a:noFill/>
            </a:ln>
          </c:spPr>
          <c:dPt>
            <c:idx val="1"/>
          </c:dPt>
          <c:dPt>
            <c:idx val="6"/>
          </c:dPt>
          <c:dLbls>
            <c:numFmt formatCode="General" sourceLinked="1"/>
            <c:txPr>
              <a:bodyPr/>
              <a:lstStyle/>
              <a:p>
                <a:pPr lvl="0">
                  <a:defRPr sz="1200"/>
                </a:pPr>
              </a:p>
            </c:txPr>
            <c:showLegendKey val="0"/>
            <c:showVal val="1"/>
            <c:showCatName val="0"/>
            <c:showSerName val="0"/>
            <c:showPercent val="0"/>
            <c:showBubbleSize val="0"/>
          </c:dLbls>
          <c:cat>
            <c:strRef>
              <c:f>PROGRESS!$B$1:$I$1</c:f>
            </c:strRef>
          </c:cat>
          <c:val>
            <c:numRef>
              <c:f>PROGRESS!$B$7:$I$7</c:f>
              <c:numCache/>
            </c:numRef>
          </c:val>
        </c:ser>
        <c:ser>
          <c:idx val="6"/>
          <c:order val="6"/>
          <c:tx>
            <c:strRef>
              <c:f>PROGRESS!$A$8</c:f>
            </c:strRef>
          </c:tx>
          <c:spPr>
            <a:solidFill>
              <a:srgbClr val="C27BA0"/>
            </a:solidFill>
            <a:ln cmpd="sng">
              <a:noFill/>
            </a:ln>
          </c:spPr>
          <c:dPt>
            <c:idx val="1"/>
          </c:dPt>
          <c:dPt>
            <c:idx val="3"/>
          </c:dPt>
          <c:dPt>
            <c:idx val="6"/>
          </c:dPt>
          <c:dPt>
            <c:idx val="7"/>
          </c:dPt>
          <c:dLbls>
            <c:numFmt formatCode="General" sourceLinked="1"/>
            <c:txPr>
              <a:bodyPr/>
              <a:lstStyle/>
              <a:p>
                <a:pPr lvl="0">
                  <a:defRPr sz="1200"/>
                </a:pPr>
              </a:p>
            </c:txPr>
            <c:showLegendKey val="0"/>
            <c:showVal val="1"/>
            <c:showCatName val="0"/>
            <c:showSerName val="0"/>
            <c:showPercent val="0"/>
            <c:showBubbleSize val="0"/>
          </c:dLbls>
          <c:cat>
            <c:strRef>
              <c:f>PROGRESS!$B$1:$I$1</c:f>
            </c:strRef>
          </c:cat>
          <c:val>
            <c:numRef>
              <c:f>PROGRESS!$B$8:$I$8</c:f>
              <c:numCache/>
            </c:numRef>
          </c:val>
        </c:ser>
        <c:overlap val="100"/>
        <c:axId val="1693423839"/>
        <c:axId val="362983772"/>
      </c:barChart>
      <c:catAx>
        <c:axId val="169342383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sz="1400">
                <a:solidFill>
                  <a:srgbClr val="000000"/>
                </a:solidFill>
                <a:latin typeface="+mn-lt"/>
              </a:defRPr>
            </a:pPr>
          </a:p>
        </c:txPr>
        <c:crossAx val="362983772"/>
      </c:catAx>
      <c:valAx>
        <c:axId val="36298377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93423839"/>
        <c:crosses val="max"/>
      </c:valAx>
    </c:plotArea>
    <c:legend>
      <c:legendPos val="b"/>
      <c:overlay val="0"/>
      <c:txPr>
        <a:bodyPr/>
        <a:lstStyle/>
        <a:p>
          <a:pPr lvl="0">
            <a:defRPr b="0" sz="140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209550</xdr:colOff>
      <xdr:row>14</xdr:row>
      <xdr:rowOff>161925</xdr:rowOff>
    </xdr:from>
    <xdr:ext cx="3924300" cy="24288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27</xdr:col>
      <xdr:colOff>9525</xdr:colOff>
      <xdr:row>10</xdr:row>
      <xdr:rowOff>171450</xdr:rowOff>
    </xdr:from>
    <xdr:ext cx="5391150" cy="339090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45</xdr:col>
      <xdr:colOff>76200</xdr:colOff>
      <xdr:row>12</xdr:row>
      <xdr:rowOff>19050</xdr:rowOff>
    </xdr:from>
    <xdr:ext cx="5276850" cy="3390900"/>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10</xdr:row>
      <xdr:rowOff>0</xdr:rowOff>
    </xdr:from>
    <xdr:ext cx="5019675" cy="10191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10</xdr:row>
      <xdr:rowOff>85725</xdr:rowOff>
    </xdr:from>
    <xdr:ext cx="12011025"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ao Anh" id="{1a382892-87aa-4833-b900-ed72064df540}"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W1:Z1593" sheet="sheet2"/>
  </cacheSource>
  <cacheFields>
    <cacheField name="Emp Code&#10;(unique)" numFmtId="49">
      <sharedItems containsBlank="1">
        <e v="#REF!"/>
        <m/>
        <s v="213947"/>
        <s v="247245"/>
        <s v="227144"/>
        <s v="247359"/>
        <s v="237061"/>
        <s v="227008"/>
      </sharedItems>
    </cacheField>
    <cacheField name="Role&#10;(unique)" numFmtId="0">
      <sharedItems containsBlank="1">
        <e v="#REF!"/>
        <e v="#N/A"/>
        <s v="QC"/>
        <s v="DEV"/>
        <m/>
      </sharedItems>
    </cacheField>
    <cacheField name="Group Role" numFmtId="0">
      <sharedItems containsBlank="1">
        <e v="#REF!"/>
        <e v="#N/A"/>
        <s v="QC"/>
        <s v="DEV, TA"/>
        <m/>
      </sharedItems>
    </cacheField>
    <cacheField name="BU&#10;(unique)" numFmtId="0">
      <sharedItems containsBlank="1">
        <e v="#REF!"/>
        <e v="#N/A"/>
        <s v="MOC"/>
        <s v="LBU"/>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E1593" sheet="sheet2"/>
  </cacheSource>
  <cacheFields>
    <cacheField name="Full Name" numFmtId="0">
      <sharedItems containsBlank="1">
        <s v="VŨ TÚ ANH"/>
        <s v="LÊ THỊ THU HIỀN"/>
        <s v="LÝ THỊ DIỄM MY"/>
        <s v="NGUYỄN THỊ NGỌC DUNG"/>
        <s v="TRẦN THỊ THANH NGA"/>
        <s v="TRẦN THỊ THÙY DUNG"/>
        <s v="ĐỖ CHÂU BỬU"/>
        <s v="ĐOÀN TRẦN BÁ ĐẠT"/>
        <s v="NGÔ TRỌNG NGHĨA"/>
        <s v="NGUYỄN VĂN HOÀNG"/>
        <s v="TRẦN ĐỨC LỢI"/>
        <s v="TRƯƠNG ĐĂNG QUANG"/>
        <s v="VĂN TÂN LỢI"/>
        <s v="VÕ PHÚ PHÁT"/>
        <s v="PHẠM LÊ HOÀI PHƯƠNG"/>
        <s v="NGÔ THỤY THANH NHƯ"/>
        <s v="NGUYỄN NGỌC NGUYỆT NGÂN"/>
        <s v="NGUYỄN THỊ HIỀN NI"/>
        <s v="PHAN HỮU CƯỜNG"/>
        <s v="NGUYỄN LÊ KHOA"/>
        <s v="NGUYỄN VĂN MẠNH CƯỜNG"/>
        <s v="BÙI NGỌC QUỐC"/>
        <s v="ĐẶNG QUỐC MẠNH"/>
        <s v="HOÀNG XUÂN MẪN"/>
        <s v="HUỲNH TUẤN KHANH"/>
        <s v="NGUYỄN ĐÔNG HỒ"/>
        <s v="PHAN CÔNG TOẠI"/>
        <s v="TRẦN KHANG"/>
        <s v="VÕ ĐỒNG ĐỨC DUY"/>
        <s v="NGUYỄN ANH ĐỨC"/>
        <s v="LÊ THỊ LAN HƯƠNG"/>
        <s v="NGUYỄN MINH THƯ"/>
        <s v="NGUYỄN TRỌNG BÌNH NGUYÊN"/>
        <s v="PHẠM THỊ BÍCH THÚY"/>
        <s v="NGUYỄN TẤT ĐẠT"/>
        <s v="ĐỖ HOÀNG MINH HUY"/>
        <s v="HUỲNH BỬU BỬU"/>
        <s v="NGUYỄN THIÊN ÂN"/>
        <s v="NGUYỄN ĐỨC NHẬT"/>
        <s v="HUỲNH NGUYÊN KHANG"/>
        <s v="PHAN THẾ AN"/>
        <s v="TRẦN NGỌC PHƯỚC HOÀNG"/>
        <s v="TRANG KỲ ANH"/>
        <s v="ĐINH TRƯƠNG THANH TUYỀN"/>
        <s v="ĐỖ VŨ GIA LONG"/>
        <s v="ĐOÀN KHÁNH NGUYÊN"/>
        <s v="VÕ DUY KIỆT"/>
        <s v="TRẦN ĐÌNH CHIẾN"/>
        <s v="HUỲNH TẤN PHÁT"/>
        <s v="LÊ HOÀNG NGUYỄN"/>
        <s v="PHẠM HỮU TUẤN"/>
        <s v="TRẦN VĂN HÀ"/>
        <s v="NGUYỄN THÙY GIANG"/>
        <s v="ĐÀO SỸ THỜI"/>
        <s v="LƯƠNG TRÀ VY"/>
        <s v="NGUYỄN QUANG TRUNG"/>
        <s v="NGUYỄN THÀNH PHI"/>
        <s v="NGUYỄN THỊ HỒNG ĐÀO"/>
        <s v="LẠC MINH HOÀNG"/>
        <s v="TRẦN NHƯ TRÂM ANH"/>
        <s v="HOÀNG MINH DUY"/>
        <s v="HUỲNH NHẬT DUY"/>
        <s v="MAI THỊ THÙY TRANG"/>
        <s v="VÕ CAO TRÍ"/>
        <s v="NGUYỄN VĂN ĐỨC"/>
        <s v="BÙI HUỲNH TRUNG TÍN"/>
        <s v="NGUYỄN CÔNG ĐOÀN"/>
        <s v="NGUYỄN KHÁNH UYÊN"/>
        <s v="TĂNG HOÀNG YẾN"/>
        <s v="LƯƠNG ANH TUẤN"/>
        <s v="ĐOÀN NHẬT QUANG"/>
        <s v="DƯƠNG HOÀNG LONG"/>
        <s v="HUỲNH TẤN LỘC"/>
        <s v="LẠI MINH HIẾU"/>
        <s v="NGUYỄN HOÀNG HẠ UYÊN"/>
        <s v="NGUYỄN HỮU NGHỊ"/>
        <s v="LÊ TRẦN XUÂN LÃNH"/>
        <s v="HOÀNG NGỌC THẲNG"/>
        <s v="HUỲNH PHÚC TRƯỜNG"/>
        <s v="NGUYỄN QUỐC TUẤN"/>
        <s v="TRẦN ANH DUY"/>
        <s v="TRẦN DƯƠNG HOÀN MỸ"/>
        <s v="TRẦN THỊ NI NA"/>
        <s v="LÝ THỊ BÉ XÍU"/>
        <s v="NGUYỄN CÔNG HẬU"/>
        <s v="Nguyen Hoai Nam"/>
        <s v="VŨ THANH THẢO"/>
        <s v="Chu Thị Lệ Quỳnh"/>
        <s v="HỒ MẠNH DŨNG"/>
        <s v="LÊ MINH DUY"/>
        <s v="NGUYỄN NGỌC HOÀNG BẢO TRÂN"/>
        <s v="TRẦN ĐÌNH AN"/>
        <s v="VÕ NGUYỄN DUY ANH"/>
        <s v="NGUYỄN ĐẶNG NGỌC MINH"/>
        <s v="NGUYỄN VĂN THÁI"/>
        <s v="ÔNG HOÀI THỊNH"/>
        <s v="PHẠM HỒ LƯỢNG"/>
        <s v="THÁI TRẦN HỒNG PHÚC"/>
        <s v="TRẦN THẾ ANH"/>
        <s v="BÙI MINH NHẬT"/>
        <s v="DƯƠNG THỊ HƯƠNG LAN"/>
        <s v="HOÀNG NHƯ QUỲNH"/>
        <s v="LÊ THỊ LAN ANH"/>
        <s v="NGUYỄN ĐẠT THỊNH"/>
        <s v="NGUYỄN THỊ THÙY TRANG"/>
        <s v="PHAN LÊ HỒNG LEL"/>
        <s v="TRẦN THỊ ÁNH NGUYỆT"/>
        <s v="PHAN ĐÌNH MINH NHẬT"/>
        <s v="HOÀNG NAM VƯƠNG"/>
        <s v="NGUYỄN HOÀNG GIANG"/>
        <s v="TRẦN THANH HIẾU"/>
        <s v="NGÔ MINH HIẾU"/>
        <s v="TRẦN QUỐC VIỆT"/>
        <s v="VŨ NHẬT MINH TRƯỜNG"/>
        <s v="LÊ ANH TIẾN"/>
        <s v="LƯƠNG MINH QUÂN"/>
        <s v="NGUYỄN MINH DUY"/>
        <s v="NGUYỄN QUÍ EM"/>
        <s v="ĐOÀN QUANG TUẤN"/>
        <s v="ĐƯỜNG QUANG HUY"/>
        <s v="TRẦN ĐỨC NAM"/>
        <s v="TRẦN NHỰT TÂN"/>
        <s v="LÊ THỊ DIỄM QUYÊN"/>
        <s v="PHAN THU THẢO"/>
        <s v="TRẦN KIM HẰNG"/>
        <s v="TRẦN QUANG TỐNG"/>
        <s v="TRẦN VĨNH PHÚC"/>
        <s v="TRƯƠNG TRUNG THIÊN"/>
        <s v="LÊ HỒNG QUÂN"/>
        <s v="LÊ THANH SƠN"/>
        <s v="LÝ KHÁNH LONG"/>
        <s v="NGUYỄN BÁ PHI NHẬT"/>
        <s v="NGUYỄN LÝ KHÁNH HUY"/>
        <s v="PHÙNG ĐÌNH HUY"/>
        <s v="QUÁCH NHẬT TRUNG"/>
        <s v="LƯƠNG CÔNG KỲ"/>
        <s v="NGUYỄN BÁ NGỌC"/>
        <s v="NGUYỄN NHẬT HÀO"/>
        <s v="PHAN HUY NHÂN"/>
        <s v="VÕ CHÍ THIỆN"/>
        <s v="HOÀNG TIẾN DŨNG"/>
        <s v="ĐOÀN ANH MINH"/>
        <s v="NGUYỄN HOÀNG PHÚC"/>
        <s v="NGUYỄN PHÚC THANH TOÀN"/>
        <s v="NGUYỄN THÀNH PHƯỚC"/>
        <s v="THỚI PHI LONG"/>
        <s v="TÔ DIỆP THIÊN ANH"/>
        <s v="ĐỖ GIA KHÁNH"/>
        <s v="LÊ PHƯỚC THIỆN"/>
        <s v="NGUYỄN BẢO ĐẠT"/>
        <s v="NGUYỄN NGỌC PHƯƠNG NHI"/>
        <s v="THÁI NHẬT TÂN"/>
        <s v="TRẦN THỊ HOÀN MỸ"/>
        <s v="HỒ HUỲNH THÔNG"/>
        <s v="NGUYỄN TẤN HUY"/>
        <s v="PHẠM ĐỨC ÁO"/>
        <s v="TÔ PHƯỚC THÁI"/>
        <s v="TRẦN HƯƠNG QUỲNH"/>
        <s v="TỪ NGUYỄN MINH NHẬT"/>
        <s v="VÕ THỊ TUYẾT HỒNG"/>
        <s v="NGUYỄN PHAN THẾ VINH"/>
        <s v="CHU KHÁNH LINH"/>
        <s v="LÂM VĂN TIẾN"/>
        <s v="LE MINH TRUONG"/>
        <s v="LE VAN DONG TAM"/>
        <s v="NGUYỄN TRANG QUỲNH NHƯ"/>
        <s v="NGUYỄN TRÚC DUYÊN"/>
        <s v="PHAN QUỐC BÌNH"/>
        <s v="LÊ ĐẮC CƯỜNG"/>
        <s v="ĐỖ THANH TÙNG"/>
        <s v="LÊ CÔNG DUY"/>
        <s v="NGUYỄN PHI LONG"/>
        <s v="VŨ ANH THƯ"/>
        <s v="VŨ ANH TÚ"/>
        <s v="PHẠM THỊ OANH THƠ"/>
        <s v="DƯƠNG LÊ XUÂN KHANG"/>
        <s v="HOÀNG ĐĂNG TRIỆU"/>
        <s v="NGUYỄN QUỐC DUY"/>
        <s v="NGUYỄN THỊ NGỌC LỮ"/>
        <s v="NGUYỄN TRẦN LỆ DUYÊN"/>
        <s v="TRẦN THỊ YẾN"/>
        <s v="ĐẶNG QUỐC VIỆT"/>
        <s v="ĐOÀN QUỐC HẢI"/>
        <s v="NGUYỄN THẢO QUỲNH NHƯ"/>
        <s v="PHẠM NGỌC ANH DUYÊN"/>
        <s v="VÕ QUỐC THIÊN"/>
        <s v="VÕ THỊ THU HƯƠNG"/>
        <s v="NGUYỄN VĂN TÀI"/>
        <s v="PHẠM HOÀNG THÁI SƠN"/>
        <s v="PHẠM HUY HOÀNG"/>
        <s v="TRẦN MINH TRIẾT"/>
        <s v="PHẠM HỒNG THIÊN TÀI"/>
        <s v="LÊ MINH PHƯỚC"/>
        <s v="LÊ NHẬT LINH"/>
        <s v="LÊ TRIỆU HUẤN"/>
        <s v="NGUYỄN DOÃN NAM"/>
        <s v="HÀ TRẦN TUẤN ANH"/>
        <s v="HUỲNH TRẦN HẢI LONG"/>
        <s v="LÊ VĂN SƠN"/>
        <s v="NGUYỄN TẤN PHÁT"/>
        <s v="TRẦN QUANG ĐẠO"/>
        <s v="TRẦN THANH ĐIỀN"/>
        <s v="TRẦN XUÂN KHOA"/>
        <s v="HUỲNH THỊ BẢO YẾN"/>
        <s v="NGUYỄN THỊ HOÀNG OANH"/>
        <s v="TRẦN THỊ HOÀI THƯƠNG"/>
        <s v="LÂM THỊ YẾN NHI"/>
        <s v="NGUYỄN THÁI SƠN"/>
        <s v="NGUYỄN TRẦN HOÀI MỸ"/>
        <s v="NGUYỄN VĂN HÙNG"/>
        <s v="TÔN THÀNH AN"/>
        <s v="TRẦN MINH TRUNG"/>
        <s v="NGUYỄN THỊ LOAN"/>
        <s v="NGUYỄN LÊ HOÀNG VĂN"/>
        <s v="BẠCH NAM MINH TRÍ"/>
        <s v="ĐINH TIẾN ĐẠT"/>
        <s v="LÊ NGỌC TRUNG HIẾU"/>
        <s v="TRƯƠNG NHỰT MINH THƯ"/>
        <s v="VŨ THỊ HỒNG LIÊN"/>
        <s v="NGUYỄN MINH QUÂN"/>
        <s v="ĐẶNG GIA LỘC"/>
        <s v="LÊ NHẬT"/>
        <s v="NGUYỄN ĐỨC ANH"/>
        <s v="NGUYỄN QUANG ĐỨC"/>
        <s v="PHẠM MAI NHẬT"/>
        <s v="TRẦN NHỰT DUY"/>
        <s v="TRƯƠNG ĐÌNH ÁNH"/>
        <s v="VÕ CHÍ ĐẠI"/>
        <s v="Nguyễn Hồng Mỹ"/>
        <s v="Nguyễn Hữu Phước"/>
        <s v="Trần Quốc Hiệp"/>
        <s v="Trần Tuấn Kiệt"/>
        <s v="TRẦN VĨNH THUẬN"/>
        <s v="PHÙNG QUANG THÀNH"/>
        <s v="PHẠM NGUYỄN TRƯỜNG BẢO"/>
        <s v="PHAN GIA LỘC"/>
        <s v="ĐÀO TRUNG HIẾU"/>
        <s v="LÊ THỊ HOÀNG KIM"/>
        <s v="NGUYỄN HỮU TRƯỜNG"/>
        <s v="NGUYỄN THỊ KIM OANH"/>
        <s v="NGUYỄN VŨ LUÂN"/>
        <s v="NGUYEN DUY PHU"/>
        <s v="LÂM MINH HOÀNG"/>
        <s v="NGUYỄN BẢO DUY"/>
        <s v="NGUYỄN THÀNH NHÂN"/>
        <s v="NGUYỄN THANH TÙNG"/>
        <s v="NGUYỄN TRẦN MINH NGHĨA"/>
        <s v="PHẠM TƯỜNG NHÂN"/>
        <s v="TRẦN ĐỨC VINH"/>
        <s v="GIANG KHIẾT ĐÌNH"/>
        <s v="NGUYỄN HOÀNG BẢO TRÂN"/>
        <s v="NGUYỄN THẾ ANH"/>
        <s v="PHẠM LÊ QUỲNH HƯƠNG"/>
        <s v="NGUYỄN MINH LIÊN"/>
        <s v="LÊ MINH HY"/>
        <s v="NGUYEN HUU DUY"/>
        <s v="NGUYỄN THỊ KIM TRANG"/>
        <s v="PHẠM HUỲNH TÂN"/>
        <s v="NGUYỄN TRƯƠNG BẢO QUYÊN"/>
        <s v="NGUYỄN PHÚC VINH"/>
        <s v="TRẦN THỊ HUỲNH NHƯ"/>
        <s v="VÕ THỊ HƯƠNG GIANG"/>
        <s v="Tạ Thiên Phước (Noah)"/>
        <s v="Nguyễn Đặng Khương Duy (Dustin)"/>
        <s v="Nguyễn Hà Vi (V)"/>
        <s v="Phạm Ngọc Hưng (Zero)"/>
        <s v="Tạ Phạm Minh Chương (Chivas)"/>
        <s v="Trần Hùng Cường (Ethan)"/>
        <s v="Nguyễn Quốc Thái"/>
        <s v="Nguyễn Đình Mạnh"/>
        <s v="Đinh Bộ Lĩnh"/>
        <s v="Cao Ngọc Nguyên"/>
        <s v="Trần Hoàng Tuấn"/>
        <s v="Hồ Phạm Sĩ Hùng"/>
        <s v="Trương Quốc Quy"/>
        <s v="Nguyễn Ngọc Thạch"/>
        <s v="Bùi Quang Khôi"/>
        <s v="Nguyễn Hoàng Hải"/>
        <s v="Đặng Thanh Túc"/>
        <s v="Nguyen Tran Minh Nghia"/>
        <s v="Ngô Thị Huyền Trang (Joyce)"/>
        <s v="Lê Trọng Ân"/>
        <s v="Trần Ánh Tuyết (Taylor)"/>
        <s v="Nguyễn Kim Khánh (Annie)"/>
        <s v="Lê Tuyết Ngân"/>
        <s v="Nguyễn Ngọc Hào"/>
        <s v="Nguyễn Thị Thùy Linh"/>
        <s v="CHUNG QUANG PHƯƠNG"/>
        <s v="ĐINH QUỐC HUẤN"/>
        <s v="ĐỖ NGỌC THÀNH"/>
        <s v="LÊ THẾ PHƯƠNG"/>
        <s v="NGUYỄN ĐỨC TIẾN"/>
        <s v="NGUYỄN DUY PHÚ"/>
        <s v="NGUYỄN HUỲNH SƠN"/>
        <s v="NGUYỄN MINH QUANG"/>
        <s v="THẠCH THÁI HUY"/>
        <s v="Bui Duy Tan"/>
        <s v="Le Thi Diem Phuong"/>
        <s v="Tran Thi Huyen Tran"/>
        <s v="Trang Duy Thông"/>
        <s v="Nguyen Huynh Thao Tien"/>
        <s v="Pham Thai Duong"/>
        <s v="Tran Hai Phong"/>
        <s v="Tran Dang Ngoc Vu"/>
        <s v="Le Tan"/>
        <s v="Ho Phuc"/>
        <s v="Nguyen Ngoc Anh Duy"/>
        <m/>
      </sharedItems>
    </cacheField>
    <cacheField name="Class Code" numFmtId="49">
      <sharedItems containsBlank="1">
        <s v="EL001"/>
        <s v="EL002"/>
        <s v="EL003"/>
        <s v="EL004"/>
        <s v="EL005"/>
        <s v="EL006"/>
        <s v="EL007"/>
        <s v="EL008"/>
        <s v="EL009"/>
        <s v="EL010"/>
        <s v="EL011"/>
        <s v="EL012"/>
        <s v="EL013"/>
        <s v="EL014"/>
        <s v="EL015"/>
        <s v="EL016"/>
        <s v="EL017"/>
        <s v="EL018"/>
        <s v="EL019"/>
        <s v="EL020"/>
        <s v="EL021"/>
        <s v="EL022"/>
        <s v="EL023"/>
        <s v="EL024"/>
        <s v="EL025"/>
        <s v="EL026"/>
        <s v="EL027"/>
        <s v="EL028"/>
        <s v="EL029"/>
        <s v="EL030"/>
        <s v="EL031"/>
        <s v="EL032"/>
        <s v="EL033"/>
        <s v="EL034"/>
        <s v="EL035"/>
        <s v="EL037"/>
        <s v="EL038"/>
        <s v="EL039"/>
        <s v="EL040"/>
        <s v="EL041"/>
        <s v="EL042"/>
        <s v="EL043"/>
        <s v="EL044"/>
        <s v="EL045"/>
        <s v="EL046"/>
        <s v="EL047"/>
        <s v="EL048"/>
        <s v="EL049"/>
        <s v="EL050"/>
        <s v="EL051"/>
        <s v="EL052"/>
        <m/>
      </sharedItems>
    </cacheField>
    <cacheField name="PIC" numFmtId="49">
      <sharedItems containsBlank="1">
        <s v="Anh Vu"/>
        <s v="Buu Do 1"/>
        <s v="Buu Do 2"/>
        <s v="Cuong Nguyen"/>
        <s v="Duc Nguyen"/>
        <s v="Dat Nguyen"/>
        <s v="Nhat Nguyen"/>
        <s v="Hung Nguyen"/>
        <s v="Huong Le"/>
        <s v="Huy Tran 1"/>
        <s v="Huy Tran 2"/>
        <s v="Huyen Vo"/>
        <s v="Lanh Le"/>
        <s v="Thao Vu 1"/>
        <s v="Thao Vu 2"/>
        <s v="Minh Nguyen"/>
        <s v="Nhat Bui"/>
        <s v="Nhat Phan 1"/>
        <s v="Nhat Phan 2"/>
        <s v="Qui Em"/>
        <s v="Tan Tran"/>
        <s v="Thien Truong"/>
        <s v="Ky Luong"/>
        <s v="Dung Hoang"/>
        <s v="Anh To"/>
        <s v="My Tran"/>
        <s v="Vinh Nguyen"/>
        <s v="Yen Tran 1"/>
        <s v="Yen Tran 2"/>
        <s v="Yen Tran 3"/>
        <s v="Tai Nguyen"/>
        <s v="Tai Pham"/>
        <s v="Anh Ha"/>
        <s v="Thuong Tran"/>
        <s v="Van Nguyen"/>
        <s v="Quan Nguyen"/>
        <s v="My Nguyen"/>
        <s v="Huy Nguyen"/>
        <s v="Thanh Phung"/>
        <s v="Phu Nguyen"/>
        <s v="Vinh Tran"/>
        <s v="Liên Nguyễn"/>
        <s v="Quyen Nguyen"/>
        <s v="Phuoc Ta"/>
        <s v="Thai Nguyen 1"/>
        <s v="Thai Nguyen 2"/>
        <s v="Trang Ngo"/>
        <s v="Phung Nguyen"/>
        <s v="Nam Nguyen"/>
        <s v="Trang Nguyen"/>
        <s v="Duong Pham"/>
        <m/>
      </sharedItems>
    </cacheField>
    <cacheField name="Course Name" numFmtId="0">
      <sharedItems containsBlank="1">
        <s v="Communication 1"/>
        <s v="Communication 2"/>
        <s v="Business English"/>
        <s v="Communication 3"/>
        <s v="Foundation"/>
        <s v="Extension of Foundation"/>
        <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O1:AR1593" sheet="sheet2"/>
  </cacheSource>
  <cacheFields>
    <cacheField name="Emp Code&#10;(Active, uniques)" numFmtId="49">
      <sharedItems containsBlank="1">
        <s v="237050"/>
        <s v="227148"/>
        <s v="227155"/>
        <s v="213835"/>
        <s v="213901"/>
        <s v="227081"/>
        <s v="247332"/>
        <s v="193613"/>
        <s v="247097"/>
        <s v="237117"/>
        <s v="203780"/>
        <s v="193523"/>
        <s v="193526"/>
        <s v="213893"/>
        <s v="227244"/>
        <s v="183422"/>
        <s v="183427"/>
        <s v="193516"/>
        <s v="247234"/>
        <s v="247185"/>
        <s v="257133"/>
        <s v="193633"/>
        <s v="227177"/>
        <s v="257132"/>
        <s v="193511"/>
        <s v="247423"/>
        <s v="257134"/>
        <s v="237239"/>
        <s v="227116"/>
        <s v="247413"/>
        <s v="183382"/>
        <s v="227103"/>
        <s v="237201"/>
        <s v="193495"/>
        <s v="213856"/>
        <s v="237035"/>
        <s v="203664"/>
        <s v="247065"/>
        <s v="183379"/>
        <s v="227101"/>
        <s v="193530"/>
        <s v="247172"/>
        <s v="173232"/>
        <s v="203701"/>
        <s v="213916"/>
        <s v="213817"/>
        <s v="193470"/>
        <s v="153138"/>
        <s v="193522"/>
        <s v="237070"/>
        <s v="203757"/>
        <s v="213911"/>
        <s v="203791"/>
        <s v="237031"/>
        <s v="203713"/>
        <s v="213874"/>
        <s v="203725"/>
        <s v="193496"/>
        <s v="193490"/>
        <s v="173268"/>
        <s v="173230"/>
        <s v="143079"/>
        <s v="227122"/>
        <s v="213859"/>
        <s v="193632"/>
        <s v="247263"/>
        <s v="247262"/>
        <s v="237147"/>
        <s v="227005"/>
        <s v="213813"/>
        <s v="203786"/>
        <s v="257121"/>
        <s v="257135"/>
        <s v="257059"/>
        <s v="237103"/>
        <s v="183322"/>
        <s v="213844"/>
        <s v="173246"/>
        <s v="247064"/>
        <s v="183330"/>
        <s v="227091"/>
        <s v="193588"/>
        <s v="163188"/>
        <s v="247119"/>
        <s v="203764"/>
        <s v="193584"/>
        <s v="227214"/>
        <s v="203790"/>
        <s v="247083"/>
        <s v="247178"/>
        <s v="247063"/>
        <s v="227218"/>
        <s v="247062"/>
        <s v="247147"/>
        <s v="247102"/>
        <s v="267040"/>
        <s v="213806"/>
        <s v="247338"/>
        <s v="247336"/>
        <s v="257065"/>
        <s v="257068"/>
        <s v="267121"/>
        <m/>
      </sharedItems>
    </cacheField>
    <cacheField name="Role&#10;(unique)" numFmtId="0">
      <sharedItems containsBlank="1">
        <s v="QC"/>
        <s v="DEV"/>
        <s v="Designer"/>
        <s v="TA"/>
        <s v="GSD"/>
        <s v="IM"/>
        <s v="BA"/>
        <s v="UI/UX"/>
        <m/>
        <e v="#N/A"/>
      </sharedItems>
    </cacheField>
    <cacheField name="Group Role" numFmtId="0">
      <sharedItems containsBlank="1">
        <s v="QC"/>
        <s v="DEV, TA"/>
        <s v="UI/UX, Des"/>
        <s v="GSD"/>
        <s v="PPO, SM, IM "/>
        <s v="BA, BC"/>
        <e v="#N/A"/>
        <m/>
      </sharedItems>
    </cacheField>
    <cacheField name="BU&#10;(unique)" numFmtId="0">
      <sharedItems containsBlank="1">
        <s v="POC"/>
        <s v="MOC"/>
        <s v="LBU"/>
        <s v="TBU"/>
        <s v="ONC"/>
        <s v="CHORUS"/>
        <m/>
        <e v="#N/A"/>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W521" sheet="ATTENDANCE_INPUT"/>
  </cacheSource>
  <cacheFields>
    <cacheField name="Emp Code" numFmtId="49">
      <sharedItems>
        <s v="237050"/>
        <s v="227148"/>
        <s v="227155"/>
        <s v="173230"/>
        <s v="143079"/>
        <s v="227122"/>
        <s v="247300"/>
        <s v="247196"/>
        <s v="247200"/>
        <s v="247156"/>
        <s v="247192"/>
        <s v="247195"/>
        <s v="193547"/>
        <s v="247199"/>
        <s v="247265"/>
        <s v="247264"/>
        <s v="247415"/>
        <s v="247405"/>
        <s v="247360"/>
        <s v="193479"/>
        <s v="213811"/>
        <s v="183431"/>
        <s v="193499"/>
        <s v="227141"/>
        <s v="193529"/>
        <s v="183427"/>
        <s v="237130"/>
        <s v="237097"/>
        <s v="227160"/>
        <s v="193447"/>
        <s v="247187"/>
        <s v="237182"/>
        <s v="227092"/>
        <s v="247026"/>
        <s v="237043"/>
        <s v="183421"/>
        <s v="193548"/>
        <s v="247190"/>
        <s v="247198"/>
        <s v="203759"/>
        <s v="247191"/>
        <s v="247388"/>
        <s v="247389"/>
        <s v="227183"/>
        <s v="247390"/>
        <s v="213891"/>
        <s v="237117"/>
        <s v="203780"/>
        <s v="193523"/>
        <s v="193526"/>
        <s v="237161"/>
        <s v="173272"/>
        <s v="237206"/>
        <s v="203790"/>
        <s v="237158"/>
        <s v="247043"/>
        <s v="237207"/>
        <s v="237008"/>
        <s v="247184"/>
        <s v="247161"/>
        <s v="247080"/>
        <s v="247260"/>
        <s v="247079"/>
        <s v="247037"/>
        <s v="247078"/>
        <s v="247106"/>
        <s v="247207"/>
        <s v="247038"/>
        <s v="237222"/>
        <s v="237227"/>
        <s v="237235"/>
        <s v="237238"/>
        <s v="237169"/>
        <s v="227153"/>
        <s v="247379"/>
        <s v="213893"/>
        <s v="227244"/>
        <s v="183422"/>
        <s v="213936"/>
        <s v="193516"/>
        <s v="247234"/>
        <s v="193443"/>
        <s v="193451"/>
        <s v="193633"/>
        <s v="213938"/>
        <s v="213820"/>
        <s v="213856"/>
        <s v="227130"/>
        <s v="247185"/>
        <s v="227177"/>
        <s v="247163"/>
        <s v="247384"/>
        <s v="237237"/>
        <s v="213895"/>
        <s v="213991"/>
        <s v="247036"/>
        <s v="247127"/>
        <s v="247076"/>
        <s v="212007"/>
        <s v="242009"/>
        <s v="232002"/>
        <s v="222010"/>
        <s v="242001"/>
        <s v="222014"/>
        <s v="242006"/>
        <s v="242003"/>
        <s v="227023"/>
        <s v="183440"/>
        <s v="183432"/>
        <s v="183400"/>
        <s v="247357"/>
        <s v="227024"/>
        <s v="227032"/>
        <s v="173286"/>
        <s v="193519"/>
        <s v="213810"/>
        <s v="213954"/>
        <s v="193579"/>
        <s v="213974"/>
        <s v="227112"/>
        <s v="237056"/>
        <s v="247183"/>
        <s v="237230"/>
        <s v="247377"/>
        <s v="247412"/>
        <s v="247358"/>
        <s v="193534"/>
        <s v="227047"/>
        <s v="133051"/>
        <s v="227080"/>
        <s v="227048"/>
        <s v="227064"/>
        <s v="203693"/>
        <s v="183340"/>
        <s v="163188"/>
        <s v="237157"/>
        <s v="227035"/>
        <s v="247203"/>
        <s v="237196"/>
        <s v="213835"/>
        <s v="213901"/>
        <s v="227081"/>
        <s v="247332"/>
        <s v="193613"/>
        <s v="247097"/>
        <s v="247086"/>
        <s v="203765"/>
        <s v="247225"/>
        <s v="247378"/>
        <s v="213947"/>
        <s v="247245"/>
        <s v="213876"/>
        <s v="247359"/>
        <s v="237061"/>
        <s v="227008"/>
        <s v="227069"/>
        <s v="237246"/>
        <s v="227144"/>
        <s v="237245"/>
        <s v="227188"/>
        <s v="247298"/>
        <s v="237226"/>
        <s v="193584"/>
        <s v="213929"/>
        <s v="227058"/>
        <s v="227214"/>
        <s v="247083"/>
        <s v="247178"/>
        <s v="143084"/>
        <s v="237006"/>
        <s v="227200"/>
        <s v="143071"/>
        <s v="227225"/>
        <s v="193544"/>
        <s v="227240"/>
        <s v="247230"/>
        <s v="227224"/>
        <s v="247114"/>
        <s v="237023"/>
        <s v="227170"/>
        <s v="183324"/>
        <s v="227125"/>
        <s v="183332"/>
        <s v="237049"/>
        <s v="227220"/>
        <s v="247122"/>
        <s v="247146"/>
        <s v="237101"/>
        <s v="247098"/>
        <s v="237156"/>
        <s v="247119"/>
        <s v="203764"/>
        <s v="193536"/>
        <s v="213975"/>
        <s v="213889"/>
        <s v="247054"/>
        <s v="213808"/>
        <s v="193588"/>
        <s v="213815"/>
        <s v="113024"/>
        <s v="213914"/>
        <s v="213861"/>
        <s v="213851"/>
        <s v="247223"/>
        <s v="193445"/>
        <s v="213968"/>
        <s v="213859"/>
        <s v="193632"/>
        <s v="247263"/>
        <s v="237147"/>
        <s v="247262"/>
        <s v="227097"/>
        <s v="247088"/>
        <s v="247416"/>
        <s v="237183"/>
        <s v="203746"/>
        <s v="213863"/>
        <s v="213898"/>
        <s v="213946"/>
        <s v="227104"/>
        <s v="213854"/>
        <s v="213805"/>
        <s v="247172"/>
        <s v="173232"/>
        <s v="203701"/>
        <s v="213935"/>
        <s v="227063"/>
        <s v="213916"/>
        <s v="213881"/>
        <s v="247313"/>
        <s v="237110"/>
        <s v="213870"/>
        <s v="237160"/>
        <s v="183423"/>
        <s v="193496"/>
        <s v="193490"/>
        <s v="173268"/>
        <s v="183322"/>
        <s v="173246"/>
        <s v="217001"/>
        <s v="247064"/>
        <s v="227091"/>
        <s v="203748"/>
        <s v="257045"/>
        <s v="133067"/>
        <s v="227055"/>
        <s v="213857"/>
        <s v="173231"/>
        <s v="193607"/>
        <s v="193550"/>
        <s v="247063"/>
        <s v="227218"/>
        <s v="247062"/>
        <s v="247147"/>
        <s v="247102"/>
        <s v="213844"/>
        <s v="247082"/>
        <s v="237072"/>
        <s v="183330"/>
        <s v="237129"/>
        <s v="257036"/>
        <s v="227131"/>
        <s v="193620"/>
        <s v="163215"/>
        <s v="237035"/>
        <s v="203664"/>
        <s v="247065"/>
        <s v="183379"/>
        <s v="227101"/>
        <s v="193530"/>
        <s v="213817"/>
        <s v="153138"/>
        <s v="193522"/>
        <s v="237070"/>
        <s v="203757"/>
        <s v="213911"/>
        <s v="193470"/>
        <s v="203791"/>
        <s v="237031"/>
        <s v="213874"/>
        <s v="203725"/>
        <s v="203713"/>
        <s v="213813"/>
        <s v="203786"/>
        <s v="227005"/>
        <s v="257121"/>
        <s v="257135"/>
        <s v="257059"/>
        <s v="237103"/>
        <s v="247423"/>
        <s v="237239"/>
        <s v="227116"/>
        <s v="247413"/>
        <s v="183382"/>
        <s v="227103"/>
        <s v="237201"/>
      </sharedItems>
    </cacheField>
    <cacheField name="Full Name" numFmtId="0">
      <sharedItems>
        <s v="TRẦN THỊ THANH NGA"/>
        <s v="TRẦN THỊ THÙY DUNG"/>
        <s v="VŨ TÚ ANH"/>
        <s v="LÊ THỊ THU HIỀN"/>
        <s v="LÝ THỊ DIỄM MY"/>
        <s v="NGUYỄN THỊ NGỌC DUNG"/>
        <s v="ĐỖ CHÂU BỬU"/>
        <s v="ĐOÀN TRẦN BÁ ĐẠT"/>
        <s v="NGÔ TRỌNG NGHĨA"/>
        <s v="NGUYỄN VĂN HOÀNG"/>
        <s v="TRẦN ĐỨC LỢI"/>
        <s v="TRƯƠNG ĐĂNG QUANG"/>
        <s v="VĂN TÂN LỢI"/>
        <s v="VÕ PHÚ PHÁT"/>
        <s v="NGÔ THỤY THANH NHƯ"/>
        <s v="NGUYỄN NGỌC NGUYỆT NGÂN"/>
        <s v="NGUYỄN THỊ HIỀN NI"/>
        <s v="PHẠM LÊ HOÀI PHƯƠNG"/>
        <s v="PHAN HỮU CƯỜNG"/>
        <s v="BÙI NGỌC QUỐC"/>
        <s v="ĐẶNG QUỐC MẠNH"/>
        <s v="HOÀNG XUÂN MẪN"/>
        <s v="HUỲNH TUẤN KHANH"/>
        <s v="NGUYỄN ĐÔNG HỒ"/>
        <s v="NGUYỄN VĂN MẠNH CƯỜNG"/>
        <s v="PHAN CÔNG TOẠI"/>
        <s v="TRẦN KHANG"/>
        <s v="VÕ ĐỒNG ĐỨC DUY"/>
        <s v="LÊ THỊ LAN HƯƠNG"/>
        <s v="NGUYỄN ANH ĐỨC"/>
        <s v="NGUYỄN MINH THƯ"/>
        <s v="NGUYỄN TRỌNG BÌNH NGUYÊN"/>
        <s v="PHẠM THỊ BÍCH THÚY"/>
        <s v="ĐỖ HOÀNG MINH HUY"/>
        <s v="HUỲNH BỬU BỬU"/>
        <s v="NGUYỄN TẤT ĐẠT"/>
        <s v="NGUYỄN THIÊN ÂN"/>
        <s v="HUỲNH NGUYÊN KHANG"/>
        <s v="NGUYỄN ĐỨC NHẬT"/>
        <s v="PHAN THẾ AN"/>
        <s v="TRẦN NGỌC PHƯỚC HOÀNG"/>
        <s v="TRANG KỲ ANH"/>
        <s v="ĐINH TRƯƠNG THANH TUYỀN"/>
        <s v="ĐỖ VŨ GIA LONG"/>
        <s v="ĐOÀN KHÁNH NGUYÊN"/>
        <s v="VÕ DUY KIỆT"/>
        <s v="HUỲNH TẤN PHÁT"/>
        <s v="LÊ HOÀNG NGUYỄN"/>
        <s v="PHẠM HỮU TUẤN"/>
        <s v="TRẦN ĐÌNH CHIẾN"/>
        <s v="TRẦN VĂN HÀ"/>
        <s v="ĐÀO SỸ THỜI"/>
        <s v="LƯƠNG TRÀ VY"/>
        <s v="NGUYỄN QUANG TRUNG"/>
        <s v="NGUYỄN THÀNH PHI"/>
        <s v="NGUYỄN THỊ HỒNG ĐÀO"/>
        <s v="NGUYỄN THÙY GIANG"/>
        <s v="LẠC MINH HOÀNG"/>
        <s v="HOÀNG MINH DUY"/>
        <s v="HUỲNH NHẬT DUY"/>
        <s v="MAI THỊ THÙY TRANG"/>
        <s v="TRẦN NHƯ TRÂM ANH"/>
        <s v="VÕ CAO TRÍ"/>
        <s v="BÙI HUỲNH TRUNG TÍN"/>
        <s v="NGUYỄN CÔNG ĐOÀN"/>
        <s v="NGUYỄN KHÁNH UYÊN"/>
        <s v="NGUYỄN VĂN ĐỨC"/>
        <s v="TĂNG HOÀNG YẾN"/>
        <s v="ĐOÀN NHẬT QUANG"/>
        <s v="DƯƠNG HOÀNG LONG"/>
        <s v="HUỲNH TẤN LỘC"/>
        <s v="LẠI MINH HIẾU"/>
        <s v="LƯƠNG ANH TUẤN"/>
        <s v="NGUYỄN HOÀNG HẠ UYÊN"/>
        <s v="NGUYỄN HỮU NGHỊ"/>
        <s v="HOÀNG NGỌC THẲNG"/>
        <s v="HUỲNH PHÚC TRƯỜNG"/>
        <s v="LÊ TRẦN XUÂN LÃNH"/>
        <s v="NGUYỄN QUỐC TUẤN"/>
        <s v="TRẦN ANH DUY"/>
        <s v="TRẦN DƯƠNG HOÀN MỸ"/>
        <s v="LÝ THỊ BÉ XÍU"/>
        <s v="NGUYỄN CÔNG HẬU"/>
        <s v="Nguyen Hoai Nam"/>
        <s v="VŨ THANH THẢO"/>
        <s v="TRẦN THỊ NI NA"/>
        <s v="Chu Thị Lệ Quỳnh"/>
        <s v="HỒ MẠNH DŨNG"/>
        <s v="LÊ MINH DUY"/>
        <s v="NGUYỄN NGỌC HOÀNG BẢO TRÂN"/>
        <s v="TRẦN ĐÌNH AN"/>
        <s v="VÕ NGUYỄN DUY ANH"/>
        <s v="NGUYỄN ĐẶNG NGỌC MINH"/>
        <s v="NGUYỄN VĂN THÁI"/>
        <s v="ÔNG HOÀI THỊNH"/>
        <s v="PHẠM HỒ LƯỢNG"/>
        <s v="THÁI TRẦN HỒNG PHÚC"/>
        <s v="TRẦN THẾ ANH"/>
        <s v="BÙI MINH NHẬT"/>
        <s v="DƯƠNG THỊ HƯƠNG LAN"/>
        <s v="HOÀNG NHƯ QUỲNH"/>
        <s v="LÊ THỊ LAN ANH"/>
        <s v="NGUYỄN ĐẠT THỊNH"/>
        <s v="NGUYỄN THỊ THÙY TRANG"/>
        <s v="PHAN LÊ HỒNG LEL"/>
        <s v="TRẦN THỊ ÁNH NGUYỆT"/>
        <s v="HOÀNG NAM VƯƠNG"/>
        <s v="NGUYỄN HOÀNG GIANG"/>
        <s v="PHAN ĐÌNH MINH NHẬT"/>
        <s v="TRẦN THANH HIẾU"/>
        <s v="NGÔ MINH HIẾU"/>
        <s v="TRẦN QUỐC VIỆT"/>
        <s v="VŨ NHẬT MINH TRƯỜNG"/>
        <s v="LÊ ANH TIẾN"/>
        <s v="LƯƠNG MINH QUÂN"/>
        <s v="NGUYỄN MINH DUY"/>
        <s v="ĐOÀN QUANG TUẤN"/>
        <s v="ĐƯỜNG QUANG HUY"/>
        <s v="NGUYỄN QUÍ EM"/>
        <s v="TRẦN ĐỨC NAM"/>
        <s v="LÊ THỊ DIỄM QUYÊN"/>
        <s v="PHAN THU THẢO"/>
        <s v="TRẦN KIM HẰNG"/>
        <s v="TRẦN NHỰT TÂN"/>
        <s v="TRẦN QUANG TỐNG"/>
        <s v="TRẦN VĨNH PHÚC"/>
        <s v="LÊ HỒNG QUÂN"/>
        <s v="LÊ THANH SƠN"/>
        <s v="LÝ KHÁNH LONG"/>
        <s v="NGUYỄN BÁ PHI NHẬT"/>
        <s v="NGUYỄN LÝ KHÁNH HUY"/>
        <s v="PHÙNG ĐÌNH HUY"/>
        <s v="QUÁCH NHẬT TRUNG"/>
        <s v="TRƯƠNG TRUNG THIÊN"/>
        <s v="LƯƠNG CÔNG KỲ"/>
        <s v="NGUYỄN BÁ NGỌC"/>
        <s v="NGUYỄN NHẬT HÀO"/>
        <s v="PHAN HUY NHÂN"/>
        <s v="VÕ CHÍ THIỆN"/>
        <s v="ĐOÀN ANH MINH"/>
        <s v="HOÀNG TIẾN DŨNG"/>
        <s v="NGUYỄN HOÀNG PHÚC"/>
        <s v="NGUYỄN PHÚC THANH TOÀN"/>
        <s v="NGUYỄN THÀNH PHƯỚC"/>
        <s v="THỚI PHI LONG"/>
        <s v="ĐỖ GIA KHÁNH"/>
        <s v="LÊ PHƯỚC THIỆN"/>
        <s v="NGUYỄN BẢO ĐẠT"/>
        <s v="NGUYỄN NGỌC PHƯƠNG NHI"/>
        <s v="THÁI NHẬT TÂN"/>
        <s v="TÔ DIỆP THIÊN ANH"/>
        <s v="HỒ HUỲNH THÔNG"/>
        <s v="NGUYỄN TẤN HUY"/>
        <s v="PHẠM ĐỨC ÁO"/>
        <s v="TÔ PHƯỚC THÁI"/>
        <s v="TRẦN HƯƠNG QUỲNH"/>
        <s v="TRẦN THỊ HOÀN MỸ"/>
        <s v="TỪ NGUYỄN MINH NHẬT"/>
        <s v="VÕ THỊ TUYẾT HỒNG"/>
        <s v="NGUYỄN LÊ KHOA"/>
        <s v="CHU KHÁNH LINH"/>
        <s v="LÂM VĂN TIẾN"/>
        <s v="LE MINH TRUONG"/>
        <s v="LE VAN DONG TAM"/>
        <s v="NGUYỄN PHAN THẾ VINH"/>
        <s v="NGUYỄN TRANG QUỲNH NHƯ"/>
        <s v="NGUYỄN TRÚC DUYÊN"/>
        <s v="PHAN QUỐC BÌNH"/>
        <s v="ĐỖ THANH TÙNG"/>
        <s v="LÊ CÔNG DUY"/>
        <s v="LÊ ĐẮC CƯỜNG"/>
        <s v="NGUYỄN PHI LONG"/>
        <s v="VŨ ANH THƯ"/>
        <s v="VŨ ANH TÚ"/>
        <s v="DƯƠNG LÊ XUÂN KHANG"/>
        <s v="HOÀNG ĐĂNG TRIỆU"/>
        <s v="NGUYỄN QUỐC DUY"/>
        <s v="NGUYỄN THỊ NGỌC LỮ"/>
        <s v="NGUYỄN TRẦN LỆ DUYÊN"/>
        <s v="PHẠM THỊ OANH THƠ"/>
        <s v="ĐẶNG QUỐC VIỆT"/>
        <s v="ĐOÀN QUỐC HẢI"/>
        <s v="NGUYỄN THẢO QUỲNH NHƯ"/>
        <s v="PHẠM NGỌC ANH DUYÊN"/>
        <s v="TRẦN THỊ YẾN"/>
        <s v="VÕ QUỐC THIÊN"/>
        <s v="VÕ THỊ THU HƯƠNG"/>
        <s v="NGUYỄN VĂN TÀI"/>
        <s v="PHẠM HOÀNG THÁI SƠN"/>
        <s v="PHẠM HUY HOÀNG"/>
        <s v="TRẦN MINH TRIẾT"/>
        <s v="LÊ MINH PHƯỚC"/>
        <s v="LÊ NHẬT LINH"/>
        <s v="LÊ TRIỆU HUẤN"/>
        <s v="NGUYỄN DOÃN NAM"/>
        <s v="PHẠM HỒNG THIÊN TÀI"/>
        <s v="HÀ TRẦN TUẤN ANH"/>
        <s v="HUỲNH TRẦN HẢI LONG"/>
        <s v="LÊ VĂN SƠN"/>
        <s v="NGUYỄN TẤN PHÁT"/>
        <s v="TRẦN QUANG ĐẠO"/>
        <s v="TRẦN THANH ĐIỀN"/>
        <s v="TRẦN XUÂN KHOA"/>
        <s v="HUỲNH THỊ BẢO YẾN"/>
        <s v="NGUYỄN THỊ HOÀNG OANH"/>
        <s v="LÂM THỊ YẾN NHI"/>
        <s v="NGUYỄN THÁI SƠN"/>
        <s v="NGUYỄN TRẦN HOÀI MỸ"/>
        <s v="TRẦN THỊ HOÀI THƯƠNG"/>
        <s v="TÔN THÀNH AN"/>
        <s v="TRẦN MINH TRUNG"/>
        <s v="NGUYỄN VĂN HÙNG"/>
        <s v="NGUYỄN THỊ LOAN"/>
        <s v="NGUYỄN LÊ HOÀNG VĂN"/>
        <s v="BẠCH NAM MINH TRÍ"/>
        <s v="ĐINH TIẾN ĐẠT"/>
        <s v="LÊ NGỌC TRUNG HIẾU"/>
        <s v="TRƯƠNG NHỰT MINH THƯ"/>
        <s v="VŨ THỊ HỒNG LIÊN"/>
        <s v="LÊ NHẬT"/>
        <s v="NGUYỄN ĐỨC ANH"/>
        <s v="NGUYỄN MINH QUÂN"/>
        <s v="NGUYỄN QUANG ĐỨC"/>
        <s v="PHẠM MAI NHẬT"/>
        <s v="TRẦN NHỰT DUY"/>
        <s v="TRƯƠNG ĐÌNH ÁNH"/>
        <s v="VÕ CHÍ ĐẠI"/>
        <s v="ĐẶNG GIA LỘC"/>
        <s v="Nguyễn Hồng Mỹ"/>
        <s v="Nguyễn Hữu Phước"/>
        <s v="Trần Quốc Hiệp"/>
        <s v="Trần Tuấn Kiệt"/>
        <s v="TRẦN VĨNH THUẬN"/>
        <s v="PHẠM NGUYỄN TRƯỜNG BẢO"/>
        <s v="PHAN GIA LỘC"/>
        <s v="PHÙNG QUANG THÀNH"/>
        <s v="ĐÀO TRUNG HIẾU"/>
        <s v="LÊ THỊ HOÀNG KIM"/>
        <s v="NGUYỄN HỮU TRƯỜNG"/>
        <s v="NGUYỄN THỊ KIM OANH"/>
        <s v="NGUYỄN VŨ LUÂN"/>
        <s v="LÂM MINH HOÀNG"/>
        <s v="NGUYỄN BẢO DUY"/>
        <s v="NGUYEN DUY PHU"/>
        <s v="NGUYỄN THÀNH NHÂN"/>
        <s v="NGUYỄN THANH TÙNG"/>
        <s v="NGUYỄN TRẦN MINH NGHĨA"/>
        <s v="PHẠM TƯỜNG NHÂN"/>
        <s v="GIANG KHIẾT ĐÌNH"/>
        <s v="NGUYỄN HOÀNG BẢO TRÂN"/>
        <s v="NGUYỄN THẾ ANH"/>
        <s v="PHẠM LÊ QUỲNH HƯƠNG"/>
        <s v="TRẦN ĐỨC VINH"/>
        <s v="LÊ MINH HY"/>
        <s v="NGUYEN HUU DUY"/>
        <s v="NGUYỄN MINH LIÊN"/>
        <s v="NGUYỄN THỊ KIM TRANG"/>
        <s v="PHẠM HUỲNH TÂN"/>
        <s v="NGUYỄN PHÚC VINH"/>
        <s v="NGUYỄN TRƯƠNG BẢO QUYÊN"/>
        <s v="TRẦN THỊ HUỲNH NHƯ"/>
        <s v="VÕ THỊ HƯƠNG GIANG"/>
        <s v="Nguyễn Đặng Khương Duy (Dustin)"/>
        <s v="Nguyễn Hà Vi (V)"/>
        <s v="Phạm Ngọc Hưng (Zero)"/>
        <s v="Tạ Phạm Minh Chương (Chivas)"/>
        <s v="Tạ Thiên Phước (Noah)"/>
        <s v="Trần Hùng Cường (Ethan)"/>
        <s v="Bui Duy Tan"/>
        <s v="Nguyễn Đình Mạnh"/>
        <s v="Đinh Bộ Lĩnh"/>
        <s v="Cao Ngọc Nguyên"/>
        <s v="Trần Hoàng Tuấn"/>
        <s v="Hồ Phạm Sĩ Hưng"/>
        <s v="Nguyễn Quốc Thái"/>
        <s v="Trương Quốc Quy"/>
        <s v="Nguyễn Ngọc Thạch"/>
        <s v="Nguyễn Hoàng Hải"/>
        <s v="Đặng Thanh Túc"/>
        <s v="Nguyen Tran Minh Nghia"/>
        <s v="Bùi Quang Khôi"/>
        <s v="Lê Trọng Ân"/>
        <s v="Trần Ánh Tuyết (Taylor)"/>
        <s v="Ngô Thị Huyền Trang (Joyce)"/>
        <s v="Nguyễn Kim Khánh (Annie)"/>
        <s v="Lê Tuyết Ngân"/>
        <s v="Nguyễn Ngọc Hào"/>
        <s v="Nguyễn Thị Thùy Linh"/>
        <s v="CHUNG QUANG PHƯƠNG"/>
        <s v="ĐỖ NGỌC THÀNH"/>
        <s v="LÊ THẾ PHƯƠNG"/>
        <s v="NGUYỄN ĐỨC TIẾN"/>
        <s v="NGUYỄN DUY PHÚ"/>
        <s v="NGUYỄN HUỲNH SƠN"/>
        <s v="NGUYỄN MINH QUANG"/>
      </sharedItems>
    </cacheField>
    <cacheField name="Class Code" numFmtId="49">
      <sharedItems>
        <s v="EL001"/>
        <s v="EL002"/>
        <s v="EL003"/>
        <s v="EL004"/>
        <s v="EL005"/>
        <s v="EL006"/>
        <s v="EL007"/>
        <s v="EL008"/>
        <s v="EL009"/>
        <s v="EL010"/>
        <s v="EL011"/>
        <s v="EL012"/>
        <s v="EL013"/>
        <s v="EL014"/>
        <s v="EL015"/>
        <s v="EL016"/>
        <s v="EL017"/>
        <s v="EL018"/>
        <s v="EL019"/>
        <s v="EL020"/>
        <s v="EL021"/>
        <s v="EL022"/>
        <s v="EL023"/>
        <s v="EL024"/>
        <s v="EL025"/>
        <s v="EL026"/>
        <s v="EL027"/>
        <s v="EL028"/>
        <s v="EL029"/>
        <s v="EL030"/>
        <s v="EL031"/>
        <s v="EL032"/>
        <s v="EL033"/>
        <s v="EL034"/>
        <s v="EL035"/>
        <s v="EL037"/>
        <s v="EL038"/>
        <s v="EL039"/>
        <s v="EL040"/>
        <s v="EL041"/>
        <s v="EL042"/>
        <s v="EL043"/>
        <s v="EL044"/>
        <s v="EL045"/>
        <s v="EL046"/>
        <s v="EL047"/>
        <s v="EL048"/>
        <s v="EL049"/>
      </sharedItems>
    </cacheField>
    <cacheField name="PIC" numFmtId="49">
      <sharedItems>
        <s v="Anh Vu"/>
        <s v="Buu Do 1"/>
        <s v="Buu Do 2"/>
        <s v="Cuong Nguyen"/>
        <s v="Duc Nguyen"/>
        <s v="Dat Nguyen"/>
        <s v="Nhat Nguyen"/>
        <s v="Hung Nguyen"/>
        <s v="Huong Le"/>
        <s v="Huy Tran 1"/>
        <s v="Huy Tran 2"/>
        <s v="Huyen Vo"/>
        <s v="Lanh Le"/>
        <s v="Thao Vu 1"/>
        <s v="Thao Vu 2"/>
        <s v="Minh Nguyen"/>
        <s v="Nhat Bui"/>
        <s v="Nhat Phan 1"/>
        <s v="Nhat Phan 2"/>
        <s v="Qui Em"/>
        <s v="Tan Tran"/>
        <s v="Thien Truong"/>
        <s v="Ky Luong"/>
        <s v="Dung Hoang"/>
        <s v="Anh To"/>
        <s v="My Tran"/>
        <s v="Vinh Nguyen"/>
        <s v="Yen Tran 1"/>
        <s v="Yen Tran 2"/>
        <s v="Yen Tran 3"/>
        <s v="Tai Nguyen"/>
        <s v="Tai Pham"/>
        <s v="Anh Ha"/>
        <s v="Thuong Tran"/>
        <s v="Van Nguyen"/>
        <s v="Quan Nguyen"/>
        <s v="My Nguyen"/>
        <s v="Huy Nguyen"/>
        <s v="Thanh Phung"/>
        <s v="Phu Nguyen"/>
        <s v="Vinh Tran"/>
        <s v="Liên Nguyễn"/>
        <s v="Quyen Nguyen"/>
        <s v="Phuoc Ta"/>
        <s v="Thai Nguyen 1"/>
        <s v="Thai Nguyen 2"/>
        <s v="Trang Ngo"/>
        <s v="Phung Nguyen"/>
      </sharedItems>
    </cacheField>
    <cacheField name="Course Name" numFmtId="0">
      <sharedItems>
        <s v="Business English"/>
        <s v="Communication 1"/>
        <s v="Communication 2"/>
        <s v="Communication 3"/>
        <s v="Foundation"/>
        <s v="Extension of Foundation"/>
      </sharedItems>
    </cacheField>
    <cacheField name="1st">
      <sharedItems containsDate="1" containsBlank="1" containsMixedTypes="1">
        <d v="2026-03-03T13:00:00Z"/>
        <s v="A"/>
        <d v="2025-02-12T10:00:00Z"/>
        <d v="2025-08-20T11:00:00Z"/>
        <d v="2025-02-27T10:00:00Z"/>
        <d v="2025-02-27T11:00:00Z"/>
        <d v="2024-12-13T14:00:00Z"/>
        <d v="2025-07-31T14:00:00Z"/>
        <d v="2024-12-13T15:00:00Z"/>
        <d v="2024-12-11T10:00:00Z"/>
        <d v="2024-12-13T10:00:00Z"/>
        <d v="2025-02-14T11:00:00Z"/>
        <d v="2025-07-03T14:00:00Z"/>
        <d v="2025-08-21T10:00:00Z"/>
        <d v="2025-04-25T14:00:00Z"/>
        <d v="2025-10-16T11:00:00Z"/>
        <m/>
        <d v="2025-01-06T14:00:00Z"/>
        <d v="2025-09-15T13:00:00Z"/>
        <d v="2024-12-18T09:00:00Z"/>
        <d v="2025-07-15T09:00:00Z"/>
        <d v="2024-12-20T09:00:00Z"/>
        <d v="2024-12-11T09:00:00Z"/>
        <d v="2024-12-13T09:00:00Z"/>
        <d v="2024-12-10T11:00:00Z"/>
        <d v="2025-07-03T09:00:00Z"/>
        <d v="2026-03-13T11:00:00Z"/>
        <d v="2024-12-09T10:30:00Z"/>
        <d v="2024-12-18T11:00:00Z"/>
        <d v="2025-07-01T09:00:00Z"/>
        <d v="2025-02-05T11:00:00Z"/>
        <d v="2024-12-13T11:00:00Z"/>
        <d v="2024-12-19T10:00:00Z"/>
        <d v="2025-08-18T09:00:00Z"/>
        <d v="2025-01-06T10:00:00Z"/>
        <d v="2024-12-12T10:00:00Z"/>
        <d v="2025-02-25T14:00:00Z"/>
        <d v="2025-01-13T13:00:00Z"/>
        <d v="2025-07-28T13:00:00Z"/>
        <d v="2026-03-03T14:00:00Z"/>
        <d v="2025-04-18T09:00:00Z"/>
        <d v="2025-06-05T09:00:00Z"/>
        <d v="2025-06-10T09:00:00Z"/>
        <d v="2025-04-14T10:00:00Z"/>
        <d v="2025-09-22T10:00:00Z"/>
        <d v="2025-04-16T13:00:00Z"/>
        <d v="2025-08-26T14:00:00Z"/>
        <d v="2025-02-27T14:00:00Z"/>
        <d v="2025-08-21T13:00:00Z"/>
        <d v="2024-12-12T11:00:00Z"/>
        <d v="2024-12-19T11:00:00Z"/>
        <d v="2024-12-20T10:00:00Z"/>
        <d v="2025-04-18T10:00:00Z"/>
        <d v="2025-04-18T14:00:00Z"/>
        <d v="2025-08-12T13:00:00Z"/>
        <d v="2025-04-17T10:00:00Z"/>
        <d v="2025-08-13T10:00:00Z"/>
        <d v="2025-08-13T14:00:00Z"/>
        <d v="2026-03-10T13:00:00Z"/>
        <d v="2025-04-17T14:00:00Z"/>
        <d v="2026-03-05T11:00:00Z"/>
        <d v="2025-04-17T11:00:00Z"/>
        <d v="2025-09-10T13:00:00Z"/>
        <d v="2026-03-17T15:00:00Z"/>
        <d v="2025-05-28T09:00:00Z"/>
        <d v="2025-06-05T11:00:00Z"/>
        <d v="2026-01-16T10:00:00Z"/>
        <d v="2026-04-14T14:00:00Z"/>
        <d v="2025-09-16T11:00:00Z"/>
        <d v="2025-09-17T14:00:00Z"/>
        <d v="2025-09-09T13:00:00Z"/>
        <d v="2026-03-12T13:00:00Z"/>
        <d v="2025-09-29T14:00:00Z"/>
        <d v="2026-03-02T15:00:00Z"/>
        <d v="2026-03-04T14:00:00Z"/>
        <d v="2026-03-04T15:00:00Z"/>
        <d v="2026-03-05T14:00:00Z"/>
        <d v="2026-03-06T11:00:00Z"/>
      </sharedItems>
    </cacheField>
    <cacheField name="2nd">
      <sharedItems containsDate="1" containsBlank="1" containsMixedTypes="1">
        <d v="2026-03-10T14:00:00Z"/>
        <d v="2025-02-24T11:00:00Z"/>
        <s v="A"/>
        <d v="2025-08-27T11:00:00Z"/>
        <d v="2025-04-18T13:00:00Z"/>
        <d v="2025-04-16T11:00:00Z"/>
        <d v="2025-01-08T09:00:00Z"/>
        <d v="2025-01-15T10:00:00Z"/>
        <d v="2025-08-12T09:00:00Z"/>
        <d v="2024-12-23T11:00:00Z"/>
        <d v="2024-12-30T11:00:00Z"/>
        <d v="2025-01-03T10:00:00Z"/>
        <d v="2025-02-21T11:00:00Z"/>
        <d v="2025-07-15T10:00:00Z"/>
        <d v="2025-08-28T10:00:00Z"/>
        <d v="2025-05-09T14:00:00Z"/>
        <d v="2025-10-23T11:00:00Z"/>
        <d v="2026-05-21T10:00:00Z"/>
        <m/>
        <d v="2025-02-10T14:00:00Z"/>
        <d v="2025-09-22T14:00:00Z"/>
        <d v="2024-12-26T09:00:00Z"/>
        <d v="2025-07-15T11:00:00Z"/>
        <d v="2024-12-27T09:00:00Z"/>
        <d v="2024-12-19T09:00:00Z"/>
        <d v="2024-12-27T11:00:00Z"/>
        <d v="2025-07-11T09:00:00Z"/>
        <d v="2026-03-27T11:00:00Z"/>
        <d v="2025-01-03T09:00:00Z"/>
        <d v="2024-12-30T09:00:00Z"/>
        <d v="2025-07-08T09:00:00Z"/>
        <d v="2025-02-17T14:00:00Z"/>
        <d v="2024-12-17T09:30:00Z"/>
        <d v="2025-01-08T10:00:00Z"/>
        <d v="2025-08-25T11:00:00Z"/>
        <d v="2025-01-14T10:00:00Z"/>
        <d v="2024-12-23T10:00:00Z"/>
        <d v="2025-06-19T11:00:00Z"/>
        <d v="2025-01-22T09:00:00Z"/>
        <d v="2025-09-10T11:00:00Z"/>
        <d v="2026-03-18T11:00:00Z"/>
        <d v="2025-05-06T10:00:00Z"/>
        <d v="2025-06-10T09:00:00Z"/>
        <d v="2026-03-25T10:00:00Z"/>
        <d v="2025-06-19T09:00:00Z"/>
        <d v="2025-05-09T11:00:00Z"/>
        <d v="2025-09-26T13:00:00Z"/>
        <d v="2025-04-22T13:00:00Z"/>
        <d v="2025-08-26T14:00:00Z"/>
        <d v="2025-04-09T14:00:00Z"/>
        <d v="2025-08-28T14:00:00Z"/>
        <d v="2026-03-26T14:00:00Z"/>
        <d v="2025-01-02T11:00:00Z"/>
        <d v="2024-12-26T11:00:00Z"/>
        <d v="2025-01-09T11:00:00Z"/>
        <d v="2025-01-06T11:00:00Z"/>
        <d v="2025-04-21T09:00:00Z"/>
        <d v="2025-04-23T14:00:00Z"/>
        <d v="2025-08-27T13:00:00Z"/>
        <d v="2025-05-07T14:00:00Z"/>
        <d v="2025-08-20T10:00:00Z"/>
        <d v="2025-08-20T13:00:00Z"/>
        <d v="2026-03-17T13:00:00Z"/>
        <d v="2025-05-07T13:00:00Z"/>
        <d v="2026-03-17T11:00:00Z"/>
        <d v="2025-05-06T14:00:00Z"/>
        <d v="2025-09-16T13:00:00Z"/>
        <d v="2025-09-30T10:00:00Z"/>
        <d v="2026-03-24T15:00:00Z"/>
        <d v="2025-06-03T10:00:00Z"/>
        <d v="2025-06-12T11:00:00Z"/>
        <d v="2026-01-22T11:00:00Z"/>
        <d v="2026-04-17T14:00:00Z"/>
        <d v="2025-09-25T13:00:00Z"/>
        <d v="2025-09-23T13:00:00Z"/>
        <d v="2026-03-26T13:00:00Z"/>
        <d v="2025-10-08T14:00:00Z"/>
        <d v="2026-03-10T10:00:00Z"/>
        <d v="2026-03-12T14:00:00Z"/>
        <d v="2026-03-12T10:00:00Z"/>
        <d v="2026-03-26T15:00:00Z"/>
      </sharedItems>
    </cacheField>
    <cacheField name="3rd">
      <sharedItems containsDate="1" containsBlank="1" containsMixedTypes="1">
        <d v="2026-03-17T14:00:00Z"/>
        <d v="2025-04-16T14:00:00Z"/>
        <m/>
        <s v="A"/>
        <d v="2025-04-24T14:00:00Z"/>
        <d v="2025-04-25T13:00:00Z"/>
        <d v="2025-01-22T10:00:00Z"/>
        <d v="2025-02-14T14:00:00Z"/>
        <d v="2025-08-21T09:00:00Z"/>
        <d v="2025-01-13T14:00:00Z"/>
        <d v="2025-01-06T13:00:00Z"/>
        <d v="2025-02-28T11:00:00Z"/>
        <d v="2025-08-13T15:00:00Z"/>
        <d v="2025-09-04T10:00:00Z"/>
        <d v="2025-07-03T13:00:00Z"/>
        <d v="2025-10-30T11:00:00Z"/>
        <d v="2026-05-28T15:00:00Z"/>
        <d v="2025-02-28T14:00:00Z"/>
        <d v="2025-09-29T13:00:00Z"/>
        <d v="2025-01-02T09:00:00Z"/>
        <d v="2025-08-19T09:00:00Z"/>
        <d v="2025-01-09T09:00:00Z"/>
        <d v="2025-01-16T10:00:00Z"/>
        <d v="2025-01-16T09:00:00Z"/>
        <d v="2025-01-10T10:00:00Z"/>
        <d v="2025-07-24T09:00:00Z"/>
        <d v="2026-04-01T11:00:00Z"/>
        <d v="2025-01-07T10:00:00Z"/>
        <d v="2025-01-08T11:00:00Z"/>
        <d v="2025-07-14T10:00:00Z"/>
        <d v="2025-02-24T14:00:00Z"/>
        <d v="2024-12-27T10:00:00Z"/>
        <d v="2025-02-19T09:00:00Z"/>
        <d v="2025-09-12T14:00:00Z"/>
        <d v="2025-01-20T10:00:00Z"/>
        <d v="2025-01-09T10:00:00Z"/>
        <d v="2024-12-30T10:00:00Z"/>
        <d v="2025-06-25T15:00:00Z"/>
        <d v="2025-02-10T11:00:00Z"/>
        <d v="2025-09-15T11:00:00Z"/>
        <d v="2026-03-25T11:00:00Z"/>
        <d v="2025-05-13T10:00:00Z"/>
        <d v="2025-06-19T09:00:00Z"/>
        <d v="2026-04-02T11:00:00Z"/>
        <d v="2025-06-23T09:00:00Z"/>
        <d v="2025-05-16T11:00:00Z"/>
        <d v="2025-09-29T10:00:00Z"/>
        <d v="2025-05-09T10:00:00Z"/>
        <d v="2025-09-16T15:00:00Z"/>
        <d v="2025-04-24T13:00:00Z"/>
        <d v="2025-09-11T14:00:00Z"/>
        <d v="2026-04-02T14:00:00Z"/>
        <d v="2025-01-20T11:00:00Z"/>
        <d v="2025-01-13T11:00:00Z"/>
        <d v="2025-01-23T11:00:00Z"/>
        <d v="2025-06-03T11:00:00Z"/>
        <d v="2025-05-06T13:00:00Z"/>
        <d v="2025-09-09T14:00:00Z"/>
        <d v="2025-05-27T09:00:00Z"/>
        <d v="2025-08-27T10:00:00Z"/>
        <d v="2025-08-26T13:00:00Z"/>
        <d v="2026-03-24T13:00:00Z"/>
        <d v="2025-05-14T13:00:00Z"/>
        <d v="2026-03-24T11:00:00Z"/>
        <d v="2025-05-13T09:00:00Z"/>
        <d v="2025-09-24T13:00:00Z"/>
        <d v="2025-10-02T14:00:00Z"/>
        <d v="2026-03-31T15:00:00Z"/>
        <d v="2025-06-10T10:00:00Z"/>
        <d v="2025-07-03T15:00:00Z"/>
        <d v="2026-01-29T14:00:00Z"/>
        <d v="2026-05-05T14:00:00Z"/>
        <d v="2025-10-01T14:00:00Z"/>
        <d v="2025-09-30T13:00:00Z"/>
        <d v="2025-09-12T15:00:00Z"/>
        <d v="2026-04-16T13:00:00Z"/>
        <d v="2025-10-20T13:00:00Z"/>
        <d v="2026-03-17T10:00:00Z"/>
        <d v="2026-04-15T11:00:00Z"/>
        <d v="2026-03-18T14:00:00Z"/>
        <d v="2026-04-01T14:00:00Z"/>
        <d v="2026-04-03T11:00:00Z"/>
      </sharedItems>
    </cacheField>
    <cacheField name="4th">
      <sharedItems containsDate="1" containsBlank="1" containsMixedTypes="1">
        <d v="2026-03-24T14:00:00Z"/>
        <d v="2025-04-23T13:00:00Z"/>
        <d v="2025-09-22T13:00:00Z"/>
        <s v="A"/>
        <d v="2025-05-08T13:00:00Z"/>
        <d v="2025-05-16T14:00:00Z"/>
        <d v="2025-02-21T09:00:00Z"/>
        <d v="2025-08-28T15:00:00Z"/>
        <d v="2025-02-05T13:00:00Z"/>
        <d v="2025-01-21T09:00:00Z"/>
        <d v="2025-04-18T11:00:00Z"/>
        <d v="2025-08-20T15:00:00Z"/>
        <d v="2025-09-11T10:00:00Z"/>
        <d v="2025-07-11T11:00:00Z"/>
        <d v="2025-10-31T15:00:00Z"/>
        <d v="2026-06-11T11:00:00Z"/>
        <d v="2025-04-15T14:00:00Z"/>
        <d v="2025-10-13T13:00:00Z"/>
        <d v="2025-01-14T09:00:00Z"/>
        <d v="2025-08-26T11:00:00Z"/>
        <d v="2025-02-04T09:00:00Z"/>
        <d v="2025-01-23T09:00:00Z"/>
        <d v="2025-01-23T10:00:00Z"/>
        <d v="2025-01-17T10:00:00Z"/>
        <d v="2025-08-12T10:00:00Z"/>
        <d v="2026-05-05T15:00:00Z"/>
        <d v="2025-01-14T11:00:00Z"/>
        <d v="2025-01-15T11:00:00Z"/>
        <d v="2025-07-21T10:00:00Z"/>
        <m/>
        <d v="2025-01-10T09:00:00Z"/>
        <d v="2025-02-26T09:00:00Z"/>
        <d v="2025-09-15T14:00:00Z"/>
        <d v="2025-02-07T11:00:00Z"/>
        <d v="2025-01-21T10:00:00Z"/>
        <d v="2025-01-13T10:00:00Z"/>
        <d v="2025-07-15T15:00:00Z"/>
        <d v="2025-02-17T11:00:00Z"/>
        <d v="2025-09-22T11:00:00Z"/>
        <d v="2026-04-07T11:00:00Z"/>
        <d v="2025-05-27T10:00:00Z"/>
        <d v="2025-06-23T09:00:00Z"/>
        <d v="2026-04-07T14:00:00Z"/>
        <d v="2025-07-02T11:00:00Z"/>
        <d v="2025-05-26T11:00:00Z"/>
        <d v="2025-05-27T13:00:00Z"/>
        <d v="2025-10-23T15:00:00Z"/>
        <d v="2025-09-23T15:00:00Z"/>
        <d v="2025-05-09T13:00:00Z"/>
        <d v="2025-09-18T14:00:00Z"/>
        <d v="2026-04-09T14:00:00Z"/>
        <d v="2025-02-04T11:00:00Z"/>
        <d v="2025-02-10T10:00:00Z"/>
        <d v="2025-02-13T11:00:00Z"/>
        <d v="2025-06-10T11:00:00Z"/>
        <d v="2025-05-14T14:00:00Z"/>
        <d v="2025-09-23T14:00:00Z"/>
        <d v="2025-05-28T10:00:00Z"/>
        <d v="2025-09-03T10:00:00Z"/>
        <d v="2025-09-03T13:00:00Z"/>
        <d v="2026-04-02T13:00:00Z"/>
        <d v="2025-05-27T14:00:00Z"/>
        <d v="2026-04-01T15:00:00Z"/>
        <d v="2025-05-27T11:00:00Z"/>
        <d v="2025-10-01T13:00:00Z"/>
        <d v="2025-10-07T10:00:00Z"/>
        <d v="2026-04-07T15:00:00Z"/>
        <d v="2025-06-17T10:00:00Z"/>
        <d v="2025-07-11T10:00:00Z"/>
        <d v="2026-01-30T11:00:00Z"/>
        <d v="2026-05-08T14:00:00Z"/>
        <d v="2025-10-08T13:00:00Z"/>
        <d v="2025-10-07T13:00:00Z"/>
        <d v="2025-09-16T14:00:00Z"/>
        <d v="2026-04-22T13:00:00Z"/>
        <d v="2025-10-08T14:00:00Z"/>
        <d v="2025-10-22T14:00:00Z"/>
        <d v="2026-03-23T13:00:00Z"/>
        <d v="2026-04-22T11:00:00Z"/>
        <d v="2026-03-27T10:00:00Z"/>
        <d v="2026-03-26T10:00:00Z"/>
        <d v="2026-04-08T10:00:00Z"/>
        <d v="2026-04-16T10:00:00Z"/>
      </sharedItems>
    </cacheField>
    <cacheField name="5th">
      <sharedItems containsDate="1" containsBlank="1" containsMixedTypes="1">
        <d v="2026-04-08T14:00:00Z"/>
        <d v="2025-05-07T11:00:00Z"/>
        <d v="2025-09-30T11:00:00Z"/>
        <d v="2025-05-16T13:00:00Z"/>
        <s v="A"/>
        <d v="2025-05-23T14:00:00Z"/>
        <d v="2025-02-14T14:00:00Z"/>
        <d v="2025-02-28T09:00:00Z"/>
        <d v="2025-09-04T09:00:00Z"/>
        <d v="2025-02-19T13:00:00Z"/>
        <d v="2025-02-12T13:00:00Z"/>
        <d v="2025-04-23T11:00:00Z"/>
        <d v="2025-09-17T15:00:00Z"/>
        <d v="2025-09-25T10:00:00Z"/>
        <d v="2025-07-11T11:00:00Z"/>
        <d v="2025-07-17T13:00:00Z"/>
        <d v="2025-11-13T10:00:00Z"/>
        <d v="2026-06-12T10:00:00Z"/>
        <d v="2025-04-21T14:00:00Z"/>
        <d v="2025-10-20T14:00:00Z"/>
        <d v="2025-02-06T09:00:00Z"/>
        <m/>
        <d v="2025-02-12T11:00:00Z"/>
        <d v="2025-02-12T14:00:00Z"/>
        <d v="2025-02-07T10:00:00Z"/>
        <d v="2025-08-19T10:00:00Z"/>
        <d v="2026-05-12T15:00:00Z"/>
        <d v="2025-01-21T11:00:00Z"/>
        <d v="2025-01-22T11:00:00Z"/>
        <d v="2025-01-17T09:00:00Z"/>
        <d v="2025-04-09T10:00:00Z"/>
        <d v="2025-09-22T15:00:00Z"/>
        <d v="2025-02-14T13:00:00Z"/>
        <d v="2025-02-06T10:00:00Z"/>
        <d v="2025-02-13T10:00:00Z"/>
        <d v="2025-07-31T09:00:00Z"/>
        <d v="2025-02-24T13:00:00Z"/>
        <d v="2025-09-29T11:00:00Z"/>
        <d v="2026-04-15T13:00:00Z"/>
        <d v="2025-06-03T15:00:00Z"/>
        <d v="2025-09-17T11:00:00Z"/>
        <d v="2026-04-14T10:00:00Z"/>
        <d v="2025-07-14T11:00:00Z"/>
        <d v="2025-06-09T11:00:00Z"/>
        <d v="2025-10-17T10:00:00Z"/>
        <d v="2025-06-03T14:00:00Z"/>
        <d v="2025-09-30T15:00:00Z"/>
        <d v="2025-05-13T13:00:00Z"/>
        <d v="2025-09-25T14:00:00Z"/>
        <d v="2026-04-16T14:00:00Z"/>
        <d v="2025-04-21T13:00:00Z"/>
        <d v="2025-04-14T13:00:00Z"/>
        <d v="2025-04-15T10:00:00Z"/>
        <d v="2025-06-25T11:00:00Z"/>
        <d v="2025-05-15T13:00:00Z"/>
        <d v="2025-09-30T14:00:00Z"/>
        <d v="2025-06-04T11:00:00Z"/>
        <d v="2025-09-10T10:00:00Z"/>
        <d v="2025-09-10T14:00:00Z"/>
        <d v="2026-04-07T13:00:00Z"/>
        <d v="2025-06-04T14:00:00Z"/>
        <d v="2026-04-08T15:00:00Z"/>
        <d v="2025-06-04T13:00:00Z"/>
        <d v="2025-10-08T10:00:00Z"/>
        <d v="2025-10-09T15:00:00Z"/>
        <d v="2025-10-09T13:00:00Z"/>
        <d v="2026-05-07T15:00:00Z"/>
        <d v="2025-07-01T10:00:00Z"/>
        <d v="2025-07-17T15:00:00Z"/>
        <d v="2026-03-05T13:00:00Z"/>
        <d v="2025-08-13T13:00:00Z"/>
        <d v="2026-05-12T14:00:00Z"/>
        <d v="2025-10-23T13:00:00Z"/>
        <d v="2025-10-14T13:00:00Z"/>
        <d v="2025-09-25T09:00:00Z"/>
        <d v="2026-05-07T13:00:00Z"/>
        <d v="2025-10-17T13:00:00Z"/>
        <d v="2025-10-29T14:00:00Z"/>
        <d v="2026-03-31T11:00:00Z"/>
        <d v="2026-04-02T15:00:00Z"/>
        <d v="2026-04-03T15:00:00Z"/>
        <d v="2026-04-15T10:00:00Z"/>
        <d v="2026-04-17T13:00:00Z"/>
      </sharedItems>
    </cacheField>
    <cacheField name="6th">
      <sharedItems containsDate="1" containsBlank="1" containsMixedTypes="1">
        <d v="2026-04-15T14:00:00Z"/>
        <d v="2025-06-11T14:00:00Z"/>
        <d v="2025-10-07T11:00:00Z"/>
        <d v="2025-05-23T13:00:00Z"/>
        <d v="2025-06-05T14:00:00Z"/>
        <d v="2025-06-05T15:00:00Z"/>
        <s v="A"/>
        <d v="2025-04-17T09:00:00Z"/>
        <d v="2025-09-09T09:00:00Z"/>
        <d v="2025-02-27T13:00:00Z"/>
        <d v="2025-02-21T13:00:00Z"/>
        <d v="2025-05-08T11:00:00Z"/>
        <d v="2025-09-24T15:00:00Z"/>
        <d v="2025-10-09T10:00:00Z"/>
        <d v="2025-07-24T15:00:00Z"/>
        <d v="2025-11-20T10:00:00Z"/>
        <d v="2026-06-18T10:00:00Z"/>
        <d v="2025-05-05T13:00:00Z"/>
        <d v="2025-10-27T13:00:00Z"/>
        <d v="2025-02-13T09:00:00Z"/>
        <m/>
        <d v="2025-02-20T09:00:00Z"/>
        <d v="2025-02-19T14:00:00Z"/>
        <d v="2025-02-14T10:00:00Z"/>
        <d v="2025-08-26T10:00:00Z"/>
        <d v="2026-05-19T15:00:00Z"/>
        <d v="2025-02-04T10:00:00Z"/>
        <d v="2025-02-11T09:00:00Z"/>
        <d v="2025-02-06T11:00:00Z"/>
        <d v="2025-02-05T14:00:00Z"/>
        <d v="2025-04-16T10:00:00Z"/>
        <d v="2025-09-26T14:00:00Z"/>
        <d v="2025-02-18T11:00:00Z"/>
        <d v="2025-02-17T10:00:00Z"/>
        <d v="2025-08-13T11:00:00Z"/>
        <d v="2025-04-14T11:00:00Z"/>
        <d v="2025-10-13T10:00:00Z"/>
        <d v="2026-04-22T14:00:00Z"/>
        <d v="2025-06-10T15:00:00Z"/>
        <d v="2025-09-23T11:00:00Z"/>
        <d v="2026-04-23T10:00:00Z"/>
        <d v="2025-07-17T11:00:00Z"/>
        <d v="2025-06-16T11:00:00Z"/>
        <d v="2025-10-20T10:00:00Z"/>
        <d v="2025-06-10T14:00:00Z"/>
        <d v="2025-11-03T15:00:00Z"/>
        <d v="2025-05-22T13:00:00Z"/>
        <d v="2025-10-02T14:00:00Z"/>
        <d v="2026-04-23T14:00:00Z"/>
        <d v="2025-06-09T13:00:00Z"/>
        <d v="2025-05-12T13:00:00Z"/>
        <d v="2025-05-13T11:00:00Z"/>
        <d v="2025-07-01T11:00:00Z"/>
        <d v="2025-05-28T14:00:00Z"/>
        <d v="2025-10-07T14:00:00Z"/>
        <d v="2025-06-11T11:00:00Z"/>
        <d v="2025-09-24T11:00:00Z"/>
        <d v="2026-04-14T13:00:00Z"/>
        <d v="2025-06-05T13:00:00Z"/>
        <d v="2025-09-17T13:00:00Z"/>
        <d v="2026-04-15T15:00:00Z"/>
        <d v="2025-06-12T13:00:00Z"/>
        <d v="2025-10-21T10:00:00Z"/>
        <d v="2026-05-14T10:00:00Z"/>
        <d v="2025-07-08T10:00:00Z"/>
        <d v="2025-08-21T11:00:00Z"/>
        <d v="2025-08-20T14:00:00Z"/>
        <d v="2026-05-15T14:00:00Z"/>
        <d v="2025-10-30T13:00:00Z"/>
        <d v="2025-10-28T13:00:00Z"/>
        <d v="2025-10-02T13:00:00Z"/>
        <d v="2026-05-21T13:00:00Z"/>
        <d v="2025-10-22T15:00:00Z"/>
        <d v="2025-11-05T13:00:00Z"/>
        <d v="2026-04-07T10:00:00Z"/>
        <d v="2026-04-09T15:00:00Z"/>
        <d v="2026-04-16T15:00:00Z"/>
        <d v="2026-04-22T10:00:00Z"/>
        <d v="2026-04-23T11:00:00Z"/>
      </sharedItems>
    </cacheField>
    <cacheField name="7th">
      <sharedItems containsDate="1" containsBlank="1" containsMixedTypes="1">
        <d v="2026-05-13T13:00:00Z"/>
        <d v="2025-06-16T13:00:00Z"/>
        <d v="2025-10-14T11:00:00Z"/>
        <s v="A"/>
        <d v="2025-06-19T14:00:00Z"/>
        <d v="2025-06-12T15:00:00Z"/>
        <d v="2025-02-28T09:00:00Z"/>
        <d v="2025-04-22T09:00:00Z"/>
        <d v="2025-09-17T09:00:00Z"/>
        <d v="2025-04-17T13:00:00Z"/>
        <d v="2025-02-26T13:00:00Z"/>
        <d v="2025-05-15T11:00:00Z"/>
        <d v="2025-10-01T15:00:00Z"/>
        <d v="2025-10-16T10:00:00Z"/>
        <d v="2025-07-31T10:00:00Z"/>
        <d v="2025-11-27T10:00:00Z"/>
        <m/>
        <d v="2026-06-26T10:00:00Z"/>
        <d v="2025-05-29T14:00:00Z"/>
        <d v="2025-11-11T14:00:00Z"/>
        <d v="2025-02-19T11:00:00Z"/>
        <d v="2025-02-26T11:00:00Z"/>
        <d v="2025-02-26T14:00:00Z"/>
        <d v="2025-02-20T09:00:00Z"/>
        <d v="2025-02-21T14:00:00Z"/>
        <d v="2025-09-11T11:00:00Z"/>
        <d v="2026-05-26T15:00:00Z"/>
        <d v="2026-05-26T14:00:00Z"/>
        <d v="2025-02-11T11:00:00Z"/>
        <d v="2025-02-11T09:00:00Z"/>
        <d v="2025-02-10T13:00:00Z"/>
        <d v="2025-05-12T10:00:00Z"/>
        <d v="2025-10-10T15:00:00Z"/>
        <d v="2025-02-21T10:00:00Z"/>
        <d v="2025-02-24T10:00:00Z"/>
        <d v="2025-08-27T15:00:00Z"/>
        <d v="2025-04-22T11:00:00Z"/>
        <d v="2025-10-14T14:00:00Z"/>
        <d v="2026-05-27T11:00:00Z"/>
        <d v="2025-06-17T15:00:00Z"/>
        <d v="2025-09-26T15:00:00Z"/>
        <d v="2026-05-15T15:00:00Z"/>
        <d v="2025-07-28T11:00:00Z"/>
        <d v="2025-07-14T15:00:00Z"/>
        <d v="2025-11-10T15:00:00Z"/>
        <d v="2025-06-17T14:00:00Z"/>
        <d v="2025-11-18T15:00:00Z"/>
        <d v="2025-05-28T13:00:00Z"/>
        <d v="2025-10-16T14:00:00Z"/>
        <d v="2026-05-07T14:00:00Z"/>
        <d v="2025-06-23T14:00:00Z"/>
        <d v="2025-05-26T10:00:00Z"/>
        <d v="2025-06-09T14:00:00Z"/>
        <d v="2025-07-08T13:00:00Z"/>
        <d v="2025-06-03T13:00:00Z"/>
        <d v="2025-06-19T10:00:00Z"/>
        <d v="2025-10-01T10:00:00Z"/>
        <d v="2025-06-10T13:00:00Z"/>
        <d v="2025-09-24T14:00:00Z"/>
        <d v="2026-05-06T16:00:00Z"/>
        <d v="2025-06-18T11:00:00Z"/>
        <d v="2025-10-22T10:00:00Z"/>
        <d v="2025-10-23T15:00:00Z"/>
        <d v="2026-05-28T14:00:00Z"/>
        <d v="2025-07-17T10:00:00Z"/>
        <d v="2025-09-11T15:00:00Z"/>
        <d v="2025-08-27T14:00:00Z"/>
        <d v="2025-11-06T13:00:00Z"/>
        <d v="2025-11-04T14:00:00Z"/>
        <d v="2025-10-09T13:00:00Z"/>
        <d v="2026-05-28T13:00:00Z"/>
        <d v="2025-10-31T14:00:00Z"/>
        <d v="2025-11-24T13:00:00Z"/>
        <d v="2026-04-14T11:00:00Z"/>
        <d v="2026-04-17T10:00:00Z"/>
        <d v="2026-05-06T11:00:00Z"/>
        <d v="2026-05-08T11:00:00Z"/>
      </sharedItems>
    </cacheField>
    <cacheField name="8th">
      <sharedItems containsDate="1" containsBlank="1" containsMixedTypes="1">
        <d v="2026-05-20T13:00:00Z"/>
        <d v="2025-06-23T13:00:00Z"/>
        <d v="2025-10-20T11:00:00Z"/>
        <s v="A"/>
        <d v="2025-07-31T15:00:00Z"/>
        <d v="2025-06-19T15:00:00Z"/>
        <d v="2025-04-17T09:00:00Z"/>
        <d v="2025-05-08T10:00:00Z"/>
        <d v="2025-09-23T09:00:00Z"/>
        <d v="2025-05-05T14:00:00Z"/>
        <d v="2025-05-05T13:00:00Z"/>
        <d v="2025-04-15T13:00:00Z"/>
        <d v="2025-05-23T11:00:00Z"/>
        <d v="2025-10-23T10:00:00Z"/>
        <d v="2025-08-21T14:00:00Z"/>
        <d v="2025-12-04T10:00:00Z"/>
        <d v="2026-07-02T11:00:00Z"/>
        <d v="2025-06-02T13:00:00Z"/>
        <d v="2025-11-19T14:00:00Z"/>
        <d v="2025-02-27T09:00:00Z"/>
        <m/>
        <d v="2025-04-09T11:00:00Z"/>
        <d v="2025-04-09T09:00:00Z"/>
        <d v="2025-02-28T13:00:00Z"/>
        <d v="2025-09-25T10:00:00Z"/>
        <d v="2026-06-09T14:00:00Z"/>
        <d v="2025-02-18T10:00:00Z"/>
        <d v="2025-02-18T13:00:00Z"/>
        <d v="2025-02-19T10:00:00Z"/>
        <d v="2025-05-23T10:00:00Z"/>
        <d v="2025-10-13T15:00:00Z"/>
        <d v="2025-02-25T11:00:00Z"/>
        <d v="2025-04-09T13:00:00Z"/>
        <d v="2025-09-17T09:00:00Z"/>
        <d v="2025-05-05T11:00:00Z"/>
        <d v="2026-06-16T10:00:00Z"/>
        <d v="2025-06-24T15:00:00Z"/>
        <d v="2025-10-09T14:00:00Z"/>
        <d v="2026-05-28T10:00:00Z"/>
        <d v="2025-08-12T15:00:00Z"/>
        <d v="2025-07-21T09:00:00Z"/>
        <d v="2025-11-19T15:00:00Z"/>
        <d v="2025-06-24T14:00:00Z"/>
        <d v="2025-12-02T14:00:00Z"/>
        <d v="2025-06-05T14:00:00Z"/>
        <d v="2025-10-23T14:00:00Z"/>
        <d v="2026-05-14T14:00:00Z"/>
        <d v="2025-07-23T10:00:00Z"/>
        <d v="2025-06-09T10:00:00Z"/>
        <d v="2025-06-09T14:00:00Z"/>
        <d v="2025-06-23T11:00:00Z"/>
        <d v="2025-07-15T11:00:00Z"/>
        <d v="2025-06-11T13:00:00Z"/>
        <d v="2025-10-21T14:00:00Z"/>
        <d v="2025-06-25T09:00:00Z"/>
        <d v="2025-10-08T11:00:00Z"/>
        <d v="2026-05-12T13:00:00Z"/>
        <d v="2025-06-19T13:00:00Z"/>
        <d v="2025-10-10T14:00:00Z"/>
        <d v="2026-05-13T15:00:00Z"/>
        <d v="2025-06-25T14:00:00Z"/>
        <d v="2025-10-29T11:00:00Z"/>
        <d v="2025-10-28T10:00:00Z"/>
        <d v="2026-06-11T15:00:00Z"/>
        <d v="2025-07-22T15:00:00Z"/>
        <d v="2025-09-12T13:00:00Z"/>
        <d v="2025-09-10T15:00:00Z"/>
        <d v="2025-09-10T14:00:00Z"/>
        <d v="2025-11-21T13:00:00Z"/>
        <d v="2025-11-18T14:00:00Z"/>
        <d v="2025-10-16T13:00:00Z"/>
        <d v="2025-11-05T15:00:00Z"/>
        <d v="2025-12-08T13:00:00Z"/>
        <d v="2026-05-05T10:00:00Z"/>
        <d v="2026-04-23T13:00:00Z"/>
        <d v="2026-04-23T15:00:00Z"/>
        <d v="2026-05-12T10:00:00Z"/>
        <d v="2026-05-15T11:00:00Z"/>
      </sharedItems>
    </cacheField>
    <cacheField name="9th">
      <sharedItems containsDate="1" containsBlank="1" containsMixedTypes="1">
        <d v="2026-05-27T13:00:00Z"/>
        <d v="2025-07-02T13:00:00Z"/>
        <d v="2025-10-27T11:00:00Z"/>
        <s v="A"/>
        <d v="2025-09-12T10:00:00Z"/>
        <d v="2025-06-26T14:00:00Z"/>
        <d v="2025-05-15T10:00:00Z"/>
        <d v="2025-10-02T09:00:00Z"/>
        <d v="2025-05-26T14:00:00Z"/>
        <d v="2025-04-22T10:00:00Z"/>
        <d v="2025-05-29T13:00:00Z"/>
        <d v="2025-10-30T10:00:00Z"/>
        <d v="2025-08-28T13:00:00Z"/>
        <d v="2025-12-11T15:00:00Z"/>
        <d v="2026-07-09T11:00:00Z"/>
        <d v="2025-06-16T14:00:00Z"/>
        <d v="2025-11-20T14:00:00Z"/>
        <d v="2025-04-15T11:00:00Z"/>
        <m/>
        <d v="2025-04-15T09:00:00Z"/>
        <d v="2025-05-07T09:00:00Z"/>
        <d v="2025-04-18T15:00:00Z"/>
        <d v="2025-10-02T11:00:00Z"/>
        <s v="06/23/2026 11:00:00"/>
        <d v="2025-02-18T13:00:00Z"/>
        <d v="2025-02-25T10:00:00Z"/>
        <d v="2025-02-25T13:00:00Z"/>
        <d v="2025-02-26T10:00:00Z"/>
        <d v="2025-05-26T09:00:00Z"/>
        <d v="2025-10-20T15:00:00Z"/>
        <d v="2025-02-28T10:00:00Z"/>
        <d v="2025-04-25T11:00:00Z"/>
        <d v="2025-09-24T10:00:00Z"/>
        <d v="2025-05-12T11:00:00Z"/>
        <d v="2025-10-27T10:00:00Z"/>
        <d v="2026-07-08T13:00:00Z"/>
        <d v="2025-07-08T15:00:00Z"/>
        <d v="2025-10-10T13:00:00Z"/>
        <d v="2026-05-29T15:00:00Z"/>
        <d v="2025-08-15T14:00:00Z"/>
        <d v="2025-07-28T10:00:00Z"/>
        <d v="2025-12-17T15:00:00Z"/>
        <d v="2025-07-08T14:00:00Z"/>
        <d v="2025-12-09T14:00:00Z"/>
        <d v="2025-06-12T14:00:00Z"/>
        <d v="2025-10-30T14:00:00Z"/>
        <d v="2026-05-29T14:00:00Z"/>
        <d v="2025-07-23T11:00:00Z"/>
        <d v="2025-06-23T10:00:00Z"/>
        <d v="2025-06-23T11:00:00Z"/>
        <d v="2025-07-08T11:00:00Z"/>
        <d v="2025-07-24T11:00:00Z"/>
        <d v="2025-06-17T13:00:00Z"/>
        <d v="2025-10-28T14:00:00Z"/>
        <d v="2025-07-02T10:00:00Z"/>
        <d v="2025-11-19T10:00:00Z"/>
        <d v="2026-05-19T13:00:00Z"/>
        <d v="2025-06-25T13:00:00Z"/>
        <d v="2025-10-13T14:00:00Z"/>
        <d v="2026-05-20T15:00:00Z"/>
        <d v="2025-07-01T13:00:00Z"/>
        <d v="2025-11-06T11:00:00Z"/>
        <d v="2025-10-28T11:00:00Z"/>
        <d v="2026-06-23T15:00:00Z"/>
        <d v="2025-07-31T11:00:00Z"/>
        <d v="2025-09-18T15:00:00Z"/>
        <d v="2025-09-16T09:00:00Z"/>
        <d v="2025-11-28T13:00:00Z"/>
        <d v="2025-11-25T14:00:00Z"/>
        <d v="2025-10-22T13:00:00Z"/>
        <d v="2026-06-25T13:00:00Z"/>
        <d v="2025-11-13T14:00:00Z"/>
        <d v="2025-12-15T13:00:00Z"/>
        <d v="2026-05-05T11:00:00Z"/>
        <d v="2026-05-08T10:00:00Z"/>
        <d v="2026-05-07T11:00:00Z"/>
        <d v="2026-05-21T14:00:00Z"/>
        <d v="2026-05-29T11:00:00Z"/>
      </sharedItems>
    </cacheField>
    <cacheField name="10th">
      <sharedItems containsDate="1" containsBlank="1" containsMixedTypes="1">
        <d v="2026-06-03T13:00:00Z"/>
        <d v="2025-07-29T10:00:00Z"/>
        <d v="2025-11-04T11:00:00Z"/>
        <s v="A"/>
        <d v="2025-10-24T09:00:00Z"/>
        <d v="2025-08-13T13:00:00Z"/>
        <d v="2025-06-12T09:00:00Z"/>
        <d v="2025-10-09T09:00:00Z"/>
        <d v="2025-07-01T14:00:00Z"/>
        <d v="2025-05-30T14:00:00Z"/>
        <d v="2025-06-05T10:00:00Z"/>
        <d v="2025-11-21T11:00:00Z"/>
        <d v="2025-09-18T10:00:00Z"/>
        <d v="2025-12-19T15:00:00Z"/>
        <m/>
        <d v="2025-07-14T13:00:00Z"/>
        <d v="2025-12-05T14:00:00Z"/>
        <d v="2025-05-22T09:00:00Z"/>
        <d v="2025-05-14T09:00:00Z"/>
        <d v="2025-05-29T10:00:00Z"/>
        <d v="2025-10-09T11:00:00Z"/>
        <s v="06/30/2026 15:00:00"/>
        <d v="2026-07-08T13:00:00Z"/>
        <d v="2025-05-24T10:00:00Z"/>
        <d v="2025-04-22T14:00:00Z"/>
        <d v="2025-06-11T10:00:00Z"/>
        <d v="2025-10-27T15:00:00Z"/>
        <d v="2025-04-11T10:00:00Z"/>
        <d v="2025-05-30T10:00:00Z"/>
        <d v="2025-10-22T11:00:00Z"/>
        <d v="2025-05-26T13:00:00Z"/>
        <d v="2025-11-03T14:00:00Z"/>
        <d v="2025-07-29T14:00:00Z"/>
        <d v="2025-10-17T11:00:00Z"/>
        <d v="2026-06-12T14:00:00Z"/>
        <d v="2025-08-15T15:00:00Z"/>
        <d v="2025-08-25T13:00:00Z"/>
        <d v="2025-12-26T15:00:00Z"/>
        <d v="2025-07-30T09:00:00Z"/>
        <d v="2025-12-16T14:00:00Z"/>
        <d v="2025-07-11T13:00:00Z"/>
        <d v="2025-11-05T14:00:00Z"/>
        <d v="2026-06-11T13:00:00Z"/>
        <d v="2025-08-18T13:00:00Z"/>
        <d v="2025-07-21T13:00:00Z"/>
        <d v="2025-07-15T11:00:00Z"/>
        <d v="2025-08-14T10:00:00Z"/>
        <d v="2025-07-15T13:00:00Z"/>
        <d v="2025-11-05T11:00:00Z"/>
        <d v="2025-07-23T13:00:00Z"/>
        <d v="2025-11-26T10:00:00Z"/>
        <d v="2026-05-26T13:00:00Z"/>
        <d v="2025-07-22T10:00:00Z"/>
        <d v="2025-10-24T13:00:00Z"/>
        <d v="2026-05-27T15:00:00Z"/>
        <d v="2025-07-30T13:00:00Z"/>
        <d v="2025-11-13T11:00:00Z"/>
        <d v="2025-11-04T15:00:00Z"/>
        <d v="2026-06-30T15:00:00Z"/>
        <d v="2025-08-12T12:00:00Z"/>
        <d v="2025-12-05T11:00:00Z"/>
        <d v="2025-10-29T10:00:00Z"/>
        <d v="2025-12-05T13:00:00Z"/>
        <d v="2025-12-02T14:00:00Z"/>
        <d v="2025-10-29T13:00:00Z"/>
        <d v="2025-11-21T15:00:00Z"/>
        <d v="2025-12-17T13:00:00Z"/>
        <d v="2026-05-12T11:00:00Z"/>
        <d v="2026-05-13T14:00:00Z"/>
        <d v="2026-05-15T10:00:00Z"/>
        <d v="2026-05-26T10:00:00Z"/>
        <d v="2026-06-03T11:00:00Z"/>
      </sharedItems>
    </cacheField>
    <cacheField name="11th">
      <sharedItems containsDate="1" containsBlank="1" containsMixedTypes="1">
        <d v="2026-06-10T13:00:00Z"/>
        <m/>
        <d v="2025-11-11T11:00:00Z"/>
        <s v="A"/>
        <d v="2025-10-14T10:00:00Z"/>
        <d v="2025-06-12T10:00:00Z"/>
        <d v="2025-11-28T11:00:00Z"/>
        <d v="2025-12-26T14:00:00Z"/>
        <d v="2025-12-15T14:00:00Z"/>
        <d v="2025-10-16T09:00:00Z"/>
        <d v="2025-06-18T10:00:00Z"/>
        <d v="2025-12-16T15:00:00Z"/>
        <d v="2025-04-18T10:00:00Z"/>
        <d v="2025-11-20T15:00:00Z"/>
        <d v="2025-06-04T10:00:00Z"/>
        <d v="2025-11-10T13:00:00Z"/>
        <d v="2025-10-27T14:00:00Z"/>
        <d v="2026-06-16T11:00:00Z"/>
        <d v="2025-08-18T10:00:00Z"/>
        <d v="2026-01-19T15:00:00Z"/>
        <d v="2025-12-22T14:00:00Z"/>
        <d v="2025-11-21T14:00:00Z"/>
        <d v="2026-06-18T13:00:00Z"/>
        <d v="2025-11-19T11:00:00Z"/>
        <d v="2025-12-03T14:00:00Z"/>
        <d v="2026-06-09T13:00:00Z"/>
        <d v="2025-10-31T13:00:00Z"/>
        <d v="2026-06-10T15:00:00Z"/>
        <d v="2025-11-20T11:00:00Z"/>
        <d v="2025-11-11T15:00:00Z"/>
        <d v="2026-07-07T15:00:00Z"/>
        <d v="2025-08-19T13:00:00Z"/>
        <d v="2025-12-19T13:00:00Z"/>
        <d v="2025-11-03T13:00:00Z"/>
        <d v="2025-11-28T14:00:00Z"/>
        <d v="2025-12-22T13:00:00Z"/>
        <d v="2026-05-19T11:00:00Z"/>
        <d v="2026-05-20T14:00:00Z"/>
        <d v="2026-05-20T11:00:00Z"/>
        <d v="2026-06-10T11:00:00Z"/>
        <d v="2026-06-12T11:00:00Z"/>
      </sharedItems>
    </cacheField>
    <cacheField name="12th">
      <sharedItems containsDate="1" containsBlank="1" containsMixedTypes="1">
        <d v="2026-06-17T13:00:00Z"/>
        <m/>
        <d v="2025-11-18T11:00:00Z"/>
        <d v="2025-11-05T10:00:00Z"/>
        <s v="A"/>
        <d v="2025-07-03T10:00:00Z"/>
        <d v="2025-12-05T10:00:00Z"/>
        <d v="2026-01-16T14:00:00Z"/>
        <d v="2025-12-17T14:00:00Z"/>
        <d v="2025-10-31T11:00:00Z"/>
        <d v="2025-07-15T10:00:00Z"/>
        <d v="2025-12-30T14:00:00Z"/>
        <d v="2025-04-25T10:00:00Z"/>
        <d v="2025-11-26T11:00:00Z"/>
        <d v="2025-06-24T09:00:00Z"/>
        <d v="2025-11-24T14:00:00Z"/>
        <d v="2025-11-03T11:00:00Z"/>
        <d v="2026-07-01T11:00:00Z"/>
        <d v="2025-09-03T11:00:00Z"/>
        <d v="2026-01-26T13:00:00Z"/>
        <d v="2025-11-27T14:00:00Z"/>
        <d v="2025-11-26T14:00:00Z"/>
        <d v="2025-12-17T10:00:00Z"/>
        <d v="2026-06-16T13:00:00Z"/>
        <d v="2025-11-04T13:00:00Z"/>
        <d v="2026-06-17T15:00:00Z"/>
        <d v="2025-11-27T11:00:00Z"/>
        <d v="2025-11-18T10:00:00Z"/>
        <d v="2025-08-28T11:00:00Z"/>
        <d v="2026-01-16T13:00:00Z"/>
        <d v="2025-11-18T13:00:00Z"/>
        <d v="2025-12-03T13:00:00Z"/>
        <d v="2026-01-19T14:00:00Z"/>
        <d v="2026-05-26T11:00:00Z"/>
        <d v="2026-05-29T10:00:00Z"/>
        <d v="2026-05-27T13:00:00Z"/>
        <d v="2026-05-27T14:00:00Z"/>
        <d v="2026-06-18T15:00:00Z"/>
        <d v="2026-06-18T11:00:00Z"/>
      </sharedItems>
    </cacheField>
    <cacheField name="13th">
      <sharedItems containsDate="1" containsBlank="1" containsMixedTypes="1">
        <d v="2026-06-24T13:00:00Z"/>
        <m/>
        <s v="A"/>
        <d v="2025-11-25T11:00:00Z"/>
        <d v="2025-12-16T10:00:00Z"/>
        <d v="2025-12-19T10:00:00Z"/>
        <d v="2026-01-22T10:00:00Z"/>
        <d v="2025-12-26T13:00:00Z"/>
        <d v="2025-11-06T15:00:00Z"/>
        <d v="2025-12-03T11:00:00Z"/>
        <d v="2025-12-01T13:00:00Z"/>
        <d v="2025-11-10T14:00:00Z"/>
        <d v="2026-07-07T10:00:00Z"/>
        <d v="2025-09-04T11:00:00Z"/>
        <d v="2026-03-05T10:00:00Z"/>
        <d v="2025-12-04T14:00:00Z"/>
        <d v="2025-12-03T10:00:00Z"/>
        <d v="2026-01-14T10:00:00Z"/>
        <s v="06/23/2026 13:00:00"/>
        <d v="2025-11-13T13:00:00Z"/>
        <d v="2026-07-01T15:00:00Z"/>
        <d v="2025-12-04T11:00:00Z"/>
        <d v="2025-11-18T10:00:00Z"/>
        <d v="2025-09-09T10:00:00Z"/>
        <d v="2026-01-27T14:00:00Z"/>
        <d v="2025-11-27T13:00:00Z"/>
        <d v="2025-12-19T14:00:00Z"/>
        <d v="2026-01-26T14:00:00Z"/>
        <d v="2026-06-09T11:00:00Z"/>
        <d v="2026-06-11T10:00:00Z"/>
        <d v="2026-06-11T14:00:00Z"/>
        <d v="2026-06-24T11:00:00Z"/>
        <d v="2026-06-26T11:00:00Z"/>
      </sharedItems>
    </cacheField>
    <cacheField name="14th">
      <sharedItems containsDate="1" containsBlank="1" containsMixedTypes="1">
        <d v="2026-07-08T14:00:00Z"/>
        <m/>
        <d v="2025-12-02T10:00:00Z"/>
        <s v="A"/>
        <d v="2025-12-30T10:00:00Z"/>
        <d v="2025-12-30T09:00:00Z"/>
        <d v="2026-01-29T15:00:00Z"/>
        <d v="2025-12-30T13:00:00Z"/>
        <d v="2025-11-13T15:00:00Z"/>
        <d v="2025-12-17T11:00:00Z"/>
        <d v="2025-12-08T10:00:00Z"/>
        <d v="2025-11-24T10:00:00Z"/>
        <d v="2025-09-09T11:00:00Z"/>
        <d v="2026-03-06T10:00:00Z"/>
        <d v="2025-12-08T11:00:00Z"/>
        <d v="2025-12-15T15:00:00Z"/>
        <d v="2026-01-21T11:00:00Z"/>
        <d v="2026-06-30T13:00:00Z"/>
        <d v="2025-11-19T13:00:00Z"/>
        <d v="2026-07-08T15:00:00Z"/>
        <d v="2025-12-16T13:00:00Z"/>
        <d v="2025-11-26T15:00:00Z"/>
        <d v="2025-09-23T10:00:00Z"/>
        <d v="2026-01-27T14:00:00Z"/>
        <d v="2025-12-04T13:00:00Z"/>
        <d v="2026-01-27T13:00:00Z"/>
        <d v="2026-03-06T13:00:00Z"/>
        <d v="2026-07-07T11:00:00Z"/>
        <d v="2026-06-25T11:00:00Z"/>
        <d v="2026-06-25T10:00:00Z"/>
        <d v="2026-07-02T13:00:00Z"/>
        <d v="2026-07-02T15:00:00Z"/>
      </sharedItems>
    </cacheField>
    <cacheField name="15th">
      <sharedItems containsDate="1" containsBlank="1" containsMixedTypes="1">
        <m/>
        <d v="2025-12-09T11:00:00Z"/>
        <d v="2026-01-13T10:00:00Z"/>
        <s v="A"/>
        <d v="2026-01-16T11:00:00Z"/>
        <d v="2026-01-30T15:00:00Z"/>
        <d v="2026-01-19T13:00:00Z"/>
        <d v="2025-12-15T10:00:00Z"/>
        <d v="2026-01-28T13:00:00Z"/>
        <d v="2025-12-15T11:00:00Z"/>
        <d v="2025-11-28T15:00:00Z"/>
        <d v="2026-03-13T10:00:00Z"/>
        <d v="2025-12-23T15:00:00Z"/>
        <d v="2025-12-22T15:00:00Z"/>
        <d v="2026-01-28T10:00:00Z"/>
        <d v="2026-07-07T13:00:00Z"/>
        <d v="2025-11-26T13:00:00Z"/>
        <d v="2025-12-30T11:00:00Z"/>
        <d v="2025-12-02T10:00:00Z"/>
        <d v="2025-09-25T15:00:00Z"/>
        <d v="2026-01-30T13:00:00Z"/>
        <d v="2025-12-09T13:00:00Z"/>
        <d v="2026-01-30T14:00:00Z"/>
        <d v="2026-03-13T13:00:00Z"/>
        <d v="2026-07-02T14:00:00Z"/>
        <d v="2026-07-02T10:00:00Z"/>
        <d v="2026-07-09T13:00:00Z"/>
        <d v="2026-07-08T11:00:00Z"/>
      </sharedItems>
    </cacheField>
    <cacheField name="16th">
      <sharedItems containsDate="1" containsBlank="1" containsMixedTypes="1">
        <m/>
        <d v="2026-01-20T10:00:00Z"/>
        <d v="2026-03-03T10:00:00Z"/>
        <s v="A"/>
        <d v="2026-03-02T11:00:00Z"/>
        <d v="2026-03-23T10:00:00Z"/>
        <d v="2026-04-03T13:00:00Z"/>
        <d v="2026-01-23T10:00:00Z"/>
        <d v="2026-02-04T13:00:00Z"/>
        <d v="2026-01-26T10:00:00Z"/>
        <d v="2026-01-19T10:00:00Z"/>
        <d v="2026-04-24T10:00:00Z"/>
        <d v="2026-01-22T13:00:00Z"/>
        <d v="2026-01-13T10:00:00Z"/>
        <d v="2026-03-25T13:00:00Z"/>
        <d v="2026-01-23T13:00:00Z"/>
        <d v="2026-01-29T10:00:00Z"/>
        <d v="2025-12-09T15:00:00Z"/>
        <d v="2025-10-02T15:00:00Z"/>
        <d v="2026-03-27T13:00:00Z"/>
        <d v="2026-01-14T13:00:00Z"/>
        <d v="2026-03-02T14:00:00Z"/>
        <d v="2026-07-09T14:00:00Z"/>
        <d v="2026-07-09T10:00:00Z"/>
      </sharedItems>
    </cacheField>
    <cacheField name=" " numFmtId="0">
      <sharedItems containsString="0" containsBlank="1">
        <m/>
      </sharedItems>
    </cacheField>
    <cacheField name="2026-07-09 14:00" numFmtId="164">
      <sharedItems containsDate="1" containsString="0" containsBlank="1">
        <d v="2026-07-08T14:00:00Z"/>
        <d v="2025-07-29T10:00:00Z"/>
        <d v="2026-01-20T10:00:00Z"/>
        <d v="2025-05-23T13:00:00Z"/>
        <d v="2025-10-24T09:00:00Z"/>
        <d v="2025-06-19T14:00:00Z"/>
        <d v="2025-08-13T13:00:00Z"/>
        <d v="2025-06-12T09:00:00Z"/>
        <d v="2026-03-03T10:00:00Z"/>
        <d v="1899-12-30T00:00:00Z"/>
        <d v="2025-07-01T14:00:00Z"/>
        <d v="2025-05-30T14:00:00Z"/>
        <d v="2025-07-03T10:00:00Z"/>
        <d v="2026-03-02T11:00:00Z"/>
        <d v="2025-11-28T11:00:00Z"/>
        <d v="2025-12-30T09:00:00Z"/>
        <d v="2025-12-05T10:00:00Z"/>
        <d v="2025-09-18T10:00:00Z"/>
        <d v="2026-03-23T10:00:00Z"/>
        <d v="2026-07-02T11:00:00Z"/>
        <d v="2026-07-09T11:00:00Z"/>
        <m/>
        <d v="2025-07-14T13:00:00Z"/>
        <d v="2026-04-03T13:00:00Z"/>
        <d v="2025-12-26T13:00:00Z"/>
        <d v="2025-05-22T09:00:00Z"/>
        <d v="2025-08-26T11:00:00Z"/>
        <d v="2025-07-15T09:00:00Z"/>
        <d v="2025-05-14T09:00:00Z"/>
        <d v="2025-05-29T10:00:00Z"/>
        <d v="2026-01-23T10:00:00Z"/>
        <d v="2025-11-06T15:00:00Z"/>
        <d v="2026-06-09T14:00:00Z"/>
        <d v="2026-07-08T13:00:00Z"/>
        <d v="2025-05-24T10:00:00Z"/>
        <d v="2025-07-21T10:00:00Z"/>
        <d v="2025-02-24T14:00:00Z"/>
        <d v="2025-02-17T14:00:00Z"/>
        <d v="2025-04-22T14:00:00Z"/>
        <d v="2024-12-27T10:00:00Z"/>
        <d v="2025-02-10T13:00:00Z"/>
        <d v="2025-07-15T10:00:00Z"/>
        <d v="2025-06-11T10:00:00Z"/>
        <d v="2025-12-30T14:00:00Z"/>
        <d v="2025-04-25T10:00:00Z"/>
        <d v="2025-05-30T10:00:00Z"/>
        <d v="2025-10-01T15:00:00Z"/>
        <d v="2025-09-24T15:00:00Z"/>
        <d v="2026-02-04T13:00:00Z"/>
        <d v="2025-06-24T09:00:00Z"/>
        <d v="2026-01-26T10:00:00Z"/>
        <d v="2025-12-15T11:00:00Z"/>
        <d v="2026-05-27T11:00:00Z"/>
        <d v="2026-06-16T10:00:00Z"/>
        <d v="2025-07-29T14:00:00Z"/>
        <d v="2025-11-24T10:00:00Z"/>
        <d v="2025-06-10T09:00:00Z"/>
        <d v="2026-07-07T10:00:00Z"/>
        <d v="2026-04-23T10:00:00Z"/>
        <d v="2026-01-19T10:00:00Z"/>
        <d v="2025-08-25T13:00:00Z"/>
        <d v="2026-04-24T10:00:00Z"/>
        <d v="2025-07-30T09:00:00Z"/>
        <d v="2025-12-22T14:00:00Z"/>
        <d v="2025-07-11T13:00:00Z"/>
        <d v="2026-01-22T13:00:00Z"/>
        <d v="2025-08-28T14:00:00Z"/>
        <d v="2026-06-18T13:00:00Z"/>
        <d v="2026-04-02T14:00:00Z"/>
        <d v="2026-06-11T13:00:00Z"/>
        <d v="2025-08-18T13:00:00Z"/>
        <d v="2025-06-09T13:00:00Z"/>
        <d v="2025-07-21T13:00:00Z"/>
        <d v="2025-07-15T11:00:00Z"/>
        <d v="2025-08-14T10:00:00Z"/>
        <d v="2025-07-15T13:00:00Z"/>
        <d v="2025-12-03T10:00:00Z"/>
        <d v="2025-11-05T11:00:00Z"/>
        <d v="2026-01-13T10:00:00Z"/>
        <d v="2025-07-23T13:00:00Z"/>
        <d v="2026-03-25T13:00:00Z"/>
        <d v="2026-01-28T10:00:00Z"/>
        <d v="2026-07-07T13:00:00Z"/>
        <d v="2026-03-17T13:00:00Z"/>
        <d v="2026-04-07T13:00:00Z"/>
        <d v="2025-07-22T10:00:00Z"/>
        <d v="2025-06-19T13:00:00Z"/>
        <d v="2026-01-23T13:00:00Z"/>
        <d v="2026-07-08T15:00:00Z"/>
        <d v="2026-07-01T15:00:00Z"/>
        <d v="2026-04-15T15:00:00Z"/>
        <d v="2026-03-05T11:00:00Z"/>
        <d v="2025-07-30T13:00:00Z"/>
        <d v="2026-01-29T10:00:00Z"/>
        <d v="2025-11-06T11:00:00Z"/>
        <d v="2025-11-13T11:00:00Z"/>
        <d v="2025-12-09T15:00:00Z"/>
        <d v="2025-11-04T15:00:00Z"/>
        <d v="2025-11-11T15:00:00Z"/>
        <d v="2026-07-07T15:00:00Z"/>
        <d v="2025-10-02T15:00:00Z"/>
        <d v="2025-12-05T11:00:00Z"/>
        <d v="2026-03-05T13:00:00Z"/>
        <d v="2026-01-30T11:00:00Z"/>
        <d v="2025-10-29T10:00:00Z"/>
        <d v="2025-08-27T14:00:00Z"/>
        <d v="2026-05-15T14:00:00Z"/>
        <d v="2026-03-27T13:00:00Z"/>
        <d v="2025-12-19T13:00:00Z"/>
        <d v="2025-10-07T13:00:00Z"/>
        <d v="2025-12-02T14:00:00Z"/>
        <d v="2025-09-30T13:00:00Z"/>
        <d v="2025-10-28T13:00:00Z"/>
        <d v="2025-10-14T13:00:00Z"/>
        <d v="2026-01-14T13:00:00Z"/>
        <d v="2026-06-25T13:00:00Z"/>
        <d v="2026-03-26T13:00:00Z"/>
        <d v="2026-03-02T14:00:00Z"/>
        <d v="2026-01-30T14:00:00Z"/>
        <d v="2025-09-29T14:00:00Z"/>
        <d v="2026-03-13T13:00:00Z"/>
        <d v="2025-12-15T13:00:00Z"/>
        <d v="2026-07-07T11:00:00Z"/>
        <d v="2026-07-09T14:00:00Z"/>
        <d v="2026-07-09T10:00:00Z"/>
        <d v="2026-06-11T14:00:00Z"/>
        <d v="2026-07-09T13:00:00Z"/>
        <d v="2026-07-08T11:00:00Z"/>
        <d v="2026-07-02T15: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sheet2" cacheId="0" dataCaption="" colGrandTotals="0" compact="0" compactData="0">
  <location ref="AB3:AD7" firstHeaderRow="0" firstDataRow="1" firstDataCol="1" rowPageCount="1" colPageCount="1"/>
  <pivotFields>
    <pivotField name="Emp Code&#10;(unique)" axis="axisPage" dataField="1" compact="0" numFmtId="49" outline="0" multipleItemSelectionAllowed="1" showAll="0">
      <items>
        <item h="1" x="0"/>
        <item h="1" x="1"/>
        <item x="2"/>
        <item x="3"/>
        <item x="4"/>
        <item x="5"/>
        <item x="6"/>
        <item x="7"/>
        <item t="default"/>
      </items>
    </pivotField>
    <pivotField name="Role&#10;(unique)" compact="0" outline="0" multipleItemSelectionAllowed="1" showAll="0">
      <items>
        <item x="0"/>
        <item x="1"/>
        <item x="2"/>
        <item x="3"/>
        <item x="4"/>
        <item t="default"/>
      </items>
    </pivotField>
    <pivotField name="Group Role" axis="axisRow" compact="0" outline="0" multipleItemSelectionAllowed="1" showAll="0" sortType="ascending">
      <items>
        <item x="4"/>
        <item x="3"/>
        <item x="2"/>
        <item x="0"/>
        <item x="1"/>
        <item t="default"/>
      </items>
    </pivotField>
    <pivotField name="BU&#10;(unique)" axis="axisCol" compact="0" outline="0" multipleItemSelectionAllowed="1" showAll="0" sortType="ascending">
      <items>
        <item x="4"/>
        <item x="3"/>
        <item x="2"/>
        <item x="0"/>
        <item x="1"/>
        <item t="default"/>
      </items>
    </pivotField>
  </pivotFields>
  <rowFields>
    <field x="2"/>
  </rowFields>
  <colFields>
    <field x="3"/>
  </colFields>
  <pageFields>
    <pageField fld="0"/>
  </pageFields>
  <dataFields>
    <dataField name="COUNTA of Emp Code&#10;(unique)" fld="0" subtotal="count" baseField="0"/>
  </dataFields>
</pivotTableDefinition>
</file>

<file path=xl/pivotTables/pivotTable2.xml><?xml version="1.0" encoding="utf-8"?>
<pivotTableDefinition xmlns="http://schemas.openxmlformats.org/spreadsheetml/2006/main" name="sheet2 3" cacheId="2" dataCaption="" colGrandTotals="0" compact="0" compactData="0">
  <location ref="AT1:AZ9" firstHeaderRow="0" firstDataRow="1" firstDataCol="1"/>
  <pivotFields>
    <pivotField name="Emp Code&#10;(Active, uniques)" dataField="1"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t="default"/>
      </items>
    </pivotField>
    <pivotField name="Role&#10;(unique)" compact="0" outline="0" multipleItemSelectionAllowed="1" showAll="0">
      <items>
        <item x="0"/>
        <item x="1"/>
        <item x="2"/>
        <item x="3"/>
        <item x="4"/>
        <item x="5"/>
        <item x="6"/>
        <item x="7"/>
        <item x="8"/>
        <item x="9"/>
        <item t="default"/>
      </items>
    </pivotField>
    <pivotField name="Group Role" axis="axisRow" compact="0" outline="0" multipleItemSelectionAllowed="1" showAll="0" sortType="ascending">
      <items>
        <item h="1" x="7"/>
        <item x="5"/>
        <item x="1"/>
        <item x="3"/>
        <item x="4"/>
        <item x="0"/>
        <item x="2"/>
        <item h="1" x="6"/>
        <item t="default"/>
      </items>
    </pivotField>
    <pivotField name="BU&#10;(unique)" axis="axisCol" compact="0" outline="0" multipleItemSelectionAllowed="1" showAll="0" sortType="ascending">
      <items>
        <item x="6"/>
        <item x="5"/>
        <item x="2"/>
        <item x="1"/>
        <item x="4"/>
        <item x="0"/>
        <item x="3"/>
        <item x="7"/>
        <item t="default"/>
      </items>
    </pivotField>
  </pivotFields>
  <rowFields>
    <field x="2"/>
  </rowFields>
  <colFields>
    <field x="3"/>
  </colFields>
  <dataFields>
    <dataField name="COUNTA of Emp Code&#10;(Active, uniques)" fld="0" subtotal="count" baseField="0"/>
  </dataFields>
</pivotTableDefinition>
</file>

<file path=xl/tables/table1.xml><?xml version="1.0" encoding="utf-8"?>
<table xmlns="http://schemas.openxmlformats.org/spreadsheetml/2006/main" headerRowCount="0" ref="A370:B376" displayName="Table_1" name="Table_1" id="1">
  <tableColumns count="2">
    <tableColumn name="Column1" id="1"/>
    <tableColumn name="Column2" id="2"/>
  </tableColumns>
  <tableStyleInfo name="Placemen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4-24T09:29:50.00" personId="{1a382892-87aa-4833-b900-ed72064df540}" id="{ab13fa27-ba42-4bc3-8d78-82c897b1e358}" done="0">
    <x18tc:text xml:space="preserve">Chị giúp e fill EMP CODE của các bạn nì nha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90" Type="http://schemas.openxmlformats.org/officeDocument/2006/relationships/hyperlink" Target="https://drive.google.com/open?id=1PbAIC9WDVbjKedj1H3fgsEU0ueZXJ5krl7S9WGuIbKs&amp;usp=drive_copy" TargetMode="External"/><Relationship Id="rId194" Type="http://schemas.openxmlformats.org/officeDocument/2006/relationships/hyperlink" Target="https://drive.google.com/open?id=12xfkM9cowsb-qBE88emHUcl5dbmDD6sR8a-LFY05d7w&amp;usp=drive_copy" TargetMode="External"/><Relationship Id="rId193" Type="http://schemas.openxmlformats.org/officeDocument/2006/relationships/hyperlink" Target="https://drive.google.com/open?id=1ci12qDSbwmtegAm4a4LpBjSj7V2Z711Ns0xDIUk-HJk&amp;usp=drive_copy" TargetMode="External"/><Relationship Id="rId192" Type="http://schemas.openxmlformats.org/officeDocument/2006/relationships/hyperlink" Target="https://drive.google.com/open?id=1YBjUVdMpZL4abepJ-p3ML5IJOLfr1fMsaE97MTpiS3Q&amp;usp=drive_copy" TargetMode="External"/><Relationship Id="rId191" Type="http://schemas.openxmlformats.org/officeDocument/2006/relationships/hyperlink" Target="https://drive.google.com/open?id=1TjY-p9nm8slZaPw9b3Iq6L3zE3JjLdXbKU7cCXKODMc&amp;usp=drive_copy" TargetMode="External"/><Relationship Id="rId187" Type="http://schemas.openxmlformats.org/officeDocument/2006/relationships/hyperlink" Target="https://docs.google.com/spreadsheets/d/13yHemLTsogBGyp3n-v9ynOtorP5hVq4VnsFd2BnaRO4/edit?gid=2052560265" TargetMode="External"/><Relationship Id="rId186" Type="http://schemas.openxmlformats.org/officeDocument/2006/relationships/hyperlink" Target="https://drive.google.com/open?id=12xfkM9cowsb-qBE88emHUcl5dbmDD6sR8a-LFY05d7w&amp;usp=drive_copy" TargetMode="External"/><Relationship Id="rId185" Type="http://schemas.openxmlformats.org/officeDocument/2006/relationships/hyperlink" Target="https://docs.google.com/spreadsheets/d/1xuWdrV99XWfbpigm6IXw_xC_i_hHyapr4niZEA7q6vI/edit?gid=2052560265" TargetMode="External"/><Relationship Id="rId184" Type="http://schemas.openxmlformats.org/officeDocument/2006/relationships/hyperlink" Target="https://docs.google.com/spreadsheets/d/1cF3nHtYbpS0vy7aODliRUCY9swM68KYbhxYoCY8dyeo/edit?gid=2052560265" TargetMode="External"/><Relationship Id="rId189" Type="http://schemas.openxmlformats.org/officeDocument/2006/relationships/hyperlink" Target="https://drive.google.com/open?id=1lU_914elltFbrT3v-Gots08Zg6zjy0n1pe4Is5C0FsQ&amp;usp=drive_copy" TargetMode="External"/><Relationship Id="rId188" Type="http://schemas.openxmlformats.org/officeDocument/2006/relationships/hyperlink" Target="https://drive.google.com/open?id=1XnO2I5epe8tYJxjuuIqV2r9WVD_cMENLXPlmdov2_jE&amp;usp=drive_copy" TargetMode="External"/><Relationship Id="rId183" Type="http://schemas.openxmlformats.org/officeDocument/2006/relationships/hyperlink" Target="https://docs.google.com/spreadsheets/d/1VYd_CsN7aQA8GXnDKORHj2tOJ3x4T2Ac0eH45hq4fpI/edit?gid=2052560265" TargetMode="External"/><Relationship Id="rId182" Type="http://schemas.openxmlformats.org/officeDocument/2006/relationships/hyperlink" Target="https://docs.google.com/spreadsheets/d/1x5VMCZQUdIzOs2wXDHzXExmggECFY_oOusy-env5ajM/edit?gid=2052560265" TargetMode="External"/><Relationship Id="rId181" Type="http://schemas.openxmlformats.org/officeDocument/2006/relationships/hyperlink" Target="https://docs.google.com/spreadsheets/d/1vu1wCo-HJTcm8C786PId1--RB2IbnnUTccqMVMzUJcg/edit?gid=2052560265" TargetMode="External"/><Relationship Id="rId180" Type="http://schemas.openxmlformats.org/officeDocument/2006/relationships/hyperlink" Target="https://docs.google.com/spreadsheets/d/1FT5VnMo-qZPBoaSjtdMeK0SujMn8XsZDfVLSAv1bKwY/edit?gid=2052560265" TargetMode="External"/><Relationship Id="rId176" Type="http://schemas.openxmlformats.org/officeDocument/2006/relationships/hyperlink" Target="https://docs.google.com/spreadsheets/d/1G5Nicj-WVUlvCenRBWqDlboJBuXcjh0mDmwUlAdmfp0/edit?gid=2052560265" TargetMode="External"/><Relationship Id="rId297" Type="http://schemas.openxmlformats.org/officeDocument/2006/relationships/hyperlink" Target="https://docs.google.com/spreadsheets/d/1_A1dXsEBQLJu08byOIcmKW6GuNJvMHSdSakClp9N6ko/edit?gid=2052560265" TargetMode="External"/><Relationship Id="rId175" Type="http://schemas.openxmlformats.org/officeDocument/2006/relationships/hyperlink" Target="https://drive.google.com/file/d/1NezAyjXxGK4fPVrA-o_YN5QecJT9LBvX/view?usp=sharing" TargetMode="External"/><Relationship Id="rId296" Type="http://schemas.openxmlformats.org/officeDocument/2006/relationships/hyperlink" Target="https://docs.google.com/spreadsheets/d/1Lfl21ugR6gCzAsriAEigREckznVzOFQPphIl0Jj8TTk/edit?gid=2052560265" TargetMode="External"/><Relationship Id="rId174" Type="http://schemas.openxmlformats.org/officeDocument/2006/relationships/hyperlink" Target="https://docs.google.com/spreadsheets/d/1L6tMYMtQF-Q938yE8yXgxer0ndi7-Gf2h1otk9LO4hw/edit?gid=2052560265" TargetMode="External"/><Relationship Id="rId295" Type="http://schemas.openxmlformats.org/officeDocument/2006/relationships/hyperlink" Target="https://docs.google.com/spreadsheets/d/1UVf-Fe9hdepYZIj4Vpm3xcgoJ10qXV-ToTPQr1lM9HE/edit?gid=2052560265" TargetMode="External"/><Relationship Id="rId173" Type="http://schemas.openxmlformats.org/officeDocument/2006/relationships/hyperlink" Target="https://drive.google.com/file/d/1fLUGtCJq1bbRiWxN_EqQ4WYaG5Zrk3Wi/view?usp=sharing" TargetMode="External"/><Relationship Id="rId294" Type="http://schemas.openxmlformats.org/officeDocument/2006/relationships/hyperlink" Target="https://docs.google.com/spreadsheets/d/1rSGTNF2W2N5SJUUAqDW_3eWg50oMcgpvduJ42-2w3Y8/edit?gid=2052560265" TargetMode="External"/><Relationship Id="rId179" Type="http://schemas.openxmlformats.org/officeDocument/2006/relationships/hyperlink" Target="https://docs.google.com/spreadsheets/d/1L6tMYMtQF-Q938yE8yXgxer0ndi7-Gf2h1otk9LO4hw/edit?gid=2052560265" TargetMode="External"/><Relationship Id="rId178" Type="http://schemas.openxmlformats.org/officeDocument/2006/relationships/hyperlink" Target="https://docs.google.com/spreadsheets/d/1FL_4BsNEIV5bwZdDmTdlnfBNeoKkIH7Fy_a0jkO1Me0/edit?gid=2052560265" TargetMode="External"/><Relationship Id="rId299" Type="http://schemas.openxmlformats.org/officeDocument/2006/relationships/hyperlink" Target="https://docs.google.com/spreadsheets/d/1mPoZOXzbWnTS3Ttv53nhVikUo7OHMEkmDN_cqye4X74/edit?gid=2052560265" TargetMode="External"/><Relationship Id="rId177" Type="http://schemas.openxmlformats.org/officeDocument/2006/relationships/hyperlink" Target="https://docs.google.com/spreadsheets/d/1VJW6N6PedAc-IwF1Mvi31nVLWVM-CTrarn7T18ZY6zI/edit?gid=2052560265" TargetMode="External"/><Relationship Id="rId298" Type="http://schemas.openxmlformats.org/officeDocument/2006/relationships/hyperlink" Target="https://docs.google.com/spreadsheets/d/1Pu6NbCs17jpWCZbjhLt-FHXJITDy6B3hquZFn7xoECo/edit?gid=2052560265" TargetMode="External"/><Relationship Id="rId198" Type="http://schemas.openxmlformats.org/officeDocument/2006/relationships/hyperlink" Target="https://drive.google.com/open?id=1PbAIC9WDVbjKedj1H3fgsEU0ueZXJ5krl7S9WGuIbKs&amp;usp=drive_copy" TargetMode="External"/><Relationship Id="rId197" Type="http://schemas.openxmlformats.org/officeDocument/2006/relationships/hyperlink" Target="https://drive.google.com/open?id=1lU_914elltFbrT3v-Gots08Zg6zjy0n1pe4Is5C0FsQ&amp;usp=drive_copy" TargetMode="External"/><Relationship Id="rId196" Type="http://schemas.openxmlformats.org/officeDocument/2006/relationships/hyperlink" Target="https://drive.google.com/open?id=1XnO2I5epe8tYJxjuuIqV2r9WVD_cMENLXPlmdov2_jE&amp;usp=drive_copy" TargetMode="External"/><Relationship Id="rId195" Type="http://schemas.openxmlformats.org/officeDocument/2006/relationships/hyperlink" Target="https://docs.google.com/spreadsheets/d/13yHemLTsogBGyp3n-v9ynOtorP5hVq4VnsFd2BnaRO4/edit?gid=2052560265" TargetMode="External"/><Relationship Id="rId199" Type="http://schemas.openxmlformats.org/officeDocument/2006/relationships/hyperlink" Target="https://drive.google.com/open?id=1TjY-p9nm8slZaPw9b3Iq6L3zE3JjLdXbKU7cCXKODMc&amp;usp=drive_copy" TargetMode="External"/><Relationship Id="rId150" Type="http://schemas.openxmlformats.org/officeDocument/2006/relationships/hyperlink" Target="https://docs.google.com/spreadsheets/d/1x60BqH5NR0tjHr9fA2WRW5AD1P1OCe3nf9uN8YWkUn0/edit?gid=2052560265" TargetMode="External"/><Relationship Id="rId271" Type="http://schemas.openxmlformats.org/officeDocument/2006/relationships/hyperlink" Target="https://docs.google.com/spreadsheets/d/1ERRXC7VDYULzdmWXe1EQmEM32aP-yGcBWaNs3yc2P0c/edit?gid=2052560265" TargetMode="External"/><Relationship Id="rId392" Type="http://schemas.openxmlformats.org/officeDocument/2006/relationships/hyperlink" Target="https://docs.google.com/spreadsheets/d/15FDL15eJCZCpVwC4O-PHgpxqFEMmuyw6Ad8gj6K_FdE/edit?gid=2052560265" TargetMode="External"/><Relationship Id="rId270" Type="http://schemas.openxmlformats.org/officeDocument/2006/relationships/hyperlink" Target="https://docs.google.com/spreadsheets/d/1QaPWmB483gy86pPxdkqg1_prX4eMEnOfT5PL8jM4o4w/edit?gid=2052560265" TargetMode="External"/><Relationship Id="rId391" Type="http://schemas.openxmlformats.org/officeDocument/2006/relationships/hyperlink" Target="https://drive.google.com/file/d/1gBYr1MBifNIvnTzof9nJF78Gt4AsJvKE/view?usp=drive_link" TargetMode="External"/><Relationship Id="rId390" Type="http://schemas.openxmlformats.org/officeDocument/2006/relationships/hyperlink" Target="https://docs.google.com/spreadsheets/d/1GLkQm9_ah5JWmjk4L9H3_l6dfZPPTDx4q9B4UWrL78g/edit?gid=2052560265" TargetMode="External"/><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hyperlink" Target="https://docs.google.com/spreadsheets/d/1XciYXIG9LxykOTVpkiwaO8OSMfT13NtfqwzhFcIWyOM/edit?gid=2052560265" TargetMode="External"/><Relationship Id="rId149" Type="http://schemas.openxmlformats.org/officeDocument/2006/relationships/hyperlink" Target="https://docs.google.com/spreadsheets/d/1YidflkUK8QQVHfW2nJeVlLA5nxOrPM63gx6uEYohp58/edit?gid=2052560265" TargetMode="External"/><Relationship Id="rId4" Type="http://schemas.openxmlformats.org/officeDocument/2006/relationships/hyperlink" Target="https://docs.google.com/spreadsheets/d/1FF6L-aPm78smcBKXNfNoelmX00uFyoc_ttJRyaZLVns/edit?gid=2052560265" TargetMode="External"/><Relationship Id="rId148" Type="http://schemas.openxmlformats.org/officeDocument/2006/relationships/hyperlink" Target="https://drive.google.com/file/d/1UuRYU1CNJQ3Yia9syB8N4zUQbrYPOaHc/view?usp=drive_link" TargetMode="External"/><Relationship Id="rId269" Type="http://schemas.openxmlformats.org/officeDocument/2006/relationships/hyperlink" Target="https://docs.google.com/spreadsheets/d/1Mp915gvhyBk77JKvUiVl67h5c2R2Bjy0VX_E6xZ3Y5E/edit?gid=2052560265" TargetMode="External"/><Relationship Id="rId9" Type="http://schemas.openxmlformats.org/officeDocument/2006/relationships/hyperlink" Target="https://docs.google.com/spreadsheets/d/1XciYXIG9LxykOTVpkiwaO8OSMfT13NtfqwzhFcIWyOM/edit?gid=2052560265" TargetMode="External"/><Relationship Id="rId143" Type="http://schemas.openxmlformats.org/officeDocument/2006/relationships/hyperlink" Target="https://docs.google.com/spreadsheets/d/1YidflkUK8QQVHfW2nJeVlLA5nxOrPM63gx6uEYohp58/edit?gid=2052560265" TargetMode="External"/><Relationship Id="rId264" Type="http://schemas.openxmlformats.org/officeDocument/2006/relationships/hyperlink" Target="https://docs.google.com/spreadsheets/d/1rXYzHANZDxbn-IU1mXNHSlWIhqCu7p4n3pZbWeqKXZM/edit?gid=2052560265" TargetMode="External"/><Relationship Id="rId385" Type="http://schemas.openxmlformats.org/officeDocument/2006/relationships/hyperlink" Target="https://docs.google.com/spreadsheets/d/1UryFE5BqRb0BSWj_gue8m01ypmBn39hPSYb84jb3xjo/edit?gid=2052560265" TargetMode="External"/><Relationship Id="rId142" Type="http://schemas.openxmlformats.org/officeDocument/2006/relationships/hyperlink" Target="https://drive.google.com/file/d/1UuRYU1CNJQ3Yia9syB8N4zUQbrYPOaHc/view?usp=drive_link" TargetMode="External"/><Relationship Id="rId263" Type="http://schemas.openxmlformats.org/officeDocument/2006/relationships/hyperlink" Target="https://docs.google.com/spreadsheets/d/1QhBEwJNZN0WN4QfL8Pl2NlgmfyL2nkAnorzlU6_uCh4/edit?gid=2052560265" TargetMode="External"/><Relationship Id="rId384" Type="http://schemas.openxmlformats.org/officeDocument/2006/relationships/hyperlink" Target="https://docs.google.com/spreadsheets/d/15FDL15eJCZCpVwC4O-PHgpxqFEMmuyw6Ad8gj6K_FdE/edit?gid=2052560265" TargetMode="External"/><Relationship Id="rId141" Type="http://schemas.openxmlformats.org/officeDocument/2006/relationships/hyperlink" Target="https://drive.google.com/file/d/1BUnjjvCp5NcEaT6NrMZy-O3iN-lIpAlT/view?usp=sharing" TargetMode="External"/><Relationship Id="rId262" Type="http://schemas.openxmlformats.org/officeDocument/2006/relationships/hyperlink" Target="https://docs.google.com/spreadsheets/d/1FIJ_RQ030ZtAFz_kWz64RHy-oJZLVFwQDpSeSIpL8l0/edit?gid=2052560265" TargetMode="External"/><Relationship Id="rId383" Type="http://schemas.openxmlformats.org/officeDocument/2006/relationships/hyperlink" Target="https://drive.google.com/file/d/1gBYr1MBifNIvnTzof9nJF78Gt4AsJvKE/view?usp=drive_link" TargetMode="External"/><Relationship Id="rId140" Type="http://schemas.openxmlformats.org/officeDocument/2006/relationships/hyperlink" Target="https://docs.google.com/spreadsheets/d/1AgqFAtd0xG5Sdy9r-pOVKrqTr9z4_fbhDMawQmB-FXo/edit?gid=2052560265" TargetMode="External"/><Relationship Id="rId261" Type="http://schemas.openxmlformats.org/officeDocument/2006/relationships/hyperlink" Target="https://docs.google.com/spreadsheets/d/1QaPWmB483gy86pPxdkqg1_prX4eMEnOfT5PL8jM4o4w/edit?gid=2052560265" TargetMode="External"/><Relationship Id="rId382" Type="http://schemas.openxmlformats.org/officeDocument/2006/relationships/hyperlink" Target="https://docs.google.com/spreadsheets/d/1GLkQm9_ah5JWmjk4L9H3_l6dfZPPTDx4q9B4UWrL78g/edit?gid=2052560265" TargetMode="External"/><Relationship Id="rId5" Type="http://schemas.openxmlformats.org/officeDocument/2006/relationships/hyperlink" Target="https://docs.google.com/spreadsheets/d/1t11qWtlhVIUnY5pdx7Gu5IthDO32R7C5o-nICvNroZU/edit?gid=2052560265" TargetMode="External"/><Relationship Id="rId147" Type="http://schemas.openxmlformats.org/officeDocument/2006/relationships/hyperlink" Target="https://docs.google.com/spreadsheets/d/1lQQ4x7knqB4j23L8PFAkdzc7wWzyD79woGG5GydPiNM/edit?gid=2052560265" TargetMode="External"/><Relationship Id="rId268" Type="http://schemas.openxmlformats.org/officeDocument/2006/relationships/hyperlink" Target="https://docs.google.com/spreadsheets/d/1CqFzNoJd4rT5vJPpX3g3OC8-09ftIC6JDdr4FOw4V9I/edit?gid=2052560265" TargetMode="External"/><Relationship Id="rId389" Type="http://schemas.openxmlformats.org/officeDocument/2006/relationships/hyperlink" Target="https://docs.google.com/spreadsheets/d/1J6mp8zGMoEqoRAfaOJNo1gfnAyPv4qn-NouFGfx6uVI/edit?gid=2052560265" TargetMode="External"/><Relationship Id="rId6" Type="http://schemas.openxmlformats.org/officeDocument/2006/relationships/hyperlink" Target="https://docs.google.com/spreadsheets/d/1Jvkwq-zr5Hz5VZFoAJsje45vdHjO278Y_3P2C4pk4JU/edit?gid=2052560265" TargetMode="External"/><Relationship Id="rId146" Type="http://schemas.openxmlformats.org/officeDocument/2006/relationships/hyperlink" Target="https://docs.google.com/spreadsheets/d/1x60BqH5NR0tjHr9fA2WRW5AD1P1OCe3nf9uN8YWkUn0/edit?gid=2052560265" TargetMode="External"/><Relationship Id="rId267" Type="http://schemas.openxmlformats.org/officeDocument/2006/relationships/hyperlink" Target="https://docs.google.com/spreadsheets/d/1VVUI-tWoYPJ7bZVu9Ree1e7dAA8TA-aclPLh5w2gouE/edit?gid=2052560265" TargetMode="External"/><Relationship Id="rId388" Type="http://schemas.openxmlformats.org/officeDocument/2006/relationships/hyperlink" Target="https://docs.google.com/spreadsheets/d/1EXpXGXBIpYwShv6OdyvfTupnKXrCCnluvPJ2ehLzwOE/edit?gid=2052560265" TargetMode="External"/><Relationship Id="rId7" Type="http://schemas.openxmlformats.org/officeDocument/2006/relationships/hyperlink" Target="https://docs.google.com/spreadsheets/d/1iDMtmjRUMuMP5L-1jPwghaRwHKN39JvuXCZVu9m2sns/edit?gid=2052560265" TargetMode="External"/><Relationship Id="rId145" Type="http://schemas.openxmlformats.org/officeDocument/2006/relationships/hyperlink" Target="https://docs.google.com/spreadsheets/d/1BKdfUQZiGE_R0sjeQowK65NqgmYWhotanSk05jQDqrc/edit?gid=2052560265" TargetMode="External"/><Relationship Id="rId266" Type="http://schemas.openxmlformats.org/officeDocument/2006/relationships/hyperlink" Target="https://docs.google.com/spreadsheets/d/1ao_bEy6yy2ygvWSzk5yYw04Lly8zszdryXVnP3CjKtM/edit?gid=2052560265" TargetMode="External"/><Relationship Id="rId387" Type="http://schemas.openxmlformats.org/officeDocument/2006/relationships/hyperlink" Target="https://docs.google.com/spreadsheets/d/1qLkhXgqEF8cn7E1w3nY7j93Cxfb8nL91kHVCPA5j6ls/edit?gid=2052560265" TargetMode="External"/><Relationship Id="rId8" Type="http://schemas.openxmlformats.org/officeDocument/2006/relationships/hyperlink" Target="https://docs.google.com/spreadsheets/d/1MhEShIGetBDyM5FNAANAgXBBQM-_IhwB8n4xk_160ZE/edit?gid=2052560265" TargetMode="External"/><Relationship Id="rId144" Type="http://schemas.openxmlformats.org/officeDocument/2006/relationships/hyperlink" Target="https://docs.google.com/spreadsheets/d/1lQQ4x7knqB4j23L8PFAkdzc7wWzyD79woGG5GydPiNM/edit?gid=2052560265" TargetMode="External"/><Relationship Id="rId265" Type="http://schemas.openxmlformats.org/officeDocument/2006/relationships/hyperlink" Target="https://docs.google.com/spreadsheets/d/1W3k-NFpe-JiBhjILGBGEOAgp4nQHM3vxzARbcQRiIGM/edit?gid=2052560265" TargetMode="External"/><Relationship Id="rId386" Type="http://schemas.openxmlformats.org/officeDocument/2006/relationships/hyperlink" Target="https://docs.google.com/spreadsheets/d/1ek7KnUNtrnKvpz5E3ypCWnyRv4zwCqHDCKMav-Do_Js/edit?gid=2052560265" TargetMode="External"/><Relationship Id="rId260" Type="http://schemas.openxmlformats.org/officeDocument/2006/relationships/hyperlink" Target="https://docs.google.com/spreadsheets/d/1h3fArw-Sbx_3sF1AEqsEhMgkrNvx_YcJVlBLu2WO9aQ/edit?gid=2052560265" TargetMode="External"/><Relationship Id="rId381" Type="http://schemas.openxmlformats.org/officeDocument/2006/relationships/hyperlink" Target="https://docs.google.com/spreadsheets/d/1J6mp8zGMoEqoRAfaOJNo1gfnAyPv4qn-NouFGfx6uVI/edit?gid=2052560265" TargetMode="External"/><Relationship Id="rId380" Type="http://schemas.openxmlformats.org/officeDocument/2006/relationships/hyperlink" Target="https://docs.google.com/spreadsheets/d/10uIxybjkDGLio_zr7wtejjBCeNMgnT2kLotKEn0spWQ/edit?gid=2052560265" TargetMode="External"/><Relationship Id="rId139" Type="http://schemas.openxmlformats.org/officeDocument/2006/relationships/hyperlink" Target="https://docs.google.com/spreadsheets/d/1apEkxlXhYS9BqZFmGEMuU2rg9Af9RfhT2-vh2qCLouk/edit?gid=2052560265" TargetMode="External"/><Relationship Id="rId138" Type="http://schemas.openxmlformats.org/officeDocument/2006/relationships/hyperlink" Target="https://docs.google.com/spreadsheets/d/1EaVjfENPnDM5VpRuxU6lYmTCIPSFAbFHmVNHVx6MhyI/edit?gid=2052560265" TargetMode="External"/><Relationship Id="rId259" Type="http://schemas.openxmlformats.org/officeDocument/2006/relationships/hyperlink" Target="https://docs.google.com/spreadsheets/d/1CqFzNoJd4rT5vJPpX3g3OC8-09ftIC6JDdr4FOw4V9I/edit?gid=2052560265" TargetMode="External"/><Relationship Id="rId137" Type="http://schemas.openxmlformats.org/officeDocument/2006/relationships/hyperlink" Target="https://docs.google.com/spreadsheets/d/15e-xH1puXXxDzmkPKVTF1J94t0K_loqe4iPwNXOpQ6Q/edit?gid=2052560265" TargetMode="External"/><Relationship Id="rId258" Type="http://schemas.openxmlformats.org/officeDocument/2006/relationships/hyperlink" Target="https://docs.google.com/spreadsheets/d/1VVUI-tWoYPJ7bZVu9Ree1e7dAA8TA-aclPLh5w2gouE/edit?gid=2052560265" TargetMode="External"/><Relationship Id="rId379" Type="http://schemas.openxmlformats.org/officeDocument/2006/relationships/hyperlink" Target="https://docs.google.com/spreadsheets/d/1EXpXGXBIpYwShv6OdyvfTupnKXrCCnluvPJ2ehLzwOE/edit?gid=2052560265" TargetMode="External"/><Relationship Id="rId132" Type="http://schemas.openxmlformats.org/officeDocument/2006/relationships/hyperlink" Target="https://docs.google.com/spreadsheets/d/1XzFJndcxbKbmn-pzHv7zClR8BD0yxFqcDZdjMp27CQI/edit?gid=2052560265" TargetMode="External"/><Relationship Id="rId253" Type="http://schemas.openxmlformats.org/officeDocument/2006/relationships/hyperlink" Target="https://docs.google.com/spreadsheets/d/1l7FE3OtbXAn8I6ITRTxmp49XpxUoBp0YV0Nd8BuOfpY/edit?gid=2052560265" TargetMode="External"/><Relationship Id="rId374" Type="http://schemas.openxmlformats.org/officeDocument/2006/relationships/hyperlink" Target="https://drive.google.com/open?id=1W-g0FyxHi75prCxy3ZEM3JrqraCzxsf2pL7PFpFG7So&amp;usp=drive_copy" TargetMode="External"/><Relationship Id="rId131" Type="http://schemas.openxmlformats.org/officeDocument/2006/relationships/hyperlink" Target="https://docs.google.com/spreadsheets/d/1Dbrmv5omfqrHo9___4J_tCJmSfDOwlnc2VYXKcgsNUQ/edit?gid=2052560265" TargetMode="External"/><Relationship Id="rId252" Type="http://schemas.openxmlformats.org/officeDocument/2006/relationships/hyperlink" Target="https://docs.google.com/spreadsheets/d/15amgybedEUOt7-vqYvK9C3cK0LlXILF_0S7sY25QRiI/edit?gid=2052560265" TargetMode="External"/><Relationship Id="rId373" Type="http://schemas.openxmlformats.org/officeDocument/2006/relationships/hyperlink" Target="https://drive.google.com/open?id=1WVWlLfspZHr_GXluoWUaL1iEBytT-SlU5bPLY0k3suo&amp;usp=drive_copy" TargetMode="External"/><Relationship Id="rId130" Type="http://schemas.openxmlformats.org/officeDocument/2006/relationships/hyperlink" Target="https://docs.google.com/spreadsheets/d/1dDdQXLZluNG43jKW4bh9akG7DtBt6viGsKw5mV36NCQ/edit?gid=2052560265" TargetMode="External"/><Relationship Id="rId251" Type="http://schemas.openxmlformats.org/officeDocument/2006/relationships/hyperlink" Target="https://docs.google.com/spreadsheets/d/1SoWHuebsz_0c8k4Ff2L34mbTRXG1Z-sh8-w9iv1c5JU/edit?gid=2052560265" TargetMode="External"/><Relationship Id="rId372" Type="http://schemas.openxmlformats.org/officeDocument/2006/relationships/hyperlink" Target="https://drive.google.com/open?id=1eQ-3I3vWH1yP47TuluAED-LpskxRZqEOW-m35yp3WpU&amp;usp=drive_copy" TargetMode="External"/><Relationship Id="rId250" Type="http://schemas.openxmlformats.org/officeDocument/2006/relationships/hyperlink" Target="https://docs.google.com/spreadsheets/d/1xqs2zqzwYhfX7KcBR60omF_z_v2B8UnGV8X5qVxnCu0/edit?gid=2052560265" TargetMode="External"/><Relationship Id="rId371" Type="http://schemas.openxmlformats.org/officeDocument/2006/relationships/hyperlink" Target="https://drive.google.com/open?id=1DcgDgDE7pWNc5kRikc3HGvU0MHYkh4qCfJPlw0Ykobg&amp;usp=drive_copy" TargetMode="External"/><Relationship Id="rId136" Type="http://schemas.openxmlformats.org/officeDocument/2006/relationships/hyperlink" Target="https://docs.google.com/spreadsheets/d/1ul2wT3Gs9BFxStVDyWmAyVFbSU72Tlzs0I9AQTvRjOI/edit?gid=2052560265" TargetMode="External"/><Relationship Id="rId257" Type="http://schemas.openxmlformats.org/officeDocument/2006/relationships/hyperlink" Target="https://docs.google.com/spreadsheets/d/1RvgjvVL7ZolUrV4C6OT5Ez1sp1xrKpyEdPEbFh4w8SU/edit?gid=2052560265" TargetMode="External"/><Relationship Id="rId378" Type="http://schemas.openxmlformats.org/officeDocument/2006/relationships/hyperlink" Target="https://drive.google.com/open?id=1WVWlLfspZHr_GXluoWUaL1iEBytT-SlU5bPLY0k3suo&amp;usp=drive_copy" TargetMode="External"/><Relationship Id="rId135" Type="http://schemas.openxmlformats.org/officeDocument/2006/relationships/hyperlink" Target="https://docs.google.com/spreadsheets/d/1R8BGCsnTrItTUWcNsTERZoHnuF03ERob69_pOf_JnC4/edit?gid=2052560265" TargetMode="External"/><Relationship Id="rId256" Type="http://schemas.openxmlformats.org/officeDocument/2006/relationships/hyperlink" Target="https://docs.google.com/spreadsheets/d/1zDhPvLgHDXr46Dpt-JHM8bStoqcVFcZlGwaUF8oH22s/edit?gid=2052560265" TargetMode="External"/><Relationship Id="rId377" Type="http://schemas.openxmlformats.org/officeDocument/2006/relationships/hyperlink" Target="https://drive.google.com/open?id=1xpdQF2mOe7gwSyc2eHgjxkEZ6JYUoLrcYI_CEpTQdvo&amp;usp=drive_copy" TargetMode="External"/><Relationship Id="rId134" Type="http://schemas.openxmlformats.org/officeDocument/2006/relationships/hyperlink" Target="https://docs.google.com/spreadsheets/d/1GblSzU9NKK-33v_tZ1MmVb-jbShU5_6ER9uEeZOTXUU/edit?gid=2052560265" TargetMode="External"/><Relationship Id="rId255" Type="http://schemas.openxmlformats.org/officeDocument/2006/relationships/hyperlink" Target="https://docs.google.com/spreadsheets/d/1U_9GYiT9Xiw7Tb_8wNQqg39qo15sbPe8h5ibiNg1198/edit?gid=2052560265" TargetMode="External"/><Relationship Id="rId376" Type="http://schemas.openxmlformats.org/officeDocument/2006/relationships/hyperlink" Target="https://drive.google.com/open?id=1a8T4omZkE1rCvhN6xPmVbvqKE28lnqwz20B3nMl14qE&amp;usp=drive_copy" TargetMode="External"/><Relationship Id="rId133" Type="http://schemas.openxmlformats.org/officeDocument/2006/relationships/hyperlink" Target="https://docs.google.com/spreadsheets/d/1xFbOk5i1C1vJEqwhUYDte7flc1poV47GNtZaAr2lq6o/edit?gid=2052560265" TargetMode="External"/><Relationship Id="rId254" Type="http://schemas.openxmlformats.org/officeDocument/2006/relationships/hyperlink" Target="https://drive.google.com/file/d/1M2Rg6WQlxEr3VyIqsPoKPNOqpP8U3P65/view?usp=drive_link" TargetMode="External"/><Relationship Id="rId375" Type="http://schemas.openxmlformats.org/officeDocument/2006/relationships/hyperlink" Target="https://drive.google.com/open?id=1edVokKeTHQWakAIXdQZgGpto3InoqRefyqa9lQ1425Y&amp;usp=drive_copy" TargetMode="External"/><Relationship Id="rId172" Type="http://schemas.openxmlformats.org/officeDocument/2006/relationships/hyperlink" Target="https://docs.google.com/spreadsheets/d/1jk8Ne5kSglUpQkJEb3lN3_MajZsnnmKPHfE5IhDoqPU/edit?gid=2052560265" TargetMode="External"/><Relationship Id="rId293" Type="http://schemas.openxmlformats.org/officeDocument/2006/relationships/hyperlink" Target="https://docs.google.com/spreadsheets/d/1iPzaC7Obt0GLa7gPpNpvodweVad8ywoqh2nhcYlij5s/edit?gid=2052560265" TargetMode="External"/><Relationship Id="rId171" Type="http://schemas.openxmlformats.org/officeDocument/2006/relationships/hyperlink" Target="https://docs.google.com/spreadsheets/d/1f1__BaUVvN_YFS17VW6NHQ52EBi0YazidOZ_DhFtETk/edit?gid=2052560265" TargetMode="External"/><Relationship Id="rId292" Type="http://schemas.openxmlformats.org/officeDocument/2006/relationships/hyperlink" Target="https://docs.google.com/spreadsheets/d/1om5fTUZ5_sTjDIeVirMXMiDCF8SkRmkQrqEZTNNwpqQ/edit?gid=2052560265" TargetMode="External"/><Relationship Id="rId170" Type="http://schemas.openxmlformats.org/officeDocument/2006/relationships/hyperlink" Target="https://docs.google.com/spreadsheets/d/1FL_4BsNEIV5bwZdDmTdlnfBNeoKkIH7Fy_a0jkO1Me0/edit?gid=2052560265" TargetMode="External"/><Relationship Id="rId291" Type="http://schemas.openxmlformats.org/officeDocument/2006/relationships/hyperlink" Target="https://docs.google.com/spreadsheets/d/1iabS_lvaCpvnnrMRDFL0ok6v2l0q34oi8cpnor4fl5E/edit?gid=2052560265" TargetMode="External"/><Relationship Id="rId290" Type="http://schemas.openxmlformats.org/officeDocument/2006/relationships/hyperlink" Target="https://docs.google.com/spreadsheets/d/1bSFshT0DFtULh9-pK1b25mQQUwkMlTJAmfQodQxKmUg/edit?gid=2052560265" TargetMode="External"/><Relationship Id="rId165" Type="http://schemas.openxmlformats.org/officeDocument/2006/relationships/hyperlink" Target="https://docs.google.com/spreadsheets/d/1B6eKACYFYF7Nue_XtlGwuB8W7rK2Myw_ROgf_SV2o2c/edit?gid=2052560265" TargetMode="External"/><Relationship Id="rId286" Type="http://schemas.openxmlformats.org/officeDocument/2006/relationships/hyperlink" Target="https://docs.google.com/spreadsheets/d/1Ac5ZNdK3tJx103RcArn6reqjG5xcUaxR5G1W_3KGuG4/edit?gid=2052560265" TargetMode="External"/><Relationship Id="rId164" Type="http://schemas.openxmlformats.org/officeDocument/2006/relationships/hyperlink" Target="https://docs.google.com/spreadsheets/d/18ro89pwJJoJL8ZBZHV24SfVgqPZKugzxkLUP5_ygWVo/edit?gid=2052560265" TargetMode="External"/><Relationship Id="rId285" Type="http://schemas.openxmlformats.org/officeDocument/2006/relationships/hyperlink" Target="https://docs.google.com/spreadsheets/d/1LI78aGgxdsHgViLCGJV9F76Qu9jouBA_ztazxZXVPs8/edit?gid=2052560265" TargetMode="External"/><Relationship Id="rId163" Type="http://schemas.openxmlformats.org/officeDocument/2006/relationships/hyperlink" Target="https://docs.google.com/spreadsheets/d/1pKkJc9___bructuf704VHWOdJfMiH3VjaywExfX7Ek4/edit?gid=2052560265" TargetMode="External"/><Relationship Id="rId284" Type="http://schemas.openxmlformats.org/officeDocument/2006/relationships/hyperlink" Target="https://docs.google.com/spreadsheets/d/15eon2TR6R1Kq3VpUsiPF4Uj3A5SEJsM7EL6gTJb49vo/edit?gid=2052560265" TargetMode="External"/><Relationship Id="rId162" Type="http://schemas.openxmlformats.org/officeDocument/2006/relationships/hyperlink" Target="https://docs.google.com/spreadsheets/d/1AI2JnQPweQtlLEay9Hz6q4m2qlk_YlijOWyBCr2biB8/edit?gid=2052560265" TargetMode="External"/><Relationship Id="rId283" Type="http://schemas.openxmlformats.org/officeDocument/2006/relationships/hyperlink" Target="https://docs.google.com/spreadsheets/d/11hVhefbclF1evknXuKSp3F6tO14uWRT1ZqBtNXlxZN8/edit?gid=2052560265" TargetMode="External"/><Relationship Id="rId169" Type="http://schemas.openxmlformats.org/officeDocument/2006/relationships/hyperlink" Target="https://docs.google.com/spreadsheets/d/1VJW6N6PedAc-IwF1Mvi31nVLWVM-CTrarn7T18ZY6zI/edit?gid=2052560265" TargetMode="External"/><Relationship Id="rId168" Type="http://schemas.openxmlformats.org/officeDocument/2006/relationships/hyperlink" Target="https://docs.google.com/spreadsheets/d/1G5Nicj-WVUlvCenRBWqDlboJBuXcjh0mDmwUlAdmfp0/edit?gid=2052560265" TargetMode="External"/><Relationship Id="rId289" Type="http://schemas.openxmlformats.org/officeDocument/2006/relationships/hyperlink" Target="https://docs.google.com/spreadsheets/d/1qtCpSmAlq-YmtlbtrLIqiKXXfAp7_Y1BhYXqZVpz29c/edit?gid=2052560265" TargetMode="External"/><Relationship Id="rId167" Type="http://schemas.openxmlformats.org/officeDocument/2006/relationships/hyperlink" Target="https://drive.google.com/file/d/1NezAyjXxGK4fPVrA-o_YN5QecJT9LBvX/view?usp=sharing" TargetMode="External"/><Relationship Id="rId288" Type="http://schemas.openxmlformats.org/officeDocument/2006/relationships/hyperlink" Target="https://docs.google.com/spreadsheets/d/13Lwl5LAxq0dozpQgjBFTdODiQLwjS95k-euwNjQ834E/edit?gid=2052560265" TargetMode="External"/><Relationship Id="rId166" Type="http://schemas.openxmlformats.org/officeDocument/2006/relationships/hyperlink" Target="https://docs.google.com/spreadsheets/d/1ZyAcsABKHoxB-XeO5_18aPBSTgd8AOl04kPCFmT0IYY/edit?gid=2052560265" TargetMode="External"/><Relationship Id="rId287" Type="http://schemas.openxmlformats.org/officeDocument/2006/relationships/hyperlink" Target="https://docs.google.com/spreadsheets/d/1SCShXgytjRtbX4OSj0nXSkce5yzcczuC9lWHgA23GKo/edit?gid=2052560265" TargetMode="External"/><Relationship Id="rId161" Type="http://schemas.openxmlformats.org/officeDocument/2006/relationships/hyperlink" Target="https://docs.google.com/spreadsheets/d/1zmIepnk0eefuhvI-_Un7F6PIL7mFD_LnWJN_uOFdfMA/edit?gid=2052560265" TargetMode="External"/><Relationship Id="rId282" Type="http://schemas.openxmlformats.org/officeDocument/2006/relationships/hyperlink" Target="https://docs.google.com/spreadsheets/d/1ao_bEy6yy2ygvWSzk5yYw04Lly8zszdryXVnP3CjKtM/edit?gid=2052560265" TargetMode="External"/><Relationship Id="rId160" Type="http://schemas.openxmlformats.org/officeDocument/2006/relationships/hyperlink" Target="https://docs.google.com/spreadsheets/d/1ZyAcsABKHoxB-XeO5_18aPBSTgd8AOl04kPCFmT0IYY/edit?gid=2052560265" TargetMode="External"/><Relationship Id="rId281" Type="http://schemas.openxmlformats.org/officeDocument/2006/relationships/hyperlink" Target="https://docs.google.com/spreadsheets/d/1W3k-NFpe-JiBhjILGBGEOAgp4nQHM3vxzARbcQRiIGM/edit?gid=2052560265" TargetMode="External"/><Relationship Id="rId280" Type="http://schemas.openxmlformats.org/officeDocument/2006/relationships/hyperlink" Target="https://docs.google.com/spreadsheets/d/1rXYzHANZDxbn-IU1mXNHSlWIhqCu7p4n3pZbWeqKXZM/edit?gid=2052560265" TargetMode="External"/><Relationship Id="rId159" Type="http://schemas.openxmlformats.org/officeDocument/2006/relationships/hyperlink" Target="https://docs.google.com/spreadsheets/d/1ct3avKIIv1VAWk6GSS8v5tWedF4IjyFj0s0lMoqvIt0/edit?gid=2052560265" TargetMode="External"/><Relationship Id="rId154" Type="http://schemas.openxmlformats.org/officeDocument/2006/relationships/hyperlink" Target="https://docs.google.com/spreadsheets/d/1ct3avKIIv1VAWk6GSS8v5tWedF4IjyFj0s0lMoqvIt0/edit?gid=2052560265" TargetMode="External"/><Relationship Id="rId275" Type="http://schemas.openxmlformats.org/officeDocument/2006/relationships/hyperlink" Target="https://docs.google.com/spreadsheets/d/1ao_bEy6yy2ygvWSzk5yYw04Lly8zszdryXVnP3CjKtM/edit?gid=2052560265" TargetMode="External"/><Relationship Id="rId396" Type="http://schemas.openxmlformats.org/officeDocument/2006/relationships/hyperlink" Target="https://docs.google.com/spreadsheets/d/1EXpXGXBIpYwShv6OdyvfTupnKXrCCnluvPJ2ehLzwOE/edit?gid=2052560265" TargetMode="External"/><Relationship Id="rId153" Type="http://schemas.openxmlformats.org/officeDocument/2006/relationships/hyperlink" Target="https://docs.google.com/spreadsheets/d/1FLQs0PK4iZqjg4jMe7aBijBfgr0o1rpx7A-CMJzCDBw/edit?gid=2052560265" TargetMode="External"/><Relationship Id="rId274" Type="http://schemas.openxmlformats.org/officeDocument/2006/relationships/hyperlink" Target="https://docs.google.com/spreadsheets/d/1VVUI-tWoYPJ7bZVu9Ree1e7dAA8TA-aclPLh5w2gouE/edit?gid=2052560265" TargetMode="External"/><Relationship Id="rId395" Type="http://schemas.openxmlformats.org/officeDocument/2006/relationships/hyperlink" Target="https://docs.google.com/spreadsheets/d/1qLkhXgqEF8cn7E1w3nY7j93Cxfb8nL91kHVCPA5j6ls/edit?gid=2052560265" TargetMode="External"/><Relationship Id="rId152" Type="http://schemas.openxmlformats.org/officeDocument/2006/relationships/hyperlink" Target="https://docs.google.com/spreadsheets/d/11zgfxEZEcg-tZbAZLEh3b2OlVElLPC1rZuAOPKI0tU4/edit?gid=2052560265" TargetMode="External"/><Relationship Id="rId273" Type="http://schemas.openxmlformats.org/officeDocument/2006/relationships/hyperlink" Target="https://docs.google.com/spreadsheets/d/1W3k-NFpe-JiBhjILGBGEOAgp4nQHM3vxzARbcQRiIGM/edit?gid=2052560265" TargetMode="External"/><Relationship Id="rId394" Type="http://schemas.openxmlformats.org/officeDocument/2006/relationships/hyperlink" Target="https://docs.google.com/spreadsheets/d/1ek7KnUNtrnKvpz5E3ypCWnyRv4zwCqHDCKMav-Do_Js/edit?gid=2052560265" TargetMode="External"/><Relationship Id="rId151" Type="http://schemas.openxmlformats.org/officeDocument/2006/relationships/hyperlink" Target="https://docs.google.com/spreadsheets/d/1hcZvIY6Lq9uWb3H18mJ91RY5cfIlw_4LviLdwDarmm0/edit?gid=2052560265" TargetMode="External"/><Relationship Id="rId272" Type="http://schemas.openxmlformats.org/officeDocument/2006/relationships/hyperlink" Target="https://docs.google.com/spreadsheets/d/1rXYzHANZDxbn-IU1mXNHSlWIhqCu7p4n3pZbWeqKXZM/edit?gid=2052560265" TargetMode="External"/><Relationship Id="rId393" Type="http://schemas.openxmlformats.org/officeDocument/2006/relationships/hyperlink" Target="https://docs.google.com/spreadsheets/d/1UryFE5BqRb0BSWj_gue8m01ypmBn39hPSYb84jb3xjo/edit?gid=2052560265" TargetMode="External"/><Relationship Id="rId158" Type="http://schemas.openxmlformats.org/officeDocument/2006/relationships/hyperlink" Target="https://docs.google.com/spreadsheets/d/1B6eKACYFYF7Nue_XtlGwuB8W7rK2Myw_ROgf_SV2o2c/edit?gid=2052560265" TargetMode="External"/><Relationship Id="rId279" Type="http://schemas.openxmlformats.org/officeDocument/2006/relationships/hyperlink" Target="https://docs.google.com/spreadsheets/d/1ERRXC7VDYULzdmWXe1EQmEM32aP-yGcBWaNs3yc2P0c/edit?gid=2052560265" TargetMode="External"/><Relationship Id="rId157" Type="http://schemas.openxmlformats.org/officeDocument/2006/relationships/hyperlink" Target="https://docs.google.com/spreadsheets/d/1pKkJc9___bructuf704VHWOdJfMiH3VjaywExfX7Ek4/edit?gid=2052560265" TargetMode="External"/><Relationship Id="rId278" Type="http://schemas.openxmlformats.org/officeDocument/2006/relationships/hyperlink" Target="https://docs.google.com/spreadsheets/d/1QaPWmB483gy86pPxdkqg1_prX4eMEnOfT5PL8jM4o4w/edit?gid=2052560265" TargetMode="External"/><Relationship Id="rId399" Type="http://schemas.openxmlformats.org/officeDocument/2006/relationships/hyperlink" Target="https://docs.google.com/spreadsheets/d/1qLkhXgqEF8cn7E1w3nY7j93Cxfb8nL91kHVCPA5j6ls/edit?gid=2052560265" TargetMode="External"/><Relationship Id="rId156" Type="http://schemas.openxmlformats.org/officeDocument/2006/relationships/hyperlink" Target="https://docs.google.com/spreadsheets/d/11zgfxEZEcg-tZbAZLEh3b2OlVElLPC1rZuAOPKI0tU4/edit?gid=2052560265" TargetMode="External"/><Relationship Id="rId277" Type="http://schemas.openxmlformats.org/officeDocument/2006/relationships/hyperlink" Target="https://docs.google.com/spreadsheets/d/1Mp915gvhyBk77JKvUiVl67h5c2R2Bjy0VX_E6xZ3Y5E/edit?gid=2052560265" TargetMode="External"/><Relationship Id="rId398" Type="http://schemas.openxmlformats.org/officeDocument/2006/relationships/hyperlink" Target="https://docs.google.com/spreadsheets/d/15FDL15eJCZCpVwC4O-PHgpxqFEMmuyw6Ad8gj6K_FdE/edit?gid=2052560265" TargetMode="External"/><Relationship Id="rId155" Type="http://schemas.openxmlformats.org/officeDocument/2006/relationships/hyperlink" Target="https://docs.google.com/spreadsheets/d/1hcZvIY6Lq9uWb3H18mJ91RY5cfIlw_4LviLdwDarmm0/edit?gid=2052560265" TargetMode="External"/><Relationship Id="rId276" Type="http://schemas.openxmlformats.org/officeDocument/2006/relationships/hyperlink" Target="https://docs.google.com/spreadsheets/d/1CqFzNoJd4rT5vJPpX3g3OC8-09ftIC6JDdr4FOw4V9I/edit?gid=2052560265" TargetMode="External"/><Relationship Id="rId397" Type="http://schemas.openxmlformats.org/officeDocument/2006/relationships/hyperlink" Target="https://drive.google.com/file/d/1gBYr1MBifNIvnTzof9nJF78Gt4AsJvKE/view?usp=drive_link" TargetMode="External"/><Relationship Id="rId40" Type="http://schemas.openxmlformats.org/officeDocument/2006/relationships/hyperlink" Target="https://docs.google.com/spreadsheets/d/1fYDngpa-G5CrBVoOkWBURO2XGpBcmwyhbFlsJyBidEE/edit?gid=2052560265" TargetMode="External"/><Relationship Id="rId42" Type="http://schemas.openxmlformats.org/officeDocument/2006/relationships/hyperlink" Target="https://docs.google.com/spreadsheets/d/1UGsc08r57crHEEVzftt1LbmfTuuvGpaqHPbsOX2Xjng/edit?gid=2052560265" TargetMode="External"/><Relationship Id="rId41" Type="http://schemas.openxmlformats.org/officeDocument/2006/relationships/hyperlink" Target="https://docs.google.com/spreadsheets/d/1VZ0mpFPdh_iJ5lRPmTO39qLt2iI4sOCj9lP8ITBG0zQ/edit?gid=2052560265" TargetMode="External"/><Relationship Id="rId44" Type="http://schemas.openxmlformats.org/officeDocument/2006/relationships/hyperlink" Target="https://docs.google.com/spreadsheets/d/1salwX8LFb2jCSV23AJSXN6D1ItKEmqDSdxrlz0nfc78/edit?gid=2052560265" TargetMode="External"/><Relationship Id="rId43" Type="http://schemas.openxmlformats.org/officeDocument/2006/relationships/hyperlink" Target="https://docs.google.com/spreadsheets/d/1fJc7udfgGFdzySfnyFVT2mE45D8EG-s_No-dYBa6GZc/edit?gid=2052560265" TargetMode="External"/><Relationship Id="rId46" Type="http://schemas.openxmlformats.org/officeDocument/2006/relationships/hyperlink" Target="https://docs.google.com/spreadsheets/d/1xFbOk5i1C1vJEqwhUYDte7flc1poV47GNtZaAr2lq6o/edit?gid=2052560265" TargetMode="External"/><Relationship Id="rId45" Type="http://schemas.openxmlformats.org/officeDocument/2006/relationships/hyperlink" Target="https://docs.google.com/spreadsheets/d/1pRFWvQ7GFTv5dC1gW2OzeBAUdu08-zmY4LqpZ-xK8jc/edit?gid=2052560265" TargetMode="External"/><Relationship Id="rId48" Type="http://schemas.openxmlformats.org/officeDocument/2006/relationships/hyperlink" Target="https://docs.google.com/spreadsheets/d/1jJZFWSoG3sGRuRb4kss8hkQhmYE_Cbxi7e46sMppYbg/edit?gid=2052560265" TargetMode="External"/><Relationship Id="rId47" Type="http://schemas.openxmlformats.org/officeDocument/2006/relationships/hyperlink" Target="https://docs.google.com/spreadsheets/d/1Z6yMBQJY4Whzv67YM5LFDrt7EN4ehK3dx7AZuQtaNdo/edit?gid=2052560265" TargetMode="External"/><Relationship Id="rId49" Type="http://schemas.openxmlformats.org/officeDocument/2006/relationships/hyperlink" Target="https://docs.google.com/spreadsheets/d/1G4XkSmRT-Fhl7XD_thvmqj8PjE5C95uf7IPOGAGeqjQ/edit?gid=2052560265" TargetMode="External"/><Relationship Id="rId31" Type="http://schemas.openxmlformats.org/officeDocument/2006/relationships/hyperlink" Target="https://drive.google.com/file/d/1M2Rg6WQlxEr3VyIqsPoKPNOqpP8U3P65/view?usp=drive_link" TargetMode="External"/><Relationship Id="rId30" Type="http://schemas.openxmlformats.org/officeDocument/2006/relationships/hyperlink" Target="https://docs.google.com/spreadsheets/d/1ypm2PZUF0U1IZcnZFvX-WPS1aubiP_pBZcORU8FRLXI/edit?gid=2052560265" TargetMode="External"/><Relationship Id="rId33" Type="http://schemas.openxmlformats.org/officeDocument/2006/relationships/hyperlink" Target="https://docs.google.com/spreadsheets/d/1VZ0mpFPdh_iJ5lRPmTO39qLt2iI4sOCj9lP8ITBG0zQ/edit?gid=2052560265" TargetMode="External"/><Relationship Id="rId32" Type="http://schemas.openxmlformats.org/officeDocument/2006/relationships/hyperlink" Target="https://docs.google.com/spreadsheets/d/1fYDngpa-G5CrBVoOkWBURO2XGpBcmwyhbFlsJyBidEE/edit?gid=2052560265" TargetMode="External"/><Relationship Id="rId35" Type="http://schemas.openxmlformats.org/officeDocument/2006/relationships/hyperlink" Target="https://docs.google.com/spreadsheets/d/1fJc7udfgGFdzySfnyFVT2mE45D8EG-s_No-dYBa6GZc/edit?gid=2052560265" TargetMode="External"/><Relationship Id="rId34" Type="http://schemas.openxmlformats.org/officeDocument/2006/relationships/hyperlink" Target="https://docs.google.com/spreadsheets/d/1UGsc08r57crHEEVzftt1LbmfTuuvGpaqHPbsOX2Xjng/edit?gid=2052560265" TargetMode="External"/><Relationship Id="rId37" Type="http://schemas.openxmlformats.org/officeDocument/2006/relationships/hyperlink" Target="https://docs.google.com/spreadsheets/d/1pRFWvQ7GFTv5dC1gW2OzeBAUdu08-zmY4LqpZ-xK8jc/edit?gid=2052560265" TargetMode="External"/><Relationship Id="rId36" Type="http://schemas.openxmlformats.org/officeDocument/2006/relationships/hyperlink" Target="https://docs.google.com/spreadsheets/d/1salwX8LFb2jCSV23AJSXN6D1ItKEmqDSdxrlz0nfc78/edit?gid=2052560265" TargetMode="External"/><Relationship Id="rId39" Type="http://schemas.openxmlformats.org/officeDocument/2006/relationships/hyperlink" Target="https://docs.google.com/spreadsheets/d/1Z6yMBQJY4Whzv67YM5LFDrt7EN4ehK3dx7AZuQtaNdo/edit?gid=2052560265" TargetMode="External"/><Relationship Id="rId38" Type="http://schemas.openxmlformats.org/officeDocument/2006/relationships/hyperlink" Target="https://docs.google.com/spreadsheets/d/1xFbOk5i1C1vJEqwhUYDte7flc1poV47GNtZaAr2lq6o/edit?gid=2052560265" TargetMode="External"/><Relationship Id="rId20" Type="http://schemas.openxmlformats.org/officeDocument/2006/relationships/hyperlink" Target="https://docs.google.com/spreadsheets/d/1s7e3_ErmwD3Az8y1wIl36XCmh1ReG4VuVs5CELyYKWw/edit?gid=2052560265" TargetMode="External"/><Relationship Id="rId22" Type="http://schemas.openxmlformats.org/officeDocument/2006/relationships/hyperlink" Target="https://docs.google.com/spreadsheets/d/1NZ7t2nqtaIxdkwZPCu-9z4Mn7i_vRSVOmsfA6Cd9Bf4/edit?gid=2052560265" TargetMode="External"/><Relationship Id="rId21" Type="http://schemas.openxmlformats.org/officeDocument/2006/relationships/hyperlink" Target="https://docs.google.com/spreadsheets/d/16n7h6lvyW9Bq5nwnntUYVoskbVVdOe8R0MovUXD9dQs/edit?gid=2052560265" TargetMode="External"/><Relationship Id="rId24" Type="http://schemas.openxmlformats.org/officeDocument/2006/relationships/hyperlink" Target="https://docs.google.com/spreadsheets/d/1QCCiG-BIV4mWrpj2K5Q_-KLRMizb914sVhuOG9jy6vs/edit?gid=2052560265" TargetMode="External"/><Relationship Id="rId23" Type="http://schemas.openxmlformats.org/officeDocument/2006/relationships/hyperlink" Target="https://docs.google.com/spreadsheets/d/1cp-2XtP0u8aN6VQxQYb-nGmrgtEBDBzplWuNgbsHvvc/edit?gid=2052560265" TargetMode="External"/><Relationship Id="rId409" Type="http://schemas.openxmlformats.org/officeDocument/2006/relationships/hyperlink" Target="https://docs.google.com/spreadsheets/d/1ybeAfRxC7ER5gfjZUELk91BLbdiOGtYqNq2zq4i-ddw/edit?gid=2052560265" TargetMode="External"/><Relationship Id="rId404" Type="http://schemas.openxmlformats.org/officeDocument/2006/relationships/hyperlink" Target="https://docs.google.com/spreadsheets/d/16ecYhHOEXPQNGiQKtlII8dkM4m1jj9p0UUzuQ6Zt0S8/edit?gid=2052560265" TargetMode="External"/><Relationship Id="rId403" Type="http://schemas.openxmlformats.org/officeDocument/2006/relationships/hyperlink" Target="https://docs.google.com/spreadsheets/d/1bGq7VUcwBsawJBIDVvI1wnQjZ7kCvrrX-1OX6UMdvQc/edit?gid=2052560265" TargetMode="External"/><Relationship Id="rId402" Type="http://schemas.openxmlformats.org/officeDocument/2006/relationships/hyperlink" Target="https://docs.google.com/spreadsheets/d/1J-E_T0tIlrFjQ_8tH-m7RGM-Z-tu-CQe3ucSP9d3BNw/edit?gid=2052560265" TargetMode="External"/><Relationship Id="rId401" Type="http://schemas.openxmlformats.org/officeDocument/2006/relationships/hyperlink" Target="https://docs.google.com/spreadsheets/d/1HRJIHzvUQclamoke_cuojUVLTi9BhFe87VlzkPPMiWk/edit?gid=2052560265" TargetMode="External"/><Relationship Id="rId408" Type="http://schemas.openxmlformats.org/officeDocument/2006/relationships/hyperlink" Target="https://docs.google.com/spreadsheets/d/1ISBjt4IwAHkcxnr7k1CyuG7OHIiXg89Y18Eitq7jKcE/edit?gid=2052560265" TargetMode="External"/><Relationship Id="rId407" Type="http://schemas.openxmlformats.org/officeDocument/2006/relationships/hyperlink" Target="https://docs.google.com/spreadsheets/d/1bGq7VUcwBsawJBIDVvI1wnQjZ7kCvrrX-1OX6UMdvQc/edit?gid=2052560265" TargetMode="External"/><Relationship Id="rId406" Type="http://schemas.openxmlformats.org/officeDocument/2006/relationships/hyperlink" Target="https://docs.google.com/spreadsheets/d/1J-E_T0tIlrFjQ_8tH-m7RGM-Z-tu-CQe3ucSP9d3BNw/edit?gid=2052560265" TargetMode="External"/><Relationship Id="rId405" Type="http://schemas.openxmlformats.org/officeDocument/2006/relationships/hyperlink" Target="https://docs.google.com/spreadsheets/d/1HRJIHzvUQclamoke_cuojUVLTi9BhFe87VlzkPPMiWk/edit?gid=2052560265" TargetMode="External"/><Relationship Id="rId26" Type="http://schemas.openxmlformats.org/officeDocument/2006/relationships/hyperlink" Target="https://docs.google.com/spreadsheets/d/1U_9GYiT9Xiw7Tb_8wNQqg39qo15sbPe8h5ibiNg1198/edit?gid=2052560265" TargetMode="External"/><Relationship Id="rId25" Type="http://schemas.openxmlformats.org/officeDocument/2006/relationships/hyperlink" Target="https://docs.google.com/spreadsheets/d/1_PHn7hR9pJj4qBnt-tcfFd7tysHpbnU5TeMeXCV_bs8/edit?gid=2052560265" TargetMode="External"/><Relationship Id="rId28" Type="http://schemas.openxmlformats.org/officeDocument/2006/relationships/hyperlink" Target="https://docs.google.com/spreadsheets/d/1_SzyiEVQzZIEzN6EUhX4yxIoycSfyLmq8z-r9T8l4as/edit?gid=2052560265" TargetMode="External"/><Relationship Id="rId27" Type="http://schemas.openxmlformats.org/officeDocument/2006/relationships/hyperlink" Target="https://docs.google.com/spreadsheets/d/1ybeAfRxC7ER5gfjZUELk91BLbdiOGtYqNq2zq4i-ddw/edit?gid=2052560265" TargetMode="External"/><Relationship Id="rId400" Type="http://schemas.openxmlformats.org/officeDocument/2006/relationships/hyperlink" Target="https://docs.google.com/spreadsheets/d/16ecYhHOEXPQNGiQKtlII8dkM4m1jj9p0UUzuQ6Zt0S8/edit?gid=2052560265" TargetMode="External"/><Relationship Id="rId29" Type="http://schemas.openxmlformats.org/officeDocument/2006/relationships/hyperlink" Target="https://docs.google.com/spreadsheets/d/1dGprDF5h-PygAmPR5gcdl2ErCVjz1TeHqHL-yPdy6AI/edit?gid=2052560265" TargetMode="External"/><Relationship Id="rId11" Type="http://schemas.openxmlformats.org/officeDocument/2006/relationships/hyperlink" Target="https://docs.google.com/spreadsheets/d/1t11qWtlhVIUnY5pdx7Gu5IthDO32R7C5o-nICvNroZU/edit?gid=2052560265" TargetMode="External"/><Relationship Id="rId10" Type="http://schemas.openxmlformats.org/officeDocument/2006/relationships/hyperlink" Target="https://docs.google.com/spreadsheets/d/1FF6L-aPm78smcBKXNfNoelmX00uFyoc_ttJRyaZLVns/edit?gid=2052560265" TargetMode="External"/><Relationship Id="rId13" Type="http://schemas.openxmlformats.org/officeDocument/2006/relationships/hyperlink" Target="https://docs.google.com/spreadsheets/d/1iDMtmjRUMuMP5L-1jPwghaRwHKN39JvuXCZVu9m2sns/edit?gid=2052560265" TargetMode="External"/><Relationship Id="rId12" Type="http://schemas.openxmlformats.org/officeDocument/2006/relationships/hyperlink" Target="https://docs.google.com/spreadsheets/d/1Jvkwq-zr5Hz5VZFoAJsje45vdHjO278Y_3P2C4pk4JU/edit?gid=2052560265" TargetMode="External"/><Relationship Id="rId15" Type="http://schemas.openxmlformats.org/officeDocument/2006/relationships/hyperlink" Target="https://docs.google.com/spreadsheets/d/1XciYXIG9LxykOTVpkiwaO8OSMfT13NtfqwzhFcIWyOM/edit?gid=2052560265" TargetMode="External"/><Relationship Id="rId14" Type="http://schemas.openxmlformats.org/officeDocument/2006/relationships/hyperlink" Target="https://docs.google.com/spreadsheets/d/1MhEShIGetBDyM5FNAANAgXBBQM-_IhwB8n4xk_160ZE/edit?gid=2052560265" TargetMode="External"/><Relationship Id="rId17" Type="http://schemas.openxmlformats.org/officeDocument/2006/relationships/hyperlink" Target="https://docs.google.com/spreadsheets/d/1MhEShIGetBDyM5FNAANAgXBBQM-_IhwB8n4xk_160ZE/edit?gid=2052560265" TargetMode="External"/><Relationship Id="rId16" Type="http://schemas.openxmlformats.org/officeDocument/2006/relationships/hyperlink" Target="https://docs.google.com/spreadsheets/d/1iDMtmjRUMuMP5L-1jPwghaRwHKN39JvuXCZVu9m2sns/edit?gid=2052560265" TargetMode="External"/><Relationship Id="rId19" Type="http://schemas.openxmlformats.org/officeDocument/2006/relationships/hyperlink" Target="https://docs.google.com/spreadsheets/d/1OwvzQ4KiUFRIEyj_Hs64MLaMtpKltCfhxfi6YQocKXQ/edit?gid=2052560265" TargetMode="External"/><Relationship Id="rId18" Type="http://schemas.openxmlformats.org/officeDocument/2006/relationships/hyperlink" Target="https://docs.google.com/spreadsheets/d/1ZgT8NrOMqfyHmMiZUoPTnOEbqnF1-HpfHEsExkv_HOw/edit?gid=2052560265" TargetMode="External"/><Relationship Id="rId84" Type="http://schemas.openxmlformats.org/officeDocument/2006/relationships/hyperlink" Target="https://docs.google.com/spreadsheets/d/1qp3Pm5I7sXtU4C3P7GT9l16ZffYkg8tg5gnTNot60Vg/edit?gid=2052560265" TargetMode="External"/><Relationship Id="rId83" Type="http://schemas.openxmlformats.org/officeDocument/2006/relationships/hyperlink" Target="https://docs.google.com/spreadsheets/d/1FEINJ6QtWIPRT4ML0YQfLBNUxhofkGchpw33Ipe3ErE/edit?gid=2052560265" TargetMode="External"/><Relationship Id="rId86" Type="http://schemas.openxmlformats.org/officeDocument/2006/relationships/hyperlink" Target="https://docs.google.com/spreadsheets/d/1h3fArw-Sbx_3sF1AEqsEhMgkrNvx_YcJVlBLu2WO9aQ/edit?gid=2052560265" TargetMode="External"/><Relationship Id="rId85" Type="http://schemas.openxmlformats.org/officeDocument/2006/relationships/hyperlink" Target="https://docs.google.com/spreadsheets/d/1jJZFWSoG3sGRuRb4kss8hkQhmYE_Cbxi7e46sMppYbg/edit?gid=2052560265" TargetMode="External"/><Relationship Id="rId88" Type="http://schemas.openxmlformats.org/officeDocument/2006/relationships/hyperlink" Target="https://docs.google.com/spreadsheets/d/1BaPZI4QCnY520CnWVFzqZdAWq00usZ4MV-DXbBTfAsE/edit?gid=2052560265" TargetMode="External"/><Relationship Id="rId87" Type="http://schemas.openxmlformats.org/officeDocument/2006/relationships/hyperlink" Target="https://docs.google.com/spreadsheets/d/1G4XkSmRT-Fhl7XD_thvmqj8PjE5C95uf7IPOGAGeqjQ/edit?gid=2052560265" TargetMode="External"/><Relationship Id="rId89" Type="http://schemas.openxmlformats.org/officeDocument/2006/relationships/hyperlink" Target="https://docs.google.com/spreadsheets/d/1T9Her0DqJ_GymrVzgbHJXLFp8obSRw1FazMjzLeOJb0/edit?gid=2052560265" TargetMode="External"/><Relationship Id="rId80" Type="http://schemas.openxmlformats.org/officeDocument/2006/relationships/hyperlink" Target="https://docs.google.com/spreadsheets/d/1Mp915gvhyBk77JKvUiVl67h5c2R2Bjy0VX_E6xZ3Y5E/edit?gid=2052560265" TargetMode="External"/><Relationship Id="rId82" Type="http://schemas.openxmlformats.org/officeDocument/2006/relationships/hyperlink" Target="https://docs.google.com/spreadsheets/d/1ERRXC7VDYULzdmWXe1EQmEM32aP-yGcBWaNs3yc2P0c/edit?gid=2052560265" TargetMode="External"/><Relationship Id="rId81" Type="http://schemas.openxmlformats.org/officeDocument/2006/relationships/hyperlink" Target="https://docs.google.com/spreadsheets/d/1BaPZI4QCnY520CnWVFzqZdAWq00usZ4MV-DXbBTfAsE/edit?gid=2052560265" TargetMode="External"/><Relationship Id="rId73" Type="http://schemas.openxmlformats.org/officeDocument/2006/relationships/hyperlink" Target="https://drive.google.com/open?id=1BDhY4hvUVs6x9C_bGbefCRxZnyuYlLAt5N2_BhSzSxo&amp;usp=drive_copy" TargetMode="External"/><Relationship Id="rId72" Type="http://schemas.openxmlformats.org/officeDocument/2006/relationships/hyperlink" Target="https://drive.google.com/open?id=1_GcMGoKBK0o2QOKMNw7bfc5CdugTanVfdTq8tG-usz8&amp;usp=drive_copy" TargetMode="External"/><Relationship Id="rId75" Type="http://schemas.openxmlformats.org/officeDocument/2006/relationships/hyperlink" Target="https://drive.google.com/open?id=1g01hgo0j6d45kwutNj2lIMjUEk-QK6VbD1GpF1MR7rs&amp;usp=drive_copy" TargetMode="External"/><Relationship Id="rId74" Type="http://schemas.openxmlformats.org/officeDocument/2006/relationships/hyperlink" Target="https://drive.google.com/open?id=1xfzwHEgdf9FxFWnP6Ta8c6u9UujDydmWoR8MxYNqT7A&amp;usp=drive_copy" TargetMode="External"/><Relationship Id="rId77" Type="http://schemas.openxmlformats.org/officeDocument/2006/relationships/hyperlink" Target="https://drive.google.com/open?id=1_GcMGoKBK0o2QOKMNw7bfc5CdugTanVfdTq8tG-usz8&amp;usp=drive_copy" TargetMode="External"/><Relationship Id="rId76" Type="http://schemas.openxmlformats.org/officeDocument/2006/relationships/hyperlink" Target="https://drive.google.com/open?id=1SxO2q-Pji-7FV1ht07SfvvdG1q2pyiQqsiHCF5VuA7Y&amp;usp=drive_copy" TargetMode="External"/><Relationship Id="rId79" Type="http://schemas.openxmlformats.org/officeDocument/2006/relationships/hyperlink" Target="https://docs.google.com/spreadsheets/d/1UaWFH2K29jEhbGHRlNftlHPxzOBO_08uvXgMroyHam8/edit?gid=2052560265" TargetMode="External"/><Relationship Id="rId78" Type="http://schemas.openxmlformats.org/officeDocument/2006/relationships/hyperlink" Target="https://drive.google.com/open?id=1BDhY4hvUVs6x9C_bGbefCRxZnyuYlLAt5N2_BhSzSxo&amp;usp=drive_copy" TargetMode="External"/><Relationship Id="rId71" Type="http://schemas.openxmlformats.org/officeDocument/2006/relationships/hyperlink" Target="https://drive.google.com/open?id=1SxO2q-Pji-7FV1ht07SfvvdG1q2pyiQqsiHCF5VuA7Y&amp;usp=drive_copy" TargetMode="External"/><Relationship Id="rId70" Type="http://schemas.openxmlformats.org/officeDocument/2006/relationships/hyperlink" Target="https://drive.google.com/open?id=1g01hgo0j6d45kwutNj2lIMjUEk-QK6VbD1GpF1MR7rs&amp;usp=drive_copy" TargetMode="External"/><Relationship Id="rId62" Type="http://schemas.openxmlformats.org/officeDocument/2006/relationships/hyperlink" Target="https://docs.google.com/spreadsheets/d/1G5Nicj-WVUlvCenRBWqDlboJBuXcjh0mDmwUlAdmfp0/edit?gid=2052560265" TargetMode="External"/><Relationship Id="rId61" Type="http://schemas.openxmlformats.org/officeDocument/2006/relationships/hyperlink" Target="https://docs.google.com/spreadsheets/d/1HIidQhlRMDgfMNig5W3jZ0dLtb9ClLpQNmRyGIbRM6s/edit?gid=2052560265" TargetMode="External"/><Relationship Id="rId64" Type="http://schemas.openxmlformats.org/officeDocument/2006/relationships/hyperlink" Target="https://docs.google.com/spreadsheets/d/1FL_4BsNEIV5bwZdDmTdlnfBNeoKkIH7Fy_a0jkO1Me0/edit?gid=2052560265" TargetMode="External"/><Relationship Id="rId63" Type="http://schemas.openxmlformats.org/officeDocument/2006/relationships/hyperlink" Target="https://docs.google.com/spreadsheets/d/1VJW6N6PedAc-IwF1Mvi31nVLWVM-CTrarn7T18ZY6zI/edit?gid=2052560265" TargetMode="External"/><Relationship Id="rId66" Type="http://schemas.openxmlformats.org/officeDocument/2006/relationships/hyperlink" Target="https://docs.google.com/spreadsheets/d/1VyOzbqTqcGlG7SAf5eGswFecD6B7IlquOX3j30VPnT8/edit?gid=2052560265" TargetMode="External"/><Relationship Id="rId65" Type="http://schemas.openxmlformats.org/officeDocument/2006/relationships/hyperlink" Target="https://docs.google.com/spreadsheets/d/13SbniYdchOJ52tqAWGiygcw_oTzbDqS3j6hj8moSMuM/edit?gid=2052560265" TargetMode="External"/><Relationship Id="rId68" Type="http://schemas.openxmlformats.org/officeDocument/2006/relationships/hyperlink" Target="https://docs.google.com/spreadsheets/d/1L6tMYMtQF-Q938yE8yXgxer0ndi7-Gf2h1otk9LO4hw/edit?gid=2052560265" TargetMode="External"/><Relationship Id="rId67" Type="http://schemas.openxmlformats.org/officeDocument/2006/relationships/hyperlink" Target="https://docs.google.com/spreadsheets/d/18EBeSJoM7GogSBZVeOxzAnnbgTX9uWzPNr0OLIM55O0/edit?gid=2052560265" TargetMode="External"/><Relationship Id="rId60" Type="http://schemas.openxmlformats.org/officeDocument/2006/relationships/hyperlink" Target="https://docs.google.com/spreadsheets/d/1D8NQyMBG6WNcNOMNSOlBdfbhlNRTrPY3eC3ER4Qo9JU/edit?gid=2052560265" TargetMode="External"/><Relationship Id="rId69" Type="http://schemas.openxmlformats.org/officeDocument/2006/relationships/hyperlink" Target="https://drive.google.com/open?id=1xfzwHEgdf9FxFWnP6Ta8c6u9UujDydmWoR8MxYNqT7A&amp;usp=drive_copy" TargetMode="External"/><Relationship Id="rId51" Type="http://schemas.openxmlformats.org/officeDocument/2006/relationships/hyperlink" Target="https://docs.google.com/spreadsheets/d/1XxXT6LXMbd_6wJe2DBH260OYovPG5eysJstLASB0TMI/edit?gid=2052560265" TargetMode="External"/><Relationship Id="rId50" Type="http://schemas.openxmlformats.org/officeDocument/2006/relationships/hyperlink" Target="https://docs.google.com/spreadsheets/d/1T9Her0DqJ_GymrVzgbHJXLFp8obSRw1FazMjzLeOJb0/edit?gid=2052560265" TargetMode="External"/><Relationship Id="rId53" Type="http://schemas.openxmlformats.org/officeDocument/2006/relationships/hyperlink" Target="https://drive.google.com/file/d/1rP9bAmIpuk7kPn9pNshDxvSL18G61zp9/view?usp=sharing" TargetMode="External"/><Relationship Id="rId52" Type="http://schemas.openxmlformats.org/officeDocument/2006/relationships/hyperlink" Target="https://docs.google.com/spreadsheets/d/1TaLaJMibsCBrbPYczhUzv6e82-ACDUPiwM5hmD_KVyk/edit?gid=2052560265" TargetMode="External"/><Relationship Id="rId55" Type="http://schemas.openxmlformats.org/officeDocument/2006/relationships/hyperlink" Target="https://docs.google.com/spreadsheets/d/1ZwdpIzPZ82JdSrP4RCPBmAo_RlL6lz0mNChAhG7Z3_g/edit?gid=2052560265" TargetMode="External"/><Relationship Id="rId54" Type="http://schemas.openxmlformats.org/officeDocument/2006/relationships/hyperlink" Target="https://docs.google.com/spreadsheets/d/1l7FE3OtbXAn8I6ITRTxmp49XpxUoBp0YV0Nd8BuOfpY/edit?gid=2052560265" TargetMode="External"/><Relationship Id="rId57" Type="http://schemas.openxmlformats.org/officeDocument/2006/relationships/hyperlink" Target="https://docs.google.com/spreadsheets/d/13SbniYdchOJ52tqAWGiygcw_oTzbDqS3j6hj8moSMuM/edit?gid=2052560265" TargetMode="External"/><Relationship Id="rId56" Type="http://schemas.openxmlformats.org/officeDocument/2006/relationships/hyperlink" Target="https://docs.google.com/spreadsheets/d/1HIidQhlRMDgfMNig5W3jZ0dLtb9ClLpQNmRyGIbRM6s/edit?gid=2052560265" TargetMode="External"/><Relationship Id="rId59" Type="http://schemas.openxmlformats.org/officeDocument/2006/relationships/hyperlink" Target="https://docs.google.com/spreadsheets/d/18EBeSJoM7GogSBZVeOxzAnnbgTX9uWzPNr0OLIM55O0/edit?gid=2052560265" TargetMode="External"/><Relationship Id="rId58" Type="http://schemas.openxmlformats.org/officeDocument/2006/relationships/hyperlink" Target="https://docs.google.com/spreadsheets/d/1VyOzbqTqcGlG7SAf5eGswFecD6B7IlquOX3j30VPnT8/edit?gid=2052560265" TargetMode="External"/><Relationship Id="rId107" Type="http://schemas.openxmlformats.org/officeDocument/2006/relationships/hyperlink" Target="https://docs.google.com/spreadsheets/d/1RyhrDCHpUlZc1V0tddHsC8Xbo2mC6DOIY0J-NmAjoj0/edit?gid=2052560265" TargetMode="External"/><Relationship Id="rId228" Type="http://schemas.openxmlformats.org/officeDocument/2006/relationships/hyperlink" Target="https://docs.google.com/spreadsheets/d/1hWy20hMHixp7pPNd22eIeyboR7g_BWlcLYDsQ4zxe60/edit?gid=2052560265" TargetMode="External"/><Relationship Id="rId349" Type="http://schemas.openxmlformats.org/officeDocument/2006/relationships/hyperlink" Target="https://docs.google.com/spreadsheets/d/14db3RgIWNoG2myMo6FKBsvRDB75yQdLPpinK4s405zA/edit?gid=2052560265" TargetMode="External"/><Relationship Id="rId106" Type="http://schemas.openxmlformats.org/officeDocument/2006/relationships/hyperlink" Target="https://docs.google.com/spreadsheets/d/1neQVrW8wqaOC_ODfBGmxK1N9qcF4bpDkxuT7wNHZ1EA/edit?gid=2052560265" TargetMode="External"/><Relationship Id="rId227" Type="http://schemas.openxmlformats.org/officeDocument/2006/relationships/hyperlink" Target="https://docs.google.com/spreadsheets/d/1ZjtE-myisLz1IxTTX2LLPF-u5-hA4SMsoDHDIAvfQeE/edit?gid=2052560265" TargetMode="External"/><Relationship Id="rId348" Type="http://schemas.openxmlformats.org/officeDocument/2006/relationships/hyperlink" Target="https://docs.google.com/spreadsheets/d/1xfFVhYe8RaBD3G1S6w2lBAlqwz9XnARGJHXXskMyQzU/edit?gid=2052560265" TargetMode="External"/><Relationship Id="rId105" Type="http://schemas.openxmlformats.org/officeDocument/2006/relationships/hyperlink" Target="https://docs.google.com/spreadsheets/d/1RyhrDCHpUlZc1V0tddHsC8Xbo2mC6DOIY0J-NmAjoj0/edit?gid=2052560265" TargetMode="External"/><Relationship Id="rId226" Type="http://schemas.openxmlformats.org/officeDocument/2006/relationships/hyperlink" Target="https://docs.google.com/spreadsheets/d/1-AHy1LtM1kKD3lVrq6CcMA0KRlcwXwyJsRPtsZMeGkE/edit?gid=2052560265" TargetMode="External"/><Relationship Id="rId347" Type="http://schemas.openxmlformats.org/officeDocument/2006/relationships/hyperlink" Target="https://docs.google.com/spreadsheets/d/14JD1blA-KY4ICOtnUTDePfT5vieCp9mChshiKOAvpYg/edit?gid=2052560265" TargetMode="External"/><Relationship Id="rId104" Type="http://schemas.openxmlformats.org/officeDocument/2006/relationships/hyperlink" Target="https://docs.google.com/spreadsheets/d/1effRaYIb355dwRLvqXvRWpZZXeuHbftHBwHMNsvzXZk/edit?gid=2052560265" TargetMode="External"/><Relationship Id="rId225" Type="http://schemas.openxmlformats.org/officeDocument/2006/relationships/hyperlink" Target="https://docs.google.com/spreadsheets/d/1LfkQbt1rItvZbfrTW4sIJbOjW4dD7EKg9Fb54pLixGQ/edit?gid=2052560265" TargetMode="External"/><Relationship Id="rId346" Type="http://schemas.openxmlformats.org/officeDocument/2006/relationships/hyperlink" Target="https://docs.google.com/spreadsheets/d/1vjzFaonHafbDMJdRF1uX0mSLRjxSglJF0IObEjTchs0/edit?gid=2052560265" TargetMode="External"/><Relationship Id="rId109" Type="http://schemas.openxmlformats.org/officeDocument/2006/relationships/hyperlink" Target="https://docs.google.com/spreadsheets/d/1effRaYIb355dwRLvqXvRWpZZXeuHbftHBwHMNsvzXZk/edit?gid=2052560265" TargetMode="External"/><Relationship Id="rId108" Type="http://schemas.openxmlformats.org/officeDocument/2006/relationships/hyperlink" Target="https://docs.google.com/spreadsheets/d/1pFdHpcRpi1t6GAHAZdkvIeLw92xwGwGBwE6B-Pwl-Ug/edit?gid=2052560265" TargetMode="External"/><Relationship Id="rId229" Type="http://schemas.openxmlformats.org/officeDocument/2006/relationships/hyperlink" Target="https://docs.google.com/spreadsheets/d/1J6SFiObkdCi--rxtYf0jwTGqFYlzNRpzbC_jMwwNU8s/edit?gid=2052560265" TargetMode="External"/><Relationship Id="rId220" Type="http://schemas.openxmlformats.org/officeDocument/2006/relationships/hyperlink" Target="https://docs.google.com/spreadsheets/d/1-AHy1LtM1kKD3lVrq6CcMA0KRlcwXwyJsRPtsZMeGkE/edit?gid=2052560265" TargetMode="External"/><Relationship Id="rId341" Type="http://schemas.openxmlformats.org/officeDocument/2006/relationships/hyperlink" Target="https://docs.google.com/spreadsheets/d/1ykchpWBwAM1nBZJ6Ry0vUqJ_L5WptO20VCCFt_bXlbw/edit?gid=2052560265" TargetMode="External"/><Relationship Id="rId340" Type="http://schemas.openxmlformats.org/officeDocument/2006/relationships/hyperlink" Target="https://docs.google.com/spreadsheets/d/14db3RgIWNoG2myMo6FKBsvRDB75yQdLPpinK4s405zA/edit?gid=2052560265" TargetMode="External"/><Relationship Id="rId103" Type="http://schemas.openxmlformats.org/officeDocument/2006/relationships/hyperlink" Target="https://docs.google.com/spreadsheets/d/1PR21KntIo7Pkh6QNfsgeYGqX0dY959e9GMDBkf6B2V4/edit?gid=2052560265" TargetMode="External"/><Relationship Id="rId224" Type="http://schemas.openxmlformats.org/officeDocument/2006/relationships/hyperlink" Target="https://docs.google.com/spreadsheets/d/1khk_R7XdwCJCYKELiVKN3XpLVOfJPh0Xgqpv1TqAwTM/edit?gid=2052560265" TargetMode="External"/><Relationship Id="rId345" Type="http://schemas.openxmlformats.org/officeDocument/2006/relationships/hyperlink" Target="https://docs.google.com/spreadsheets/d/1-FCke2_sqgffvmxhNrvL3hFiF1cq8wRLyUt2YSzNXvU/edit?gid=2052560265" TargetMode="External"/><Relationship Id="rId102" Type="http://schemas.openxmlformats.org/officeDocument/2006/relationships/hyperlink" Target="https://docs.google.com/spreadsheets/d/1eY2E5NqFOdeDosjavmXxO4xLbnOKJ-7RE6Q8SUX8jBw/edit?gid=2052560265" TargetMode="External"/><Relationship Id="rId223" Type="http://schemas.openxmlformats.org/officeDocument/2006/relationships/hyperlink" Target="https://docs.google.com/spreadsheets/d/1J6SFiObkdCi--rxtYf0jwTGqFYlzNRpzbC_jMwwNU8s/edit?gid=2052560265" TargetMode="External"/><Relationship Id="rId344" Type="http://schemas.openxmlformats.org/officeDocument/2006/relationships/hyperlink" Target="https://docs.google.com/spreadsheets/d/1ox1k3tqNVTFt9BDxIVL-yCmcMbUkDKXFh0Zvj-Tu3p0/edit?gid=2052560265" TargetMode="External"/><Relationship Id="rId101" Type="http://schemas.openxmlformats.org/officeDocument/2006/relationships/hyperlink" Target="https://docs.google.com/spreadsheets/d/1Z8DVj3WlVF7fgmLGRFIEOHWGmnrCBCGXIMLUjMQoPao/edit?gid=2052560265" TargetMode="External"/><Relationship Id="rId222" Type="http://schemas.openxmlformats.org/officeDocument/2006/relationships/hyperlink" Target="https://docs.google.com/spreadsheets/d/1hWy20hMHixp7pPNd22eIeyboR7g_BWlcLYDsQ4zxe60/edit?gid=2052560265" TargetMode="External"/><Relationship Id="rId343" Type="http://schemas.openxmlformats.org/officeDocument/2006/relationships/hyperlink" Target="https://docs.google.com/spreadsheets/d/1z6GyB03ibDpdtjJQmPa15450UYWAkpt_jo0CgtXgDQc/edit?gid=2052560265" TargetMode="External"/><Relationship Id="rId100" Type="http://schemas.openxmlformats.org/officeDocument/2006/relationships/hyperlink" Target="https://docs.google.com/spreadsheets/d/1pFdHpcRpi1t6GAHAZdkvIeLw92xwGwGBwE6B-Pwl-Ug/edit?gid=2052560265" TargetMode="External"/><Relationship Id="rId221" Type="http://schemas.openxmlformats.org/officeDocument/2006/relationships/hyperlink" Target="https://docs.google.com/spreadsheets/d/1ZjtE-myisLz1IxTTX2LLPF-u5-hA4SMsoDHDIAvfQeE/edit?gid=2052560265" TargetMode="External"/><Relationship Id="rId342" Type="http://schemas.openxmlformats.org/officeDocument/2006/relationships/hyperlink" Target="https://docs.google.com/spreadsheets/d/1sBIczDbX6usYVgC5x0JLt12udR6KUNPO-3rzHSehKoU/edit?gid=2052560265" TargetMode="External"/><Relationship Id="rId217" Type="http://schemas.openxmlformats.org/officeDocument/2006/relationships/hyperlink" Target="https://docs.google.com/spreadsheets/d/1J6SFiObkdCi--rxtYf0jwTGqFYlzNRpzbC_jMwwNU8s/edit?gid=2052560265" TargetMode="External"/><Relationship Id="rId338" Type="http://schemas.openxmlformats.org/officeDocument/2006/relationships/hyperlink" Target="https://docs.google.com/spreadsheets/d/14JD1blA-KY4ICOtnUTDePfT5vieCp9mChshiKOAvpYg/edit?gid=2052560265" TargetMode="External"/><Relationship Id="rId216" Type="http://schemas.openxmlformats.org/officeDocument/2006/relationships/hyperlink" Target="https://docs.google.com/spreadsheets/d/1hWy20hMHixp7pPNd22eIeyboR7g_BWlcLYDsQ4zxe60/edit?gid=2052560265" TargetMode="External"/><Relationship Id="rId337" Type="http://schemas.openxmlformats.org/officeDocument/2006/relationships/hyperlink" Target="https://docs.google.com/spreadsheets/d/1vjzFaonHafbDMJdRF1uX0mSLRjxSglJF0IObEjTchs0/edit?gid=2052560265" TargetMode="External"/><Relationship Id="rId215" Type="http://schemas.openxmlformats.org/officeDocument/2006/relationships/hyperlink" Target="https://docs.google.com/spreadsheets/d/1ZjtE-myisLz1IxTTX2LLPF-u5-hA4SMsoDHDIAvfQeE/edit?gid=2052560265" TargetMode="External"/><Relationship Id="rId336" Type="http://schemas.openxmlformats.org/officeDocument/2006/relationships/hyperlink" Target="https://docs.google.com/spreadsheets/d/1ox1k3tqNVTFt9BDxIVL-yCmcMbUkDKXFh0Zvj-Tu3p0/edit?gid=2052560265" TargetMode="External"/><Relationship Id="rId214" Type="http://schemas.openxmlformats.org/officeDocument/2006/relationships/hyperlink" Target="https://docs.google.com/spreadsheets/d/1-AHy1LtM1kKD3lVrq6CcMA0KRlcwXwyJsRPtsZMeGkE/edit?gid=2052560265" TargetMode="External"/><Relationship Id="rId335" Type="http://schemas.openxmlformats.org/officeDocument/2006/relationships/hyperlink" Target="https://docs.google.com/spreadsheets/d/1z6GyB03ibDpdtjJQmPa15450UYWAkpt_jo0CgtXgDQc/edit?gid=2052560265" TargetMode="External"/><Relationship Id="rId219" Type="http://schemas.openxmlformats.org/officeDocument/2006/relationships/hyperlink" Target="https://docs.google.com/spreadsheets/d/1LfkQbt1rItvZbfrTW4sIJbOjW4dD7EKg9Fb54pLixGQ/edit?gid=2052560265" TargetMode="External"/><Relationship Id="rId218" Type="http://schemas.openxmlformats.org/officeDocument/2006/relationships/hyperlink" Target="https://docs.google.com/spreadsheets/d/1khk_R7XdwCJCYKELiVKN3XpLVOfJPh0Xgqpv1TqAwTM/edit?gid=2052560265" TargetMode="External"/><Relationship Id="rId339" Type="http://schemas.openxmlformats.org/officeDocument/2006/relationships/hyperlink" Target="https://docs.google.com/spreadsheets/d/1xfFVhYe8RaBD3G1S6w2lBAlqwz9XnARGJHXXskMyQzU/edit?gid=2052560265" TargetMode="External"/><Relationship Id="rId330" Type="http://schemas.openxmlformats.org/officeDocument/2006/relationships/hyperlink" Target="https://docs.google.com/spreadsheets/d/1-FCke2_sqgffvmxhNrvL3hFiF1cq8wRLyUt2YSzNXvU/edit?gid=2052560265" TargetMode="External"/><Relationship Id="rId213" Type="http://schemas.openxmlformats.org/officeDocument/2006/relationships/hyperlink" Target="https://docs.google.com/spreadsheets/d/145L1dlGlPlB5YSB_Xd6CW2TlH83CeWhP6dyArhLCeKE/edit?gid=2052560265" TargetMode="External"/><Relationship Id="rId334" Type="http://schemas.openxmlformats.org/officeDocument/2006/relationships/hyperlink" Target="https://docs.google.com/spreadsheets/d/1ykchpWBwAM1nBZJ6Ry0vUqJ_L5WptO20VCCFt_bXlbw/edit?gid=2052560265" TargetMode="External"/><Relationship Id="rId212" Type="http://schemas.openxmlformats.org/officeDocument/2006/relationships/hyperlink" Target="https://docs.google.com/spreadsheets/d/10SQNw_mQQV_kjWjdqujjKwnelvsYKMTv4RKEmaknAHg/edit?gid=2052560265" TargetMode="External"/><Relationship Id="rId333" Type="http://schemas.openxmlformats.org/officeDocument/2006/relationships/hyperlink" Target="https://docs.google.com/spreadsheets/d/1H7wJ6dowlxJb7hFJiZY6ibPgANYfMbudzQ1YGfaV_sQ/edit?gid=2052560265" TargetMode="External"/><Relationship Id="rId211" Type="http://schemas.openxmlformats.org/officeDocument/2006/relationships/hyperlink" Target="https://docs.google.com/spreadsheets/d/19ek6dtgf2mxB2ufTrWgeJ3OF6GcL7PNvvO81hcTmloQ/edit?gid=2052560265" TargetMode="External"/><Relationship Id="rId332" Type="http://schemas.openxmlformats.org/officeDocument/2006/relationships/hyperlink" Target="https://docs.google.com/spreadsheets/d/1GalnD1e0w00pgESitLpeoRWZdxSxlL6p0xO00o2zAD4/edit?gid=2052560265" TargetMode="External"/><Relationship Id="rId210" Type="http://schemas.openxmlformats.org/officeDocument/2006/relationships/hyperlink" Target="https://docs.google.com/spreadsheets/d/1vVOZ__gLSjctK3nNHhRhN3NW1RYd3G4lni1pxpQ2O3s/edit?gid=2052560265" TargetMode="External"/><Relationship Id="rId331" Type="http://schemas.openxmlformats.org/officeDocument/2006/relationships/hyperlink" Target="https://docs.google.com/spreadsheets/d/19dkKIJIAimpEuuzbQo9Y0YyvwGCdmE3szq5XDdzUIjM/edit?gid=2052560265" TargetMode="External"/><Relationship Id="rId370" Type="http://schemas.openxmlformats.org/officeDocument/2006/relationships/hyperlink" Target="https://drive.google.com/open?id=16fiVtJ16gigD6OrN37LsWKa-xFYqzb51JKA4ArxcB6E&amp;usp=drive_copy" TargetMode="External"/><Relationship Id="rId129" Type="http://schemas.openxmlformats.org/officeDocument/2006/relationships/hyperlink" Target="https://docs.google.com/spreadsheets/d/1R8BGCsnTrItTUWcNsTERZoHnuF03ERob69_pOf_JnC4/edit?gid=2052560265" TargetMode="External"/><Relationship Id="rId128" Type="http://schemas.openxmlformats.org/officeDocument/2006/relationships/hyperlink" Target="https://docs.google.com/spreadsheets/d/1GblSzU9NKK-33v_tZ1MmVb-jbShU5_6ER9uEeZOTXUU/edit?gid=2052560265" TargetMode="External"/><Relationship Id="rId249" Type="http://schemas.openxmlformats.org/officeDocument/2006/relationships/hyperlink" Target="https://docs.google.com/spreadsheets/d/1MblnVlrl8-rHFtKSQhXxHb-Su9tlFg64VvwOS8Zy86g/edit?gid=2052560265" TargetMode="External"/><Relationship Id="rId127" Type="http://schemas.openxmlformats.org/officeDocument/2006/relationships/hyperlink" Target="https://drive.google.com/file/d/1-tjRNzvFcd0FUMasqvmCkbAmjXOuY1ET/view?usp=sharing" TargetMode="External"/><Relationship Id="rId248" Type="http://schemas.openxmlformats.org/officeDocument/2006/relationships/hyperlink" Target="https://docs.google.com/spreadsheets/d/1RvgjvVL7ZolUrV4C6OT5Ez1sp1xrKpyEdPEbFh4w8SU/edit?gid=2052560265" TargetMode="External"/><Relationship Id="rId369" Type="http://schemas.openxmlformats.org/officeDocument/2006/relationships/hyperlink" Target="https://drive.google.com/open?id=1WVWlLfspZHr_GXluoWUaL1iEBytT-SlU5bPLY0k3suo&amp;usp=drive_copy" TargetMode="External"/><Relationship Id="rId126" Type="http://schemas.openxmlformats.org/officeDocument/2006/relationships/hyperlink" Target="https://docs.google.com/spreadsheets/d/1XzFJndcxbKbmn-pzHv7zClR8BD0yxFqcDZdjMp27CQI/edit?gid=2052560265" TargetMode="External"/><Relationship Id="rId247" Type="http://schemas.openxmlformats.org/officeDocument/2006/relationships/hyperlink" Target="https://docs.google.com/spreadsheets/d/1zDhPvLgHDXr46Dpt-JHM8bStoqcVFcZlGwaUF8oH22s/edit?gid=2052560265" TargetMode="External"/><Relationship Id="rId368" Type="http://schemas.openxmlformats.org/officeDocument/2006/relationships/hyperlink" Target="https://drive.google.com/open?id=1KtMF5M26wW4nhxTJ8AUFYP_Bv4i7CFHiFnNv0pgxJgc&amp;usp=drive_copy" TargetMode="External"/><Relationship Id="rId121" Type="http://schemas.openxmlformats.org/officeDocument/2006/relationships/hyperlink" Target="https://drive.google.com/file/d/1-tjRNzvFcd0FUMasqvmCkbAmjXOuY1ET/view?usp=sharing" TargetMode="External"/><Relationship Id="rId242" Type="http://schemas.openxmlformats.org/officeDocument/2006/relationships/hyperlink" Target="https://docs.google.com/spreadsheets/d/1wVmKKVJ-clTYovkcJT29NFljFZc_bqXTjNt9j_99a1I/edit?gid=2052560265" TargetMode="External"/><Relationship Id="rId363" Type="http://schemas.openxmlformats.org/officeDocument/2006/relationships/hyperlink" Target="https://drive.google.com/open?id=1xpdQF2mOe7gwSyc2eHgjxkEZ6JYUoLrcYI_CEpTQdvo&amp;usp=drive_copy" TargetMode="External"/><Relationship Id="rId120" Type="http://schemas.openxmlformats.org/officeDocument/2006/relationships/hyperlink" Target="https://docs.google.com/spreadsheets/d/1XzFJndcxbKbmn-pzHv7zClR8BD0yxFqcDZdjMp27CQI/edit?gid=2052560265" TargetMode="External"/><Relationship Id="rId241" Type="http://schemas.openxmlformats.org/officeDocument/2006/relationships/hyperlink" Target="https://docs.google.com/spreadsheets/d/19Vz4RuisdYJvTWl5Hy5RYbmtlhoi-m6rvZrVNincCNQ/edit?gid=2052560265" TargetMode="External"/><Relationship Id="rId362" Type="http://schemas.openxmlformats.org/officeDocument/2006/relationships/hyperlink" Target="https://drive.google.com/open?id=1a8T4omZkE1rCvhN6xPmVbvqKE28lnqwz20B3nMl14qE&amp;usp=drive_copy" TargetMode="External"/><Relationship Id="rId240" Type="http://schemas.openxmlformats.org/officeDocument/2006/relationships/hyperlink" Target="https://docs.google.com/spreadsheets/d/1pMopFtUDNGhaHeDgzlLH009AjZIEhGEia8n29hb62A0/edit?gid=2052560265" TargetMode="External"/><Relationship Id="rId361" Type="http://schemas.openxmlformats.org/officeDocument/2006/relationships/hyperlink" Target="https://docs.google.com/spreadsheets/d/1vVOZ__gLSjctK3nNHhRhN3NW1RYd3G4lni1pxpQ2O3s/edit?gid=2052560265" TargetMode="External"/><Relationship Id="rId360" Type="http://schemas.openxmlformats.org/officeDocument/2006/relationships/hyperlink" Target="https://drive.google.com/open?id=1mSKEgeMQRecq5NKHZOPhLgSs2XhNjs_FDvd6F6pP18o&amp;usp=drive_copy" TargetMode="External"/><Relationship Id="rId125" Type="http://schemas.openxmlformats.org/officeDocument/2006/relationships/hyperlink" Target="https://docs.google.com/spreadsheets/d/1Dbrmv5omfqrHo9___4J_tCJmSfDOwlnc2VYXKcgsNUQ/edit?gid=2052560265" TargetMode="External"/><Relationship Id="rId246" Type="http://schemas.openxmlformats.org/officeDocument/2006/relationships/hyperlink" Target="https://docs.google.com/spreadsheets/d/1i-38rd7Lh1_CCk98874iGthpKU6tyD_A3F68-D8oHCg/edit?gid=2052560265" TargetMode="External"/><Relationship Id="rId367" Type="http://schemas.openxmlformats.org/officeDocument/2006/relationships/hyperlink" Target="https://drive.google.com/open?id=1WVWlLfspZHr_GXluoWUaL1iEBytT-SlU5bPLY0k3suo&amp;usp=drive_copy" TargetMode="External"/><Relationship Id="rId124" Type="http://schemas.openxmlformats.org/officeDocument/2006/relationships/hyperlink" Target="https://docs.google.com/spreadsheets/d/1dDdQXLZluNG43jKW4bh9akG7DtBt6viGsKw5mV36NCQ/edit?gid=2052560265" TargetMode="External"/><Relationship Id="rId245" Type="http://schemas.openxmlformats.org/officeDocument/2006/relationships/hyperlink" Target="https://docs.google.com/spreadsheets/d/1ISBjt4IwAHkcxnr7k1CyuG7OHIiXg89Y18Eitq7jKcE/edit?gid=2052560265" TargetMode="External"/><Relationship Id="rId366" Type="http://schemas.openxmlformats.org/officeDocument/2006/relationships/hyperlink" Target="https://drive.google.com/open?id=1eQ-3I3vWH1yP47TuluAED-LpskxRZqEOW-m35yp3WpU&amp;usp=drive_copy" TargetMode="External"/><Relationship Id="rId123" Type="http://schemas.openxmlformats.org/officeDocument/2006/relationships/hyperlink" Target="https://docs.google.com/spreadsheets/d/1R8BGCsnTrItTUWcNsTERZoHnuF03ERob69_pOf_JnC4/edit?gid=2052560265" TargetMode="External"/><Relationship Id="rId244" Type="http://schemas.openxmlformats.org/officeDocument/2006/relationships/hyperlink" Target="https://docs.google.com/spreadsheets/d/1SoWHuebsz_0c8k4Ff2L34mbTRXG1Z-sh8-w9iv1c5JU/edit?gid=2052560265" TargetMode="External"/><Relationship Id="rId365" Type="http://schemas.openxmlformats.org/officeDocument/2006/relationships/hyperlink" Target="https://drive.google.com/open?id=1DcgDgDE7pWNc5kRikc3HGvU0MHYkh4qCfJPlw0Ykobg&amp;usp=drive_copy" TargetMode="External"/><Relationship Id="rId122" Type="http://schemas.openxmlformats.org/officeDocument/2006/relationships/hyperlink" Target="https://docs.google.com/spreadsheets/d/1GblSzU9NKK-33v_tZ1MmVb-jbShU5_6ER9uEeZOTXUU/edit?gid=2052560265" TargetMode="External"/><Relationship Id="rId243" Type="http://schemas.openxmlformats.org/officeDocument/2006/relationships/hyperlink" Target="https://docs.google.com/spreadsheets/d/15amgybedEUOt7-vqYvK9C3cK0LlXILF_0S7sY25QRiI/edit?gid=2052560265" TargetMode="External"/><Relationship Id="rId364" Type="http://schemas.openxmlformats.org/officeDocument/2006/relationships/hyperlink" Target="https://drive.google.com/open?id=16fiVtJ16gigD6OrN37LsWKa-xFYqzb51JKA4ArxcB6E&amp;usp=drive_copy" TargetMode="External"/><Relationship Id="rId95" Type="http://schemas.openxmlformats.org/officeDocument/2006/relationships/hyperlink" Target="https://docs.google.com/spreadsheets/d/1Z8DVj3WlVF7fgmLGRFIEOHWGmnrCBCGXIMLUjMQoPao/edit?gid=2052560265" TargetMode="External"/><Relationship Id="rId94" Type="http://schemas.openxmlformats.org/officeDocument/2006/relationships/hyperlink" Target="https://docs.google.com/spreadsheets/d/1GVhcsK-JsucUjcsjelNGAcREaG0RVhqd2McDmBSCx2k/edit?gid=2052560265" TargetMode="External"/><Relationship Id="rId97" Type="http://schemas.openxmlformats.org/officeDocument/2006/relationships/hyperlink" Target="https://docs.google.com/spreadsheets/d/1PR21KntIo7Pkh6QNfsgeYGqX0dY959e9GMDBkf6B2V4/edit?gid=2052560265" TargetMode="External"/><Relationship Id="rId96" Type="http://schemas.openxmlformats.org/officeDocument/2006/relationships/hyperlink" Target="https://docs.google.com/spreadsheets/d/1eY2E5NqFOdeDosjavmXxO4xLbnOKJ-7RE6Q8SUX8jBw/edit?gid=2052560265" TargetMode="External"/><Relationship Id="rId99" Type="http://schemas.openxmlformats.org/officeDocument/2006/relationships/hyperlink" Target="https://docs.google.com/spreadsheets/d/1Y929AjDpybZjAyltHRzdQENUCpOdryw9moc2T2GVINg/edit?gid=2052560265" TargetMode="External"/><Relationship Id="rId98" Type="http://schemas.openxmlformats.org/officeDocument/2006/relationships/hyperlink" Target="https://docs.google.com/spreadsheets/d/1UC3dw01jOy_kd8qtEmUaRAgqj9CbgmL-d_SrcemhOB8/edit?gid=2052560265" TargetMode="External"/><Relationship Id="rId91" Type="http://schemas.openxmlformats.org/officeDocument/2006/relationships/hyperlink" Target="https://docs.google.com/spreadsheets/d/1qp3Pm5I7sXtU4C3P7GT9l16ZffYkg8tg5gnTNot60Vg/edit?gid=2052560265" TargetMode="External"/><Relationship Id="rId90" Type="http://schemas.openxmlformats.org/officeDocument/2006/relationships/hyperlink" Target="https://docs.google.com/spreadsheets/d/1FEINJ6QtWIPRT4ML0YQfLBNUxhofkGchpw33Ipe3ErE/edit?gid=2052560265" TargetMode="External"/><Relationship Id="rId93" Type="http://schemas.openxmlformats.org/officeDocument/2006/relationships/hyperlink" Target="https://docs.google.com/spreadsheets/d/1XxXT6LXMbd_6wJe2DBH260OYovPG5eysJstLASB0TMI/edit?gid=2052560265" TargetMode="External"/><Relationship Id="rId92" Type="http://schemas.openxmlformats.org/officeDocument/2006/relationships/hyperlink" Target="https://docs.google.com/spreadsheets/d/1UaWFH2K29jEhbGHRlNftlHPxzOBO_08uvXgMroyHam8/edit?gid=2052560265" TargetMode="External"/><Relationship Id="rId118" Type="http://schemas.openxmlformats.org/officeDocument/2006/relationships/hyperlink" Target="https://docs.google.com/spreadsheets/d/1dDdQXLZluNG43jKW4bh9akG7DtBt6viGsKw5mV36NCQ/edit?gid=2052560265" TargetMode="External"/><Relationship Id="rId239" Type="http://schemas.openxmlformats.org/officeDocument/2006/relationships/hyperlink" Target="https://docs.google.com/spreadsheets/d/1eRommxKJWOd8V3hLCcZmngAmGSlojQlCIc9Q6Sh8Rr4/edit?gid=2052560265" TargetMode="External"/><Relationship Id="rId117" Type="http://schemas.openxmlformats.org/officeDocument/2006/relationships/hyperlink" Target="https://docs.google.com/spreadsheets/d/1twqNtYNLuVZHijUWDkO5T46_YyvQFiB2elrkI1oDQms/edit?gid=2052560265" TargetMode="External"/><Relationship Id="rId238" Type="http://schemas.openxmlformats.org/officeDocument/2006/relationships/hyperlink" Target="https://docs.google.com/spreadsheets/d/1nun07fw1rm5_aVBQ9yatfdaJRSMLyJ61FW7FVq8YMaw/edit?gid=2052560265" TargetMode="External"/><Relationship Id="rId359" Type="http://schemas.openxmlformats.org/officeDocument/2006/relationships/hyperlink" Target="https://docs.google.com/spreadsheets/d/17mMopDB3w2dc3ArLOHLE_TAtAHxnTCQraxERSNoDdu0/edit?gid=2052560265" TargetMode="External"/><Relationship Id="rId116" Type="http://schemas.openxmlformats.org/officeDocument/2006/relationships/hyperlink" Target="https://docs.google.com/spreadsheets/d/1zzcUAGlvYVXuifJ6W4TJ4HL1LcGnjctHZZ9JhBZPGmo/edit?gid=2052560265" TargetMode="External"/><Relationship Id="rId237" Type="http://schemas.openxmlformats.org/officeDocument/2006/relationships/hyperlink" Target="https://docs.google.com/spreadsheets/d/1sgDujeleaGVI1_glEofBd5lIvOHyAvUnEpabhc-FmkQ/edit?gid=2052560265" TargetMode="External"/><Relationship Id="rId358" Type="http://schemas.openxmlformats.org/officeDocument/2006/relationships/hyperlink" Target="https://drive.google.com/open?id=1DcgDgDE7pWNc5kRikc3HGvU0MHYkh4qCfJPlw0Ykobg&amp;usp=drive_copy" TargetMode="External"/><Relationship Id="rId115" Type="http://schemas.openxmlformats.org/officeDocument/2006/relationships/hyperlink" Target="https://docs.google.com/spreadsheets/d/1x4n5Aid6aWj77T9B2dSwEKeO17K9d7f6nMc5nrpYi5k/edit?gid=2052560265" TargetMode="External"/><Relationship Id="rId236" Type="http://schemas.openxmlformats.org/officeDocument/2006/relationships/hyperlink" Target="https://docs.google.com/spreadsheets/d/1wVmKKVJ-clTYovkcJT29NFljFZc_bqXTjNt9j_99a1I/edit?gid=2052560265" TargetMode="External"/><Relationship Id="rId357" Type="http://schemas.openxmlformats.org/officeDocument/2006/relationships/hyperlink" Target="https://drive.google.com/open?id=16fiVtJ16gigD6OrN37LsWKa-xFYqzb51JKA4ArxcB6E&amp;usp=drive_copy" TargetMode="External"/><Relationship Id="rId119" Type="http://schemas.openxmlformats.org/officeDocument/2006/relationships/hyperlink" Target="https://docs.google.com/spreadsheets/d/1Dbrmv5omfqrHo9___4J_tCJmSfDOwlnc2VYXKcgsNUQ/edit?gid=2052560265" TargetMode="External"/><Relationship Id="rId110" Type="http://schemas.openxmlformats.org/officeDocument/2006/relationships/hyperlink" Target="https://docs.google.com/spreadsheets/d/1Y929AjDpybZjAyltHRzdQENUCpOdryw9moc2T2GVINg/edit?gid=2052560265" TargetMode="External"/><Relationship Id="rId231" Type="http://schemas.openxmlformats.org/officeDocument/2006/relationships/hyperlink" Target="https://docs.google.com/spreadsheets/d/1LfkQbt1rItvZbfrTW4sIJbOjW4dD7EKg9Fb54pLixGQ/edit?gid=2052560265" TargetMode="External"/><Relationship Id="rId352" Type="http://schemas.openxmlformats.org/officeDocument/2006/relationships/hyperlink" Target="https://docs.google.com/spreadsheets/d/1ox1k3tqNVTFt9BDxIVL-yCmcMbUkDKXFh0Zvj-Tu3p0/edit?gid=2052560265" TargetMode="External"/><Relationship Id="rId230" Type="http://schemas.openxmlformats.org/officeDocument/2006/relationships/hyperlink" Target="https://docs.google.com/spreadsheets/d/1khk_R7XdwCJCYKELiVKN3XpLVOfJPh0Xgqpv1TqAwTM/edit?gid=2052560265" TargetMode="External"/><Relationship Id="rId351" Type="http://schemas.openxmlformats.org/officeDocument/2006/relationships/hyperlink" Target="https://docs.google.com/spreadsheets/d/1z6GyB03ibDpdtjJQmPa15450UYWAkpt_jo0CgtXgDQc/edit?gid=2052560265" TargetMode="External"/><Relationship Id="rId350" Type="http://schemas.openxmlformats.org/officeDocument/2006/relationships/hyperlink" Target="https://docs.google.com/spreadsheets/d/1ykchpWBwAM1nBZJ6Ry0vUqJ_L5WptO20VCCFt_bXlbw/edit?gid=2052560265" TargetMode="External"/><Relationship Id="rId114" Type="http://schemas.openxmlformats.org/officeDocument/2006/relationships/hyperlink" Target="https://docs.google.com/spreadsheets/d/1veDMYc_gqi_gRcPD_nfbP7obENBsER_OORTaG6Ry6oc/edit?gid=2052560265" TargetMode="External"/><Relationship Id="rId235" Type="http://schemas.openxmlformats.org/officeDocument/2006/relationships/hyperlink" Target="https://docs.google.com/spreadsheets/d/19Vz4RuisdYJvTWl5Hy5RYbmtlhoi-m6rvZrVNincCNQ/edit?gid=2052560265" TargetMode="External"/><Relationship Id="rId356" Type="http://schemas.openxmlformats.org/officeDocument/2006/relationships/hyperlink" Target="https://docs.google.com/spreadsheets/d/14db3RgIWNoG2myMo6FKBsvRDB75yQdLPpinK4s405zA/edit?gid=2052560265" TargetMode="External"/><Relationship Id="rId113" Type="http://schemas.openxmlformats.org/officeDocument/2006/relationships/hyperlink" Target="https://docs.google.com/spreadsheets/d/1xKcR3aIZu2mCjjPxvW086qOIoORKqbCqysJ3LBJIDpw/edit?gid=2052560265" TargetMode="External"/><Relationship Id="rId234" Type="http://schemas.openxmlformats.org/officeDocument/2006/relationships/hyperlink" Target="https://docs.google.com/spreadsheets/d/1pMopFtUDNGhaHeDgzlLH009AjZIEhGEia8n29hb62A0/edit?gid=2052560265" TargetMode="External"/><Relationship Id="rId355" Type="http://schemas.openxmlformats.org/officeDocument/2006/relationships/hyperlink" Target="https://docs.google.com/spreadsheets/d/1xfFVhYe8RaBD3G1S6w2lBAlqwz9XnARGJHXXskMyQzU/edit?gid=2052560265" TargetMode="External"/><Relationship Id="rId112" Type="http://schemas.openxmlformats.org/officeDocument/2006/relationships/hyperlink" Target="https://docs.google.com/spreadsheets/d/1t6VvqClIvcOcCGaTCzoivfI2524-JzsmxqUk3C2aPG8/edit?gid=2052560265" TargetMode="External"/><Relationship Id="rId233" Type="http://schemas.openxmlformats.org/officeDocument/2006/relationships/hyperlink" Target="https://docs.google.com/spreadsheets/d/1eRommxKJWOd8V3hLCcZmngAmGSlojQlCIc9Q6Sh8Rr4/edit?gid=2052560265" TargetMode="External"/><Relationship Id="rId354" Type="http://schemas.openxmlformats.org/officeDocument/2006/relationships/hyperlink" Target="https://docs.google.com/spreadsheets/d/14JD1blA-KY4ICOtnUTDePfT5vieCp9mChshiKOAvpYg/edit?gid=2052560265" TargetMode="External"/><Relationship Id="rId111" Type="http://schemas.openxmlformats.org/officeDocument/2006/relationships/hyperlink" Target="https://docs.google.com/spreadsheets/d/1neQVrW8wqaOC_ODfBGmxK1N9qcF4bpDkxuT7wNHZ1EA/edit?gid=2052560265" TargetMode="External"/><Relationship Id="rId232" Type="http://schemas.openxmlformats.org/officeDocument/2006/relationships/hyperlink" Target="https://docs.google.com/spreadsheets/d/1nun07fw1rm5_aVBQ9yatfdaJRSMLyJ61FW7FVq8YMaw/edit?gid=2052560265" TargetMode="External"/><Relationship Id="rId353" Type="http://schemas.openxmlformats.org/officeDocument/2006/relationships/hyperlink" Target="https://docs.google.com/spreadsheets/d/1vjzFaonHafbDMJdRF1uX0mSLRjxSglJF0IObEjTchs0/edit?gid=2052560265" TargetMode="External"/><Relationship Id="rId305" Type="http://schemas.openxmlformats.org/officeDocument/2006/relationships/hyperlink" Target="https://drive.google.com/open?id=1ajSRw7kvPBJOFSFqWqI77O2vlYBP03FoAyNXHAibHc4&amp;usp=drive_copy" TargetMode="External"/><Relationship Id="rId426" Type="http://schemas.openxmlformats.org/officeDocument/2006/relationships/hyperlink" Target="https://docs.google.com/spreadsheets/d/10uIxybjkDGLio_zr7wtejjBCeNMgnT2kLotKEn0spWQ/edit?gid=2052560265" TargetMode="External"/><Relationship Id="rId304" Type="http://schemas.openxmlformats.org/officeDocument/2006/relationships/hyperlink" Target="https://drive.google.com/open?id=1xpdQF2mOe7gwSyc2eHgjxkEZ6JYUoLrcYI_CEpTQdvo&amp;usp=drive_copy" TargetMode="External"/><Relationship Id="rId425" Type="http://schemas.openxmlformats.org/officeDocument/2006/relationships/hyperlink" Target="https://docs.google.com/spreadsheets/d/1WbpPaDD9R0S5l0Jrnx79RGeAgPa99pS5Jud1lTGR5c0/edit?gid=2052560265" TargetMode="External"/><Relationship Id="rId303" Type="http://schemas.openxmlformats.org/officeDocument/2006/relationships/hyperlink" Target="https://drive.google.com/open?id=1a8T4omZkE1rCvhN6xPmVbvqKE28lnqwz20B3nMl14qE&amp;usp=drive_copy" TargetMode="External"/><Relationship Id="rId424" Type="http://schemas.openxmlformats.org/officeDocument/2006/relationships/hyperlink" Target="https://docs.google.com/spreadsheets/d/1BZIT8YepLRDvYJlWcfWT-37qVbiGqm3IVu3cxSERX0Q/edit?gid=2052560265" TargetMode="External"/><Relationship Id="rId302" Type="http://schemas.openxmlformats.org/officeDocument/2006/relationships/hyperlink" Target="https://drive.google.com/open?id=1edVokKeTHQWakAIXdQZgGpto3InoqRefyqa9lQ1425Y&amp;usp=drive_copy" TargetMode="External"/><Relationship Id="rId423" Type="http://schemas.openxmlformats.org/officeDocument/2006/relationships/hyperlink" Target="https://docs.google.com/spreadsheets/d/1lZ5lpt5WU63jMdkC5_KBgxUtna2XSVburlFT5ck2WoM/edit?gid=2052560265" TargetMode="External"/><Relationship Id="rId309" Type="http://schemas.openxmlformats.org/officeDocument/2006/relationships/hyperlink" Target="https://drive.google.com/open?id=1BZYGaV6IYpI-j1bPJld7Y1G_aaiSxLcK-zwUnjZCDrQ&amp;usp=drive_copy" TargetMode="External"/><Relationship Id="rId308" Type="http://schemas.openxmlformats.org/officeDocument/2006/relationships/hyperlink" Target="https://drive.google.com/open?id=1mSKEgeMQRecq5NKHZOPhLgSs2XhNjs_FDvd6F6pP18o&amp;usp=drive_copy" TargetMode="External"/><Relationship Id="rId429" Type="http://schemas.openxmlformats.org/officeDocument/2006/relationships/hyperlink" Target="https://docs.google.com/spreadsheets/d/1QhBEwJNZN0WN4QfL8Pl2NlgmfyL2nkAnorzlU6_uCh4/edit?gid=2052560265" TargetMode="External"/><Relationship Id="rId307" Type="http://schemas.openxmlformats.org/officeDocument/2006/relationships/hyperlink" Target="https://drive.google.com/open?id=1OGDG5cD854Su7rNOODdbkRQapS_T2eD-D0oETqsncxE&amp;usp=drive_copy" TargetMode="External"/><Relationship Id="rId428" Type="http://schemas.openxmlformats.org/officeDocument/2006/relationships/hyperlink" Target="https://docs.google.com/spreadsheets/d/1FIJ_RQ030ZtAFz_kWz64RHy-oJZLVFwQDpSeSIpL8l0/edit?gid=2052560265" TargetMode="External"/><Relationship Id="rId306" Type="http://schemas.openxmlformats.org/officeDocument/2006/relationships/hyperlink" Target="https://drive.google.com/open?id=1Q9rNUJnpO1mmOxs06ZIR05x3LMH5CE0b9zAHcsvnvnw&amp;usp=drive_copy" TargetMode="External"/><Relationship Id="rId427" Type="http://schemas.openxmlformats.org/officeDocument/2006/relationships/hyperlink" Target="https://docs.google.com/spreadsheets/d/1V6C7l1zEiXGA_eP_V0i4UIXKxV6Gi9foS8z9NBzZm8o/edit?gid=2052560265" TargetMode="External"/><Relationship Id="rId301" Type="http://schemas.openxmlformats.org/officeDocument/2006/relationships/hyperlink" Target="https://drive.google.com/open?id=1W-g0FyxHi75prCxy3ZEM3JrqraCzxsf2pL7PFpFG7So&amp;usp=drive_copy" TargetMode="External"/><Relationship Id="rId422" Type="http://schemas.openxmlformats.org/officeDocument/2006/relationships/hyperlink" Target="https://docs.google.com/spreadsheets/d/1Sq-FWm0_h63YtziJfPOw_mv-Wne-NeSXro6Kx-424zU/edit?gid=2052560265" TargetMode="External"/><Relationship Id="rId300" Type="http://schemas.openxmlformats.org/officeDocument/2006/relationships/hyperlink" Target="https://docs.google.com/spreadsheets/d/1UEyYJUtQN31K1IBd4I_CLcUBvotWUpOuFgQuiTxXlUE/edit?gid=2052560265" TargetMode="External"/><Relationship Id="rId421" Type="http://schemas.openxmlformats.org/officeDocument/2006/relationships/hyperlink" Target="https://docs.google.com/spreadsheets/d/1oOMK5lEBdvQ49v3tqkHf0cgpicXKsIqeGl5uphonFeA/edit?gid=2052560265" TargetMode="External"/><Relationship Id="rId420" Type="http://schemas.openxmlformats.org/officeDocument/2006/relationships/hyperlink" Target="https://docs.google.com/spreadsheets/d/17dSptG-tVNhGYFJj5SoUjy8sUwqTKKeHIzSVTMimX34/edit?gid=2052560265" TargetMode="External"/><Relationship Id="rId415" Type="http://schemas.openxmlformats.org/officeDocument/2006/relationships/hyperlink" Target="https://docs.google.com/spreadsheets/d/1lZ5lpt5WU63jMdkC5_KBgxUtna2XSVburlFT5ck2WoM/edit?gid=2052560265" TargetMode="External"/><Relationship Id="rId414" Type="http://schemas.openxmlformats.org/officeDocument/2006/relationships/hyperlink" Target="https://docs.google.com/spreadsheets/d/1WeKfWH4ZCGbZSnasClyxcp2w57JF4wle5WALSYbpXyA/edit?gid=2052560265" TargetMode="External"/><Relationship Id="rId413" Type="http://schemas.openxmlformats.org/officeDocument/2006/relationships/hyperlink" Target="https://docs.google.com/spreadsheets/d/1xqs2zqzwYhfX7KcBR60omF_z_v2B8UnGV8X5qVxnCu0/edit?gid=2052560265" TargetMode="External"/><Relationship Id="rId412" Type="http://schemas.openxmlformats.org/officeDocument/2006/relationships/hyperlink" Target="https://docs.google.com/spreadsheets/d/1MblnVlrl8-rHFtKSQhXxHb-Su9tlFg64VvwOS8Zy86g/edit?gid=2052560265" TargetMode="External"/><Relationship Id="rId419" Type="http://schemas.openxmlformats.org/officeDocument/2006/relationships/hyperlink" Target="https://docs.google.com/spreadsheets/d/17y7tqB-WkySjueCfMshbznfK7giFk8dl61UgcacAg2E/edit?gid=2052560265" TargetMode="External"/><Relationship Id="rId418" Type="http://schemas.openxmlformats.org/officeDocument/2006/relationships/hyperlink" Target="https://docs.google.com/spreadsheets/d/1T_4PxHFzxrSkI23N_ttE6EMA7GzoBl6MQSmTSEFoi-o/edit?gid=2052560265" TargetMode="External"/><Relationship Id="rId417" Type="http://schemas.openxmlformats.org/officeDocument/2006/relationships/hyperlink" Target="https://docs.google.com/spreadsheets/d/1WeKfWH4ZCGbZSnasClyxcp2w57JF4wle5WALSYbpXyA/edit?gid=2052560265" TargetMode="External"/><Relationship Id="rId416" Type="http://schemas.openxmlformats.org/officeDocument/2006/relationships/hyperlink" Target="https://docs.google.com/spreadsheets/d/1BZIT8YepLRDvYJlWcfWT-37qVbiGqm3IVu3cxSERX0Q/edit?gid=2052560265" TargetMode="External"/><Relationship Id="rId411" Type="http://schemas.openxmlformats.org/officeDocument/2006/relationships/hyperlink" Target="https://drive.google.com/open?id=1KtMF5M26wW4nhxTJ8AUFYP_Bv4i7CFHiFnNv0pgxJgc&amp;usp=drive_copy" TargetMode="External"/><Relationship Id="rId410" Type="http://schemas.openxmlformats.org/officeDocument/2006/relationships/hyperlink" Target="https://docs.google.com/spreadsheets/d/1dGprDF5h-PygAmPR5gcdl2ErCVjz1TeHqHL-yPdy6AI/edit?gid=2052560265" TargetMode="External"/><Relationship Id="rId206" Type="http://schemas.openxmlformats.org/officeDocument/2006/relationships/hyperlink" Target="https://drive.google.com/open?id=1lU_914elltFbrT3v-Gots08Zg6zjy0n1pe4Is5C0FsQ&amp;usp=drive_copy" TargetMode="External"/><Relationship Id="rId327" Type="http://schemas.openxmlformats.org/officeDocument/2006/relationships/hyperlink" Target="https://docs.google.com/spreadsheets/d/1ZOI6a4F5c2Eqai4cQlMKAfLXoauY6c1YNoH3iyLO_2M/edit?gid=2052560265" TargetMode="External"/><Relationship Id="rId205" Type="http://schemas.openxmlformats.org/officeDocument/2006/relationships/hyperlink" Target="https://docs.google.com/spreadsheets/d/1FF6L-aPm78smcBKXNfNoelmX00uFyoc_ttJRyaZLVns/edit?gid=2052560265" TargetMode="External"/><Relationship Id="rId326" Type="http://schemas.openxmlformats.org/officeDocument/2006/relationships/hyperlink" Target="https://docs.google.com/spreadsheets/d/1sBIczDbX6usYVgC5x0JLt12udR6KUNPO-3rzHSehKoU/edit?gid=2052560265" TargetMode="External"/><Relationship Id="rId204" Type="http://schemas.openxmlformats.org/officeDocument/2006/relationships/hyperlink" Target="https://drive.google.com/open?id=1XnO2I5epe8tYJxjuuIqV2r9WVD_cMENLXPlmdov2_jE&amp;usp=drive_copy" TargetMode="External"/><Relationship Id="rId325" Type="http://schemas.openxmlformats.org/officeDocument/2006/relationships/hyperlink" Target="https://docs.google.com/spreadsheets/d/17mMopDB3w2dc3ArLOHLE_TAtAHxnTCQraxERSNoDdu0/edit?gid=2052560265" TargetMode="External"/><Relationship Id="rId203" Type="http://schemas.openxmlformats.org/officeDocument/2006/relationships/hyperlink" Target="https://docs.google.com/spreadsheets/d/13yHemLTsogBGyp3n-v9ynOtorP5hVq4VnsFd2BnaRO4/edit?gid=2052560265" TargetMode="External"/><Relationship Id="rId324" Type="http://schemas.openxmlformats.org/officeDocument/2006/relationships/hyperlink" Target="https://docs.google.com/spreadsheets/d/1H7wJ6dowlxJb7hFJiZY6ibPgANYfMbudzQ1YGfaV_sQ/edit?gid=2052560265" TargetMode="External"/><Relationship Id="rId209" Type="http://schemas.openxmlformats.org/officeDocument/2006/relationships/hyperlink" Target="https://docs.google.com/spreadsheets/d/1Jvkwq-zr5Hz5VZFoAJsje45vdHjO278Y_3P2C4pk4JU/edit?gid=2052560265" TargetMode="External"/><Relationship Id="rId208" Type="http://schemas.openxmlformats.org/officeDocument/2006/relationships/hyperlink" Target="https://drive.google.com/open?id=1TjY-p9nm8slZaPw9b3Iq6L3zE3JjLdXbKU7cCXKODMc&amp;usp=drive_copy" TargetMode="External"/><Relationship Id="rId329" Type="http://schemas.openxmlformats.org/officeDocument/2006/relationships/hyperlink" Target="https://docs.google.com/spreadsheets/d/1J1Rrz-UMrZNhpRumLNp2SLJVO-drmu9atdxqYGsBTnw/edit?gid=2052560265" TargetMode="External"/><Relationship Id="rId207" Type="http://schemas.openxmlformats.org/officeDocument/2006/relationships/hyperlink" Target="https://docs.google.com/spreadsheets/d/1t11qWtlhVIUnY5pdx7Gu5IthDO32R7C5o-nICvNroZU/edit?gid=2052560265" TargetMode="External"/><Relationship Id="rId328" Type="http://schemas.openxmlformats.org/officeDocument/2006/relationships/hyperlink" Target="https://docs.google.com/spreadsheets/d/1E_42JzTH9YWHD6h01TBYgqLBlVkbozZr60zhXTlaLsQ/edit?gid=2052560265" TargetMode="External"/><Relationship Id="rId440" Type="http://schemas.openxmlformats.org/officeDocument/2006/relationships/hyperlink" Target="https://docs.google.com/spreadsheets/d/1V6C7l1zEiXGA_eP_V0i4UIXKxV6Gi9foS8z9NBzZm8o/edit?gid=2052560265" TargetMode="External"/><Relationship Id="rId202" Type="http://schemas.openxmlformats.org/officeDocument/2006/relationships/hyperlink" Target="https://drive.google.com/open?id=12xfkM9cowsb-qBE88emHUcl5dbmDD6sR8a-LFY05d7w&amp;usp=drive_copy" TargetMode="External"/><Relationship Id="rId323" Type="http://schemas.openxmlformats.org/officeDocument/2006/relationships/hyperlink" Target="https://docs.google.com/spreadsheets/d/1GalnD1e0w00pgESitLpeoRWZdxSxlL6p0xO00o2zAD4/edit?gid=2052560265" TargetMode="External"/><Relationship Id="rId444" Type="http://schemas.openxmlformats.org/officeDocument/2006/relationships/drawing" Target="../drawings/drawing4.xml"/><Relationship Id="rId201" Type="http://schemas.openxmlformats.org/officeDocument/2006/relationships/hyperlink" Target="https://drive.google.com/open?id=1ci12qDSbwmtegAm4a4LpBjSj7V2Z711Ns0xDIUk-HJk&amp;usp=drive_copy" TargetMode="External"/><Relationship Id="rId322" Type="http://schemas.openxmlformats.org/officeDocument/2006/relationships/hyperlink" Target="https://docs.google.com/spreadsheets/d/19dkKIJIAimpEuuzbQo9Y0YyvwGCdmE3szq5XDdzUIjM/edit?gid=2052560265" TargetMode="External"/><Relationship Id="rId443" Type="http://schemas.openxmlformats.org/officeDocument/2006/relationships/hyperlink" Target="https://docs.google.com/spreadsheets/d/1Sq-FWm0_h63YtziJfPOw_mv-Wne-NeSXro6Kx-424zU/edit?gid=2052560265" TargetMode="External"/><Relationship Id="rId200" Type="http://schemas.openxmlformats.org/officeDocument/2006/relationships/hyperlink" Target="https://drive.google.com/open?id=1YBjUVdMpZL4abepJ-p3ML5IJOLfr1fMsaE97MTpiS3Q&amp;usp=drive_copy" TargetMode="External"/><Relationship Id="rId321" Type="http://schemas.openxmlformats.org/officeDocument/2006/relationships/hyperlink" Target="https://docs.google.com/spreadsheets/d/1J1Rrz-UMrZNhpRumLNp2SLJVO-drmu9atdxqYGsBTnw/edit?gid=2052560265" TargetMode="External"/><Relationship Id="rId442" Type="http://schemas.openxmlformats.org/officeDocument/2006/relationships/hyperlink" Target="https://docs.google.com/spreadsheets/d/1oOMK5lEBdvQ49v3tqkHf0cgpicXKsIqeGl5uphonFeA/edit?gid=2052560265" TargetMode="External"/><Relationship Id="rId320" Type="http://schemas.openxmlformats.org/officeDocument/2006/relationships/hyperlink" Target="https://docs.google.com/spreadsheets/d/1E_42JzTH9YWHD6h01TBYgqLBlVkbozZr60zhXTlaLsQ/edit?gid=2052560265" TargetMode="External"/><Relationship Id="rId441" Type="http://schemas.openxmlformats.org/officeDocument/2006/relationships/hyperlink" Target="https://docs.google.com/spreadsheets/d/17y7tqB-WkySjueCfMshbznfK7giFk8dl61UgcacAg2E/edit?gid=2052560265" TargetMode="External"/><Relationship Id="rId316" Type="http://schemas.openxmlformats.org/officeDocument/2006/relationships/hyperlink" Target="https://docs.google.com/spreadsheets/d/10SQNw_mQQV_kjWjdqujjKwnelvsYKMTv4RKEmaknAHg/edit?gid=2052560265" TargetMode="External"/><Relationship Id="rId437" Type="http://schemas.openxmlformats.org/officeDocument/2006/relationships/hyperlink" Target="https://docs.google.com/spreadsheets/d/1lQQ4x7knqB4j23L8PFAkdzc7wWzyD79woGG5GydPiNM/edit?gid=2052560265" TargetMode="External"/><Relationship Id="rId315" Type="http://schemas.openxmlformats.org/officeDocument/2006/relationships/hyperlink" Target="https://docs.google.com/spreadsheets/d/19ek6dtgf2mxB2ufTrWgeJ3OF6GcL7PNvvO81hcTmloQ/edit?gid=2052560265" TargetMode="External"/><Relationship Id="rId436" Type="http://schemas.openxmlformats.org/officeDocument/2006/relationships/hyperlink" Target="https://docs.google.com/spreadsheets/d/1YidflkUK8QQVHfW2nJeVlLA5nxOrPM63gx6uEYohp58/edit?gid=2052560265" TargetMode="External"/><Relationship Id="rId314" Type="http://schemas.openxmlformats.org/officeDocument/2006/relationships/hyperlink" Target="https://docs.google.com/spreadsheets/d/1vVOZ__gLSjctK3nNHhRhN3NW1RYd3G4lni1pxpQ2O3s/edit?gid=2052560265" TargetMode="External"/><Relationship Id="rId435" Type="http://schemas.openxmlformats.org/officeDocument/2006/relationships/hyperlink" Target="https://docs.google.com/spreadsheets/d/1apEkxlXhYS9BqZFmGEMuU2rg9Af9RfhT2-vh2qCLouk/edit?gid=2052560265" TargetMode="External"/><Relationship Id="rId313" Type="http://schemas.openxmlformats.org/officeDocument/2006/relationships/hyperlink" Target="https://drive.google.com/open?id=1mSKEgeMQRecq5NKHZOPhLgSs2XhNjs_FDvd6F6pP18o&amp;usp=drive_copy" TargetMode="External"/><Relationship Id="rId434" Type="http://schemas.openxmlformats.org/officeDocument/2006/relationships/hyperlink" Target="https://drive.google.com/file/d/1BUnjjvCp5NcEaT6NrMZy-O3iN-lIpAlT/view?usp=sharing" TargetMode="External"/><Relationship Id="rId319" Type="http://schemas.openxmlformats.org/officeDocument/2006/relationships/hyperlink" Target="https://docs.google.com/spreadsheets/d/1ZOI6a4F5c2Eqai4cQlMKAfLXoauY6c1YNoH3iyLO_2M/edit?gid=2052560265" TargetMode="External"/><Relationship Id="rId318" Type="http://schemas.openxmlformats.org/officeDocument/2006/relationships/hyperlink" Target="https://docs.google.com/spreadsheets/d/17mMopDB3w2dc3ArLOHLE_TAtAHxnTCQraxERSNoDdu0/edit?gid=2052560265" TargetMode="External"/><Relationship Id="rId439" Type="http://schemas.openxmlformats.org/officeDocument/2006/relationships/hyperlink" Target="https://docs.google.com/spreadsheets/d/1T_4PxHFzxrSkI23N_ttE6EMA7GzoBl6MQSmTSEFoi-o/edit?gid=2052560265" TargetMode="External"/><Relationship Id="rId317" Type="http://schemas.openxmlformats.org/officeDocument/2006/relationships/hyperlink" Target="https://docs.google.com/spreadsheets/d/145L1dlGlPlB5YSB_Xd6CW2TlH83CeWhP6dyArhLCeKE/edit?gid=2052560265" TargetMode="External"/><Relationship Id="rId438" Type="http://schemas.openxmlformats.org/officeDocument/2006/relationships/hyperlink" Target="https://docs.google.com/spreadsheets/d/1vLa8dYSt0TrMYo-uvCOMQj3VyYaAnlmZ04hS094U8vQ/edit?gid=2052560265" TargetMode="External"/><Relationship Id="rId312" Type="http://schemas.openxmlformats.org/officeDocument/2006/relationships/hyperlink" Target="https://drive.google.com/open?id=1OGDG5cD854Su7rNOODdbkRQapS_T2eD-D0oETqsncxE&amp;usp=drive_copy" TargetMode="External"/><Relationship Id="rId433" Type="http://schemas.openxmlformats.org/officeDocument/2006/relationships/hyperlink" Target="https://docs.google.com/spreadsheets/d/1rtEDdqGUWogns6hLKF5hdGMrHUvcKPXE9TQXi6yKoRg/edit?gid=2052560265" TargetMode="External"/><Relationship Id="rId311" Type="http://schemas.openxmlformats.org/officeDocument/2006/relationships/hyperlink" Target="https://drive.google.com/open?id=1Q9rNUJnpO1mmOxs06ZIR05x3LMH5CE0b9zAHcsvnvnw&amp;usp=drive_copy" TargetMode="External"/><Relationship Id="rId432" Type="http://schemas.openxmlformats.org/officeDocument/2006/relationships/hyperlink" Target="https://docs.google.com/spreadsheets/d/1Cca9T5qKYF-wyTtWPNDsV4DWaQtOIc7wcIG_ra4FSjY/edit?gid=2052560265" TargetMode="External"/><Relationship Id="rId310" Type="http://schemas.openxmlformats.org/officeDocument/2006/relationships/hyperlink" Target="https://drive.google.com/open?id=1ajSRw7kvPBJOFSFqWqI77O2vlYBP03FoAyNXHAibHc4&amp;usp=drive_copy" TargetMode="External"/><Relationship Id="rId431" Type="http://schemas.openxmlformats.org/officeDocument/2006/relationships/hyperlink" Target="https://docs.google.com/spreadsheets/d/1vLa8dYSt0TrMYo-uvCOMQj3VyYaAnlmZ04hS094U8vQ/edit?gid=2052560265" TargetMode="External"/><Relationship Id="rId430" Type="http://schemas.openxmlformats.org/officeDocument/2006/relationships/hyperlink" Target="https://docs.google.com/spreadsheets/d/1rtEDdqGUWogns6hLKF5hdGMrHUvcKPXE9TQXi6yKoRg/edit?gid=2052560265"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4.43" defaultRowHeight="15.0"/>
  <cols>
    <col customWidth="1" min="1" max="1" width="32.43"/>
    <col customWidth="1" min="2" max="2" width="26.57"/>
    <col customWidth="1" min="3" max="3" width="18.57"/>
    <col customWidth="1" min="5" max="5" width="32.29"/>
    <col customWidth="1" min="7" max="7" width="28.14"/>
    <col customWidth="1" min="8" max="8" width="26.14"/>
  </cols>
  <sheetData>
    <row r="1">
      <c r="A1" s="1" t="s">
        <v>0</v>
      </c>
    </row>
    <row r="2">
      <c r="A2" s="2" t="s">
        <v>1</v>
      </c>
    </row>
    <row r="3">
      <c r="A3" s="3"/>
      <c r="B3" s="3"/>
      <c r="C3" s="3"/>
      <c r="D3" s="3"/>
      <c r="E3" s="3"/>
      <c r="F3" s="3"/>
      <c r="G3" s="3"/>
      <c r="H3" s="3"/>
    </row>
    <row r="4">
      <c r="A4" s="4" t="s">
        <v>2</v>
      </c>
    </row>
    <row r="5">
      <c r="A5" s="5" t="s">
        <v>3</v>
      </c>
      <c r="C5" s="5" t="s">
        <v>4</v>
      </c>
      <c r="E5" s="6" t="s">
        <v>5</v>
      </c>
      <c r="G5" s="6" t="s">
        <v>6</v>
      </c>
      <c r="K5" s="7">
        <f>IFERROR(COUNTIF(ATTENDANCE_LOG!$G:$G,"Present")/(COUNTIF(ATTENDANCE_LOG!$G:$G,"Present")+COUNTIF(ATTENDANCE_LOG!$G:$G,"Absent")),0)</f>
        <v>0.8638751791</v>
      </c>
      <c r="L5" s="7"/>
    </row>
    <row r="6">
      <c r="A6" s="8">
        <f>COUNTIF(STUDENTS!E:E,"Active")</f>
        <v>102</v>
      </c>
      <c r="C6" s="7">
        <f>IFERROR(COUNTIF(ATTENDANCE_LOG!$G:$G,"Present")/(COUNTIF(ATTENDANCE_LOG!$G:$G,"Present")+COUNTIF(ATTENDANCE_LOG!$G:$G,"Absent")),0)</f>
        <v>0.8638751791</v>
      </c>
      <c r="E6" s="9">
        <f>IFERROR(__xludf.DUMMYFUNCTION("(A6+A9+C9)+COUNTUNIQUE(STUDENTS!A2:A309)-COUNTUNIQUE(STUDENTS!A2:A309)"),308.0)</f>
        <v>308</v>
      </c>
      <c r="G6" s="10">
        <f>COUNTIF(STUDENTS!L:L,"✅ Completed")</f>
        <v>106</v>
      </c>
      <c r="I6" s="11">
        <f>IFERROR(__xludf.DUMMYFUNCTION("COUNTUNIQUE(STUDENTS!A2:A309)"),308.0)</f>
        <v>308</v>
      </c>
      <c r="J6" s="12">
        <f>A6+A9+C9</f>
        <v>308</v>
      </c>
    </row>
    <row r="7">
      <c r="A7" s="13" t="str">
        <f>" out of "&amp;(COUNTIF(STUDENTS!E:E,"Active")+COUNTIF(STUDENTS!E:E,"Inactive")+COUNTIF(STUDENTS!E:E,"Waiting for class"))&amp;" total"</f>
        <v> out of 308 total</v>
      </c>
      <c r="C7" s="13" t="str">
        <f>COUNTIF(ATTENDANCE_LOG!G:G,"Present")&amp;" / "&amp;(COUNTIF(ATTENDANCE_LOG!G:G,"Present")+COUNTIF(ATTENDANCE_LOG!G:G,"Absent"))&amp;" sessions"</f>
        <v>5426 / 6281 sessions</v>
      </c>
      <c r="E7" s="13"/>
      <c r="G7" s="13"/>
    </row>
    <row r="8">
      <c r="A8" s="5" t="s">
        <v>7</v>
      </c>
      <c r="C8" s="5" t="s">
        <v>8</v>
      </c>
      <c r="E8" s="6" t="s">
        <v>9</v>
      </c>
      <c r="G8" s="6" t="s">
        <v>10</v>
      </c>
    </row>
    <row r="9">
      <c r="A9" s="8">
        <f>COUNTIF(STUDENTS!E:E,"Inactive")</f>
        <v>195</v>
      </c>
      <c r="C9" s="8">
        <f>COUNTIF(STUDENTS!E:E,"Waiting for class")</f>
        <v>11</v>
      </c>
      <c r="E9" s="10">
        <f>COUNTIF(STUDENTS!$L:$L,"⚠ Check")</f>
        <v>21</v>
      </c>
      <c r="G9" s="10">
        <f>COUNTIF(STUDENTS!$L:$L,"❌ Dropped")</f>
        <v>89</v>
      </c>
    </row>
    <row r="10">
      <c r="A10" s="13" t="s">
        <v>11</v>
      </c>
      <c r="C10" s="13" t="s">
        <v>12</v>
      </c>
      <c r="E10" s="13" t="s">
        <v>13</v>
      </c>
      <c r="G10" s="13"/>
    </row>
    <row r="11">
      <c r="A11" s="14"/>
      <c r="B11" s="14"/>
      <c r="C11" s="14"/>
      <c r="D11" s="14"/>
      <c r="E11" s="14"/>
      <c r="F11" s="14"/>
      <c r="G11" s="14"/>
      <c r="H11" s="14"/>
    </row>
    <row r="12">
      <c r="A12" s="15" t="s">
        <v>14</v>
      </c>
      <c r="J12" s="16">
        <v>304.0</v>
      </c>
      <c r="K12" s="17">
        <f t="shared" ref="K12:K14" si="1">J12/1200</f>
        <v>0.2533333333</v>
      </c>
    </row>
    <row r="13">
      <c r="A13" s="18" t="s">
        <v>15</v>
      </c>
      <c r="B13" s="18" t="s">
        <v>16</v>
      </c>
      <c r="C13" s="18" t="s">
        <v>17</v>
      </c>
      <c r="D13" s="18" t="s">
        <v>18</v>
      </c>
      <c r="E13" s="18" t="s">
        <v>19</v>
      </c>
      <c r="F13" s="18" t="s">
        <v>20</v>
      </c>
      <c r="G13" s="19" t="s">
        <v>21</v>
      </c>
      <c r="H13" s="20"/>
      <c r="J13" s="16">
        <v>105.0</v>
      </c>
      <c r="K13" s="17">
        <f t="shared" si="1"/>
        <v>0.0875</v>
      </c>
    </row>
    <row r="14">
      <c r="A14" s="21" t="s">
        <v>22</v>
      </c>
      <c r="B14" s="22">
        <f>COUNTIFS(STUDENTS!G:G,A14,STUDENTS!E:E,"Active")</f>
        <v>33</v>
      </c>
      <c r="C14" s="22">
        <f>COUNTIFS(STUDENTS!G:G,A14,STUDENTS!E:E,"Inactive")</f>
        <v>94</v>
      </c>
      <c r="D14" s="22">
        <f>COUNTIFS(STUDENTS!G:G,A14,STUDENTS!E:E,"Waiting for class")</f>
        <v>4</v>
      </c>
      <c r="E14" s="22">
        <f t="shared" ref="E14:E19" si="2">B14+C14+D14</f>
        <v>131</v>
      </c>
      <c r="F14" s="23">
        <f t="shared" ref="F14:F19" si="3">IFERROR(B14/$B$20,0)</f>
        <v>0.3235294118</v>
      </c>
      <c r="G14" s="24" t="str">
        <f t="shared" ref="G14:G19" si="4">IF($B$20=0,"",REPT("█",ROUND(B14/MAX($B$14:$B$19)*20,0)))</f>
        <v>████████████████████</v>
      </c>
      <c r="H14" s="20"/>
      <c r="J14" s="16">
        <f>J12-J13</f>
        <v>199</v>
      </c>
      <c r="K14" s="17">
        <f t="shared" si="1"/>
        <v>0.1658333333</v>
      </c>
    </row>
    <row r="15">
      <c r="A15" s="25" t="s">
        <v>23</v>
      </c>
      <c r="B15" s="26">
        <f>COUNTIFS(STUDENTS!G:G,A15,STUDENTS!E:E,"Active")</f>
        <v>15</v>
      </c>
      <c r="C15" s="26">
        <f>COUNTIFS(STUDENTS!G:G,A15,STUDENTS!E:E,"Inactive")</f>
        <v>75</v>
      </c>
      <c r="D15" s="26">
        <f>COUNTIFS(STUDENTS!G:G,A15,STUDENTS!E:E,"Waiting for class")</f>
        <v>7</v>
      </c>
      <c r="E15" s="26">
        <f t="shared" si="2"/>
        <v>97</v>
      </c>
      <c r="F15" s="27">
        <f t="shared" si="3"/>
        <v>0.1470588235</v>
      </c>
      <c r="G15" s="28" t="str">
        <f t="shared" si="4"/>
        <v>█████████</v>
      </c>
      <c r="H15" s="20"/>
    </row>
    <row r="16">
      <c r="A16" s="21" t="s">
        <v>24</v>
      </c>
      <c r="B16" s="22">
        <f>COUNTIFS(STUDENTS!G:G,A16,STUDENTS!E:E,"Active")</f>
        <v>14</v>
      </c>
      <c r="C16" s="22">
        <f>COUNTIFS(STUDENTS!G:G,A16,STUDENTS!E:E,"Inactive")</f>
        <v>7</v>
      </c>
      <c r="D16" s="22">
        <f>COUNTIFS(STUDENTS!G:G,A16,STUDENTS!E:E,"Waiting for class")</f>
        <v>0</v>
      </c>
      <c r="E16" s="22">
        <f t="shared" si="2"/>
        <v>21</v>
      </c>
      <c r="F16" s="23">
        <f t="shared" si="3"/>
        <v>0.137254902</v>
      </c>
      <c r="G16" s="24" t="str">
        <f t="shared" si="4"/>
        <v>████████</v>
      </c>
      <c r="H16" s="20"/>
    </row>
    <row r="17">
      <c r="A17" s="25" t="s">
        <v>25</v>
      </c>
      <c r="B17" s="26">
        <f>COUNTIFS(STUDENTS!G:G,A17,STUDENTS!E:E,"Active")</f>
        <v>16</v>
      </c>
      <c r="C17" s="26">
        <f>COUNTIFS(STUDENTS!G:G,A17,STUDENTS!E:E,"Inactive")</f>
        <v>12</v>
      </c>
      <c r="D17" s="26">
        <f>COUNTIFS(STUDENTS!G:G,A17,STUDENTS!E:E,"Waiting for class")</f>
        <v>0</v>
      </c>
      <c r="E17" s="26">
        <f t="shared" si="2"/>
        <v>28</v>
      </c>
      <c r="F17" s="27">
        <f t="shared" si="3"/>
        <v>0.1568627451</v>
      </c>
      <c r="G17" s="28" t="str">
        <f t="shared" si="4"/>
        <v>██████████</v>
      </c>
      <c r="H17" s="20"/>
    </row>
    <row r="18">
      <c r="A18" s="21" t="s">
        <v>26</v>
      </c>
      <c r="B18" s="22">
        <f>COUNTIFS(STUDENTS!G:G,A18,STUDENTS!E:E,"Active")</f>
        <v>21</v>
      </c>
      <c r="C18" s="22">
        <f>COUNTIFS(STUDENTS!G:G,A18,STUDENTS!E:E,"Inactive")</f>
        <v>7</v>
      </c>
      <c r="D18" s="22">
        <f>COUNTIFS(STUDENTS!G:G,A18,STUDENTS!E:E,"Waiting for class")</f>
        <v>0</v>
      </c>
      <c r="E18" s="22">
        <f t="shared" si="2"/>
        <v>28</v>
      </c>
      <c r="F18" s="23">
        <f t="shared" si="3"/>
        <v>0.2058823529</v>
      </c>
      <c r="G18" s="24" t="str">
        <f t="shared" si="4"/>
        <v>█████████████</v>
      </c>
      <c r="H18" s="20"/>
    </row>
    <row r="19">
      <c r="A19" s="25" t="s">
        <v>27</v>
      </c>
      <c r="B19" s="26">
        <f>COUNTIFS(STUDENTS!G:G,A19,STUDENTS!E:E,"Active")</f>
        <v>3</v>
      </c>
      <c r="C19" s="26">
        <f>COUNTIFS(STUDENTS!G:G,A19,STUDENTS!E:E,"Inactive")</f>
        <v>0</v>
      </c>
      <c r="D19" s="26">
        <f>COUNTIFS(STUDENTS!G:G,A19,STUDENTS!E:E,"Waiting for class")</f>
        <v>0</v>
      </c>
      <c r="E19" s="26">
        <f t="shared" si="2"/>
        <v>3</v>
      </c>
      <c r="F19" s="27">
        <f t="shared" si="3"/>
        <v>0.02941176471</v>
      </c>
      <c r="G19" s="28" t="str">
        <f t="shared" si="4"/>
        <v>██</v>
      </c>
      <c r="H19" s="20"/>
    </row>
    <row r="20">
      <c r="A20" s="29" t="s">
        <v>28</v>
      </c>
      <c r="B20" s="30">
        <f t="shared" ref="B20:E20" si="5">SUM(B14:B19)</f>
        <v>102</v>
      </c>
      <c r="C20" s="30">
        <f t="shared" si="5"/>
        <v>195</v>
      </c>
      <c r="D20" s="30">
        <f t="shared" si="5"/>
        <v>11</v>
      </c>
      <c r="E20" s="30">
        <f t="shared" si="5"/>
        <v>308</v>
      </c>
      <c r="F20" s="31">
        <f>IFERROR(B20/E20,0)</f>
        <v>0.3311688312</v>
      </c>
      <c r="G20" s="32"/>
      <c r="H20" s="20"/>
    </row>
    <row r="21">
      <c r="A21" s="14"/>
      <c r="B21" s="14"/>
      <c r="C21" s="14"/>
      <c r="D21" s="14"/>
      <c r="E21" s="14"/>
      <c r="F21" s="14"/>
      <c r="G21" s="14"/>
      <c r="H21" s="14"/>
    </row>
    <row r="22">
      <c r="A22" s="33" t="s">
        <v>29</v>
      </c>
    </row>
    <row r="23">
      <c r="A23" s="18" t="s">
        <v>30</v>
      </c>
      <c r="B23" s="18" t="s">
        <v>31</v>
      </c>
      <c r="C23" s="19" t="s">
        <v>32</v>
      </c>
      <c r="D23" s="20"/>
      <c r="E23" s="18" t="s">
        <v>33</v>
      </c>
      <c r="F23" s="18" t="s">
        <v>31</v>
      </c>
      <c r="G23" s="19" t="s">
        <v>32</v>
      </c>
      <c r="H23" s="20"/>
    </row>
    <row r="24">
      <c r="A24" s="21" t="s">
        <v>34</v>
      </c>
      <c r="B24" s="22">
        <f>COUNTIF(STUDENTS!N:N,A24)</f>
        <v>102</v>
      </c>
      <c r="C24" s="34">
        <f t="shared" ref="C24:C29" si="6">IFERROR(B24/SUM($B$24:$B$29),0)</f>
        <v>0.5284974093</v>
      </c>
      <c r="D24" s="20"/>
      <c r="E24" s="21" t="s">
        <v>35</v>
      </c>
      <c r="F24" s="22">
        <f>COUNTIF(STUDENTS!M:M,E24)</f>
        <v>106</v>
      </c>
      <c r="G24" s="34">
        <f t="shared" ref="G24:G27" si="7">IFERROR(F24/SUM($F$24:$F$27),0)</f>
        <v>0.5435897436</v>
      </c>
      <c r="H24" s="20"/>
    </row>
    <row r="25">
      <c r="A25" s="25" t="s">
        <v>36</v>
      </c>
      <c r="B25" s="26">
        <f>COUNTIF(STUDENTS!N:N,A25)</f>
        <v>25</v>
      </c>
      <c r="C25" s="34">
        <f t="shared" si="6"/>
        <v>0.1295336788</v>
      </c>
      <c r="D25" s="20"/>
      <c r="E25" s="25" t="s">
        <v>37</v>
      </c>
      <c r="F25" s="26">
        <f>COUNTIF(STUDENTS!M:M,E25)</f>
        <v>89</v>
      </c>
      <c r="G25" s="35">
        <f t="shared" si="7"/>
        <v>0.4564102564</v>
      </c>
      <c r="H25" s="20"/>
    </row>
    <row r="26">
      <c r="A26" s="21" t="s">
        <v>38</v>
      </c>
      <c r="B26" s="22">
        <f>COUNTIF(STUDENTS!N:N,A26)</f>
        <v>42</v>
      </c>
      <c r="C26" s="34">
        <f t="shared" si="6"/>
        <v>0.2176165803</v>
      </c>
      <c r="D26" s="20"/>
      <c r="E26" s="21" t="s">
        <v>39</v>
      </c>
      <c r="F26" s="22">
        <f>COUNTIF(STUDENTS!M:M,E26)</f>
        <v>0</v>
      </c>
      <c r="G26" s="34">
        <f t="shared" si="7"/>
        <v>0</v>
      </c>
      <c r="H26" s="20"/>
    </row>
    <row r="27">
      <c r="A27" s="25" t="s">
        <v>40</v>
      </c>
      <c r="B27" s="26">
        <f>COUNTIF(STUDENTS!N:N,A27)</f>
        <v>5</v>
      </c>
      <c r="C27" s="34">
        <f t="shared" si="6"/>
        <v>0.02590673575</v>
      </c>
      <c r="D27" s="20"/>
      <c r="E27" s="25" t="s">
        <v>41</v>
      </c>
      <c r="F27" s="26">
        <f>COUNTIF(STUDENTS!M:M,E27)</f>
        <v>0</v>
      </c>
      <c r="G27" s="35">
        <f t="shared" si="7"/>
        <v>0</v>
      </c>
      <c r="H27" s="20"/>
    </row>
    <row r="28">
      <c r="A28" s="21" t="s">
        <v>42</v>
      </c>
      <c r="B28" s="22">
        <f>COUNTIF(STUDENTS!N:N,A28)</f>
        <v>3</v>
      </c>
      <c r="C28" s="34">
        <f t="shared" si="6"/>
        <v>0.01554404145</v>
      </c>
      <c r="D28" s="20"/>
      <c r="E28" s="36"/>
      <c r="F28" s="36"/>
      <c r="G28" s="36"/>
      <c r="H28" s="36"/>
    </row>
    <row r="29">
      <c r="A29" s="37" t="s">
        <v>43</v>
      </c>
      <c r="B29" s="22">
        <f>COUNTIF(STUDENTS!N:N,A29)</f>
        <v>16</v>
      </c>
      <c r="C29" s="34">
        <f t="shared" si="6"/>
        <v>0.0829015544</v>
      </c>
      <c r="D29" s="20"/>
      <c r="E29" s="36"/>
      <c r="F29" s="36"/>
      <c r="G29" s="36"/>
      <c r="H29" s="36"/>
    </row>
    <row r="30">
      <c r="A30" s="38" t="s">
        <v>28</v>
      </c>
      <c r="B30" s="39">
        <f>SUM(B24:B29)</f>
        <v>193</v>
      </c>
      <c r="C30" s="40">
        <f>sum(C24:D29)</f>
        <v>1</v>
      </c>
      <c r="D30" s="20"/>
      <c r="E30" s="38" t="s">
        <v>28</v>
      </c>
      <c r="F30" s="39">
        <f>SUM(F24:F28)</f>
        <v>195</v>
      </c>
      <c r="G30" s="40"/>
      <c r="H30" s="20"/>
    </row>
    <row r="31">
      <c r="A31" s="14"/>
      <c r="B31" s="14"/>
      <c r="C31" s="14"/>
      <c r="D31" s="14"/>
      <c r="E31" s="14"/>
      <c r="F31" s="14"/>
      <c r="G31" s="14"/>
      <c r="H31" s="14"/>
    </row>
    <row r="32">
      <c r="A32" s="41" t="s">
        <v>44</v>
      </c>
    </row>
    <row r="33">
      <c r="A33" s="42" t="s">
        <v>45</v>
      </c>
      <c r="B33" s="42" t="s">
        <v>15</v>
      </c>
      <c r="C33" s="42" t="s">
        <v>46</v>
      </c>
      <c r="D33" s="42" t="s">
        <v>47</v>
      </c>
      <c r="E33" s="42" t="s">
        <v>48</v>
      </c>
      <c r="F33" s="42" t="s">
        <v>49</v>
      </c>
      <c r="G33" s="42" t="s">
        <v>50</v>
      </c>
      <c r="H33" s="42" t="s">
        <v>51</v>
      </c>
      <c r="I33" s="43"/>
      <c r="J33" s="43"/>
      <c r="K33" s="43"/>
      <c r="L33" s="43"/>
      <c r="M33" s="43"/>
      <c r="N33" s="43"/>
      <c r="O33" s="43"/>
      <c r="P33" s="43"/>
      <c r="Q33" s="43"/>
      <c r="R33" s="43"/>
      <c r="S33" s="43"/>
      <c r="T33" s="43"/>
      <c r="U33" s="43"/>
      <c r="V33" s="43"/>
      <c r="W33" s="43"/>
      <c r="X33" s="43"/>
      <c r="Y33" s="43"/>
      <c r="Z33" s="43"/>
    </row>
    <row r="34">
      <c r="A34" s="44" t="s">
        <v>52</v>
      </c>
      <c r="B34" s="25" t="s">
        <v>22</v>
      </c>
      <c r="C34" s="25" t="str">
        <f>IFERROR(VLOOKUP(A34,PIC!A:B,2,0),"")</f>
        <v>Anh Vu</v>
      </c>
      <c r="D34" s="26">
        <f>IFERROR(MAXIFS(ATTENDANCE_LOG!E:E,ATTENDANCE_LOG!A:A,A34,ATTENDANCE_LOG!B:B,B34),0)</f>
        <v>10</v>
      </c>
      <c r="E34" s="26">
        <f>IFERROR(VLOOKUP(B34,COURSE_PLAN!A:B,2,0),0)</f>
        <v>10</v>
      </c>
      <c r="F34" s="27">
        <f t="shared" ref="F34:F111" si="8">IFERROR(MIN(D34/E34,1),0)</f>
        <v>1</v>
      </c>
      <c r="G34" s="45" t="str">
        <f t="shared" ref="G34:G111" si="9">IF(E34=0,"—",REPT("█",ROUND(F34*20,0))&amp;REPT("░",20-ROUND(F34*20,0)))</f>
        <v>████████████████████</v>
      </c>
      <c r="H34" s="46" t="str">
        <f t="shared" ref="H34:H104" si="10">IF(E34=0,"No plan",IF(F34&gt;=1,"✅ Done",IF(F34&gt;=0.75,"🟢 Almost",IF(F34&gt;=0.25,"🔄 In progress",IF(F34&gt;0,"🟡 Just started","⚪ Not started")))))</f>
        <v>✅ Done</v>
      </c>
    </row>
    <row r="35">
      <c r="A35" s="47" t="s">
        <v>52</v>
      </c>
      <c r="B35" s="21" t="s">
        <v>23</v>
      </c>
      <c r="C35" s="21" t="str">
        <f>IFERROR(VLOOKUP(A35,PIC!A:B,2,0),"")</f>
        <v>Anh Vu</v>
      </c>
      <c r="D35" s="22">
        <f>IFERROR(MAXIFS(ATTENDANCE_LOG!E:E,ATTENDANCE_LOG!A:A,A35,ATTENDANCE_LOG!B:B,B35),0)</f>
        <v>16</v>
      </c>
      <c r="E35" s="22">
        <f>IFERROR(VLOOKUP(B35,COURSE_PLAN!A:B,2,0),0)</f>
        <v>16</v>
      </c>
      <c r="F35" s="23">
        <f t="shared" si="8"/>
        <v>1</v>
      </c>
      <c r="G35" s="48" t="str">
        <f t="shared" si="9"/>
        <v>████████████████████</v>
      </c>
      <c r="H35" s="46" t="str">
        <f t="shared" si="10"/>
        <v>✅ Done</v>
      </c>
    </row>
    <row r="36">
      <c r="A36" s="44" t="s">
        <v>53</v>
      </c>
      <c r="B36" s="25" t="s">
        <v>22</v>
      </c>
      <c r="C36" s="25" t="str">
        <f>IFERROR(VLOOKUP(A36,PIC!A:B,2,0),"")</f>
        <v>Buu Do 1</v>
      </c>
      <c r="D36" s="26">
        <f>IFERROR(MAXIFS(ATTENDANCE_LOG!E:E,ATTENDANCE_LOG!A:A,A36,ATTENDANCE_LOG!B:B,B36),0)</f>
        <v>10</v>
      </c>
      <c r="E36" s="26">
        <f>IFERROR(VLOOKUP(B36,COURSE_PLAN!A:B,2,0),0)</f>
        <v>10</v>
      </c>
      <c r="F36" s="27">
        <f t="shared" si="8"/>
        <v>1</v>
      </c>
      <c r="G36" s="45" t="str">
        <f t="shared" si="9"/>
        <v>████████████████████</v>
      </c>
      <c r="H36" s="46" t="str">
        <f t="shared" si="10"/>
        <v>✅ Done</v>
      </c>
    </row>
    <row r="37">
      <c r="A37" s="47" t="s">
        <v>54</v>
      </c>
      <c r="B37" s="21" t="s">
        <v>22</v>
      </c>
      <c r="C37" s="21" t="str">
        <f>IFERROR(VLOOKUP(A37,PIC!A:B,2,0),"")</f>
        <v>Buu Do 2</v>
      </c>
      <c r="D37" s="22">
        <f>IFERROR(MAXIFS(ATTENDANCE_LOG!E:E,ATTENDANCE_LOG!A:A,A37,ATTENDANCE_LOG!B:B,B37),0)</f>
        <v>10</v>
      </c>
      <c r="E37" s="22">
        <f>IFERROR(VLOOKUP(B37,COURSE_PLAN!A:B,2,0),0)</f>
        <v>10</v>
      </c>
      <c r="F37" s="23">
        <f t="shared" si="8"/>
        <v>1</v>
      </c>
      <c r="G37" s="48" t="str">
        <f t="shared" si="9"/>
        <v>████████████████████</v>
      </c>
      <c r="H37" s="46" t="str">
        <f t="shared" si="10"/>
        <v>✅ Done</v>
      </c>
    </row>
    <row r="38">
      <c r="A38" s="44" t="s">
        <v>55</v>
      </c>
      <c r="B38" s="25" t="s">
        <v>22</v>
      </c>
      <c r="C38" s="25" t="str">
        <f>IFERROR(VLOOKUP(A38,PIC!A:B,2,0),"")</f>
        <v>Cuong Nguyen</v>
      </c>
      <c r="D38" s="26">
        <f>IFERROR(MAXIFS(ATTENDANCE_LOG!E:E,ATTENDANCE_LOG!A:A,A38,ATTENDANCE_LOG!B:B,B38),0)</f>
        <v>10</v>
      </c>
      <c r="E38" s="26">
        <f>IFERROR(VLOOKUP(B38,COURSE_PLAN!A:B,2,0),0)</f>
        <v>10</v>
      </c>
      <c r="F38" s="27">
        <f t="shared" si="8"/>
        <v>1</v>
      </c>
      <c r="G38" s="45" t="str">
        <f t="shared" si="9"/>
        <v>████████████████████</v>
      </c>
      <c r="H38" s="46" t="str">
        <f t="shared" si="10"/>
        <v>✅ Done</v>
      </c>
    </row>
    <row r="39">
      <c r="A39" s="47" t="s">
        <v>55</v>
      </c>
      <c r="B39" s="21" t="s">
        <v>23</v>
      </c>
      <c r="C39" s="21" t="str">
        <f>IFERROR(VLOOKUP(A39,PIC!A:B,2,0),"")</f>
        <v>Cuong Nguyen</v>
      </c>
      <c r="D39" s="22">
        <f>IFERROR(MAXIFS(ATTENDANCE_LOG!E:E,ATTENDANCE_LOG!A:A,A39,ATTENDANCE_LOG!B:B,B39),0)</f>
        <v>16</v>
      </c>
      <c r="E39" s="22">
        <f>IFERROR(VLOOKUP(B39,COURSE_PLAN!A:B,2,0),0)</f>
        <v>16</v>
      </c>
      <c r="F39" s="23">
        <f t="shared" si="8"/>
        <v>1</v>
      </c>
      <c r="G39" s="48" t="str">
        <f t="shared" si="9"/>
        <v>████████████████████</v>
      </c>
      <c r="H39" s="46" t="str">
        <f t="shared" si="10"/>
        <v>✅ Done</v>
      </c>
    </row>
    <row r="40">
      <c r="A40" s="44" t="s">
        <v>56</v>
      </c>
      <c r="B40" s="25" t="s">
        <v>22</v>
      </c>
      <c r="C40" s="25" t="str">
        <f>IFERROR(VLOOKUP(A40,PIC!A:B,2,0),"")</f>
        <v>Duc Nguyen</v>
      </c>
      <c r="D40" s="26">
        <f>IFERROR(MAXIFS(ATTENDANCE_LOG!E:E,ATTENDANCE_LOG!A:A,A40,ATTENDANCE_LOG!B:B,B40),0)</f>
        <v>10</v>
      </c>
      <c r="E40" s="26">
        <f>IFERROR(VLOOKUP(B40,COURSE_PLAN!A:B,2,0),0)</f>
        <v>10</v>
      </c>
      <c r="F40" s="27">
        <f t="shared" si="8"/>
        <v>1</v>
      </c>
      <c r="G40" s="45" t="str">
        <f t="shared" si="9"/>
        <v>████████████████████</v>
      </c>
      <c r="H40" s="46" t="str">
        <f t="shared" si="10"/>
        <v>✅ Done</v>
      </c>
    </row>
    <row r="41">
      <c r="A41" s="47" t="s">
        <v>57</v>
      </c>
      <c r="B41" s="21" t="s">
        <v>22</v>
      </c>
      <c r="C41" s="21" t="str">
        <f>IFERROR(VLOOKUP(A41,PIC!A:B,2,0),"")</f>
        <v>Dat Nguyen</v>
      </c>
      <c r="D41" s="22">
        <f>IFERROR(MAXIFS(ATTENDANCE_LOG!E:E,ATTENDANCE_LOG!A:A,A41,ATTENDANCE_LOG!B:B,B41),0)</f>
        <v>10</v>
      </c>
      <c r="E41" s="22">
        <f>IFERROR(VLOOKUP(B41,COURSE_PLAN!A:B,2,0),0)</f>
        <v>10</v>
      </c>
      <c r="F41" s="23">
        <f t="shared" si="8"/>
        <v>1</v>
      </c>
      <c r="G41" s="48" t="str">
        <f t="shared" si="9"/>
        <v>████████████████████</v>
      </c>
      <c r="H41" s="46" t="str">
        <f t="shared" si="10"/>
        <v>✅ Done</v>
      </c>
    </row>
    <row r="42">
      <c r="A42" s="44" t="s">
        <v>58</v>
      </c>
      <c r="B42" s="25" t="s">
        <v>22</v>
      </c>
      <c r="C42" s="25" t="str">
        <f>IFERROR(VLOOKUP(A42,PIC!A:B,2,0),"")</f>
        <v>Nhat Nguyen</v>
      </c>
      <c r="D42" s="26">
        <f>IFERROR(MAXIFS(ATTENDANCE_LOG!E:E,ATTENDANCE_LOG!A:A,A42,ATTENDANCE_LOG!B:B,B42),0)</f>
        <v>12</v>
      </c>
      <c r="E42" s="26">
        <f>IFERROR(VLOOKUP(B42,COURSE_PLAN!A:B,2,0),0)</f>
        <v>10</v>
      </c>
      <c r="F42" s="27">
        <f t="shared" si="8"/>
        <v>1</v>
      </c>
      <c r="G42" s="45" t="str">
        <f t="shared" si="9"/>
        <v>████████████████████</v>
      </c>
      <c r="H42" s="46" t="str">
        <f t="shared" si="10"/>
        <v>✅ Done</v>
      </c>
    </row>
    <row r="43">
      <c r="A43" s="47" t="s">
        <v>58</v>
      </c>
      <c r="B43" s="21" t="s">
        <v>23</v>
      </c>
      <c r="C43" s="21" t="str">
        <f>IFERROR(VLOOKUP(A43,PIC!A:B,2,0),"")</f>
        <v>Nhat Nguyen</v>
      </c>
      <c r="D43" s="22">
        <f>IFERROR(MAXIFS(ATTENDANCE_LOG!E:E,ATTENDANCE_LOG!A:A,A43,ATTENDANCE_LOG!B:B,B43),0)</f>
        <v>16</v>
      </c>
      <c r="E43" s="22">
        <f>IFERROR(VLOOKUP(B43,COURSE_PLAN!A:B,2,0),0)</f>
        <v>16</v>
      </c>
      <c r="F43" s="23">
        <f t="shared" si="8"/>
        <v>1</v>
      </c>
      <c r="G43" s="48" t="str">
        <f t="shared" si="9"/>
        <v>████████████████████</v>
      </c>
      <c r="H43" s="46" t="str">
        <f t="shared" si="10"/>
        <v>✅ Done</v>
      </c>
    </row>
    <row r="44">
      <c r="A44" s="44" t="s">
        <v>59</v>
      </c>
      <c r="B44" s="25" t="s">
        <v>22</v>
      </c>
      <c r="C44" s="25" t="str">
        <f>IFERROR(VLOOKUP(A44,PIC!A:B,2,0),"")</f>
        <v>Hung Nguyen</v>
      </c>
      <c r="D44" s="26">
        <f>IFERROR(MAXIFS(ATTENDANCE_LOG!E:E,ATTENDANCE_LOG!A:A,A44,ATTENDANCE_LOG!B:B,B44),0)</f>
        <v>10</v>
      </c>
      <c r="E44" s="26">
        <f>IFERROR(VLOOKUP(B44,COURSE_PLAN!A:B,2,0),0)</f>
        <v>10</v>
      </c>
      <c r="F44" s="27">
        <f t="shared" si="8"/>
        <v>1</v>
      </c>
      <c r="G44" s="45" t="str">
        <f t="shared" si="9"/>
        <v>████████████████████</v>
      </c>
      <c r="H44" s="46" t="str">
        <f t="shared" si="10"/>
        <v>✅ Done</v>
      </c>
    </row>
    <row r="45">
      <c r="A45" s="47" t="s">
        <v>59</v>
      </c>
      <c r="B45" s="21" t="s">
        <v>23</v>
      </c>
      <c r="C45" s="21" t="str">
        <f>IFERROR(VLOOKUP(A45,PIC!A:B,2,0),"")</f>
        <v>Hung Nguyen</v>
      </c>
      <c r="D45" s="22">
        <f>IFERROR(MAXIFS(ATTENDANCE_LOG!E:E,ATTENDANCE_LOG!A:A,A45,ATTENDANCE_LOG!B:B,B45),0)</f>
        <v>16</v>
      </c>
      <c r="E45" s="22">
        <f>IFERROR(VLOOKUP(B45,COURSE_PLAN!A:B,2,0),0)</f>
        <v>16</v>
      </c>
      <c r="F45" s="23">
        <f t="shared" si="8"/>
        <v>1</v>
      </c>
      <c r="G45" s="48" t="str">
        <f t="shared" si="9"/>
        <v>████████████████████</v>
      </c>
      <c r="H45" s="46" t="str">
        <f t="shared" si="10"/>
        <v>✅ Done</v>
      </c>
    </row>
    <row r="46">
      <c r="A46" s="44" t="s">
        <v>60</v>
      </c>
      <c r="B46" s="25" t="s">
        <v>22</v>
      </c>
      <c r="C46" s="25" t="str">
        <f>IFERROR(VLOOKUP(A46,PIC!A:B,2,0),"")</f>
        <v>Huong Le</v>
      </c>
      <c r="D46" s="26">
        <f>IFERROR(MAXIFS(ATTENDANCE_LOG!E:E,ATTENDANCE_LOG!A:A,A46,ATTENDANCE_LOG!B:B,B46),0)</f>
        <v>10</v>
      </c>
      <c r="E46" s="26">
        <f>IFERROR(VLOOKUP(B46,COURSE_PLAN!A:B,2,0),0)</f>
        <v>10</v>
      </c>
      <c r="F46" s="27">
        <f t="shared" si="8"/>
        <v>1</v>
      </c>
      <c r="G46" s="45" t="str">
        <f t="shared" si="9"/>
        <v>████████████████████</v>
      </c>
      <c r="H46" s="46" t="str">
        <f t="shared" si="10"/>
        <v>✅ Done</v>
      </c>
    </row>
    <row r="47">
      <c r="A47" s="47" t="s">
        <v>60</v>
      </c>
      <c r="B47" s="21" t="s">
        <v>23</v>
      </c>
      <c r="C47" s="21" t="str">
        <f>IFERROR(VLOOKUP(A47,PIC!A:B,2,0),"")</f>
        <v>Huong Le</v>
      </c>
      <c r="D47" s="22">
        <f>IFERROR(MAXIFS(ATTENDANCE_LOG!E:E,ATTENDANCE_LOG!A:A,A47,ATTENDANCE_LOG!B:B,B47),0)</f>
        <v>16</v>
      </c>
      <c r="E47" s="22">
        <f>IFERROR(VLOOKUP(B47,COURSE_PLAN!A:B,2,0),0)</f>
        <v>16</v>
      </c>
      <c r="F47" s="23">
        <f t="shared" si="8"/>
        <v>1</v>
      </c>
      <c r="G47" s="48" t="str">
        <f t="shared" si="9"/>
        <v>████████████████████</v>
      </c>
      <c r="H47" s="46" t="str">
        <f t="shared" si="10"/>
        <v>✅ Done</v>
      </c>
    </row>
    <row r="48">
      <c r="A48" s="44" t="s">
        <v>61</v>
      </c>
      <c r="B48" s="25" t="s">
        <v>22</v>
      </c>
      <c r="C48" s="25" t="str">
        <f>IFERROR(VLOOKUP(A48,PIC!A:B,2,0),"")</f>
        <v>Huy Tran 1</v>
      </c>
      <c r="D48" s="26">
        <f>IFERROR(MAXIFS(ATTENDANCE_LOG!E:E,ATTENDANCE_LOG!A:A,A48,ATTENDANCE_LOG!B:B,B48),0)</f>
        <v>10</v>
      </c>
      <c r="E48" s="26">
        <f>IFERROR(VLOOKUP(B48,COURSE_PLAN!A:B,2,0),0)</f>
        <v>10</v>
      </c>
      <c r="F48" s="27">
        <f t="shared" si="8"/>
        <v>1</v>
      </c>
      <c r="G48" s="45" t="str">
        <f t="shared" si="9"/>
        <v>████████████████████</v>
      </c>
      <c r="H48" s="46" t="str">
        <f t="shared" si="10"/>
        <v>✅ Done</v>
      </c>
    </row>
    <row r="49">
      <c r="A49" s="44" t="s">
        <v>62</v>
      </c>
      <c r="B49" s="25" t="s">
        <v>22</v>
      </c>
      <c r="C49" s="25" t="str">
        <f>IFERROR(VLOOKUP(A49,PIC!A:B,2,0),"")</f>
        <v>Huy Tran 2</v>
      </c>
      <c r="D49" s="26">
        <f>IFERROR(MAXIFS(ATTENDANCE_LOG!E:E,ATTENDANCE_LOG!A:A,A49,ATTENDANCE_LOG!B:B,B49),0)</f>
        <v>10</v>
      </c>
      <c r="E49" s="26">
        <f>IFERROR(VLOOKUP(B49,COURSE_PLAN!A:B,2,0),0)</f>
        <v>10</v>
      </c>
      <c r="F49" s="27">
        <f t="shared" si="8"/>
        <v>1</v>
      </c>
      <c r="G49" s="45" t="str">
        <f t="shared" si="9"/>
        <v>████████████████████</v>
      </c>
      <c r="H49" s="46" t="str">
        <f t="shared" si="10"/>
        <v>✅ Done</v>
      </c>
    </row>
    <row r="50">
      <c r="A50" s="47" t="s">
        <v>63</v>
      </c>
      <c r="B50" s="21" t="s">
        <v>22</v>
      </c>
      <c r="C50" s="21" t="str">
        <f>IFERROR(VLOOKUP(A50,PIC!A:B,2,0),"")</f>
        <v>Huyen Vo</v>
      </c>
      <c r="D50" s="22">
        <f>IFERROR(MAXIFS(ATTENDANCE_LOG!E:E,ATTENDANCE_LOG!A:A,A50,ATTENDANCE_LOG!B:B,B50),0)</f>
        <v>10</v>
      </c>
      <c r="E50" s="22">
        <f>IFERROR(VLOOKUP(B50,COURSE_PLAN!A:B,2,0),0)</f>
        <v>10</v>
      </c>
      <c r="F50" s="23">
        <f t="shared" si="8"/>
        <v>1</v>
      </c>
      <c r="G50" s="48" t="str">
        <f t="shared" si="9"/>
        <v>████████████████████</v>
      </c>
      <c r="H50" s="46" t="str">
        <f t="shared" si="10"/>
        <v>✅ Done</v>
      </c>
    </row>
    <row r="51">
      <c r="A51" s="44" t="s">
        <v>64</v>
      </c>
      <c r="B51" s="25" t="s">
        <v>22</v>
      </c>
      <c r="C51" s="25" t="str">
        <f>IFERROR(VLOOKUP(A51,PIC!A:B,2,0),"")</f>
        <v>Lanh Le</v>
      </c>
      <c r="D51" s="26">
        <f>IFERROR(MAXIFS(ATTENDANCE_LOG!E:E,ATTENDANCE_LOG!A:A,A51,ATTENDANCE_LOG!B:B,B51),0)</f>
        <v>10</v>
      </c>
      <c r="E51" s="26">
        <f>IFERROR(VLOOKUP(B51,COURSE_PLAN!A:B,2,0),0)</f>
        <v>10</v>
      </c>
      <c r="F51" s="27">
        <f t="shared" si="8"/>
        <v>1</v>
      </c>
      <c r="G51" s="45" t="str">
        <f t="shared" si="9"/>
        <v>████████████████████</v>
      </c>
      <c r="H51" s="46" t="str">
        <f t="shared" si="10"/>
        <v>✅ Done</v>
      </c>
    </row>
    <row r="52">
      <c r="A52" s="47" t="s">
        <v>64</v>
      </c>
      <c r="B52" s="21" t="s">
        <v>23</v>
      </c>
      <c r="C52" s="21" t="str">
        <f>IFERROR(VLOOKUP(A52,PIC!A:B,2,0),"")</f>
        <v>Lanh Le</v>
      </c>
      <c r="D52" s="22">
        <f>IFERROR(MAXIFS(ATTENDANCE_LOG!E:E,ATTENDANCE_LOG!A:A,A52,ATTENDANCE_LOG!B:B,B52),0)</f>
        <v>16</v>
      </c>
      <c r="E52" s="22">
        <f>IFERROR(VLOOKUP(B52,COURSE_PLAN!A:B,2,0),0)</f>
        <v>16</v>
      </c>
      <c r="F52" s="23">
        <f t="shared" si="8"/>
        <v>1</v>
      </c>
      <c r="G52" s="48" t="str">
        <f t="shared" si="9"/>
        <v>████████████████████</v>
      </c>
      <c r="H52" s="46" t="str">
        <f t="shared" si="10"/>
        <v>✅ Done</v>
      </c>
    </row>
    <row r="53">
      <c r="A53" s="47" t="s">
        <v>65</v>
      </c>
      <c r="B53" s="21" t="s">
        <v>22</v>
      </c>
      <c r="C53" s="21" t="str">
        <f>IFERROR(VLOOKUP(A53,PIC!A:B,2,0),"")</f>
        <v>Thao Vu 1</v>
      </c>
      <c r="D53" s="22">
        <f>IFERROR(MAXIFS(ATTENDANCE_LOG!E:E,ATTENDANCE_LOG!A:A,A53,ATTENDANCE_LOG!B:B,B53),0)</f>
        <v>10</v>
      </c>
      <c r="E53" s="22">
        <f>IFERROR(VLOOKUP(B53,COURSE_PLAN!A:B,2,0),0)</f>
        <v>10</v>
      </c>
      <c r="F53" s="23">
        <f t="shared" si="8"/>
        <v>1</v>
      </c>
      <c r="G53" s="48" t="str">
        <f t="shared" si="9"/>
        <v>████████████████████</v>
      </c>
      <c r="H53" s="46" t="str">
        <f t="shared" si="10"/>
        <v>✅ Done</v>
      </c>
    </row>
    <row r="54">
      <c r="A54" s="44" t="s">
        <v>66</v>
      </c>
      <c r="B54" s="25" t="s">
        <v>22</v>
      </c>
      <c r="C54" s="25" t="str">
        <f>IFERROR(VLOOKUP(A54,PIC!A:B,2,0),"")</f>
        <v>Thao Vu 2</v>
      </c>
      <c r="D54" s="26">
        <f>IFERROR(MAXIFS(ATTENDANCE_LOG!E:E,ATTENDANCE_LOG!A:A,A54,ATTENDANCE_LOG!B:B,B54),0)</f>
        <v>10</v>
      </c>
      <c r="E54" s="26">
        <f>IFERROR(VLOOKUP(B54,COURSE_PLAN!A:B,2,0),0)</f>
        <v>10</v>
      </c>
      <c r="F54" s="27">
        <f t="shared" si="8"/>
        <v>1</v>
      </c>
      <c r="G54" s="45" t="str">
        <f t="shared" si="9"/>
        <v>████████████████████</v>
      </c>
      <c r="H54" s="46" t="str">
        <f t="shared" si="10"/>
        <v>✅ Done</v>
      </c>
    </row>
    <row r="55">
      <c r="A55" s="47" t="s">
        <v>67</v>
      </c>
      <c r="B55" s="21" t="s">
        <v>22</v>
      </c>
      <c r="C55" s="21" t="str">
        <f>IFERROR(VLOOKUP(A55,PIC!A:B,2,0),"")</f>
        <v>Nhat Bui</v>
      </c>
      <c r="D55" s="22">
        <f>IFERROR(MAXIFS(ATTENDANCE_LOG!E:E,ATTENDANCE_LOG!A:A,A55,ATTENDANCE_LOG!B:B,B55),0)</f>
        <v>10</v>
      </c>
      <c r="E55" s="22">
        <f>IFERROR(VLOOKUP(B55,COURSE_PLAN!A:B,2,0),0)</f>
        <v>10</v>
      </c>
      <c r="F55" s="23">
        <f t="shared" si="8"/>
        <v>1</v>
      </c>
      <c r="G55" s="48" t="str">
        <f t="shared" si="9"/>
        <v>████████████████████</v>
      </c>
      <c r="H55" s="46" t="str">
        <f t="shared" si="10"/>
        <v>✅ Done</v>
      </c>
    </row>
    <row r="56">
      <c r="A56" s="44" t="s">
        <v>68</v>
      </c>
      <c r="B56" s="25" t="s">
        <v>22</v>
      </c>
      <c r="C56" s="25" t="str">
        <f>IFERROR(VLOOKUP(A56,PIC!A:B,2,0),"")</f>
        <v>Nhat Phan 1</v>
      </c>
      <c r="D56" s="26">
        <f>IFERROR(MAXIFS(ATTENDANCE_LOG!E:E,ATTENDANCE_LOG!A:A,A56,ATTENDANCE_LOG!B:B,B56),0)</f>
        <v>12</v>
      </c>
      <c r="E56" s="26">
        <f>IFERROR(VLOOKUP(B56,COURSE_PLAN!A:B,2,0),0)</f>
        <v>10</v>
      </c>
      <c r="F56" s="27">
        <f t="shared" si="8"/>
        <v>1</v>
      </c>
      <c r="G56" s="45" t="str">
        <f t="shared" si="9"/>
        <v>████████████████████</v>
      </c>
      <c r="H56" s="46" t="str">
        <f t="shared" si="10"/>
        <v>✅ Done</v>
      </c>
    </row>
    <row r="57">
      <c r="A57" s="44" t="s">
        <v>69</v>
      </c>
      <c r="B57" s="25" t="s">
        <v>22</v>
      </c>
      <c r="C57" s="25" t="str">
        <f>IFERROR(VLOOKUP(A57,PIC!A:B,2,0),"")</f>
        <v>Nhat Phan 2</v>
      </c>
      <c r="D57" s="26">
        <f>IFERROR(MAXIFS(ATTENDANCE_LOG!E:E,ATTENDANCE_LOG!A:A,A57,ATTENDANCE_LOG!B:B,B57),0)</f>
        <v>12</v>
      </c>
      <c r="E57" s="26">
        <f>IFERROR(VLOOKUP(B57,COURSE_PLAN!A:B,2,0),0)</f>
        <v>10</v>
      </c>
      <c r="F57" s="27">
        <f t="shared" si="8"/>
        <v>1</v>
      </c>
      <c r="G57" s="45" t="str">
        <f t="shared" si="9"/>
        <v>████████████████████</v>
      </c>
      <c r="H57" s="46" t="str">
        <f t="shared" si="10"/>
        <v>✅ Done</v>
      </c>
    </row>
    <row r="58">
      <c r="A58" s="47" t="s">
        <v>70</v>
      </c>
      <c r="B58" s="21" t="s">
        <v>22</v>
      </c>
      <c r="C58" s="21" t="str">
        <f>IFERROR(VLOOKUP(A58,PIC!A:B,2,0),"")</f>
        <v>Qui Em</v>
      </c>
      <c r="D58" s="22">
        <f>IFERROR(MAXIFS(ATTENDANCE_LOG!E:E,ATTENDANCE_LOG!A:A,A58,ATTENDANCE_LOG!B:B,B58),0)</f>
        <v>10</v>
      </c>
      <c r="E58" s="22">
        <f>IFERROR(VLOOKUP(B58,COURSE_PLAN!A:B,2,0),0)</f>
        <v>10</v>
      </c>
      <c r="F58" s="23">
        <f t="shared" si="8"/>
        <v>1</v>
      </c>
      <c r="G58" s="48" t="str">
        <f t="shared" si="9"/>
        <v>████████████████████</v>
      </c>
      <c r="H58" s="46" t="str">
        <f t="shared" si="10"/>
        <v>✅ Done</v>
      </c>
    </row>
    <row r="59">
      <c r="A59" s="47" t="s">
        <v>71</v>
      </c>
      <c r="B59" s="21" t="s">
        <v>25</v>
      </c>
      <c r="C59" s="21" t="str">
        <f>IFERROR(VLOOKUP(A59,PIC!A:B,2,0),"")</f>
        <v>Tan Tran</v>
      </c>
      <c r="D59" s="22">
        <f>IFERROR(MAXIFS(ATTENDANCE_LOG!E:E,ATTENDANCE_LOG!A:A,A59,ATTENDANCE_LOG!B:B,B59),0)</f>
        <v>16</v>
      </c>
      <c r="E59" s="22">
        <f>IFERROR(VLOOKUP(B59,COURSE_PLAN!A:B,2,0),0)</f>
        <v>16</v>
      </c>
      <c r="F59" s="23">
        <f t="shared" si="8"/>
        <v>1</v>
      </c>
      <c r="G59" s="48" t="str">
        <f t="shared" si="9"/>
        <v>████████████████████</v>
      </c>
      <c r="H59" s="46" t="str">
        <f t="shared" si="10"/>
        <v>✅ Done</v>
      </c>
    </row>
    <row r="60">
      <c r="A60" s="44" t="s">
        <v>72</v>
      </c>
      <c r="B60" s="25" t="s">
        <v>22</v>
      </c>
      <c r="C60" s="25" t="str">
        <f>IFERROR(VLOOKUP(A60,PIC!A:B,2,0),"")</f>
        <v>Thien Truong</v>
      </c>
      <c r="D60" s="26">
        <f>IFERROR(MAXIFS(ATTENDANCE_LOG!E:E,ATTENDANCE_LOG!A:A,A60,ATTENDANCE_LOG!B:B,B60),0)</f>
        <v>12</v>
      </c>
      <c r="E60" s="26">
        <f>IFERROR(VLOOKUP(B60,COURSE_PLAN!A:B,2,0),0)</f>
        <v>10</v>
      </c>
      <c r="F60" s="27">
        <f t="shared" si="8"/>
        <v>1</v>
      </c>
      <c r="G60" s="45" t="str">
        <f t="shared" si="9"/>
        <v>████████████████████</v>
      </c>
      <c r="H60" s="46" t="str">
        <f t="shared" si="10"/>
        <v>✅ Done</v>
      </c>
    </row>
    <row r="61">
      <c r="A61" s="47" t="s">
        <v>72</v>
      </c>
      <c r="B61" s="21" t="s">
        <v>23</v>
      </c>
      <c r="C61" s="21" t="str">
        <f>IFERROR(VLOOKUP(A61,PIC!A:B,2,0),"")</f>
        <v>Thien Truong</v>
      </c>
      <c r="D61" s="22">
        <f>IFERROR(MAXIFS(ATTENDANCE_LOG!E:E,ATTENDANCE_LOG!A:A,A61,ATTENDANCE_LOG!B:B,B61),0)</f>
        <v>16</v>
      </c>
      <c r="E61" s="22">
        <f>IFERROR(VLOOKUP(B61,COURSE_PLAN!A:B,2,0),0)</f>
        <v>16</v>
      </c>
      <c r="F61" s="23">
        <f t="shared" si="8"/>
        <v>1</v>
      </c>
      <c r="G61" s="48" t="str">
        <f t="shared" si="9"/>
        <v>████████████████████</v>
      </c>
      <c r="H61" s="46" t="str">
        <f t="shared" si="10"/>
        <v>✅ Done</v>
      </c>
    </row>
    <row r="62">
      <c r="A62" s="47" t="s">
        <v>73</v>
      </c>
      <c r="B62" s="21" t="s">
        <v>22</v>
      </c>
      <c r="C62" s="21" t="str">
        <f>IFERROR(VLOOKUP(A62,PIC!A:B,2,0),"")</f>
        <v>Ky Luong</v>
      </c>
      <c r="D62" s="22">
        <f>IFERROR(MAXIFS(ATTENDANCE_LOG!E:E,ATTENDANCE_LOG!A:A,A62,ATTENDANCE_LOG!B:B,B62),0)</f>
        <v>10</v>
      </c>
      <c r="E62" s="22">
        <f>IFERROR(VLOOKUP(B62,COURSE_PLAN!A:B,2,0),0)</f>
        <v>10</v>
      </c>
      <c r="F62" s="23">
        <f t="shared" si="8"/>
        <v>1</v>
      </c>
      <c r="G62" s="48" t="str">
        <f t="shared" si="9"/>
        <v>████████████████████</v>
      </c>
      <c r="H62" s="46" t="str">
        <f t="shared" si="10"/>
        <v>✅ Done</v>
      </c>
    </row>
    <row r="63">
      <c r="A63" s="44" t="s">
        <v>74</v>
      </c>
      <c r="B63" s="25" t="s">
        <v>22</v>
      </c>
      <c r="C63" s="25" t="str">
        <f>IFERROR(VLOOKUP(A63,PIC!A:B,2,0),"")</f>
        <v>Dung Hoang</v>
      </c>
      <c r="D63" s="26">
        <f>IFERROR(MAXIFS(ATTENDANCE_LOG!E:E,ATTENDANCE_LOG!A:A,A63,ATTENDANCE_LOG!B:B,B63),0)</f>
        <v>14</v>
      </c>
      <c r="E63" s="26">
        <f>IFERROR(VLOOKUP(B63,COURSE_PLAN!A:B,2,0),0)</f>
        <v>10</v>
      </c>
      <c r="F63" s="27">
        <f t="shared" si="8"/>
        <v>1</v>
      </c>
      <c r="G63" s="45" t="str">
        <f t="shared" si="9"/>
        <v>████████████████████</v>
      </c>
      <c r="H63" s="46" t="str">
        <f t="shared" si="10"/>
        <v>✅ Done</v>
      </c>
    </row>
    <row r="64">
      <c r="A64" s="44" t="s">
        <v>74</v>
      </c>
      <c r="B64" s="25" t="s">
        <v>26</v>
      </c>
      <c r="C64" s="25" t="str">
        <f>IFERROR(VLOOKUP(A64,PIC!A:B,2,0),"")</f>
        <v>Dung Hoang</v>
      </c>
      <c r="D64" s="26">
        <f>IFERROR(MAXIFS(ATTENDANCE_LOG!E:E,ATTENDANCE_LOG!A:A,A64,ATTENDANCE_LOG!B:B,B64),0)</f>
        <v>16</v>
      </c>
      <c r="E64" s="26">
        <f>IFERROR(VLOOKUP(B64,COURSE_PLAN!A:B,2,0),0)</f>
        <v>16</v>
      </c>
      <c r="F64" s="27">
        <f t="shared" si="8"/>
        <v>1</v>
      </c>
      <c r="G64" s="45" t="str">
        <f t="shared" si="9"/>
        <v>████████████████████</v>
      </c>
      <c r="H64" s="46" t="str">
        <f t="shared" si="10"/>
        <v>✅ Done</v>
      </c>
    </row>
    <row r="65">
      <c r="A65" s="47" t="s">
        <v>75</v>
      </c>
      <c r="B65" s="21" t="s">
        <v>22</v>
      </c>
      <c r="C65" s="21" t="str">
        <f>IFERROR(VLOOKUP(A65,PIC!A:B,2,0),"")</f>
        <v>Anh To</v>
      </c>
      <c r="D65" s="22">
        <f>IFERROR(MAXIFS(ATTENDANCE_LOG!E:E,ATTENDANCE_LOG!A:A,A65,ATTENDANCE_LOG!B:B,B65),0)</f>
        <v>10</v>
      </c>
      <c r="E65" s="22">
        <f>IFERROR(VLOOKUP(B65,COURSE_PLAN!A:B,2,0),0)</f>
        <v>10</v>
      </c>
      <c r="F65" s="23">
        <f t="shared" si="8"/>
        <v>1</v>
      </c>
      <c r="G65" s="48" t="str">
        <f t="shared" si="9"/>
        <v>████████████████████</v>
      </c>
      <c r="H65" s="46" t="str">
        <f t="shared" si="10"/>
        <v>✅ Done</v>
      </c>
    </row>
    <row r="66">
      <c r="A66" s="44" t="s">
        <v>75</v>
      </c>
      <c r="B66" s="25" t="s">
        <v>23</v>
      </c>
      <c r="C66" s="25" t="str">
        <f>IFERROR(VLOOKUP(A66,PIC!A:B,2,0),"")</f>
        <v>Anh To</v>
      </c>
      <c r="D66" s="26">
        <f>IFERROR(MAXIFS(ATTENDANCE_LOG!E:E,ATTENDANCE_LOG!A:A,A66,ATTENDANCE_LOG!B:B,B66),0)</f>
        <v>16</v>
      </c>
      <c r="E66" s="26">
        <f>IFERROR(VLOOKUP(B66,COURSE_PLAN!A:B,2,0),0)</f>
        <v>16</v>
      </c>
      <c r="F66" s="27">
        <f t="shared" si="8"/>
        <v>1</v>
      </c>
      <c r="G66" s="45" t="str">
        <f t="shared" si="9"/>
        <v>████████████████████</v>
      </c>
      <c r="H66" s="46" t="str">
        <f t="shared" si="10"/>
        <v>✅ Done</v>
      </c>
    </row>
    <row r="67">
      <c r="A67" s="47" t="s">
        <v>76</v>
      </c>
      <c r="B67" s="21" t="s">
        <v>22</v>
      </c>
      <c r="C67" s="21" t="str">
        <f>IFERROR(VLOOKUP(A67,PIC!A:B,2,0),"")</f>
        <v>My Tran</v>
      </c>
      <c r="D67" s="22">
        <f>IFERROR(MAXIFS(ATTENDANCE_LOG!E:E,ATTENDANCE_LOG!A:A,A67,ATTENDANCE_LOG!B:B,B67),0)</f>
        <v>10</v>
      </c>
      <c r="E67" s="22">
        <f>IFERROR(VLOOKUP(B67,COURSE_PLAN!A:B,2,0),0)</f>
        <v>10</v>
      </c>
      <c r="F67" s="23">
        <f t="shared" si="8"/>
        <v>1</v>
      </c>
      <c r="G67" s="48" t="str">
        <f t="shared" si="9"/>
        <v>████████████████████</v>
      </c>
      <c r="H67" s="46" t="str">
        <f t="shared" si="10"/>
        <v>✅ Done</v>
      </c>
    </row>
    <row r="68">
      <c r="A68" s="47" t="s">
        <v>77</v>
      </c>
      <c r="B68" s="21" t="s">
        <v>22</v>
      </c>
      <c r="C68" s="21" t="str">
        <f>IFERROR(VLOOKUP(A68,PIC!A:B,2,0),"")</f>
        <v>Vinh Nguyen</v>
      </c>
      <c r="D68" s="22">
        <f>IFERROR(MAXIFS(ATTENDANCE_LOG!E:E,ATTENDANCE_LOG!A:A,A68,ATTENDANCE_LOG!B:B,B68),0)</f>
        <v>10</v>
      </c>
      <c r="E68" s="22">
        <f>IFERROR(VLOOKUP(B68,COURSE_PLAN!A:B,2,0),0)</f>
        <v>10</v>
      </c>
      <c r="F68" s="23">
        <f t="shared" si="8"/>
        <v>1</v>
      </c>
      <c r="G68" s="48" t="str">
        <f t="shared" si="9"/>
        <v>████████████████████</v>
      </c>
      <c r="H68" s="46" t="str">
        <f t="shared" si="10"/>
        <v>✅ Done</v>
      </c>
    </row>
    <row r="69">
      <c r="A69" s="44" t="s">
        <v>77</v>
      </c>
      <c r="B69" s="25" t="s">
        <v>23</v>
      </c>
      <c r="C69" s="25" t="str">
        <f>IFERROR(VLOOKUP(A69,PIC!A:B,2,0),"")</f>
        <v>Vinh Nguyen</v>
      </c>
      <c r="D69" s="26">
        <f>IFERROR(MAXIFS(ATTENDANCE_LOG!E:E,ATTENDANCE_LOG!A:A,A69,ATTENDANCE_LOG!B:B,B69),0)</f>
        <v>16</v>
      </c>
      <c r="E69" s="26">
        <f>IFERROR(VLOOKUP(B69,COURSE_PLAN!A:B,2,0),0)</f>
        <v>16</v>
      </c>
      <c r="F69" s="27">
        <f t="shared" si="8"/>
        <v>1</v>
      </c>
      <c r="G69" s="45" t="str">
        <f t="shared" si="9"/>
        <v>████████████████████</v>
      </c>
      <c r="H69" s="46" t="str">
        <f t="shared" si="10"/>
        <v>✅ Done</v>
      </c>
    </row>
    <row r="70">
      <c r="A70" s="44" t="s">
        <v>78</v>
      </c>
      <c r="B70" s="25" t="s">
        <v>22</v>
      </c>
      <c r="C70" s="25" t="str">
        <f>IFERROR(VLOOKUP(A70,PIC!A:B,2,0),"")</f>
        <v>Yen Tran 1</v>
      </c>
      <c r="D70" s="26">
        <f>IFERROR(MAXIFS(ATTENDANCE_LOG!E:E,ATTENDANCE_LOG!A:A,A70,ATTENDANCE_LOG!B:B,B70),0)</f>
        <v>10</v>
      </c>
      <c r="E70" s="26">
        <f>IFERROR(VLOOKUP(B70,COURSE_PLAN!A:B,2,0),0)</f>
        <v>10</v>
      </c>
      <c r="F70" s="27">
        <f t="shared" si="8"/>
        <v>1</v>
      </c>
      <c r="G70" s="45" t="str">
        <f t="shared" si="9"/>
        <v>████████████████████</v>
      </c>
      <c r="H70" s="46" t="str">
        <f t="shared" si="10"/>
        <v>✅ Done</v>
      </c>
    </row>
    <row r="71">
      <c r="A71" s="47" t="s">
        <v>79</v>
      </c>
      <c r="B71" s="21" t="s">
        <v>22</v>
      </c>
      <c r="C71" s="21" t="str">
        <f>IFERROR(VLOOKUP(A71,PIC!A:B,2,0),"")</f>
        <v>Yen Tran 2</v>
      </c>
      <c r="D71" s="22">
        <f>IFERROR(MAXIFS(ATTENDANCE_LOG!E:E,ATTENDANCE_LOG!A:A,A71,ATTENDANCE_LOG!B:B,B71),0)</f>
        <v>10</v>
      </c>
      <c r="E71" s="22">
        <f>IFERROR(VLOOKUP(B71,COURSE_PLAN!A:B,2,0),0)</f>
        <v>10</v>
      </c>
      <c r="F71" s="23">
        <f t="shared" si="8"/>
        <v>1</v>
      </c>
      <c r="G71" s="48" t="str">
        <f t="shared" si="9"/>
        <v>████████████████████</v>
      </c>
      <c r="H71" s="46" t="str">
        <f t="shared" si="10"/>
        <v>✅ Done</v>
      </c>
    </row>
    <row r="72">
      <c r="A72" s="44" t="s">
        <v>80</v>
      </c>
      <c r="B72" s="25" t="s">
        <v>22</v>
      </c>
      <c r="C72" s="25" t="str">
        <f>IFERROR(VLOOKUP(A72,PIC!A:B,2,0),"")</f>
        <v>Yen Tran 3</v>
      </c>
      <c r="D72" s="26">
        <f>IFERROR(MAXIFS(ATTENDANCE_LOG!E:E,ATTENDANCE_LOG!A:A,A72,ATTENDANCE_LOG!B:B,B72),0)</f>
        <v>10</v>
      </c>
      <c r="E72" s="26">
        <f>IFERROR(VLOOKUP(B72,COURSE_PLAN!A:B,2,0),0)</f>
        <v>10</v>
      </c>
      <c r="F72" s="27">
        <f t="shared" si="8"/>
        <v>1</v>
      </c>
      <c r="G72" s="45" t="str">
        <f t="shared" si="9"/>
        <v>████████████████████</v>
      </c>
      <c r="H72" s="46" t="str">
        <f t="shared" si="10"/>
        <v>✅ Done</v>
      </c>
    </row>
    <row r="73">
      <c r="A73" s="47" t="s">
        <v>81</v>
      </c>
      <c r="B73" s="21" t="s">
        <v>22</v>
      </c>
      <c r="C73" s="21" t="str">
        <f>IFERROR(VLOOKUP(A73,PIC!A:B,2,0),"")</f>
        <v>Tai Nguyen</v>
      </c>
      <c r="D73" s="22">
        <f>IFERROR(MAXIFS(ATTENDANCE_LOG!E:E,ATTENDANCE_LOG!A:A,A73,ATTENDANCE_LOG!B:B,B73),0)</f>
        <v>10</v>
      </c>
      <c r="E73" s="22">
        <f>IFERROR(VLOOKUP(B73,COURSE_PLAN!A:B,2,0),0)</f>
        <v>10</v>
      </c>
      <c r="F73" s="23">
        <f t="shared" si="8"/>
        <v>1</v>
      </c>
      <c r="G73" s="48" t="str">
        <f t="shared" si="9"/>
        <v>████████████████████</v>
      </c>
      <c r="H73" s="46" t="str">
        <f t="shared" si="10"/>
        <v>✅ Done</v>
      </c>
    </row>
    <row r="74">
      <c r="A74" s="44" t="s">
        <v>82</v>
      </c>
      <c r="B74" s="25" t="s">
        <v>22</v>
      </c>
      <c r="C74" s="25" t="str">
        <f>IFERROR(VLOOKUP(A74,PIC!A:B,2,0),"")</f>
        <v>Tai Pham</v>
      </c>
      <c r="D74" s="26">
        <f>IFERROR(MAXIFS(ATTENDANCE_LOG!E:E,ATTENDANCE_LOG!A:A,A74,ATTENDANCE_LOG!B:B,B74),0)</f>
        <v>10</v>
      </c>
      <c r="E74" s="26">
        <f>IFERROR(VLOOKUP(B74,COURSE_PLAN!A:B,2,0),0)</f>
        <v>10</v>
      </c>
      <c r="F74" s="27">
        <f t="shared" si="8"/>
        <v>1</v>
      </c>
      <c r="G74" s="45" t="str">
        <f t="shared" si="9"/>
        <v>████████████████████</v>
      </c>
      <c r="H74" s="46" t="str">
        <f t="shared" si="10"/>
        <v>✅ Done</v>
      </c>
    </row>
    <row r="75">
      <c r="A75" s="47" t="s">
        <v>82</v>
      </c>
      <c r="B75" s="21" t="s">
        <v>23</v>
      </c>
      <c r="C75" s="21" t="str">
        <f>IFERROR(VLOOKUP(A75,PIC!A:B,2,0),"")</f>
        <v>Tai Pham</v>
      </c>
      <c r="D75" s="22">
        <f>IFERROR(MAXIFS(ATTENDANCE_LOG!E:E,ATTENDANCE_LOG!A:A,A75,ATTENDANCE_LOG!B:B,B75),0)</f>
        <v>16</v>
      </c>
      <c r="E75" s="22">
        <f>IFERROR(VLOOKUP(B75,COURSE_PLAN!A:B,2,0),0)</f>
        <v>16</v>
      </c>
      <c r="F75" s="23">
        <f t="shared" si="8"/>
        <v>1</v>
      </c>
      <c r="G75" s="48" t="str">
        <f t="shared" si="9"/>
        <v>████████████████████</v>
      </c>
      <c r="H75" s="46" t="str">
        <f t="shared" si="10"/>
        <v>✅ Done</v>
      </c>
    </row>
    <row r="76">
      <c r="A76" s="44" t="s">
        <v>83</v>
      </c>
      <c r="B76" s="25" t="s">
        <v>22</v>
      </c>
      <c r="C76" s="25" t="str">
        <f>IFERROR(VLOOKUP(A76,PIC!A:B,2,0),"")</f>
        <v>Anh Ha</v>
      </c>
      <c r="D76" s="26">
        <f>IFERROR(MAXIFS(ATTENDANCE_LOG!E:E,ATTENDANCE_LOG!A:A,A76,ATTENDANCE_LOG!B:B,B76),0)</f>
        <v>10</v>
      </c>
      <c r="E76" s="26">
        <f>IFERROR(VLOOKUP(B76,COURSE_PLAN!A:B,2,0),0)</f>
        <v>10</v>
      </c>
      <c r="F76" s="27">
        <f t="shared" si="8"/>
        <v>1</v>
      </c>
      <c r="G76" s="45" t="str">
        <f t="shared" si="9"/>
        <v>████████████████████</v>
      </c>
      <c r="H76" s="46" t="str">
        <f t="shared" si="10"/>
        <v>✅ Done</v>
      </c>
    </row>
    <row r="77">
      <c r="A77" s="47" t="s">
        <v>83</v>
      </c>
      <c r="B77" s="21" t="s">
        <v>23</v>
      </c>
      <c r="C77" s="21" t="str">
        <f>IFERROR(VLOOKUP(A77,PIC!A:B,2,0),"")</f>
        <v>Anh Ha</v>
      </c>
      <c r="D77" s="22">
        <f>IFERROR(MAXIFS(ATTENDANCE_LOG!E:E,ATTENDANCE_LOG!A:A,A77,ATTENDANCE_LOG!B:B,B77),0)</f>
        <v>16</v>
      </c>
      <c r="E77" s="22">
        <f>IFERROR(VLOOKUP(B77,COURSE_PLAN!A:B,2,0),0)</f>
        <v>16</v>
      </c>
      <c r="F77" s="23">
        <f t="shared" si="8"/>
        <v>1</v>
      </c>
      <c r="G77" s="48" t="str">
        <f t="shared" si="9"/>
        <v>████████████████████</v>
      </c>
      <c r="H77" s="46" t="str">
        <f t="shared" si="10"/>
        <v>✅ Done</v>
      </c>
    </row>
    <row r="78">
      <c r="A78" s="47" t="s">
        <v>84</v>
      </c>
      <c r="B78" s="21" t="s">
        <v>22</v>
      </c>
      <c r="C78" s="21" t="str">
        <f>IFERROR(VLOOKUP(A78,PIC!A:B,2,0),"")</f>
        <v>Thuong Tran</v>
      </c>
      <c r="D78" s="22">
        <f>IFERROR(MAXIFS(ATTENDANCE_LOG!E:E,ATTENDANCE_LOG!A:A,A78,ATTENDANCE_LOG!B:B,B78),0)</f>
        <v>10</v>
      </c>
      <c r="E78" s="22">
        <f>IFERROR(VLOOKUP(B78,COURSE_PLAN!A:B,2,0),0)</f>
        <v>10</v>
      </c>
      <c r="F78" s="23">
        <f t="shared" si="8"/>
        <v>1</v>
      </c>
      <c r="G78" s="48" t="str">
        <f t="shared" si="9"/>
        <v>████████████████████</v>
      </c>
      <c r="H78" s="46" t="str">
        <f t="shared" si="10"/>
        <v>✅ Done</v>
      </c>
    </row>
    <row r="79">
      <c r="A79" s="44" t="s">
        <v>84</v>
      </c>
      <c r="B79" s="25" t="s">
        <v>23</v>
      </c>
      <c r="C79" s="25" t="str">
        <f>IFERROR(VLOOKUP(A79,PIC!A:B,2,0),"")</f>
        <v>Thuong Tran</v>
      </c>
      <c r="D79" s="26">
        <f>IFERROR(MAXIFS(ATTENDANCE_LOG!E:E,ATTENDANCE_LOG!A:A,A79,ATTENDANCE_LOG!B:B,B79),0)</f>
        <v>16</v>
      </c>
      <c r="E79" s="26">
        <f>IFERROR(VLOOKUP(B79,COURSE_PLAN!A:B,2,0),0)</f>
        <v>16</v>
      </c>
      <c r="F79" s="27">
        <f t="shared" si="8"/>
        <v>1</v>
      </c>
      <c r="G79" s="45" t="str">
        <f t="shared" si="9"/>
        <v>████████████████████</v>
      </c>
      <c r="H79" s="46" t="str">
        <f t="shared" si="10"/>
        <v>✅ Done</v>
      </c>
    </row>
    <row r="80">
      <c r="A80" s="44" t="s">
        <v>85</v>
      </c>
      <c r="B80" s="25" t="s">
        <v>22</v>
      </c>
      <c r="C80" s="25" t="str">
        <f>IFERROR(VLOOKUP(A80,PIC!A:B,2,0),"")</f>
        <v>Van Nguyen</v>
      </c>
      <c r="D80" s="26">
        <f>IFERROR(MAXIFS(ATTENDANCE_LOG!E:E,ATTENDANCE_LOG!A:A,A80,ATTENDANCE_LOG!B:B,B80),0)</f>
        <v>10</v>
      </c>
      <c r="E80" s="26">
        <f>IFERROR(VLOOKUP(B80,COURSE_PLAN!A:B,2,0),0)</f>
        <v>10</v>
      </c>
      <c r="F80" s="27">
        <f t="shared" si="8"/>
        <v>1</v>
      </c>
      <c r="G80" s="45" t="str">
        <f t="shared" si="9"/>
        <v>████████████████████</v>
      </c>
      <c r="H80" s="46" t="str">
        <f t="shared" si="10"/>
        <v>✅ Done</v>
      </c>
    </row>
    <row r="81">
      <c r="A81" s="47" t="s">
        <v>85</v>
      </c>
      <c r="B81" s="21" t="s">
        <v>23</v>
      </c>
      <c r="C81" s="21" t="str">
        <f>IFERROR(VLOOKUP(A81,PIC!A:B,2,0),"")</f>
        <v>Van Nguyen</v>
      </c>
      <c r="D81" s="22">
        <f>IFERROR(MAXIFS(ATTENDANCE_LOG!E:E,ATTENDANCE_LOG!A:A,A81,ATTENDANCE_LOG!B:B,B81),0)</f>
        <v>16</v>
      </c>
      <c r="E81" s="22">
        <f>IFERROR(VLOOKUP(B81,COURSE_PLAN!A:B,2,0),0)</f>
        <v>16</v>
      </c>
      <c r="F81" s="23">
        <f t="shared" si="8"/>
        <v>1</v>
      </c>
      <c r="G81" s="48" t="str">
        <f t="shared" si="9"/>
        <v>████████████████████</v>
      </c>
      <c r="H81" s="46" t="str">
        <f t="shared" si="10"/>
        <v>✅ Done</v>
      </c>
    </row>
    <row r="82">
      <c r="A82" s="44" t="s">
        <v>86</v>
      </c>
      <c r="B82" s="25" t="s">
        <v>22</v>
      </c>
      <c r="C82" s="25" t="str">
        <f>IFERROR(VLOOKUP(A82,PIC!A:B,2,0),"")</f>
        <v>Quan Nguyen</v>
      </c>
      <c r="D82" s="26">
        <f>IFERROR(MAXIFS(ATTENDANCE_LOG!E:E,ATTENDANCE_LOG!A:A,A82,ATTENDANCE_LOG!B:B,B82),0)</f>
        <v>16</v>
      </c>
      <c r="E82" s="26">
        <f>IFERROR(VLOOKUP(B82,COURSE_PLAN!A:B,2,0),0)</f>
        <v>10</v>
      </c>
      <c r="F82" s="27">
        <f t="shared" si="8"/>
        <v>1</v>
      </c>
      <c r="G82" s="45" t="str">
        <f t="shared" si="9"/>
        <v>████████████████████</v>
      </c>
      <c r="H82" s="46" t="str">
        <f t="shared" si="10"/>
        <v>✅ Done</v>
      </c>
    </row>
    <row r="83">
      <c r="A83" s="44" t="s">
        <v>86</v>
      </c>
      <c r="B83" s="25" t="s">
        <v>26</v>
      </c>
      <c r="C83" s="25" t="str">
        <f>IFERROR(VLOOKUP(A83,PIC!A:B,2,0),"")</f>
        <v>Quan Nguyen</v>
      </c>
      <c r="D83" s="26">
        <f>IFERROR(MAXIFS(ATTENDANCE_LOG!E:E,ATTENDANCE_LOG!A:A,A83,ATTENDANCE_LOG!B:B,B83),0)</f>
        <v>16</v>
      </c>
      <c r="E83" s="26">
        <f>IFERROR(VLOOKUP(B83,COURSE_PLAN!A:B,2,0),0)</f>
        <v>16</v>
      </c>
      <c r="F83" s="27">
        <f t="shared" si="8"/>
        <v>1</v>
      </c>
      <c r="G83" s="45" t="str">
        <f t="shared" si="9"/>
        <v>████████████████████</v>
      </c>
      <c r="H83" s="46" t="str">
        <f t="shared" si="10"/>
        <v>✅ Done</v>
      </c>
    </row>
    <row r="84">
      <c r="A84" s="47" t="s">
        <v>87</v>
      </c>
      <c r="B84" s="21" t="s">
        <v>22</v>
      </c>
      <c r="C84" s="21" t="str">
        <f>IFERROR(VLOOKUP(A84,PIC!A:B,2,0),"")</f>
        <v>My Nguyen</v>
      </c>
      <c r="D84" s="22">
        <f>IFERROR(MAXIFS(ATTENDANCE_LOG!E:E,ATTENDANCE_LOG!A:A,A84,ATTENDANCE_LOG!B:B,B84),0)</f>
        <v>10</v>
      </c>
      <c r="E84" s="22">
        <f>IFERROR(VLOOKUP(B84,COURSE_PLAN!A:B,2,0),0)</f>
        <v>10</v>
      </c>
      <c r="F84" s="23">
        <f t="shared" si="8"/>
        <v>1</v>
      </c>
      <c r="G84" s="48" t="str">
        <f t="shared" si="9"/>
        <v>████████████████████</v>
      </c>
      <c r="H84" s="46" t="str">
        <f t="shared" si="10"/>
        <v>✅ Done</v>
      </c>
    </row>
    <row r="85">
      <c r="A85" s="47" t="s">
        <v>88</v>
      </c>
      <c r="B85" s="21" t="s">
        <v>22</v>
      </c>
      <c r="C85" s="21" t="str">
        <f>IFERROR(VLOOKUP(A85,PIC!A:B,2,0),"")</f>
        <v>Huy Nguyen</v>
      </c>
      <c r="D85" s="22">
        <f>IFERROR(MAXIFS(ATTENDANCE_LOG!E:E,ATTENDANCE_LOG!A:A,A85,ATTENDANCE_LOG!B:B,B85),0)</f>
        <v>10</v>
      </c>
      <c r="E85" s="22">
        <f>IFERROR(VLOOKUP(B85,COURSE_PLAN!A:B,2,0),0)</f>
        <v>10</v>
      </c>
      <c r="F85" s="23">
        <f t="shared" si="8"/>
        <v>1</v>
      </c>
      <c r="G85" s="48" t="str">
        <f t="shared" si="9"/>
        <v>████████████████████</v>
      </c>
      <c r="H85" s="46" t="str">
        <f t="shared" si="10"/>
        <v>✅ Done</v>
      </c>
    </row>
    <row r="86">
      <c r="A86" s="47" t="s">
        <v>89</v>
      </c>
      <c r="B86" s="21" t="s">
        <v>26</v>
      </c>
      <c r="C86" s="21" t="str">
        <f>IFERROR(VLOOKUP(A86,PIC!A:B,2,0),"")</f>
        <v>Thanh Phung</v>
      </c>
      <c r="D86" s="22">
        <f>IFERROR(MAXIFS(ATTENDANCE_LOG!E:E,ATTENDANCE_LOG!A:A,A86,ATTENDANCE_LOG!B:B,B86),0)</f>
        <v>16</v>
      </c>
      <c r="E86" s="22">
        <f>IFERROR(VLOOKUP(B86,COURSE_PLAN!A:B,2,0),0)</f>
        <v>16</v>
      </c>
      <c r="F86" s="23">
        <f t="shared" si="8"/>
        <v>1</v>
      </c>
      <c r="G86" s="48" t="str">
        <f t="shared" si="9"/>
        <v>████████████████████</v>
      </c>
      <c r="H86" s="46" t="str">
        <f t="shared" si="10"/>
        <v>✅ Done</v>
      </c>
    </row>
    <row r="87">
      <c r="A87" s="44" t="s">
        <v>90</v>
      </c>
      <c r="B87" s="25" t="s">
        <v>22</v>
      </c>
      <c r="C87" s="25" t="str">
        <f>IFERROR(VLOOKUP(A87,PIC!A:B,2,0),"")</f>
        <v>Phu Nguyen</v>
      </c>
      <c r="D87" s="26">
        <f>IFERROR(MAXIFS(ATTENDANCE_LOG!E:E,ATTENDANCE_LOG!A:A,A87,ATTENDANCE_LOG!B:B,B87),0)</f>
        <v>10</v>
      </c>
      <c r="E87" s="26">
        <f>IFERROR(VLOOKUP(B87,COURSE_PLAN!A:B,2,0),0)</f>
        <v>10</v>
      </c>
      <c r="F87" s="27">
        <f t="shared" si="8"/>
        <v>1</v>
      </c>
      <c r="G87" s="45" t="str">
        <f t="shared" si="9"/>
        <v>████████████████████</v>
      </c>
      <c r="H87" s="46" t="str">
        <f t="shared" si="10"/>
        <v>✅ Done</v>
      </c>
    </row>
    <row r="88">
      <c r="A88" s="47" t="s">
        <v>91</v>
      </c>
      <c r="B88" s="21" t="s">
        <v>22</v>
      </c>
      <c r="C88" s="21" t="str">
        <f>IFERROR(VLOOKUP(A88,PIC!A:B,2,0),"")</f>
        <v>Vinh Tran</v>
      </c>
      <c r="D88" s="22">
        <f>IFERROR(MAXIFS(ATTENDANCE_LOG!E:E,ATTENDANCE_LOG!A:A,A88,ATTENDANCE_LOG!B:B,B88),0)</f>
        <v>16</v>
      </c>
      <c r="E88" s="22">
        <f>IFERROR(VLOOKUP(B88,COURSE_PLAN!A:B,2,0),0)</f>
        <v>10</v>
      </c>
      <c r="F88" s="23">
        <f t="shared" si="8"/>
        <v>1</v>
      </c>
      <c r="G88" s="48" t="str">
        <f t="shared" si="9"/>
        <v>████████████████████</v>
      </c>
      <c r="H88" s="46" t="str">
        <f t="shared" si="10"/>
        <v>✅ Done</v>
      </c>
    </row>
    <row r="89">
      <c r="A89" s="47" t="s">
        <v>92</v>
      </c>
      <c r="B89" s="21" t="s">
        <v>26</v>
      </c>
      <c r="C89" s="21" t="str">
        <f>IFERROR(VLOOKUP(A89,PIC!A:B,2,0),"")</f>
        <v>Liên Nguyễn</v>
      </c>
      <c r="D89" s="22">
        <f>IFERROR(MAXIFS(ATTENDANCE_LOG!E:E,ATTENDANCE_LOG!A:A,A89,ATTENDANCE_LOG!B:B,B89),0)</f>
        <v>16</v>
      </c>
      <c r="E89" s="22">
        <f>IFERROR(VLOOKUP(B89,COURSE_PLAN!A:B,2,0),0)</f>
        <v>16</v>
      </c>
      <c r="F89" s="23">
        <f t="shared" si="8"/>
        <v>1</v>
      </c>
      <c r="G89" s="48" t="str">
        <f t="shared" si="9"/>
        <v>████████████████████</v>
      </c>
      <c r="H89" s="46" t="str">
        <f t="shared" si="10"/>
        <v>✅ Done</v>
      </c>
    </row>
    <row r="90">
      <c r="A90" s="44" t="s">
        <v>93</v>
      </c>
      <c r="B90" s="25" t="s">
        <v>22</v>
      </c>
      <c r="C90" s="25" t="str">
        <f>IFERROR(VLOOKUP(A90,PIC!A:B,2,0),"")</f>
        <v>Quyen Nguyen</v>
      </c>
      <c r="D90" s="26">
        <f>IFERROR(MAXIFS(ATTENDANCE_LOG!E:E,ATTENDANCE_LOG!A:A,A90,ATTENDANCE_LOG!B:B,B90),0)</f>
        <v>15</v>
      </c>
      <c r="E90" s="26">
        <f>IFERROR(VLOOKUP(B90,COURSE_PLAN!A:B,2,0),0)</f>
        <v>10</v>
      </c>
      <c r="F90" s="27">
        <f t="shared" si="8"/>
        <v>1</v>
      </c>
      <c r="G90" s="45" t="str">
        <f t="shared" si="9"/>
        <v>████████████████████</v>
      </c>
      <c r="H90" s="46" t="str">
        <f t="shared" si="10"/>
        <v>✅ Done</v>
      </c>
    </row>
    <row r="91">
      <c r="A91" s="47" t="s">
        <v>94</v>
      </c>
      <c r="B91" s="21" t="s">
        <v>22</v>
      </c>
      <c r="C91" s="21" t="str">
        <f>IFERROR(VLOOKUP(A91,PIC!A:B,2,0),"")</f>
        <v>Phuoc Ta</v>
      </c>
      <c r="D91" s="22">
        <f>IFERROR(MAXIFS(ATTENDANCE_LOG!E:E,ATTENDANCE_LOG!A:A,A91,ATTENDANCE_LOG!B:B,B91),0)</f>
        <v>14</v>
      </c>
      <c r="E91" s="22">
        <f>IFERROR(VLOOKUP(B91,COURSE_PLAN!A:B,2,0),0)</f>
        <v>10</v>
      </c>
      <c r="F91" s="23">
        <f t="shared" si="8"/>
        <v>1</v>
      </c>
      <c r="G91" s="48" t="str">
        <f t="shared" si="9"/>
        <v>████████████████████</v>
      </c>
      <c r="H91" s="46" t="str">
        <f t="shared" si="10"/>
        <v>✅ Done</v>
      </c>
    </row>
    <row r="92">
      <c r="A92" s="47" t="s">
        <v>52</v>
      </c>
      <c r="B92" s="21" t="s">
        <v>25</v>
      </c>
      <c r="C92" s="21" t="str">
        <f>IFERROR(VLOOKUP(A92,PIC!A:B,2,0),"")</f>
        <v>Anh Vu</v>
      </c>
      <c r="D92" s="22">
        <f>IFERROR(MAXIFS(ATTENDANCE_LOG!E:E,ATTENDANCE_LOG!A:A,A92,ATTENDANCE_LOG!B:B,B92),0)</f>
        <v>14</v>
      </c>
      <c r="E92" s="22">
        <f>IFERROR(VLOOKUP(B92,COURSE_PLAN!A:B,2,0),0)</f>
        <v>16</v>
      </c>
      <c r="F92" s="23">
        <f t="shared" si="8"/>
        <v>0.875</v>
      </c>
      <c r="G92" s="48" t="str">
        <f t="shared" si="9"/>
        <v>██████████████████░░</v>
      </c>
      <c r="H92" s="49" t="str">
        <f t="shared" si="10"/>
        <v>🟢 Almost</v>
      </c>
    </row>
    <row r="93">
      <c r="A93" s="44" t="s">
        <v>64</v>
      </c>
      <c r="B93" s="25" t="s">
        <v>24</v>
      </c>
      <c r="C93" s="25" t="str">
        <f>IFERROR(VLOOKUP(A93,PIC!A:B,2,0),"")</f>
        <v>Lanh Le</v>
      </c>
      <c r="D93" s="26">
        <f>IFERROR(MAXIFS(ATTENDANCE_LOG!E:E,ATTENDANCE_LOG!A:A,A93,ATTENDANCE_LOG!B:B,B93),0)</f>
        <v>10</v>
      </c>
      <c r="E93" s="26">
        <f>IFERROR(VLOOKUP(B93,COURSE_PLAN!A:B,2,0),0)</f>
        <v>16</v>
      </c>
      <c r="F93" s="27">
        <f t="shared" si="8"/>
        <v>0.625</v>
      </c>
      <c r="G93" s="45" t="str">
        <f t="shared" si="9"/>
        <v>█████████████░░░░░░░</v>
      </c>
      <c r="H93" s="49" t="str">
        <f t="shared" si="10"/>
        <v>🔄 In progress</v>
      </c>
    </row>
    <row r="94">
      <c r="A94" s="44" t="s">
        <v>72</v>
      </c>
      <c r="B94" s="25" t="s">
        <v>24</v>
      </c>
      <c r="C94" s="25" t="str">
        <f>IFERROR(VLOOKUP(A94,PIC!A:B,2,0),"")</f>
        <v>Thien Truong</v>
      </c>
      <c r="D94" s="26">
        <f>IFERROR(MAXIFS(ATTENDANCE_LOG!E:E,ATTENDANCE_LOG!A:A,A94,ATTENDANCE_LOG!B:B,B94),0)</f>
        <v>9</v>
      </c>
      <c r="E94" s="26">
        <f>IFERROR(VLOOKUP(B94,COURSE_PLAN!A:B,2,0),0)</f>
        <v>16</v>
      </c>
      <c r="F94" s="27">
        <f t="shared" si="8"/>
        <v>0.5625</v>
      </c>
      <c r="G94" s="45" t="str">
        <f t="shared" si="9"/>
        <v>███████████░░░░░░░░░</v>
      </c>
      <c r="H94" s="49" t="str">
        <f t="shared" si="10"/>
        <v>🔄 In progress</v>
      </c>
    </row>
    <row r="95">
      <c r="A95" s="47" t="s">
        <v>74</v>
      </c>
      <c r="B95" s="21" t="s">
        <v>23</v>
      </c>
      <c r="C95" s="21" t="str">
        <f>IFERROR(VLOOKUP(A95,PIC!A:B,2,0),"")</f>
        <v>Dung Hoang</v>
      </c>
      <c r="D95" s="22">
        <f>IFERROR(MAXIFS(ATTENDANCE_LOG!E:E,ATTENDANCE_LOG!A:A,A95,ATTENDANCE_LOG!B:B,B95),0)</f>
        <v>13</v>
      </c>
      <c r="E95" s="22">
        <f>IFERROR(VLOOKUP(B95,COURSE_PLAN!A:B,2,0),0)</f>
        <v>16</v>
      </c>
      <c r="F95" s="23">
        <f t="shared" si="8"/>
        <v>0.8125</v>
      </c>
      <c r="G95" s="48" t="str">
        <f t="shared" si="9"/>
        <v>████████████████░░░░</v>
      </c>
      <c r="H95" s="49" t="str">
        <f t="shared" si="10"/>
        <v>🟢 Almost</v>
      </c>
    </row>
    <row r="96">
      <c r="A96" s="47" t="s">
        <v>77</v>
      </c>
      <c r="B96" s="21" t="s">
        <v>24</v>
      </c>
      <c r="C96" s="21" t="str">
        <f>IFERROR(VLOOKUP(A96,PIC!A:B,2,0),"")</f>
        <v>Vinh Nguyen</v>
      </c>
      <c r="D96" s="22">
        <f>IFERROR(MAXIFS(ATTENDANCE_LOG!E:E,ATTENDANCE_LOG!A:A,A96,ATTENDANCE_LOG!B:B,B96),0)</f>
        <v>11</v>
      </c>
      <c r="E96" s="22">
        <f>IFERROR(VLOOKUP(B96,COURSE_PLAN!A:B,2,0),0)</f>
        <v>16</v>
      </c>
      <c r="F96" s="23">
        <f t="shared" si="8"/>
        <v>0.6875</v>
      </c>
      <c r="G96" s="48" t="str">
        <f t="shared" si="9"/>
        <v>██████████████░░░░░░</v>
      </c>
      <c r="H96" s="49" t="str">
        <f t="shared" si="10"/>
        <v>🔄 In progress</v>
      </c>
    </row>
    <row r="97">
      <c r="A97" s="44" t="s">
        <v>84</v>
      </c>
      <c r="B97" s="25" t="s">
        <v>25</v>
      </c>
      <c r="C97" s="25" t="str">
        <f>IFERROR(VLOOKUP(A97,PIC!A:B,2,0),"")</f>
        <v>Thuong Tran</v>
      </c>
      <c r="D97" s="26">
        <f>IFERROR(MAXIFS(ATTENDANCE_LOG!E:E,ATTENDANCE_LOG!A:A,A97,ATTENDANCE_LOG!B:B,B97),0)</f>
        <v>15</v>
      </c>
      <c r="E97" s="26">
        <f>IFERROR(VLOOKUP(B97,COURSE_PLAN!A:B,2,0),0)</f>
        <v>16</v>
      </c>
      <c r="F97" s="27">
        <f t="shared" si="8"/>
        <v>0.9375</v>
      </c>
      <c r="G97" s="45" t="str">
        <f t="shared" si="9"/>
        <v>███████████████████░</v>
      </c>
      <c r="H97" s="49" t="str">
        <f t="shared" si="10"/>
        <v>🟢 Almost</v>
      </c>
    </row>
    <row r="98">
      <c r="A98" s="47" t="s">
        <v>85</v>
      </c>
      <c r="B98" s="21" t="s">
        <v>25</v>
      </c>
      <c r="C98" s="21" t="str">
        <f>IFERROR(VLOOKUP(A98,PIC!A:B,2,0),"")</f>
        <v>Van Nguyen</v>
      </c>
      <c r="D98" s="22">
        <f>IFERROR(MAXIFS(ATTENDANCE_LOG!E:E,ATTENDANCE_LOG!A:A,A98,ATTENDANCE_LOG!B:B,B98),0)</f>
        <v>14</v>
      </c>
      <c r="E98" s="22">
        <f>IFERROR(VLOOKUP(B98,COURSE_PLAN!A:B,2,0),0)</f>
        <v>16</v>
      </c>
      <c r="F98" s="23">
        <f t="shared" si="8"/>
        <v>0.875</v>
      </c>
      <c r="G98" s="48" t="str">
        <f t="shared" si="9"/>
        <v>██████████████████░░</v>
      </c>
      <c r="H98" s="49" t="str">
        <f t="shared" si="10"/>
        <v>🟢 Almost</v>
      </c>
    </row>
    <row r="99">
      <c r="A99" s="47" t="s">
        <v>86</v>
      </c>
      <c r="B99" s="21" t="s">
        <v>23</v>
      </c>
      <c r="C99" s="21" t="str">
        <f>IFERROR(VLOOKUP(A99,PIC!A:B,2,0),"")</f>
        <v>Quan Nguyen</v>
      </c>
      <c r="D99" s="22">
        <f>IFERROR(MAXIFS(ATTENDANCE_LOG!E:E,ATTENDANCE_LOG!A:A,A99,ATTENDANCE_LOG!B:B,B99),0)</f>
        <v>11</v>
      </c>
      <c r="E99" s="22">
        <f>IFERROR(VLOOKUP(B99,COURSE_PLAN!A:B,2,0),0)</f>
        <v>16</v>
      </c>
      <c r="F99" s="23">
        <f t="shared" si="8"/>
        <v>0.6875</v>
      </c>
      <c r="G99" s="48" t="str">
        <f t="shared" si="9"/>
        <v>██████████████░░░░░░</v>
      </c>
      <c r="H99" s="49" t="str">
        <f t="shared" si="10"/>
        <v>🔄 In progress</v>
      </c>
    </row>
    <row r="100">
      <c r="A100" s="44" t="s">
        <v>89</v>
      </c>
      <c r="B100" s="25" t="s">
        <v>27</v>
      </c>
      <c r="C100" s="25" t="str">
        <f>IFERROR(VLOOKUP(A100,PIC!A:B,2,0),"")</f>
        <v>Thanh Phung</v>
      </c>
      <c r="D100" s="26">
        <f>IFERROR(MAXIFS(ATTENDANCE_LOG!E:E,ATTENDANCE_LOG!A:A,A100,ATTENDANCE_LOG!B:B,B100),0)</f>
        <v>6</v>
      </c>
      <c r="E100" s="26">
        <f>IFERROR(VLOOKUP(B100,COURSE_PLAN!A:B,2,0),0)</f>
        <v>16</v>
      </c>
      <c r="F100" s="27">
        <f t="shared" si="8"/>
        <v>0.375</v>
      </c>
      <c r="G100" s="45" t="str">
        <f t="shared" si="9"/>
        <v>████████░░░░░░░░░░░░</v>
      </c>
      <c r="H100" s="49" t="str">
        <f t="shared" si="10"/>
        <v>🔄 In progress</v>
      </c>
    </row>
    <row r="101">
      <c r="A101" s="44" t="s">
        <v>91</v>
      </c>
      <c r="B101" s="25" t="s">
        <v>23</v>
      </c>
      <c r="C101" s="25" t="str">
        <f>IFERROR(VLOOKUP(A101,PIC!A:B,2,0),"")</f>
        <v>Vinh Tran</v>
      </c>
      <c r="D101" s="26">
        <f>IFERROR(MAXIFS(ATTENDANCE_LOG!E:E,ATTENDANCE_LOG!A:A,A101,ATTENDANCE_LOG!B:B,B101),0)</f>
        <v>9</v>
      </c>
      <c r="E101" s="26">
        <f>IFERROR(VLOOKUP(B101,COURSE_PLAN!A:B,2,0),0)</f>
        <v>16</v>
      </c>
      <c r="F101" s="27">
        <f t="shared" si="8"/>
        <v>0.5625</v>
      </c>
      <c r="G101" s="45" t="str">
        <f t="shared" si="9"/>
        <v>███████████░░░░░░░░░</v>
      </c>
      <c r="H101" s="49" t="str">
        <f t="shared" si="10"/>
        <v>🔄 In progress</v>
      </c>
    </row>
    <row r="102">
      <c r="A102" s="44" t="s">
        <v>95</v>
      </c>
      <c r="B102" s="25" t="s">
        <v>26</v>
      </c>
      <c r="C102" s="25" t="str">
        <f>IFERROR(VLOOKUP(A102,PIC!A:B,2,0),"")</f>
        <v>Phung Nguyen</v>
      </c>
      <c r="D102" s="26">
        <f>IFERROR(MAXIFS(ATTENDANCE_LOG!E:E,ATTENDANCE_LOG!A:A,A102,ATTENDANCE_LOG!B:B,B102),0)</f>
        <v>15</v>
      </c>
      <c r="E102" s="26">
        <f>IFERROR(VLOOKUP(B102,COURSE_PLAN!A:B,2,0),0)</f>
        <v>16</v>
      </c>
      <c r="F102" s="27">
        <f t="shared" si="8"/>
        <v>0.9375</v>
      </c>
      <c r="G102" s="45" t="str">
        <f t="shared" si="9"/>
        <v>███████████████████░</v>
      </c>
      <c r="H102" s="49" t="str">
        <f t="shared" si="10"/>
        <v>🟢 Almost</v>
      </c>
    </row>
    <row r="103">
      <c r="A103" s="47" t="s">
        <v>96</v>
      </c>
      <c r="B103" s="21" t="s">
        <v>22</v>
      </c>
      <c r="C103" s="21" t="str">
        <f>IFERROR(VLOOKUP(A103,PIC!A:B,2,0),"")</f>
        <v>Nam Nguyen</v>
      </c>
      <c r="D103" s="22">
        <f>IFERROR(MAXIFS(ATTENDANCE_LOG!E:E,ATTENDANCE_LOG!A:A,A103,ATTENDANCE_LOG!B:B,B103),0)</f>
        <v>5</v>
      </c>
      <c r="E103" s="22">
        <f>IFERROR(VLOOKUP(B103,COURSE_PLAN!A:B,2,0),0)</f>
        <v>10</v>
      </c>
      <c r="F103" s="23">
        <f t="shared" si="8"/>
        <v>0.5</v>
      </c>
      <c r="G103" s="48" t="str">
        <f t="shared" si="9"/>
        <v>██████████░░░░░░░░░░</v>
      </c>
      <c r="H103" s="49" t="str">
        <f t="shared" si="10"/>
        <v>🔄 In progress</v>
      </c>
    </row>
    <row r="104">
      <c r="A104" s="44" t="s">
        <v>97</v>
      </c>
      <c r="B104" s="25" t="s">
        <v>22</v>
      </c>
      <c r="C104" s="25" t="str">
        <f>IFERROR(VLOOKUP(A104,PIC!A:B,2,0),"")</f>
        <v>Trang Nguyen</v>
      </c>
      <c r="D104" s="26">
        <f>IFERROR(MAXIFS(ATTENDANCE_LOG!E:E,ATTENDANCE_LOG!A:A,A104,ATTENDANCE_LOG!B:B,B104),0)</f>
        <v>12</v>
      </c>
      <c r="E104" s="26">
        <f>IFERROR(VLOOKUP(B104,COURSE_PLAN!A:B,2,0),0)</f>
        <v>10</v>
      </c>
      <c r="F104" s="27">
        <f t="shared" si="8"/>
        <v>1</v>
      </c>
      <c r="G104" s="45" t="str">
        <f t="shared" si="9"/>
        <v>████████████████████</v>
      </c>
      <c r="H104" s="49" t="str">
        <f t="shared" si="10"/>
        <v>✅ Done</v>
      </c>
    </row>
    <row r="105">
      <c r="A105" s="50" t="s">
        <v>61</v>
      </c>
      <c r="B105" s="51" t="s">
        <v>23</v>
      </c>
      <c r="C105" s="51" t="str">
        <f>IFERROR(VLOOKUP(A105,PIC!A:B,2,0),"")</f>
        <v>Huy Tran 1</v>
      </c>
      <c r="D105" s="52">
        <f>IFERROR(MAXIFS(ATTENDANCE_LOG!E:E,ATTENDANCE_LOG!A:A,A105,ATTENDANCE_LOG!B:B,B105),0)</f>
        <v>4</v>
      </c>
      <c r="E105" s="52">
        <f>IFERROR(VLOOKUP(B105,COURSE_PLAN!A:B,2,0),0)</f>
        <v>16</v>
      </c>
      <c r="F105" s="53">
        <f t="shared" si="8"/>
        <v>0.25</v>
      </c>
      <c r="G105" s="54" t="str">
        <f t="shared" si="9"/>
        <v>█████░░░░░░░░░░░░░░░</v>
      </c>
      <c r="H105" s="55" t="s">
        <v>98</v>
      </c>
    </row>
    <row r="106">
      <c r="A106" s="50" t="s">
        <v>66</v>
      </c>
      <c r="B106" s="51" t="s">
        <v>23</v>
      </c>
      <c r="C106" s="51" t="str">
        <f>IFERROR(VLOOKUP(A106,PIC!A:B,2,0),"")</f>
        <v>Thao Vu 2</v>
      </c>
      <c r="D106" s="52">
        <f>IFERROR(MAXIFS(ATTENDANCE_LOG!E:E,ATTENDANCE_LOG!A:A,A106,ATTENDANCE_LOG!B:B,B106),0)</f>
        <v>4</v>
      </c>
      <c r="E106" s="52">
        <f>IFERROR(VLOOKUP(B106,COURSE_PLAN!A:B,2,0),0)</f>
        <v>16</v>
      </c>
      <c r="F106" s="53">
        <f t="shared" si="8"/>
        <v>0.25</v>
      </c>
      <c r="G106" s="54" t="str">
        <f t="shared" si="9"/>
        <v>█████░░░░░░░░░░░░░░░</v>
      </c>
      <c r="H106" s="55" t="s">
        <v>98</v>
      </c>
    </row>
    <row r="107">
      <c r="A107" s="50" t="s">
        <v>99</v>
      </c>
      <c r="B107" s="51" t="s">
        <v>22</v>
      </c>
      <c r="C107" s="51" t="str">
        <f>IFERROR(VLOOKUP(A107,PIC!A:B,2,0),"")</f>
        <v>Minh Nguyen</v>
      </c>
      <c r="D107" s="52">
        <f>IFERROR(MAXIFS(ATTENDANCE_LOG!E:E,ATTENDANCE_LOG!A:A,A107,ATTENDANCE_LOG!B:B,B107),0)</f>
        <v>3</v>
      </c>
      <c r="E107" s="52">
        <f>IFERROR(VLOOKUP(B107,COURSE_PLAN!A:B,2,0),0)</f>
        <v>10</v>
      </c>
      <c r="F107" s="53">
        <f t="shared" si="8"/>
        <v>0.3</v>
      </c>
      <c r="G107" s="54" t="str">
        <f t="shared" si="9"/>
        <v>██████░░░░░░░░░░░░░░</v>
      </c>
      <c r="H107" s="55" t="s">
        <v>98</v>
      </c>
    </row>
    <row r="108">
      <c r="A108" s="50" t="s">
        <v>68</v>
      </c>
      <c r="B108" s="51" t="s">
        <v>23</v>
      </c>
      <c r="C108" s="51" t="str">
        <f>IFERROR(VLOOKUP(A108,PIC!A:B,2,0),"")</f>
        <v>Nhat Phan 1</v>
      </c>
      <c r="D108" s="52">
        <f>IFERROR(MAXIFS(ATTENDANCE_LOG!E:E,ATTENDANCE_LOG!A:A,A108,ATTENDANCE_LOG!B:B,B108),0)</f>
        <v>12</v>
      </c>
      <c r="E108" s="52">
        <f>IFERROR(VLOOKUP(B108,COURSE_PLAN!A:B,2,0),0)</f>
        <v>16</v>
      </c>
      <c r="F108" s="53">
        <f t="shared" si="8"/>
        <v>0.75</v>
      </c>
      <c r="G108" s="54" t="str">
        <f t="shared" si="9"/>
        <v>███████████████░░░░░</v>
      </c>
      <c r="H108" s="55" t="s">
        <v>98</v>
      </c>
    </row>
    <row r="109">
      <c r="A109" s="50" t="s">
        <v>70</v>
      </c>
      <c r="B109" s="51" t="s">
        <v>23</v>
      </c>
      <c r="C109" s="51" t="str">
        <f>IFERROR(VLOOKUP(A109,PIC!A:B,2,0),"")</f>
        <v>Qui Em</v>
      </c>
      <c r="D109" s="52">
        <f>IFERROR(MAXIFS(ATTENDANCE_LOG!E:E,ATTENDANCE_LOG!A:A,A109,ATTENDANCE_LOG!B:B,B109),0)</f>
        <v>7</v>
      </c>
      <c r="E109" s="52">
        <f>IFERROR(VLOOKUP(B109,COURSE_PLAN!A:B,2,0),0)</f>
        <v>16</v>
      </c>
      <c r="F109" s="53">
        <f t="shared" si="8"/>
        <v>0.4375</v>
      </c>
      <c r="G109" s="54" t="str">
        <f t="shared" si="9"/>
        <v>█████████░░░░░░░░░░░</v>
      </c>
      <c r="H109" s="55" t="s">
        <v>98</v>
      </c>
    </row>
    <row r="110">
      <c r="A110" s="50" t="s">
        <v>76</v>
      </c>
      <c r="B110" s="51" t="s">
        <v>23</v>
      </c>
      <c r="C110" s="51" t="str">
        <f>IFERROR(VLOOKUP(A110,PIC!A:B,2,0),"")</f>
        <v>My Tran</v>
      </c>
      <c r="D110" s="52">
        <f>IFERROR(MAXIFS(ATTENDANCE_LOG!E:E,ATTENDANCE_LOG!A:A,A110,ATTENDANCE_LOG!B:B,B110),0)</f>
        <v>11</v>
      </c>
      <c r="E110" s="52">
        <f>IFERROR(VLOOKUP(B110,COURSE_PLAN!A:B,2,0),0)</f>
        <v>16</v>
      </c>
      <c r="F110" s="53">
        <f t="shared" si="8"/>
        <v>0.6875</v>
      </c>
      <c r="G110" s="54" t="str">
        <f t="shared" si="9"/>
        <v>██████████████░░░░░░</v>
      </c>
      <c r="H110" s="55" t="s">
        <v>98</v>
      </c>
    </row>
    <row r="111">
      <c r="A111" s="50" t="s">
        <v>87</v>
      </c>
      <c r="B111" s="51" t="s">
        <v>23</v>
      </c>
      <c r="C111" s="51" t="str">
        <f>IFERROR(VLOOKUP(A111,PIC!A:B,2,0),"")</f>
        <v>My Nguyen</v>
      </c>
      <c r="D111" s="52">
        <f>IFERROR(MAXIFS(ATTENDANCE_LOG!E:E,ATTENDANCE_LOG!A:A,A111,ATTENDANCE_LOG!B:B,B111),0)</f>
        <v>5</v>
      </c>
      <c r="E111" s="52">
        <f>IFERROR(VLOOKUP(B111,COURSE_PLAN!A:B,2,0),0)</f>
        <v>16</v>
      </c>
      <c r="F111" s="53">
        <f t="shared" si="8"/>
        <v>0.3125</v>
      </c>
      <c r="G111" s="54" t="str">
        <f t="shared" si="9"/>
        <v>██████░░░░░░░░░░░░░░</v>
      </c>
      <c r="H111" s="55" t="s">
        <v>98</v>
      </c>
    </row>
    <row r="112" hidden="1">
      <c r="A112" s="14"/>
      <c r="B112" s="14"/>
      <c r="C112" s="14"/>
      <c r="D112" s="14"/>
      <c r="E112" s="14"/>
      <c r="F112" s="14"/>
      <c r="G112" s="14"/>
      <c r="H112" s="14"/>
    </row>
    <row r="113" hidden="1">
      <c r="A113" s="56" t="s">
        <v>100</v>
      </c>
    </row>
    <row r="114" hidden="1">
      <c r="A114" s="57" t="s">
        <v>101</v>
      </c>
      <c r="B114" s="58" t="s">
        <v>52</v>
      </c>
      <c r="C114" s="14"/>
      <c r="D114" s="14"/>
      <c r="E114" s="14"/>
      <c r="F114" s="14"/>
      <c r="G114" s="14"/>
      <c r="H114" s="14"/>
    </row>
    <row r="115" hidden="1">
      <c r="A115" s="59" t="s">
        <v>102</v>
      </c>
      <c r="B115" s="60" t="str">
        <f>IFERROR(VLOOKUP($B$114,PIC!A:B,2,0),"Not found")</f>
        <v>Anh Vu</v>
      </c>
      <c r="C115" s="14"/>
      <c r="D115" s="14"/>
      <c r="E115" s="14"/>
      <c r="F115" s="14"/>
      <c r="G115" s="14"/>
      <c r="H115" s="14"/>
      <c r="I115" s="16" t="s">
        <v>103</v>
      </c>
    </row>
    <row r="116" hidden="1">
      <c r="A116" s="59" t="s">
        <v>104</v>
      </c>
      <c r="B116" s="61">
        <f>COUNTIF(sheet2!C:C,$B$114)</f>
        <v>15</v>
      </c>
      <c r="C116" s="14"/>
      <c r="D116" s="14"/>
      <c r="E116" s="14"/>
      <c r="F116" s="14"/>
      <c r="G116" s="14"/>
      <c r="H116" s="14"/>
    </row>
    <row r="117" hidden="1">
      <c r="A117" s="59" t="s">
        <v>105</v>
      </c>
      <c r="B117" s="61">
        <f>COUNTIF(ATTENDANCE_LOG!A:A,$B$114)</f>
        <v>192</v>
      </c>
      <c r="C117" s="14"/>
      <c r="D117" s="14"/>
      <c r="E117" s="14"/>
      <c r="F117" s="14"/>
      <c r="G117" s="14"/>
      <c r="H117" s="14"/>
    </row>
    <row r="118" hidden="1">
      <c r="A118" s="59" t="s">
        <v>106</v>
      </c>
      <c r="B118" s="61">
        <f>COUNTIFS(ATTENDANCE_LOG!A:A,$B$114,ATTENDANCE_LOG!G:G,"Present")</f>
        <v>188</v>
      </c>
      <c r="C118" s="14"/>
      <c r="D118" s="14"/>
      <c r="E118" s="14"/>
      <c r="F118" s="14"/>
      <c r="G118" s="14"/>
      <c r="H118" s="14"/>
    </row>
    <row r="119" hidden="1">
      <c r="A119" s="59" t="s">
        <v>107</v>
      </c>
      <c r="B119" s="61">
        <f>COUNTIFS(ATTENDANCE_LOG!A:A,$B$114,ATTENDANCE_LOG!G:G,"Absent")</f>
        <v>4</v>
      </c>
      <c r="C119" s="14"/>
      <c r="D119" s="14"/>
      <c r="E119" s="14"/>
      <c r="F119" s="14"/>
      <c r="G119" s="14"/>
      <c r="H119" s="14"/>
    </row>
    <row r="120" hidden="1">
      <c r="A120" s="59" t="s">
        <v>108</v>
      </c>
      <c r="B120" s="62">
        <f>IFERROR(COUNTIFS(ATTENDANCE_LOG!A:A,$B$114,ATTENDANCE_LOG!G:G,"Present")/(COUNTIFS(ATTENDANCE_LOG!A:A,$B$114,ATTENDANCE_LOG!G:G,"Present")+COUNTIFS(ATTENDANCE_LOG!A:A,$B$114,ATTENDANCE_LOG!G:G,"Absent")),0)</f>
        <v>0.9791666667</v>
      </c>
      <c r="C120" s="14"/>
      <c r="D120" s="14"/>
      <c r="E120" s="14"/>
      <c r="F120" s="14"/>
      <c r="G120" s="14"/>
      <c r="H120" s="14"/>
    </row>
    <row r="121" hidden="1">
      <c r="A121" s="14"/>
      <c r="B121" s="14"/>
      <c r="C121" s="14"/>
      <c r="D121" s="14"/>
      <c r="E121" s="14"/>
      <c r="F121" s="14"/>
      <c r="G121" s="14"/>
      <c r="H121" s="14"/>
    </row>
    <row r="122" hidden="1">
      <c r="A122" s="15" t="s">
        <v>109</v>
      </c>
    </row>
    <row r="123" hidden="1">
      <c r="A123" s="57" t="s">
        <v>110</v>
      </c>
      <c r="B123" s="63" t="s">
        <v>111</v>
      </c>
      <c r="C123" s="14"/>
      <c r="D123" s="14"/>
      <c r="E123" s="14"/>
      <c r="F123" s="14"/>
      <c r="G123" s="14"/>
      <c r="H123" s="14"/>
    </row>
    <row r="124" hidden="1">
      <c r="A124" s="59" t="s">
        <v>112</v>
      </c>
      <c r="B124" s="60" t="str">
        <f>IFERROR(VLOOKUP($B$123&amp;"",STUDENTS!A:B,2,0),"Not found")</f>
        <v>LÊ THANH SƠN</v>
      </c>
      <c r="C124" s="14"/>
      <c r="D124" s="14"/>
      <c r="E124" s="14"/>
      <c r="F124" s="14"/>
      <c r="G124" s="14"/>
      <c r="H124" s="14"/>
    </row>
    <row r="125" hidden="1">
      <c r="A125" s="59" t="s">
        <v>113</v>
      </c>
      <c r="B125" s="60" t="str">
        <f>IFERROR(VLOOKUP($B$123&amp;"",STUDENTS!A:E,5,0),"")</f>
        <v>Inactive</v>
      </c>
      <c r="C125" s="14"/>
      <c r="D125" s="14"/>
      <c r="E125" s="14"/>
      <c r="F125" s="14"/>
      <c r="G125" s="14"/>
      <c r="H125" s="14"/>
    </row>
    <row r="126" hidden="1">
      <c r="A126" s="59" t="s">
        <v>102</v>
      </c>
      <c r="B126" s="60" t="str">
        <f>IFERROR(VLOOKUP($B$123&amp;"",STUDENTS!A:F,6,0),"")</f>
        <v>Thien Truong</v>
      </c>
      <c r="C126" s="14"/>
      <c r="D126" s="14"/>
      <c r="E126" s="14"/>
      <c r="F126" s="14"/>
      <c r="G126" s="14"/>
      <c r="H126" s="14"/>
    </row>
    <row r="127" hidden="1">
      <c r="A127" s="59" t="s">
        <v>114</v>
      </c>
      <c r="B127" s="60" t="str">
        <f>IFERROR(VLOOKUP($B$123&amp;"",STUDENTS!A:G,7,0),"")</f>
        <v>Communication 3</v>
      </c>
      <c r="C127" s="14"/>
      <c r="D127" s="14"/>
      <c r="E127" s="14"/>
      <c r="F127" s="14"/>
      <c r="G127" s="14"/>
      <c r="H127" s="14"/>
    </row>
    <row r="128" hidden="1">
      <c r="A128" s="59" t="s">
        <v>115</v>
      </c>
      <c r="B128" s="64">
        <f>IFERROR(VLOOKUP($B$123&amp;"",STUDENTS!A:J,10,0),"")</f>
        <v>46169.45833</v>
      </c>
      <c r="C128" s="14"/>
      <c r="D128" s="14"/>
      <c r="E128" s="14"/>
      <c r="F128" s="14"/>
      <c r="G128" s="14"/>
      <c r="H128" s="14"/>
    </row>
    <row r="129" hidden="1">
      <c r="A129" s="59" t="s">
        <v>116</v>
      </c>
      <c r="B129" s="61">
        <f>IFERROR(VLOOKUP($B$123&amp;"",STUDENTS!A:K,11,0),"")</f>
        <v>43.54166667</v>
      </c>
      <c r="C129" s="14"/>
      <c r="D129" s="14"/>
      <c r="E129" s="14"/>
      <c r="F129" s="14"/>
      <c r="G129" s="14"/>
      <c r="H129" s="14"/>
    </row>
    <row r="130" hidden="1">
      <c r="A130" s="59" t="s">
        <v>117</v>
      </c>
      <c r="B130" s="65" t="str">
        <f>IFERROR(VLOOKUP($B$123&amp;"",STUDENTS!A:L,12,0),"")</f>
        <v>❌ Dropped</v>
      </c>
      <c r="C130" s="14"/>
      <c r="D130" s="14"/>
      <c r="E130" s="14"/>
      <c r="F130" s="14"/>
      <c r="G130" s="14"/>
      <c r="H130" s="14"/>
    </row>
    <row r="131" hidden="1">
      <c r="A131" s="59" t="s">
        <v>118</v>
      </c>
      <c r="B131" s="65" t="str">
        <f>IFERROR(VLOOKUP($B$123&amp;"",STUDENTS!A:L,13,0),"")</f>
        <v/>
      </c>
      <c r="C131" s="14"/>
      <c r="D131" s="14"/>
      <c r="E131" s="14"/>
      <c r="F131" s="14"/>
      <c r="G131" s="14"/>
      <c r="H131" s="14"/>
    </row>
    <row r="132" hidden="1">
      <c r="A132" s="59" t="s">
        <v>104</v>
      </c>
      <c r="B132" s="61">
        <f>COUNTIF(sheet2!A:A,$B$123&amp;"")</f>
        <v>3</v>
      </c>
      <c r="C132" s="14"/>
      <c r="D132" s="14"/>
      <c r="E132" s="14"/>
      <c r="F132" s="14"/>
      <c r="G132" s="14"/>
      <c r="H132" s="14"/>
    </row>
    <row r="133" hidden="1">
      <c r="A133" s="59" t="s">
        <v>119</v>
      </c>
      <c r="B133" s="61">
        <f>COUNTIFS(ATTENDANCE_LOG!C:C,$B$123&amp;"",ATTENDANCE_LOG!G:G,"Present")</f>
        <v>34</v>
      </c>
      <c r="C133" s="14"/>
      <c r="D133" s="14"/>
      <c r="E133" s="14"/>
      <c r="F133" s="14"/>
      <c r="G133" s="14"/>
      <c r="H133" s="14"/>
    </row>
    <row r="134" hidden="1">
      <c r="A134" s="59" t="s">
        <v>120</v>
      </c>
      <c r="B134" s="61">
        <f>COUNTIFS(ATTENDANCE_LOG!C:C,$B$123&amp;"",ATTENDANCE_LOG!G:G,"Absent")</f>
        <v>2</v>
      </c>
      <c r="C134" s="14"/>
      <c r="D134" s="14"/>
      <c r="E134" s="14"/>
      <c r="F134" s="14"/>
      <c r="G134" s="14"/>
      <c r="H134" s="14"/>
    </row>
    <row r="135" hidden="1">
      <c r="A135" s="59" t="s">
        <v>121</v>
      </c>
      <c r="B135" s="62">
        <f>IFERROR(COUNTIFS(ATTENDANCE_LOG!C:C,$B$123&amp;"",ATTENDANCE_LOG!G:G,"Present")/(COUNTIFS(ATTENDANCE_LOG!C:C,$B$123&amp;"",ATTENDANCE_LOG!G:G,"Present")+COUNTIFS(ATTENDANCE_LOG!C:C,$B$123&amp;"",ATTENDANCE_LOG!G:G,"Absent")),0)</f>
        <v>0.9444444444</v>
      </c>
      <c r="C135" s="14"/>
      <c r="D135" s="14"/>
      <c r="E135" s="14"/>
      <c r="F135" s="14"/>
      <c r="G135" s="14"/>
      <c r="H135" s="14"/>
    </row>
    <row r="136" hidden="1"/>
    <row r="138">
      <c r="A138" s="66" t="s">
        <v>122</v>
      </c>
      <c r="B138" s="67"/>
      <c r="C138" s="67"/>
      <c r="D138" s="67"/>
      <c r="E138" s="67"/>
      <c r="F138" s="67"/>
      <c r="G138" s="67"/>
      <c r="H138" s="68"/>
    </row>
    <row r="139">
      <c r="A139" s="69" t="s">
        <v>123</v>
      </c>
    </row>
    <row r="140">
      <c r="A140" s="70" t="s">
        <v>5</v>
      </c>
      <c r="B140" s="14"/>
      <c r="C140" s="70" t="s">
        <v>124</v>
      </c>
      <c r="D140" s="14"/>
      <c r="E140" s="70" t="s">
        <v>125</v>
      </c>
      <c r="F140" s="14"/>
      <c r="G140" s="70" t="s">
        <v>126</v>
      </c>
      <c r="H140" s="14"/>
    </row>
    <row r="141">
      <c r="A141" s="71">
        <f>COUNTIFS(sheet2!$S:$S,1)</f>
        <v>301</v>
      </c>
      <c r="B141" s="14"/>
      <c r="C141" s="71">
        <f>COUNTIFS(sheet2!$S:$S,1)-COUNTIFS(sheet2!$S:$S,1,sheet2!$R:$R,"Not tested yet")</f>
        <v>219</v>
      </c>
      <c r="D141" s="14"/>
      <c r="E141" s="71">
        <f>COUNTIFS(sheet2!$S:$S,1,sheet2!$R:$R,"Lv1 → Lv2")
+COUNTIFS(sheet2!$S:$S,1,sheet2!$R:$R,"Lv2 → Lv3")
+COUNTIFS(sheet2!$S:$S,1,sheet2!$R:$R,"Lv3 → Lv4")
+COUNTIFS(sheet2!$S:$S,1,sheet2!$R:$R,"Lv1 → Lv3 (multi)")</f>
        <v>145</v>
      </c>
      <c r="F141" s="14"/>
      <c r="G141" s="72">
        <f>IFERROR(
  (COUNTIFS(sheet2!$S:$S,1,sheet2!$R:$R,"Lv1 → Lv2")
  +COUNTIFS(sheet2!$S:$S,1,sheet2!$R:$R,"Lv2 → Lv3")
  +COUNTIFS(sheet2!$S:$S,1,sheet2!$R:$R,"Lv3 → Lv4")
  +COUNTIFS(sheet2!$S:$S,1,sheet2!$R:$R,"Lv1 → Lv3 (multi)"))
  /
  (COUNTIFS(sheet2!$S:$S,1)-COUNTIFS(sheet2!$S:$S,1,sheet2!$R:$R,"Not tested yet"))
,0)</f>
        <v>0.6621004566</v>
      </c>
      <c r="H141" s="14"/>
    </row>
    <row r="142">
      <c r="A142" s="73" t="str">
        <f>"unique emp codes"</f>
        <v>unique emp codes</v>
      </c>
      <c r="B142" s="14"/>
      <c r="C142" s="73" t="str">
        <f>TEXT((COUNTIFS(sheet2!$S:$S,1)-COUNTIFS(sheet2!$S:$S,1,sheet2!$R:$R,"Not tested yet"))/COUNTIFS(sheet2!$S:$S,1),"0.0%")&amp;" of all students"</f>
        <v>72,8% of all students</v>
      </c>
      <c r="D142" s="14"/>
      <c r="E142" s="74"/>
      <c r="F142" s="14"/>
      <c r="G142" s="73" t="str">
        <f>"students who advanced ≥ 1 group"</f>
        <v>students who advanced ≥ 1 group</v>
      </c>
      <c r="H142" s="14"/>
    </row>
    <row r="143">
      <c r="A143" s="14"/>
      <c r="B143" s="14"/>
      <c r="C143" s="14"/>
      <c r="D143" s="14"/>
      <c r="E143" s="14"/>
      <c r="F143" s="14"/>
      <c r="G143" s="14"/>
      <c r="H143" s="14"/>
    </row>
    <row r="144">
      <c r="A144" s="70" t="s">
        <v>127</v>
      </c>
      <c r="B144" s="14"/>
      <c r="C144" s="14"/>
      <c r="D144" s="14"/>
      <c r="E144" s="14"/>
      <c r="F144" s="14"/>
      <c r="G144" s="14"/>
      <c r="H144" s="14"/>
    </row>
    <row r="145">
      <c r="A145" s="75">
        <f>IFERROR(
  SUMPRODUCT(
    (sheet2!$S$2:$S$538=1)
    *(sheet2!$R$2:$R$538&lt;&gt;"Not tested yet")
    *(sheet2!$O$2:$O$538-sheet2!$N$2:$N$538)
  )
  /
  SUMPRODUCT(
    (sheet2!$S$2:$S$538=1)
    *(sheet2!$R$2:$R$538&lt;&gt;"Not tested yet")
  )
,0)</f>
        <v>1.776255708</v>
      </c>
      <c r="B145" s="14"/>
      <c r="C145" s="14"/>
      <c r="D145" s="14"/>
      <c r="E145" s="14"/>
      <c r="F145" s="14"/>
      <c r="G145" s="14"/>
      <c r="H145" s="14"/>
    </row>
    <row r="146">
      <c r="A146" s="73" t="str">
        <f>"Best Final − First Entrance (0.5 = half level)"</f>
        <v>Best Final − First Entrance (0.5 = half level)</v>
      </c>
      <c r="B146" s="14"/>
      <c r="C146" s="14"/>
      <c r="D146" s="14"/>
      <c r="E146" s="14"/>
      <c r="F146" s="14"/>
      <c r="G146" s="14"/>
      <c r="H146" s="14"/>
    </row>
    <row r="147">
      <c r="A147" s="14"/>
      <c r="B147" s="14"/>
      <c r="C147" s="14"/>
      <c r="D147" s="14"/>
      <c r="E147" s="14"/>
      <c r="F147" s="14"/>
      <c r="G147" s="14"/>
      <c r="H147" s="14"/>
    </row>
    <row r="148">
      <c r="A148" s="76" t="s">
        <v>128</v>
      </c>
      <c r="B148" s="76" t="s">
        <v>31</v>
      </c>
      <c r="C148" s="76" t="s">
        <v>129</v>
      </c>
      <c r="D148" s="76" t="s">
        <v>130</v>
      </c>
      <c r="E148" s="14"/>
      <c r="F148" s="14"/>
      <c r="G148" s="14"/>
      <c r="H148" s="14"/>
    </row>
    <row r="149">
      <c r="A149" s="77" t="s">
        <v>131</v>
      </c>
      <c r="B149" s="78">
        <f>COUNTIFS(sheet2!$S:$S,1,sheet2!$R:$R,"Lv1 → Lv2")</f>
        <v>96</v>
      </c>
      <c r="C149" s="79">
        <f t="shared" ref="C149:C156" si="11">IFERROR(B149/$B$157,0)</f>
        <v>0.3189368771</v>
      </c>
      <c r="D149" s="79">
        <f t="shared" ref="D149:D155" si="12">IFERROR(B149/($B$157-$B$156),0)</f>
        <v>0.4383561644</v>
      </c>
      <c r="E149" s="14"/>
      <c r="F149" s="14"/>
      <c r="G149" s="14"/>
      <c r="H149" s="14"/>
    </row>
    <row r="150">
      <c r="A150" s="77" t="s">
        <v>132</v>
      </c>
      <c r="B150" s="78">
        <f>COUNTIFS(sheet2!$S:$S,1,sheet2!$R:$R,"Lv2 → Lv3")</f>
        <v>13</v>
      </c>
      <c r="C150" s="79">
        <f t="shared" si="11"/>
        <v>0.04318936877</v>
      </c>
      <c r="D150" s="79">
        <f t="shared" si="12"/>
        <v>0.05936073059</v>
      </c>
      <c r="E150" s="14"/>
      <c r="F150" s="14"/>
      <c r="G150" s="14"/>
      <c r="H150" s="14"/>
    </row>
    <row r="151">
      <c r="A151" s="77" t="s">
        <v>133</v>
      </c>
      <c r="B151" s="78">
        <f>COUNTIFS(sheet2!$S:$S,1,sheet2!$R:$R,"Lv3 → Lv4")</f>
        <v>6</v>
      </c>
      <c r="C151" s="79">
        <f t="shared" si="11"/>
        <v>0.01993355482</v>
      </c>
      <c r="D151" s="79">
        <f t="shared" si="12"/>
        <v>0.02739726027</v>
      </c>
      <c r="E151" s="14"/>
      <c r="F151" s="14"/>
      <c r="G151" s="14"/>
      <c r="H151" s="14"/>
    </row>
    <row r="152">
      <c r="A152" s="77" t="s">
        <v>134</v>
      </c>
      <c r="B152" s="78">
        <f>COUNTIFS(sheet2!$S:$S,1,sheet2!$R:$R,"Lv1 → Lv3 (multi)")</f>
        <v>30</v>
      </c>
      <c r="C152" s="79">
        <f t="shared" si="11"/>
        <v>0.09966777409</v>
      </c>
      <c r="D152" s="79">
        <f t="shared" si="12"/>
        <v>0.1369863014</v>
      </c>
      <c r="E152" s="14"/>
      <c r="F152" s="14"/>
      <c r="G152" s="14"/>
      <c r="H152" s="14"/>
    </row>
    <row r="153">
      <c r="A153" s="77" t="s">
        <v>135</v>
      </c>
      <c r="B153" s="78">
        <f>COUNTIFS(sheet2!$S:$S,1,sheet2!$R:$R,"Progress within level")</f>
        <v>32</v>
      </c>
      <c r="C153" s="79">
        <f t="shared" si="11"/>
        <v>0.1063122924</v>
      </c>
      <c r="D153" s="79">
        <f t="shared" si="12"/>
        <v>0.1461187215</v>
      </c>
      <c r="E153" s="14"/>
      <c r="F153" s="14"/>
      <c r="G153" s="14"/>
      <c r="H153" s="14"/>
    </row>
    <row r="154">
      <c r="A154" s="77" t="s">
        <v>136</v>
      </c>
      <c r="B154" s="78">
        <f>COUNTIFS(sheet2!$S:$S,1,sheet2!$R:$R,"No Progress")</f>
        <v>40</v>
      </c>
      <c r="C154" s="79">
        <f t="shared" si="11"/>
        <v>0.1328903654</v>
      </c>
      <c r="D154" s="79">
        <f t="shared" si="12"/>
        <v>0.1826484018</v>
      </c>
      <c r="E154" s="14"/>
      <c r="F154" s="14"/>
      <c r="G154" s="14"/>
      <c r="H154" s="14"/>
    </row>
    <row r="155">
      <c r="A155" s="77" t="s">
        <v>137</v>
      </c>
      <c r="B155" s="78">
        <f>COUNTIFS(sheet2!$S:$S,1,sheet2!$R:$R,"Regressed")</f>
        <v>2</v>
      </c>
      <c r="C155" s="79">
        <f t="shared" si="11"/>
        <v>0.006644518272</v>
      </c>
      <c r="D155" s="79">
        <f t="shared" si="12"/>
        <v>0.009132420091</v>
      </c>
      <c r="E155" s="14"/>
      <c r="F155" s="14"/>
      <c r="G155" s="14"/>
      <c r="H155" s="14"/>
    </row>
    <row r="156">
      <c r="A156" s="77" t="s">
        <v>138</v>
      </c>
      <c r="B156" s="78">
        <f>COUNTIFS(sheet2!$S:$S,1,sheet2!$R:$R,"Not tested yet")</f>
        <v>82</v>
      </c>
      <c r="C156" s="79">
        <f t="shared" si="11"/>
        <v>0.2724252492</v>
      </c>
      <c r="D156" s="80" t="s">
        <v>139</v>
      </c>
      <c r="E156" s="14"/>
      <c r="F156" s="14"/>
      <c r="G156" s="14"/>
      <c r="H156" s="14"/>
    </row>
    <row r="157">
      <c r="A157" s="81" t="s">
        <v>28</v>
      </c>
      <c r="B157" s="82">
        <f>COUNTIFS(sheet2!$S:$S,1)</f>
        <v>301</v>
      </c>
      <c r="C157" s="83">
        <f>SUM(C149:C156)</f>
        <v>1</v>
      </c>
      <c r="D157" s="83">
        <v>1.0</v>
      </c>
      <c r="E157" s="14"/>
      <c r="F157" s="14"/>
      <c r="G157" s="14"/>
      <c r="H157" s="14"/>
    </row>
    <row r="159">
      <c r="A159" s="84" t="s">
        <v>140</v>
      </c>
      <c r="B159" s="67"/>
      <c r="C159" s="67"/>
      <c r="D159" s="67"/>
      <c r="E159" s="67"/>
      <c r="F159" s="67"/>
      <c r="G159" s="67"/>
      <c r="H159" s="68"/>
    </row>
    <row r="160">
      <c r="A160" s="85" t="s">
        <v>141</v>
      </c>
      <c r="B160" s="85" t="s">
        <v>19</v>
      </c>
      <c r="C160" s="85" t="s">
        <v>142</v>
      </c>
      <c r="D160" s="85" t="s">
        <v>143</v>
      </c>
      <c r="E160" s="85" t="s">
        <v>144</v>
      </c>
      <c r="F160" s="85" t="s">
        <v>145</v>
      </c>
      <c r="G160" s="85" t="s">
        <v>146</v>
      </c>
      <c r="H160" s="85" t="s">
        <v>147</v>
      </c>
    </row>
    <row r="161">
      <c r="A161" s="86" t="s">
        <v>148</v>
      </c>
      <c r="B161" s="87">
        <f>COUNTIFS(sheet2!$M:$M,A161,sheet2!$S:$S,1)</f>
        <v>7</v>
      </c>
      <c r="C161" s="87">
        <f t="shared" ref="C161:C167" si="13">B161-D161</f>
        <v>5</v>
      </c>
      <c r="D161" s="87">
        <f>COUNTIFS(sheet2!$M:$M,A161,sheet2!$S:$S,1,sheet2!$R:$R,"Not tested yet")</f>
        <v>2</v>
      </c>
      <c r="E161" s="87">
        <f>COUNTIFS(sheet2!$M:$M,A161,sheet2!$S:$S,1,sheet2!$R:$R,"Lv1 → Lv2")
+COUNTIFS(sheet2!$M:$M,A161,sheet2!$S:$S,1,sheet2!$R:$R,"Lv2 → Lv3")
+COUNTIFS(sheet2!$M:$M,A161,sheet2!$S:$S,1,sheet2!$R:$R,"Lv3 → Lv4")
+COUNTIFS(sheet2!$M:$M,A161,sheet2!$S:$S,1,sheet2!$R:$R,"Lv1 → Lv3 (multi)")</f>
        <v>2</v>
      </c>
      <c r="F161" s="88">
        <f t="shared" ref="F161:F168" si="14">IFERROR(E161/C161,0)</f>
        <v>0.4</v>
      </c>
      <c r="G161" s="89">
        <f>IFERROR(
  SUMPRODUCT(
    (sheet2!$M$2:$M$538=A161)
    *(sheet2!$S$2:$S$538=1)
    *(sheet2!$R$2:$R$538&lt;&gt;"Not tested yet")
    *(sheet2!$O$2:$O$538-sheet2!$N$2:$N$538)
  )
  /
  SUMPRODUCT(
    (sheet2!$M$2:$M$538=A161)
    *(sheet2!$S$2:$S$538=1)
    *(sheet2!$R$2:$R$538&lt;&gt;"Not tested yet")
  )
,0)</f>
        <v>0.7</v>
      </c>
      <c r="H161" s="87">
        <f>COUNTIFS(sheet2!$M:$M,A161,sheet2!$S:$S,1,sheet2!$R:$R,"No Progress")
+COUNTIFS(sheet2!$M:$M,A161,sheet2!$S:$S,1,sheet2!$R:$R,"Regressed")</f>
        <v>3</v>
      </c>
    </row>
    <row r="162">
      <c r="A162" s="86" t="s">
        <v>149</v>
      </c>
      <c r="B162" s="87">
        <f>COUNTIFS(sheet2!$M:$M,A162,sheet2!$S:$S,1)</f>
        <v>61</v>
      </c>
      <c r="C162" s="87">
        <f t="shared" si="13"/>
        <v>37</v>
      </c>
      <c r="D162" s="87">
        <f>COUNTIFS(sheet2!$M:$M,A162,sheet2!$S:$S,1,sheet2!$R:$R,"Not tested yet")</f>
        <v>24</v>
      </c>
      <c r="E162" s="87">
        <f>COUNTIFS(sheet2!$M:$M,A162,sheet2!$S:$S,1,sheet2!$R:$R,"Lv1 → Lv2")
+COUNTIFS(sheet2!$M:$M,A162,sheet2!$S:$S,1,sheet2!$R:$R,"Lv2 → Lv3")
+COUNTIFS(sheet2!$M:$M,A162,sheet2!$S:$S,1,sheet2!$R:$R,"Lv3 → Lv4")
+COUNTIFS(sheet2!$M:$M,A162,sheet2!$S:$S,1,sheet2!$R:$R,"Lv1 → Lv3 (multi)")</f>
        <v>22</v>
      </c>
      <c r="F162" s="88">
        <f t="shared" si="14"/>
        <v>0.5945945946</v>
      </c>
      <c r="G162" s="89">
        <f>IFERROR(
  SUMPRODUCT(
    (sheet2!$M$2:$M$538=A162)
    *(sheet2!$S$2:$S$538=1)
    *(sheet2!$R$2:$R$538&lt;&gt;"Not tested yet")
    *(sheet2!$O$2:$O$538-sheet2!$N$2:$N$538)
  )
  /
  SUMPRODUCT(
    (sheet2!$M$2:$M$538=A162)
    *(sheet2!$S$2:$S$538=1)
    *(sheet2!$R$2:$R$538&lt;&gt;"Not tested yet")
  )
,0)</f>
        <v>1.243243243</v>
      </c>
      <c r="H162" s="87">
        <f>COUNTIFS(sheet2!$M:$M,A162,sheet2!$S:$S,1,sheet2!$R:$R,"No Progress")
+COUNTIFS(sheet2!$M:$M,A162,sheet2!$S:$S,1,sheet2!$R:$R,"Regressed")</f>
        <v>10</v>
      </c>
    </row>
    <row r="163">
      <c r="A163" s="86" t="s">
        <v>150</v>
      </c>
      <c r="B163" s="87">
        <f>COUNTIFS(sheet2!$M:$M,A163,sheet2!$S:$S,1)</f>
        <v>62</v>
      </c>
      <c r="C163" s="87">
        <f t="shared" si="13"/>
        <v>48</v>
      </c>
      <c r="D163" s="87">
        <f>COUNTIFS(sheet2!$M:$M,A163,sheet2!$S:$S,1,sheet2!$R:$R,"Not tested yet")</f>
        <v>14</v>
      </c>
      <c r="E163" s="87">
        <f>COUNTIFS(sheet2!$M:$M,A163,sheet2!$S:$S,1,sheet2!$R:$R,"Lv1 → Lv2")
+COUNTIFS(sheet2!$M:$M,A163,sheet2!$S:$S,1,sheet2!$R:$R,"Lv2 → Lv3")
+COUNTIFS(sheet2!$M:$M,A163,sheet2!$S:$S,1,sheet2!$R:$R,"Lv3 → Lv4")
+COUNTIFS(sheet2!$M:$M,A163,sheet2!$S:$S,1,sheet2!$R:$R,"Lv1 → Lv3 (multi)")</f>
        <v>32</v>
      </c>
      <c r="F163" s="88">
        <f t="shared" si="14"/>
        <v>0.6666666667</v>
      </c>
      <c r="G163" s="89">
        <f>IFERROR(
  SUMPRODUCT(
    (sheet2!$M$2:$M$538=A163)
    *(sheet2!$S$2:$S$538=1)
    *(sheet2!$R$2:$R$538&lt;&gt;"Not tested yet")
    *(sheet2!$O$2:$O$538-sheet2!$N$2:$N$538)
  )
  /
  SUMPRODUCT(
    (sheet2!$M$2:$M$538=A163)
    *(sheet2!$S$2:$S$538=1)
    *(sheet2!$R$2:$R$538&lt;&gt;"Not tested yet")
  )
,0)</f>
        <v>1.71875</v>
      </c>
      <c r="H163" s="87">
        <f>COUNTIFS(sheet2!$M:$M,A163,sheet2!$S:$S,1,sheet2!$R:$R,"No Progress")
+COUNTIFS(sheet2!$M:$M,A163,sheet2!$S:$S,1,sheet2!$R:$R,"Regressed")</f>
        <v>6</v>
      </c>
    </row>
    <row r="164">
      <c r="A164" s="86" t="s">
        <v>151</v>
      </c>
      <c r="B164" s="87">
        <f>COUNTIFS(sheet2!$M:$M,A164,sheet2!$S:$S,1)</f>
        <v>57</v>
      </c>
      <c r="C164" s="87">
        <f t="shared" si="13"/>
        <v>56</v>
      </c>
      <c r="D164" s="87">
        <f>COUNTIFS(sheet2!$M:$M,A164,sheet2!$S:$S,1,sheet2!$R:$R,"Not tested yet")</f>
        <v>1</v>
      </c>
      <c r="E164" s="87">
        <f>COUNTIFS(sheet2!$M:$M,A164,sheet2!$S:$S,1,sheet2!$R:$R,"Lv1 → Lv2")
+COUNTIFS(sheet2!$M:$M,A164,sheet2!$S:$S,1,sheet2!$R:$R,"Lv2 → Lv3")
+COUNTIFS(sheet2!$M:$M,A164,sheet2!$S:$S,1,sheet2!$R:$R,"Lv3 → Lv4")
+COUNTIFS(sheet2!$M:$M,A164,sheet2!$S:$S,1,sheet2!$R:$R,"Lv1 → Lv3 (multi)")</f>
        <v>46</v>
      </c>
      <c r="F164" s="88">
        <f t="shared" si="14"/>
        <v>0.8214285714</v>
      </c>
      <c r="G164" s="89">
        <f>IFERROR(
  SUMPRODUCT(
    (sheet2!$M$2:$M$538=A164)
    *(sheet2!$S$2:$S$538=1)
    *(sheet2!$R$2:$R$538&lt;&gt;"Not tested yet")
    *(sheet2!$O$2:$O$538-sheet2!$N$2:$N$538)
  )
  /
  SUMPRODUCT(
    (sheet2!$M$2:$M$538=A164)
    *(sheet2!$S$2:$S$538=1)
    *(sheet2!$R$2:$R$538&lt;&gt;"Not tested yet")
  )
,0)</f>
        <v>2.491071429</v>
      </c>
      <c r="H164" s="87">
        <f>COUNTIFS(sheet2!$M:$M,A164,sheet2!$S:$S,1,sheet2!$R:$R,"No Progress")
+COUNTIFS(sheet2!$M:$M,A164,sheet2!$S:$S,1,sheet2!$R:$R,"Regressed")</f>
        <v>6</v>
      </c>
    </row>
    <row r="165">
      <c r="A165" s="86" t="s">
        <v>152</v>
      </c>
      <c r="B165" s="87">
        <f>COUNTIFS(sheet2!$M:$M,A165,sheet2!$S:$S,1)</f>
        <v>55</v>
      </c>
      <c r="C165" s="87">
        <f t="shared" si="13"/>
        <v>30</v>
      </c>
      <c r="D165" s="87">
        <f>COUNTIFS(sheet2!$M:$M,A165,sheet2!$S:$S,1,sheet2!$R:$R,"Not tested yet")</f>
        <v>25</v>
      </c>
      <c r="E165" s="87">
        <f>COUNTIFS(sheet2!$M:$M,A165,sheet2!$S:$S,1,sheet2!$R:$R,"Lv1 → Lv2")
+COUNTIFS(sheet2!$M:$M,A165,sheet2!$S:$S,1,sheet2!$R:$R,"Lv2 → Lv3")
+COUNTIFS(sheet2!$M:$M,A165,sheet2!$S:$S,1,sheet2!$R:$R,"Lv3 → Lv4")
+COUNTIFS(sheet2!$M:$M,A165,sheet2!$S:$S,1,sheet2!$R:$R,"Lv1 → Lv3 (multi)")</f>
        <v>19</v>
      </c>
      <c r="F165" s="88">
        <f t="shared" si="14"/>
        <v>0.6333333333</v>
      </c>
      <c r="G165" s="89">
        <f>IFERROR(
  SUMPRODUCT(
    (sheet2!$M$2:$M$538=A165)
    *(sheet2!$S$2:$S$538=1)
    *(sheet2!$R$2:$R$538&lt;&gt;"Not tested yet")
    *(sheet2!$O$2:$O$538-sheet2!$N$2:$N$538)
  )
  /
  SUMPRODUCT(
    (sheet2!$M$2:$M$538=A165)
    *(sheet2!$S$2:$S$538=1)
    *(sheet2!$R$2:$R$538&lt;&gt;"Not tested yet")
  )
,0)</f>
        <v>1.5</v>
      </c>
      <c r="H165" s="87">
        <f>COUNTIFS(sheet2!$M:$M,A165,sheet2!$S:$S,1,sheet2!$R:$R,"No Progress")
+COUNTIFS(sheet2!$M:$M,A165,sheet2!$S:$S,1,sheet2!$R:$R,"Regressed")</f>
        <v>6</v>
      </c>
    </row>
    <row r="166">
      <c r="A166" s="86" t="s">
        <v>153</v>
      </c>
      <c r="B166" s="87">
        <f>COUNTIFS(sheet2!$M:$M,A166,sheet2!$S:$S,1)</f>
        <v>26</v>
      </c>
      <c r="C166" s="87">
        <f t="shared" si="13"/>
        <v>21</v>
      </c>
      <c r="D166" s="87">
        <f>COUNTIFS(sheet2!$M:$M,A166,sheet2!$S:$S,1,sheet2!$R:$R,"Not tested yet")</f>
        <v>5</v>
      </c>
      <c r="E166" s="87">
        <f>COUNTIFS(sheet2!$M:$M,A166,sheet2!$S:$S,1,sheet2!$R:$R,"Lv1 → Lv2")
+COUNTIFS(sheet2!$M:$M,A166,sheet2!$S:$S,1,sheet2!$R:$R,"Lv2 → Lv3")
+COUNTIFS(sheet2!$M:$M,A166,sheet2!$S:$S,1,sheet2!$R:$R,"Lv3 → Lv4")
+COUNTIFS(sheet2!$M:$M,A166,sheet2!$S:$S,1,sheet2!$R:$R,"Lv1 → Lv3 (multi)")</f>
        <v>12</v>
      </c>
      <c r="F166" s="88">
        <f t="shared" si="14"/>
        <v>0.5714285714</v>
      </c>
      <c r="G166" s="89">
        <f>IFERROR(
  SUMPRODUCT(
    (sheet2!$M$2:$M$538=A166)
    *(sheet2!$S$2:$S$538=1)
    *(sheet2!$R$2:$R$538&lt;&gt;"Not tested yet")
    *(sheet2!$O$2:$O$538-sheet2!$N$2:$N$538)
  )
  /
  SUMPRODUCT(
    (sheet2!$M$2:$M$538=A166)
    *(sheet2!$S$2:$S$538=1)
    *(sheet2!$R$2:$R$538&lt;&gt;"Not tested yet")
  )
,0)</f>
        <v>1.666666667</v>
      </c>
      <c r="H166" s="87">
        <f>COUNTIFS(sheet2!$M:$M,A166,sheet2!$S:$S,1,sheet2!$R:$R,"No Progress")
+COUNTIFS(sheet2!$M:$M,A166,sheet2!$S:$S,1,sheet2!$R:$R,"Regressed")</f>
        <v>5</v>
      </c>
    </row>
    <row r="167">
      <c r="A167" s="86" t="s">
        <v>154</v>
      </c>
      <c r="B167" s="87">
        <f>COUNTIFS(sheet2!$M:$M,A167,sheet2!$S:$S,1)</f>
        <v>33</v>
      </c>
      <c r="C167" s="87">
        <f t="shared" si="13"/>
        <v>22</v>
      </c>
      <c r="D167" s="87">
        <f>COUNTIFS(sheet2!$M:$M,A167,sheet2!$S:$S,1,sheet2!$R:$R,"Not tested yet")</f>
        <v>11</v>
      </c>
      <c r="E167" s="87">
        <f>COUNTIFS(sheet2!$M:$M,A167,sheet2!$S:$S,1,sheet2!$R:$R,"Lv1 → Lv2")
+COUNTIFS(sheet2!$M:$M,A167,sheet2!$S:$S,1,sheet2!$R:$R,"Lv2 → Lv3")
+COUNTIFS(sheet2!$M:$M,A167,sheet2!$S:$S,1,sheet2!$R:$R,"Lv3 → Lv4")
+COUNTIFS(sheet2!$M:$M,A167,sheet2!$S:$S,1,sheet2!$R:$R,"Lv1 → Lv3 (multi)")</f>
        <v>12</v>
      </c>
      <c r="F167" s="88">
        <f t="shared" si="14"/>
        <v>0.5454545455</v>
      </c>
      <c r="G167" s="89">
        <f>IFERROR(
  SUMPRODUCT(
    (sheet2!$M$2:$M$538=A167)
    *(sheet2!$S$2:$S$538=1)
    *(sheet2!$R$2:$R$538&lt;&gt;"Not tested yet")
    *(sheet2!$O$2:$O$538-sheet2!$N$2:$N$538)
  )
  /
  SUMPRODUCT(
    (sheet2!$M$2:$M$538=A167)
    *(sheet2!$S$2:$S$538=1)
    *(sheet2!$R$2:$R$538&lt;&gt;"Not tested yet")
  )
,0)</f>
        <v>1.704545455</v>
      </c>
      <c r="H167" s="87">
        <f>COUNTIFS(sheet2!$M:$M,A167,sheet2!$S:$S,1,sheet2!$R:$R,"No Progress")
+COUNTIFS(sheet2!$M:$M,A167,sheet2!$S:$S,1,sheet2!$R:$R,"Regressed")</f>
        <v>6</v>
      </c>
    </row>
    <row r="168">
      <c r="A168" s="90" t="s">
        <v>19</v>
      </c>
      <c r="B168" s="91">
        <f t="shared" ref="B168:E168" si="15">SUM(B161:B167)</f>
        <v>301</v>
      </c>
      <c r="C168" s="92">
        <f t="shared" si="15"/>
        <v>219</v>
      </c>
      <c r="D168" s="92">
        <f t="shared" si="15"/>
        <v>82</v>
      </c>
      <c r="E168" s="92">
        <f t="shared" si="15"/>
        <v>145</v>
      </c>
      <c r="F168" s="93">
        <f t="shared" si="14"/>
        <v>0.6621004566</v>
      </c>
      <c r="G168" s="94">
        <f>IFERROR(SUMPRODUCT((sheet2!$S$2:$S$538=1)*(sheet2!$R$2:$R$538&lt;&gt;"Not tested yet")*(sheet2!$O$2:$O$538-sheet2!$N$2:$N$538))/SUMPRODUCT((sheet2!$S$2:$S$538=1)*(sheet2!$R$2:$R$538&lt;&gt;"Not tested yet")),0)</f>
        <v>1.776255708</v>
      </c>
      <c r="H168" s="92">
        <f>SUM(H161:H167)</f>
        <v>42</v>
      </c>
    </row>
  </sheetData>
  <autoFilter ref="$A$33:$H$112">
    <filterColumn colId="7">
      <filters>
        <filter val="Dropped"/>
        <filter val="🔄 In progress"/>
        <filter val="✅ Done"/>
        <filter val="🟢 Almost"/>
      </filters>
    </filterColumn>
    <sortState ref="A33:H112">
      <sortCondition ref="H33:H112"/>
      <sortCondition ref="A33:A112"/>
    </sortState>
  </autoFilter>
  <mergeCells count="57">
    <mergeCell ref="G15:H15"/>
    <mergeCell ref="G16:H16"/>
    <mergeCell ref="G17:H17"/>
    <mergeCell ref="G18:H18"/>
    <mergeCell ref="G19:H19"/>
    <mergeCell ref="G20:H20"/>
    <mergeCell ref="A22:H22"/>
    <mergeCell ref="C23:D23"/>
    <mergeCell ref="G23:H23"/>
    <mergeCell ref="C24:D24"/>
    <mergeCell ref="G24:H24"/>
    <mergeCell ref="C25:D25"/>
    <mergeCell ref="G25:H25"/>
    <mergeCell ref="G26:H26"/>
    <mergeCell ref="A1:H1"/>
    <mergeCell ref="A2:H2"/>
    <mergeCell ref="A4:H4"/>
    <mergeCell ref="A5:B5"/>
    <mergeCell ref="C5:D5"/>
    <mergeCell ref="E5:F5"/>
    <mergeCell ref="G5:H5"/>
    <mergeCell ref="A6:B6"/>
    <mergeCell ref="C6:D6"/>
    <mergeCell ref="E6:F6"/>
    <mergeCell ref="G6:H6"/>
    <mergeCell ref="C7:D7"/>
    <mergeCell ref="E7:F7"/>
    <mergeCell ref="G7:H7"/>
    <mergeCell ref="E9:F9"/>
    <mergeCell ref="G9:H9"/>
    <mergeCell ref="A7:B7"/>
    <mergeCell ref="A8:B8"/>
    <mergeCell ref="C8:D8"/>
    <mergeCell ref="E8:F8"/>
    <mergeCell ref="G8:H8"/>
    <mergeCell ref="A9:B9"/>
    <mergeCell ref="C9:D9"/>
    <mergeCell ref="A10:B10"/>
    <mergeCell ref="C10:D10"/>
    <mergeCell ref="E10:F10"/>
    <mergeCell ref="G10:H10"/>
    <mergeCell ref="A12:H12"/>
    <mergeCell ref="G13:H13"/>
    <mergeCell ref="G14:H14"/>
    <mergeCell ref="C26:D26"/>
    <mergeCell ref="C27:D27"/>
    <mergeCell ref="C28:D28"/>
    <mergeCell ref="C29:D29"/>
    <mergeCell ref="C30:D30"/>
    <mergeCell ref="G27:H27"/>
    <mergeCell ref="G30:H30"/>
    <mergeCell ref="A32:H32"/>
    <mergeCell ref="A113:H113"/>
    <mergeCell ref="A122:H122"/>
    <mergeCell ref="A138:H138"/>
    <mergeCell ref="A139:H139"/>
    <mergeCell ref="A159:H159"/>
  </mergeCells>
  <conditionalFormatting sqref="F161:F167">
    <cfRule type="expression" dxfId="0" priority="1">
      <formula>F161&gt;$F$168</formula>
    </cfRule>
  </conditionalFormatting>
  <conditionalFormatting sqref="F161:F167">
    <cfRule type="expression" dxfId="1" priority="2">
      <formula>F161&lt;0.5</formula>
    </cfRule>
  </conditionalFormatting>
  <conditionalFormatting sqref="F161:F167">
    <cfRule type="expression" dxfId="2" priority="3">
      <formula>AND(F161&gt;=0.5,F161&lt;=$F$168)</formula>
    </cfRule>
  </conditionalFormatting>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57"/>
    <col customWidth="1" min="2" max="2" width="11.57"/>
    <col customWidth="1" min="3" max="3" width="28.71"/>
    <col customWidth="1" min="4" max="4" width="50.14"/>
  </cols>
  <sheetData>
    <row r="1">
      <c r="A1" s="95" t="s">
        <v>155</v>
      </c>
      <c r="B1" s="95" t="s">
        <v>156</v>
      </c>
      <c r="C1" s="95" t="s">
        <v>157</v>
      </c>
      <c r="D1" s="95" t="s">
        <v>158</v>
      </c>
    </row>
    <row r="2">
      <c r="A2" s="16" t="s">
        <v>159</v>
      </c>
      <c r="B2" s="16" t="s">
        <v>160</v>
      </c>
      <c r="C2" s="16" t="s">
        <v>161</v>
      </c>
      <c r="D2" s="16" t="s">
        <v>162</v>
      </c>
    </row>
    <row r="3">
      <c r="A3" s="16" t="s">
        <v>159</v>
      </c>
      <c r="B3" s="16" t="s">
        <v>163</v>
      </c>
      <c r="C3" s="16" t="s">
        <v>161</v>
      </c>
      <c r="D3" s="16" t="s">
        <v>162</v>
      </c>
    </row>
    <row r="4">
      <c r="A4" s="16" t="s">
        <v>159</v>
      </c>
      <c r="B4" s="16" t="s">
        <v>164</v>
      </c>
      <c r="C4" s="16" t="s">
        <v>161</v>
      </c>
      <c r="D4" s="16" t="s">
        <v>162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9.29"/>
    <col customWidth="1" min="2" max="2" width="34.57"/>
    <col customWidth="1" min="3" max="3" width="10.86"/>
    <col customWidth="1" min="4" max="4" width="12.14"/>
    <col customWidth="1" min="5" max="5" width="18.57"/>
    <col customWidth="1" min="6" max="6" width="15.0"/>
    <col customWidth="1" min="7" max="7" width="20.0"/>
    <col customWidth="1" min="8" max="8" width="15.14"/>
    <col customWidth="1" min="9" max="9" width="18.57"/>
    <col customWidth="1" min="10" max="10" width="15.71"/>
    <col customWidth="1" min="11" max="11" width="9.86"/>
    <col customWidth="1" min="12" max="12" width="18.71"/>
    <col customWidth="1" min="13" max="13" width="33.0"/>
    <col customWidth="1" min="14" max="14" width="33.86"/>
    <col customWidth="1" min="15" max="15" width="44.71"/>
    <col customWidth="1" min="16" max="16" width="7.71"/>
    <col customWidth="1" min="17" max="17" width="10.57"/>
    <col customWidth="1" min="18" max="18" width="23.71"/>
    <col customWidth="1" min="19" max="19" width="14.0"/>
    <col customWidth="1" min="20" max="20" width="13.57"/>
    <col customWidth="1" min="21" max="21" width="16.71"/>
    <col customWidth="1" min="22" max="22" width="11.43"/>
    <col customWidth="1" min="23" max="23" width="23.71"/>
    <col customWidth="1" min="24" max="25" width="7.57"/>
    <col customWidth="1" min="26" max="26" width="33.86"/>
    <col customWidth="1" min="27" max="27" width="23.86"/>
  </cols>
  <sheetData>
    <row r="1" ht="27.75" customHeight="1">
      <c r="A1" s="96" t="s">
        <v>165</v>
      </c>
      <c r="B1" s="96" t="s">
        <v>166</v>
      </c>
      <c r="C1" s="97" t="s">
        <v>141</v>
      </c>
      <c r="D1" s="97" t="s">
        <v>167</v>
      </c>
      <c r="E1" s="97" t="s">
        <v>51</v>
      </c>
      <c r="F1" s="96" t="s">
        <v>46</v>
      </c>
      <c r="G1" s="98" t="s">
        <v>168</v>
      </c>
      <c r="H1" s="99" t="s">
        <v>169</v>
      </c>
      <c r="I1" s="98" t="s">
        <v>170</v>
      </c>
      <c r="J1" s="100" t="s">
        <v>171</v>
      </c>
      <c r="K1" s="101" t="s">
        <v>172</v>
      </c>
      <c r="L1" s="100" t="s">
        <v>173</v>
      </c>
      <c r="M1" s="98" t="s">
        <v>174</v>
      </c>
      <c r="N1" s="98" t="s">
        <v>175</v>
      </c>
      <c r="O1" s="98" t="s">
        <v>176</v>
      </c>
      <c r="P1" s="98"/>
      <c r="Q1" s="99" t="s">
        <v>177</v>
      </c>
      <c r="R1" s="99" t="s">
        <v>178</v>
      </c>
      <c r="S1" s="99" t="s">
        <v>179</v>
      </c>
      <c r="T1" s="99" t="s">
        <v>180</v>
      </c>
      <c r="U1" s="99" t="s">
        <v>181</v>
      </c>
      <c r="V1" s="99" t="s">
        <v>182</v>
      </c>
      <c r="W1" s="99" t="s">
        <v>128</v>
      </c>
      <c r="X1" s="99"/>
      <c r="Y1" s="98"/>
      <c r="Z1" s="98"/>
      <c r="AA1" s="98"/>
      <c r="AB1" s="102"/>
      <c r="AC1" s="102"/>
      <c r="AD1" s="103"/>
    </row>
    <row r="2" ht="15.0" customHeight="1">
      <c r="A2" s="104" t="s">
        <v>183</v>
      </c>
      <c r="B2" s="105" t="s">
        <v>184</v>
      </c>
      <c r="C2" s="106" t="str">
        <f>IFERROR(__xludf.DUMMYFUNCTION("arrayformula(VLOOKUP(to_Text(A2),to_Text(sheet2!$A$1:M1005),13,0))"),"MOC")</f>
        <v>MOC</v>
      </c>
      <c r="D2" s="107" t="str">
        <f>IFERROR(__xludf.DUMMYFUNCTION("arrayformula(VLOOKUP(to_Text(A2),to_Text(sheet2!$A$1:M1005),12,0))"),"QC")</f>
        <v>QC</v>
      </c>
      <c r="E2" s="108" t="str">
        <f t="shared" ref="E2:E294" si="2">IF(OR(L2="✅ Completed",L2="❌ Dropped"),"Inactive",IF(M2="Waiting for class","Waiting for class","Active"))</f>
        <v>Inactive</v>
      </c>
      <c r="F2" s="104" t="str">
        <f t="array" ref="F2">IFERROR(
  INDEX(ATTENDANCE_INPUT!D:D,
    MATCH(1,
      (ATTENDANCE_INPUT!A:A=A2) *
      (ATTENDANCE_INPUT!W:W=MAXIFS(ATTENDANCE_INPUT!W:W, ATTENDANCE_INPUT!A:A, A2)),
      0)),
  "")</f>
        <v>Anh Ha</v>
      </c>
      <c r="G2" s="109" t="str">
        <f t="array" ref="G2">IFERROR(
  INDEX(ATTENDANCE_INPUT!E:E,
    MATCH(1,
      (ATTENDANCE_INPUT!A:A=A2) *
      (ATTENDANCE_INPUT!W:W=MAXIFS(ATTENDANCE_INPUT!W:W, ATTENDANCE_INPUT!A:A, A2)),
      0)),
  "")</f>
        <v>Communication 2</v>
      </c>
      <c r="H2" s="110" t="str">
        <f t="array" ref="H2">IF(ISNA(MATCH(A2,sheet2!A:A,0)),"⏳ Chưa test",IFERROR(INDEX(LEVEL_HELPER!A:A,MATCH(INDEX(sheet2!N:N,MATCH(A2,sheet2!A:A,0)),LEVEL_HELPER!B:B,0)),"⏳ Chưa test"))</f>
        <v>Beginner</v>
      </c>
      <c r="I2" s="110" t="str">
        <f t="array" ref="I2">IF(ISNA(MATCH(A2,sheet2!A:A,0)),H2,IF(INDEX(sheet2!O:O,MATCH(A2,sheet2!A:A,0))&gt;0,IFERROR(INDEX(LEVEL_HELPER!A:A,MATCH(INDEX(sheet2!O:O,MATCH(A2,sheet2!A:A,0)),LEVEL_HELPER!B:B,0)),H2),H2))</f>
        <v>Pre-Intermediate 1</v>
      </c>
      <c r="J2" s="110">
        <f>IFERROR(MAXIFS(ATTENDANCE_LOG!F:F, ATTENDANCE_LOG!C:C, A2&amp;"", ATTENDANCE_LOG!G:G, "Present"), "")</f>
        <v>46106.54167</v>
      </c>
      <c r="K2" s="111">
        <f t="shared" ref="K2:K309" si="3">IF(J2="", "", TODAY() - J2)</f>
        <v>106.4583333</v>
      </c>
      <c r="L2" s="112" t="str">
        <f t="shared" ref="L2:L294" si="4">IF(M2="Completed (no continuation)","✅ Completed",IF(M2="Discontinued mid-course","❌ Dropped",IF(AND(ISNUMBER(K2),K2&gt;=30),"⚠ Check","")))</f>
        <v>✅ Completed</v>
      </c>
      <c r="M2" s="113" t="s">
        <v>35</v>
      </c>
      <c r="N2" s="114" t="s">
        <v>38</v>
      </c>
      <c r="O2" s="113"/>
      <c r="P2" s="115">
        <f>IFERROR(__xludf.DUMMYFUNCTION("IFERROR(COUNTUNIQUEIFS(ATTENDANCE_LOG!B:B,ATTENDANCE_LOG!C:C,A2),0)"),2.0)</f>
        <v>2</v>
      </c>
      <c r="Q2" s="113" t="str">
        <f t="array" ref="Q2">IFERROR(INDEX(ATTENDANCE_LOG!A:A,MATCH(1,(ATTENDANCE_LOG!C:C=A2)*(ATTENDANCE_LOG!F:F=MAXIFS(ATTENDANCE_LOG!F:F,ATTENDANCE_LOG!C:C,A2)),0)),"")</f>
        <v>EL033</v>
      </c>
      <c r="R2" s="113" t="str">
        <f t="array" ref="R2">IFERROR(INDEX(ATTENDANCE_LOG!B:B,MATCH(1,(ATTENDANCE_LOG!C:C=A2)*(ATTENDANCE_LOG!F:F=MAXIFS(ATTENDANCE_LOG!F:F,ATTENDANCE_LOG!C:C,A2)),0)),"")</f>
        <v>Communication 2</v>
      </c>
      <c r="S2" s="113">
        <f>IFERROR(VLOOKUP(H2, LEVEL_HELPER!A:B, 2, 0), 0)</f>
        <v>1</v>
      </c>
      <c r="T2" s="113">
        <f>IFERROR(VLOOKUP(I2, LEVEL_HELPER!A:B, 2, 0), 0)</f>
        <v>3</v>
      </c>
      <c r="U2" s="113">
        <f t="shared" ref="U2:V2" si="1">IF(S2="",0,IF(S2&lt;=2,1,IF(S2&lt;=4,2,IF(S2&lt;=5.5,3,4))))
</f>
        <v>1</v>
      </c>
      <c r="V2" s="113">
        <f t="shared" si="1"/>
        <v>2</v>
      </c>
      <c r="W2" s="113" t="str">
        <f t="shared" ref="W2:W294" si="6">IF(OR(H2="", H2="Not Placement"), "Not tested yet",
  IF(V2&lt;U2, "Regressed",
   IF(V2=U2, IF(T2&gt;S2, "Minor Improvement", "No Progress"),
    IF(V2-U2=1, "Lv"&amp;U2&amp;"→Lv"&amp;V2,
     "Lv"&amp;U2&amp;"→Lv"&amp;V2&amp;" (multi)"))))</f>
        <v>Lv1→Lv2</v>
      </c>
      <c r="X2" s="113"/>
      <c r="Y2" s="113"/>
      <c r="Z2" s="113"/>
      <c r="AA2" s="113"/>
      <c r="AB2" s="116"/>
      <c r="AC2" s="116"/>
      <c r="AD2" s="117"/>
    </row>
    <row r="3" ht="15.0" customHeight="1">
      <c r="A3" s="104" t="s">
        <v>185</v>
      </c>
      <c r="B3" s="105" t="s">
        <v>186</v>
      </c>
      <c r="C3" s="106" t="str">
        <f>IFERROR(__xludf.DUMMYFUNCTION("arrayformula(VLOOKUP(to_Text(A3),to_Text(sheet2!$A$1:M1005),13,0))"),"MOC")</f>
        <v>MOC</v>
      </c>
      <c r="D3" s="107" t="str">
        <f>IFERROR(__xludf.DUMMYFUNCTION("arrayformula(VLOOKUP(to_Text(A3),to_Text(sheet2!$A$1:M1005),12,0))"),"DEV")</f>
        <v>DEV</v>
      </c>
      <c r="E3" s="108" t="str">
        <f t="shared" si="2"/>
        <v>Inactive</v>
      </c>
      <c r="F3" s="104" t="str">
        <f t="array" ref="F3">IFERROR(
  INDEX(ATTENDANCE_INPUT!D:D,
    MATCH(1,
      (ATTENDANCE_INPUT!A:A=A3) *
      (ATTENDANCE_INPUT!W:W=MAXIFS(ATTENDANCE_INPUT!W:W, ATTENDANCE_INPUT!A:A, A3)),
      0)),
  "")</f>
        <v>Anh Ha</v>
      </c>
      <c r="G3" s="109" t="str">
        <f t="array" ref="G3">IFERROR(
  INDEX(ATTENDANCE_INPUT!E:E,
    MATCH(1,
      (ATTENDANCE_INPUT!A:A=A3) *
      (ATTENDANCE_INPUT!W:W=MAXIFS(ATTENDANCE_INPUT!W:W, ATTENDANCE_INPUT!A:A, A3)),
      0)),
  "")</f>
        <v>Communication 2</v>
      </c>
      <c r="H3" s="110" t="str">
        <f t="array" ref="H3">IF(ISNA(MATCH(A3,sheet2!A:A,0)),"⏳ Chưa test",IFERROR(INDEX(LEVEL_HELPER!A:A,MATCH(INDEX(sheet2!N:N,MATCH(A3,sheet2!A:A,0)),LEVEL_HELPER!B:B,0)),"⏳ Chưa test"))</f>
        <v>Beginner</v>
      </c>
      <c r="I3" s="110" t="str">
        <f t="array" ref="I3">IF(ISNA(MATCH(A3,sheet2!A:A,0)),H3,IF(INDEX(sheet2!O:O,MATCH(A3,sheet2!A:A,0))&gt;0,IFERROR(INDEX(LEVEL_HELPER!A:A,MATCH(INDEX(sheet2!O:O,MATCH(A3,sheet2!A:A,0)),LEVEL_HELPER!B:B,0)),H3),H3))</f>
        <v>Pre-Intermediate 1</v>
      </c>
      <c r="J3" s="110">
        <f>IFERROR(MAXIFS(ATTENDANCE_LOG!F:F, ATTENDANCE_LOG!C:C, A3&amp;"", ATTENDANCE_LOG!G:G, "Present"), "")</f>
        <v>46106.54167</v>
      </c>
      <c r="K3" s="111">
        <f t="shared" si="3"/>
        <v>106.4583333</v>
      </c>
      <c r="L3" s="112" t="str">
        <f t="shared" si="4"/>
        <v>✅ Completed</v>
      </c>
      <c r="M3" s="113" t="s">
        <v>35</v>
      </c>
      <c r="N3" s="114" t="s">
        <v>38</v>
      </c>
      <c r="O3" s="113"/>
      <c r="P3" s="115">
        <f>IFERROR(__xludf.DUMMYFUNCTION("IFERROR(COUNTUNIQUEIFS(ATTENDANCE_LOG!B:B,ATTENDANCE_LOG!C:C,A3),0)"),2.0)</f>
        <v>2</v>
      </c>
      <c r="Q3" s="113" t="str">
        <f t="array" ref="Q3">IFERROR(INDEX(ATTENDANCE_LOG!A:A,MATCH(1,(ATTENDANCE_LOG!C:C=A3)*(ATTENDANCE_LOG!F:F=MAXIFS(ATTENDANCE_LOG!F:F,ATTENDANCE_LOG!C:C,A3)),0)),"")</f>
        <v>EL033</v>
      </c>
      <c r="R3" s="113" t="str">
        <f t="array" ref="R3">IFERROR(INDEX(ATTENDANCE_LOG!B:B,MATCH(1,(ATTENDANCE_LOG!C:C=A3)*(ATTENDANCE_LOG!F:F=MAXIFS(ATTENDANCE_LOG!F:F,ATTENDANCE_LOG!C:C,A3)),0)),"")</f>
        <v>Communication 2</v>
      </c>
      <c r="S3" s="113">
        <f>IFERROR(VLOOKUP(H3, LEVEL_HELPER!A:B, 2, 0), 0)</f>
        <v>1</v>
      </c>
      <c r="T3" s="113">
        <f>IFERROR(VLOOKUP(I3, LEVEL_HELPER!A:B, 2, 0), 0)</f>
        <v>3</v>
      </c>
      <c r="U3" s="113">
        <f t="shared" ref="U3:V3" si="5">IF(S3="",0,IF(S3&lt;=2,1,IF(S3&lt;=4,2,IF(S3&lt;=5.5,3,4))))
</f>
        <v>1</v>
      </c>
      <c r="V3" s="113">
        <f t="shared" si="5"/>
        <v>2</v>
      </c>
      <c r="W3" s="113" t="str">
        <f t="shared" si="6"/>
        <v>Lv1→Lv2</v>
      </c>
      <c r="X3" s="113"/>
      <c r="Y3" s="113"/>
      <c r="Z3" s="113"/>
      <c r="AA3" s="113"/>
      <c r="AB3" s="116"/>
      <c r="AC3" s="116"/>
      <c r="AD3" s="117"/>
    </row>
    <row r="4" ht="15.0" customHeight="1">
      <c r="A4" s="104" t="s">
        <v>187</v>
      </c>
      <c r="B4" s="105" t="s">
        <v>188</v>
      </c>
      <c r="C4" s="106" t="str">
        <f>IFERROR(__xludf.DUMMYFUNCTION("arrayformula(VLOOKUP(to_Text(A4),to_Text(sheet2!$A$1:M1005),13,0))"),"MOC")</f>
        <v>MOC</v>
      </c>
      <c r="D4" s="107" t="str">
        <f>IFERROR(__xludf.DUMMYFUNCTION("arrayformula(VLOOKUP(to_Text(A4),to_Text(sheet2!$A$1:M1005),12,0))"),"DEV")</f>
        <v>DEV</v>
      </c>
      <c r="E4" s="108" t="str">
        <f t="shared" si="2"/>
        <v>Inactive</v>
      </c>
      <c r="F4" s="104" t="str">
        <f t="array" ref="F4">IFERROR(
  INDEX(ATTENDANCE_INPUT!D:D,
    MATCH(1,
      (ATTENDANCE_INPUT!A:A=A4) *
      (ATTENDANCE_INPUT!W:W=MAXIFS(ATTENDANCE_INPUT!W:W, ATTENDANCE_INPUT!A:A, A4)),
      0)),
  "")</f>
        <v>Anh Ha</v>
      </c>
      <c r="G4" s="109" t="str">
        <f t="array" ref="G4">IFERROR(
  INDEX(ATTENDANCE_INPUT!E:E,
    MATCH(1,
      (ATTENDANCE_INPUT!A:A=A4) *
      (ATTENDANCE_INPUT!W:W=MAXIFS(ATTENDANCE_INPUT!W:W, ATTENDANCE_INPUT!A:A, A4)),
      0)),
  "")</f>
        <v>Communication 2</v>
      </c>
      <c r="H4" s="110" t="str">
        <f t="array" ref="H4">IF(ISNA(MATCH(A4,sheet2!A:A,0)),"⏳ Chưa test",IFERROR(INDEX(LEVEL_HELPER!A:A,MATCH(INDEX(sheet2!N:N,MATCH(A4,sheet2!A:A,0)),LEVEL_HELPER!B:B,0)),"⏳ Chưa test"))</f>
        <v>Beginner</v>
      </c>
      <c r="I4" s="110" t="str">
        <f t="array" ref="I4">IF(ISNA(MATCH(A4,sheet2!A:A,0)),H4,IF(INDEX(sheet2!O:O,MATCH(A4,sheet2!A:A,0))&gt;0,IFERROR(INDEX(LEVEL_HELPER!A:A,MATCH(INDEX(sheet2!O:O,MATCH(A4,sheet2!A:A,0)),LEVEL_HELPER!B:B,0)),H4),H4))</f>
        <v>Pre-Intermediate 2</v>
      </c>
      <c r="J4" s="110">
        <f>IFERROR(MAXIFS(ATTENDANCE_LOG!F:F, ATTENDANCE_LOG!C:C, A4&amp;"", ATTENDANCE_LOG!G:G, "Present"), "")</f>
        <v>46106.54167</v>
      </c>
      <c r="K4" s="111">
        <f t="shared" si="3"/>
        <v>106.4583333</v>
      </c>
      <c r="L4" s="112" t="str">
        <f t="shared" si="4"/>
        <v>✅ Completed</v>
      </c>
      <c r="M4" s="113" t="s">
        <v>35</v>
      </c>
      <c r="N4" s="114" t="s">
        <v>38</v>
      </c>
      <c r="O4" s="118" t="s">
        <v>189</v>
      </c>
      <c r="P4" s="115">
        <f>IFERROR(__xludf.DUMMYFUNCTION("IFERROR(COUNTUNIQUEIFS(ATTENDANCE_LOG!B:B,ATTENDANCE_LOG!C:C,A4),0)"),2.0)</f>
        <v>2</v>
      </c>
      <c r="Q4" s="113" t="str">
        <f t="array" ref="Q4">IFERROR(INDEX(ATTENDANCE_LOG!A:A,MATCH(1,(ATTENDANCE_LOG!C:C=A4)*(ATTENDANCE_LOG!F:F=MAXIFS(ATTENDANCE_LOG!F:F,ATTENDANCE_LOG!C:C,A4)),0)),"")</f>
        <v>EL033</v>
      </c>
      <c r="R4" s="113" t="str">
        <f t="array" ref="R4">IFERROR(INDEX(ATTENDANCE_LOG!B:B,MATCH(1,(ATTENDANCE_LOG!C:C=A4)*(ATTENDANCE_LOG!F:F=MAXIFS(ATTENDANCE_LOG!F:F,ATTENDANCE_LOG!C:C,A4)),0)),"")</f>
        <v>Communication 2</v>
      </c>
      <c r="S4" s="113">
        <f>IFERROR(VLOOKUP(H4, LEVEL_HELPER!A:B, 2, 0), 0)</f>
        <v>1</v>
      </c>
      <c r="T4" s="113">
        <f>IFERROR(VLOOKUP(I4, LEVEL_HELPER!A:B, 2, 0), 0)</f>
        <v>3.5</v>
      </c>
      <c r="U4" s="113">
        <f t="shared" ref="U4:V4" si="7">IF(S4="",0,IF(S4&lt;=2,1,IF(S4&lt;=4,2,IF(S4&lt;=5.5,3,4))))
</f>
        <v>1</v>
      </c>
      <c r="V4" s="113">
        <f t="shared" si="7"/>
        <v>2</v>
      </c>
      <c r="W4" s="113" t="str">
        <f t="shared" si="6"/>
        <v>Lv1→Lv2</v>
      </c>
      <c r="X4" s="113"/>
      <c r="Y4" s="113">
        <v>247311.0</v>
      </c>
      <c r="Z4" s="113" t="s">
        <v>190</v>
      </c>
      <c r="AA4" s="113" t="s">
        <v>34</v>
      </c>
      <c r="AB4" s="116"/>
      <c r="AC4" s="119">
        <v>267126.0</v>
      </c>
      <c r="AD4" s="117">
        <f t="shared" ref="AD4:AD10" si="9">countif($A$2:$A1005,AC4)</f>
        <v>0</v>
      </c>
    </row>
    <row r="5" ht="15.0" customHeight="1">
      <c r="A5" s="104" t="s">
        <v>191</v>
      </c>
      <c r="B5" s="105" t="s">
        <v>192</v>
      </c>
      <c r="C5" s="106" t="str">
        <f>IFERROR(__xludf.DUMMYFUNCTION("arrayformula(VLOOKUP(to_Text(A5),to_Text(sheet2!$A$1:M1005),13,0))"),"MOC")</f>
        <v>MOC</v>
      </c>
      <c r="D5" s="107" t="str">
        <f>IFERROR(__xludf.DUMMYFUNCTION("arrayformula(VLOOKUP(to_Text(A5),to_Text(sheet2!$A$1:M1005),12,0))"),"QC")</f>
        <v>QC</v>
      </c>
      <c r="E5" s="108" t="str">
        <f t="shared" si="2"/>
        <v>Inactive</v>
      </c>
      <c r="F5" s="104" t="str">
        <f t="array" ref="F5">IFERROR(
  INDEX(ATTENDANCE_INPUT!D:D,
    MATCH(1,
      (ATTENDANCE_INPUT!A:A=A5) *
      (ATTENDANCE_INPUT!W:W=MAXIFS(ATTENDANCE_INPUT!W:W, ATTENDANCE_INPUT!A:A, A5)),
      0)),
  "")</f>
        <v>Anh Ha</v>
      </c>
      <c r="G5" s="109" t="str">
        <f t="array" ref="G5">IFERROR(
  INDEX(ATTENDANCE_INPUT!E:E,
    MATCH(1,
      (ATTENDANCE_INPUT!A:A=A5) *
      (ATTENDANCE_INPUT!W:W=MAXIFS(ATTENDANCE_INPUT!W:W, ATTENDANCE_INPUT!A:A, A5)),
      0)),
  "")</f>
        <v>Communication 2</v>
      </c>
      <c r="H5" s="110" t="str">
        <f t="array" ref="H5">IF(ISNA(MATCH(A5,sheet2!A:A,0)),"⏳ Chưa test",IFERROR(INDEX(LEVEL_HELPER!A:A,MATCH(INDEX(sheet2!N:N,MATCH(A5,sheet2!A:A,0)),LEVEL_HELPER!B:B,0)),"⏳ Chưa test"))</f>
        <v>Beginner</v>
      </c>
      <c r="I5" s="110" t="str">
        <f t="array" ref="I5">IF(ISNA(MATCH(A5,sheet2!A:A,0)),H5,IF(INDEX(sheet2!O:O,MATCH(A5,sheet2!A:A,0))&gt;0,IFERROR(INDEX(LEVEL_HELPER!A:A,MATCH(INDEX(sheet2!O:O,MATCH(A5,sheet2!A:A,0)),LEVEL_HELPER!B:B,0)),H5),H5))</f>
        <v>Beginner 2</v>
      </c>
      <c r="J5" s="110">
        <f>IFERROR(MAXIFS(ATTENDANCE_LOG!F:F, ATTENDANCE_LOG!C:C, A5&amp;"", ATTENDANCE_LOG!G:G, "Present"), "")</f>
        <v>46050.41667</v>
      </c>
      <c r="K5" s="111">
        <f t="shared" si="3"/>
        <v>162.5833333</v>
      </c>
      <c r="L5" s="112" t="str">
        <f t="shared" si="4"/>
        <v>✅ Completed</v>
      </c>
      <c r="M5" s="113" t="s">
        <v>35</v>
      </c>
      <c r="N5" s="114" t="s">
        <v>38</v>
      </c>
      <c r="O5" s="113"/>
      <c r="P5" s="115">
        <f>IFERROR(__xludf.DUMMYFUNCTION("IFERROR(COUNTUNIQUEIFS(ATTENDANCE_LOG!B:B,ATTENDANCE_LOG!C:C,A5),0)"),2.0)</f>
        <v>2</v>
      </c>
      <c r="Q5" s="113" t="str">
        <f t="array" ref="Q5">IFERROR(INDEX(ATTENDANCE_LOG!A:A,MATCH(1,(ATTENDANCE_LOG!C:C=A5)*(ATTENDANCE_LOG!F:F=MAXIFS(ATTENDANCE_LOG!F:F,ATTENDANCE_LOG!C:C,A5)),0)),"")</f>
        <v>EL033</v>
      </c>
      <c r="R5" s="113" t="str">
        <f t="array" ref="R5">IFERROR(INDEX(ATTENDANCE_LOG!B:B,MATCH(1,(ATTENDANCE_LOG!C:C=A5)*(ATTENDANCE_LOG!F:F=MAXIFS(ATTENDANCE_LOG!F:F,ATTENDANCE_LOG!C:C,A5)),0)),"")</f>
        <v>Communication 2</v>
      </c>
      <c r="S5" s="113">
        <f>IFERROR(VLOOKUP(H5, LEVEL_HELPER!A:B, 2, 0), 0)</f>
        <v>1</v>
      </c>
      <c r="T5" s="113">
        <f>IFERROR(VLOOKUP(I5, LEVEL_HELPER!A:B, 2, 0), 0)</f>
        <v>1.5</v>
      </c>
      <c r="U5" s="113">
        <f t="shared" ref="U5:V5" si="8">IF(S5="",0,IF(S5&lt;=2,1,IF(S5&lt;=4,2,IF(S5&lt;=5.5,3,4))))
</f>
        <v>1</v>
      </c>
      <c r="V5" s="113">
        <f t="shared" si="8"/>
        <v>1</v>
      </c>
      <c r="W5" s="113" t="str">
        <f t="shared" si="6"/>
        <v>Minor Improvement</v>
      </c>
      <c r="X5" s="113"/>
      <c r="Y5" s="113">
        <v>247324.0</v>
      </c>
      <c r="Z5" s="113" t="s">
        <v>193</v>
      </c>
      <c r="AA5" s="113" t="s">
        <v>193</v>
      </c>
      <c r="AB5" s="116"/>
      <c r="AC5" s="119">
        <v>247045.0</v>
      </c>
      <c r="AD5" s="117">
        <f t="shared" si="9"/>
        <v>0</v>
      </c>
    </row>
    <row r="6" ht="15.0" customHeight="1">
      <c r="A6" s="104" t="s">
        <v>194</v>
      </c>
      <c r="B6" s="105" t="s">
        <v>195</v>
      </c>
      <c r="C6" s="106" t="str">
        <f>IFERROR(__xludf.DUMMYFUNCTION("arrayformula(VLOOKUP(to_Text(A6),to_Text(sheet2!$A$1:M1005),13,0))"),"MOC")</f>
        <v>MOC</v>
      </c>
      <c r="D6" s="107" t="str">
        <f>IFERROR(__xludf.DUMMYFUNCTION("arrayformula(VLOOKUP(to_Text(A6),to_Text(sheet2!$A$1:M1005),12,0))"),"DEV")</f>
        <v>DEV</v>
      </c>
      <c r="E6" s="108" t="str">
        <f t="shared" si="2"/>
        <v>Inactive</v>
      </c>
      <c r="F6" s="104" t="str">
        <f t="array" ref="F6">IFERROR(
  INDEX(ATTENDANCE_INPUT!D:D,
    MATCH(1,
      (ATTENDANCE_INPUT!A:A=A6) *
      (ATTENDANCE_INPUT!W:W=MAXIFS(ATTENDANCE_INPUT!W:W, ATTENDANCE_INPUT!A:A, A6)),
      0)),
  "")</f>
        <v>Anh Ha</v>
      </c>
      <c r="G6" s="109" t="str">
        <f t="array" ref="G6">IFERROR(
  INDEX(ATTENDANCE_INPUT!E:E,
    MATCH(1,
      (ATTENDANCE_INPUT!A:A=A6) *
      (ATTENDANCE_INPUT!W:W=MAXIFS(ATTENDANCE_INPUT!W:W, ATTENDANCE_INPUT!A:A, A6)),
      0)),
  "")</f>
        <v>Communication 2</v>
      </c>
      <c r="H6" s="110" t="str">
        <f t="array" ref="H6">IF(ISNA(MATCH(A6,sheet2!A:A,0)),"⏳ Chưa test",IFERROR(INDEX(LEVEL_HELPER!A:A,MATCH(INDEX(sheet2!N:N,MATCH(A6,sheet2!A:A,0)),LEVEL_HELPER!B:B,0)),"⏳ Chưa test"))</f>
        <v>Beginner</v>
      </c>
      <c r="I6" s="110" t="str">
        <f t="array" ref="I6">IF(ISNA(MATCH(A6,sheet2!A:A,0)),H6,IF(INDEX(sheet2!O:O,MATCH(A6,sheet2!A:A,0))&gt;0,IFERROR(INDEX(LEVEL_HELPER!A:A,MATCH(INDEX(sheet2!O:O,MATCH(A6,sheet2!A:A,0)),LEVEL_HELPER!B:B,0)),H6),H6))</f>
        <v>Pre-Intermediate 1</v>
      </c>
      <c r="J6" s="110">
        <f>IFERROR(MAXIFS(ATTENDANCE_LOG!F:F, ATTENDANCE_LOG!C:C, A6&amp;"", ATTENDANCE_LOG!G:G, "Present"), "")</f>
        <v>46106.54167</v>
      </c>
      <c r="K6" s="111">
        <f t="shared" si="3"/>
        <v>106.4583333</v>
      </c>
      <c r="L6" s="112" t="str">
        <f t="shared" si="4"/>
        <v>✅ Completed</v>
      </c>
      <c r="M6" s="113" t="s">
        <v>35</v>
      </c>
      <c r="N6" s="114" t="s">
        <v>38</v>
      </c>
      <c r="O6" s="113"/>
      <c r="P6" s="115">
        <f>IFERROR(__xludf.DUMMYFUNCTION("IFERROR(COUNTUNIQUEIFS(ATTENDANCE_LOG!B:B,ATTENDANCE_LOG!C:C,A6),0)"),2.0)</f>
        <v>2</v>
      </c>
      <c r="Q6" s="113" t="str">
        <f t="array" ref="Q6">IFERROR(INDEX(ATTENDANCE_LOG!A:A,MATCH(1,(ATTENDANCE_LOG!C:C=A6)*(ATTENDANCE_LOG!F:F=MAXIFS(ATTENDANCE_LOG!F:F,ATTENDANCE_LOG!C:C,A6)),0)),"")</f>
        <v>EL033</v>
      </c>
      <c r="R6" s="113" t="str">
        <f t="array" ref="R6">IFERROR(INDEX(ATTENDANCE_LOG!B:B,MATCH(1,(ATTENDANCE_LOG!C:C=A6)*(ATTENDANCE_LOG!F:F=MAXIFS(ATTENDANCE_LOG!F:F,ATTENDANCE_LOG!C:C,A6)),0)),"")</f>
        <v>Communication 2</v>
      </c>
      <c r="S6" s="113">
        <f>IFERROR(VLOOKUP(H6, LEVEL_HELPER!A:B, 2, 0), 0)</f>
        <v>1</v>
      </c>
      <c r="T6" s="113">
        <f>IFERROR(VLOOKUP(I6, LEVEL_HELPER!A:B, 2, 0), 0)</f>
        <v>3</v>
      </c>
      <c r="U6" s="113">
        <f t="shared" ref="U6:V6" si="10">IF(S6="",0,IF(S6&lt;=2,1,IF(S6&lt;=4,2,IF(S6&lt;=5.5,3,4))))
</f>
        <v>1</v>
      </c>
      <c r="V6" s="113">
        <f t="shared" si="10"/>
        <v>2</v>
      </c>
      <c r="W6" s="113" t="str">
        <f t="shared" si="6"/>
        <v>Lv1→Lv2</v>
      </c>
      <c r="X6" s="113"/>
      <c r="Y6" s="113">
        <v>247323.0</v>
      </c>
      <c r="Z6" s="113" t="s">
        <v>190</v>
      </c>
      <c r="AA6" s="113" t="s">
        <v>34</v>
      </c>
      <c r="AB6" s="116"/>
      <c r="AC6" s="119">
        <v>247046.0</v>
      </c>
      <c r="AD6" s="117">
        <f t="shared" si="9"/>
        <v>0</v>
      </c>
    </row>
    <row r="7" ht="15.0" customHeight="1">
      <c r="A7" s="104" t="s">
        <v>196</v>
      </c>
      <c r="B7" s="105" t="s">
        <v>197</v>
      </c>
      <c r="C7" s="106" t="str">
        <f>IFERROR(__xludf.DUMMYFUNCTION("arrayformula(VLOOKUP(to_Text(A7),to_Text(sheet2!$A$1:M1005),13,0))"),"MOC")</f>
        <v>MOC</v>
      </c>
      <c r="D7" s="107" t="str">
        <f>IFERROR(__xludf.DUMMYFUNCTION("arrayformula(VLOOKUP(to_Text(A7),to_Text(sheet2!$A$1:M1005),12,0))"),"DEV")</f>
        <v>DEV</v>
      </c>
      <c r="E7" s="108" t="str">
        <f t="shared" si="2"/>
        <v>Inactive</v>
      </c>
      <c r="F7" s="104" t="str">
        <f t="array" ref="F7">IFERROR(
  INDEX(ATTENDANCE_INPUT!D:D,
    MATCH(1,
      (ATTENDANCE_INPUT!A:A=A7) *
      (ATTENDANCE_INPUT!W:W=MAXIFS(ATTENDANCE_INPUT!W:W, ATTENDANCE_INPUT!A:A, A7)),
      0)),
  "")</f>
        <v>Anh Ha</v>
      </c>
      <c r="G7" s="109" t="str">
        <f t="array" ref="G7">IFERROR(
  INDEX(ATTENDANCE_INPUT!E:E,
    MATCH(1,
      (ATTENDANCE_INPUT!A:A=A7) *
      (ATTENDANCE_INPUT!W:W=MAXIFS(ATTENDANCE_INPUT!W:W, ATTENDANCE_INPUT!A:A, A7)),
      0)),
  "")</f>
        <v>Communication 2</v>
      </c>
      <c r="H7" s="110" t="str">
        <f t="array" ref="H7">IF(ISNA(MATCH(A7,sheet2!A:A,0)),"⏳ Chưa test",IFERROR(INDEX(LEVEL_HELPER!A:A,MATCH(INDEX(sheet2!N:N,MATCH(A7,sheet2!A:A,0)),LEVEL_HELPER!B:B,0)),"⏳ Chưa test"))</f>
        <v>Beginner</v>
      </c>
      <c r="I7" s="110" t="str">
        <f t="array" ref="I7">IF(ISNA(MATCH(A7,sheet2!A:A,0)),H7,IF(INDEX(sheet2!O:O,MATCH(A7,sheet2!A:A,0))&gt;0,IFERROR(INDEX(LEVEL_HELPER!A:A,MATCH(INDEX(sheet2!O:O,MATCH(A7,sheet2!A:A,0)),LEVEL_HELPER!B:B,0)),H7),H7))</f>
        <v>Intermediate 1</v>
      </c>
      <c r="J7" s="110">
        <f>IFERROR(MAXIFS(ATTENDANCE_LOG!F:F, ATTENDANCE_LOG!C:C, A7&amp;"", ATTENDANCE_LOG!G:G, "Present"), "")</f>
        <v>46106.54167</v>
      </c>
      <c r="K7" s="111">
        <f t="shared" si="3"/>
        <v>106.4583333</v>
      </c>
      <c r="L7" s="112" t="str">
        <f t="shared" si="4"/>
        <v>✅ Completed</v>
      </c>
      <c r="M7" s="113" t="s">
        <v>35</v>
      </c>
      <c r="N7" s="114" t="s">
        <v>38</v>
      </c>
      <c r="O7" s="113"/>
      <c r="P7" s="115">
        <f>IFERROR(__xludf.DUMMYFUNCTION("IFERROR(COUNTUNIQUEIFS(ATTENDANCE_LOG!B:B,ATTENDANCE_LOG!C:C,A7),0)"),2.0)</f>
        <v>2</v>
      </c>
      <c r="Q7" s="113" t="str">
        <f t="array" ref="Q7">IFERROR(INDEX(ATTENDANCE_LOG!A:A,MATCH(1,(ATTENDANCE_LOG!C:C=A7)*(ATTENDANCE_LOG!F:F=MAXIFS(ATTENDANCE_LOG!F:F,ATTENDANCE_LOG!C:C,A7)),0)),"")</f>
        <v>EL033</v>
      </c>
      <c r="R7" s="113" t="str">
        <f t="array" ref="R7">IFERROR(INDEX(ATTENDANCE_LOG!B:B,MATCH(1,(ATTENDANCE_LOG!C:C=A7)*(ATTENDANCE_LOG!F:F=MAXIFS(ATTENDANCE_LOG!F:F,ATTENDANCE_LOG!C:C,A7)),0)),"")</f>
        <v>Communication 2</v>
      </c>
      <c r="S7" s="113">
        <f>IFERROR(VLOOKUP(H7, LEVEL_HELPER!A:B, 2, 0), 0)</f>
        <v>1</v>
      </c>
      <c r="T7" s="113">
        <f>IFERROR(VLOOKUP(I7, LEVEL_HELPER!A:B, 2, 0), 0)</f>
        <v>5</v>
      </c>
      <c r="U7" s="113">
        <f t="shared" ref="U7:V7" si="11">IF(S7="",0,IF(S7&lt;=2,1,IF(S7&lt;=4,2,IF(S7&lt;=5.5,3,4))))
</f>
        <v>1</v>
      </c>
      <c r="V7" s="113">
        <f t="shared" si="11"/>
        <v>3</v>
      </c>
      <c r="W7" s="113" t="str">
        <f t="shared" si="6"/>
        <v>Lv1→Lv3 (multi)</v>
      </c>
      <c r="X7" s="113"/>
      <c r="Y7" s="113">
        <v>237172.0</v>
      </c>
      <c r="Z7" s="113" t="s">
        <v>190</v>
      </c>
      <c r="AA7" s="113" t="s">
        <v>34</v>
      </c>
      <c r="AB7" s="116"/>
      <c r="AC7" s="119">
        <v>247047.0</v>
      </c>
      <c r="AD7" s="117">
        <f t="shared" si="9"/>
        <v>0</v>
      </c>
    </row>
    <row r="8" ht="15.0" customHeight="1">
      <c r="A8" s="104" t="s">
        <v>198</v>
      </c>
      <c r="B8" s="105" t="s">
        <v>199</v>
      </c>
      <c r="C8" s="106" t="str">
        <f>IFERROR(__xludf.DUMMYFUNCTION("arrayformula(VLOOKUP(to_Text(A8),to_Text(sheet2!$A$1:M1005),13,0))"),"MOC")</f>
        <v>MOC</v>
      </c>
      <c r="D8" s="107" t="str">
        <f>IFERROR(__xludf.DUMMYFUNCTION("arrayformula(VLOOKUP(to_Text(A8),to_Text(sheet2!$A$1:M1005),12,0))"),"DEV")</f>
        <v>DEV</v>
      </c>
      <c r="E8" s="108" t="str">
        <f t="shared" si="2"/>
        <v>Inactive</v>
      </c>
      <c r="F8" s="104" t="str">
        <f t="array" ref="F8">IFERROR(
  INDEX(ATTENDANCE_INPUT!D:D,
    MATCH(1,
      (ATTENDANCE_INPUT!A:A=A8) *
      (ATTENDANCE_INPUT!W:W=MAXIFS(ATTENDANCE_INPUT!W:W, ATTENDANCE_INPUT!A:A, A8)),
      0)),
  "")</f>
        <v>Anh Ha</v>
      </c>
      <c r="G8" s="109" t="str">
        <f t="array" ref="G8">IFERROR(
  INDEX(ATTENDANCE_INPUT!E:E,
    MATCH(1,
      (ATTENDANCE_INPUT!A:A=A8) *
      (ATTENDANCE_INPUT!W:W=MAXIFS(ATTENDANCE_INPUT!W:W, ATTENDANCE_INPUT!A:A, A8)),
      0)),
  "")</f>
        <v>Communication 2</v>
      </c>
      <c r="H8" s="110" t="str">
        <f t="array" ref="H8">IF(ISNA(MATCH(A8,sheet2!A:A,0)),"⏳ Chưa test",IFERROR(INDEX(LEVEL_HELPER!A:A,MATCH(INDEX(sheet2!N:N,MATCH(A8,sheet2!A:A,0)),LEVEL_HELPER!B:B,0)),"⏳ Chưa test"))</f>
        <v>Beginner</v>
      </c>
      <c r="I8" s="110" t="str">
        <f t="array" ref="I8">IF(ISNA(MATCH(A8,sheet2!A:A,0)),H8,IF(INDEX(sheet2!O:O,MATCH(A8,sheet2!A:A,0))&gt;0,IFERROR(INDEX(LEVEL_HELPER!A:A,MATCH(INDEX(sheet2!O:O,MATCH(A8,sheet2!A:A,0)),LEVEL_HELPER!B:B,0)),H8),H8))</f>
        <v>Pre-Intermediate 2</v>
      </c>
      <c r="J8" s="110">
        <f>IFERROR(MAXIFS(ATTENDANCE_LOG!F:F, ATTENDANCE_LOG!C:C, A8&amp;"", ATTENDANCE_LOG!G:G, "Present"), "")</f>
        <v>46106.54167</v>
      </c>
      <c r="K8" s="111">
        <f t="shared" si="3"/>
        <v>106.4583333</v>
      </c>
      <c r="L8" s="112" t="str">
        <f t="shared" si="4"/>
        <v>✅ Completed</v>
      </c>
      <c r="M8" s="113" t="s">
        <v>35</v>
      </c>
      <c r="N8" s="114" t="s">
        <v>38</v>
      </c>
      <c r="O8" s="113"/>
      <c r="P8" s="115">
        <f>IFERROR(__xludf.DUMMYFUNCTION("IFERROR(COUNTUNIQUEIFS(ATTENDANCE_LOG!B:B,ATTENDANCE_LOG!C:C,A8),0)"),2.0)</f>
        <v>2</v>
      </c>
      <c r="Q8" s="113" t="str">
        <f t="array" ref="Q8">IFERROR(INDEX(ATTENDANCE_LOG!A:A,MATCH(1,(ATTENDANCE_LOG!C:C=A8)*(ATTENDANCE_LOG!F:F=MAXIFS(ATTENDANCE_LOG!F:F,ATTENDANCE_LOG!C:C,A8)),0)),"")</f>
        <v>EL033</v>
      </c>
      <c r="R8" s="113" t="str">
        <f t="array" ref="R8">IFERROR(INDEX(ATTENDANCE_LOG!B:B,MATCH(1,(ATTENDANCE_LOG!C:C=A8)*(ATTENDANCE_LOG!F:F=MAXIFS(ATTENDANCE_LOG!F:F,ATTENDANCE_LOG!C:C,A8)),0)),"")</f>
        <v>Communication 2</v>
      </c>
      <c r="S8" s="113">
        <f>IFERROR(VLOOKUP(H8, LEVEL_HELPER!A:B, 2, 0), 0)</f>
        <v>1</v>
      </c>
      <c r="T8" s="113">
        <f>IFERROR(VLOOKUP(I8, LEVEL_HELPER!A:B, 2, 0), 0)</f>
        <v>3.5</v>
      </c>
      <c r="U8" s="113">
        <f t="shared" ref="U8:V8" si="12">IF(S8="",0,IF(S8&lt;=2,1,IF(S8&lt;=4,2,IF(S8&lt;=5.5,3,4))))
</f>
        <v>1</v>
      </c>
      <c r="V8" s="113">
        <f t="shared" si="12"/>
        <v>2</v>
      </c>
      <c r="W8" s="113" t="str">
        <f t="shared" si="6"/>
        <v>Lv1→Lv2</v>
      </c>
      <c r="X8" s="113"/>
      <c r="Y8" s="113">
        <v>247040.0</v>
      </c>
      <c r="Z8" s="113" t="s">
        <v>190</v>
      </c>
      <c r="AA8" s="113" t="s">
        <v>34</v>
      </c>
      <c r="AB8" s="116"/>
      <c r="AC8" s="119">
        <v>227212.0</v>
      </c>
      <c r="AD8" s="117">
        <f t="shared" si="9"/>
        <v>0</v>
      </c>
    </row>
    <row r="9" ht="15.0" customHeight="1">
      <c r="A9" s="104" t="s">
        <v>200</v>
      </c>
      <c r="B9" s="105" t="s">
        <v>201</v>
      </c>
      <c r="C9" s="106" t="str">
        <f>IFERROR(__xludf.DUMMYFUNCTION("arrayformula(VLOOKUP(to_Text(A9),to_Text(sheet2!$A$1:M1005),13,0))"),"MOC")</f>
        <v>MOC</v>
      </c>
      <c r="D9" s="107" t="str">
        <f>IFERROR(__xludf.DUMMYFUNCTION("arrayformula(VLOOKUP(to_Text(A9),to_Text(sheet2!$A$1:M1005),12,0))"),"DEV")</f>
        <v>DEV</v>
      </c>
      <c r="E9" s="108" t="str">
        <f t="shared" si="2"/>
        <v>Waiting for class</v>
      </c>
      <c r="F9" s="104" t="str">
        <f t="array" ref="F9">IFERROR(
  INDEX(ATTENDANCE_INPUT!D:D,
    MATCH(1,
      (ATTENDANCE_INPUT!A:A=A9) *
      (ATTENDANCE_INPUT!W:W=MAXIFS(ATTENDANCE_INPUT!W:W, ATTENDANCE_INPUT!A:A, A9)),
      0)),
  "")</f>
        <v>Anh Ha</v>
      </c>
      <c r="G9" s="109" t="str">
        <f t="array" ref="G9">IFERROR(
  INDEX(ATTENDANCE_INPUT!E:E,
    MATCH(1,
      (ATTENDANCE_INPUT!A:A=A9) *
      (ATTENDANCE_INPUT!W:W=MAXIFS(ATTENDANCE_INPUT!W:W, ATTENDANCE_INPUT!A:A, A9)),
      0)),
  "")</f>
        <v>Communication 2</v>
      </c>
      <c r="H9" s="110" t="str">
        <f t="array" ref="H9">IF(ISNA(MATCH(A9,sheet2!A:A,0)),"⏳ Chưa test",IFERROR(INDEX(LEVEL_HELPER!A:A,MATCH(INDEX(sheet2!N:N,MATCH(A9,sheet2!A:A,0)),LEVEL_HELPER!B:B,0)),"⏳ Chưa test"))</f>
        <v>Beginner</v>
      </c>
      <c r="I9" s="110" t="str">
        <f t="array" ref="I9">IF(ISNA(MATCH(A9,sheet2!A:A,0)),H9,IF(INDEX(sheet2!O:O,MATCH(A9,sheet2!A:A,0))&gt;0,IFERROR(INDEX(LEVEL_HELPER!A:A,MATCH(INDEX(sheet2!O:O,MATCH(A9,sheet2!A:A,0)),LEVEL_HELPER!B:B,0)),H9),H9))</f>
        <v>Pre-Intermediate 1</v>
      </c>
      <c r="J9" s="110">
        <f>IFERROR(MAXIFS(ATTENDANCE_LOG!F:F, ATTENDANCE_LOG!C:C, A9&amp;"", ATTENDANCE_LOG!G:G, "Present"), "")</f>
        <v>46106.54167</v>
      </c>
      <c r="K9" s="111">
        <f t="shared" si="3"/>
        <v>106.4583333</v>
      </c>
      <c r="L9" s="112" t="str">
        <f t="shared" si="4"/>
        <v>⚠ Check</v>
      </c>
      <c r="M9" s="120" t="s">
        <v>202</v>
      </c>
      <c r="N9" s="114"/>
      <c r="O9" s="120" t="s">
        <v>203</v>
      </c>
      <c r="P9" s="115">
        <f>IFERROR(__xludf.DUMMYFUNCTION("IFERROR(COUNTUNIQUEIFS(ATTENDANCE_LOG!B:B,ATTENDANCE_LOG!C:C,A9),0)"),2.0)</f>
        <v>2</v>
      </c>
      <c r="Q9" s="113" t="str">
        <f t="array" ref="Q9">IFERROR(INDEX(ATTENDANCE_LOG!A:A,MATCH(1,(ATTENDANCE_LOG!C:C=A9)*(ATTENDANCE_LOG!F:F=MAXIFS(ATTENDANCE_LOG!F:F,ATTENDANCE_LOG!C:C,A9)),0)),"")</f>
        <v>EL033</v>
      </c>
      <c r="R9" s="113" t="str">
        <f t="array" ref="R9">IFERROR(INDEX(ATTENDANCE_LOG!B:B,MATCH(1,(ATTENDANCE_LOG!C:C=A9)*(ATTENDANCE_LOG!F:F=MAXIFS(ATTENDANCE_LOG!F:F,ATTENDANCE_LOG!C:C,A9)),0)),"")</f>
        <v>Communication 2</v>
      </c>
      <c r="S9" s="113">
        <f>IFERROR(VLOOKUP(H9, LEVEL_HELPER!A:B, 2, 0), 0)</f>
        <v>1</v>
      </c>
      <c r="T9" s="113">
        <f>IFERROR(VLOOKUP(I9, LEVEL_HELPER!A:B, 2, 0), 0)</f>
        <v>3</v>
      </c>
      <c r="U9" s="113">
        <f t="shared" ref="U9:V9" si="13">IF(S9="",0,IF(S9&lt;=2,1,IF(S9&lt;=4,2,IF(S9&lt;=5.5,3,4))))
</f>
        <v>1</v>
      </c>
      <c r="V9" s="113">
        <f t="shared" si="13"/>
        <v>2</v>
      </c>
      <c r="W9" s="113" t="str">
        <f t="shared" si="6"/>
        <v>Lv1→Lv2</v>
      </c>
      <c r="X9" s="121"/>
      <c r="Y9" s="121">
        <v>237167.0</v>
      </c>
      <c r="Z9" s="121" t="s">
        <v>204</v>
      </c>
      <c r="AA9" s="121" t="s">
        <v>205</v>
      </c>
      <c r="AB9" s="102"/>
      <c r="AC9" s="119">
        <v>247029.0</v>
      </c>
      <c r="AD9" s="117">
        <f t="shared" si="9"/>
        <v>0</v>
      </c>
    </row>
    <row r="10" ht="15.0" customHeight="1">
      <c r="A10" s="104" t="s">
        <v>206</v>
      </c>
      <c r="B10" s="105" t="s">
        <v>207</v>
      </c>
      <c r="C10" s="106" t="str">
        <f>IFERROR(__xludf.DUMMYFUNCTION("arrayformula(VLOOKUP(to_Text(A10),to_Text(sheet2!$A$1:M1005),13,0))"),"MOC")</f>
        <v>MOC</v>
      </c>
      <c r="D10" s="107" t="str">
        <f>IFERROR(__xludf.DUMMYFUNCTION("arrayformula(VLOOKUP(to_Text(A10),to_Text(sheet2!$A$1:M1005),12,0))"),"QC")</f>
        <v>QC</v>
      </c>
      <c r="E10" s="108" t="str">
        <f t="shared" si="2"/>
        <v>Inactive</v>
      </c>
      <c r="F10" s="104" t="str">
        <f t="array" ref="F10">IFERROR(
  INDEX(ATTENDANCE_INPUT!D:D,
    MATCH(1,
      (ATTENDANCE_INPUT!A:A=A10) *
      (ATTENDANCE_INPUT!W:W=MAXIFS(ATTENDANCE_INPUT!W:W, ATTENDANCE_INPUT!A:A, A10)),
      0)),
  "")</f>
        <v>Anh To</v>
      </c>
      <c r="G10" s="109" t="str">
        <f t="array" ref="G10">IFERROR(
  INDEX(ATTENDANCE_INPUT!E:E,
    MATCH(1,
      (ATTENDANCE_INPUT!A:A=A10) *
      (ATTENDANCE_INPUT!W:W=MAXIFS(ATTENDANCE_INPUT!W:W, ATTENDANCE_INPUT!A:A, A10)),
      0)),
  "")</f>
        <v>Communication 2</v>
      </c>
      <c r="H10" s="110" t="str">
        <f t="array" ref="H10">IF(ISNA(MATCH(A10,sheet2!A:A,0)),"⏳ Chưa test",IFERROR(INDEX(LEVEL_HELPER!A:A,MATCH(INDEX(sheet2!N:N,MATCH(A10,sheet2!A:A,0)),LEVEL_HELPER!B:B,0)),"⏳ Chưa test"))</f>
        <v>Beginner</v>
      </c>
      <c r="I10" s="110" t="str">
        <f t="array" ref="I10">IF(ISNA(MATCH(A10,sheet2!A:A,0)),H10,IF(INDEX(sheet2!O:O,MATCH(A10,sheet2!A:A,0))&gt;0,IFERROR(INDEX(LEVEL_HELPER!A:A,MATCH(INDEX(sheet2!O:O,MATCH(A10,sheet2!A:A,0)),LEVEL_HELPER!B:B,0)),H10),H10))</f>
        <v>Intermediate 1</v>
      </c>
      <c r="J10" s="110">
        <f>IFERROR(MAXIFS(ATTENDANCE_LOG!F:F, ATTENDANCE_LOG!C:C, A10&amp;"", ATTENDANCE_LOG!G:G, "Present"), "")</f>
        <v>46136.41667</v>
      </c>
      <c r="K10" s="111">
        <f t="shared" si="3"/>
        <v>76.58333333</v>
      </c>
      <c r="L10" s="112" t="str">
        <f t="shared" si="4"/>
        <v>✅ Completed</v>
      </c>
      <c r="M10" s="120" t="s">
        <v>35</v>
      </c>
      <c r="N10" s="114" t="s">
        <v>34</v>
      </c>
      <c r="O10" s="120" t="s">
        <v>208</v>
      </c>
      <c r="P10" s="115">
        <f>IFERROR(__xludf.DUMMYFUNCTION("IFERROR(COUNTUNIQUEIFS(ATTENDANCE_LOG!B:B,ATTENDANCE_LOG!C:C,A10),0)"),2.0)</f>
        <v>2</v>
      </c>
      <c r="Q10" s="113" t="str">
        <f t="array" ref="Q10">IFERROR(INDEX(ATTENDANCE_LOG!A:A,MATCH(1,(ATTENDANCE_LOG!C:C=A10)*(ATTENDANCE_LOG!F:F=MAXIFS(ATTENDANCE_LOG!F:F,ATTENDANCE_LOG!C:C,A10)),0)),"")</f>
        <v>EL025</v>
      </c>
      <c r="R10" s="113" t="str">
        <f t="array" ref="R10">IFERROR(INDEX(ATTENDANCE_LOG!B:B,MATCH(1,(ATTENDANCE_LOG!C:C=A10)*(ATTENDANCE_LOG!F:F=MAXIFS(ATTENDANCE_LOG!F:F,ATTENDANCE_LOG!C:C,A10)),0)),"")</f>
        <v>Communication 2</v>
      </c>
      <c r="S10" s="113">
        <f>IFERROR(VLOOKUP(H10, LEVEL_HELPER!A:B, 2, 0), 0)</f>
        <v>1</v>
      </c>
      <c r="T10" s="113">
        <f>IFERROR(VLOOKUP(I10, LEVEL_HELPER!A:B, 2, 0), 0)</f>
        <v>5</v>
      </c>
      <c r="U10" s="113">
        <f t="shared" ref="U10:V10" si="14">IF(S10="",0,IF(S10&lt;=2,1,IF(S10&lt;=4,2,IF(S10&lt;=5.5,3,4))))
</f>
        <v>1</v>
      </c>
      <c r="V10" s="113">
        <f t="shared" si="14"/>
        <v>3</v>
      </c>
      <c r="W10" s="113" t="str">
        <f t="shared" si="6"/>
        <v>Lv1→Lv3 (multi)</v>
      </c>
      <c r="X10" s="113"/>
      <c r="Y10" s="113">
        <v>247140.0</v>
      </c>
      <c r="Z10" s="113" t="s">
        <v>209</v>
      </c>
      <c r="AA10" s="113" t="s">
        <v>40</v>
      </c>
      <c r="AB10" s="116"/>
      <c r="AC10" s="119">
        <v>247099.0</v>
      </c>
      <c r="AD10" s="117">
        <f t="shared" si="9"/>
        <v>0</v>
      </c>
    </row>
    <row r="11" ht="15.0" customHeight="1">
      <c r="A11" s="122" t="s">
        <v>210</v>
      </c>
      <c r="B11" s="123" t="s">
        <v>211</v>
      </c>
      <c r="C11" s="106" t="str">
        <f>IFERROR(__xludf.DUMMYFUNCTION("arrayformula(VLOOKUP(to_Text(A11),to_Text(sheet2!$A$1:M1005),13,0))"),"MOC")</f>
        <v>MOC</v>
      </c>
      <c r="D11" s="107" t="str">
        <f>IFERROR(__xludf.DUMMYFUNCTION("arrayformula(VLOOKUP(to_Text(A11),to_Text(sheet2!$A$1:M1005),12,0))"),"DEV")</f>
        <v>DEV</v>
      </c>
      <c r="E11" s="108" t="str">
        <f t="shared" si="2"/>
        <v>Waiting for class</v>
      </c>
      <c r="F11" s="104" t="str">
        <f t="array" ref="F11">IFERROR(
  INDEX(ATTENDANCE_INPUT!D:D,
    MATCH(1,
      (ATTENDANCE_INPUT!A:A=A11) *
      (ATTENDANCE_INPUT!W:W=MAXIFS(ATTENDANCE_INPUT!W:W, ATTENDANCE_INPUT!A:A, A11)),
      0)),
  "")</f>
        <v>Anh To</v>
      </c>
      <c r="G11" s="109" t="str">
        <f t="array" ref="G11">IFERROR(
  INDEX(ATTENDANCE_INPUT!E:E,
    MATCH(1,
      (ATTENDANCE_INPUT!A:A=A11) *
      (ATTENDANCE_INPUT!W:W=MAXIFS(ATTENDANCE_INPUT!W:W, ATTENDANCE_INPUT!A:A, A11)),
      0)),
  "")</f>
        <v>Communication 2</v>
      </c>
      <c r="H11" s="110" t="str">
        <f t="array" ref="H11">IF(ISNA(MATCH(A11,sheet2!A:A,0)),"⏳ Chưa test",IFERROR(INDEX(LEVEL_HELPER!A:A,MATCH(INDEX(sheet2!N:N,MATCH(A11,sheet2!A:A,0)),LEVEL_HELPER!B:B,0)),"⏳ Chưa test"))</f>
        <v>Beginner</v>
      </c>
      <c r="I11" s="110" t="str">
        <f t="array" ref="I11">IF(ISNA(MATCH(A11,sheet2!A:A,0)),H11,IF(INDEX(sheet2!O:O,MATCH(A11,sheet2!A:A,0))&gt;0,IFERROR(INDEX(LEVEL_HELPER!A:A,MATCH(INDEX(sheet2!O:O,MATCH(A11,sheet2!A:A,0)),LEVEL_HELPER!B:B,0)),H11),H11))</f>
        <v>Pre-Intermediate 2</v>
      </c>
      <c r="J11" s="124">
        <f>IFERROR(MAXIFS(ATTENDANCE_LOG!F:F, ATTENDANCE_LOG!C:C, A11&amp;"", ATTENDANCE_LOG!G:G, "Present"), "")</f>
        <v>46136.41667</v>
      </c>
      <c r="K11" s="111">
        <f t="shared" si="3"/>
        <v>76.58333333</v>
      </c>
      <c r="L11" s="112" t="str">
        <f t="shared" si="4"/>
        <v>⚠ Check</v>
      </c>
      <c r="M11" s="125" t="s">
        <v>202</v>
      </c>
      <c r="N11" s="114"/>
      <c r="O11" s="120" t="s">
        <v>208</v>
      </c>
      <c r="P11" s="115">
        <f>IFERROR(__xludf.DUMMYFUNCTION("IFERROR(COUNTUNIQUEIFS(ATTENDANCE_LOG!B:B,ATTENDANCE_LOG!C:C,A11),0)"),2.0)</f>
        <v>2</v>
      </c>
      <c r="Q11" s="113" t="str">
        <f t="array" ref="Q11">IFERROR(INDEX(ATTENDANCE_LOG!A:A,MATCH(1,(ATTENDANCE_LOG!C:C=A11)*(ATTENDANCE_LOG!F:F=MAXIFS(ATTENDANCE_LOG!F:F,ATTENDANCE_LOG!C:C,A11)),0)),"")</f>
        <v>EL025</v>
      </c>
      <c r="R11" s="113" t="str">
        <f t="array" ref="R11">IFERROR(INDEX(ATTENDANCE_LOG!B:B,MATCH(1,(ATTENDANCE_LOG!C:C=A11)*(ATTENDANCE_LOG!F:F=MAXIFS(ATTENDANCE_LOG!F:F,ATTENDANCE_LOG!C:C,A11)),0)),"")</f>
        <v>Communication 2</v>
      </c>
      <c r="S11" s="113">
        <f>IFERROR(VLOOKUP(H11, LEVEL_HELPER!A:B, 2, 0), 0)</f>
        <v>1</v>
      </c>
      <c r="T11" s="113">
        <f>IFERROR(VLOOKUP(I11, LEVEL_HELPER!A:B, 2, 0), 0)</f>
        <v>3.5</v>
      </c>
      <c r="U11" s="113">
        <f t="shared" ref="U11:V11" si="15">IF(S11="",0,IF(S11&lt;=2,1,IF(S11&lt;=4,2,IF(S11&lt;=5.5,3,4))))
</f>
        <v>1</v>
      </c>
      <c r="V11" s="113">
        <f t="shared" si="15"/>
        <v>2</v>
      </c>
      <c r="W11" s="113" t="str">
        <f t="shared" si="6"/>
        <v>Lv1→Lv2</v>
      </c>
      <c r="X11" s="121"/>
      <c r="Y11" s="121">
        <v>247309.0</v>
      </c>
      <c r="Z11" s="121" t="s">
        <v>190</v>
      </c>
      <c r="AA11" s="121" t="s">
        <v>34</v>
      </c>
      <c r="AB11" s="102"/>
      <c r="AC11" s="102"/>
      <c r="AD11" s="103"/>
    </row>
    <row r="12" ht="15.0" customHeight="1">
      <c r="A12" s="122" t="s">
        <v>212</v>
      </c>
      <c r="B12" s="123" t="s">
        <v>213</v>
      </c>
      <c r="C12" s="106" t="str">
        <f>IFERROR(__xludf.DUMMYFUNCTION("arrayformula(VLOOKUP(to_Text(A12),to_Text(sheet2!$A$1:M1005),13,0))"),"MOC")</f>
        <v>MOC</v>
      </c>
      <c r="D12" s="107" t="str">
        <f>IFERROR(__xludf.DUMMYFUNCTION("arrayformula(VLOOKUP(to_Text(A12),to_Text(sheet2!$A$1:M1005),12,0))"),"DEV")</f>
        <v>DEV</v>
      </c>
      <c r="E12" s="108" t="str">
        <f t="shared" si="2"/>
        <v>Waiting for class</v>
      </c>
      <c r="F12" s="104" t="str">
        <f t="array" ref="F12">IFERROR(
  INDEX(ATTENDANCE_INPUT!D:D,
    MATCH(1,
      (ATTENDANCE_INPUT!A:A=A12) *
      (ATTENDANCE_INPUT!W:W=MAXIFS(ATTENDANCE_INPUT!W:W, ATTENDANCE_INPUT!A:A, A12)),
      0)),
  "")</f>
        <v>Anh To</v>
      </c>
      <c r="G12" s="109" t="str">
        <f t="array" ref="G12">IFERROR(
  INDEX(ATTENDANCE_INPUT!E:E,
    MATCH(1,
      (ATTENDANCE_INPUT!A:A=A12) *
      (ATTENDANCE_INPUT!W:W=MAXIFS(ATTENDANCE_INPUT!W:W, ATTENDANCE_INPUT!A:A, A12)),
      0)),
  "")</f>
        <v>Communication 2</v>
      </c>
      <c r="H12" s="110" t="str">
        <f t="array" ref="H12">IF(ISNA(MATCH(A12,sheet2!A:A,0)),"⏳ Chưa test",IFERROR(INDEX(LEVEL_HELPER!A:A,MATCH(INDEX(sheet2!N:N,MATCH(A12,sheet2!A:A,0)),LEVEL_HELPER!B:B,0)),"⏳ Chưa test"))</f>
        <v>Beginner</v>
      </c>
      <c r="I12" s="110" t="str">
        <f t="array" ref="I12">IF(ISNA(MATCH(A12,sheet2!A:A,0)),H12,IF(INDEX(sheet2!O:O,MATCH(A12,sheet2!A:A,0))&gt;0,IFERROR(INDEX(LEVEL_HELPER!A:A,MATCH(INDEX(sheet2!O:O,MATCH(A12,sheet2!A:A,0)),LEVEL_HELPER!B:B,0)),H12),H12))</f>
        <v>Pre-Intermediate 1</v>
      </c>
      <c r="J12" s="124">
        <f>IFERROR(MAXIFS(ATTENDANCE_LOG!F:F, ATTENDANCE_LOG!C:C, A12&amp;"", ATTENDANCE_LOG!G:G, "Present"), "")</f>
        <v>46136.41667</v>
      </c>
      <c r="K12" s="111">
        <f t="shared" si="3"/>
        <v>76.58333333</v>
      </c>
      <c r="L12" s="112" t="str">
        <f t="shared" si="4"/>
        <v>⚠ Check</v>
      </c>
      <c r="M12" s="125" t="s">
        <v>202</v>
      </c>
      <c r="N12" s="114"/>
      <c r="O12" s="120" t="s">
        <v>208</v>
      </c>
      <c r="P12" s="115">
        <f>IFERROR(__xludf.DUMMYFUNCTION("IFERROR(COUNTUNIQUEIFS(ATTENDANCE_LOG!B:B,ATTENDANCE_LOG!C:C,A12),0)"),2.0)</f>
        <v>2</v>
      </c>
      <c r="Q12" s="113" t="str">
        <f t="array" ref="Q12">IFERROR(INDEX(ATTENDANCE_LOG!A:A,MATCH(1,(ATTENDANCE_LOG!C:C=A12)*(ATTENDANCE_LOG!F:F=MAXIFS(ATTENDANCE_LOG!F:F,ATTENDANCE_LOG!C:C,A12)),0)),"")</f>
        <v>EL025</v>
      </c>
      <c r="R12" s="113" t="str">
        <f t="array" ref="R12">IFERROR(INDEX(ATTENDANCE_LOG!B:B,MATCH(1,(ATTENDANCE_LOG!C:C=A12)*(ATTENDANCE_LOG!F:F=MAXIFS(ATTENDANCE_LOG!F:F,ATTENDANCE_LOG!C:C,A12)),0)),"")</f>
        <v>Communication 2</v>
      </c>
      <c r="S12" s="113">
        <f>IFERROR(VLOOKUP(H12, LEVEL_HELPER!A:B, 2, 0), 0)</f>
        <v>1</v>
      </c>
      <c r="T12" s="113">
        <f>IFERROR(VLOOKUP(I12, LEVEL_HELPER!A:B, 2, 0), 0)</f>
        <v>3</v>
      </c>
      <c r="U12" s="113">
        <f t="shared" ref="U12:V12" si="16">IF(S12="",0,IF(S12&lt;=2,1,IF(S12&lt;=4,2,IF(S12&lt;=5.5,3,4))))
</f>
        <v>1</v>
      </c>
      <c r="V12" s="113">
        <f t="shared" si="16"/>
        <v>2</v>
      </c>
      <c r="W12" s="113" t="str">
        <f t="shared" si="6"/>
        <v>Lv1→Lv2</v>
      </c>
      <c r="X12" s="113"/>
      <c r="Y12" s="113">
        <v>247139.0</v>
      </c>
      <c r="Z12" s="113" t="s">
        <v>209</v>
      </c>
      <c r="AA12" s="113" t="s">
        <v>40</v>
      </c>
      <c r="AB12" s="102"/>
      <c r="AC12" s="102"/>
      <c r="AD12" s="103"/>
    </row>
    <row r="13" ht="15.0" customHeight="1">
      <c r="A13" s="122" t="s">
        <v>214</v>
      </c>
      <c r="B13" s="123" t="s">
        <v>215</v>
      </c>
      <c r="C13" s="106" t="str">
        <f>IFERROR(__xludf.DUMMYFUNCTION("arrayformula(VLOOKUP(to_Text(A13),to_Text(sheet2!$A$1:M1005),13,0))"),"MOC")</f>
        <v>MOC</v>
      </c>
      <c r="D13" s="107" t="str">
        <f>IFERROR(__xludf.DUMMYFUNCTION("arrayformula(VLOOKUP(to_Text(A13),to_Text(sheet2!$A$1:M1005),12,0))"),"QC")</f>
        <v>QC</v>
      </c>
      <c r="E13" s="108" t="str">
        <f t="shared" si="2"/>
        <v>Waiting for class</v>
      </c>
      <c r="F13" s="104" t="str">
        <f t="array" ref="F13">IFERROR(
  INDEX(ATTENDANCE_INPUT!D:D,
    MATCH(1,
      (ATTENDANCE_INPUT!A:A=A13) *
      (ATTENDANCE_INPUT!W:W=MAXIFS(ATTENDANCE_INPUT!W:W, ATTENDANCE_INPUT!A:A, A13)),
      0)),
  "")</f>
        <v>Anh To</v>
      </c>
      <c r="G13" s="109" t="str">
        <f t="array" ref="G13">IFERROR(
  INDEX(ATTENDANCE_INPUT!E:E,
    MATCH(1,
      (ATTENDANCE_INPUT!A:A=A13) *
      (ATTENDANCE_INPUT!W:W=MAXIFS(ATTENDANCE_INPUT!W:W, ATTENDANCE_INPUT!A:A, A13)),
      0)),
  "")</f>
        <v>Communication 2</v>
      </c>
      <c r="H13" s="110" t="str">
        <f t="array" ref="H13">IF(ISNA(MATCH(A13,sheet2!A:A,0)),"⏳ Chưa test",IFERROR(INDEX(LEVEL_HELPER!A:A,MATCH(INDEX(sheet2!N:N,MATCH(A13,sheet2!A:A,0)),LEVEL_HELPER!B:B,0)),"⏳ Chưa test"))</f>
        <v>Beginner</v>
      </c>
      <c r="I13" s="110" t="str">
        <f t="array" ref="I13">IF(ISNA(MATCH(A13,sheet2!A:A,0)),H13,IF(INDEX(sheet2!O:O,MATCH(A13,sheet2!A:A,0))&gt;0,IFERROR(INDEX(LEVEL_HELPER!A:A,MATCH(INDEX(sheet2!O:O,MATCH(A13,sheet2!A:A,0)),LEVEL_HELPER!B:B,0)),H13),H13))</f>
        <v>Pre-Intermediate 1</v>
      </c>
      <c r="J13" s="124">
        <f>IFERROR(MAXIFS(ATTENDANCE_LOG!F:F, ATTENDANCE_LOG!C:C, A13&amp;"", ATTENDANCE_LOG!G:G, "Present"), "")</f>
        <v>46136.41667</v>
      </c>
      <c r="K13" s="111">
        <f t="shared" si="3"/>
        <v>76.58333333</v>
      </c>
      <c r="L13" s="112" t="str">
        <f t="shared" si="4"/>
        <v>⚠ Check</v>
      </c>
      <c r="M13" s="125" t="s">
        <v>202</v>
      </c>
      <c r="N13" s="114"/>
      <c r="O13" s="120" t="s">
        <v>208</v>
      </c>
      <c r="P13" s="115">
        <f>IFERROR(__xludf.DUMMYFUNCTION("IFERROR(COUNTUNIQUEIFS(ATTENDANCE_LOG!B:B,ATTENDANCE_LOG!C:C,A13),0)"),2.0)</f>
        <v>2</v>
      </c>
      <c r="Q13" s="113" t="str">
        <f t="array" ref="Q13">IFERROR(INDEX(ATTENDANCE_LOG!A:A,MATCH(1,(ATTENDANCE_LOG!C:C=A13)*(ATTENDANCE_LOG!F:F=MAXIFS(ATTENDANCE_LOG!F:F,ATTENDANCE_LOG!C:C,A13)),0)),"")</f>
        <v>EL025</v>
      </c>
      <c r="R13" s="113" t="str">
        <f t="array" ref="R13">IFERROR(INDEX(ATTENDANCE_LOG!B:B,MATCH(1,(ATTENDANCE_LOG!C:C=A13)*(ATTENDANCE_LOG!F:F=MAXIFS(ATTENDANCE_LOG!F:F,ATTENDANCE_LOG!C:C,A13)),0)),"")</f>
        <v>Communication 2</v>
      </c>
      <c r="S13" s="113">
        <f>IFERROR(VLOOKUP(H13, LEVEL_HELPER!A:B, 2, 0), 0)</f>
        <v>1</v>
      </c>
      <c r="T13" s="113">
        <f>IFERROR(VLOOKUP(I13, LEVEL_HELPER!A:B, 2, 0), 0)</f>
        <v>3</v>
      </c>
      <c r="U13" s="113">
        <f t="shared" ref="U13:V13" si="17">IF(S13="",0,IF(S13&lt;=2,1,IF(S13&lt;=4,2,IF(S13&lt;=5.5,3,4))))
</f>
        <v>1</v>
      </c>
      <c r="V13" s="113">
        <f t="shared" si="17"/>
        <v>2</v>
      </c>
      <c r="W13" s="113" t="str">
        <f t="shared" si="6"/>
        <v>Lv1→Lv2</v>
      </c>
      <c r="X13" s="113"/>
      <c r="Y13" s="113">
        <v>247135.0</v>
      </c>
      <c r="Z13" s="113" t="s">
        <v>209</v>
      </c>
      <c r="AA13" s="113" t="s">
        <v>40</v>
      </c>
      <c r="AB13" s="102"/>
      <c r="AC13" s="102"/>
      <c r="AD13" s="103"/>
    </row>
    <row r="14" ht="15.0" customHeight="1">
      <c r="A14" s="122" t="s">
        <v>216</v>
      </c>
      <c r="B14" s="123" t="s">
        <v>217</v>
      </c>
      <c r="C14" s="106" t="str">
        <f>IFERROR(__xludf.DUMMYFUNCTION("arrayformula(VLOOKUP(to_Text(A14),to_Text(sheet2!$A$1:M1005),13,0))"),"MOC")</f>
        <v>MOC</v>
      </c>
      <c r="D14" s="107" t="str">
        <f>IFERROR(__xludf.DUMMYFUNCTION("arrayformula(VLOOKUP(to_Text(A14),to_Text(sheet2!$A$1:M1005),12,0))"),"DEV")</f>
        <v>DEV</v>
      </c>
      <c r="E14" s="108" t="str">
        <f t="shared" si="2"/>
        <v>Waiting for class</v>
      </c>
      <c r="F14" s="104" t="str">
        <f t="array" ref="F14">IFERROR(
  INDEX(ATTENDANCE_INPUT!D:D,
    MATCH(1,
      (ATTENDANCE_INPUT!A:A=A14) *
      (ATTENDANCE_INPUT!W:W=MAXIFS(ATTENDANCE_INPUT!W:W, ATTENDANCE_INPUT!A:A, A14)),
      0)),
  "")</f>
        <v>Anh To</v>
      </c>
      <c r="G14" s="109" t="str">
        <f t="array" ref="G14">IFERROR(
  INDEX(ATTENDANCE_INPUT!E:E,
    MATCH(1,
      (ATTENDANCE_INPUT!A:A=A14) *
      (ATTENDANCE_INPUT!W:W=MAXIFS(ATTENDANCE_INPUT!W:W, ATTENDANCE_INPUT!A:A, A14)),
      0)),
  "")</f>
        <v>Communication 2</v>
      </c>
      <c r="H14" s="110" t="str">
        <f t="array" ref="H14">IF(ISNA(MATCH(A14,sheet2!A:A,0)),"⏳ Chưa test",IFERROR(INDEX(LEVEL_HELPER!A:A,MATCH(INDEX(sheet2!N:N,MATCH(A14,sheet2!A:A,0)),LEVEL_HELPER!B:B,0)),"⏳ Chưa test"))</f>
        <v>Beginner</v>
      </c>
      <c r="I14" s="110" t="str">
        <f t="array" ref="I14">IF(ISNA(MATCH(A14,sheet2!A:A,0)),H14,IF(INDEX(sheet2!O:O,MATCH(A14,sheet2!A:A,0))&gt;0,IFERROR(INDEX(LEVEL_HELPER!A:A,MATCH(INDEX(sheet2!O:O,MATCH(A14,sheet2!A:A,0)),LEVEL_HELPER!B:B,0)),H14),H14))</f>
        <v>Pre-Intermediate 2</v>
      </c>
      <c r="J14" s="124">
        <f>IFERROR(MAXIFS(ATTENDANCE_LOG!F:F, ATTENDANCE_LOG!C:C, A14&amp;"", ATTENDANCE_LOG!G:G, "Present"), "")</f>
        <v>46136.41667</v>
      </c>
      <c r="K14" s="111">
        <f t="shared" si="3"/>
        <v>76.58333333</v>
      </c>
      <c r="L14" s="112" t="str">
        <f t="shared" si="4"/>
        <v>⚠ Check</v>
      </c>
      <c r="M14" s="125" t="s">
        <v>202</v>
      </c>
      <c r="N14" s="114"/>
      <c r="O14" s="120" t="s">
        <v>208</v>
      </c>
      <c r="P14" s="115">
        <f>IFERROR(__xludf.DUMMYFUNCTION("IFERROR(COUNTUNIQUEIFS(ATTENDANCE_LOG!B:B,ATTENDANCE_LOG!C:C,A14),0)"),2.0)</f>
        <v>2</v>
      </c>
      <c r="Q14" s="113" t="str">
        <f t="array" ref="Q14">IFERROR(INDEX(ATTENDANCE_LOG!A:A,MATCH(1,(ATTENDANCE_LOG!C:C=A14)*(ATTENDANCE_LOG!F:F=MAXIFS(ATTENDANCE_LOG!F:F,ATTENDANCE_LOG!C:C,A14)),0)),"")</f>
        <v>EL025</v>
      </c>
      <c r="R14" s="113" t="str">
        <f t="array" ref="R14">IFERROR(INDEX(ATTENDANCE_LOG!B:B,MATCH(1,(ATTENDANCE_LOG!C:C=A14)*(ATTENDANCE_LOG!F:F=MAXIFS(ATTENDANCE_LOG!F:F,ATTENDANCE_LOG!C:C,A14)),0)),"")</f>
        <v>Communication 2</v>
      </c>
      <c r="S14" s="113">
        <f>IFERROR(VLOOKUP(H14, LEVEL_HELPER!A:B, 2, 0), 0)</f>
        <v>1</v>
      </c>
      <c r="T14" s="113">
        <f>IFERROR(VLOOKUP(I14, LEVEL_HELPER!A:B, 2, 0), 0)</f>
        <v>3.5</v>
      </c>
      <c r="U14" s="113">
        <f t="shared" ref="U14:V14" si="18">IF(S14="",0,IF(S14&lt;=2,1,IF(S14&lt;=4,2,IF(S14&lt;=5.5,3,4))))
</f>
        <v>1</v>
      </c>
      <c r="V14" s="113">
        <f t="shared" si="18"/>
        <v>2</v>
      </c>
      <c r="W14" s="113" t="str">
        <f t="shared" si="6"/>
        <v>Lv1→Lv2</v>
      </c>
      <c r="X14" s="113"/>
      <c r="Y14" s="113">
        <v>247213.0</v>
      </c>
      <c r="Z14" s="113" t="s">
        <v>209</v>
      </c>
      <c r="AA14" s="113" t="s">
        <v>40</v>
      </c>
      <c r="AB14" s="102"/>
      <c r="AC14" s="102"/>
      <c r="AD14" s="103"/>
    </row>
    <row r="15" ht="15.0" customHeight="1">
      <c r="A15" s="104" t="s">
        <v>218</v>
      </c>
      <c r="B15" s="105" t="s">
        <v>219</v>
      </c>
      <c r="C15" s="106" t="str">
        <f>IFERROR(__xludf.DUMMYFUNCTION("arrayformula(VLOOKUP(to_Text(A15),to_Text(sheet2!$A$1:M1005),13,0))"),"LBU")</f>
        <v>LBU</v>
      </c>
      <c r="D15" s="107" t="str">
        <f>IFERROR(__xludf.DUMMYFUNCTION("arrayformula(VLOOKUP(to_Text(A15),to_Text(sheet2!$A$1:M1005),12,0))"),"DEV")</f>
        <v>DEV</v>
      </c>
      <c r="E15" s="108" t="str">
        <f t="shared" si="2"/>
        <v>Inactive</v>
      </c>
      <c r="F15" s="104" t="str">
        <f t="array" ref="F15">IFERROR(
  INDEX(ATTENDANCE_INPUT!D:D,
    MATCH(1,
      (ATTENDANCE_INPUT!A:A=A15) *
      (ATTENDANCE_INPUT!W:W=MAXIFS(ATTENDANCE_INPUT!W:W, ATTENDANCE_INPUT!A:A, A15)),
      0)),
  "")</f>
        <v>Anh To</v>
      </c>
      <c r="G15" s="109" t="str">
        <f t="array" ref="G15">IFERROR(
  INDEX(ATTENDANCE_INPUT!E:E,
    MATCH(1,
      (ATTENDANCE_INPUT!A:A=A15) *
      (ATTENDANCE_INPUT!W:W=MAXIFS(ATTENDANCE_INPUT!W:W, ATTENDANCE_INPUT!A:A, A15)),
      0)),
  "")</f>
        <v>Communication 1</v>
      </c>
      <c r="H15" s="110" t="str">
        <f t="array" ref="H15">IF(ISNA(MATCH(A15,sheet2!A:A,0)),"⏳ Chưa test",IFERROR(INDEX(LEVEL_HELPER!A:A,MATCH(INDEX(sheet2!N:N,MATCH(A15,sheet2!A:A,0)),LEVEL_HELPER!B:B,0)),"⏳ Chưa test"))</f>
        <v>Beginner</v>
      </c>
      <c r="I15" s="110" t="str">
        <f t="array" ref="I15">IF(ISNA(MATCH(A15,sheet2!A:A,0)),H15,IF(INDEX(sheet2!O:O,MATCH(A15,sheet2!A:A,0))&gt;0,IFERROR(INDEX(LEVEL_HELPER!A:A,MATCH(INDEX(sheet2!O:O,MATCH(A15,sheet2!A:A,0)),LEVEL_HELPER!B:B,0)),H15),H15))</f>
        <v>Pre-Intermediate 1</v>
      </c>
      <c r="J15" s="110">
        <f>IFERROR(MAXIFS(ATTENDANCE_LOG!F:F, ATTENDANCE_LOG!C:C, A15&amp;"", ATTENDANCE_LOG!G:G, "Present"), "")</f>
        <v>45894.54167</v>
      </c>
      <c r="K15" s="111">
        <f t="shared" si="3"/>
        <v>318.4583333</v>
      </c>
      <c r="L15" s="112" t="str">
        <f t="shared" si="4"/>
        <v>❌ Dropped</v>
      </c>
      <c r="M15" s="120" t="s">
        <v>37</v>
      </c>
      <c r="N15" s="114" t="s">
        <v>34</v>
      </c>
      <c r="O15" s="121"/>
      <c r="P15" s="115">
        <f>IFERROR(__xludf.DUMMYFUNCTION("IFERROR(COUNTUNIQUEIFS(ATTENDANCE_LOG!B:B,ATTENDANCE_LOG!C:C,A15),0)"),1.0)</f>
        <v>1</v>
      </c>
      <c r="Q15" s="113" t="str">
        <f t="array" ref="Q15">IFERROR(INDEX(ATTENDANCE_LOG!A:A,MATCH(1,(ATTENDANCE_LOG!C:C=A15)*(ATTENDANCE_LOG!F:F=MAXIFS(ATTENDANCE_LOG!F:F,ATTENDANCE_LOG!C:C,A15)),0)),"")</f>
        <v>EL025</v>
      </c>
      <c r="R15" s="113" t="str">
        <f t="array" ref="R15">IFERROR(INDEX(ATTENDANCE_LOG!B:B,MATCH(1,(ATTENDANCE_LOG!C:C=A15)*(ATTENDANCE_LOG!F:F=MAXIFS(ATTENDANCE_LOG!F:F,ATTENDANCE_LOG!C:C,A15)),0)),"")</f>
        <v>Communication 1</v>
      </c>
      <c r="S15" s="113">
        <f>IFERROR(VLOOKUP(H15, LEVEL_HELPER!A:B, 2, 0), 0)</f>
        <v>1</v>
      </c>
      <c r="T15" s="113">
        <f>IFERROR(VLOOKUP(I15, LEVEL_HELPER!A:B, 2, 0), 0)</f>
        <v>3</v>
      </c>
      <c r="U15" s="113">
        <f t="shared" ref="U15:V15" si="19">IF(S15="",0,IF(S15&lt;=2,1,IF(S15&lt;=4,2,IF(S15&lt;=5.5,3,4))))
</f>
        <v>1</v>
      </c>
      <c r="V15" s="113">
        <f t="shared" si="19"/>
        <v>2</v>
      </c>
      <c r="W15" s="113" t="str">
        <f t="shared" si="6"/>
        <v>Lv1→Lv2</v>
      </c>
      <c r="X15" s="121"/>
      <c r="Y15" s="121">
        <v>247142.0</v>
      </c>
      <c r="Z15" s="121" t="s">
        <v>209</v>
      </c>
      <c r="AA15" s="121" t="s">
        <v>40</v>
      </c>
      <c r="AB15" s="102"/>
      <c r="AC15" s="102"/>
      <c r="AD15" s="103"/>
    </row>
    <row r="16" ht="15.0" customHeight="1">
      <c r="A16" s="104" t="s">
        <v>220</v>
      </c>
      <c r="B16" s="105" t="s">
        <v>221</v>
      </c>
      <c r="C16" s="106" t="str">
        <f>IFERROR(__xludf.DUMMYFUNCTION("arrayformula(VLOOKUP(to_Text(A16),to_Text(sheet2!$A$1:M1005),13,0))"),"POC")</f>
        <v>POC</v>
      </c>
      <c r="D16" s="107" t="str">
        <f>IFERROR(__xludf.DUMMYFUNCTION("arrayformula(VLOOKUP(to_Text(A16),to_Text(sheet2!$A$1:M1005),12,0))"),"QC")</f>
        <v>QC</v>
      </c>
      <c r="E16" s="108" t="str">
        <f t="shared" si="2"/>
        <v>Active</v>
      </c>
      <c r="F16" s="104" t="str">
        <f t="array" ref="F16">IFERROR(
  INDEX(ATTENDANCE_INPUT!D:D,
    MATCH(1,
      (ATTENDANCE_INPUT!A:A=A16) *
      (ATTENDANCE_INPUT!W:W=MAXIFS(ATTENDANCE_INPUT!W:W, ATTENDANCE_INPUT!A:A, A16)),
      0)),
  "")</f>
        <v>Anh Vu</v>
      </c>
      <c r="G16" s="109" t="str">
        <f t="array" ref="G16">IFERROR(
  INDEX(ATTENDANCE_INPUT!E:E,
    MATCH(1,
      (ATTENDANCE_INPUT!A:A=A16) *
      (ATTENDANCE_INPUT!W:W=MAXIFS(ATTENDANCE_INPUT!W:W, ATTENDANCE_INPUT!A:A, A16)),
      0)),
  "")</f>
        <v>Business English</v>
      </c>
      <c r="H16" s="110" t="str">
        <f t="array" ref="H16">IF(ISNA(MATCH(A16,sheet2!A:A,0)),"⏳ Chưa test",IFERROR(INDEX(LEVEL_HELPER!A:A,MATCH(INDEX(sheet2!N:N,MATCH(A16,sheet2!A:A,0)),LEVEL_HELPER!B:B,0)),"⏳ Chưa test"))</f>
        <v>Intermediate</v>
      </c>
      <c r="I16" s="110" t="str">
        <f t="array" ref="I16">IF(ISNA(MATCH(A16,sheet2!A:A,0)),H16,IF(INDEX(sheet2!O:O,MATCH(A16,sheet2!A:A,0))&gt;0,IFERROR(INDEX(LEVEL_HELPER!A:A,MATCH(INDEX(sheet2!O:O,MATCH(A16,sheet2!A:A,0)),LEVEL_HELPER!B:B,0)),H16),H16))</f>
        <v>Intermediate 2</v>
      </c>
      <c r="J16" s="110">
        <f>IFERROR(MAXIFS(ATTENDANCE_LOG!F:F, ATTENDANCE_LOG!C:C, A16&amp;"", ATTENDANCE_LOG!G:G, "Present"), "")</f>
        <v>46211.58333</v>
      </c>
      <c r="K16" s="111">
        <f t="shared" si="3"/>
        <v>1.416666667</v>
      </c>
      <c r="L16" s="112" t="str">
        <f t="shared" si="4"/>
        <v/>
      </c>
      <c r="M16" s="113"/>
      <c r="N16" s="114"/>
      <c r="O16" s="113"/>
      <c r="P16" s="115">
        <f>IFERROR(__xludf.DUMMYFUNCTION("IFERROR(COUNTUNIQUEIFS(ATTENDANCE_LOG!B:B,ATTENDANCE_LOG!C:C,A16),0)"),3.0)</f>
        <v>3</v>
      </c>
      <c r="Q16" s="113" t="str">
        <f t="array" ref="Q16">IFERROR(INDEX(ATTENDANCE_LOG!A:A,MATCH(1,(ATTENDANCE_LOG!C:C=A16)*(ATTENDANCE_LOG!F:F=MAXIFS(ATTENDANCE_LOG!F:F,ATTENDANCE_LOG!C:C,A16)),0)),"")</f>
        <v>EL001</v>
      </c>
      <c r="R16" s="113" t="str">
        <f t="array" ref="R16">IFERROR(INDEX(ATTENDANCE_LOG!B:B,MATCH(1,(ATTENDANCE_LOG!C:C=A16)*(ATTENDANCE_LOG!F:F=MAXIFS(ATTENDANCE_LOG!F:F,ATTENDANCE_LOG!C:C,A16)),0)),"")</f>
        <v>Business English</v>
      </c>
      <c r="S16" s="113">
        <f>IFERROR(VLOOKUP(H16, LEVEL_HELPER!A:B, 2, 0), 0)</f>
        <v>4.5</v>
      </c>
      <c r="T16" s="113">
        <f>IFERROR(VLOOKUP(I16, LEVEL_HELPER!A:B, 2, 0), 0)</f>
        <v>5.5</v>
      </c>
      <c r="U16" s="113">
        <f t="shared" ref="U16:V16" si="20">IF(S16="",0,IF(S16&lt;=2,1,IF(S16&lt;=4,2,IF(S16&lt;=5.5,3,4))))
</f>
        <v>3</v>
      </c>
      <c r="V16" s="113">
        <f t="shared" si="20"/>
        <v>3</v>
      </c>
      <c r="W16" s="113" t="str">
        <f t="shared" si="6"/>
        <v>Minor Improvement</v>
      </c>
      <c r="X16" s="113"/>
      <c r="Y16" s="113">
        <v>247174.0</v>
      </c>
      <c r="Z16" s="113" t="s">
        <v>209</v>
      </c>
      <c r="AA16" s="113" t="s">
        <v>40</v>
      </c>
      <c r="AB16" s="116"/>
      <c r="AC16" s="116"/>
      <c r="AD16" s="117"/>
    </row>
    <row r="17" ht="15.0" customHeight="1">
      <c r="A17" s="104" t="s">
        <v>222</v>
      </c>
      <c r="B17" s="105" t="s">
        <v>223</v>
      </c>
      <c r="C17" s="106" t="str">
        <f>IFERROR(__xludf.DUMMYFUNCTION("arrayformula(VLOOKUP(to_Text(A17),to_Text(sheet2!$A$1:M1005),13,0))"),"POC")</f>
        <v>POC</v>
      </c>
      <c r="D17" s="107" t="str">
        <f>IFERROR(__xludf.DUMMYFUNCTION("arrayformula(VLOOKUP(to_Text(A17),to_Text(sheet2!$A$1:M1005),12,0))"),"QC")</f>
        <v>QC</v>
      </c>
      <c r="E17" s="108" t="str">
        <f t="shared" si="2"/>
        <v>Active</v>
      </c>
      <c r="F17" s="104" t="str">
        <f t="array" ref="F17">IFERROR(
  INDEX(ATTENDANCE_INPUT!D:D,
    MATCH(1,
      (ATTENDANCE_INPUT!A:A=A17) *
      (ATTENDANCE_INPUT!W:W=MAXIFS(ATTENDANCE_INPUT!W:W, ATTENDANCE_INPUT!A:A, A17)),
      0)),
  "")</f>
        <v>Anh Vu</v>
      </c>
      <c r="G17" s="109" t="str">
        <f t="array" ref="G17">IFERROR(
  INDEX(ATTENDANCE_INPUT!E:E,
    MATCH(1,
      (ATTENDANCE_INPUT!A:A=A17) *
      (ATTENDANCE_INPUT!W:W=MAXIFS(ATTENDANCE_INPUT!W:W, ATTENDANCE_INPUT!A:A, A17)),
      0)),
  "")</f>
        <v>Business English</v>
      </c>
      <c r="H17" s="110" t="str">
        <f t="array" ref="H17">IF(ISNA(MATCH(A17,sheet2!A:A,0)),"⏳ Chưa test",IFERROR(INDEX(LEVEL_HELPER!A:A,MATCH(INDEX(sheet2!N:N,MATCH(A17,sheet2!A:A,0)),LEVEL_HELPER!B:B,0)),"⏳ Chưa test"))</f>
        <v>Beginner</v>
      </c>
      <c r="I17" s="110" t="str">
        <f t="array" ref="I17">IF(ISNA(MATCH(A17,sheet2!A:A,0)),H17,IF(INDEX(sheet2!O:O,MATCH(A17,sheet2!A:A,0))&gt;0,IFERROR(INDEX(LEVEL_HELPER!A:A,MATCH(INDEX(sheet2!O:O,MATCH(A17,sheet2!A:A,0)),LEVEL_HELPER!B:B,0)),H17),H17))</f>
        <v>Intermediate 1</v>
      </c>
      <c r="J17" s="110">
        <f>IFERROR(MAXIFS(ATTENDANCE_LOG!F:F, ATTENDANCE_LOG!C:C, A17&amp;"", ATTENDANCE_LOG!G:G, "Present"), "")</f>
        <v>46211.58333</v>
      </c>
      <c r="K17" s="111">
        <f t="shared" si="3"/>
        <v>1.416666667</v>
      </c>
      <c r="L17" s="112" t="str">
        <f t="shared" si="4"/>
        <v/>
      </c>
      <c r="M17" s="113"/>
      <c r="N17" s="114"/>
      <c r="O17" s="113"/>
      <c r="P17" s="115">
        <f>IFERROR(__xludf.DUMMYFUNCTION("IFERROR(COUNTUNIQUEIFS(ATTENDANCE_LOG!B:B,ATTENDANCE_LOG!C:C,A17),0)"),3.0)</f>
        <v>3</v>
      </c>
      <c r="Q17" s="113" t="str">
        <f t="array" ref="Q17">IFERROR(INDEX(ATTENDANCE_LOG!A:A,MATCH(1,(ATTENDANCE_LOG!C:C=A17)*(ATTENDANCE_LOG!F:F=MAXIFS(ATTENDANCE_LOG!F:F,ATTENDANCE_LOG!C:C,A17)),0)),"")</f>
        <v>EL001</v>
      </c>
      <c r="R17" s="113" t="str">
        <f t="array" ref="R17">IFERROR(INDEX(ATTENDANCE_LOG!B:B,MATCH(1,(ATTENDANCE_LOG!C:C=A17)*(ATTENDANCE_LOG!F:F=MAXIFS(ATTENDANCE_LOG!F:F,ATTENDANCE_LOG!C:C,A17)),0)),"")</f>
        <v>Business English</v>
      </c>
      <c r="S17" s="113">
        <f>IFERROR(VLOOKUP(H17, LEVEL_HELPER!A:B, 2, 0), 0)</f>
        <v>1</v>
      </c>
      <c r="T17" s="113">
        <f>IFERROR(VLOOKUP(I17, LEVEL_HELPER!A:B, 2, 0), 0)</f>
        <v>5</v>
      </c>
      <c r="U17" s="113">
        <f t="shared" ref="U17:V17" si="21">IF(S17="",0,IF(S17&lt;=2,1,IF(S17&lt;=4,2,IF(S17&lt;=5.5,3,4))))
</f>
        <v>1</v>
      </c>
      <c r="V17" s="113">
        <f t="shared" si="21"/>
        <v>3</v>
      </c>
      <c r="W17" s="113" t="str">
        <f t="shared" si="6"/>
        <v>Lv1→Lv3 (multi)</v>
      </c>
      <c r="X17" s="113"/>
      <c r="Y17" s="113">
        <v>247212.0</v>
      </c>
      <c r="Z17" s="113" t="s">
        <v>209</v>
      </c>
      <c r="AA17" s="113" t="s">
        <v>40</v>
      </c>
      <c r="AB17" s="116"/>
      <c r="AC17" s="116"/>
      <c r="AD17" s="117"/>
    </row>
    <row r="18" ht="15.0" customHeight="1">
      <c r="A18" s="104" t="s">
        <v>224</v>
      </c>
      <c r="B18" s="105" t="s">
        <v>225</v>
      </c>
      <c r="C18" s="106" t="str">
        <f>IFERROR(__xludf.DUMMYFUNCTION("arrayformula(VLOOKUP(to_Text(A18),to_Text(sheet2!$A$1:M1005),13,0))"),"POC")</f>
        <v>POC</v>
      </c>
      <c r="D18" s="107" t="str">
        <f>IFERROR(__xludf.DUMMYFUNCTION("arrayformula(VLOOKUP(to_Text(A18),to_Text(sheet2!$A$1:M1005),12,0))"),"QC")</f>
        <v>QC</v>
      </c>
      <c r="E18" s="108" t="str">
        <f t="shared" si="2"/>
        <v>Active</v>
      </c>
      <c r="F18" s="104" t="str">
        <f t="array" ref="F18">IFERROR(
  INDEX(ATTENDANCE_INPUT!D:D,
    MATCH(1,
      (ATTENDANCE_INPUT!A:A=A18) *
      (ATTENDANCE_INPUT!W:W=MAXIFS(ATTENDANCE_INPUT!W:W, ATTENDANCE_INPUT!A:A, A18)),
      0)),
  "")</f>
        <v>Anh Vu</v>
      </c>
      <c r="G18" s="109" t="str">
        <f t="array" ref="G18">IFERROR(
  INDEX(ATTENDANCE_INPUT!E:E,
    MATCH(1,
      (ATTENDANCE_INPUT!A:A=A18) *
      (ATTENDANCE_INPUT!W:W=MAXIFS(ATTENDANCE_INPUT!W:W, ATTENDANCE_INPUT!A:A, A18)),
      0)),
  "")</f>
        <v>Business English</v>
      </c>
      <c r="H18" s="110" t="str">
        <f t="array" ref="H18">IF(ISNA(MATCH(A18,sheet2!A:A,0)),"⏳ Chưa test",IFERROR(INDEX(LEVEL_HELPER!A:A,MATCH(INDEX(sheet2!N:N,MATCH(A18,sheet2!A:A,0)),LEVEL_HELPER!B:B,0)),"⏳ Chưa test"))</f>
        <v>Pre-Intermediate</v>
      </c>
      <c r="I18" s="110" t="str">
        <f t="array" ref="I18">IF(ISNA(MATCH(A18,sheet2!A:A,0)),H18,IF(INDEX(sheet2!O:O,MATCH(A18,sheet2!A:A,0))&gt;0,IFERROR(INDEX(LEVEL_HELPER!A:A,MATCH(INDEX(sheet2!O:O,MATCH(A18,sheet2!A:A,0)),LEVEL_HELPER!B:B,0)),H18),H18))</f>
        <v>Pre-Intermediate 2</v>
      </c>
      <c r="J18" s="110">
        <f>IFERROR(MAXIFS(ATTENDANCE_LOG!F:F, ATTENDANCE_LOG!C:C, A18&amp;"", ATTENDANCE_LOG!G:G, "Present"), "")</f>
        <v>46211.58333</v>
      </c>
      <c r="K18" s="111">
        <f t="shared" si="3"/>
        <v>1.416666667</v>
      </c>
      <c r="L18" s="112" t="str">
        <f t="shared" si="4"/>
        <v/>
      </c>
      <c r="M18" s="113"/>
      <c r="N18" s="114"/>
      <c r="O18" s="113"/>
      <c r="P18" s="115">
        <f>IFERROR(__xludf.DUMMYFUNCTION("IFERROR(COUNTUNIQUEIFS(ATTENDANCE_LOG!B:B,ATTENDANCE_LOG!C:C,A18),0)"),3.0)</f>
        <v>3</v>
      </c>
      <c r="Q18" s="113" t="str">
        <f t="array" ref="Q18">IFERROR(INDEX(ATTENDANCE_LOG!A:A,MATCH(1,(ATTENDANCE_LOG!C:C=A18)*(ATTENDANCE_LOG!F:F=MAXIFS(ATTENDANCE_LOG!F:F,ATTENDANCE_LOG!C:C,A18)),0)),"")</f>
        <v>EL001</v>
      </c>
      <c r="R18" s="113" t="str">
        <f t="array" ref="R18">IFERROR(INDEX(ATTENDANCE_LOG!B:B,MATCH(1,(ATTENDANCE_LOG!C:C=A18)*(ATTENDANCE_LOG!F:F=MAXIFS(ATTENDANCE_LOG!F:F,ATTENDANCE_LOG!C:C,A18)),0)),"")</f>
        <v>Business English</v>
      </c>
      <c r="S18" s="113">
        <f>IFERROR(VLOOKUP(H18, LEVEL_HELPER!A:B, 2, 0), 0)</f>
        <v>2.5</v>
      </c>
      <c r="T18" s="113">
        <f>IFERROR(VLOOKUP(I18, LEVEL_HELPER!A:B, 2, 0), 0)</f>
        <v>3.5</v>
      </c>
      <c r="U18" s="113">
        <f t="shared" ref="U18:V18" si="22">IF(S18="",0,IF(S18&lt;=2,1,IF(S18&lt;=4,2,IF(S18&lt;=5.5,3,4))))
</f>
        <v>2</v>
      </c>
      <c r="V18" s="113">
        <f t="shared" si="22"/>
        <v>2</v>
      </c>
      <c r="W18" s="113" t="str">
        <f t="shared" si="6"/>
        <v>Minor Improvement</v>
      </c>
      <c r="X18" s="113"/>
      <c r="Y18" s="113">
        <v>247211.0</v>
      </c>
      <c r="Z18" s="113" t="s">
        <v>209</v>
      </c>
      <c r="AA18" s="113" t="s">
        <v>40</v>
      </c>
      <c r="AB18" s="116"/>
      <c r="AC18" s="116"/>
      <c r="AD18" s="117"/>
    </row>
    <row r="19" ht="15.0" customHeight="1">
      <c r="A19" s="104" t="s">
        <v>226</v>
      </c>
      <c r="B19" s="105" t="s">
        <v>227</v>
      </c>
      <c r="C19" s="106" t="str">
        <f>IFERROR(__xludf.DUMMYFUNCTION("arrayformula(VLOOKUP(to_Text(A19),to_Text(sheet2!$A$1:M1005),13,0))"),"CHORUS")</f>
        <v>CHORUS</v>
      </c>
      <c r="D19" s="107" t="str">
        <f>IFERROR(__xludf.DUMMYFUNCTION("arrayformula(VLOOKUP(to_Text(A19),to_Text(sheet2!$A$1:M1005),12,0))"),"DEV")</f>
        <v>DEV</v>
      </c>
      <c r="E19" s="108" t="str">
        <f t="shared" si="2"/>
        <v>Inactive</v>
      </c>
      <c r="F19" s="104" t="str">
        <f t="array" ref="F19">IFERROR(
  INDEX(ATTENDANCE_INPUT!D:D,
    MATCH(1,
      (ATTENDANCE_INPUT!A:A=A19) *
      (ATTENDANCE_INPUT!W:W=MAXIFS(ATTENDANCE_INPUT!W:W, ATTENDANCE_INPUT!A:A, A19)),
      0)),
  "")</f>
        <v>Buu Do 1</v>
      </c>
      <c r="G19" s="109" t="str">
        <f t="array" ref="G19">IFERROR(
  INDEX(ATTENDANCE_INPUT!E:E,
    MATCH(1,
      (ATTENDANCE_INPUT!A:A=A19) *
      (ATTENDANCE_INPUT!W:W=MAXIFS(ATTENDANCE_INPUT!W:W, ATTENDANCE_INPUT!A:A, A19)),
      0)),
  "")</f>
        <v>Communication 1</v>
      </c>
      <c r="H19" s="110" t="str">
        <f t="array" ref="H19">IF(ISNA(MATCH(A19,sheet2!A:A,0)),"⏳ Chưa test",IFERROR(INDEX(LEVEL_HELPER!A:A,MATCH(INDEX(sheet2!N:N,MATCH(A19,sheet2!A:A,0)),LEVEL_HELPER!B:B,0)),"⏳ Chưa test"))</f>
        <v>Beginner</v>
      </c>
      <c r="I19" s="110" t="str">
        <f t="array" ref="I19">IF(ISNA(MATCH(A19,sheet2!A:A,0)),H19,IF(INDEX(sheet2!O:O,MATCH(A19,sheet2!A:A,0))&gt;0,IFERROR(INDEX(LEVEL_HELPER!A:A,MATCH(INDEX(sheet2!O:O,MATCH(A19,sheet2!A:A,0)),LEVEL_HELPER!B:B,0)),H19),H19))</f>
        <v>Intermediate</v>
      </c>
      <c r="J19" s="110">
        <f>IFERROR(MAXIFS(ATTENDANCE_LOG!F:F, ATTENDANCE_LOG!C:C, A19&amp;"", ATTENDANCE_LOG!G:G, "Present"), "")</f>
        <v>45954.375</v>
      </c>
      <c r="K19" s="111">
        <f t="shared" si="3"/>
        <v>258.625</v>
      </c>
      <c r="L19" s="112" t="str">
        <f t="shared" si="4"/>
        <v>✅ Completed</v>
      </c>
      <c r="M19" s="113" t="s">
        <v>35</v>
      </c>
      <c r="N19" s="114" t="s">
        <v>34</v>
      </c>
      <c r="O19" s="113"/>
      <c r="P19" s="115">
        <f>IFERROR(__xludf.DUMMYFUNCTION("IFERROR(COUNTUNIQUEIFS(ATTENDANCE_LOG!B:B,ATTENDANCE_LOG!C:C,A19),0)"),1.0)</f>
        <v>1</v>
      </c>
      <c r="Q19" s="113" t="str">
        <f t="array" ref="Q19">IFERROR(INDEX(ATTENDANCE_LOG!A:A,MATCH(1,(ATTENDANCE_LOG!C:C=A19)*(ATTENDANCE_LOG!F:F=MAXIFS(ATTENDANCE_LOG!F:F,ATTENDANCE_LOG!C:C,A19)),0)),"")</f>
        <v>EL002</v>
      </c>
      <c r="R19" s="113" t="str">
        <f t="array" ref="R19">IFERROR(INDEX(ATTENDANCE_LOG!B:B,MATCH(1,(ATTENDANCE_LOG!C:C=A19)*(ATTENDANCE_LOG!F:F=MAXIFS(ATTENDANCE_LOG!F:F,ATTENDANCE_LOG!C:C,A19)),0)),"")</f>
        <v>Communication 1</v>
      </c>
      <c r="S19" s="113">
        <f>IFERROR(VLOOKUP(H19, LEVEL_HELPER!A:B, 2, 0), 0)</f>
        <v>1</v>
      </c>
      <c r="T19" s="113">
        <f>IFERROR(VLOOKUP(I19, LEVEL_HELPER!A:B, 2, 0), 0)</f>
        <v>4.5</v>
      </c>
      <c r="U19" s="113">
        <f t="shared" ref="U19:V19" si="23">IF(S19="",0,IF(S19&lt;=2,1,IF(S19&lt;=4,2,IF(S19&lt;=5.5,3,4))))
</f>
        <v>1</v>
      </c>
      <c r="V19" s="113">
        <f t="shared" si="23"/>
        <v>3</v>
      </c>
      <c r="W19" s="113" t="str">
        <f t="shared" si="6"/>
        <v>Lv1→Lv3 (multi)</v>
      </c>
      <c r="X19" s="113"/>
      <c r="Y19" s="113">
        <v>247141.0</v>
      </c>
      <c r="Z19" s="113" t="s">
        <v>209</v>
      </c>
      <c r="AA19" s="113" t="s">
        <v>40</v>
      </c>
      <c r="AB19" s="116"/>
      <c r="AC19" s="116"/>
      <c r="AD19" s="117"/>
    </row>
    <row r="20" ht="15.0" customHeight="1">
      <c r="A20" s="104" t="s">
        <v>228</v>
      </c>
      <c r="B20" s="105" t="s">
        <v>229</v>
      </c>
      <c r="C20" s="106" t="str">
        <f>IFERROR(__xludf.DUMMYFUNCTION("arrayformula(VLOOKUP(to_Text(A20),to_Text(sheet2!$A$1:M1005),13,0))"),"CHORUS")</f>
        <v>CHORUS</v>
      </c>
      <c r="D20" s="107" t="str">
        <f>IFERROR(__xludf.DUMMYFUNCTION("arrayformula(VLOOKUP(to_Text(A20),to_Text(sheet2!$A$1:M1005),12,0))"),"DEV")</f>
        <v>DEV</v>
      </c>
      <c r="E20" s="108" t="str">
        <f t="shared" si="2"/>
        <v>Inactive</v>
      </c>
      <c r="F20" s="104" t="str">
        <f t="array" ref="F20">IFERROR(
  INDEX(ATTENDANCE_INPUT!D:D,
    MATCH(1,
      (ATTENDANCE_INPUT!A:A=A20) *
      (ATTENDANCE_INPUT!W:W=MAXIFS(ATTENDANCE_INPUT!W:W, ATTENDANCE_INPUT!A:A, A20)),
      0)),
  "")</f>
        <v>Buu Do 1</v>
      </c>
      <c r="G20" s="109" t="str">
        <f t="array" ref="G20">IFERROR(
  INDEX(ATTENDANCE_INPUT!E:E,
    MATCH(1,
      (ATTENDANCE_INPUT!A:A=A20) *
      (ATTENDANCE_INPUT!W:W=MAXIFS(ATTENDANCE_INPUT!W:W, ATTENDANCE_INPUT!A:A, A20)),
      0)),
  "")</f>
        <v>Communication 1</v>
      </c>
      <c r="H20" s="110" t="str">
        <f t="array" ref="H20">IF(ISNA(MATCH(A20,sheet2!A:A,0)),"⏳ Chưa test",IFERROR(INDEX(LEVEL_HELPER!A:A,MATCH(INDEX(sheet2!N:N,MATCH(A20,sheet2!A:A,0)),LEVEL_HELPER!B:B,0)),"⏳ Chưa test"))</f>
        <v>Beginner</v>
      </c>
      <c r="I20" s="110" t="str">
        <f t="array" ref="I20">IF(ISNA(MATCH(A20,sheet2!A:A,0)),H20,IF(INDEX(sheet2!O:O,MATCH(A20,sheet2!A:A,0))&gt;0,IFERROR(INDEX(LEVEL_HELPER!A:A,MATCH(INDEX(sheet2!O:O,MATCH(A20,sheet2!A:A,0)),LEVEL_HELPER!B:B,0)),H20),H20))</f>
        <v>Pre-Intermediate 1</v>
      </c>
      <c r="J20" s="110">
        <f>IFERROR(MAXIFS(ATTENDANCE_LOG!F:F, ATTENDANCE_LOG!C:C, A20&amp;"", ATTENDANCE_LOG!G:G, "Present"), "")</f>
        <v>45954.375</v>
      </c>
      <c r="K20" s="111">
        <f t="shared" si="3"/>
        <v>258.625</v>
      </c>
      <c r="L20" s="112" t="str">
        <f t="shared" si="4"/>
        <v>✅ Completed</v>
      </c>
      <c r="M20" s="113" t="s">
        <v>35</v>
      </c>
      <c r="N20" s="114" t="s">
        <v>34</v>
      </c>
      <c r="O20" s="113"/>
      <c r="P20" s="115">
        <f>IFERROR(__xludf.DUMMYFUNCTION("IFERROR(COUNTUNIQUEIFS(ATTENDANCE_LOG!B:B,ATTENDANCE_LOG!C:C,A20),0)"),1.0)</f>
        <v>1</v>
      </c>
      <c r="Q20" s="113" t="str">
        <f t="array" ref="Q20">IFERROR(INDEX(ATTENDANCE_LOG!A:A,MATCH(1,(ATTENDANCE_LOG!C:C=A20)*(ATTENDANCE_LOG!F:F=MAXIFS(ATTENDANCE_LOG!F:F,ATTENDANCE_LOG!C:C,A20)),0)),"")</f>
        <v>EL002</v>
      </c>
      <c r="R20" s="113" t="str">
        <f t="array" ref="R20">IFERROR(INDEX(ATTENDANCE_LOG!B:B,MATCH(1,(ATTENDANCE_LOG!C:C=A20)*(ATTENDANCE_LOG!F:F=MAXIFS(ATTENDANCE_LOG!F:F,ATTENDANCE_LOG!C:C,A20)),0)),"")</f>
        <v>Communication 1</v>
      </c>
      <c r="S20" s="113">
        <f>IFERROR(VLOOKUP(H20, LEVEL_HELPER!A:B, 2, 0), 0)</f>
        <v>1</v>
      </c>
      <c r="T20" s="113">
        <f>IFERROR(VLOOKUP(I20, LEVEL_HELPER!A:B, 2, 0), 0)</f>
        <v>3</v>
      </c>
      <c r="U20" s="113">
        <f t="shared" ref="U20:V20" si="24">IF(S20="",0,IF(S20&lt;=2,1,IF(S20&lt;=4,2,IF(S20&lt;=5.5,3,4))))
</f>
        <v>1</v>
      </c>
      <c r="V20" s="113">
        <f t="shared" si="24"/>
        <v>2</v>
      </c>
      <c r="W20" s="113" t="str">
        <f t="shared" si="6"/>
        <v>Lv1→Lv2</v>
      </c>
      <c r="X20" s="113"/>
      <c r="Y20" s="113">
        <v>247173.0</v>
      </c>
      <c r="Z20" s="113" t="s">
        <v>209</v>
      </c>
      <c r="AA20" s="113" t="s">
        <v>40</v>
      </c>
      <c r="AB20" s="116"/>
      <c r="AC20" s="116"/>
      <c r="AD20" s="117"/>
    </row>
    <row r="21" ht="15.0" customHeight="1">
      <c r="A21" s="104" t="s">
        <v>230</v>
      </c>
      <c r="B21" s="105" t="s">
        <v>231</v>
      </c>
      <c r="C21" s="106" t="str">
        <f>IFERROR(__xludf.DUMMYFUNCTION("arrayformula(VLOOKUP(to_Text(A21),to_Text(sheet2!$A$1:M1005),13,0))"),"CHORUS")</f>
        <v>CHORUS</v>
      </c>
      <c r="D21" s="107" t="str">
        <f>IFERROR(__xludf.DUMMYFUNCTION("arrayformula(VLOOKUP(to_Text(A21),to_Text(sheet2!$A$1:M1005),12,0))"),"TA")</f>
        <v>TA</v>
      </c>
      <c r="E21" s="108" t="str">
        <f t="shared" si="2"/>
        <v>Inactive</v>
      </c>
      <c r="F21" s="104" t="str">
        <f t="array" ref="F21">IFERROR(
  INDEX(ATTENDANCE_INPUT!D:D,
    MATCH(1,
      (ATTENDANCE_INPUT!A:A=A21) *
      (ATTENDANCE_INPUT!W:W=MAXIFS(ATTENDANCE_INPUT!W:W, ATTENDANCE_INPUT!A:A, A21)),
      0)),
  "")</f>
        <v>Buu Do 1</v>
      </c>
      <c r="G21" s="109" t="str">
        <f t="array" ref="G21">IFERROR(
  INDEX(ATTENDANCE_INPUT!E:E,
    MATCH(1,
      (ATTENDANCE_INPUT!A:A=A21) *
      (ATTENDANCE_INPUT!W:W=MAXIFS(ATTENDANCE_INPUT!W:W, ATTENDANCE_INPUT!A:A, A21)),
      0)),
  "")</f>
        <v>Communication 1</v>
      </c>
      <c r="H21" s="110" t="str">
        <f t="array" ref="H21">IF(ISNA(MATCH(A21,sheet2!A:A,0)),"⏳ Chưa test",IFERROR(INDEX(LEVEL_HELPER!A:A,MATCH(INDEX(sheet2!N:N,MATCH(A21,sheet2!A:A,0)),LEVEL_HELPER!B:B,0)),"⏳ Chưa test"))</f>
        <v>Beginner</v>
      </c>
      <c r="I21" s="110" t="str">
        <f t="array" ref="I21">IF(ISNA(MATCH(A21,sheet2!A:A,0)),H21,IF(INDEX(sheet2!O:O,MATCH(A21,sheet2!A:A,0))&gt;0,IFERROR(INDEX(LEVEL_HELPER!A:A,MATCH(INDEX(sheet2!O:O,MATCH(A21,sheet2!A:A,0)),LEVEL_HELPER!B:B,0)),H21),H21))</f>
        <v>Beginner</v>
      </c>
      <c r="J21" s="110">
        <f>IFERROR(MAXIFS(ATTENDANCE_LOG!F:F, ATTENDANCE_LOG!C:C, A21&amp;"", ATTENDANCE_LOG!G:G, "Present"), "")</f>
        <v>45827.58333</v>
      </c>
      <c r="K21" s="111">
        <f t="shared" si="3"/>
        <v>385.4166667</v>
      </c>
      <c r="L21" s="112" t="str">
        <f t="shared" si="4"/>
        <v>✅ Completed</v>
      </c>
      <c r="M21" s="113" t="s">
        <v>35</v>
      </c>
      <c r="N21" s="114" t="s">
        <v>34</v>
      </c>
      <c r="O21" s="113"/>
      <c r="P21" s="115">
        <f>IFERROR(__xludf.DUMMYFUNCTION("IFERROR(COUNTUNIQUEIFS(ATTENDANCE_LOG!B:B,ATTENDANCE_LOG!C:C,A21),0)"),1.0)</f>
        <v>1</v>
      </c>
      <c r="Q21" s="113" t="str">
        <f t="array" ref="Q21">IFERROR(INDEX(ATTENDANCE_LOG!A:A,MATCH(1,(ATTENDANCE_LOG!C:C=A21)*(ATTENDANCE_LOG!F:F=MAXIFS(ATTENDANCE_LOG!F:F,ATTENDANCE_LOG!C:C,A21)),0)),"")</f>
        <v>EL002</v>
      </c>
      <c r="R21" s="113" t="str">
        <f t="array" ref="R21">IFERROR(INDEX(ATTENDANCE_LOG!B:B,MATCH(1,(ATTENDANCE_LOG!C:C=A21)*(ATTENDANCE_LOG!F:F=MAXIFS(ATTENDANCE_LOG!F:F,ATTENDANCE_LOG!C:C,A21)),0)),"")</f>
        <v>Communication 1</v>
      </c>
      <c r="S21" s="113">
        <f>IFERROR(VLOOKUP(H21, LEVEL_HELPER!A:B, 2, 0), 0)</f>
        <v>1</v>
      </c>
      <c r="T21" s="113">
        <f>IFERROR(VLOOKUP(I21, LEVEL_HELPER!A:B, 2, 0), 0)</f>
        <v>1</v>
      </c>
      <c r="U21" s="113">
        <f t="shared" ref="U21:V21" si="25">IF(S21="",0,IF(S21&lt;=2,1,IF(S21&lt;=4,2,IF(S21&lt;=5.5,3,4))))
</f>
        <v>1</v>
      </c>
      <c r="V21" s="113">
        <f t="shared" si="25"/>
        <v>1</v>
      </c>
      <c r="W21" s="113" t="str">
        <f t="shared" si="6"/>
        <v>No Progress</v>
      </c>
      <c r="X21" s="113"/>
      <c r="Y21" s="113">
        <v>213885.0</v>
      </c>
      <c r="Z21" s="113" t="s">
        <v>209</v>
      </c>
      <c r="AA21" s="113" t="s">
        <v>40</v>
      </c>
      <c r="AB21" s="116"/>
      <c r="AC21" s="116"/>
      <c r="AD21" s="117"/>
    </row>
    <row r="22" ht="15.0" customHeight="1">
      <c r="A22" s="104" t="s">
        <v>232</v>
      </c>
      <c r="B22" s="105" t="s">
        <v>233</v>
      </c>
      <c r="C22" s="106" t="str">
        <f>IFERROR(__xludf.DUMMYFUNCTION("arrayformula(VLOOKUP(to_Text(A22),to_Text(sheet2!$A$1:M1005),13,0))"),"LBU")</f>
        <v>LBU</v>
      </c>
      <c r="D22" s="107" t="str">
        <f>IFERROR(__xludf.DUMMYFUNCTION("arrayformula(VLOOKUP(to_Text(A22),to_Text(sheet2!$A$1:M1005),12,0))"),"DEV")</f>
        <v>DEV</v>
      </c>
      <c r="E22" s="108" t="str">
        <f t="shared" si="2"/>
        <v>Inactive</v>
      </c>
      <c r="F22" s="104" t="str">
        <f t="array" ref="F22">IFERROR(
  INDEX(ATTENDANCE_INPUT!D:D,
    MATCH(1,
      (ATTENDANCE_INPUT!A:A=A22) *
      (ATTENDANCE_INPUT!W:W=MAXIFS(ATTENDANCE_INPUT!W:W, ATTENDANCE_INPUT!A:A, A22)),
      0)),
  "")</f>
        <v>Buu Do 1</v>
      </c>
      <c r="G22" s="109" t="str">
        <f t="array" ref="G22">IFERROR(
  INDEX(ATTENDANCE_INPUT!E:E,
    MATCH(1,
      (ATTENDANCE_INPUT!A:A=A22) *
      (ATTENDANCE_INPUT!W:W=MAXIFS(ATTENDANCE_INPUT!W:W, ATTENDANCE_INPUT!A:A, A22)),
      0)),
  "")</f>
        <v>Communication 1</v>
      </c>
      <c r="H22" s="110" t="str">
        <f t="array" ref="H22">IF(ISNA(MATCH(A22,sheet2!A:A,0)),"⏳ Chưa test",IFERROR(INDEX(LEVEL_HELPER!A:A,MATCH(INDEX(sheet2!N:N,MATCH(A22,sheet2!A:A,0)),LEVEL_HELPER!B:B,0)),"⏳ Chưa test"))</f>
        <v>Beginner</v>
      </c>
      <c r="I22" s="110" t="str">
        <f t="array" ref="I22">IF(ISNA(MATCH(A22,sheet2!A:A,0)),H22,IF(INDEX(sheet2!O:O,MATCH(A22,sheet2!A:A,0))&gt;0,IFERROR(INDEX(LEVEL_HELPER!A:A,MATCH(INDEX(sheet2!O:O,MATCH(A22,sheet2!A:A,0)),LEVEL_HELPER!B:B,0)),H22),H22))</f>
        <v>Beginner</v>
      </c>
      <c r="J22" s="110">
        <f>IFERROR(MAXIFS(ATTENDANCE_LOG!F:F, ATTENDANCE_LOG!C:C, A22&amp;"", ATTENDANCE_LOG!G:G, "Present"), "")</f>
        <v>45827.58333</v>
      </c>
      <c r="K22" s="111">
        <f t="shared" si="3"/>
        <v>385.4166667</v>
      </c>
      <c r="L22" s="112" t="str">
        <f t="shared" si="4"/>
        <v>✅ Completed</v>
      </c>
      <c r="M22" s="113" t="s">
        <v>35</v>
      </c>
      <c r="N22" s="114" t="s">
        <v>34</v>
      </c>
      <c r="O22" s="113"/>
      <c r="P22" s="115">
        <f>IFERROR(__xludf.DUMMYFUNCTION("IFERROR(COUNTUNIQUEIFS(ATTENDANCE_LOG!B:B,ATTENDANCE_LOG!C:C,A22),0)"),1.0)</f>
        <v>1</v>
      </c>
      <c r="Q22" s="113" t="str">
        <f t="array" ref="Q22">IFERROR(INDEX(ATTENDANCE_LOG!A:A,MATCH(1,(ATTENDANCE_LOG!C:C=A22)*(ATTENDANCE_LOG!F:F=MAXIFS(ATTENDANCE_LOG!F:F,ATTENDANCE_LOG!C:C,A22)),0)),"")</f>
        <v>EL002</v>
      </c>
      <c r="R22" s="113" t="str">
        <f t="array" ref="R22">IFERROR(INDEX(ATTENDANCE_LOG!B:B,MATCH(1,(ATTENDANCE_LOG!C:C=A22)*(ATTENDANCE_LOG!F:F=MAXIFS(ATTENDANCE_LOG!F:F,ATTENDANCE_LOG!C:C,A22)),0)),"")</f>
        <v>Communication 1</v>
      </c>
      <c r="S22" s="113">
        <f>IFERROR(VLOOKUP(H22, LEVEL_HELPER!A:B, 2, 0), 0)</f>
        <v>1</v>
      </c>
      <c r="T22" s="113">
        <f>IFERROR(VLOOKUP(I22, LEVEL_HELPER!A:B, 2, 0), 0)</f>
        <v>1</v>
      </c>
      <c r="U22" s="113">
        <f t="shared" ref="U22:V22" si="26">IF(S22="",0,IF(S22&lt;=2,1,IF(S22&lt;=4,2,IF(S22&lt;=5.5,3,4))))
</f>
        <v>1</v>
      </c>
      <c r="V22" s="113">
        <f t="shared" si="26"/>
        <v>1</v>
      </c>
      <c r="W22" s="113" t="str">
        <f t="shared" si="6"/>
        <v>No Progress</v>
      </c>
      <c r="X22" s="113"/>
      <c r="Y22" s="113">
        <v>247366.0</v>
      </c>
      <c r="Z22" s="113" t="s">
        <v>209</v>
      </c>
      <c r="AA22" s="113" t="s">
        <v>40</v>
      </c>
      <c r="AB22" s="116"/>
      <c r="AC22" s="116"/>
      <c r="AD22" s="117"/>
    </row>
    <row r="23" ht="15.75" customHeight="1">
      <c r="A23" s="104" t="s">
        <v>234</v>
      </c>
      <c r="B23" s="105" t="s">
        <v>235</v>
      </c>
      <c r="C23" s="106" t="str">
        <f>IFERROR(__xludf.DUMMYFUNCTION("arrayformula(VLOOKUP(to_Text(A23),to_Text(sheet2!$A$1:M1005),13,0))"),"CHORUS")</f>
        <v>CHORUS</v>
      </c>
      <c r="D23" s="107" t="str">
        <f>IFERROR(__xludf.DUMMYFUNCTION("arrayformula(VLOOKUP(to_Text(A23),to_Text(sheet2!$A$1:M1005),12,0))"),"DEV")</f>
        <v>DEV</v>
      </c>
      <c r="E23" s="108" t="str">
        <f t="shared" si="2"/>
        <v>Inactive</v>
      </c>
      <c r="F23" s="104" t="str">
        <f t="array" ref="F23">IFERROR(
  INDEX(ATTENDANCE_INPUT!D:D,
    MATCH(1,
      (ATTENDANCE_INPUT!A:A=A23) *
      (ATTENDANCE_INPUT!W:W=MAXIFS(ATTENDANCE_INPUT!W:W, ATTENDANCE_INPUT!A:A, A23)),
      0)),
  "")</f>
        <v>Buu Do 1</v>
      </c>
      <c r="G23" s="109" t="str">
        <f t="array" ref="G23">IFERROR(
  INDEX(ATTENDANCE_INPUT!E:E,
    MATCH(1,
      (ATTENDANCE_INPUT!A:A=A23) *
      (ATTENDANCE_INPUT!W:W=MAXIFS(ATTENDANCE_INPUT!W:W, ATTENDANCE_INPUT!A:A, A23)),
      0)),
  "")</f>
        <v>Communication 1</v>
      </c>
      <c r="H23" s="110" t="str">
        <f t="array" ref="H23">IF(ISNA(MATCH(A23,sheet2!A:A,0)),"⏳ Chưa test",IFERROR(INDEX(LEVEL_HELPER!A:A,MATCH(INDEX(sheet2!N:N,MATCH(A23,sheet2!A:A,0)),LEVEL_HELPER!B:B,0)),"⏳ Chưa test"))</f>
        <v>Beginner</v>
      </c>
      <c r="I23" s="110" t="str">
        <f t="array" ref="I23">IF(ISNA(MATCH(A23,sheet2!A:A,0)),H23,IF(INDEX(sheet2!O:O,MATCH(A23,sheet2!A:A,0))&gt;0,IFERROR(INDEX(LEVEL_HELPER!A:A,MATCH(INDEX(sheet2!O:O,MATCH(A23,sheet2!A:A,0)),LEVEL_HELPER!B:B,0)),H23),H23))</f>
        <v>Pre-Intermediate 1</v>
      </c>
      <c r="J23" s="110">
        <f>IFERROR(MAXIFS(ATTENDANCE_LOG!F:F, ATTENDANCE_LOG!C:C, A23&amp;"", ATTENDANCE_LOG!G:G, "Present"), "")</f>
        <v>45954.375</v>
      </c>
      <c r="K23" s="111">
        <f t="shared" si="3"/>
        <v>258.625</v>
      </c>
      <c r="L23" s="112" t="str">
        <f t="shared" si="4"/>
        <v>✅ Completed</v>
      </c>
      <c r="M23" s="113" t="s">
        <v>35</v>
      </c>
      <c r="N23" s="114" t="s">
        <v>34</v>
      </c>
      <c r="O23" s="113"/>
      <c r="P23" s="115">
        <f>IFERROR(__xludf.DUMMYFUNCTION("IFERROR(COUNTUNIQUEIFS(ATTENDANCE_LOG!B:B,ATTENDANCE_LOG!C:C,A23),0)"),1.0)</f>
        <v>1</v>
      </c>
      <c r="Q23" s="113" t="str">
        <f t="array" ref="Q23">IFERROR(INDEX(ATTENDANCE_LOG!A:A,MATCH(1,(ATTENDANCE_LOG!C:C=A23)*(ATTENDANCE_LOG!F:F=MAXIFS(ATTENDANCE_LOG!F:F,ATTENDANCE_LOG!C:C,A23)),0)),"")</f>
        <v>EL002</v>
      </c>
      <c r="R23" s="113" t="str">
        <f t="array" ref="R23">IFERROR(INDEX(ATTENDANCE_LOG!B:B,MATCH(1,(ATTENDANCE_LOG!C:C=A23)*(ATTENDANCE_LOG!F:F=MAXIFS(ATTENDANCE_LOG!F:F,ATTENDANCE_LOG!C:C,A23)),0)),"")</f>
        <v>Communication 1</v>
      </c>
      <c r="S23" s="113">
        <f>IFERROR(VLOOKUP(H23, LEVEL_HELPER!A:B, 2, 0), 0)</f>
        <v>1</v>
      </c>
      <c r="T23" s="113">
        <f>IFERROR(VLOOKUP(I23, LEVEL_HELPER!A:B, 2, 0), 0)</f>
        <v>3</v>
      </c>
      <c r="U23" s="113">
        <f t="shared" ref="U23:V23" si="27">IF(S23="",0,IF(S23&lt;=2,1,IF(S23&lt;=4,2,IF(S23&lt;=5.5,3,4))))
</f>
        <v>1</v>
      </c>
      <c r="V23" s="113">
        <f t="shared" si="27"/>
        <v>2</v>
      </c>
      <c r="W23" s="113" t="str">
        <f t="shared" si="6"/>
        <v>Lv1→Lv2</v>
      </c>
      <c r="X23" s="113"/>
      <c r="Y23" s="113">
        <v>183411.0</v>
      </c>
      <c r="Z23" s="113" t="s">
        <v>209</v>
      </c>
      <c r="AA23" s="113" t="s">
        <v>40</v>
      </c>
      <c r="AB23" s="116"/>
      <c r="AC23" s="116"/>
      <c r="AD23" s="117"/>
    </row>
    <row r="24" ht="15.75" customHeight="1">
      <c r="A24" s="104" t="s">
        <v>236</v>
      </c>
      <c r="B24" s="105" t="s">
        <v>237</v>
      </c>
      <c r="C24" s="106" t="str">
        <f>IFERROR(__xludf.DUMMYFUNCTION("arrayformula(VLOOKUP(to_Text(A24),to_Text(sheet2!$A$1:M1005),13,0))"),"CHORUS")</f>
        <v>CHORUS</v>
      </c>
      <c r="D24" s="107" t="str">
        <f>IFERROR(__xludf.DUMMYFUNCTION("arrayformula(VLOOKUP(to_Text(A24),to_Text(sheet2!$A$1:M1005),12,0))"),"DEV")</f>
        <v>DEV</v>
      </c>
      <c r="E24" s="108" t="str">
        <f t="shared" si="2"/>
        <v>Inactive</v>
      </c>
      <c r="F24" s="104" t="str">
        <f t="array" ref="F24">IFERROR(
  INDEX(ATTENDANCE_INPUT!D:D,
    MATCH(1,
      (ATTENDANCE_INPUT!A:A=A24) *
      (ATTENDANCE_INPUT!W:W=MAXIFS(ATTENDANCE_INPUT!W:W, ATTENDANCE_INPUT!A:A, A24)),
      0)),
  "")</f>
        <v>Buu Do 1</v>
      </c>
      <c r="G24" s="109" t="str">
        <f t="array" ref="G24">IFERROR(
  INDEX(ATTENDANCE_INPUT!E:E,
    MATCH(1,
      (ATTENDANCE_INPUT!A:A=A24) *
      (ATTENDANCE_INPUT!W:W=MAXIFS(ATTENDANCE_INPUT!W:W, ATTENDANCE_INPUT!A:A, A24)),
      0)),
  "")</f>
        <v>Communication 1</v>
      </c>
      <c r="H24" s="110" t="str">
        <f t="array" ref="H24">IF(ISNA(MATCH(A24,sheet2!A:A,0)),"⏳ Chưa test",IFERROR(INDEX(LEVEL_HELPER!A:A,MATCH(INDEX(sheet2!N:N,MATCH(A24,sheet2!A:A,0)),LEVEL_HELPER!B:B,0)),"⏳ Chưa test"))</f>
        <v>Beginner</v>
      </c>
      <c r="I24" s="110" t="str">
        <f t="array" ref="I24">IF(ISNA(MATCH(A24,sheet2!A:A,0)),H24,IF(INDEX(sheet2!O:O,MATCH(A24,sheet2!A:A,0))&gt;0,IFERROR(INDEX(LEVEL_HELPER!A:A,MATCH(INDEX(sheet2!O:O,MATCH(A24,sheet2!A:A,0)),LEVEL_HELPER!B:B,0)),H24),H24))</f>
        <v>Pre-Intermediate 1</v>
      </c>
      <c r="J24" s="110">
        <f>IFERROR(MAXIFS(ATTENDANCE_LOG!F:F, ATTENDANCE_LOG!C:C, A24&amp;"", ATTENDANCE_LOG!G:G, "Present"), "")</f>
        <v>45954.375</v>
      </c>
      <c r="K24" s="111">
        <f t="shared" si="3"/>
        <v>258.625</v>
      </c>
      <c r="L24" s="112" t="str">
        <f t="shared" si="4"/>
        <v>✅ Completed</v>
      </c>
      <c r="M24" s="113" t="s">
        <v>35</v>
      </c>
      <c r="N24" s="114" t="s">
        <v>34</v>
      </c>
      <c r="O24" s="113"/>
      <c r="P24" s="115">
        <f>IFERROR(__xludf.DUMMYFUNCTION("IFERROR(COUNTUNIQUEIFS(ATTENDANCE_LOG!B:B,ATTENDANCE_LOG!C:C,A24),0)"),1.0)</f>
        <v>1</v>
      </c>
      <c r="Q24" s="113" t="str">
        <f t="array" ref="Q24">IFERROR(INDEX(ATTENDANCE_LOG!A:A,MATCH(1,(ATTENDANCE_LOG!C:C=A24)*(ATTENDANCE_LOG!F:F=MAXIFS(ATTENDANCE_LOG!F:F,ATTENDANCE_LOG!C:C,A24)),0)),"")</f>
        <v>EL002</v>
      </c>
      <c r="R24" s="113" t="str">
        <f t="array" ref="R24">IFERROR(INDEX(ATTENDANCE_LOG!B:B,MATCH(1,(ATTENDANCE_LOG!C:C=A24)*(ATTENDANCE_LOG!F:F=MAXIFS(ATTENDANCE_LOG!F:F,ATTENDANCE_LOG!C:C,A24)),0)),"")</f>
        <v>Communication 1</v>
      </c>
      <c r="S24" s="113">
        <f>IFERROR(VLOOKUP(H24, LEVEL_HELPER!A:B, 2, 0), 0)</f>
        <v>1</v>
      </c>
      <c r="T24" s="113">
        <f>IFERROR(VLOOKUP(I24, LEVEL_HELPER!A:B, 2, 0), 0)</f>
        <v>3</v>
      </c>
      <c r="U24" s="113">
        <f t="shared" ref="U24:V24" si="28">IF(S24="",0,IF(S24&lt;=2,1,IF(S24&lt;=4,2,IF(S24&lt;=5.5,3,4))))
</f>
        <v>1</v>
      </c>
      <c r="V24" s="113">
        <f t="shared" si="28"/>
        <v>2</v>
      </c>
      <c r="W24" s="113" t="str">
        <f t="shared" si="6"/>
        <v>Lv1→Lv2</v>
      </c>
      <c r="X24" s="113"/>
      <c r="Y24" s="113">
        <v>237259.0</v>
      </c>
      <c r="Z24" s="113" t="s">
        <v>204</v>
      </c>
      <c r="AA24" s="113" t="s">
        <v>205</v>
      </c>
      <c r="AB24" s="116"/>
      <c r="AC24" s="116"/>
      <c r="AD24" s="117"/>
    </row>
    <row r="25" ht="15.75" customHeight="1">
      <c r="A25" s="104" t="s">
        <v>238</v>
      </c>
      <c r="B25" s="105" t="s">
        <v>239</v>
      </c>
      <c r="C25" s="106" t="str">
        <f>IFERROR(__xludf.DUMMYFUNCTION("arrayformula(VLOOKUP(to_Text(A25),to_Text(sheet2!$A$1:M1005),13,0))"),"CHORUS")</f>
        <v>CHORUS</v>
      </c>
      <c r="D25" s="107" t="str">
        <f>IFERROR(__xludf.DUMMYFUNCTION("arrayformula(VLOOKUP(to_Text(A25),to_Text(sheet2!$A$1:M1005),12,0))"),"DEV")</f>
        <v>DEV</v>
      </c>
      <c r="E25" s="108" t="str">
        <f t="shared" si="2"/>
        <v>Inactive</v>
      </c>
      <c r="F25" s="104" t="str">
        <f t="array" ref="F25">IFERROR(
  INDEX(ATTENDANCE_INPUT!D:D,
    MATCH(1,
      (ATTENDANCE_INPUT!A:A=A25) *
      (ATTENDANCE_INPUT!W:W=MAXIFS(ATTENDANCE_INPUT!W:W, ATTENDANCE_INPUT!A:A, A25)),
      0)),
  "")</f>
        <v>Buu Do 1</v>
      </c>
      <c r="G25" s="109" t="str">
        <f t="array" ref="G25">IFERROR(
  INDEX(ATTENDANCE_INPUT!E:E,
    MATCH(1,
      (ATTENDANCE_INPUT!A:A=A25) *
      (ATTENDANCE_INPUT!W:W=MAXIFS(ATTENDANCE_INPUT!W:W, ATTENDANCE_INPUT!A:A, A25)),
      0)),
  "")</f>
        <v>Communication 1</v>
      </c>
      <c r="H25" s="110" t="str">
        <f t="array" ref="H25">IF(ISNA(MATCH(A25,sheet2!A:A,0)),"⏳ Chưa test",IFERROR(INDEX(LEVEL_HELPER!A:A,MATCH(INDEX(sheet2!N:N,MATCH(A25,sheet2!A:A,0)),LEVEL_HELPER!B:B,0)),"⏳ Chưa test"))</f>
        <v>Beginner</v>
      </c>
      <c r="I25" s="110" t="str">
        <f t="array" ref="I25">IF(ISNA(MATCH(A25,sheet2!A:A,0)),H25,IF(INDEX(sheet2!O:O,MATCH(A25,sheet2!A:A,0))&gt;0,IFERROR(INDEX(LEVEL_HELPER!A:A,MATCH(INDEX(sheet2!O:O,MATCH(A25,sheet2!A:A,0)),LEVEL_HELPER!B:B,0)),H25),H25))</f>
        <v>Pre-Intermediate 2</v>
      </c>
      <c r="J25" s="110">
        <f>IFERROR(MAXIFS(ATTENDANCE_LOG!F:F, ATTENDANCE_LOG!C:C, A25&amp;"", ATTENDANCE_LOG!G:G, "Present"), "")</f>
        <v>45954.375</v>
      </c>
      <c r="K25" s="111">
        <f t="shared" si="3"/>
        <v>258.625</v>
      </c>
      <c r="L25" s="112" t="str">
        <f t="shared" si="4"/>
        <v>✅ Completed</v>
      </c>
      <c r="M25" s="113" t="s">
        <v>35</v>
      </c>
      <c r="N25" s="114" t="s">
        <v>34</v>
      </c>
      <c r="O25" s="113"/>
      <c r="P25" s="115">
        <f>IFERROR(__xludf.DUMMYFUNCTION("IFERROR(COUNTUNIQUEIFS(ATTENDANCE_LOG!B:B,ATTENDANCE_LOG!C:C,A25),0)"),1.0)</f>
        <v>1</v>
      </c>
      <c r="Q25" s="113" t="str">
        <f t="array" ref="Q25">IFERROR(INDEX(ATTENDANCE_LOG!A:A,MATCH(1,(ATTENDANCE_LOG!C:C=A25)*(ATTENDANCE_LOG!F:F=MAXIFS(ATTENDANCE_LOG!F:F,ATTENDANCE_LOG!C:C,A25)),0)),"")</f>
        <v>EL002</v>
      </c>
      <c r="R25" s="113" t="str">
        <f t="array" ref="R25">IFERROR(INDEX(ATTENDANCE_LOG!B:B,MATCH(1,(ATTENDANCE_LOG!C:C=A25)*(ATTENDANCE_LOG!F:F=MAXIFS(ATTENDANCE_LOG!F:F,ATTENDANCE_LOG!C:C,A25)),0)),"")</f>
        <v>Communication 1</v>
      </c>
      <c r="S25" s="113">
        <f>IFERROR(VLOOKUP(H25, LEVEL_HELPER!A:B, 2, 0), 0)</f>
        <v>1</v>
      </c>
      <c r="T25" s="113">
        <f>IFERROR(VLOOKUP(I25, LEVEL_HELPER!A:B, 2, 0), 0)</f>
        <v>3.5</v>
      </c>
      <c r="U25" s="113">
        <f t="shared" ref="U25:V25" si="29">IF(S25="",0,IF(S25&lt;=2,1,IF(S25&lt;=4,2,IF(S25&lt;=5.5,3,4))))
</f>
        <v>1</v>
      </c>
      <c r="V25" s="113">
        <f t="shared" si="29"/>
        <v>2</v>
      </c>
      <c r="W25" s="113" t="str">
        <f t="shared" si="6"/>
        <v>Lv1→Lv2</v>
      </c>
      <c r="X25" s="113"/>
      <c r="Y25" s="113">
        <v>247164.0</v>
      </c>
      <c r="Z25" s="113" t="s">
        <v>190</v>
      </c>
      <c r="AA25" s="113" t="s">
        <v>34</v>
      </c>
      <c r="AB25" s="116"/>
      <c r="AC25" s="116"/>
      <c r="AD25" s="117"/>
    </row>
    <row r="26" ht="15.75" customHeight="1">
      <c r="A26" s="104" t="s">
        <v>240</v>
      </c>
      <c r="B26" s="105" t="s">
        <v>241</v>
      </c>
      <c r="C26" s="106" t="str">
        <f>IFERROR(__xludf.DUMMYFUNCTION("arrayformula(VLOOKUP(to_Text(A26),to_Text(sheet2!$A$1:M1005),13,0))"),"CHORUS")</f>
        <v>CHORUS</v>
      </c>
      <c r="D26" s="107" t="str">
        <f>IFERROR(__xludf.DUMMYFUNCTION("arrayformula(VLOOKUP(to_Text(A26),to_Text(sheet2!$A$1:M1005),12,0))"),"SM")</f>
        <v>SM</v>
      </c>
      <c r="E26" s="108" t="str">
        <f t="shared" si="2"/>
        <v>Inactive</v>
      </c>
      <c r="F26" s="104" t="str">
        <f t="array" ref="F26">IFERROR(
  INDEX(ATTENDANCE_INPUT!D:D,
    MATCH(1,
      (ATTENDANCE_INPUT!A:A=A26) *
      (ATTENDANCE_INPUT!W:W=MAXIFS(ATTENDANCE_INPUT!W:W, ATTENDANCE_INPUT!A:A, A26)),
      0)),
  "")</f>
        <v>Buu Do 1</v>
      </c>
      <c r="G26" s="109" t="str">
        <f t="array" ref="G26">IFERROR(
  INDEX(ATTENDANCE_INPUT!E:E,
    MATCH(1,
      (ATTENDANCE_INPUT!A:A=A26) *
      (ATTENDANCE_INPUT!W:W=MAXIFS(ATTENDANCE_INPUT!W:W, ATTENDANCE_INPUT!A:A, A26)),
      0)),
  "")</f>
        <v>Communication 1</v>
      </c>
      <c r="H26" s="110" t="str">
        <f t="array" ref="H26">IF(ISNA(MATCH(A26,sheet2!A:A,0)),"⏳ Chưa test",IFERROR(INDEX(LEVEL_HELPER!A:A,MATCH(INDEX(sheet2!N:N,MATCH(A26,sheet2!A:A,0)),LEVEL_HELPER!B:B,0)),"⏳ Chưa test"))</f>
        <v>Pre-Intermediate</v>
      </c>
      <c r="I26" s="110" t="str">
        <f t="array" ref="I26">IF(ISNA(MATCH(A26,sheet2!A:A,0)),H26,IF(INDEX(sheet2!O:O,MATCH(A26,sheet2!A:A,0))&gt;0,IFERROR(INDEX(LEVEL_HELPER!A:A,MATCH(INDEX(sheet2!O:O,MATCH(A26,sheet2!A:A,0)),LEVEL_HELPER!B:B,0)),H26),H26))</f>
        <v>Pre-Intermediate</v>
      </c>
      <c r="J26" s="110">
        <f>IFERROR(MAXIFS(ATTENDANCE_LOG!F:F, ATTENDANCE_LOG!C:C, A26&amp;"", ATTENDANCE_LOG!G:G, "Present"), "")</f>
        <v>45800.54167</v>
      </c>
      <c r="K26" s="111">
        <f t="shared" si="3"/>
        <v>412.4583333</v>
      </c>
      <c r="L26" s="112" t="str">
        <f t="shared" si="4"/>
        <v>❌ Dropped</v>
      </c>
      <c r="M26" s="113" t="s">
        <v>37</v>
      </c>
      <c r="N26" s="114" t="s">
        <v>34</v>
      </c>
      <c r="O26" s="113"/>
      <c r="P26" s="115">
        <f>IFERROR(__xludf.DUMMYFUNCTION("IFERROR(COUNTUNIQUEIFS(ATTENDANCE_LOG!B:B,ATTENDANCE_LOG!C:C,A26),0)"),1.0)</f>
        <v>1</v>
      </c>
      <c r="Q26" s="113" t="str">
        <f t="array" ref="Q26">IFERROR(INDEX(ATTENDANCE_LOG!A:A,MATCH(1,(ATTENDANCE_LOG!C:C=A26)*(ATTENDANCE_LOG!F:F=MAXIFS(ATTENDANCE_LOG!F:F,ATTENDANCE_LOG!C:C,A26)),0)),"")</f>
        <v>EL002</v>
      </c>
      <c r="R26" s="113" t="str">
        <f t="array" ref="R26">IFERROR(INDEX(ATTENDANCE_LOG!B:B,MATCH(1,(ATTENDANCE_LOG!C:C=A26)*(ATTENDANCE_LOG!F:F=MAXIFS(ATTENDANCE_LOG!F:F,ATTENDANCE_LOG!C:C,A26)),0)),"")</f>
        <v>Communication 1</v>
      </c>
      <c r="S26" s="113">
        <f>IFERROR(VLOOKUP(H26, LEVEL_HELPER!A:B, 2, 0), 0)</f>
        <v>2.5</v>
      </c>
      <c r="T26" s="113">
        <f>IFERROR(VLOOKUP(I26, LEVEL_HELPER!A:B, 2, 0), 0)</f>
        <v>2.5</v>
      </c>
      <c r="U26" s="113">
        <f t="shared" ref="U26:V26" si="30">IF(S26="",0,IF(S26&lt;=2,1,IF(S26&lt;=4,2,IF(S26&lt;=5.5,3,4))))
</f>
        <v>2</v>
      </c>
      <c r="V26" s="113">
        <f t="shared" si="30"/>
        <v>2</v>
      </c>
      <c r="W26" s="113" t="str">
        <f t="shared" si="6"/>
        <v>No Progress</v>
      </c>
      <c r="X26" s="113"/>
      <c r="Y26" s="113">
        <v>247115.0</v>
      </c>
      <c r="Z26" s="113" t="s">
        <v>209</v>
      </c>
      <c r="AA26" s="113" t="s">
        <v>40</v>
      </c>
      <c r="AB26" s="116"/>
      <c r="AC26" s="116"/>
      <c r="AD26" s="117"/>
    </row>
    <row r="27" ht="15.75" customHeight="1">
      <c r="A27" s="104" t="s">
        <v>242</v>
      </c>
      <c r="B27" s="105" t="s">
        <v>243</v>
      </c>
      <c r="C27" s="106" t="str">
        <f>IFERROR(__xludf.DUMMYFUNCTION("arrayformula(VLOOKUP(to_Text(A27),to_Text(sheet2!$A$1:M1005),13,0))"),"CHORUS")</f>
        <v>CHORUS</v>
      </c>
      <c r="D27" s="107" t="str">
        <f>IFERROR(__xludf.DUMMYFUNCTION("arrayformula(VLOOKUP(to_Text(A27),to_Text(sheet2!$A$1:M1005),12,0))"),"QC")</f>
        <v>QC</v>
      </c>
      <c r="E27" s="108" t="str">
        <f t="shared" si="2"/>
        <v>Inactive</v>
      </c>
      <c r="F27" s="104" t="str">
        <f t="array" ref="F27">IFERROR(
  INDEX(ATTENDANCE_INPUT!D:D,
    MATCH(1,
      (ATTENDANCE_INPUT!A:A=A27) *
      (ATTENDANCE_INPUT!W:W=MAXIFS(ATTENDANCE_INPUT!W:W, ATTENDANCE_INPUT!A:A, A27)),
      0)),
  "")</f>
        <v>Buu Do 2</v>
      </c>
      <c r="G27" s="109" t="str">
        <f t="array" ref="G27">IFERROR(
  INDEX(ATTENDANCE_INPUT!E:E,
    MATCH(1,
      (ATTENDANCE_INPUT!A:A=A27) *
      (ATTENDANCE_INPUT!W:W=MAXIFS(ATTENDANCE_INPUT!W:W, ATTENDANCE_INPUT!A:A, A27)),
      0)),
  "")</f>
        <v>Communication 1</v>
      </c>
      <c r="H27" s="110" t="str">
        <f t="array" ref="H27">IF(ISNA(MATCH(A27,sheet2!A:A,0)),"⏳ Chưa test",IFERROR(INDEX(LEVEL_HELPER!A:A,MATCH(INDEX(sheet2!N:N,MATCH(A27,sheet2!A:A,0)),LEVEL_HELPER!B:B,0)),"⏳ Chưa test"))</f>
        <v>Beginner</v>
      </c>
      <c r="I27" s="110" t="str">
        <f t="array" ref="I27">IF(ISNA(MATCH(A27,sheet2!A:A,0)),H27,IF(INDEX(sheet2!O:O,MATCH(A27,sheet2!A:A,0))&gt;0,IFERROR(INDEX(LEVEL_HELPER!A:A,MATCH(INDEX(sheet2!O:O,MATCH(A27,sheet2!A:A,0)),LEVEL_HELPER!B:B,0)),H27),H27))</f>
        <v>Beginner</v>
      </c>
      <c r="J27" s="110">
        <f>IFERROR(MAXIFS(ATTENDANCE_LOG!F:F, ATTENDANCE_LOG!C:C, A27&amp;"", ATTENDANCE_LOG!G:G, "Present"), "")</f>
        <v>45882.54167</v>
      </c>
      <c r="K27" s="111">
        <f t="shared" si="3"/>
        <v>330.4583333</v>
      </c>
      <c r="L27" s="112" t="str">
        <f t="shared" si="4"/>
        <v>❌ Dropped</v>
      </c>
      <c r="M27" s="113" t="s">
        <v>37</v>
      </c>
      <c r="N27" s="114" t="s">
        <v>34</v>
      </c>
      <c r="O27" s="113"/>
      <c r="P27" s="115">
        <f>IFERROR(__xludf.DUMMYFUNCTION("IFERROR(COUNTUNIQUEIFS(ATTENDANCE_LOG!B:B,ATTENDANCE_LOG!C:C,A27),0)"),1.0)</f>
        <v>1</v>
      </c>
      <c r="Q27" s="113" t="str">
        <f t="array" ref="Q27">IFERROR(INDEX(ATTENDANCE_LOG!A:A,MATCH(1,(ATTENDANCE_LOG!C:C=A27)*(ATTENDANCE_LOG!F:F=MAXIFS(ATTENDANCE_LOG!F:F,ATTENDANCE_LOG!C:C,A27)),0)),"")</f>
        <v>EL003</v>
      </c>
      <c r="R27" s="113" t="str">
        <f t="array" ref="R27">IFERROR(INDEX(ATTENDANCE_LOG!B:B,MATCH(1,(ATTENDANCE_LOG!C:C=A27)*(ATTENDANCE_LOG!F:F=MAXIFS(ATTENDANCE_LOG!F:F,ATTENDANCE_LOG!C:C,A27)),0)),"")</f>
        <v>Communication 1</v>
      </c>
      <c r="S27" s="113">
        <f>IFERROR(VLOOKUP(H27, LEVEL_HELPER!A:B, 2, 0), 0)</f>
        <v>1</v>
      </c>
      <c r="T27" s="113">
        <f>IFERROR(VLOOKUP(I27, LEVEL_HELPER!A:B, 2, 0), 0)</f>
        <v>1</v>
      </c>
      <c r="U27" s="113">
        <f t="shared" ref="U27:V27" si="31">IF(S27="",0,IF(S27&lt;=2,1,IF(S27&lt;=4,2,IF(S27&lt;=5.5,3,4))))
</f>
        <v>1</v>
      </c>
      <c r="V27" s="113">
        <f t="shared" si="31"/>
        <v>1</v>
      </c>
      <c r="W27" s="113" t="str">
        <f t="shared" si="6"/>
        <v>No Progress</v>
      </c>
      <c r="X27" s="113"/>
      <c r="Y27" s="113">
        <v>247251.0</v>
      </c>
      <c r="Z27" s="113" t="s">
        <v>204</v>
      </c>
      <c r="AA27" s="113" t="s">
        <v>205</v>
      </c>
      <c r="AB27" s="116"/>
      <c r="AC27" s="116"/>
      <c r="AD27" s="117"/>
    </row>
    <row r="28" ht="15.75" customHeight="1">
      <c r="A28" s="104" t="s">
        <v>244</v>
      </c>
      <c r="B28" s="105" t="s">
        <v>245</v>
      </c>
      <c r="C28" s="106" t="str">
        <f>IFERROR(__xludf.DUMMYFUNCTION("arrayformula(VLOOKUP(to_Text(A28),to_Text(sheet2!$A$1:M1005),13,0))"),"CHORUS")</f>
        <v>CHORUS</v>
      </c>
      <c r="D28" s="107" t="str">
        <f>IFERROR(__xludf.DUMMYFUNCTION("arrayformula(VLOOKUP(to_Text(A28),to_Text(sheet2!$A$1:M1005),12,0))"),"QC")</f>
        <v>QC</v>
      </c>
      <c r="E28" s="108" t="str">
        <f t="shared" si="2"/>
        <v>Inactive</v>
      </c>
      <c r="F28" s="104" t="str">
        <f t="array" ref="F28">IFERROR(
  INDEX(ATTENDANCE_INPUT!D:D,
    MATCH(1,
      (ATTENDANCE_INPUT!A:A=A28) *
      (ATTENDANCE_INPUT!W:W=MAXIFS(ATTENDANCE_INPUT!W:W, ATTENDANCE_INPUT!A:A, A28)),
      0)),
  "")</f>
        <v>Buu Do 2</v>
      </c>
      <c r="G28" s="109" t="str">
        <f t="array" ref="G28">IFERROR(
  INDEX(ATTENDANCE_INPUT!E:E,
    MATCH(1,
      (ATTENDANCE_INPUT!A:A=A28) *
      (ATTENDANCE_INPUT!W:W=MAXIFS(ATTENDANCE_INPUT!W:W, ATTENDANCE_INPUT!A:A, A28)),
      0)),
  "")</f>
        <v>Communication 1</v>
      </c>
      <c r="H28" s="110" t="str">
        <f t="array" ref="H28">IF(ISNA(MATCH(A28,sheet2!A:A,0)),"⏳ Chưa test",IFERROR(INDEX(LEVEL_HELPER!A:A,MATCH(INDEX(sheet2!N:N,MATCH(A28,sheet2!A:A,0)),LEVEL_HELPER!B:B,0)),"⏳ Chưa test"))</f>
        <v>Beginner</v>
      </c>
      <c r="I28" s="110" t="str">
        <f t="array" ref="I28">IF(ISNA(MATCH(A28,sheet2!A:A,0)),H28,IF(INDEX(sheet2!O:O,MATCH(A28,sheet2!A:A,0))&gt;0,IFERROR(INDEX(LEVEL_HELPER!A:A,MATCH(INDEX(sheet2!O:O,MATCH(A28,sheet2!A:A,0)),LEVEL_HELPER!B:B,0)),H28),H28))</f>
        <v>Beginner</v>
      </c>
      <c r="J28" s="110">
        <f>IFERROR(MAXIFS(ATTENDANCE_LOG!F:F, ATTENDANCE_LOG!C:C, A28&amp;"", ATTENDANCE_LOG!G:G, "Present"), "")</f>
        <v>45882.54167</v>
      </c>
      <c r="K28" s="111">
        <f t="shared" si="3"/>
        <v>330.4583333</v>
      </c>
      <c r="L28" s="112" t="str">
        <f t="shared" si="4"/>
        <v>❌ Dropped</v>
      </c>
      <c r="M28" s="113" t="s">
        <v>37</v>
      </c>
      <c r="N28" s="114" t="s">
        <v>34</v>
      </c>
      <c r="O28" s="113"/>
      <c r="P28" s="115">
        <f>IFERROR(__xludf.DUMMYFUNCTION("IFERROR(COUNTUNIQUEIFS(ATTENDANCE_LOG!B:B,ATTENDANCE_LOG!C:C,A28),0)"),1.0)</f>
        <v>1</v>
      </c>
      <c r="Q28" s="113" t="str">
        <f t="array" ref="Q28">IFERROR(INDEX(ATTENDANCE_LOG!A:A,MATCH(1,(ATTENDANCE_LOG!C:C=A28)*(ATTENDANCE_LOG!F:F=MAXIFS(ATTENDANCE_LOG!F:F,ATTENDANCE_LOG!C:C,A28)),0)),"")</f>
        <v>EL003</v>
      </c>
      <c r="R28" s="113" t="str">
        <f t="array" ref="R28">IFERROR(INDEX(ATTENDANCE_LOG!B:B,MATCH(1,(ATTENDANCE_LOG!C:C=A28)*(ATTENDANCE_LOG!F:F=MAXIFS(ATTENDANCE_LOG!F:F,ATTENDANCE_LOG!C:C,A28)),0)),"")</f>
        <v>Communication 1</v>
      </c>
      <c r="S28" s="113">
        <f>IFERROR(VLOOKUP(H28, LEVEL_HELPER!A:B, 2, 0), 0)</f>
        <v>1</v>
      </c>
      <c r="T28" s="113">
        <f>IFERROR(VLOOKUP(I28, LEVEL_HELPER!A:B, 2, 0), 0)</f>
        <v>1</v>
      </c>
      <c r="U28" s="113">
        <f t="shared" ref="U28:V28" si="32">IF(S28="",0,IF(S28&lt;=2,1,IF(S28&lt;=4,2,IF(S28&lt;=5.5,3,4))))
</f>
        <v>1</v>
      </c>
      <c r="V28" s="113">
        <f t="shared" si="32"/>
        <v>1</v>
      </c>
      <c r="W28" s="113" t="str">
        <f t="shared" si="6"/>
        <v>No Progress</v>
      </c>
      <c r="X28" s="113"/>
      <c r="Y28" s="113">
        <v>247283.0</v>
      </c>
      <c r="Z28" s="113" t="s">
        <v>190</v>
      </c>
      <c r="AA28" s="113" t="s">
        <v>34</v>
      </c>
      <c r="AB28" s="116"/>
      <c r="AC28" s="116"/>
      <c r="AD28" s="117"/>
    </row>
    <row r="29" ht="15.75" customHeight="1">
      <c r="A29" s="122" t="s">
        <v>246</v>
      </c>
      <c r="B29" s="123" t="s">
        <v>247</v>
      </c>
      <c r="C29" s="106" t="str">
        <f>IFERROR(__xludf.DUMMYFUNCTION("arrayformula(VLOOKUP(to_Text(A29),to_Text(sheet2!$A$1:M1005),13,0))"),"ONC")</f>
        <v>ONC</v>
      </c>
      <c r="D29" s="107" t="str">
        <f>IFERROR(__xludf.DUMMYFUNCTION("arrayformula(VLOOKUP(to_Text(A29),to_Text(sheet2!$A$1:M1005),12,0))"),"DEV")</f>
        <v>DEV</v>
      </c>
      <c r="E29" s="108" t="str">
        <f t="shared" si="2"/>
        <v>Inactive</v>
      </c>
      <c r="F29" s="104" t="str">
        <f t="array" ref="F29">IFERROR(
  INDEX(ATTENDANCE_INPUT!D:D,
    MATCH(1,
      (ATTENDANCE_INPUT!A:A=A29) *
      (ATTENDANCE_INPUT!W:W=MAXIFS(ATTENDANCE_INPUT!W:W, ATTENDANCE_INPUT!A:A, A29)),
      0)),
  "")</f>
        <v>Cuong Nguyen</v>
      </c>
      <c r="G29" s="109" t="str">
        <f t="array" ref="G29">IFERROR(
  INDEX(ATTENDANCE_INPUT!E:E,
    MATCH(1,
      (ATTENDANCE_INPUT!A:A=A29) *
      (ATTENDANCE_INPUT!W:W=MAXIFS(ATTENDANCE_INPUT!W:W, ATTENDANCE_INPUT!A:A, A29)),
      0)),
  "")</f>
        <v>Communication 2</v>
      </c>
      <c r="H29" s="110" t="str">
        <f t="array" ref="H29">IF(ISNA(MATCH(A29,sheet2!A:A,0)),"⏳ Chưa test",IFERROR(INDEX(LEVEL_HELPER!A:A,MATCH(INDEX(sheet2!N:N,MATCH(A29,sheet2!A:A,0)),LEVEL_HELPER!B:B,0)),"⏳ Chưa test"))</f>
        <v>Beginner</v>
      </c>
      <c r="I29" s="110" t="str">
        <f t="array" ref="I29">IF(ISNA(MATCH(A29,sheet2!A:A,0)),H29,IF(INDEX(sheet2!O:O,MATCH(A29,sheet2!A:A,0))&gt;0,IFERROR(INDEX(LEVEL_HELPER!A:A,MATCH(INDEX(sheet2!O:O,MATCH(A29,sheet2!A:A,0)),LEVEL_HELPER!B:B,0)),H29),H29))</f>
        <v>Pre-Intermediate 2</v>
      </c>
      <c r="J29" s="124">
        <f>IFERROR(MAXIFS(ATTENDANCE_LOG!F:F, ATTENDANCE_LOG!C:C, A29&amp;"", ATTENDANCE_LOG!G:G, "Present"), "")</f>
        <v>46084.41667</v>
      </c>
      <c r="K29" s="111">
        <f t="shared" si="3"/>
        <v>128.5833333</v>
      </c>
      <c r="L29" s="112" t="str">
        <f t="shared" si="4"/>
        <v>✅ Completed</v>
      </c>
      <c r="M29" s="121" t="s">
        <v>35</v>
      </c>
      <c r="N29" s="126" t="s">
        <v>38</v>
      </c>
      <c r="O29" s="113"/>
      <c r="P29" s="115">
        <f>IFERROR(__xludf.DUMMYFUNCTION("IFERROR(COUNTUNIQUEIFS(ATTENDANCE_LOG!B:B,ATTENDANCE_LOG!C:C,A29),0)"),2.0)</f>
        <v>2</v>
      </c>
      <c r="Q29" s="113" t="str">
        <f t="array" ref="Q29">IFERROR(INDEX(ATTENDANCE_LOG!A:A,MATCH(1,(ATTENDANCE_LOG!C:C=A29)*(ATTENDANCE_LOG!F:F=MAXIFS(ATTENDANCE_LOG!F:F,ATTENDANCE_LOG!C:C,A29)),0)),"")</f>
        <v>EL004</v>
      </c>
      <c r="R29" s="113" t="str">
        <f t="array" ref="R29">IFERROR(INDEX(ATTENDANCE_LOG!B:B,MATCH(1,(ATTENDANCE_LOG!C:C=A29)*(ATTENDANCE_LOG!F:F=MAXIFS(ATTENDANCE_LOG!F:F,ATTENDANCE_LOG!C:C,A29)),0)),"")</f>
        <v>Communication 2</v>
      </c>
      <c r="S29" s="113">
        <f>IFERROR(VLOOKUP(H29, LEVEL_HELPER!A:B, 2, 0), 0)</f>
        <v>1</v>
      </c>
      <c r="T29" s="113">
        <f>IFERROR(VLOOKUP(I29, LEVEL_HELPER!A:B, 2, 0), 0)</f>
        <v>3.5</v>
      </c>
      <c r="U29" s="113">
        <f t="shared" ref="U29:V29" si="33">IF(S29="",0,IF(S29&lt;=2,1,IF(S29&lt;=4,2,IF(S29&lt;=5.5,3,4))))
</f>
        <v>1</v>
      </c>
      <c r="V29" s="113">
        <f t="shared" si="33"/>
        <v>2</v>
      </c>
      <c r="W29" s="113" t="str">
        <f t="shared" si="6"/>
        <v>Lv1→Lv2</v>
      </c>
      <c r="X29" s="113"/>
      <c r="Y29" s="113">
        <v>247329.0</v>
      </c>
      <c r="Z29" s="113" t="s">
        <v>190</v>
      </c>
      <c r="AA29" s="113" t="s">
        <v>34</v>
      </c>
      <c r="AB29" s="102"/>
      <c r="AC29" s="102"/>
      <c r="AD29" s="103"/>
    </row>
    <row r="30" ht="15.75" customHeight="1">
      <c r="A30" s="104" t="s">
        <v>248</v>
      </c>
      <c r="B30" s="105" t="s">
        <v>249</v>
      </c>
      <c r="C30" s="106" t="str">
        <f>IFERROR(__xludf.DUMMYFUNCTION("arrayformula(VLOOKUP(to_Text(A30),to_Text(sheet2!$A$1:M1005),13,0))"),"ONC")</f>
        <v>ONC</v>
      </c>
      <c r="D30" s="107" t="str">
        <f>IFERROR(__xludf.DUMMYFUNCTION("arrayformula(VLOOKUP(to_Text(A30),to_Text(sheet2!$A$1:M1005),12,0))"),"DEV")</f>
        <v>DEV</v>
      </c>
      <c r="E30" s="108" t="str">
        <f t="shared" si="2"/>
        <v>Inactive</v>
      </c>
      <c r="F30" s="104" t="str">
        <f t="array" ref="F30">IFERROR(
  INDEX(ATTENDANCE_INPUT!D:D,
    MATCH(1,
      (ATTENDANCE_INPUT!A:A=A30) *
      (ATTENDANCE_INPUT!W:W=MAXIFS(ATTENDANCE_INPUT!W:W, ATTENDANCE_INPUT!A:A, A30)),
      0)),
  "")</f>
        <v>Cuong Nguyen</v>
      </c>
      <c r="G30" s="109" t="str">
        <f t="array" ref="G30">IFERROR(
  INDEX(ATTENDANCE_INPUT!E:E,
    MATCH(1,
      (ATTENDANCE_INPUT!A:A=A30) *
      (ATTENDANCE_INPUT!W:W=MAXIFS(ATTENDANCE_INPUT!W:W, ATTENDANCE_INPUT!A:A, A30)),
      0)),
  "")</f>
        <v>Communication 2</v>
      </c>
      <c r="H30" s="110" t="str">
        <f t="array" ref="H30">IF(ISNA(MATCH(A30,sheet2!A:A,0)),"⏳ Chưa test",IFERROR(INDEX(LEVEL_HELPER!A:A,MATCH(INDEX(sheet2!N:N,MATCH(A30,sheet2!A:A,0)),LEVEL_HELPER!B:B,0)),"⏳ Chưa test"))</f>
        <v>Beginner</v>
      </c>
      <c r="I30" s="110" t="str">
        <f t="array" ref="I30">IF(ISNA(MATCH(A30,sheet2!A:A,0)),H30,IF(INDEX(sheet2!O:O,MATCH(A30,sheet2!A:A,0))&gt;0,IFERROR(INDEX(LEVEL_HELPER!A:A,MATCH(INDEX(sheet2!O:O,MATCH(A30,sheet2!A:A,0)),LEVEL_HELPER!B:B,0)),H30),H30))</f>
        <v>Intermediate 1</v>
      </c>
      <c r="J30" s="110">
        <f>IFERROR(MAXIFS(ATTENDANCE_LOG!F:F, ATTENDANCE_LOG!C:C, A30&amp;"", ATTENDANCE_LOG!G:G, "Present"), "")</f>
        <v>46084.41667</v>
      </c>
      <c r="K30" s="111">
        <f t="shared" si="3"/>
        <v>128.5833333</v>
      </c>
      <c r="L30" s="112" t="str">
        <f t="shared" si="4"/>
        <v>✅ Completed</v>
      </c>
      <c r="M30" s="113" t="s">
        <v>35</v>
      </c>
      <c r="N30" s="126" t="s">
        <v>38</v>
      </c>
      <c r="O30" s="113"/>
      <c r="P30" s="115">
        <f>IFERROR(__xludf.DUMMYFUNCTION("IFERROR(COUNTUNIQUEIFS(ATTENDANCE_LOG!B:B,ATTENDANCE_LOG!C:C,A30),0)"),2.0)</f>
        <v>2</v>
      </c>
      <c r="Q30" s="113" t="str">
        <f t="array" ref="Q30">IFERROR(INDEX(ATTENDANCE_LOG!A:A,MATCH(1,(ATTENDANCE_LOG!C:C=A30)*(ATTENDANCE_LOG!F:F=MAXIFS(ATTENDANCE_LOG!F:F,ATTENDANCE_LOG!C:C,A30)),0)),"")</f>
        <v>EL004</v>
      </c>
      <c r="R30" s="113" t="str">
        <f t="array" ref="R30">IFERROR(INDEX(ATTENDANCE_LOG!B:B,MATCH(1,(ATTENDANCE_LOG!C:C=A30)*(ATTENDANCE_LOG!F:F=MAXIFS(ATTENDANCE_LOG!F:F,ATTENDANCE_LOG!C:C,A30)),0)),"")</f>
        <v>Communication 2</v>
      </c>
      <c r="S30" s="113">
        <f>IFERROR(VLOOKUP(H30, LEVEL_HELPER!A:B, 2, 0), 0)</f>
        <v>1</v>
      </c>
      <c r="T30" s="113">
        <f>IFERROR(VLOOKUP(I30, LEVEL_HELPER!A:B, 2, 0), 0)</f>
        <v>5</v>
      </c>
      <c r="U30" s="113">
        <f t="shared" ref="U30:V30" si="34">IF(S30="",0,IF(S30&lt;=2,1,IF(S30&lt;=4,2,IF(S30&lt;=5.5,3,4))))
</f>
        <v>1</v>
      </c>
      <c r="V30" s="113">
        <f t="shared" si="34"/>
        <v>3</v>
      </c>
      <c r="W30" s="113" t="str">
        <f t="shared" si="6"/>
        <v>Lv1→Lv3 (multi)</v>
      </c>
      <c r="X30" s="113"/>
      <c r="Y30" s="113">
        <v>247391.0</v>
      </c>
      <c r="Z30" s="113" t="s">
        <v>190</v>
      </c>
      <c r="AA30" s="113" t="s">
        <v>34</v>
      </c>
      <c r="AB30" s="116"/>
      <c r="AC30" s="116"/>
      <c r="AD30" s="117"/>
    </row>
    <row r="31" ht="15.75" customHeight="1">
      <c r="A31" s="104" t="s">
        <v>250</v>
      </c>
      <c r="B31" s="105" t="s">
        <v>251</v>
      </c>
      <c r="C31" s="106" t="str">
        <f>IFERROR(__xludf.DUMMYFUNCTION("arrayformula(VLOOKUP(to_Text(A31),to_Text(sheet2!$A$1:M1005),13,0))"),"ONC")</f>
        <v>ONC</v>
      </c>
      <c r="D31" s="107" t="str">
        <f>IFERROR(__xludf.DUMMYFUNCTION("arrayformula(VLOOKUP(to_Text(A31),to_Text(sheet2!$A$1:M1005),12,0))"),"DEV")</f>
        <v>DEV</v>
      </c>
      <c r="E31" s="108" t="str">
        <f t="shared" si="2"/>
        <v>Inactive</v>
      </c>
      <c r="F31" s="104" t="str">
        <f t="array" ref="F31">IFERROR(
  INDEX(ATTENDANCE_INPUT!D:D,
    MATCH(1,
      (ATTENDANCE_INPUT!A:A=A31) *
      (ATTENDANCE_INPUT!W:W=MAXIFS(ATTENDANCE_INPUT!W:W, ATTENDANCE_INPUT!A:A, A31)),
      0)),
  "")</f>
        <v>Cuong Nguyen</v>
      </c>
      <c r="G31" s="109" t="str">
        <f t="array" ref="G31">IFERROR(
  INDEX(ATTENDANCE_INPUT!E:E,
    MATCH(1,
      (ATTENDANCE_INPUT!A:A=A31) *
      (ATTENDANCE_INPUT!W:W=MAXIFS(ATTENDANCE_INPUT!W:W, ATTENDANCE_INPUT!A:A, A31)),
      0)),
  "")</f>
        <v>Communication 2</v>
      </c>
      <c r="H31" s="110" t="str">
        <f t="array" ref="H31">IF(ISNA(MATCH(A31,sheet2!A:A,0)),"⏳ Chưa test",IFERROR(INDEX(LEVEL_HELPER!A:A,MATCH(INDEX(sheet2!N:N,MATCH(A31,sheet2!A:A,0)),LEVEL_HELPER!B:B,0)),"⏳ Chưa test"))</f>
        <v>Beginner</v>
      </c>
      <c r="I31" s="110" t="str">
        <f t="array" ref="I31">IF(ISNA(MATCH(A31,sheet2!A:A,0)),H31,IF(INDEX(sheet2!O:O,MATCH(A31,sheet2!A:A,0))&gt;0,IFERROR(INDEX(LEVEL_HELPER!A:A,MATCH(INDEX(sheet2!O:O,MATCH(A31,sheet2!A:A,0)),LEVEL_HELPER!B:B,0)),H31),H31))</f>
        <v>Pre-Intermediate 2</v>
      </c>
      <c r="J31" s="110">
        <f>IFERROR(MAXIFS(ATTENDANCE_LOG!F:F, ATTENDANCE_LOG!C:C, A31&amp;"", ATTENDANCE_LOG!G:G, "Present"), "")</f>
        <v>46084.41667</v>
      </c>
      <c r="K31" s="111">
        <f t="shared" si="3"/>
        <v>128.5833333</v>
      </c>
      <c r="L31" s="112" t="str">
        <f t="shared" si="4"/>
        <v>✅ Completed</v>
      </c>
      <c r="M31" s="113" t="s">
        <v>35</v>
      </c>
      <c r="N31" s="126" t="s">
        <v>38</v>
      </c>
      <c r="O31" s="118"/>
      <c r="P31" s="115">
        <f>IFERROR(__xludf.DUMMYFUNCTION("IFERROR(COUNTUNIQUEIFS(ATTENDANCE_LOG!B:B,ATTENDANCE_LOG!C:C,A31),0)"),2.0)</f>
        <v>2</v>
      </c>
      <c r="Q31" s="113" t="str">
        <f t="array" ref="Q31">IFERROR(INDEX(ATTENDANCE_LOG!A:A,MATCH(1,(ATTENDANCE_LOG!C:C=A31)*(ATTENDANCE_LOG!F:F=MAXIFS(ATTENDANCE_LOG!F:F,ATTENDANCE_LOG!C:C,A31)),0)),"")</f>
        <v>EL004</v>
      </c>
      <c r="R31" s="113" t="str">
        <f t="array" ref="R31">IFERROR(INDEX(ATTENDANCE_LOG!B:B,MATCH(1,(ATTENDANCE_LOG!C:C=A31)*(ATTENDANCE_LOG!F:F=MAXIFS(ATTENDANCE_LOG!F:F,ATTENDANCE_LOG!C:C,A31)),0)),"")</f>
        <v>Communication 2</v>
      </c>
      <c r="S31" s="113">
        <f>IFERROR(VLOOKUP(H31, LEVEL_HELPER!A:B, 2, 0), 0)</f>
        <v>1</v>
      </c>
      <c r="T31" s="113">
        <f>IFERROR(VLOOKUP(I31, LEVEL_HELPER!A:B, 2, 0), 0)</f>
        <v>3.5</v>
      </c>
      <c r="U31" s="113">
        <f t="shared" ref="U31:V31" si="35">IF(S31="",0,IF(S31&lt;=2,1,IF(S31&lt;=4,2,IF(S31&lt;=5.5,3,4))))
</f>
        <v>1</v>
      </c>
      <c r="V31" s="113">
        <f t="shared" si="35"/>
        <v>2</v>
      </c>
      <c r="W31" s="113" t="str">
        <f t="shared" si="6"/>
        <v>Lv1→Lv2</v>
      </c>
      <c r="X31" s="113"/>
      <c r="Y31" s="113">
        <v>247392.0</v>
      </c>
      <c r="Z31" s="113" t="s">
        <v>190</v>
      </c>
      <c r="AA31" s="113" t="s">
        <v>34</v>
      </c>
      <c r="AB31" s="116"/>
      <c r="AC31" s="116"/>
      <c r="AD31" s="117"/>
    </row>
    <row r="32" ht="15.75" customHeight="1">
      <c r="A32" s="104" t="s">
        <v>252</v>
      </c>
      <c r="B32" s="105" t="s">
        <v>253</v>
      </c>
      <c r="C32" s="106" t="str">
        <f>IFERROR(__xludf.DUMMYFUNCTION("arrayformula(VLOOKUP(to_Text(A32),to_Text(sheet2!$A$1:M1005),13,0))"),"ONC")</f>
        <v>ONC</v>
      </c>
      <c r="D32" s="107" t="str">
        <f>IFERROR(__xludf.DUMMYFUNCTION("arrayformula(VLOOKUP(to_Text(A32),to_Text(sheet2!$A$1:M1005),12,0))"),"DEV")</f>
        <v>DEV</v>
      </c>
      <c r="E32" s="108" t="str">
        <f t="shared" si="2"/>
        <v>Inactive</v>
      </c>
      <c r="F32" s="104" t="str">
        <f t="array" ref="F32">IFERROR(
  INDEX(ATTENDANCE_INPUT!D:D,
    MATCH(1,
      (ATTENDANCE_INPUT!A:A=A32) *
      (ATTENDANCE_INPUT!W:W=MAXIFS(ATTENDANCE_INPUT!W:W, ATTENDANCE_INPUT!A:A, A32)),
      0)),
  "")</f>
        <v>Cuong Nguyen</v>
      </c>
      <c r="G32" s="109" t="str">
        <f t="array" ref="G32">IFERROR(
  INDEX(ATTENDANCE_INPUT!E:E,
    MATCH(1,
      (ATTENDANCE_INPUT!A:A=A32) *
      (ATTENDANCE_INPUT!W:W=MAXIFS(ATTENDANCE_INPUT!W:W, ATTENDANCE_INPUT!A:A, A32)),
      0)),
  "")</f>
        <v>Communication 2</v>
      </c>
      <c r="H32" s="110" t="str">
        <f t="array" ref="H32">IF(ISNA(MATCH(A32,sheet2!A:A,0)),"⏳ Chưa test",IFERROR(INDEX(LEVEL_HELPER!A:A,MATCH(INDEX(sheet2!N:N,MATCH(A32,sheet2!A:A,0)),LEVEL_HELPER!B:B,0)),"⏳ Chưa test"))</f>
        <v>Beginner</v>
      </c>
      <c r="I32" s="110" t="str">
        <f t="array" ref="I32">IF(ISNA(MATCH(A32,sheet2!A:A,0)),H32,IF(INDEX(sheet2!O:O,MATCH(A32,sheet2!A:A,0))&gt;0,IFERROR(INDEX(LEVEL_HELPER!A:A,MATCH(INDEX(sheet2!O:O,MATCH(A32,sheet2!A:A,0)),LEVEL_HELPER!B:B,0)),H32),H32))</f>
        <v>Pre-Intermediate 1</v>
      </c>
      <c r="J32" s="110">
        <f>IFERROR(MAXIFS(ATTENDANCE_LOG!F:F, ATTENDANCE_LOG!C:C, A32&amp;"", ATTENDANCE_LOG!G:G, "Present"), "")</f>
        <v>46084.41667</v>
      </c>
      <c r="K32" s="111">
        <f t="shared" si="3"/>
        <v>128.5833333</v>
      </c>
      <c r="L32" s="112" t="str">
        <f t="shared" si="4"/>
        <v>✅ Completed</v>
      </c>
      <c r="M32" s="113" t="s">
        <v>35</v>
      </c>
      <c r="N32" s="126" t="s">
        <v>38</v>
      </c>
      <c r="O32" s="113"/>
      <c r="P32" s="115">
        <f>IFERROR(__xludf.DUMMYFUNCTION("IFERROR(COUNTUNIQUEIFS(ATTENDANCE_LOG!B:B,ATTENDANCE_LOG!C:C,A32),0)"),2.0)</f>
        <v>2</v>
      </c>
      <c r="Q32" s="113" t="str">
        <f t="array" ref="Q32">IFERROR(INDEX(ATTENDANCE_LOG!A:A,MATCH(1,(ATTENDANCE_LOG!C:C=A32)*(ATTENDANCE_LOG!F:F=MAXIFS(ATTENDANCE_LOG!F:F,ATTENDANCE_LOG!C:C,A32)),0)),"")</f>
        <v>EL004</v>
      </c>
      <c r="R32" s="113" t="str">
        <f t="array" ref="R32">IFERROR(INDEX(ATTENDANCE_LOG!B:B,MATCH(1,(ATTENDANCE_LOG!C:C=A32)*(ATTENDANCE_LOG!F:F=MAXIFS(ATTENDANCE_LOG!F:F,ATTENDANCE_LOG!C:C,A32)),0)),"")</f>
        <v>Communication 2</v>
      </c>
      <c r="S32" s="113">
        <f>IFERROR(VLOOKUP(H32, LEVEL_HELPER!A:B, 2, 0), 0)</f>
        <v>1</v>
      </c>
      <c r="T32" s="113">
        <f>IFERROR(VLOOKUP(I32, LEVEL_HELPER!A:B, 2, 0), 0)</f>
        <v>3</v>
      </c>
      <c r="U32" s="113">
        <f t="shared" ref="U32:V32" si="36">IF(S32="",0,IF(S32&lt;=2,1,IF(S32&lt;=4,2,IF(S32&lt;=5.5,3,4))))
</f>
        <v>1</v>
      </c>
      <c r="V32" s="113">
        <f t="shared" si="36"/>
        <v>2</v>
      </c>
      <c r="W32" s="113" t="str">
        <f t="shared" si="6"/>
        <v>Lv1→Lv2</v>
      </c>
      <c r="X32" s="113"/>
      <c r="Y32" s="113">
        <v>247271.0</v>
      </c>
      <c r="Z32" s="113" t="s">
        <v>190</v>
      </c>
      <c r="AA32" s="113" t="s">
        <v>34</v>
      </c>
      <c r="AB32" s="116"/>
      <c r="AC32" s="116"/>
      <c r="AD32" s="117"/>
    </row>
    <row r="33" ht="15.75" customHeight="1">
      <c r="A33" s="104" t="s">
        <v>254</v>
      </c>
      <c r="B33" s="105" t="s">
        <v>255</v>
      </c>
      <c r="C33" s="106" t="str">
        <f>IFERROR(__xludf.DUMMYFUNCTION("arrayformula(VLOOKUP(to_Text(A33),to_Text(sheet2!$A$1:M1005),13,0))"),"ONC")</f>
        <v>ONC</v>
      </c>
      <c r="D33" s="107" t="str">
        <f>IFERROR(__xludf.DUMMYFUNCTION("arrayformula(VLOOKUP(to_Text(A33),to_Text(sheet2!$A$1:M1005),12,0))"),"DEV")</f>
        <v>DEV</v>
      </c>
      <c r="E33" s="108" t="str">
        <f t="shared" si="2"/>
        <v>Inactive</v>
      </c>
      <c r="F33" s="104" t="str">
        <f t="array" ref="F33">IFERROR(
  INDEX(ATTENDANCE_INPUT!D:D,
    MATCH(1,
      (ATTENDANCE_INPUT!A:A=A33) *
      (ATTENDANCE_INPUT!W:W=MAXIFS(ATTENDANCE_INPUT!W:W, ATTENDANCE_INPUT!A:A, A33)),
      0)),
  "")</f>
        <v>Cuong Nguyen</v>
      </c>
      <c r="G33" s="109" t="str">
        <f t="array" ref="G33">IFERROR(
  INDEX(ATTENDANCE_INPUT!E:E,
    MATCH(1,
      (ATTENDANCE_INPUT!A:A=A33) *
      (ATTENDANCE_INPUT!W:W=MAXIFS(ATTENDANCE_INPUT!W:W, ATTENDANCE_INPUT!A:A, A33)),
      0)),
  "")</f>
        <v>Communication 2</v>
      </c>
      <c r="H33" s="110" t="str">
        <f t="array" ref="H33">IF(ISNA(MATCH(A33,sheet2!A:A,0)),"⏳ Chưa test",IFERROR(INDEX(LEVEL_HELPER!A:A,MATCH(INDEX(sheet2!N:N,MATCH(A33,sheet2!A:A,0)),LEVEL_HELPER!B:B,0)),"⏳ Chưa test"))</f>
        <v>Beginner</v>
      </c>
      <c r="I33" s="110" t="str">
        <f t="array" ref="I33">IF(ISNA(MATCH(A33,sheet2!A:A,0)),H33,IF(INDEX(sheet2!O:O,MATCH(A33,sheet2!A:A,0))&gt;0,IFERROR(INDEX(LEVEL_HELPER!A:A,MATCH(INDEX(sheet2!O:O,MATCH(A33,sheet2!A:A,0)),LEVEL_HELPER!B:B,0)),H33),H33))</f>
        <v>Pre-Intermediate 1</v>
      </c>
      <c r="J33" s="110">
        <f>IFERROR(MAXIFS(ATTENDANCE_LOG!F:F, ATTENDANCE_LOG!C:C, A33&amp;"", ATTENDANCE_LOG!G:G, "Present"), "")</f>
        <v>46084.41667</v>
      </c>
      <c r="K33" s="111">
        <f t="shared" si="3"/>
        <v>128.5833333</v>
      </c>
      <c r="L33" s="112" t="str">
        <f t="shared" si="4"/>
        <v>✅ Completed</v>
      </c>
      <c r="M33" s="113" t="s">
        <v>35</v>
      </c>
      <c r="N33" s="126" t="s">
        <v>38</v>
      </c>
      <c r="O33" s="113"/>
      <c r="P33" s="115">
        <f>IFERROR(__xludf.DUMMYFUNCTION("IFERROR(COUNTUNIQUEIFS(ATTENDANCE_LOG!B:B,ATTENDANCE_LOG!C:C,A33),0)"),2.0)</f>
        <v>2</v>
      </c>
      <c r="Q33" s="113" t="str">
        <f t="array" ref="Q33">IFERROR(INDEX(ATTENDANCE_LOG!A:A,MATCH(1,(ATTENDANCE_LOG!C:C=A33)*(ATTENDANCE_LOG!F:F=MAXIFS(ATTENDANCE_LOG!F:F,ATTENDANCE_LOG!C:C,A33)),0)),"")</f>
        <v>EL004</v>
      </c>
      <c r="R33" s="113" t="str">
        <f t="array" ref="R33">IFERROR(INDEX(ATTENDANCE_LOG!B:B,MATCH(1,(ATTENDANCE_LOG!C:C=A33)*(ATTENDANCE_LOG!F:F=MAXIFS(ATTENDANCE_LOG!F:F,ATTENDANCE_LOG!C:C,A33)),0)),"")</f>
        <v>Communication 2</v>
      </c>
      <c r="S33" s="113">
        <f>IFERROR(VLOOKUP(H33, LEVEL_HELPER!A:B, 2, 0), 0)</f>
        <v>1</v>
      </c>
      <c r="T33" s="113">
        <f>IFERROR(VLOOKUP(I33, LEVEL_HELPER!A:B, 2, 0), 0)</f>
        <v>3</v>
      </c>
      <c r="U33" s="113">
        <f t="shared" ref="U33:V33" si="37">IF(S33="",0,IF(S33&lt;=2,1,IF(S33&lt;=4,2,IF(S33&lt;=5.5,3,4))))
</f>
        <v>1</v>
      </c>
      <c r="V33" s="113">
        <f t="shared" si="37"/>
        <v>2</v>
      </c>
      <c r="W33" s="113" t="str">
        <f t="shared" si="6"/>
        <v>Lv1→Lv2</v>
      </c>
      <c r="X33" s="113"/>
      <c r="Y33" s="113">
        <v>247068.0</v>
      </c>
      <c r="Z33" s="113" t="s">
        <v>256</v>
      </c>
      <c r="AA33" s="113" t="s">
        <v>257</v>
      </c>
      <c r="AB33" s="116"/>
      <c r="AC33" s="116"/>
      <c r="AD33" s="117"/>
    </row>
    <row r="34" ht="15.75" customHeight="1">
      <c r="A34" s="104" t="s">
        <v>258</v>
      </c>
      <c r="B34" s="105" t="s">
        <v>259</v>
      </c>
      <c r="C34" s="106" t="str">
        <f>IFERROR(__xludf.DUMMYFUNCTION("arrayformula(VLOOKUP(to_Text(A34),to_Text(sheet2!$A$1:M1005),13,0))"),"ONC")</f>
        <v>ONC</v>
      </c>
      <c r="D34" s="107" t="str">
        <f>IFERROR(__xludf.DUMMYFUNCTION("arrayformula(VLOOKUP(to_Text(A34),to_Text(sheet2!$A$1:M1005),12,0))"),"DEV")</f>
        <v>DEV</v>
      </c>
      <c r="E34" s="108" t="str">
        <f t="shared" si="2"/>
        <v>Inactive</v>
      </c>
      <c r="F34" s="104" t="str">
        <f t="array" ref="F34">IFERROR(
  INDEX(ATTENDANCE_INPUT!D:D,
    MATCH(1,
      (ATTENDANCE_INPUT!A:A=A34) *
      (ATTENDANCE_INPUT!W:W=MAXIFS(ATTENDANCE_INPUT!W:W, ATTENDANCE_INPUT!A:A, A34)),
      0)),
  "")</f>
        <v>Cuong Nguyen</v>
      </c>
      <c r="G34" s="109" t="str">
        <f t="array" ref="G34">IFERROR(
  INDEX(ATTENDANCE_INPUT!E:E,
    MATCH(1,
      (ATTENDANCE_INPUT!A:A=A34) *
      (ATTENDANCE_INPUT!W:W=MAXIFS(ATTENDANCE_INPUT!W:W, ATTENDANCE_INPUT!A:A, A34)),
      0)),
  "")</f>
        <v>Communication 2</v>
      </c>
      <c r="H34" s="110" t="str">
        <f t="array" ref="H34">IF(ISNA(MATCH(A34,sheet2!A:A,0)),"⏳ Chưa test",IFERROR(INDEX(LEVEL_HELPER!A:A,MATCH(INDEX(sheet2!N:N,MATCH(A34,sheet2!A:A,0)),LEVEL_HELPER!B:B,0)),"⏳ Chưa test"))</f>
        <v>Pre-Intermediate</v>
      </c>
      <c r="I34" s="110" t="str">
        <f t="array" ref="I34">IF(ISNA(MATCH(A34,sheet2!A:A,0)),H34,IF(INDEX(sheet2!O:O,MATCH(A34,sheet2!A:A,0))&gt;0,IFERROR(INDEX(LEVEL_HELPER!A:A,MATCH(INDEX(sheet2!O:O,MATCH(A34,sheet2!A:A,0)),LEVEL_HELPER!B:B,0)),H34),H34))</f>
        <v>Intermediate 1</v>
      </c>
      <c r="J34" s="110">
        <f>IFERROR(MAXIFS(ATTENDANCE_LOG!F:F, ATTENDANCE_LOG!C:C, A34&amp;"", ATTENDANCE_LOG!G:G, "Present"), "")</f>
        <v>46084.41667</v>
      </c>
      <c r="K34" s="111">
        <f t="shared" si="3"/>
        <v>128.5833333</v>
      </c>
      <c r="L34" s="112" t="str">
        <f t="shared" si="4"/>
        <v>✅ Completed</v>
      </c>
      <c r="M34" s="120" t="s">
        <v>35</v>
      </c>
      <c r="N34" s="126" t="s">
        <v>43</v>
      </c>
      <c r="O34" s="113"/>
      <c r="P34" s="115">
        <f>IFERROR(__xludf.DUMMYFUNCTION("IFERROR(COUNTUNIQUEIFS(ATTENDANCE_LOG!B:B,ATTENDANCE_LOG!C:C,A34),0)"),2.0)</f>
        <v>2</v>
      </c>
      <c r="Q34" s="113" t="str">
        <f t="array" ref="Q34">IFERROR(INDEX(ATTENDANCE_LOG!A:A,MATCH(1,(ATTENDANCE_LOG!C:C=A34)*(ATTENDANCE_LOG!F:F=MAXIFS(ATTENDANCE_LOG!F:F,ATTENDANCE_LOG!C:C,A34)),0)),"")</f>
        <v>EL004</v>
      </c>
      <c r="R34" s="113" t="str">
        <f t="array" ref="R34">IFERROR(INDEX(ATTENDANCE_LOG!B:B,MATCH(1,(ATTENDANCE_LOG!C:C=A34)*(ATTENDANCE_LOG!F:F=MAXIFS(ATTENDANCE_LOG!F:F,ATTENDANCE_LOG!C:C,A34)),0)),"")</f>
        <v>Communication 2</v>
      </c>
      <c r="S34" s="113">
        <f>IFERROR(VLOOKUP(H34, LEVEL_HELPER!A:B, 2, 0), 0)</f>
        <v>2.5</v>
      </c>
      <c r="T34" s="113">
        <f>IFERROR(VLOOKUP(I34, LEVEL_HELPER!A:B, 2, 0), 0)</f>
        <v>5</v>
      </c>
      <c r="U34" s="113">
        <f t="shared" ref="U34:V34" si="38">IF(S34="",0,IF(S34&lt;=2,1,IF(S34&lt;=4,2,IF(S34&lt;=5.5,3,4))))
</f>
        <v>2</v>
      </c>
      <c r="V34" s="113">
        <f t="shared" si="38"/>
        <v>3</v>
      </c>
      <c r="W34" s="113" t="str">
        <f t="shared" si="6"/>
        <v>Lv2→Lv3</v>
      </c>
      <c r="X34" s="113"/>
      <c r="Y34" s="113">
        <v>227003.0</v>
      </c>
      <c r="Z34" s="113" t="s">
        <v>256</v>
      </c>
      <c r="AA34" s="113" t="s">
        <v>257</v>
      </c>
      <c r="AB34" s="116"/>
      <c r="AC34" s="116"/>
      <c r="AD34" s="117"/>
    </row>
    <row r="35" ht="15.75" customHeight="1">
      <c r="A35" s="104" t="s">
        <v>260</v>
      </c>
      <c r="B35" s="105" t="s">
        <v>261</v>
      </c>
      <c r="C35" s="106" t="str">
        <f>IFERROR(__xludf.DUMMYFUNCTION("arrayformula(VLOOKUP(to_Text(A35),to_Text(sheet2!$A$1:M1005),13,0))"),"ONC")</f>
        <v>ONC</v>
      </c>
      <c r="D35" s="107" t="str">
        <f>IFERROR(__xludf.DUMMYFUNCTION("arrayformula(VLOOKUP(to_Text(A35),to_Text(sheet2!$A$1:M1005),12,0))"),"DEV")</f>
        <v>DEV</v>
      </c>
      <c r="E35" s="108" t="str">
        <f t="shared" si="2"/>
        <v>Inactive</v>
      </c>
      <c r="F35" s="104" t="str">
        <f t="array" ref="F35">IFERROR(
  INDEX(ATTENDANCE_INPUT!D:D,
    MATCH(1,
      (ATTENDANCE_INPUT!A:A=A35) *
      (ATTENDANCE_INPUT!W:W=MAXIFS(ATTENDANCE_INPUT!W:W, ATTENDANCE_INPUT!A:A, A35)),
      0)),
  "")</f>
        <v>Cuong Nguyen</v>
      </c>
      <c r="G35" s="109" t="str">
        <f t="array" ref="G35">IFERROR(
  INDEX(ATTENDANCE_INPUT!E:E,
    MATCH(1,
      (ATTENDANCE_INPUT!A:A=A35) *
      (ATTENDANCE_INPUT!W:W=MAXIFS(ATTENDANCE_INPUT!W:W, ATTENDANCE_INPUT!A:A, A35)),
      0)),
  "")</f>
        <v>Communication 2</v>
      </c>
      <c r="H35" s="110" t="str">
        <f t="array" ref="H35">IF(ISNA(MATCH(A35,sheet2!A:A,0)),"⏳ Chưa test",IFERROR(INDEX(LEVEL_HELPER!A:A,MATCH(INDEX(sheet2!N:N,MATCH(A35,sheet2!A:A,0)),LEVEL_HELPER!B:B,0)),"⏳ Chưa test"))</f>
        <v>Beginner</v>
      </c>
      <c r="I35" s="110" t="str">
        <f t="array" ref="I35">IF(ISNA(MATCH(A35,sheet2!A:A,0)),H35,IF(INDEX(sheet2!O:O,MATCH(A35,sheet2!A:A,0))&gt;0,IFERROR(INDEX(LEVEL_HELPER!A:A,MATCH(INDEX(sheet2!O:O,MATCH(A35,sheet2!A:A,0)),LEVEL_HELPER!B:B,0)),H35),H35))</f>
        <v>Pre-Intermediate 2</v>
      </c>
      <c r="J35" s="110">
        <f>IFERROR(MAXIFS(ATTENDANCE_LOG!F:F, ATTENDANCE_LOG!C:C, A35&amp;"", ATTENDANCE_LOG!G:G, "Present"), "")</f>
        <v>46084.41667</v>
      </c>
      <c r="K35" s="111">
        <f t="shared" si="3"/>
        <v>128.5833333</v>
      </c>
      <c r="L35" s="112" t="str">
        <f t="shared" si="4"/>
        <v>✅ Completed</v>
      </c>
      <c r="M35" s="113" t="s">
        <v>35</v>
      </c>
      <c r="N35" s="126" t="s">
        <v>38</v>
      </c>
      <c r="O35" s="113"/>
      <c r="P35" s="115">
        <f>IFERROR(__xludf.DUMMYFUNCTION("IFERROR(COUNTUNIQUEIFS(ATTENDANCE_LOG!B:B,ATTENDANCE_LOG!C:C,A35),0)"),2.0)</f>
        <v>2</v>
      </c>
      <c r="Q35" s="113" t="str">
        <f t="array" ref="Q35">IFERROR(INDEX(ATTENDANCE_LOG!A:A,MATCH(1,(ATTENDANCE_LOG!C:C=A35)*(ATTENDANCE_LOG!F:F=MAXIFS(ATTENDANCE_LOG!F:F,ATTENDANCE_LOG!C:C,A35)),0)),"")</f>
        <v>EL004</v>
      </c>
      <c r="R35" s="113" t="str">
        <f t="array" ref="R35">IFERROR(INDEX(ATTENDANCE_LOG!B:B,MATCH(1,(ATTENDANCE_LOG!C:C=A35)*(ATTENDANCE_LOG!F:F=MAXIFS(ATTENDANCE_LOG!F:F,ATTENDANCE_LOG!C:C,A35)),0)),"")</f>
        <v>Communication 2</v>
      </c>
      <c r="S35" s="113">
        <f>IFERROR(VLOOKUP(H35, LEVEL_HELPER!A:B, 2, 0), 0)</f>
        <v>1</v>
      </c>
      <c r="T35" s="113">
        <f>IFERROR(VLOOKUP(I35, LEVEL_HELPER!A:B, 2, 0), 0)</f>
        <v>3.5</v>
      </c>
      <c r="U35" s="113">
        <f t="shared" ref="U35:V35" si="39">IF(S35="",0,IF(S35&lt;=2,1,IF(S35&lt;=4,2,IF(S35&lt;=5.5,3,4))))
</f>
        <v>1</v>
      </c>
      <c r="V35" s="113">
        <f t="shared" si="39"/>
        <v>2</v>
      </c>
      <c r="W35" s="113" t="str">
        <f t="shared" si="6"/>
        <v>Lv1→Lv2</v>
      </c>
      <c r="X35" s="113"/>
      <c r="Y35" s="113">
        <v>237122.0</v>
      </c>
      <c r="Z35" s="113" t="s">
        <v>256</v>
      </c>
      <c r="AA35" s="113" t="s">
        <v>257</v>
      </c>
      <c r="AB35" s="116"/>
      <c r="AC35" s="116"/>
      <c r="AD35" s="117"/>
    </row>
    <row r="36" ht="15.75" customHeight="1">
      <c r="A36" s="104" t="s">
        <v>262</v>
      </c>
      <c r="B36" s="105" t="s">
        <v>263</v>
      </c>
      <c r="C36" s="106" t="str">
        <f>IFERROR(__xludf.DUMMYFUNCTION("arrayformula(VLOOKUP(to_Text(A36),to_Text(sheet2!$A$1:M1005),13,0))"),"ONC")</f>
        <v>ONC</v>
      </c>
      <c r="D36" s="107" t="str">
        <f>IFERROR(__xludf.DUMMYFUNCTION("arrayformula(VLOOKUP(to_Text(A36),to_Text(sheet2!$A$1:M1005),12,0))"),"DEV")</f>
        <v>DEV</v>
      </c>
      <c r="E36" s="108" t="str">
        <f t="shared" si="2"/>
        <v>Inactive</v>
      </c>
      <c r="F36" s="104" t="str">
        <f t="array" ref="F36">IFERROR(
  INDEX(ATTENDANCE_INPUT!D:D,
    MATCH(1,
      (ATTENDANCE_INPUT!A:A=A36) *
      (ATTENDANCE_INPUT!W:W=MAXIFS(ATTENDANCE_INPUT!W:W, ATTENDANCE_INPUT!A:A, A36)),
      0)),
  "")</f>
        <v>Cuong Nguyen</v>
      </c>
      <c r="G36" s="109" t="str">
        <f t="array" ref="G36">IFERROR(
  INDEX(ATTENDANCE_INPUT!E:E,
    MATCH(1,
      (ATTENDANCE_INPUT!A:A=A36) *
      (ATTENDANCE_INPUT!W:W=MAXIFS(ATTENDANCE_INPUT!W:W, ATTENDANCE_INPUT!A:A, A36)),
      0)),
  "")</f>
        <v>Communication 1</v>
      </c>
      <c r="H36" s="110" t="str">
        <f t="array" ref="H36">IF(ISNA(MATCH(A36,sheet2!A:A,0)),"⏳ Chưa test",IFERROR(INDEX(LEVEL_HELPER!A:A,MATCH(INDEX(sheet2!N:N,MATCH(A36,sheet2!A:A,0)),LEVEL_HELPER!B:B,0)),"⏳ Chưa test"))</f>
        <v>⏳ Chưa test</v>
      </c>
      <c r="I36" s="110" t="str">
        <f t="array" ref="I36">IF(ISNA(MATCH(A36,sheet2!A:A,0)),H36,IF(INDEX(sheet2!O:O,MATCH(A36,sheet2!A:A,0))&gt;0,IFERROR(INDEX(LEVEL_HELPER!A:A,MATCH(INDEX(sheet2!O:O,MATCH(A36,sheet2!A:A,0)),LEVEL_HELPER!B:B,0)),H36),H36))</f>
        <v>⏳ Chưa test</v>
      </c>
      <c r="J36" s="110">
        <f>IFERROR(MAXIFS(ATTENDANCE_LOG!F:F, ATTENDANCE_LOG!C:C, A36&amp;"", ATTENDANCE_LOG!G:G, "Present"), "")</f>
        <v>45820.375</v>
      </c>
      <c r="K36" s="111">
        <f t="shared" si="3"/>
        <v>392.625</v>
      </c>
      <c r="L36" s="112" t="str">
        <f t="shared" si="4"/>
        <v>✅ Completed</v>
      </c>
      <c r="M36" s="120" t="s">
        <v>35</v>
      </c>
      <c r="N36" s="126" t="s">
        <v>43</v>
      </c>
      <c r="O36" s="113"/>
      <c r="P36" s="115">
        <f>IFERROR(__xludf.DUMMYFUNCTION("IFERROR(COUNTUNIQUEIFS(ATTENDANCE_LOG!B:B,ATTENDANCE_LOG!C:C,A36),0)"),2.0)</f>
        <v>2</v>
      </c>
      <c r="Q36" s="113" t="str">
        <f t="array" ref="Q36">IFERROR(INDEX(ATTENDANCE_LOG!A:A,MATCH(1,(ATTENDANCE_LOG!C:C=A36)*(ATTENDANCE_LOG!F:F=MAXIFS(ATTENDANCE_LOG!F:F,ATTENDANCE_LOG!C:C,A36)),0)),"")</f>
        <v>EL004</v>
      </c>
      <c r="R36" s="113" t="str">
        <f t="array" ref="R36">IFERROR(INDEX(ATTENDANCE_LOG!B:B,MATCH(1,(ATTENDANCE_LOG!C:C=A36)*(ATTENDANCE_LOG!F:F=MAXIFS(ATTENDANCE_LOG!F:F,ATTENDANCE_LOG!C:C,A36)),0)),"")</f>
        <v>Communication 2</v>
      </c>
      <c r="S36" s="113">
        <f>IFERROR(VLOOKUP(H36, LEVEL_HELPER!A:B, 2, 0), 0)</f>
        <v>0</v>
      </c>
      <c r="T36" s="113">
        <f>IFERROR(VLOOKUP(I36, LEVEL_HELPER!A:B, 2, 0), 0)</f>
        <v>0</v>
      </c>
      <c r="U36" s="113">
        <f t="shared" ref="U36:V36" si="40">IF(S36="",0,IF(S36&lt;=2,1,IF(S36&lt;=4,2,IF(S36&lt;=5.5,3,4))))
</f>
        <v>1</v>
      </c>
      <c r="V36" s="113">
        <f t="shared" si="40"/>
        <v>1</v>
      </c>
      <c r="W36" s="113" t="str">
        <f t="shared" si="6"/>
        <v>No Progress</v>
      </c>
      <c r="X36" s="113"/>
      <c r="Y36" s="113">
        <v>237137.0</v>
      </c>
      <c r="Z36" s="113" t="s">
        <v>256</v>
      </c>
      <c r="AA36" s="113" t="s">
        <v>257</v>
      </c>
      <c r="AB36" s="116"/>
      <c r="AC36" s="116"/>
      <c r="AD36" s="117"/>
    </row>
    <row r="37" ht="15.75" customHeight="1">
      <c r="A37" s="104" t="s">
        <v>264</v>
      </c>
      <c r="B37" s="105" t="s">
        <v>265</v>
      </c>
      <c r="C37" s="106" t="str">
        <f>IFERROR(__xludf.DUMMYFUNCTION("arrayformula(VLOOKUP(to_Text(A37),to_Text(sheet2!$A$1:M1005),13,0))"),"LBU")</f>
        <v>LBU</v>
      </c>
      <c r="D37" s="107" t="str">
        <f>IFERROR(__xludf.DUMMYFUNCTION("arrayformula(VLOOKUP(to_Text(A37),to_Text(sheet2!$A$1:M1005),12,0))"),"GSD")</f>
        <v>GSD</v>
      </c>
      <c r="E37" s="108" t="str">
        <f t="shared" si="2"/>
        <v>Inactive</v>
      </c>
      <c r="F37" s="104" t="str">
        <f t="array" ref="F37">IFERROR(
  INDEX(ATTENDANCE_INPUT!D:D,
    MATCH(1,
      (ATTENDANCE_INPUT!A:A=A37) *
      (ATTENDANCE_INPUT!W:W=MAXIFS(ATTENDANCE_INPUT!W:W, ATTENDANCE_INPUT!A:A, A37)),
      0)),
  "")</f>
        <v>Dat Nguyen</v>
      </c>
      <c r="G37" s="109" t="str">
        <f t="array" ref="G37">IFERROR(
  INDEX(ATTENDANCE_INPUT!E:E,
    MATCH(1,
      (ATTENDANCE_INPUT!A:A=A37) *
      (ATTENDANCE_INPUT!W:W=MAXIFS(ATTENDANCE_INPUT!W:W, ATTENDANCE_INPUT!A:A, A37)),
      0)),
  "")</f>
        <v>Communication 1</v>
      </c>
      <c r="H37" s="110" t="str">
        <f t="array" ref="H37">IF(ISNA(MATCH(A37,sheet2!A:A,0)),"⏳ Chưa test",IFERROR(INDEX(LEVEL_HELPER!A:A,MATCH(INDEX(sheet2!N:N,MATCH(A37,sheet2!A:A,0)),LEVEL_HELPER!B:B,0)),"⏳ Chưa test"))</f>
        <v>Pre-Intermediate</v>
      </c>
      <c r="I37" s="110" t="str">
        <f t="array" ref="I37">IF(ISNA(MATCH(A37,sheet2!A:A,0)),H37,IF(INDEX(sheet2!O:O,MATCH(A37,sheet2!A:A,0))&gt;0,IFERROR(INDEX(LEVEL_HELPER!A:A,MATCH(INDEX(sheet2!O:O,MATCH(A37,sheet2!A:A,0)),LEVEL_HELPER!B:B,0)),H37),H37))</f>
        <v>Intermediate</v>
      </c>
      <c r="J37" s="110">
        <f>IFERROR(MAXIFS(ATTENDANCE_LOG!F:F, ATTENDANCE_LOG!C:C, A37&amp;"", ATTENDANCE_LOG!G:G, "Present"), "")</f>
        <v>45807.58333</v>
      </c>
      <c r="K37" s="111">
        <f t="shared" si="3"/>
        <v>405.4166667</v>
      </c>
      <c r="L37" s="112" t="str">
        <f t="shared" si="4"/>
        <v>✅ Completed</v>
      </c>
      <c r="M37" s="113" t="s">
        <v>35</v>
      </c>
      <c r="N37" s="114" t="s">
        <v>38</v>
      </c>
      <c r="O37" s="113"/>
      <c r="P37" s="115">
        <f>IFERROR(__xludf.DUMMYFUNCTION("IFERROR(COUNTUNIQUEIFS(ATTENDANCE_LOG!B:B,ATTENDANCE_LOG!C:C,A37),0)"),1.0)</f>
        <v>1</v>
      </c>
      <c r="Q37" s="113" t="str">
        <f t="array" ref="Q37">IFERROR(INDEX(ATTENDANCE_LOG!A:A,MATCH(1,(ATTENDANCE_LOG!C:C=A37)*(ATTENDANCE_LOG!F:F=MAXIFS(ATTENDANCE_LOG!F:F,ATTENDANCE_LOG!C:C,A37)),0)),"")</f>
        <v>EL006</v>
      </c>
      <c r="R37" s="113" t="str">
        <f t="array" ref="R37">IFERROR(INDEX(ATTENDANCE_LOG!B:B,MATCH(1,(ATTENDANCE_LOG!C:C=A37)*(ATTENDANCE_LOG!F:F=MAXIFS(ATTENDANCE_LOG!F:F,ATTENDANCE_LOG!C:C,A37)),0)),"")</f>
        <v>Communication 1</v>
      </c>
      <c r="S37" s="113">
        <f>IFERROR(VLOOKUP(H37, LEVEL_HELPER!A:B, 2, 0), 0)</f>
        <v>2.5</v>
      </c>
      <c r="T37" s="113">
        <f>IFERROR(VLOOKUP(I37, LEVEL_HELPER!A:B, 2, 0), 0)</f>
        <v>4.5</v>
      </c>
      <c r="U37" s="113">
        <f t="shared" ref="U37:V37" si="41">IF(S37="",0,IF(S37&lt;=2,1,IF(S37&lt;=4,2,IF(S37&lt;=5.5,3,4))))
</f>
        <v>2</v>
      </c>
      <c r="V37" s="113">
        <f t="shared" si="41"/>
        <v>3</v>
      </c>
      <c r="W37" s="113" t="str">
        <f t="shared" si="6"/>
        <v>Lv2→Lv3</v>
      </c>
      <c r="X37" s="113"/>
      <c r="Y37" s="113">
        <v>237004.0</v>
      </c>
      <c r="Z37" s="113" t="s">
        <v>266</v>
      </c>
      <c r="AA37" s="113" t="s">
        <v>257</v>
      </c>
      <c r="AB37" s="116"/>
      <c r="AC37" s="116"/>
      <c r="AD37" s="117"/>
    </row>
    <row r="38" ht="15.75" customHeight="1">
      <c r="A38" s="104" t="s">
        <v>267</v>
      </c>
      <c r="B38" s="105" t="s">
        <v>268</v>
      </c>
      <c r="C38" s="106" t="str">
        <f>IFERROR(__xludf.DUMMYFUNCTION("arrayformula(VLOOKUP(to_Text(A38),to_Text(sheet2!$A$1:M1005),13,0))"),"LBU")</f>
        <v>LBU</v>
      </c>
      <c r="D38" s="107" t="str">
        <f>IFERROR(__xludf.DUMMYFUNCTION("arrayformula(VLOOKUP(to_Text(A38),to_Text(sheet2!$A$1:M1005),12,0))"),"DEV")</f>
        <v>DEV</v>
      </c>
      <c r="E38" s="108" t="str">
        <f t="shared" si="2"/>
        <v>Waiting for class</v>
      </c>
      <c r="F38" s="104" t="str">
        <f t="array" ref="F38">IFERROR(
  INDEX(ATTENDANCE_INPUT!D:D,
    MATCH(1,
      (ATTENDANCE_INPUT!A:A=A38) *
      (ATTENDANCE_INPUT!W:W=MAXIFS(ATTENDANCE_INPUT!W:W, ATTENDANCE_INPUT!A:A, A38)),
      0)),
  "")</f>
        <v>Dat Nguyen</v>
      </c>
      <c r="G38" s="109" t="str">
        <f t="array" ref="G38">IFERROR(
  INDEX(ATTENDANCE_INPUT!E:E,
    MATCH(1,
      (ATTENDANCE_INPUT!A:A=A38) *
      (ATTENDANCE_INPUT!W:W=MAXIFS(ATTENDANCE_INPUT!W:W, ATTENDANCE_INPUT!A:A, A38)),
      0)),
  "")</f>
        <v>Communication 1</v>
      </c>
      <c r="H38" s="110" t="str">
        <f t="array" ref="H38">IF(ISNA(MATCH(A38,sheet2!A:A,0)),"⏳ Chưa test",IFERROR(INDEX(LEVEL_HELPER!A:A,MATCH(INDEX(sheet2!N:N,MATCH(A38,sheet2!A:A,0)),LEVEL_HELPER!B:B,0)),"⏳ Chưa test"))</f>
        <v>Intermediate</v>
      </c>
      <c r="I38" s="110" t="str">
        <f t="array" ref="I38">IF(ISNA(MATCH(A38,sheet2!A:A,0)),H38,IF(INDEX(sheet2!O:O,MATCH(A38,sheet2!A:A,0))&gt;0,IFERROR(INDEX(LEVEL_HELPER!A:A,MATCH(INDEX(sheet2!O:O,MATCH(A38,sheet2!A:A,0)),LEVEL_HELPER!B:B,0)),H38),H38))</f>
        <v>Intermediate</v>
      </c>
      <c r="J38" s="110">
        <f>IFERROR(MAXIFS(ATTENDANCE_LOG!F:F, ATTENDANCE_LOG!C:C, A38&amp;"", ATTENDANCE_LOG!G:G, "Present"), "")</f>
        <v>45807.58333</v>
      </c>
      <c r="K38" s="111">
        <f t="shared" si="3"/>
        <v>405.4166667</v>
      </c>
      <c r="L38" s="112" t="str">
        <f t="shared" si="4"/>
        <v>⚠ Check</v>
      </c>
      <c r="M38" s="125" t="s">
        <v>202</v>
      </c>
      <c r="N38" s="114"/>
      <c r="O38" s="120" t="s">
        <v>269</v>
      </c>
      <c r="P38" s="115">
        <f>IFERROR(__xludf.DUMMYFUNCTION("IFERROR(COUNTUNIQUEIFS(ATTENDANCE_LOG!B:B,ATTENDANCE_LOG!C:C,A38),0)"),1.0)</f>
        <v>1</v>
      </c>
      <c r="Q38" s="113" t="str">
        <f t="array" ref="Q38">IFERROR(INDEX(ATTENDANCE_LOG!A:A,MATCH(1,(ATTENDANCE_LOG!C:C=A38)*(ATTENDANCE_LOG!F:F=MAXIFS(ATTENDANCE_LOG!F:F,ATTENDANCE_LOG!C:C,A38)),0)),"")</f>
        <v>EL006</v>
      </c>
      <c r="R38" s="113" t="str">
        <f t="array" ref="R38">IFERROR(INDEX(ATTENDANCE_LOG!B:B,MATCH(1,(ATTENDANCE_LOG!C:C=A38)*(ATTENDANCE_LOG!F:F=MAXIFS(ATTENDANCE_LOG!F:F,ATTENDANCE_LOG!C:C,A38)),0)),"")</f>
        <v>Communication 1</v>
      </c>
      <c r="S38" s="113">
        <f>IFERROR(VLOOKUP(H38, LEVEL_HELPER!A:B, 2, 0), 0)</f>
        <v>4.5</v>
      </c>
      <c r="T38" s="113">
        <f>IFERROR(VLOOKUP(I38, LEVEL_HELPER!A:B, 2, 0), 0)</f>
        <v>4.5</v>
      </c>
      <c r="U38" s="113">
        <f t="shared" ref="U38:V38" si="42">IF(S38="",0,IF(S38&lt;=2,1,IF(S38&lt;=4,2,IF(S38&lt;=5.5,3,4))))
</f>
        <v>3</v>
      </c>
      <c r="V38" s="113">
        <f t="shared" si="42"/>
        <v>3</v>
      </c>
      <c r="W38" s="113" t="str">
        <f t="shared" si="6"/>
        <v>No Progress</v>
      </c>
      <c r="X38" s="121"/>
      <c r="Y38" s="121">
        <v>237009.0</v>
      </c>
      <c r="Z38" s="121" t="s">
        <v>266</v>
      </c>
      <c r="AA38" s="121" t="s">
        <v>257</v>
      </c>
      <c r="AB38" s="102"/>
      <c r="AC38" s="102"/>
      <c r="AD38" s="103"/>
    </row>
    <row r="39" ht="15.75" customHeight="1">
      <c r="A39" s="122" t="s">
        <v>270</v>
      </c>
      <c r="B39" s="123" t="s">
        <v>271</v>
      </c>
      <c r="C39" s="106" t="str">
        <f>IFERROR(__xludf.DUMMYFUNCTION("arrayformula(VLOOKUP(to_Text(A39),to_Text(sheet2!$A$1:M1005),13,0))"),"TBU")</f>
        <v>TBU</v>
      </c>
      <c r="D39" s="107" t="str">
        <f>IFERROR(__xludf.DUMMYFUNCTION("arrayformula(VLOOKUP(to_Text(A39),to_Text(sheet2!$A$1:M1005),12,0))"),"QC")</f>
        <v>QC</v>
      </c>
      <c r="E39" s="108" t="str">
        <f t="shared" si="2"/>
        <v>Inactive</v>
      </c>
      <c r="F39" s="104" t="str">
        <f t="array" ref="F39">IFERROR(
  INDEX(ATTENDANCE_INPUT!D:D,
    MATCH(1,
      (ATTENDANCE_INPUT!A:A=A39) *
      (ATTENDANCE_INPUT!W:W=MAXIFS(ATTENDANCE_INPUT!W:W, ATTENDANCE_INPUT!A:A, A39)),
      0)),
  "")</f>
        <v>Dat Nguyen</v>
      </c>
      <c r="G39" s="109" t="str">
        <f t="array" ref="G39">IFERROR(
  INDEX(ATTENDANCE_INPUT!E:E,
    MATCH(1,
      (ATTENDANCE_INPUT!A:A=A39) *
      (ATTENDANCE_INPUT!W:W=MAXIFS(ATTENDANCE_INPUT!W:W, ATTENDANCE_INPUT!A:A, A39)),
      0)),
  "")</f>
        <v>Communication 1</v>
      </c>
      <c r="H39" s="110" t="str">
        <f t="array" ref="H39">IF(ISNA(MATCH(A39,sheet2!A:A,0)),"⏳ Chưa test",IFERROR(INDEX(LEVEL_HELPER!A:A,MATCH(INDEX(sheet2!N:N,MATCH(A39,sheet2!A:A,0)),LEVEL_HELPER!B:B,0)),"⏳ Chưa test"))</f>
        <v>Pre-Intermediate</v>
      </c>
      <c r="I39" s="110" t="str">
        <f t="array" ref="I39">IF(ISNA(MATCH(A39,sheet2!A:A,0)),H39,IF(INDEX(sheet2!O:O,MATCH(A39,sheet2!A:A,0))&gt;0,IFERROR(INDEX(LEVEL_HELPER!A:A,MATCH(INDEX(sheet2!O:O,MATCH(A39,sheet2!A:A,0)),LEVEL_HELPER!B:B,0)),H39),H39))</f>
        <v>Pre-Intermediate 2</v>
      </c>
      <c r="J39" s="124">
        <f>IFERROR(MAXIFS(ATTENDANCE_LOG!F:F, ATTENDANCE_LOG!C:C, A39&amp;"", ATTENDANCE_LOG!G:G, "Present"), "")</f>
        <v>45807.58333</v>
      </c>
      <c r="K39" s="111">
        <f t="shared" si="3"/>
        <v>405.4166667</v>
      </c>
      <c r="L39" s="112" t="str">
        <f t="shared" si="4"/>
        <v>✅ Completed</v>
      </c>
      <c r="M39" s="125" t="s">
        <v>35</v>
      </c>
      <c r="N39" s="126" t="s">
        <v>43</v>
      </c>
      <c r="O39" s="113"/>
      <c r="P39" s="115">
        <f>IFERROR(__xludf.DUMMYFUNCTION("IFERROR(COUNTUNIQUEIFS(ATTENDANCE_LOG!B:B,ATTENDANCE_LOG!C:C,A39),0)"),1.0)</f>
        <v>1</v>
      </c>
      <c r="Q39" s="113" t="str">
        <f t="array" ref="Q39">IFERROR(INDEX(ATTENDANCE_LOG!A:A,MATCH(1,(ATTENDANCE_LOG!C:C=A39)*(ATTENDANCE_LOG!F:F=MAXIFS(ATTENDANCE_LOG!F:F,ATTENDANCE_LOG!C:C,A39)),0)),"")</f>
        <v>EL006</v>
      </c>
      <c r="R39" s="113" t="str">
        <f t="array" ref="R39">IFERROR(INDEX(ATTENDANCE_LOG!B:B,MATCH(1,(ATTENDANCE_LOG!C:C=A39)*(ATTENDANCE_LOG!F:F=MAXIFS(ATTENDANCE_LOG!F:F,ATTENDANCE_LOG!C:C,A39)),0)),"")</f>
        <v>Communication 1</v>
      </c>
      <c r="S39" s="113">
        <f>IFERROR(VLOOKUP(H39, LEVEL_HELPER!A:B, 2, 0), 0)</f>
        <v>2.5</v>
      </c>
      <c r="T39" s="113">
        <f>IFERROR(VLOOKUP(I39, LEVEL_HELPER!A:B, 2, 0), 0)</f>
        <v>3.5</v>
      </c>
      <c r="U39" s="113">
        <f t="shared" ref="U39:V39" si="43">IF(S39="",0,IF(S39&lt;=2,1,IF(S39&lt;=4,2,IF(S39&lt;=5.5,3,4))))
</f>
        <v>2</v>
      </c>
      <c r="V39" s="113">
        <f t="shared" si="43"/>
        <v>2</v>
      </c>
      <c r="W39" s="113" t="str">
        <f t="shared" si="6"/>
        <v>Minor Improvement</v>
      </c>
      <c r="X39" s="113"/>
      <c r="Y39" s="113">
        <v>237037.0</v>
      </c>
      <c r="Z39" s="113" t="s">
        <v>266</v>
      </c>
      <c r="AA39" s="113" t="s">
        <v>257</v>
      </c>
      <c r="AB39" s="102"/>
      <c r="AC39" s="102"/>
      <c r="AD39" s="103"/>
    </row>
    <row r="40" ht="15.75" customHeight="1">
      <c r="A40" s="104" t="s">
        <v>272</v>
      </c>
      <c r="B40" s="105" t="s">
        <v>273</v>
      </c>
      <c r="C40" s="106" t="str">
        <f>IFERROR(__xludf.DUMMYFUNCTION("arrayformula(VLOOKUP(to_Text(A40),to_Text(sheet2!$A$1:M1005),13,0))"),"ONC")</f>
        <v>ONC</v>
      </c>
      <c r="D40" s="107" t="str">
        <f>IFERROR(__xludf.DUMMYFUNCTION("arrayformula(VLOOKUP(to_Text(A40),to_Text(sheet2!$A$1:M1005),12,0))"),"GSD")</f>
        <v>GSD</v>
      </c>
      <c r="E40" s="108" t="str">
        <f t="shared" si="2"/>
        <v>Inactive</v>
      </c>
      <c r="F40" s="104" t="str">
        <f t="array" ref="F40">IFERROR(
  INDEX(ATTENDANCE_INPUT!D:D,
    MATCH(1,
      (ATTENDANCE_INPUT!A:A=A40) *
      (ATTENDANCE_INPUT!W:W=MAXIFS(ATTENDANCE_INPUT!W:W, ATTENDANCE_INPUT!A:A, A40)),
      0)),
  "")</f>
        <v>Duc Nguyen</v>
      </c>
      <c r="G40" s="109" t="str">
        <f t="array" ref="G40">IFERROR(
  INDEX(ATTENDANCE_INPUT!E:E,
    MATCH(1,
      (ATTENDANCE_INPUT!A:A=A40) *
      (ATTENDANCE_INPUT!W:W=MAXIFS(ATTENDANCE_INPUT!W:W, ATTENDANCE_INPUT!A:A, A40)),
      0)),
  "")</f>
        <v>Communication 1</v>
      </c>
      <c r="H40" s="110" t="str">
        <f t="array" ref="H40">IF(ISNA(MATCH(A40,sheet2!A:A,0)),"⏳ Chưa test",IFERROR(INDEX(LEVEL_HELPER!A:A,MATCH(INDEX(sheet2!N:N,MATCH(A40,sheet2!A:A,0)),LEVEL_HELPER!B:B,0)),"⏳ Chưa test"))</f>
        <v>⏳ Chưa test</v>
      </c>
      <c r="I40" s="110" t="str">
        <f t="array" ref="I40">IF(ISNA(MATCH(A40,sheet2!A:A,0)),H40,IF(INDEX(sheet2!O:O,MATCH(A40,sheet2!A:A,0))&gt;0,IFERROR(INDEX(LEVEL_HELPER!A:A,MATCH(INDEX(sheet2!O:O,MATCH(A40,sheet2!A:A,0)),LEVEL_HELPER!B:B,0)),H40),H40))</f>
        <v>⏳ Chưa test</v>
      </c>
      <c r="J40" s="110">
        <f>IFERROR(MAXIFS(ATTENDANCE_LOG!F:F, ATTENDANCE_LOG!C:C, A40&amp;"", ATTENDANCE_LOG!G:G, "Present"), "")</f>
        <v>45839.58333</v>
      </c>
      <c r="K40" s="111">
        <f t="shared" si="3"/>
        <v>373.4166667</v>
      </c>
      <c r="L40" s="112" t="str">
        <f t="shared" si="4"/>
        <v>❌ Dropped</v>
      </c>
      <c r="M40" s="120" t="s">
        <v>37</v>
      </c>
      <c r="N40" s="126" t="s">
        <v>43</v>
      </c>
      <c r="O40" s="113"/>
      <c r="P40" s="115">
        <f>IFERROR(__xludf.DUMMYFUNCTION("IFERROR(COUNTUNIQUEIFS(ATTENDANCE_LOG!B:B,ATTENDANCE_LOG!C:C,A40),0)"),1.0)</f>
        <v>1</v>
      </c>
      <c r="Q40" s="113" t="str">
        <f t="array" ref="Q40">IFERROR(INDEX(ATTENDANCE_LOG!A:A,MATCH(1,(ATTENDANCE_LOG!C:C=A40)*(ATTENDANCE_LOG!F:F=MAXIFS(ATTENDANCE_LOG!F:F,ATTENDANCE_LOG!C:C,A40)),0)),"")</f>
        <v>EL005</v>
      </c>
      <c r="R40" s="113" t="str">
        <f t="array" ref="R40">IFERROR(INDEX(ATTENDANCE_LOG!B:B,MATCH(1,(ATTENDANCE_LOG!C:C=A40)*(ATTENDANCE_LOG!F:F=MAXIFS(ATTENDANCE_LOG!F:F,ATTENDANCE_LOG!C:C,A40)),0)),"")</f>
        <v>Communication 1</v>
      </c>
      <c r="S40" s="113">
        <f>IFERROR(VLOOKUP(H40, LEVEL_HELPER!A:B, 2, 0), 0)</f>
        <v>0</v>
      </c>
      <c r="T40" s="113">
        <f>IFERROR(VLOOKUP(I40, LEVEL_HELPER!A:B, 2, 0), 0)</f>
        <v>0</v>
      </c>
      <c r="U40" s="113">
        <f t="shared" ref="U40:V40" si="44">IF(S40="",0,IF(S40&lt;=2,1,IF(S40&lt;=4,2,IF(S40&lt;=5.5,3,4))))
</f>
        <v>1</v>
      </c>
      <c r="V40" s="113">
        <f t="shared" si="44"/>
        <v>1</v>
      </c>
      <c r="W40" s="113" t="str">
        <f t="shared" si="6"/>
        <v>No Progress</v>
      </c>
      <c r="X40" s="113"/>
      <c r="Y40" s="113">
        <v>247299.0</v>
      </c>
      <c r="Z40" s="113" t="s">
        <v>266</v>
      </c>
      <c r="AA40" s="113" t="s">
        <v>257</v>
      </c>
      <c r="AB40" s="116"/>
      <c r="AC40" s="116"/>
      <c r="AD40" s="117"/>
    </row>
    <row r="41" ht="15.75" customHeight="1">
      <c r="A41" s="122" t="s">
        <v>274</v>
      </c>
      <c r="B41" s="123" t="s">
        <v>275</v>
      </c>
      <c r="C41" s="106" t="str">
        <f>IFERROR(__xludf.DUMMYFUNCTION("arrayformula(VLOOKUP(to_Text(A41),to_Text(sheet2!$A$1:M1005),13,0))"),"MOC")</f>
        <v>MOC</v>
      </c>
      <c r="D41" s="107" t="str">
        <f>IFERROR(__xludf.DUMMYFUNCTION("arrayformula(VLOOKUP(to_Text(A41),to_Text(sheet2!$A$1:M1005),12,0))"),"DEV")</f>
        <v>DEV</v>
      </c>
      <c r="E41" s="108" t="str">
        <f t="shared" si="2"/>
        <v>Active</v>
      </c>
      <c r="F41" s="104" t="str">
        <f t="array" ref="F41">IFERROR(
  INDEX(ATTENDANCE_INPUT!D:D,
    MATCH(1,
      (ATTENDANCE_INPUT!A:A=A41) *
      (ATTENDANCE_INPUT!W:W=MAXIFS(ATTENDANCE_INPUT!W:W, ATTENDANCE_INPUT!A:A, A41)),
      0)),
  "")</f>
        <v>Dung Hoang</v>
      </c>
      <c r="G41" s="109" t="str">
        <f t="array" ref="G41">IFERROR(
  INDEX(ATTENDANCE_INPUT!E:E,
    MATCH(1,
      (ATTENDANCE_INPUT!A:A=A41) *
      (ATTENDANCE_INPUT!W:W=MAXIFS(ATTENDANCE_INPUT!W:W, ATTENDANCE_INPUT!A:A, A41)),
      0)),
  "")</f>
        <v>Communication 2</v>
      </c>
      <c r="H41" s="110" t="str">
        <f t="array" ref="H41">IF(ISNA(MATCH(A41,sheet2!A:A,0)),"⏳ Chưa test",IFERROR(INDEX(LEVEL_HELPER!A:A,MATCH(INDEX(sheet2!N:N,MATCH(A41,sheet2!A:A,0)),LEVEL_HELPER!B:B,0)),"⏳ Chưa test"))</f>
        <v>Beginner</v>
      </c>
      <c r="I41" s="110" t="str">
        <f t="array" ref="I41">IF(ISNA(MATCH(A41,sheet2!A:A,0)),H41,IF(INDEX(sheet2!O:O,MATCH(A41,sheet2!A:A,0))&gt;0,IFERROR(INDEX(LEVEL_HELPER!A:A,MATCH(INDEX(sheet2!O:O,MATCH(A41,sheet2!A:A,0)),LEVEL_HELPER!B:B,0)),H41),H41))</f>
        <v>Pre-Intermediate 2</v>
      </c>
      <c r="J41" s="124">
        <f>IFERROR(MAXIFS(ATTENDANCE_LOG!F:F, ATTENDANCE_LOG!C:C, A41&amp;"", ATTENDANCE_LOG!G:G, "Present"), "")</f>
        <v>46210.41667</v>
      </c>
      <c r="K41" s="111">
        <f t="shared" si="3"/>
        <v>2.583333333</v>
      </c>
      <c r="L41" s="112" t="str">
        <f t="shared" si="4"/>
        <v/>
      </c>
      <c r="M41" s="121"/>
      <c r="N41" s="114"/>
      <c r="O41" s="113"/>
      <c r="P41" s="115">
        <f>IFERROR(__xludf.DUMMYFUNCTION("IFERROR(COUNTUNIQUEIFS(ATTENDANCE_LOG!B:B,ATTENDANCE_LOG!C:C,A41),0)"),3.0)</f>
        <v>3</v>
      </c>
      <c r="Q41" s="113" t="str">
        <f t="array" ref="Q41">IFERROR(INDEX(ATTENDANCE_LOG!A:A,MATCH(1,(ATTENDANCE_LOG!C:C=A41)*(ATTENDANCE_LOG!F:F=MAXIFS(ATTENDANCE_LOG!F:F,ATTENDANCE_LOG!C:C,A41)),0)),"")</f>
        <v>EL024</v>
      </c>
      <c r="R41" s="113" t="str">
        <f t="array" ref="R41">IFERROR(INDEX(ATTENDANCE_LOG!B:B,MATCH(1,(ATTENDANCE_LOG!C:C=A41)*(ATTENDANCE_LOG!F:F=MAXIFS(ATTENDANCE_LOG!F:F,ATTENDANCE_LOG!C:C,A41)),0)),"")</f>
        <v>Communication 2</v>
      </c>
      <c r="S41" s="113">
        <f>IFERROR(VLOOKUP(H41, LEVEL_HELPER!A:B, 2, 0), 0)</f>
        <v>1</v>
      </c>
      <c r="T41" s="113">
        <f>IFERROR(VLOOKUP(I41, LEVEL_HELPER!A:B, 2, 0), 0)</f>
        <v>3.5</v>
      </c>
      <c r="U41" s="113">
        <f t="shared" ref="U41:V41" si="45">IF(S41="",0,IF(S41&lt;=2,1,IF(S41&lt;=4,2,IF(S41&lt;=5.5,3,4))))
</f>
        <v>1</v>
      </c>
      <c r="V41" s="113">
        <f t="shared" si="45"/>
        <v>2</v>
      </c>
      <c r="W41" s="113" t="str">
        <f t="shared" si="6"/>
        <v>Lv1→Lv2</v>
      </c>
      <c r="X41" s="113"/>
      <c r="Y41" s="113">
        <v>193630.0</v>
      </c>
      <c r="Z41" s="113" t="s">
        <v>190</v>
      </c>
      <c r="AA41" s="113" t="s">
        <v>34</v>
      </c>
      <c r="AB41" s="102"/>
      <c r="AC41" s="102"/>
      <c r="AD41" s="103"/>
    </row>
    <row r="42" ht="15.75" customHeight="1">
      <c r="A42" s="104" t="s">
        <v>276</v>
      </c>
      <c r="B42" s="105" t="s">
        <v>277</v>
      </c>
      <c r="C42" s="106" t="str">
        <f>IFERROR(__xludf.DUMMYFUNCTION("arrayformula(VLOOKUP(to_Text(A42),to_Text(sheet2!$A$1:M1005),13,0))"),"LBU")</f>
        <v>LBU</v>
      </c>
      <c r="D42" s="107" t="str">
        <f>IFERROR(__xludf.DUMMYFUNCTION("arrayformula(VLOOKUP(to_Text(A42),to_Text(sheet2!$A$1:M1005),12,0))"),"DEV")</f>
        <v>DEV</v>
      </c>
      <c r="E42" s="108" t="str">
        <f t="shared" si="2"/>
        <v>Active</v>
      </c>
      <c r="F42" s="104" t="str">
        <f t="array" ref="F42">IFERROR(
  INDEX(ATTENDANCE_INPUT!D:D,
    MATCH(1,
      (ATTENDANCE_INPUT!A:A=A42) *
      (ATTENDANCE_INPUT!W:W=MAXIFS(ATTENDANCE_INPUT!W:W, ATTENDANCE_INPUT!A:A, A42)),
      0)),
  "")</f>
        <v>Dung Hoang</v>
      </c>
      <c r="G42" s="109" t="str">
        <f t="array" ref="G42">IFERROR(
  INDEX(ATTENDANCE_INPUT!E:E,
    MATCH(1,
      (ATTENDANCE_INPUT!A:A=A42) *
      (ATTENDANCE_INPUT!W:W=MAXIFS(ATTENDANCE_INPUT!W:W, ATTENDANCE_INPUT!A:A, A42)),
      0)),
  "")</f>
        <v>Communication 2</v>
      </c>
      <c r="H42" s="110" t="str">
        <f t="array" ref="H42">IF(ISNA(MATCH(A42,sheet2!A:A,0)),"⏳ Chưa test",IFERROR(INDEX(LEVEL_HELPER!A:A,MATCH(INDEX(sheet2!N:N,MATCH(A42,sheet2!A:A,0)),LEVEL_HELPER!B:B,0)),"⏳ Chưa test"))</f>
        <v>Beginner</v>
      </c>
      <c r="I42" s="110" t="str">
        <f t="array" ref="I42">IF(ISNA(MATCH(A42,sheet2!A:A,0)),H42,IF(INDEX(sheet2!O:O,MATCH(A42,sheet2!A:A,0))&gt;0,IFERROR(INDEX(LEVEL_HELPER!A:A,MATCH(INDEX(sheet2!O:O,MATCH(A42,sheet2!A:A,0)),LEVEL_HELPER!B:B,0)),H42),H42))</f>
        <v>Pre-Intermediate 1</v>
      </c>
      <c r="J42" s="110">
        <f>IFERROR(MAXIFS(ATTENDANCE_LOG!F:F, ATTENDANCE_LOG!C:C, A42&amp;"", ATTENDANCE_LOG!G:G, "Present"), "")</f>
        <v>46210.41667</v>
      </c>
      <c r="K42" s="111">
        <f t="shared" si="3"/>
        <v>2.583333333</v>
      </c>
      <c r="L42" s="112" t="str">
        <f t="shared" si="4"/>
        <v/>
      </c>
      <c r="M42" s="113"/>
      <c r="N42" s="114"/>
      <c r="O42" s="113"/>
      <c r="P42" s="115">
        <f>IFERROR(__xludf.DUMMYFUNCTION("IFERROR(COUNTUNIQUEIFS(ATTENDANCE_LOG!B:B,ATTENDANCE_LOG!C:C,A42),0)"),3.0)</f>
        <v>3</v>
      </c>
      <c r="Q42" s="113" t="str">
        <f t="array" ref="Q42">IFERROR(INDEX(ATTENDANCE_LOG!A:A,MATCH(1,(ATTENDANCE_LOG!C:C=A42)*(ATTENDANCE_LOG!F:F=MAXIFS(ATTENDANCE_LOG!F:F,ATTENDANCE_LOG!C:C,A42)),0)),"")</f>
        <v>EL024</v>
      </c>
      <c r="R42" s="113" t="str">
        <f t="array" ref="R42">IFERROR(INDEX(ATTENDANCE_LOG!B:B,MATCH(1,(ATTENDANCE_LOG!C:C=A42)*(ATTENDANCE_LOG!F:F=MAXIFS(ATTENDANCE_LOG!F:F,ATTENDANCE_LOG!C:C,A42)),0)),"")</f>
        <v>Communication 2</v>
      </c>
      <c r="S42" s="113">
        <f>IFERROR(VLOOKUP(H42, LEVEL_HELPER!A:B, 2, 0), 0)</f>
        <v>1</v>
      </c>
      <c r="T42" s="113">
        <f>IFERROR(VLOOKUP(I42, LEVEL_HELPER!A:B, 2, 0), 0)</f>
        <v>3</v>
      </c>
      <c r="U42" s="113">
        <f t="shared" ref="U42:V42" si="46">IF(S42="",0,IF(S42&lt;=2,1,IF(S42&lt;=4,2,IF(S42&lt;=5.5,3,4))))
</f>
        <v>1</v>
      </c>
      <c r="V42" s="113">
        <f t="shared" si="46"/>
        <v>2</v>
      </c>
      <c r="W42" s="113" t="str">
        <f t="shared" si="6"/>
        <v>Lv1→Lv2</v>
      </c>
      <c r="X42" s="113"/>
      <c r="Y42" s="113">
        <v>213886.0</v>
      </c>
      <c r="Z42" s="113" t="s">
        <v>266</v>
      </c>
      <c r="AA42" s="113" t="s">
        <v>257</v>
      </c>
      <c r="AB42" s="116"/>
      <c r="AC42" s="116"/>
      <c r="AD42" s="117"/>
    </row>
    <row r="43" ht="15.75" customHeight="1">
      <c r="A43" s="104" t="s">
        <v>278</v>
      </c>
      <c r="B43" s="105" t="s">
        <v>279</v>
      </c>
      <c r="C43" s="106" t="str">
        <f>IFERROR(__xludf.DUMMYFUNCTION("arrayformula(VLOOKUP(to_Text(A43),to_Text(sheet2!$A$1:M1005),13,0))"),"MOC")</f>
        <v>MOC</v>
      </c>
      <c r="D43" s="107" t="str">
        <f>IFERROR(__xludf.DUMMYFUNCTION("arrayformula(VLOOKUP(to_Text(A43),to_Text(sheet2!$A$1:M1005),12,0))"),"DEV")</f>
        <v>DEV</v>
      </c>
      <c r="E43" s="108" t="str">
        <f t="shared" si="2"/>
        <v>Active</v>
      </c>
      <c r="F43" s="127" t="str">
        <f t="array" ref="F43">IFERROR(
  INDEX(ATTENDANCE_INPUT!D:D,
    MATCH(1,
      (ATTENDANCE_INPUT!A:A=A43) *
      (ATTENDANCE_INPUT!W:W=MAXIFS(ATTENDANCE_INPUT!W:W, ATTENDANCE_INPUT!A:A, A43)),
      0)),
  "")</f>
        <v>Dung Hoang</v>
      </c>
      <c r="G43" s="109" t="str">
        <f t="array" ref="G43">IFERROR(
  INDEX(ATTENDANCE_INPUT!E:E,
    MATCH(1,
      (ATTENDANCE_INPUT!A:A=A43) *
      (ATTENDANCE_INPUT!W:W=MAXIFS(ATTENDANCE_INPUT!W:W, ATTENDANCE_INPUT!A:A, A43)),
      0)),
  "")</f>
        <v>Communication 2</v>
      </c>
      <c r="H43" s="110" t="str">
        <f t="array" ref="H43">IF(ISNA(MATCH(A43,sheet2!A:A,0)),"⏳ Chưa test",IFERROR(INDEX(LEVEL_HELPER!A:A,MATCH(INDEX(sheet2!N:N,MATCH(A43,sheet2!A:A,0)),LEVEL_HELPER!B:B,0)),"⏳ Chưa test"))</f>
        <v>Beginner</v>
      </c>
      <c r="I43" s="110" t="str">
        <f t="array" ref="I43">IF(ISNA(MATCH(A43,sheet2!A:A,0)),H43,IF(INDEX(sheet2!O:O,MATCH(A43,sheet2!A:A,0))&gt;0,IFERROR(INDEX(LEVEL_HELPER!A:A,MATCH(INDEX(sheet2!O:O,MATCH(A43,sheet2!A:A,0)),LEVEL_HELPER!B:B,0)),H43),H43))</f>
        <v>Pre-Intermediate 1</v>
      </c>
      <c r="J43" s="110">
        <f>IFERROR(MAXIFS(ATTENDANCE_LOG!F:F, ATTENDANCE_LOG!C:C, A43&amp;"", ATTENDANCE_LOG!G:G, "Present"), "")</f>
        <v>46135.41667</v>
      </c>
      <c r="K43" s="111">
        <f t="shared" si="3"/>
        <v>77.58333333</v>
      </c>
      <c r="L43" s="112" t="str">
        <f t="shared" si="4"/>
        <v>⚠ Check</v>
      </c>
      <c r="M43" s="113"/>
      <c r="N43" s="114"/>
      <c r="O43" s="113"/>
      <c r="P43" s="115">
        <f>IFERROR(__xludf.DUMMYFUNCTION("IFERROR(COUNTUNIQUEIFS(ATTENDANCE_LOG!B:B,ATTENDANCE_LOG!C:C,A43),0)"),3.0)</f>
        <v>3</v>
      </c>
      <c r="Q43" s="113" t="str">
        <f t="array" ref="Q43">IFERROR(INDEX(ATTENDANCE_LOG!A:A,MATCH(1,(ATTENDANCE_LOG!C:C=A43)*(ATTENDANCE_LOG!F:F=MAXIFS(ATTENDANCE_LOG!F:F,ATTENDANCE_LOG!C:C,A43)),0)),"")</f>
        <v>EL024</v>
      </c>
      <c r="R43" s="113" t="str">
        <f t="array" ref="R43">IFERROR(INDEX(ATTENDANCE_LOG!B:B,MATCH(1,(ATTENDANCE_LOG!C:C=A43)*(ATTENDANCE_LOG!F:F=MAXIFS(ATTENDANCE_LOG!F:F,ATTENDANCE_LOG!C:C,A43)),0)),"")</f>
        <v>Communication 2</v>
      </c>
      <c r="S43" s="113">
        <f>IFERROR(VLOOKUP(H43, LEVEL_HELPER!A:B, 2, 0), 0)</f>
        <v>1</v>
      </c>
      <c r="T43" s="113">
        <f>IFERROR(VLOOKUP(I43, LEVEL_HELPER!A:B, 2, 0), 0)</f>
        <v>3</v>
      </c>
      <c r="U43" s="113">
        <f t="shared" ref="U43:V43" si="47">IF(S43="",0,IF(S43&lt;=2,1,IF(S43&lt;=4,2,IF(S43&lt;=5.5,3,4))))
</f>
        <v>1</v>
      </c>
      <c r="V43" s="113">
        <f t="shared" si="47"/>
        <v>2</v>
      </c>
      <c r="W43" s="113" t="str">
        <f t="shared" si="6"/>
        <v>Lv1→Lv2</v>
      </c>
      <c r="X43" s="113"/>
      <c r="Y43" s="113">
        <v>183405.0</v>
      </c>
      <c r="Z43" s="113" t="s">
        <v>190</v>
      </c>
      <c r="AA43" s="113" t="s">
        <v>34</v>
      </c>
      <c r="AB43" s="116"/>
      <c r="AC43" s="116"/>
      <c r="AD43" s="117"/>
    </row>
    <row r="44" ht="15.75" customHeight="1">
      <c r="A44" s="104" t="s">
        <v>280</v>
      </c>
      <c r="B44" s="105" t="s">
        <v>281</v>
      </c>
      <c r="C44" s="106" t="str">
        <f>IFERROR(__xludf.DUMMYFUNCTION("arrayformula(VLOOKUP(to_Text(A44),to_Text(sheet2!$A$1:M1005),13,0))"),"LBU")</f>
        <v>LBU</v>
      </c>
      <c r="D44" s="107" t="str">
        <f>IFERROR(__xludf.DUMMYFUNCTION("arrayformula(VLOOKUP(to_Text(A44),to_Text(sheet2!$A$1:M1005),12,0))"),"DEV")</f>
        <v>DEV</v>
      </c>
      <c r="E44" s="108" t="str">
        <f t="shared" si="2"/>
        <v>Active</v>
      </c>
      <c r="F44" s="127" t="str">
        <f t="array" ref="F44">IFERROR(
  INDEX(ATTENDANCE_INPUT!D:D,
    MATCH(1,
      (ATTENDANCE_INPUT!A:A=A44) *
      (ATTENDANCE_INPUT!W:W=MAXIFS(ATTENDANCE_INPUT!W:W, ATTENDANCE_INPUT!A:A, A44)),
      0)),
  "")</f>
        <v>Dung Hoang</v>
      </c>
      <c r="G44" s="109" t="str">
        <f t="array" ref="G44">IFERROR(
  INDEX(ATTENDANCE_INPUT!E:E,
    MATCH(1,
      (ATTENDANCE_INPUT!A:A=A44) *
      (ATTENDANCE_INPUT!W:W=MAXIFS(ATTENDANCE_INPUT!W:W, ATTENDANCE_INPUT!A:A, A44)),
      0)),
  "")</f>
        <v>Communication 2</v>
      </c>
      <c r="H44" s="110" t="str">
        <f t="array" ref="H44">IF(ISNA(MATCH(A44,sheet2!A:A,0)),"⏳ Chưa test",IFERROR(INDEX(LEVEL_HELPER!A:A,MATCH(INDEX(sheet2!N:N,MATCH(A44,sheet2!A:A,0)),LEVEL_HELPER!B:B,0)),"⏳ Chưa test"))</f>
        <v>Beginner</v>
      </c>
      <c r="I44" s="110" t="str">
        <f t="array" ref="I44">IF(ISNA(MATCH(A44,sheet2!A:A,0)),H44,IF(INDEX(sheet2!O:O,MATCH(A44,sheet2!A:A,0))&gt;0,IFERROR(INDEX(LEVEL_HELPER!A:A,MATCH(INDEX(sheet2!O:O,MATCH(A44,sheet2!A:A,0)),LEVEL_HELPER!B:B,0)),H44),H44))</f>
        <v>Pre-Intermediate 2</v>
      </c>
      <c r="J44" s="110">
        <f>IFERROR(MAXIFS(ATTENDANCE_LOG!F:F, ATTENDANCE_LOG!C:C, A44&amp;"", ATTENDANCE_LOG!G:G, "Present"), "")</f>
        <v>46210.41667</v>
      </c>
      <c r="K44" s="111">
        <f t="shared" si="3"/>
        <v>2.583333333</v>
      </c>
      <c r="L44" s="112" t="str">
        <f t="shared" si="4"/>
        <v/>
      </c>
      <c r="M44" s="113"/>
      <c r="N44" s="114"/>
      <c r="O44" s="113"/>
      <c r="P44" s="115">
        <f>IFERROR(__xludf.DUMMYFUNCTION("IFERROR(COUNTUNIQUEIFS(ATTENDANCE_LOG!B:B,ATTENDANCE_LOG!C:C,A44),0)"),3.0)</f>
        <v>3</v>
      </c>
      <c r="Q44" s="113" t="str">
        <f t="array" ref="Q44">IFERROR(INDEX(ATTENDANCE_LOG!A:A,MATCH(1,(ATTENDANCE_LOG!C:C=A44)*(ATTENDANCE_LOG!F:F=MAXIFS(ATTENDANCE_LOG!F:F,ATTENDANCE_LOG!C:C,A44)),0)),"")</f>
        <v>EL024</v>
      </c>
      <c r="R44" s="113" t="str">
        <f t="array" ref="R44">IFERROR(INDEX(ATTENDANCE_LOG!B:B,MATCH(1,(ATTENDANCE_LOG!C:C=A44)*(ATTENDANCE_LOG!F:F=MAXIFS(ATTENDANCE_LOG!F:F,ATTENDANCE_LOG!C:C,A44)),0)),"")</f>
        <v>Communication 2</v>
      </c>
      <c r="S44" s="113">
        <f>IFERROR(VLOOKUP(H44, LEVEL_HELPER!A:B, 2, 0), 0)</f>
        <v>1</v>
      </c>
      <c r="T44" s="113">
        <f>IFERROR(VLOOKUP(I44, LEVEL_HELPER!A:B, 2, 0), 0)</f>
        <v>3.5</v>
      </c>
      <c r="U44" s="113">
        <f t="shared" ref="U44:V44" si="48">IF(S44="",0,IF(S44&lt;=2,1,IF(S44&lt;=4,2,IF(S44&lt;=5.5,3,4))))
</f>
        <v>1</v>
      </c>
      <c r="V44" s="113">
        <f t="shared" si="48"/>
        <v>2</v>
      </c>
      <c r="W44" s="113" t="str">
        <f t="shared" si="6"/>
        <v>Lv1→Lv2</v>
      </c>
      <c r="X44" s="113"/>
      <c r="Y44" s="113">
        <v>203646.0</v>
      </c>
      <c r="Z44" s="113" t="s">
        <v>190</v>
      </c>
      <c r="AA44" s="113" t="s">
        <v>34</v>
      </c>
      <c r="AB44" s="116"/>
      <c r="AC44" s="116"/>
      <c r="AD44" s="117"/>
    </row>
    <row r="45" ht="15.75" customHeight="1">
      <c r="A45" s="104" t="s">
        <v>282</v>
      </c>
      <c r="B45" s="105" t="s">
        <v>283</v>
      </c>
      <c r="C45" s="106" t="str">
        <f>IFERROR(__xludf.DUMMYFUNCTION("arrayformula(VLOOKUP(to_Text(A45),to_Text(sheet2!$A$1:M1005),13,0))"),"MOC")</f>
        <v>MOC</v>
      </c>
      <c r="D45" s="107" t="str">
        <f>IFERROR(__xludf.DUMMYFUNCTION("arrayformula(VLOOKUP(to_Text(A45),to_Text(sheet2!$A$1:M1005),12,0))"),"DEV")</f>
        <v>DEV</v>
      </c>
      <c r="E45" s="108" t="str">
        <f t="shared" si="2"/>
        <v>Active</v>
      </c>
      <c r="F45" s="104" t="str">
        <f t="array" ref="F45">IFERROR(
  INDEX(ATTENDANCE_INPUT!D:D,
    MATCH(1,
      (ATTENDANCE_INPUT!A:A=A45) *
      (ATTENDANCE_INPUT!W:W=MAXIFS(ATTENDANCE_INPUT!W:W, ATTENDANCE_INPUT!A:A, A45)),
      0)),
  "")</f>
        <v>Dung Hoang</v>
      </c>
      <c r="G45" s="109" t="str">
        <f t="array" ref="G45">IFERROR(
  INDEX(ATTENDANCE_INPUT!E:E,
    MATCH(1,
      (ATTENDANCE_INPUT!A:A=A45) *
      (ATTENDANCE_INPUT!W:W=MAXIFS(ATTENDANCE_INPUT!W:W, ATTENDANCE_INPUT!A:A, A45)),
      0)),
  "")</f>
        <v>Communication 2</v>
      </c>
      <c r="H45" s="110" t="str">
        <f t="array" ref="H45">IF(ISNA(MATCH(A45,sheet2!A:A,0)),"⏳ Chưa test",IFERROR(INDEX(LEVEL_HELPER!A:A,MATCH(INDEX(sheet2!N:N,MATCH(A45,sheet2!A:A,0)),LEVEL_HELPER!B:B,0)),"⏳ Chưa test"))</f>
        <v>Beginner</v>
      </c>
      <c r="I45" s="110" t="str">
        <f t="array" ref="I45">IF(ISNA(MATCH(A45,sheet2!A:A,0)),H45,IF(INDEX(sheet2!O:O,MATCH(A45,sheet2!A:A,0))&gt;0,IFERROR(INDEX(LEVEL_HELPER!A:A,MATCH(INDEX(sheet2!O:O,MATCH(A45,sheet2!A:A,0)),LEVEL_HELPER!B:B,0)),H45),H45))</f>
        <v>Intermediate 1</v>
      </c>
      <c r="J45" s="110">
        <f>IFERROR(MAXIFS(ATTENDANCE_LOG!F:F, ATTENDANCE_LOG!C:C, A45&amp;"", ATTENDANCE_LOG!G:G, "Present"), "")</f>
        <v>46210.41667</v>
      </c>
      <c r="K45" s="111">
        <f t="shared" si="3"/>
        <v>2.583333333</v>
      </c>
      <c r="L45" s="112" t="str">
        <f t="shared" si="4"/>
        <v/>
      </c>
      <c r="M45" s="113"/>
      <c r="N45" s="114"/>
      <c r="O45" s="113"/>
      <c r="P45" s="115">
        <f>IFERROR(__xludf.DUMMYFUNCTION("IFERROR(COUNTUNIQUEIFS(ATTENDANCE_LOG!B:B,ATTENDANCE_LOG!C:C,A45),0)"),3.0)</f>
        <v>3</v>
      </c>
      <c r="Q45" s="113" t="str">
        <f t="array" ref="Q45">IFERROR(INDEX(ATTENDANCE_LOG!A:A,MATCH(1,(ATTENDANCE_LOG!C:C=A45)*(ATTENDANCE_LOG!F:F=MAXIFS(ATTENDANCE_LOG!F:F,ATTENDANCE_LOG!C:C,A45)),0)),"")</f>
        <v>EL024</v>
      </c>
      <c r="R45" s="113" t="str">
        <f t="array" ref="R45">IFERROR(INDEX(ATTENDANCE_LOG!B:B,MATCH(1,(ATTENDANCE_LOG!C:C=A45)*(ATTENDANCE_LOG!F:F=MAXIFS(ATTENDANCE_LOG!F:F,ATTENDANCE_LOG!C:C,A45)),0)),"")</f>
        <v>Communication 2</v>
      </c>
      <c r="S45" s="113">
        <f>IFERROR(VLOOKUP(H45, LEVEL_HELPER!A:B, 2, 0), 0)</f>
        <v>1</v>
      </c>
      <c r="T45" s="113">
        <f>IFERROR(VLOOKUP(I45, LEVEL_HELPER!A:B, 2, 0), 0)</f>
        <v>5</v>
      </c>
      <c r="U45" s="113">
        <f t="shared" ref="U45:V45" si="49">IF(S45="",0,IF(S45&lt;=2,1,IF(S45&lt;=4,2,IF(S45&lt;=5.5,3,4))))
</f>
        <v>1</v>
      </c>
      <c r="V45" s="113">
        <f t="shared" si="49"/>
        <v>3</v>
      </c>
      <c r="W45" s="113" t="str">
        <f t="shared" si="6"/>
        <v>Lv1→Lv3 (multi)</v>
      </c>
      <c r="X45" s="113"/>
      <c r="Y45" s="113">
        <v>183310.0</v>
      </c>
      <c r="Z45" s="113" t="s">
        <v>190</v>
      </c>
      <c r="AA45" s="113" t="s">
        <v>34</v>
      </c>
      <c r="AB45" s="116"/>
      <c r="AC45" s="116"/>
      <c r="AD45" s="117"/>
    </row>
    <row r="46" ht="15.75" customHeight="1">
      <c r="A46" s="104" t="s">
        <v>284</v>
      </c>
      <c r="B46" s="105" t="s">
        <v>285</v>
      </c>
      <c r="C46" s="106" t="str">
        <f>IFERROR(__xludf.DUMMYFUNCTION("arrayformula(VLOOKUP(to_Text(A46),to_Text(sheet2!$A$1:M1005),13,0))"),"MOC")</f>
        <v>MOC</v>
      </c>
      <c r="D46" s="107" t="str">
        <f>IFERROR(__xludf.DUMMYFUNCTION("arrayformula(VLOOKUP(to_Text(A46),to_Text(sheet2!$A$1:M1005),12,0))"),"DEV")</f>
        <v>DEV</v>
      </c>
      <c r="E46" s="108" t="str">
        <f t="shared" si="2"/>
        <v>Active</v>
      </c>
      <c r="F46" s="104" t="str">
        <f t="array" ref="F46">IFERROR(
  INDEX(ATTENDANCE_INPUT!D:D,
    MATCH(1,
      (ATTENDANCE_INPUT!A:A=A46) *
      (ATTENDANCE_INPUT!W:W=MAXIFS(ATTENDANCE_INPUT!W:W, ATTENDANCE_INPUT!A:A, A46)),
      0)),
  "")</f>
        <v>Dung Hoang</v>
      </c>
      <c r="G46" s="109" t="str">
        <f t="array" ref="G46">IFERROR(
  INDEX(ATTENDANCE_INPUT!E:E,
    MATCH(1,
      (ATTENDANCE_INPUT!A:A=A46) *
      (ATTENDANCE_INPUT!W:W=MAXIFS(ATTENDANCE_INPUT!W:W, ATTENDANCE_INPUT!A:A, A46)),
      0)),
  "")</f>
        <v>Communication 2</v>
      </c>
      <c r="H46" s="110" t="str">
        <f t="array" ref="H46">IF(ISNA(MATCH(A46,sheet2!A:A,0)),"⏳ Chưa test",IFERROR(INDEX(LEVEL_HELPER!A:A,MATCH(INDEX(sheet2!N:N,MATCH(A46,sheet2!A:A,0)),LEVEL_HELPER!B:B,0)),"⏳ Chưa test"))</f>
        <v>Beginner</v>
      </c>
      <c r="I46" s="110" t="str">
        <f t="array" ref="I46">IF(ISNA(MATCH(A46,sheet2!A:A,0)),H46,IF(INDEX(sheet2!O:O,MATCH(A46,sheet2!A:A,0))&gt;0,IFERROR(INDEX(LEVEL_HELPER!A:A,MATCH(INDEX(sheet2!O:O,MATCH(A46,sheet2!A:A,0)),LEVEL_HELPER!B:B,0)),H46),H46))</f>
        <v>Pre-Intermediate 1</v>
      </c>
      <c r="J46" s="110">
        <f>IFERROR(MAXIFS(ATTENDANCE_LOG!F:F, ATTENDANCE_LOG!C:C, A46&amp;"", ATTENDANCE_LOG!G:G, "Present"), "")</f>
        <v>46210.41667</v>
      </c>
      <c r="K46" s="111">
        <f t="shared" si="3"/>
        <v>2.583333333</v>
      </c>
      <c r="L46" s="112" t="str">
        <f t="shared" si="4"/>
        <v/>
      </c>
      <c r="M46" s="113"/>
      <c r="N46" s="114"/>
      <c r="O46" s="113"/>
      <c r="P46" s="115">
        <f>IFERROR(__xludf.DUMMYFUNCTION("IFERROR(COUNTUNIQUEIFS(ATTENDANCE_LOG!B:B,ATTENDANCE_LOG!C:C,A46),0)"),3.0)</f>
        <v>3</v>
      </c>
      <c r="Q46" s="113" t="str">
        <f t="array" ref="Q46">IFERROR(INDEX(ATTENDANCE_LOG!A:A,MATCH(1,(ATTENDANCE_LOG!C:C=A46)*(ATTENDANCE_LOG!F:F=MAXIFS(ATTENDANCE_LOG!F:F,ATTENDANCE_LOG!C:C,A46)),0)),"")</f>
        <v>EL024</v>
      </c>
      <c r="R46" s="113" t="str">
        <f t="array" ref="R46">IFERROR(INDEX(ATTENDANCE_LOG!B:B,MATCH(1,(ATTENDANCE_LOG!C:C=A46)*(ATTENDANCE_LOG!F:F=MAXIFS(ATTENDANCE_LOG!F:F,ATTENDANCE_LOG!C:C,A46)),0)),"")</f>
        <v>Communication 2</v>
      </c>
      <c r="S46" s="113">
        <f>IFERROR(VLOOKUP(H46, LEVEL_HELPER!A:B, 2, 0), 0)</f>
        <v>1</v>
      </c>
      <c r="T46" s="113">
        <f>IFERROR(VLOOKUP(I46, LEVEL_HELPER!A:B, 2, 0), 0)</f>
        <v>3</v>
      </c>
      <c r="U46" s="113">
        <f t="shared" ref="U46:V46" si="50">IF(S46="",0,IF(S46&lt;=2,1,IF(S46&lt;=4,2,IF(S46&lt;=5.5,3,4))))
</f>
        <v>1</v>
      </c>
      <c r="V46" s="113">
        <f t="shared" si="50"/>
        <v>2</v>
      </c>
      <c r="W46" s="113" t="str">
        <f t="shared" si="6"/>
        <v>Lv1→Lv2</v>
      </c>
      <c r="X46" s="113"/>
      <c r="Y46" s="113">
        <v>227227.0</v>
      </c>
      <c r="Z46" s="113" t="s">
        <v>204</v>
      </c>
      <c r="AA46" s="113" t="s">
        <v>205</v>
      </c>
      <c r="AB46" s="116"/>
      <c r="AC46" s="116"/>
      <c r="AD46" s="117"/>
    </row>
    <row r="47" ht="15.75" customHeight="1">
      <c r="A47" s="104" t="s">
        <v>286</v>
      </c>
      <c r="B47" s="105" t="s">
        <v>287</v>
      </c>
      <c r="C47" s="106" t="str">
        <f>IFERROR(__xludf.DUMMYFUNCTION("arrayformula(VLOOKUP(to_Text(A47),to_Text(sheet2!$A$1:M1005),13,0))"),"LBU")</f>
        <v>LBU</v>
      </c>
      <c r="D47" s="107" t="str">
        <f>IFERROR(__xludf.DUMMYFUNCTION("arrayformula(VLOOKUP(to_Text(A47),to_Text(sheet2!$A$1:M1005),12,0))"),"DEV")</f>
        <v>DEV</v>
      </c>
      <c r="E47" s="108" t="str">
        <f t="shared" si="2"/>
        <v>Inactive</v>
      </c>
      <c r="F47" s="104" t="str">
        <f t="array" ref="F47">IFERROR(
  INDEX(ATTENDANCE_INPUT!D:D,
    MATCH(1,
      (ATTENDANCE_INPUT!A:A=A47) *
      (ATTENDANCE_INPUT!W:W=MAXIFS(ATTENDANCE_INPUT!W:W, ATTENDANCE_INPUT!A:A, A47)),
      0)),
  "")</f>
        <v>Dung Hoang</v>
      </c>
      <c r="G47" s="109" t="str">
        <f t="array" ref="G47">IFERROR(
  INDEX(ATTENDANCE_INPUT!E:E,
    MATCH(1,
      (ATTENDANCE_INPUT!A:A=A47) *
      (ATTENDANCE_INPUT!W:W=MAXIFS(ATTENDANCE_INPUT!W:W, ATTENDANCE_INPUT!A:A, A47)),
      0)),
  "")</f>
        <v>Communication 1</v>
      </c>
      <c r="H47" s="110" t="str">
        <f t="array" ref="H47">IF(ISNA(MATCH(A47,sheet2!A:A,0)),"⏳ Chưa test",IFERROR(INDEX(LEVEL_HELPER!A:A,MATCH(INDEX(sheet2!N:N,MATCH(A47,sheet2!A:A,0)),LEVEL_HELPER!B:B,0)),"⏳ Chưa test"))</f>
        <v>⏳ Chưa test</v>
      </c>
      <c r="I47" s="110" t="str">
        <f t="array" ref="I47">IF(ISNA(MATCH(A47,sheet2!A:A,0)),H47,IF(INDEX(sheet2!O:O,MATCH(A47,sheet2!A:A,0))&gt;0,IFERROR(INDEX(LEVEL_HELPER!A:A,MATCH(INDEX(sheet2!O:O,MATCH(A47,sheet2!A:A,0)),LEVEL_HELPER!B:B,0)),H47),H47))</f>
        <v>⏳ Chưa test</v>
      </c>
      <c r="J47" s="110">
        <f>IFERROR(MAXIFS(ATTENDANCE_LOG!F:F, ATTENDANCE_LOG!C:C, A47&amp;"", ATTENDANCE_LOG!G:G, "Present"), "")</f>
        <v>45818.375</v>
      </c>
      <c r="K47" s="111">
        <f t="shared" si="3"/>
        <v>394.625</v>
      </c>
      <c r="L47" s="112" t="str">
        <f t="shared" si="4"/>
        <v>❌ Dropped</v>
      </c>
      <c r="M47" s="120" t="s">
        <v>37</v>
      </c>
      <c r="N47" s="126" t="s">
        <v>43</v>
      </c>
      <c r="O47" s="113"/>
      <c r="P47" s="115">
        <f>IFERROR(__xludf.DUMMYFUNCTION("IFERROR(COUNTUNIQUEIFS(ATTENDANCE_LOG!B:B,ATTENDANCE_LOG!C:C,A47),0)"),2.0)</f>
        <v>2</v>
      </c>
      <c r="Q47" s="113" t="str">
        <f t="array" ref="Q47">IFERROR(INDEX(ATTENDANCE_LOG!A:A,MATCH(1,(ATTENDANCE_LOG!C:C=A47)*(ATTENDANCE_LOG!F:F=MAXIFS(ATTENDANCE_LOG!F:F,ATTENDANCE_LOG!C:C,A47)),0)),"")</f>
        <v>EL024</v>
      </c>
      <c r="R47" s="113" t="str">
        <f t="array" ref="R47">IFERROR(INDEX(ATTENDANCE_LOG!B:B,MATCH(1,(ATTENDANCE_LOG!C:C=A47)*(ATTENDANCE_LOG!F:F=MAXIFS(ATTENDANCE_LOG!F:F,ATTENDANCE_LOG!C:C,A47)),0)),"")</f>
        <v>Communication 2</v>
      </c>
      <c r="S47" s="113">
        <f>IFERROR(VLOOKUP(H47, LEVEL_HELPER!A:B, 2, 0), 0)</f>
        <v>0</v>
      </c>
      <c r="T47" s="113">
        <f>IFERROR(VLOOKUP(I47, LEVEL_HELPER!A:B, 2, 0), 0)</f>
        <v>0</v>
      </c>
      <c r="U47" s="113">
        <f t="shared" ref="U47:V47" si="51">IF(S47="",0,IF(S47&lt;=2,1,IF(S47&lt;=4,2,IF(S47&lt;=5.5,3,4))))
</f>
        <v>1</v>
      </c>
      <c r="V47" s="113">
        <f t="shared" si="51"/>
        <v>1</v>
      </c>
      <c r="W47" s="113" t="str">
        <f t="shared" si="6"/>
        <v>No Progress</v>
      </c>
      <c r="X47" s="113"/>
      <c r="Y47" s="113">
        <v>237236.0</v>
      </c>
      <c r="Z47" s="113" t="s">
        <v>204</v>
      </c>
      <c r="AA47" s="113" t="s">
        <v>205</v>
      </c>
      <c r="AB47" s="116"/>
      <c r="AC47" s="116"/>
      <c r="AD47" s="117"/>
    </row>
    <row r="48" ht="15.75" customHeight="1">
      <c r="A48" s="104" t="s">
        <v>288</v>
      </c>
      <c r="B48" s="105" t="s">
        <v>289</v>
      </c>
      <c r="C48" s="106" t="str">
        <f>IFERROR(__xludf.DUMMYFUNCTION("arrayformula(VLOOKUP(to_Text(A48),to_Text(sheet2!$A$1:M1005),13,0))"),"TBU")</f>
        <v>TBU</v>
      </c>
      <c r="D48" s="107" t="str">
        <f>IFERROR(__xludf.DUMMYFUNCTION("arrayformula(VLOOKUP(to_Text(A48),to_Text(sheet2!$A$1:M1005),12,0))"),"DEV")</f>
        <v>DEV</v>
      </c>
      <c r="E48" s="108" t="str">
        <f t="shared" si="2"/>
        <v>Active</v>
      </c>
      <c r="F48" s="104" t="str">
        <f t="array" ref="F48">IFERROR(
  INDEX(ATTENDANCE_INPUT!D:D,
    MATCH(1,
      (ATTENDANCE_INPUT!A:A=A48) *
      (ATTENDANCE_INPUT!W:W=MAXIFS(ATTENDANCE_INPUT!W:W, ATTENDANCE_INPUT!A:A, A48)),
      0)),
  "")</f>
        <v>Hung Nguyen</v>
      </c>
      <c r="G48" s="109" t="str">
        <f t="array" ref="G48">IFERROR(
  INDEX(ATTENDANCE_INPUT!E:E,
    MATCH(1,
      (ATTENDANCE_INPUT!A:A=A48) *
      (ATTENDANCE_INPUT!W:W=MAXIFS(ATTENDANCE_INPUT!W:W, ATTENDANCE_INPUT!A:A, A48)),
      0)),
  "")</f>
        <v>Business English</v>
      </c>
      <c r="H48" s="110" t="str">
        <f t="array" ref="H48">IF(ISNA(MATCH(A48,sheet2!A:A,0)),"⏳ Chưa test",IFERROR(INDEX(LEVEL_HELPER!A:A,MATCH(INDEX(sheet2!N:N,MATCH(A48,sheet2!A:A,0)),LEVEL_HELPER!B:B,0)),"⏳ Chưa test"))</f>
        <v>Beginner</v>
      </c>
      <c r="I48" s="110" t="str">
        <f t="array" ref="I48">IF(ISNA(MATCH(A48,sheet2!A:A,0)),H48,IF(INDEX(sheet2!O:O,MATCH(A48,sheet2!A:A,0))&gt;0,IFERROR(INDEX(LEVEL_HELPER!A:A,MATCH(INDEX(sheet2!O:O,MATCH(A48,sheet2!A:A,0)),LEVEL_HELPER!B:B,0)),H48),H48))</f>
        <v>Intermediate 1</v>
      </c>
      <c r="J48" s="110">
        <f>IFERROR(MAXIFS(ATTENDANCE_LOG!F:F, ATTENDANCE_LOG!C:C, A48&amp;"", ATTENDANCE_LOG!G:G, "Present"), "")</f>
        <v>46205.45833</v>
      </c>
      <c r="K48" s="111">
        <f t="shared" si="3"/>
        <v>7.541666667</v>
      </c>
      <c r="L48" s="112" t="str">
        <f t="shared" si="4"/>
        <v/>
      </c>
      <c r="M48" s="120"/>
      <c r="N48" s="114"/>
      <c r="O48" s="113"/>
      <c r="P48" s="115">
        <f>IFERROR(__xludf.DUMMYFUNCTION("IFERROR(COUNTUNIQUEIFS(ATTENDANCE_LOG!B:B,ATTENDANCE_LOG!C:C,A48),0)"),3.0)</f>
        <v>3</v>
      </c>
      <c r="Q48" s="113" t="str">
        <f t="array" ref="Q48">IFERROR(INDEX(ATTENDANCE_LOG!A:A,MATCH(1,(ATTENDANCE_LOG!C:C=A48)*(ATTENDANCE_LOG!F:F=MAXIFS(ATTENDANCE_LOG!F:F,ATTENDANCE_LOG!C:C,A48)),0)),"")</f>
        <v>EL008</v>
      </c>
      <c r="R48" s="113" t="str">
        <f t="array" ref="R48">IFERROR(INDEX(ATTENDANCE_LOG!B:B,MATCH(1,(ATTENDANCE_LOG!C:C=A48)*(ATTENDANCE_LOG!F:F=MAXIFS(ATTENDANCE_LOG!F:F,ATTENDANCE_LOG!C:C,A48)),0)),"")</f>
        <v>Business English</v>
      </c>
      <c r="S48" s="113">
        <f>IFERROR(VLOOKUP(H48, LEVEL_HELPER!A:B, 2, 0), 0)</f>
        <v>1</v>
      </c>
      <c r="T48" s="113">
        <f>IFERROR(VLOOKUP(I48, LEVEL_HELPER!A:B, 2, 0), 0)</f>
        <v>5</v>
      </c>
      <c r="U48" s="113">
        <f t="shared" ref="U48:V48" si="52">IF(S48="",0,IF(S48&lt;=2,1,IF(S48&lt;=4,2,IF(S48&lt;=5.5,3,4))))
</f>
        <v>1</v>
      </c>
      <c r="V48" s="113">
        <f t="shared" si="52"/>
        <v>3</v>
      </c>
      <c r="W48" s="113" t="str">
        <f t="shared" si="6"/>
        <v>Lv1→Lv3 (multi)</v>
      </c>
      <c r="X48" s="113"/>
      <c r="Y48" s="113">
        <v>237152.0</v>
      </c>
      <c r="Z48" s="113" t="s">
        <v>190</v>
      </c>
      <c r="AA48" s="113" t="s">
        <v>34</v>
      </c>
      <c r="AB48" s="116"/>
      <c r="AC48" s="116"/>
      <c r="AD48" s="117"/>
    </row>
    <row r="49" ht="15.75" customHeight="1">
      <c r="A49" s="104" t="s">
        <v>290</v>
      </c>
      <c r="B49" s="105" t="s">
        <v>291</v>
      </c>
      <c r="C49" s="106" t="str">
        <f>IFERROR(__xludf.DUMMYFUNCTION("arrayformula(VLOOKUP(to_Text(A49),to_Text(sheet2!$A$1:M1005),13,0))"),"TBU")</f>
        <v>TBU</v>
      </c>
      <c r="D49" s="107" t="str">
        <f>IFERROR(__xludf.DUMMYFUNCTION("arrayformula(VLOOKUP(to_Text(A49),to_Text(sheet2!$A$1:M1005),12,0))"),"QC")</f>
        <v>QC</v>
      </c>
      <c r="E49" s="108" t="str">
        <f t="shared" si="2"/>
        <v>Active</v>
      </c>
      <c r="F49" s="104" t="str">
        <f t="array" ref="F49">IFERROR(
  INDEX(ATTENDANCE_INPUT!D:D,
    MATCH(1,
      (ATTENDANCE_INPUT!A:A=A49) *
      (ATTENDANCE_INPUT!W:W=MAXIFS(ATTENDANCE_INPUT!W:W, ATTENDANCE_INPUT!A:A, A49)),
      0)),
  "")</f>
        <v>Hung Nguyen</v>
      </c>
      <c r="G49" s="109" t="str">
        <f t="array" ref="G49">IFERROR(
  INDEX(ATTENDANCE_INPUT!E:E,
    MATCH(1,
      (ATTENDANCE_INPUT!A:A=A49) *
      (ATTENDANCE_INPUT!W:W=MAXIFS(ATTENDANCE_INPUT!W:W, ATTENDANCE_INPUT!A:A, A49)),
      0)),
  "")</f>
        <v>Business English</v>
      </c>
      <c r="H49" s="110" t="str">
        <f t="array" ref="H49">IF(ISNA(MATCH(A49,sheet2!A:A,0)),"⏳ Chưa test",IFERROR(INDEX(LEVEL_HELPER!A:A,MATCH(INDEX(sheet2!N:N,MATCH(A49,sheet2!A:A,0)),LEVEL_HELPER!B:B,0)),"⏳ Chưa test"))</f>
        <v>Beginner</v>
      </c>
      <c r="I49" s="110" t="str">
        <f t="array" ref="I49">IF(ISNA(MATCH(A49,sheet2!A:A,0)),H49,IF(INDEX(sheet2!O:O,MATCH(A49,sheet2!A:A,0))&gt;0,IFERROR(INDEX(LEVEL_HELPER!A:A,MATCH(INDEX(sheet2!O:O,MATCH(A49,sheet2!A:A,0)),LEVEL_HELPER!B:B,0)),H49),H49))</f>
        <v>Intermediate</v>
      </c>
      <c r="J49" s="110">
        <f>IFERROR(MAXIFS(ATTENDANCE_LOG!F:F, ATTENDANCE_LOG!C:C, A49&amp;"", ATTENDANCE_LOG!G:G, "Present"), "")</f>
        <v>46212.45833</v>
      </c>
      <c r="K49" s="111">
        <f t="shared" si="3"/>
        <v>0.5416666667</v>
      </c>
      <c r="L49" s="112" t="str">
        <f t="shared" si="4"/>
        <v/>
      </c>
      <c r="M49" s="120"/>
      <c r="N49" s="114"/>
      <c r="O49" s="113"/>
      <c r="P49" s="115">
        <f>IFERROR(__xludf.DUMMYFUNCTION("IFERROR(COUNTUNIQUEIFS(ATTENDANCE_LOG!B:B,ATTENDANCE_LOG!C:C,A49),0)"),3.0)</f>
        <v>3</v>
      </c>
      <c r="Q49" s="113" t="str">
        <f t="array" ref="Q49">IFERROR(INDEX(ATTENDANCE_LOG!A:A,MATCH(1,(ATTENDANCE_LOG!C:C=A49)*(ATTENDANCE_LOG!F:F=MAXIFS(ATTENDANCE_LOG!F:F,ATTENDANCE_LOG!C:C,A49)),0)),"")</f>
        <v>EL008</v>
      </c>
      <c r="R49" s="113" t="str">
        <f t="array" ref="R49">IFERROR(INDEX(ATTENDANCE_LOG!B:B,MATCH(1,(ATTENDANCE_LOG!C:C=A49)*(ATTENDANCE_LOG!F:F=MAXIFS(ATTENDANCE_LOG!F:F,ATTENDANCE_LOG!C:C,A49)),0)),"")</f>
        <v>Business English</v>
      </c>
      <c r="S49" s="113">
        <f>IFERROR(VLOOKUP(H49, LEVEL_HELPER!A:B, 2, 0), 0)</f>
        <v>1</v>
      </c>
      <c r="T49" s="113">
        <f>IFERROR(VLOOKUP(I49, LEVEL_HELPER!A:B, 2, 0), 0)</f>
        <v>4.5</v>
      </c>
      <c r="U49" s="113">
        <f t="shared" ref="U49:V49" si="53">IF(S49="",0,IF(S49&lt;=2,1,IF(S49&lt;=4,2,IF(S49&lt;=5.5,3,4))))
</f>
        <v>1</v>
      </c>
      <c r="V49" s="113">
        <f t="shared" si="53"/>
        <v>3</v>
      </c>
      <c r="W49" s="113" t="str">
        <f t="shared" si="6"/>
        <v>Lv1→Lv3 (multi)</v>
      </c>
      <c r="X49" s="113"/>
      <c r="Y49" s="113">
        <v>247273.0</v>
      </c>
      <c r="Z49" s="113" t="s">
        <v>190</v>
      </c>
      <c r="AA49" s="113" t="s">
        <v>34</v>
      </c>
      <c r="AB49" s="116"/>
      <c r="AC49" s="116"/>
      <c r="AD49" s="117"/>
    </row>
    <row r="50" ht="15.75" customHeight="1">
      <c r="A50" s="104" t="s">
        <v>292</v>
      </c>
      <c r="B50" s="105" t="s">
        <v>293</v>
      </c>
      <c r="C50" s="106" t="str">
        <f>IFERROR(__xludf.DUMMYFUNCTION("arrayformula(VLOOKUP(to_Text(A50),to_Text(sheet2!$A$1:M1005),13,0))"),"TBU")</f>
        <v>TBU</v>
      </c>
      <c r="D50" s="107" t="str">
        <f>IFERROR(__xludf.DUMMYFUNCTION("arrayformula(VLOOKUP(to_Text(A50),to_Text(sheet2!$A$1:M1005),12,0))"),"DEV")</f>
        <v>DEV</v>
      </c>
      <c r="E50" s="108" t="str">
        <f t="shared" si="2"/>
        <v>Active</v>
      </c>
      <c r="F50" s="104" t="str">
        <f t="array" ref="F50">IFERROR(
  INDEX(ATTENDANCE_INPUT!D:D,
    MATCH(1,
      (ATTENDANCE_INPUT!A:A=A50) *
      (ATTENDANCE_INPUT!W:W=MAXIFS(ATTENDANCE_INPUT!W:W, ATTENDANCE_INPUT!A:A, A50)),
      0)),
  "")</f>
        <v>Hung Nguyen</v>
      </c>
      <c r="G50" s="109" t="str">
        <f t="array" ref="G50">IFERROR(
  INDEX(ATTENDANCE_INPUT!E:E,
    MATCH(1,
      (ATTENDANCE_INPUT!A:A=A50) *
      (ATTENDANCE_INPUT!W:W=MAXIFS(ATTENDANCE_INPUT!W:W, ATTENDANCE_INPUT!A:A, A50)),
      0)),
  "")</f>
        <v>Business English</v>
      </c>
      <c r="H50" s="110" t="str">
        <f t="array" ref="H50">IF(ISNA(MATCH(A50,sheet2!A:A,0)),"⏳ Chưa test",IFERROR(INDEX(LEVEL_HELPER!A:A,MATCH(INDEX(sheet2!N:N,MATCH(A50,sheet2!A:A,0)),LEVEL_HELPER!B:B,0)),"⏳ Chưa test"))</f>
        <v>Beginner</v>
      </c>
      <c r="I50" s="110" t="str">
        <f t="array" ref="I50">IF(ISNA(MATCH(A50,sheet2!A:A,0)),H50,IF(INDEX(sheet2!O:O,MATCH(A50,sheet2!A:A,0))&gt;0,IFERROR(INDEX(LEVEL_HELPER!A:A,MATCH(INDEX(sheet2!O:O,MATCH(A50,sheet2!A:A,0)),LEVEL_HELPER!B:B,0)),H50),H50))</f>
        <v>Intermediate 1</v>
      </c>
      <c r="J50" s="110">
        <f>IFERROR(MAXIFS(ATTENDANCE_LOG!F:F, ATTENDANCE_LOG!C:C, A50&amp;"", ATTENDANCE_LOG!G:G, "Present"), "")</f>
        <v>46212.45833</v>
      </c>
      <c r="K50" s="111">
        <f t="shared" si="3"/>
        <v>0.5416666667</v>
      </c>
      <c r="L50" s="112" t="str">
        <f t="shared" si="4"/>
        <v/>
      </c>
      <c r="M50" s="120"/>
      <c r="N50" s="114"/>
      <c r="O50" s="113"/>
      <c r="P50" s="115">
        <f>IFERROR(__xludf.DUMMYFUNCTION("IFERROR(COUNTUNIQUEIFS(ATTENDANCE_LOG!B:B,ATTENDANCE_LOG!C:C,A50),0)"),3.0)</f>
        <v>3</v>
      </c>
      <c r="Q50" s="113" t="str">
        <f t="array" ref="Q50">IFERROR(INDEX(ATTENDANCE_LOG!A:A,MATCH(1,(ATTENDANCE_LOG!C:C=A50)*(ATTENDANCE_LOG!F:F=MAXIFS(ATTENDANCE_LOG!F:F,ATTENDANCE_LOG!C:C,A50)),0)),"")</f>
        <v>EL008</v>
      </c>
      <c r="R50" s="113" t="str">
        <f t="array" ref="R50">IFERROR(INDEX(ATTENDANCE_LOG!B:B,MATCH(1,(ATTENDANCE_LOG!C:C=A50)*(ATTENDANCE_LOG!F:F=MAXIFS(ATTENDANCE_LOG!F:F,ATTENDANCE_LOG!C:C,A50)),0)),"")</f>
        <v>Business English</v>
      </c>
      <c r="S50" s="113">
        <f>IFERROR(VLOOKUP(H50, LEVEL_HELPER!A:B, 2, 0), 0)</f>
        <v>1</v>
      </c>
      <c r="T50" s="113">
        <f>IFERROR(VLOOKUP(I50, LEVEL_HELPER!A:B, 2, 0), 0)</f>
        <v>5</v>
      </c>
      <c r="U50" s="113">
        <f t="shared" ref="U50:V50" si="54">IF(S50="",0,IF(S50&lt;=2,1,IF(S50&lt;=4,2,IF(S50&lt;=5.5,3,4))))
</f>
        <v>1</v>
      </c>
      <c r="V50" s="113">
        <f t="shared" si="54"/>
        <v>3</v>
      </c>
      <c r="W50" s="113" t="str">
        <f t="shared" si="6"/>
        <v>Lv1→Lv3 (multi)</v>
      </c>
      <c r="X50" s="113"/>
      <c r="Y50" s="113">
        <v>193552.0</v>
      </c>
      <c r="Z50" s="113" t="s">
        <v>204</v>
      </c>
      <c r="AA50" s="113" t="s">
        <v>205</v>
      </c>
      <c r="AB50" s="116"/>
      <c r="AC50" s="116"/>
      <c r="AD50" s="117"/>
    </row>
    <row r="51" ht="15.75" customHeight="1">
      <c r="A51" s="104" t="s">
        <v>294</v>
      </c>
      <c r="B51" s="105" t="s">
        <v>295</v>
      </c>
      <c r="C51" s="106" t="str">
        <f>IFERROR(__xludf.DUMMYFUNCTION("arrayformula(VLOOKUP(to_Text(A51),to_Text(sheet2!$A$1:M1005),13,0))"),"TBU")</f>
        <v>TBU</v>
      </c>
      <c r="D51" s="107" t="str">
        <f>IFERROR(__xludf.DUMMYFUNCTION("arrayformula(VLOOKUP(to_Text(A51),to_Text(sheet2!$A$1:M1005),12,0))"),"DEV")</f>
        <v>DEV</v>
      </c>
      <c r="E51" s="108" t="str">
        <f t="shared" si="2"/>
        <v>Active</v>
      </c>
      <c r="F51" s="104" t="str">
        <f t="array" ref="F51">IFERROR(
  INDEX(ATTENDANCE_INPUT!D:D,
    MATCH(1,
      (ATTENDANCE_INPUT!A:A=A51) *
      (ATTENDANCE_INPUT!W:W=MAXIFS(ATTENDANCE_INPUT!W:W, ATTENDANCE_INPUT!A:A, A51)),
      0)),
  "")</f>
        <v>Hung Nguyen</v>
      </c>
      <c r="G51" s="109" t="str">
        <f t="array" ref="G51">IFERROR(
  INDEX(ATTENDANCE_INPUT!E:E,
    MATCH(1,
      (ATTENDANCE_INPUT!A:A=A51) *
      (ATTENDANCE_INPUT!W:W=MAXIFS(ATTENDANCE_INPUT!W:W, ATTENDANCE_INPUT!A:A, A51)),
      0)),
  "")</f>
        <v>Business English</v>
      </c>
      <c r="H51" s="110" t="str">
        <f t="array" ref="H51">IF(ISNA(MATCH(A51,sheet2!A:A,0)),"⏳ Chưa test",IFERROR(INDEX(LEVEL_HELPER!A:A,MATCH(INDEX(sheet2!N:N,MATCH(A51,sheet2!A:A,0)),LEVEL_HELPER!B:B,0)),"⏳ Chưa test"))</f>
        <v>Beginner</v>
      </c>
      <c r="I51" s="110" t="str">
        <f t="array" ref="I51">IF(ISNA(MATCH(A51,sheet2!A:A,0)),H51,IF(INDEX(sheet2!O:O,MATCH(A51,sheet2!A:A,0))&gt;0,IFERROR(INDEX(LEVEL_HELPER!A:A,MATCH(INDEX(sheet2!O:O,MATCH(A51,sheet2!A:A,0)),LEVEL_HELPER!B:B,0)),H51),H51))</f>
        <v>Intermediate 1</v>
      </c>
      <c r="J51" s="110">
        <f>IFERROR(MAXIFS(ATTENDANCE_LOG!F:F, ATTENDANCE_LOG!C:C, A51&amp;"", ATTENDANCE_LOG!G:G, "Present"), "")</f>
        <v>46212.45833</v>
      </c>
      <c r="K51" s="111">
        <f t="shared" si="3"/>
        <v>0.5416666667</v>
      </c>
      <c r="L51" s="112" t="str">
        <f t="shared" si="4"/>
        <v/>
      </c>
      <c r="M51" s="120"/>
      <c r="N51" s="114"/>
      <c r="O51" s="113"/>
      <c r="P51" s="115">
        <f>IFERROR(__xludf.DUMMYFUNCTION("IFERROR(COUNTUNIQUEIFS(ATTENDANCE_LOG!B:B,ATTENDANCE_LOG!C:C,A51),0)"),3.0)</f>
        <v>3</v>
      </c>
      <c r="Q51" s="113" t="str">
        <f t="array" ref="Q51">IFERROR(INDEX(ATTENDANCE_LOG!A:A,MATCH(1,(ATTENDANCE_LOG!C:C=A51)*(ATTENDANCE_LOG!F:F=MAXIFS(ATTENDANCE_LOG!F:F,ATTENDANCE_LOG!C:C,A51)),0)),"")</f>
        <v>EL008</v>
      </c>
      <c r="R51" s="113" t="str">
        <f t="array" ref="R51">IFERROR(INDEX(ATTENDANCE_LOG!B:B,MATCH(1,(ATTENDANCE_LOG!C:C=A51)*(ATTENDANCE_LOG!F:F=MAXIFS(ATTENDANCE_LOG!F:F,ATTENDANCE_LOG!C:C,A51)),0)),"")</f>
        <v>Business English</v>
      </c>
      <c r="S51" s="113">
        <f>IFERROR(VLOOKUP(H51, LEVEL_HELPER!A:B, 2, 0), 0)</f>
        <v>1</v>
      </c>
      <c r="T51" s="113">
        <f>IFERROR(VLOOKUP(I51, LEVEL_HELPER!A:B, 2, 0), 0)</f>
        <v>5</v>
      </c>
      <c r="U51" s="113">
        <f t="shared" ref="U51:V51" si="55">IF(S51="",0,IF(S51&lt;=2,1,IF(S51&lt;=4,2,IF(S51&lt;=5.5,3,4))))
</f>
        <v>1</v>
      </c>
      <c r="V51" s="113">
        <f t="shared" si="55"/>
        <v>3</v>
      </c>
      <c r="W51" s="113" t="str">
        <f t="shared" si="6"/>
        <v>Lv1→Lv3 (multi)</v>
      </c>
      <c r="X51" s="113"/>
      <c r="Y51" s="113"/>
      <c r="Z51" s="113"/>
      <c r="AA51" s="113"/>
      <c r="AB51" s="116"/>
      <c r="AC51" s="116"/>
      <c r="AD51" s="117"/>
    </row>
    <row r="52" ht="15.75" customHeight="1">
      <c r="A52" s="104" t="s">
        <v>296</v>
      </c>
      <c r="B52" s="105" t="s">
        <v>297</v>
      </c>
      <c r="C52" s="106" t="str">
        <f>IFERROR(__xludf.DUMMYFUNCTION("arrayformula(VLOOKUP(to_Text(A52),to_Text(sheet2!$A$1:M1005),13,0))"),"TBU")</f>
        <v>TBU</v>
      </c>
      <c r="D52" s="107" t="str">
        <f>IFERROR(__xludf.DUMMYFUNCTION("arrayformula(VLOOKUP(to_Text(A52),to_Text(sheet2!$A$1:M1005),12,0))"),"DEV")</f>
        <v>DEV</v>
      </c>
      <c r="E52" s="108" t="str">
        <f t="shared" si="2"/>
        <v>Inactive</v>
      </c>
      <c r="F52" s="104" t="str">
        <f t="array" ref="F52">IFERROR(
  INDEX(ATTENDANCE_INPUT!D:D,
    MATCH(1,
      (ATTENDANCE_INPUT!A:A=A52) *
      (ATTENDANCE_INPUT!W:W=MAXIFS(ATTENDANCE_INPUT!W:W, ATTENDANCE_INPUT!A:A, A52)),
      0)),
  "")</f>
        <v>Hung Nguyen</v>
      </c>
      <c r="G52" s="109" t="str">
        <f t="array" ref="G52">IFERROR(
  INDEX(ATTENDANCE_INPUT!E:E,
    MATCH(1,
      (ATTENDANCE_INPUT!A:A=A52) *
      (ATTENDANCE_INPUT!W:W=MAXIFS(ATTENDANCE_INPUT!W:W, ATTENDANCE_INPUT!A:A, A52)),
      0)),
  "")</f>
        <v>Communication 2</v>
      </c>
      <c r="H52" s="110" t="str">
        <f t="array" ref="H52">IF(ISNA(MATCH(A52,sheet2!A:A,0)),"⏳ Chưa test",IFERROR(INDEX(LEVEL_HELPER!A:A,MATCH(INDEX(sheet2!N:N,MATCH(A52,sheet2!A:A,0)),LEVEL_HELPER!B:B,0)),"⏳ Chưa test"))</f>
        <v>Beginner</v>
      </c>
      <c r="I52" s="110" t="str">
        <f t="array" ref="I52">IF(ISNA(MATCH(A52,sheet2!A:A,0)),H52,IF(INDEX(sheet2!O:O,MATCH(A52,sheet2!A:A,0))&gt;0,IFERROR(INDEX(LEVEL_HELPER!A:A,MATCH(INDEX(sheet2!O:O,MATCH(A52,sheet2!A:A,0)),LEVEL_HELPER!B:B,0)),H52),H52))</f>
        <v>Intermediate 1</v>
      </c>
      <c r="J52" s="110">
        <f>IFERROR(MAXIFS(ATTENDANCE_LOG!F:F, ATTENDANCE_LOG!C:C, A52&amp;"", ATTENDANCE_LOG!G:G, "Present"), "")</f>
        <v>46212.45833</v>
      </c>
      <c r="K52" s="111">
        <f t="shared" si="3"/>
        <v>0.5416666667</v>
      </c>
      <c r="L52" s="112" t="str">
        <f t="shared" si="4"/>
        <v>❌ Dropped</v>
      </c>
      <c r="M52" s="120" t="s">
        <v>37</v>
      </c>
      <c r="N52" s="126" t="s">
        <v>38</v>
      </c>
      <c r="O52" s="113"/>
      <c r="P52" s="115">
        <f>IFERROR(__xludf.DUMMYFUNCTION("IFERROR(COUNTUNIQUEIFS(ATTENDANCE_LOG!B:B,ATTENDANCE_LOG!C:C,A52),0)"),3.0)</f>
        <v>3</v>
      </c>
      <c r="Q52" s="113" t="str">
        <f t="array" ref="Q52">IFERROR(INDEX(ATTENDANCE_LOG!A:A,MATCH(1,(ATTENDANCE_LOG!C:C=A52)*(ATTENDANCE_LOG!F:F=MAXIFS(ATTENDANCE_LOG!F:F,ATTENDANCE_LOG!C:C,A52)),0)),"")</f>
        <v>EL008</v>
      </c>
      <c r="R52" s="113" t="str">
        <f t="array" ref="R52">IFERROR(INDEX(ATTENDANCE_LOG!B:B,MATCH(1,(ATTENDANCE_LOG!C:C=A52)*(ATTENDANCE_LOG!F:F=MAXIFS(ATTENDANCE_LOG!F:F,ATTENDANCE_LOG!C:C,A52)),0)),"")</f>
        <v>Business English</v>
      </c>
      <c r="S52" s="113">
        <f>IFERROR(VLOOKUP(H52, LEVEL_HELPER!A:B, 2, 0), 0)</f>
        <v>1</v>
      </c>
      <c r="T52" s="113">
        <f>IFERROR(VLOOKUP(I52, LEVEL_HELPER!A:B, 2, 0), 0)</f>
        <v>5</v>
      </c>
      <c r="U52" s="113">
        <f t="shared" ref="U52:V52" si="56">IF(S52="",0,IF(S52&lt;=2,1,IF(S52&lt;=4,2,IF(S52&lt;=5.5,3,4))))
</f>
        <v>1</v>
      </c>
      <c r="V52" s="113">
        <f t="shared" si="56"/>
        <v>3</v>
      </c>
      <c r="W52" s="113" t="str">
        <f t="shared" si="6"/>
        <v>Lv1→Lv3 (multi)</v>
      </c>
      <c r="X52" s="113"/>
      <c r="Y52" s="113"/>
      <c r="Z52" s="113"/>
      <c r="AA52" s="113"/>
      <c r="AB52" s="116"/>
      <c r="AC52" s="116"/>
      <c r="AD52" s="117"/>
    </row>
    <row r="53" ht="15.75" customHeight="1">
      <c r="A53" s="104" t="s">
        <v>298</v>
      </c>
      <c r="B53" s="105" t="s">
        <v>299</v>
      </c>
      <c r="C53" s="106" t="str">
        <f>IFERROR(__xludf.DUMMYFUNCTION("arrayformula(VLOOKUP(to_Text(A53),to_Text(sheet2!$A$1:M1005),13,0))"),"LBU")</f>
        <v>LBU</v>
      </c>
      <c r="D53" s="107" t="str">
        <f>IFERROR(__xludf.DUMMYFUNCTION("arrayformula(VLOOKUP(to_Text(A53),to_Text(sheet2!$A$1:M1005),12,0))"),"GSD")</f>
        <v>GSD</v>
      </c>
      <c r="E53" s="108" t="str">
        <f t="shared" si="2"/>
        <v>Inactive</v>
      </c>
      <c r="F53" s="104" t="str">
        <f t="array" ref="F53">IFERROR(
  INDEX(ATTENDANCE_INPUT!D:D,
    MATCH(1,
      (ATTENDANCE_INPUT!A:A=A53) *
      (ATTENDANCE_INPUT!W:W=MAXIFS(ATTENDANCE_INPUT!W:W, ATTENDANCE_INPUT!A:A, A53)),
      0)),
  "")</f>
        <v>Huong Le</v>
      </c>
      <c r="G53" s="109" t="str">
        <f t="array" ref="G53">IFERROR(
  INDEX(ATTENDANCE_INPUT!E:E,
    MATCH(1,
      (ATTENDANCE_INPUT!A:A=A53) *
      (ATTENDANCE_INPUT!W:W=MAXIFS(ATTENDANCE_INPUT!W:W, ATTENDANCE_INPUT!A:A, A53)),
      0)),
  "")</f>
        <v>Communication 2</v>
      </c>
      <c r="H53" s="110" t="str">
        <f t="array" ref="H53">IF(ISNA(MATCH(A53,sheet2!A:A,0)),"⏳ Chưa test",IFERROR(INDEX(LEVEL_HELPER!A:A,MATCH(INDEX(sheet2!N:N,MATCH(A53,sheet2!A:A,0)),LEVEL_HELPER!B:B,0)),"⏳ Chưa test"))</f>
        <v>Beginner</v>
      </c>
      <c r="I53" s="110" t="str">
        <f t="array" ref="I53">IF(ISNA(MATCH(A53,sheet2!A:A,0)),H53,IF(INDEX(sheet2!O:O,MATCH(A53,sheet2!A:A,0))&gt;0,IFERROR(INDEX(LEVEL_HELPER!A:A,MATCH(INDEX(sheet2!O:O,MATCH(A53,sheet2!A:A,0)),LEVEL_HELPER!B:B,0)),H53),H53))</f>
        <v>Beginner 2</v>
      </c>
      <c r="J53" s="110">
        <f>IFERROR(MAXIFS(ATTENDANCE_LOG!F:F, ATTENDANCE_LOG!C:C, A53&amp;"", ATTENDANCE_LOG!G:G, "Present"), "")</f>
        <v>46115.54167</v>
      </c>
      <c r="K53" s="111">
        <f t="shared" si="3"/>
        <v>97.45833333</v>
      </c>
      <c r="L53" s="112" t="str">
        <f t="shared" si="4"/>
        <v>✅ Completed</v>
      </c>
      <c r="M53" s="120" t="s">
        <v>35</v>
      </c>
      <c r="N53" s="126" t="s">
        <v>38</v>
      </c>
      <c r="O53" s="113"/>
      <c r="P53" s="115">
        <f>IFERROR(__xludf.DUMMYFUNCTION("IFERROR(COUNTUNIQUEIFS(ATTENDANCE_LOG!B:B,ATTENDANCE_LOG!C:C,A53),0)"),2.0)</f>
        <v>2</v>
      </c>
      <c r="Q53" s="113" t="str">
        <f t="array" ref="Q53">IFERROR(INDEX(ATTENDANCE_LOG!A:A,MATCH(1,(ATTENDANCE_LOG!C:C=A53)*(ATTENDANCE_LOG!F:F=MAXIFS(ATTENDANCE_LOG!F:F,ATTENDANCE_LOG!C:C,A53)),0)),"")</f>
        <v>EL009</v>
      </c>
      <c r="R53" s="113" t="str">
        <f t="array" ref="R53">IFERROR(INDEX(ATTENDANCE_LOG!B:B,MATCH(1,(ATTENDANCE_LOG!C:C=A53)*(ATTENDANCE_LOG!F:F=MAXIFS(ATTENDANCE_LOG!F:F,ATTENDANCE_LOG!C:C,A53)),0)),"")</f>
        <v>Communication 2</v>
      </c>
      <c r="S53" s="113">
        <f>IFERROR(VLOOKUP(H53, LEVEL_HELPER!A:B, 2, 0), 0)</f>
        <v>1</v>
      </c>
      <c r="T53" s="113">
        <f>IFERROR(VLOOKUP(I53, LEVEL_HELPER!A:B, 2, 0), 0)</f>
        <v>1.5</v>
      </c>
      <c r="U53" s="113">
        <f t="shared" ref="U53:V53" si="57">IF(S53="",0,IF(S53&lt;=2,1,IF(S53&lt;=4,2,IF(S53&lt;=5.5,3,4))))
</f>
        <v>1</v>
      </c>
      <c r="V53" s="113">
        <f t="shared" si="57"/>
        <v>1</v>
      </c>
      <c r="W53" s="113" t="str">
        <f t="shared" si="6"/>
        <v>Minor Improvement</v>
      </c>
      <c r="X53" s="128"/>
      <c r="Y53" s="128"/>
      <c r="Z53" s="128"/>
      <c r="AA53" s="128"/>
      <c r="AB53" s="116"/>
      <c r="AC53" s="116"/>
      <c r="AD53" s="117"/>
    </row>
    <row r="54" ht="15.75" customHeight="1">
      <c r="A54" s="104" t="s">
        <v>300</v>
      </c>
      <c r="B54" s="105" t="s">
        <v>301</v>
      </c>
      <c r="C54" s="106" t="str">
        <f>IFERROR(__xludf.DUMMYFUNCTION("arrayformula(VLOOKUP(to_Text(A54),to_Text(sheet2!$A$1:M1005),13,0))"),"LBU")</f>
        <v>LBU</v>
      </c>
      <c r="D54" s="107" t="str">
        <f>IFERROR(__xludf.DUMMYFUNCTION("arrayformula(VLOOKUP(to_Text(A54),to_Text(sheet2!$A$1:M1005),12,0))"),"GSD")</f>
        <v>GSD</v>
      </c>
      <c r="E54" s="108" t="str">
        <f t="shared" si="2"/>
        <v>Inactive</v>
      </c>
      <c r="F54" s="104" t="str">
        <f t="array" ref="F54">IFERROR(
  INDEX(ATTENDANCE_INPUT!D:D,
    MATCH(1,
      (ATTENDANCE_INPUT!A:A=A54) *
      (ATTENDANCE_INPUT!W:W=MAXIFS(ATTENDANCE_INPUT!W:W, ATTENDANCE_INPUT!A:A, A54)),
      0)),
  "")</f>
        <v>Huong Le</v>
      </c>
      <c r="G54" s="109" t="str">
        <f t="array" ref="G54">IFERROR(
  INDEX(ATTENDANCE_INPUT!E:E,
    MATCH(1,
      (ATTENDANCE_INPUT!A:A=A54) *
      (ATTENDANCE_INPUT!W:W=MAXIFS(ATTENDANCE_INPUT!W:W, ATTENDANCE_INPUT!A:A, A54)),
      0)),
  "")</f>
        <v>Communication 2</v>
      </c>
      <c r="H54" s="110" t="str">
        <f t="array" ref="H54">IF(ISNA(MATCH(A54,sheet2!A:A,0)),"⏳ Chưa test",IFERROR(INDEX(LEVEL_HELPER!A:A,MATCH(INDEX(sheet2!N:N,MATCH(A54,sheet2!A:A,0)),LEVEL_HELPER!B:B,0)),"⏳ Chưa test"))</f>
        <v>Beginner</v>
      </c>
      <c r="I54" s="110" t="str">
        <f t="array" ref="I54">IF(ISNA(MATCH(A54,sheet2!A:A,0)),H54,IF(INDEX(sheet2!O:O,MATCH(A54,sheet2!A:A,0))&gt;0,IFERROR(INDEX(LEVEL_HELPER!A:A,MATCH(INDEX(sheet2!O:O,MATCH(A54,sheet2!A:A,0)),LEVEL_HELPER!B:B,0)),H54),H54))</f>
        <v>Pre-Intermediate 1</v>
      </c>
      <c r="J54" s="110">
        <f>IFERROR(MAXIFS(ATTENDANCE_LOG!F:F, ATTENDANCE_LOG!C:C, A54&amp;"", ATTENDANCE_LOG!G:G, "Present"), "")</f>
        <v>46115.54167</v>
      </c>
      <c r="K54" s="111">
        <f t="shared" si="3"/>
        <v>97.45833333</v>
      </c>
      <c r="L54" s="112" t="str">
        <f t="shared" si="4"/>
        <v>✅ Completed</v>
      </c>
      <c r="M54" s="120" t="s">
        <v>35</v>
      </c>
      <c r="N54" s="126" t="s">
        <v>36</v>
      </c>
      <c r="O54" s="113"/>
      <c r="P54" s="115">
        <f>IFERROR(__xludf.DUMMYFUNCTION("IFERROR(COUNTUNIQUEIFS(ATTENDANCE_LOG!B:B,ATTENDANCE_LOG!C:C,A54),0)"),2.0)</f>
        <v>2</v>
      </c>
      <c r="Q54" s="113" t="str">
        <f t="array" ref="Q54">IFERROR(INDEX(ATTENDANCE_LOG!A:A,MATCH(1,(ATTENDANCE_LOG!C:C=A54)*(ATTENDANCE_LOG!F:F=MAXIFS(ATTENDANCE_LOG!F:F,ATTENDANCE_LOG!C:C,A54)),0)),"")</f>
        <v>EL009</v>
      </c>
      <c r="R54" s="113" t="str">
        <f t="array" ref="R54">IFERROR(INDEX(ATTENDANCE_LOG!B:B,MATCH(1,(ATTENDANCE_LOG!C:C=A54)*(ATTENDANCE_LOG!F:F=MAXIFS(ATTENDANCE_LOG!F:F,ATTENDANCE_LOG!C:C,A54)),0)),"")</f>
        <v>Communication 2</v>
      </c>
      <c r="S54" s="113">
        <f>IFERROR(VLOOKUP(H54, LEVEL_HELPER!A:B, 2, 0), 0)</f>
        <v>1</v>
      </c>
      <c r="T54" s="113">
        <f>IFERROR(VLOOKUP(I54, LEVEL_HELPER!A:B, 2, 0), 0)</f>
        <v>3</v>
      </c>
      <c r="U54" s="113">
        <f t="shared" ref="U54:V54" si="58">IF(S54="",0,IF(S54&lt;=2,1,IF(S54&lt;=4,2,IF(S54&lt;=5.5,3,4))))
</f>
        <v>1</v>
      </c>
      <c r="V54" s="113">
        <f t="shared" si="58"/>
        <v>2</v>
      </c>
      <c r="W54" s="113" t="str">
        <f t="shared" si="6"/>
        <v>Lv1→Lv2</v>
      </c>
      <c r="X54" s="113"/>
      <c r="Y54" s="113">
        <v>227174.0</v>
      </c>
      <c r="Z54" s="113" t="s">
        <v>266</v>
      </c>
      <c r="AA54" s="113" t="s">
        <v>257</v>
      </c>
      <c r="AB54" s="116"/>
      <c r="AC54" s="116"/>
      <c r="AD54" s="117"/>
    </row>
    <row r="55" ht="15.75" customHeight="1">
      <c r="A55" s="104" t="s">
        <v>302</v>
      </c>
      <c r="B55" s="105" t="s">
        <v>303</v>
      </c>
      <c r="C55" s="106" t="str">
        <f>IFERROR(__xludf.DUMMYFUNCTION("arrayformula(VLOOKUP(to_Text(A55),to_Text(sheet2!$A$1:M1005),13,0))"),"LBU")</f>
        <v>LBU</v>
      </c>
      <c r="D55" s="107" t="str">
        <f>IFERROR(__xludf.DUMMYFUNCTION("arrayformula(VLOOKUP(to_Text(A55),to_Text(sheet2!$A$1:M1005),12,0))"),"GSD")</f>
        <v>GSD</v>
      </c>
      <c r="E55" s="108" t="str">
        <f t="shared" si="2"/>
        <v>Inactive</v>
      </c>
      <c r="F55" s="104" t="str">
        <f t="array" ref="F55">IFERROR(
  INDEX(ATTENDANCE_INPUT!D:D,
    MATCH(1,
      (ATTENDANCE_INPUT!A:A=A55) *
      (ATTENDANCE_INPUT!W:W=MAXIFS(ATTENDANCE_INPUT!W:W, ATTENDANCE_INPUT!A:A, A55)),
      0)),
  "")</f>
        <v>Huong Le</v>
      </c>
      <c r="G55" s="109" t="str">
        <f t="array" ref="G55">IFERROR(
  INDEX(ATTENDANCE_INPUT!E:E,
    MATCH(1,
      (ATTENDANCE_INPUT!A:A=A55) *
      (ATTENDANCE_INPUT!W:W=MAXIFS(ATTENDANCE_INPUT!W:W, ATTENDANCE_INPUT!A:A, A55)),
      0)),
  "")</f>
        <v>Communication 2</v>
      </c>
      <c r="H55" s="110" t="str">
        <f t="array" ref="H55">IF(ISNA(MATCH(A55,sheet2!A:A,0)),"⏳ Chưa test",IFERROR(INDEX(LEVEL_HELPER!A:A,MATCH(INDEX(sheet2!N:N,MATCH(A55,sheet2!A:A,0)),LEVEL_HELPER!B:B,0)),"⏳ Chưa test"))</f>
        <v>Beginner</v>
      </c>
      <c r="I55" s="110" t="str">
        <f t="array" ref="I55">IF(ISNA(MATCH(A55,sheet2!A:A,0)),H55,IF(INDEX(sheet2!O:O,MATCH(A55,sheet2!A:A,0))&gt;0,IFERROR(INDEX(LEVEL_HELPER!A:A,MATCH(INDEX(sheet2!O:O,MATCH(A55,sheet2!A:A,0)),LEVEL_HELPER!B:B,0)),H55),H55))</f>
        <v>Intermediate 1</v>
      </c>
      <c r="J55" s="110">
        <f>IFERROR(MAXIFS(ATTENDANCE_LOG!F:F, ATTENDANCE_LOG!C:C, A55&amp;"", ATTENDANCE_LOG!G:G, "Present"), "")</f>
        <v>46115.54167</v>
      </c>
      <c r="K55" s="111">
        <f t="shared" si="3"/>
        <v>97.45833333</v>
      </c>
      <c r="L55" s="112" t="str">
        <f t="shared" si="4"/>
        <v>✅ Completed</v>
      </c>
      <c r="M55" s="120" t="s">
        <v>35</v>
      </c>
      <c r="N55" s="126" t="s">
        <v>38</v>
      </c>
      <c r="O55" s="113"/>
      <c r="P55" s="115">
        <f>IFERROR(__xludf.DUMMYFUNCTION("IFERROR(COUNTUNIQUEIFS(ATTENDANCE_LOG!B:B,ATTENDANCE_LOG!C:C,A55),0)"),2.0)</f>
        <v>2</v>
      </c>
      <c r="Q55" s="113" t="str">
        <f t="array" ref="Q55">IFERROR(INDEX(ATTENDANCE_LOG!A:A,MATCH(1,(ATTENDANCE_LOG!C:C=A55)*(ATTENDANCE_LOG!F:F=MAXIFS(ATTENDANCE_LOG!F:F,ATTENDANCE_LOG!C:C,A55)),0)),"")</f>
        <v>EL009</v>
      </c>
      <c r="R55" s="113" t="str">
        <f t="array" ref="R55">IFERROR(INDEX(ATTENDANCE_LOG!B:B,MATCH(1,(ATTENDANCE_LOG!C:C=A55)*(ATTENDANCE_LOG!F:F=MAXIFS(ATTENDANCE_LOG!F:F,ATTENDANCE_LOG!C:C,A55)),0)),"")</f>
        <v>Communication 2</v>
      </c>
      <c r="S55" s="113">
        <f>IFERROR(VLOOKUP(H55, LEVEL_HELPER!A:B, 2, 0), 0)</f>
        <v>1</v>
      </c>
      <c r="T55" s="113">
        <f>IFERROR(VLOOKUP(I55, LEVEL_HELPER!A:B, 2, 0), 0)</f>
        <v>5</v>
      </c>
      <c r="U55" s="113">
        <f t="shared" ref="U55:V55" si="59">IF(S55="",0,IF(S55&lt;=2,1,IF(S55&lt;=4,2,IF(S55&lt;=5.5,3,4))))
</f>
        <v>1</v>
      </c>
      <c r="V55" s="113">
        <f t="shared" si="59"/>
        <v>3</v>
      </c>
      <c r="W55" s="113" t="str">
        <f t="shared" si="6"/>
        <v>Lv1→Lv3 (multi)</v>
      </c>
      <c r="X55" s="128"/>
      <c r="Y55" s="128"/>
      <c r="Z55" s="128"/>
      <c r="AA55" s="128"/>
      <c r="AB55" s="116"/>
      <c r="AC55" s="116"/>
      <c r="AD55" s="117"/>
    </row>
    <row r="56" ht="15.75" customHeight="1">
      <c r="A56" s="104" t="s">
        <v>304</v>
      </c>
      <c r="B56" s="105" t="s">
        <v>305</v>
      </c>
      <c r="C56" s="106" t="str">
        <f>IFERROR(__xludf.DUMMYFUNCTION("arrayformula(VLOOKUP(to_Text(A56),to_Text(sheet2!$A$1:M1005),13,0))"),"LBU")</f>
        <v>LBU</v>
      </c>
      <c r="D56" s="107" t="str">
        <f>IFERROR(__xludf.DUMMYFUNCTION("arrayformula(VLOOKUP(to_Text(A56),to_Text(sheet2!$A$1:M1005),12,0))"),"DEV")</f>
        <v>DEV</v>
      </c>
      <c r="E56" s="108" t="str">
        <f t="shared" si="2"/>
        <v>Inactive</v>
      </c>
      <c r="F56" s="104" t="str">
        <f t="array" ref="F56">IFERROR(
  INDEX(ATTENDANCE_INPUT!D:D,
    MATCH(1,
      (ATTENDANCE_INPUT!A:A=A56) *
      (ATTENDANCE_INPUT!W:W=MAXIFS(ATTENDANCE_INPUT!W:W, ATTENDANCE_INPUT!A:A, A56)),
      0)),
  "")</f>
        <v>Huong Le</v>
      </c>
      <c r="G56" s="109" t="str">
        <f t="array" ref="G56">IFERROR(
  INDEX(ATTENDANCE_INPUT!E:E,
    MATCH(1,
      (ATTENDANCE_INPUT!A:A=A56) *
      (ATTENDANCE_INPUT!W:W=MAXIFS(ATTENDANCE_INPUT!W:W, ATTENDANCE_INPUT!A:A, A56)),
      0)),
  "")</f>
        <v>Communication 2</v>
      </c>
      <c r="H56" s="110" t="str">
        <f t="array" ref="H56">IF(ISNA(MATCH(A56,sheet2!A:A,0)),"⏳ Chưa test",IFERROR(INDEX(LEVEL_HELPER!A:A,MATCH(INDEX(sheet2!N:N,MATCH(A56,sheet2!A:A,0)),LEVEL_HELPER!B:B,0)),"⏳ Chưa test"))</f>
        <v>Pre-Intermediate</v>
      </c>
      <c r="I56" s="110" t="str">
        <f t="array" ref="I56">IF(ISNA(MATCH(A56,sheet2!A:A,0)),H56,IF(INDEX(sheet2!O:O,MATCH(A56,sheet2!A:A,0))&gt;0,IFERROR(INDEX(LEVEL_HELPER!A:A,MATCH(INDEX(sheet2!O:O,MATCH(A56,sheet2!A:A,0)),LEVEL_HELPER!B:B,0)),H56),H56))</f>
        <v>Intermediate 2</v>
      </c>
      <c r="J56" s="110">
        <f>IFERROR(MAXIFS(ATTENDANCE_LOG!F:F, ATTENDANCE_LOG!C:C, A56&amp;"", ATTENDANCE_LOG!G:G, "Present"), "")</f>
        <v>46115.54167</v>
      </c>
      <c r="K56" s="111">
        <f t="shared" si="3"/>
        <v>97.45833333</v>
      </c>
      <c r="L56" s="112" t="str">
        <f t="shared" si="4"/>
        <v>✅ Completed</v>
      </c>
      <c r="M56" s="120" t="s">
        <v>35</v>
      </c>
      <c r="N56" s="126" t="s">
        <v>38</v>
      </c>
      <c r="O56" s="113"/>
      <c r="P56" s="115">
        <f>IFERROR(__xludf.DUMMYFUNCTION("IFERROR(COUNTUNIQUEIFS(ATTENDANCE_LOG!B:B,ATTENDANCE_LOG!C:C,A56),0)"),2.0)</f>
        <v>2</v>
      </c>
      <c r="Q56" s="113" t="str">
        <f t="array" ref="Q56">IFERROR(INDEX(ATTENDANCE_LOG!A:A,MATCH(1,(ATTENDANCE_LOG!C:C=A56)*(ATTENDANCE_LOG!F:F=MAXIFS(ATTENDANCE_LOG!F:F,ATTENDANCE_LOG!C:C,A56)),0)),"")</f>
        <v>EL009</v>
      </c>
      <c r="R56" s="113" t="str">
        <f t="array" ref="R56">IFERROR(INDEX(ATTENDANCE_LOG!B:B,MATCH(1,(ATTENDANCE_LOG!C:C=A56)*(ATTENDANCE_LOG!F:F=MAXIFS(ATTENDANCE_LOG!F:F,ATTENDANCE_LOG!C:C,A56)),0)),"")</f>
        <v>Communication 2</v>
      </c>
      <c r="S56" s="113">
        <f>IFERROR(VLOOKUP(H56, LEVEL_HELPER!A:B, 2, 0), 0)</f>
        <v>2.5</v>
      </c>
      <c r="T56" s="113">
        <f>IFERROR(VLOOKUP(I56, LEVEL_HELPER!A:B, 2, 0), 0)</f>
        <v>5.5</v>
      </c>
      <c r="U56" s="113">
        <f t="shared" ref="U56:V56" si="60">IF(S56="",0,IF(S56&lt;=2,1,IF(S56&lt;=4,2,IF(S56&lt;=5.5,3,4))))
</f>
        <v>2</v>
      </c>
      <c r="V56" s="113">
        <f t="shared" si="60"/>
        <v>3</v>
      </c>
      <c r="W56" s="113" t="str">
        <f t="shared" si="6"/>
        <v>Lv2→Lv3</v>
      </c>
      <c r="X56" s="113"/>
      <c r="Y56" s="113">
        <v>213828.0</v>
      </c>
      <c r="Z56" s="113" t="s">
        <v>204</v>
      </c>
      <c r="AA56" s="113" t="s">
        <v>205</v>
      </c>
      <c r="AB56" s="116"/>
      <c r="AC56" s="116"/>
      <c r="AD56" s="117"/>
    </row>
    <row r="57" ht="15.75" customHeight="1">
      <c r="A57" s="104" t="s">
        <v>306</v>
      </c>
      <c r="B57" s="105" t="s">
        <v>307</v>
      </c>
      <c r="C57" s="106" t="str">
        <f>IFERROR(__xludf.DUMMYFUNCTION("arrayformula(VLOOKUP(to_Text(A57),to_Text(sheet2!$A$1:M1005),13,0))"),"LBU")</f>
        <v>LBU</v>
      </c>
      <c r="D57" s="107" t="str">
        <f>IFERROR(__xludf.DUMMYFUNCTION("arrayformula(VLOOKUP(to_Text(A57),to_Text(sheet2!$A$1:M1005),12,0))"),"GSD")</f>
        <v>GSD</v>
      </c>
      <c r="E57" s="108" t="str">
        <f t="shared" si="2"/>
        <v>Inactive</v>
      </c>
      <c r="F57" s="104" t="str">
        <f t="array" ref="F57">IFERROR(
  INDEX(ATTENDANCE_INPUT!D:D,
    MATCH(1,
      (ATTENDANCE_INPUT!A:A=A57) *
      (ATTENDANCE_INPUT!W:W=MAXIFS(ATTENDANCE_INPUT!W:W, ATTENDANCE_INPUT!A:A, A57)),
      0)),
  "")</f>
        <v>Huong Le</v>
      </c>
      <c r="G57" s="109" t="str">
        <f t="array" ref="G57">IFERROR(
  INDEX(ATTENDANCE_INPUT!E:E,
    MATCH(1,
      (ATTENDANCE_INPUT!A:A=A57) *
      (ATTENDANCE_INPUT!W:W=MAXIFS(ATTENDANCE_INPUT!W:W, ATTENDANCE_INPUT!A:A, A57)),
      0)),
  "")</f>
        <v>Communication 2</v>
      </c>
      <c r="H57" s="110" t="str">
        <f t="array" ref="H57">IF(ISNA(MATCH(A57,sheet2!A:A,0)),"⏳ Chưa test",IFERROR(INDEX(LEVEL_HELPER!A:A,MATCH(INDEX(sheet2!N:N,MATCH(A57,sheet2!A:A,0)),LEVEL_HELPER!B:B,0)),"⏳ Chưa test"))</f>
        <v>Pre-Intermediate</v>
      </c>
      <c r="I57" s="110" t="str">
        <f t="array" ref="I57">IF(ISNA(MATCH(A57,sheet2!A:A,0)),H57,IF(INDEX(sheet2!O:O,MATCH(A57,sheet2!A:A,0))&gt;0,IFERROR(INDEX(LEVEL_HELPER!A:A,MATCH(INDEX(sheet2!O:O,MATCH(A57,sheet2!A:A,0)),LEVEL_HELPER!B:B,0)),H57),H57))</f>
        <v>Intermediate 1</v>
      </c>
      <c r="J57" s="110">
        <f>IFERROR(MAXIFS(ATTENDANCE_LOG!F:F, ATTENDANCE_LOG!C:C, A57&amp;"", ATTENDANCE_LOG!G:G, "Present"), "")</f>
        <v>46115.54167</v>
      </c>
      <c r="K57" s="111">
        <f t="shared" si="3"/>
        <v>97.45833333</v>
      </c>
      <c r="L57" s="112" t="str">
        <f t="shared" si="4"/>
        <v>✅ Completed</v>
      </c>
      <c r="M57" s="120" t="s">
        <v>35</v>
      </c>
      <c r="N57" s="126" t="s">
        <v>38</v>
      </c>
      <c r="O57" s="113"/>
      <c r="P57" s="115">
        <f>IFERROR(__xludf.DUMMYFUNCTION("IFERROR(COUNTUNIQUEIFS(ATTENDANCE_LOG!B:B,ATTENDANCE_LOG!C:C,A57),0)"),2.0)</f>
        <v>2</v>
      </c>
      <c r="Q57" s="113" t="str">
        <f t="array" ref="Q57">IFERROR(INDEX(ATTENDANCE_LOG!A:A,MATCH(1,(ATTENDANCE_LOG!C:C=A57)*(ATTENDANCE_LOG!F:F=MAXIFS(ATTENDANCE_LOG!F:F,ATTENDANCE_LOG!C:C,A57)),0)),"")</f>
        <v>EL009</v>
      </c>
      <c r="R57" s="113" t="str">
        <f t="array" ref="R57">IFERROR(INDEX(ATTENDANCE_LOG!B:B,MATCH(1,(ATTENDANCE_LOG!C:C=A57)*(ATTENDANCE_LOG!F:F=MAXIFS(ATTENDANCE_LOG!F:F,ATTENDANCE_LOG!C:C,A57)),0)),"")</f>
        <v>Communication 2</v>
      </c>
      <c r="S57" s="113">
        <f>IFERROR(VLOOKUP(H57, LEVEL_HELPER!A:B, 2, 0), 0)</f>
        <v>2.5</v>
      </c>
      <c r="T57" s="113">
        <f>IFERROR(VLOOKUP(I57, LEVEL_HELPER!A:B, 2, 0), 0)</f>
        <v>5</v>
      </c>
      <c r="U57" s="113">
        <f t="shared" ref="U57:V57" si="61">IF(S57="",0,IF(S57&lt;=2,1,IF(S57&lt;=4,2,IF(S57&lt;=5.5,3,4))))
</f>
        <v>2</v>
      </c>
      <c r="V57" s="113">
        <f t="shared" si="61"/>
        <v>3</v>
      </c>
      <c r="W57" s="113" t="str">
        <f t="shared" si="6"/>
        <v>Lv2→Lv3</v>
      </c>
      <c r="X57" s="113"/>
      <c r="Y57" s="113">
        <v>203700.0</v>
      </c>
      <c r="Z57" s="113" t="s">
        <v>204</v>
      </c>
      <c r="AA57" s="113" t="s">
        <v>205</v>
      </c>
      <c r="AB57" s="116"/>
      <c r="AC57" s="116"/>
      <c r="AD57" s="117"/>
    </row>
    <row r="58" ht="15.75" customHeight="1">
      <c r="A58" s="104" t="s">
        <v>308</v>
      </c>
      <c r="B58" s="105" t="s">
        <v>309</v>
      </c>
      <c r="C58" s="106" t="str">
        <f>IFERROR(__xludf.DUMMYFUNCTION("arrayformula(VLOOKUP(to_Text(A58),to_Text(sheet2!$A$1:M1005),13,0))"),"LBU")</f>
        <v>LBU</v>
      </c>
      <c r="D58" s="107" t="str">
        <f>IFERROR(__xludf.DUMMYFUNCTION("arrayformula(VLOOKUP(to_Text(A58),to_Text(sheet2!$A$1:M1005),12,0))"),"GSD")</f>
        <v>GSD</v>
      </c>
      <c r="E58" s="108" t="str">
        <f t="shared" si="2"/>
        <v>Inactive</v>
      </c>
      <c r="F58" s="104" t="str">
        <f t="array" ref="F58">IFERROR(
  INDEX(ATTENDANCE_INPUT!D:D,
    MATCH(1,
      (ATTENDANCE_INPUT!A:A=A58) *
      (ATTENDANCE_INPUT!W:W=MAXIFS(ATTENDANCE_INPUT!W:W, ATTENDANCE_INPUT!A:A, A58)),
      0)),
  "")</f>
        <v>Huong Le</v>
      </c>
      <c r="G58" s="109" t="str">
        <f t="array" ref="G58">IFERROR(
  INDEX(ATTENDANCE_INPUT!E:E,
    MATCH(1,
      (ATTENDANCE_INPUT!A:A=A58) *
      (ATTENDANCE_INPUT!W:W=MAXIFS(ATTENDANCE_INPUT!W:W, ATTENDANCE_INPUT!A:A, A58)),
      0)),
  "")</f>
        <v>Communication 2</v>
      </c>
      <c r="H58" s="110" t="str">
        <f t="array" ref="H58">IF(ISNA(MATCH(A58,sheet2!A:A,0)),"⏳ Chưa test",IFERROR(INDEX(LEVEL_HELPER!A:A,MATCH(INDEX(sheet2!N:N,MATCH(A58,sheet2!A:A,0)),LEVEL_HELPER!B:B,0)),"⏳ Chưa test"))</f>
        <v>Beginner</v>
      </c>
      <c r="I58" s="110" t="str">
        <f t="array" ref="I58">IF(ISNA(MATCH(A58,sheet2!A:A,0)),H58,IF(INDEX(sheet2!O:O,MATCH(A58,sheet2!A:A,0))&gt;0,IFERROR(INDEX(LEVEL_HELPER!A:A,MATCH(INDEX(sheet2!O:O,MATCH(A58,sheet2!A:A,0)),LEVEL_HELPER!B:B,0)),H58),H58))</f>
        <v>Intermediate 2</v>
      </c>
      <c r="J58" s="110">
        <f>IFERROR(MAXIFS(ATTENDANCE_LOG!F:F, ATTENDANCE_LOG!C:C, A58&amp;"", ATTENDANCE_LOG!G:G, "Present"), "")</f>
        <v>46115.54167</v>
      </c>
      <c r="K58" s="111">
        <f t="shared" si="3"/>
        <v>97.45833333</v>
      </c>
      <c r="L58" s="112" t="str">
        <f t="shared" si="4"/>
        <v>✅ Completed</v>
      </c>
      <c r="M58" s="120" t="s">
        <v>35</v>
      </c>
      <c r="N58" s="126" t="s">
        <v>38</v>
      </c>
      <c r="O58" s="113"/>
      <c r="P58" s="115">
        <f>IFERROR(__xludf.DUMMYFUNCTION("IFERROR(COUNTUNIQUEIFS(ATTENDANCE_LOG!B:B,ATTENDANCE_LOG!C:C,A58),0)"),2.0)</f>
        <v>2</v>
      </c>
      <c r="Q58" s="113" t="str">
        <f t="array" ref="Q58">IFERROR(INDEX(ATTENDANCE_LOG!A:A,MATCH(1,(ATTENDANCE_LOG!C:C=A58)*(ATTENDANCE_LOG!F:F=MAXIFS(ATTENDANCE_LOG!F:F,ATTENDANCE_LOG!C:C,A58)),0)),"")</f>
        <v>EL009</v>
      </c>
      <c r="R58" s="113" t="str">
        <f t="array" ref="R58">IFERROR(INDEX(ATTENDANCE_LOG!B:B,MATCH(1,(ATTENDANCE_LOG!C:C=A58)*(ATTENDANCE_LOG!F:F=MAXIFS(ATTENDANCE_LOG!F:F,ATTENDANCE_LOG!C:C,A58)),0)),"")</f>
        <v>Communication 2</v>
      </c>
      <c r="S58" s="113">
        <f>IFERROR(VLOOKUP(H58, LEVEL_HELPER!A:B, 2, 0), 0)</f>
        <v>1</v>
      </c>
      <c r="T58" s="113">
        <f>IFERROR(VLOOKUP(I58, LEVEL_HELPER!A:B, 2, 0), 0)</f>
        <v>5.5</v>
      </c>
      <c r="U58" s="113">
        <f t="shared" ref="U58:V58" si="62">IF(S58="",0,IF(S58&lt;=2,1,IF(S58&lt;=4,2,IF(S58&lt;=5.5,3,4))))
</f>
        <v>1</v>
      </c>
      <c r="V58" s="113">
        <f t="shared" si="62"/>
        <v>3</v>
      </c>
      <c r="W58" s="113" t="str">
        <f t="shared" si="6"/>
        <v>Lv1→Lv3 (multi)</v>
      </c>
      <c r="X58" s="128"/>
      <c r="Y58" s="128"/>
      <c r="Z58" s="128"/>
      <c r="AA58" s="128"/>
      <c r="AB58" s="116"/>
      <c r="AC58" s="116"/>
      <c r="AD58" s="117"/>
    </row>
    <row r="59" ht="15.75" customHeight="1">
      <c r="A59" s="104" t="s">
        <v>310</v>
      </c>
      <c r="B59" s="105" t="s">
        <v>311</v>
      </c>
      <c r="C59" s="106" t="str">
        <f>IFERROR(__xludf.DUMMYFUNCTION("arrayformula(VLOOKUP(to_Text(A59),to_Text(sheet2!$A$1:M1005),13,0))"),"LBU")</f>
        <v>LBU</v>
      </c>
      <c r="D59" s="107" t="str">
        <f>IFERROR(__xludf.DUMMYFUNCTION("arrayformula(VLOOKUP(to_Text(A59),to_Text(sheet2!$A$1:M1005),12,0))"),"GSD")</f>
        <v>GSD</v>
      </c>
      <c r="E59" s="108" t="str">
        <f t="shared" si="2"/>
        <v>Inactive</v>
      </c>
      <c r="F59" s="104" t="str">
        <f t="array" ref="F59">IFERROR(
  INDEX(ATTENDANCE_INPUT!D:D,
    MATCH(1,
      (ATTENDANCE_INPUT!A:A=A59) *
      (ATTENDANCE_INPUT!W:W=MAXIFS(ATTENDANCE_INPUT!W:W, ATTENDANCE_INPUT!A:A, A59)),
      0)),
  "")</f>
        <v>Huong Le</v>
      </c>
      <c r="G59" s="109" t="str">
        <f t="array" ref="G59">IFERROR(
  INDEX(ATTENDANCE_INPUT!E:E,
    MATCH(1,
      (ATTENDANCE_INPUT!A:A=A59) *
      (ATTENDANCE_INPUT!W:W=MAXIFS(ATTENDANCE_INPUT!W:W, ATTENDANCE_INPUT!A:A, A59)),
      0)),
  "")</f>
        <v>Communication 2</v>
      </c>
      <c r="H59" s="110" t="str">
        <f t="array" ref="H59">IF(ISNA(MATCH(A59,sheet2!A:A,0)),"⏳ Chưa test",IFERROR(INDEX(LEVEL_HELPER!A:A,MATCH(INDEX(sheet2!N:N,MATCH(A59,sheet2!A:A,0)),LEVEL_HELPER!B:B,0)),"⏳ Chưa test"))</f>
        <v>Beginner</v>
      </c>
      <c r="I59" s="110" t="str">
        <f t="array" ref="I59">IF(ISNA(MATCH(A59,sheet2!A:A,0)),H59,IF(INDEX(sheet2!O:O,MATCH(A59,sheet2!A:A,0))&gt;0,IFERROR(INDEX(LEVEL_HELPER!A:A,MATCH(INDEX(sheet2!O:O,MATCH(A59,sheet2!A:A,0)),LEVEL_HELPER!B:B,0)),H59),H59))</f>
        <v>Pre-Intermediate 1</v>
      </c>
      <c r="J59" s="110">
        <f>IFERROR(MAXIFS(ATTENDANCE_LOG!F:F, ATTENDANCE_LOG!C:C, A59&amp;"", ATTENDANCE_LOG!G:G, "Present"), "")</f>
        <v>46115.54167</v>
      </c>
      <c r="K59" s="111">
        <f t="shared" si="3"/>
        <v>97.45833333</v>
      </c>
      <c r="L59" s="112" t="str">
        <f t="shared" si="4"/>
        <v>✅ Completed</v>
      </c>
      <c r="M59" s="120" t="s">
        <v>35</v>
      </c>
      <c r="N59" s="126" t="s">
        <v>38</v>
      </c>
      <c r="O59" s="113"/>
      <c r="P59" s="115">
        <f>IFERROR(__xludf.DUMMYFUNCTION("IFERROR(COUNTUNIQUEIFS(ATTENDANCE_LOG!B:B,ATTENDANCE_LOG!C:C,A59),0)"),2.0)</f>
        <v>2</v>
      </c>
      <c r="Q59" s="113" t="str">
        <f t="array" ref="Q59">IFERROR(INDEX(ATTENDANCE_LOG!A:A,MATCH(1,(ATTENDANCE_LOG!C:C=A59)*(ATTENDANCE_LOG!F:F=MAXIFS(ATTENDANCE_LOG!F:F,ATTENDANCE_LOG!C:C,A59)),0)),"")</f>
        <v>EL009</v>
      </c>
      <c r="R59" s="113" t="str">
        <f t="array" ref="R59">IFERROR(INDEX(ATTENDANCE_LOG!B:B,MATCH(1,(ATTENDANCE_LOG!C:C=A59)*(ATTENDANCE_LOG!F:F=MAXIFS(ATTENDANCE_LOG!F:F,ATTENDANCE_LOG!C:C,A59)),0)),"")</f>
        <v>Communication 2</v>
      </c>
      <c r="S59" s="113">
        <f>IFERROR(VLOOKUP(H59, LEVEL_HELPER!A:B, 2, 0), 0)</f>
        <v>1</v>
      </c>
      <c r="T59" s="113">
        <f>IFERROR(VLOOKUP(I59, LEVEL_HELPER!A:B, 2, 0), 0)</f>
        <v>3</v>
      </c>
      <c r="U59" s="113">
        <f t="shared" ref="U59:V59" si="63">IF(S59="",0,IF(S59&lt;=2,1,IF(S59&lt;=4,2,IF(S59&lt;=5.5,3,4))))
</f>
        <v>1</v>
      </c>
      <c r="V59" s="113">
        <f t="shared" si="63"/>
        <v>2</v>
      </c>
      <c r="W59" s="113" t="str">
        <f t="shared" si="6"/>
        <v>Lv1→Lv2</v>
      </c>
      <c r="X59" s="128"/>
      <c r="Y59" s="128"/>
      <c r="Z59" s="128"/>
      <c r="AA59" s="128"/>
      <c r="AB59" s="116"/>
      <c r="AC59" s="116"/>
      <c r="AD59" s="117"/>
    </row>
    <row r="60" ht="15.75" customHeight="1">
      <c r="A60" s="104" t="s">
        <v>312</v>
      </c>
      <c r="B60" s="105" t="s">
        <v>313</v>
      </c>
      <c r="C60" s="106" t="str">
        <f>IFERROR(__xludf.DUMMYFUNCTION("arrayformula(VLOOKUP(to_Text(A60),to_Text(sheet2!$A$1:M1005),13,0))"),"LBU")</f>
        <v>LBU</v>
      </c>
      <c r="D60" s="107" t="str">
        <f>IFERROR(__xludf.DUMMYFUNCTION("arrayformula(VLOOKUP(to_Text(A60),to_Text(sheet2!$A$1:M1005),12,0))"),"GSD")</f>
        <v>GSD</v>
      </c>
      <c r="E60" s="108" t="str">
        <f t="shared" si="2"/>
        <v>Inactive</v>
      </c>
      <c r="F60" s="104" t="str">
        <f t="array" ref="F60">IFERROR(
  INDEX(ATTENDANCE_INPUT!D:D,
    MATCH(1,
      (ATTENDANCE_INPUT!A:A=A60) *
      (ATTENDANCE_INPUT!W:W=MAXIFS(ATTENDANCE_INPUT!W:W, ATTENDANCE_INPUT!A:A, A60)),
      0)),
  "")</f>
        <v>Huong Le</v>
      </c>
      <c r="G60" s="109" t="str">
        <f t="array" ref="G60">IFERROR(
  INDEX(ATTENDANCE_INPUT!E:E,
    MATCH(1,
      (ATTENDANCE_INPUT!A:A=A60) *
      (ATTENDANCE_INPUT!W:W=MAXIFS(ATTENDANCE_INPUT!W:W, ATTENDANCE_INPUT!A:A, A60)),
      0)),
  "")</f>
        <v>Communication 2</v>
      </c>
      <c r="H60" s="110" t="str">
        <f t="array" ref="H60">IF(ISNA(MATCH(A60,sheet2!A:A,0)),"⏳ Chưa test",IFERROR(INDEX(LEVEL_HELPER!A:A,MATCH(INDEX(sheet2!N:N,MATCH(A60,sheet2!A:A,0)),LEVEL_HELPER!B:B,0)),"⏳ Chưa test"))</f>
        <v>Intermediate</v>
      </c>
      <c r="I60" s="110" t="str">
        <f t="array" ref="I60">IF(ISNA(MATCH(A60,sheet2!A:A,0)),H60,IF(INDEX(sheet2!O:O,MATCH(A60,sheet2!A:A,0))&gt;0,IFERROR(INDEX(LEVEL_HELPER!A:A,MATCH(INDEX(sheet2!O:O,MATCH(A60,sheet2!A:A,0)),LEVEL_HELPER!B:B,0)),H60),H60))</f>
        <v>Intermediate 1</v>
      </c>
      <c r="J60" s="110">
        <f>IFERROR(MAXIFS(ATTENDANCE_LOG!F:F, ATTENDANCE_LOG!C:C, A60&amp;"", ATTENDANCE_LOG!G:G, "Present"), "")</f>
        <v>46115.54167</v>
      </c>
      <c r="K60" s="111">
        <f t="shared" si="3"/>
        <v>97.45833333</v>
      </c>
      <c r="L60" s="112" t="str">
        <f t="shared" si="4"/>
        <v>✅ Completed</v>
      </c>
      <c r="M60" s="120" t="s">
        <v>35</v>
      </c>
      <c r="N60" s="126" t="s">
        <v>38</v>
      </c>
      <c r="O60" s="113"/>
      <c r="P60" s="115">
        <f>IFERROR(__xludf.DUMMYFUNCTION("IFERROR(COUNTUNIQUEIFS(ATTENDANCE_LOG!B:B,ATTENDANCE_LOG!C:C,A60),0)"),2.0)</f>
        <v>2</v>
      </c>
      <c r="Q60" s="113" t="str">
        <f t="array" ref="Q60">IFERROR(INDEX(ATTENDANCE_LOG!A:A,MATCH(1,(ATTENDANCE_LOG!C:C=A60)*(ATTENDANCE_LOG!F:F=MAXIFS(ATTENDANCE_LOG!F:F,ATTENDANCE_LOG!C:C,A60)),0)),"")</f>
        <v>EL009</v>
      </c>
      <c r="R60" s="113" t="str">
        <f t="array" ref="R60">IFERROR(INDEX(ATTENDANCE_LOG!B:B,MATCH(1,(ATTENDANCE_LOG!C:C=A60)*(ATTENDANCE_LOG!F:F=MAXIFS(ATTENDANCE_LOG!F:F,ATTENDANCE_LOG!C:C,A60)),0)),"")</f>
        <v>Communication 2</v>
      </c>
      <c r="S60" s="113">
        <f>IFERROR(VLOOKUP(H60, LEVEL_HELPER!A:B, 2, 0), 0)</f>
        <v>4.5</v>
      </c>
      <c r="T60" s="113">
        <f>IFERROR(VLOOKUP(I60, LEVEL_HELPER!A:B, 2, 0), 0)</f>
        <v>5</v>
      </c>
      <c r="U60" s="113">
        <f t="shared" ref="U60:V60" si="64">IF(S60="",0,IF(S60&lt;=2,1,IF(S60&lt;=4,2,IF(S60&lt;=5.5,3,4))))
</f>
        <v>3</v>
      </c>
      <c r="V60" s="113">
        <f t="shared" si="64"/>
        <v>3</v>
      </c>
      <c r="W60" s="113" t="str">
        <f t="shared" si="6"/>
        <v>Minor Improvement</v>
      </c>
      <c r="X60" s="113"/>
      <c r="Y60" s="113">
        <v>213812.0</v>
      </c>
      <c r="Z60" s="113" t="s">
        <v>266</v>
      </c>
      <c r="AA60" s="113" t="s">
        <v>257</v>
      </c>
      <c r="AB60" s="116"/>
      <c r="AC60" s="116"/>
      <c r="AD60" s="117"/>
    </row>
    <row r="61" ht="15.75" customHeight="1">
      <c r="A61" s="104" t="s">
        <v>314</v>
      </c>
      <c r="B61" s="105" t="s">
        <v>315</v>
      </c>
      <c r="C61" s="106" t="str">
        <f>IFERROR(__xludf.DUMMYFUNCTION("arrayformula(VLOOKUP(to_Text(A61),to_Text(sheet2!$A$1:M1005),13,0))"),"ONC")</f>
        <v>ONC</v>
      </c>
      <c r="D61" s="107" t="str">
        <f>IFERROR(__xludf.DUMMYFUNCTION("arrayformula(VLOOKUP(to_Text(A61),to_Text(sheet2!$A$1:M1005),12,0))"),"GSD")</f>
        <v>GSD</v>
      </c>
      <c r="E61" s="108" t="str">
        <f t="shared" si="2"/>
        <v>Inactive</v>
      </c>
      <c r="F61" s="104" t="str">
        <f t="array" ref="F61">IFERROR(
  INDEX(ATTENDANCE_INPUT!D:D,
    MATCH(1,
      (ATTENDANCE_INPUT!A:A=A61) *
      (ATTENDANCE_INPUT!W:W=MAXIFS(ATTENDANCE_INPUT!W:W, ATTENDANCE_INPUT!A:A, A61)),
      0)),
  "")</f>
        <v>Huong Le</v>
      </c>
      <c r="G61" s="109" t="str">
        <f t="array" ref="G61">IFERROR(
  INDEX(ATTENDANCE_INPUT!E:E,
    MATCH(1,
      (ATTENDANCE_INPUT!A:A=A61) *
      (ATTENDANCE_INPUT!W:W=MAXIFS(ATTENDANCE_INPUT!W:W, ATTENDANCE_INPUT!A:A, A61)),
      0)),
  "")</f>
        <v>Communication 2</v>
      </c>
      <c r="H61" s="110" t="str">
        <f t="array" ref="H61">IF(ISNA(MATCH(A61,sheet2!A:A,0)),"⏳ Chưa test",IFERROR(INDEX(LEVEL_HELPER!A:A,MATCH(INDEX(sheet2!N:N,MATCH(A61,sheet2!A:A,0)),LEVEL_HELPER!B:B,0)),"⏳ Chưa test"))</f>
        <v>Pre-Intermediate</v>
      </c>
      <c r="I61" s="110" t="str">
        <f t="array" ref="I61">IF(ISNA(MATCH(A61,sheet2!A:A,0)),H61,IF(INDEX(sheet2!O:O,MATCH(A61,sheet2!A:A,0))&gt;0,IFERROR(INDEX(LEVEL_HELPER!A:A,MATCH(INDEX(sheet2!O:O,MATCH(A61,sheet2!A:A,0)),LEVEL_HELPER!B:B,0)),H61),H61))</f>
        <v>Pre-Intermediate 2</v>
      </c>
      <c r="J61" s="110">
        <f>IFERROR(MAXIFS(ATTENDANCE_LOG!F:F, ATTENDANCE_LOG!C:C, A61&amp;"", ATTENDANCE_LOG!G:G, "Present"), "")</f>
        <v>46017.54167</v>
      </c>
      <c r="K61" s="111">
        <f t="shared" si="3"/>
        <v>195.4583333</v>
      </c>
      <c r="L61" s="112" t="str">
        <f t="shared" si="4"/>
        <v>❌ Dropped</v>
      </c>
      <c r="M61" s="120" t="s">
        <v>37</v>
      </c>
      <c r="N61" s="126" t="s">
        <v>43</v>
      </c>
      <c r="O61" s="113"/>
      <c r="P61" s="115">
        <f>IFERROR(__xludf.DUMMYFUNCTION("IFERROR(COUNTUNIQUEIFS(ATTENDANCE_LOG!B:B,ATTENDANCE_LOG!C:C,A61),0)"),2.0)</f>
        <v>2</v>
      </c>
      <c r="Q61" s="113" t="str">
        <f t="array" ref="Q61">IFERROR(INDEX(ATTENDANCE_LOG!A:A,MATCH(1,(ATTENDANCE_LOG!C:C=A61)*(ATTENDANCE_LOG!F:F=MAXIFS(ATTENDANCE_LOG!F:F,ATTENDANCE_LOG!C:C,A61)),0)),"")</f>
        <v>EL009</v>
      </c>
      <c r="R61" s="113" t="str">
        <f t="array" ref="R61">IFERROR(INDEX(ATTENDANCE_LOG!B:B,MATCH(1,(ATTENDANCE_LOG!C:C=A61)*(ATTENDANCE_LOG!F:F=MAXIFS(ATTENDANCE_LOG!F:F,ATTENDANCE_LOG!C:C,A61)),0)),"")</f>
        <v>Communication 2</v>
      </c>
      <c r="S61" s="113">
        <f>IFERROR(VLOOKUP(H61, LEVEL_HELPER!A:B, 2, 0), 0)</f>
        <v>2.5</v>
      </c>
      <c r="T61" s="113">
        <f>IFERROR(VLOOKUP(I61, LEVEL_HELPER!A:B, 2, 0), 0)</f>
        <v>3.5</v>
      </c>
      <c r="U61" s="113">
        <f t="shared" ref="U61:V61" si="65">IF(S61="",0,IF(S61&lt;=2,1,IF(S61&lt;=4,2,IF(S61&lt;=5.5,3,4))))
</f>
        <v>2</v>
      </c>
      <c r="V61" s="113">
        <f t="shared" si="65"/>
        <v>2</v>
      </c>
      <c r="W61" s="113" t="str">
        <f t="shared" si="6"/>
        <v>Minor Improvement</v>
      </c>
      <c r="X61" s="128"/>
      <c r="Y61" s="128"/>
      <c r="Z61" s="128"/>
      <c r="AA61" s="128"/>
      <c r="AB61" s="116"/>
      <c r="AC61" s="116"/>
      <c r="AD61" s="117"/>
    </row>
    <row r="62" ht="15.75" customHeight="1">
      <c r="A62" s="104" t="s">
        <v>316</v>
      </c>
      <c r="B62" s="105" t="s">
        <v>317</v>
      </c>
      <c r="C62" s="106" t="str">
        <f>IFERROR(__xludf.DUMMYFUNCTION("arrayformula(VLOOKUP(to_Text(A62),to_Text(sheet2!$A$1:M1005),13,0))"),"CHORUS")</f>
        <v>CHORUS</v>
      </c>
      <c r="D62" s="107" t="str">
        <f>IFERROR(__xludf.DUMMYFUNCTION("arrayformula(VLOOKUP(to_Text(A62),to_Text(sheet2!$A$1:M1005),12,0))"),"UI/UX")</f>
        <v>UI/UX</v>
      </c>
      <c r="E62" s="108" t="str">
        <f t="shared" si="2"/>
        <v>Inactive</v>
      </c>
      <c r="F62" s="104" t="str">
        <f t="array" ref="F62">IFERROR(
  INDEX(ATTENDANCE_INPUT!D:D,
    MATCH(1,
      (ATTENDANCE_INPUT!A:A=A62) *
      (ATTENDANCE_INPUT!W:W=MAXIFS(ATTENDANCE_INPUT!W:W, ATTENDANCE_INPUT!A:A, A62)),
      0)),
  "")</f>
        <v>Huy Nguyen</v>
      </c>
      <c r="G62" s="109" t="str">
        <f t="array" ref="G62">IFERROR(
  INDEX(ATTENDANCE_INPUT!E:E,
    MATCH(1,
      (ATTENDANCE_INPUT!A:A=A62) *
      (ATTENDANCE_INPUT!W:W=MAXIFS(ATTENDANCE_INPUT!W:W, ATTENDANCE_INPUT!A:A, A62)),
      0)),
  "")</f>
        <v>Communication 1</v>
      </c>
      <c r="H62" s="110" t="str">
        <f t="array" ref="H62">IF(ISNA(MATCH(A62,sheet2!A:A,0)),"⏳ Chưa test",IFERROR(INDEX(LEVEL_HELPER!A:A,MATCH(INDEX(sheet2!N:N,MATCH(A62,sheet2!A:A,0)),LEVEL_HELPER!B:B,0)),"⏳ Chưa test"))</f>
        <v>Beginner</v>
      </c>
      <c r="I62" s="110" t="str">
        <f t="array" ref="I62">IF(ISNA(MATCH(A62,sheet2!A:A,0)),H62,IF(INDEX(sheet2!O:O,MATCH(A62,sheet2!A:A,0))&gt;0,IFERROR(INDEX(LEVEL_HELPER!A:A,MATCH(INDEX(sheet2!O:O,MATCH(A62,sheet2!A:A,0)),LEVEL_HELPER!B:B,0)),H62),H62))</f>
        <v>Pre-Intermediate 2</v>
      </c>
      <c r="J62" s="110">
        <f>IFERROR(MAXIFS(ATTENDANCE_LOG!F:F, ATTENDANCE_LOG!C:C, A62&amp;"", ATTENDANCE_LOG!G:G, "Present"), "")</f>
        <v>45959.41667</v>
      </c>
      <c r="K62" s="111">
        <f t="shared" si="3"/>
        <v>253.5833333</v>
      </c>
      <c r="L62" s="112" t="str">
        <f t="shared" si="4"/>
        <v>✅ Completed</v>
      </c>
      <c r="M62" s="113" t="s">
        <v>35</v>
      </c>
      <c r="N62" s="114" t="s">
        <v>34</v>
      </c>
      <c r="O62" s="113"/>
      <c r="P62" s="115">
        <f>IFERROR(__xludf.DUMMYFUNCTION("IFERROR(COUNTUNIQUEIFS(ATTENDANCE_LOG!B:B,ATTENDANCE_LOG!C:C,A62),0)"),1.0)</f>
        <v>1</v>
      </c>
      <c r="Q62" s="113" t="str">
        <f t="array" ref="Q62">IFERROR(INDEX(ATTENDANCE_LOG!A:A,MATCH(1,(ATTENDANCE_LOG!C:C=A62)*(ATTENDANCE_LOG!F:F=MAXIFS(ATTENDANCE_LOG!F:F,ATTENDANCE_LOG!C:C,A62)),0)),"")</f>
        <v>EL039</v>
      </c>
      <c r="R62" s="113" t="str">
        <f t="array" ref="R62">IFERROR(INDEX(ATTENDANCE_LOG!B:B,MATCH(1,(ATTENDANCE_LOG!C:C=A62)*(ATTENDANCE_LOG!F:F=MAXIFS(ATTENDANCE_LOG!F:F,ATTENDANCE_LOG!C:C,A62)),0)),"")</f>
        <v>Communication 1</v>
      </c>
      <c r="S62" s="113">
        <f>IFERROR(VLOOKUP(H62, LEVEL_HELPER!A:B, 2, 0), 0)</f>
        <v>1</v>
      </c>
      <c r="T62" s="113">
        <f>IFERROR(VLOOKUP(I62, LEVEL_HELPER!A:B, 2, 0), 0)</f>
        <v>3.5</v>
      </c>
      <c r="U62" s="113">
        <f t="shared" ref="U62:V62" si="66">IF(S62="",0,IF(S62&lt;=2,1,IF(S62&lt;=4,2,IF(S62&lt;=5.5,3,4))))
</f>
        <v>1</v>
      </c>
      <c r="V62" s="113">
        <f t="shared" si="66"/>
        <v>2</v>
      </c>
      <c r="W62" s="113" t="str">
        <f t="shared" si="6"/>
        <v>Lv1→Lv2</v>
      </c>
      <c r="X62" s="113"/>
      <c r="Y62" s="113">
        <v>227171.0</v>
      </c>
      <c r="Z62" s="113" t="s">
        <v>193</v>
      </c>
      <c r="AA62" s="113" t="s">
        <v>193</v>
      </c>
      <c r="AB62" s="116"/>
      <c r="AC62" s="116"/>
      <c r="AD62" s="117"/>
    </row>
    <row r="63" ht="15.75" customHeight="1">
      <c r="A63" s="104" t="s">
        <v>318</v>
      </c>
      <c r="B63" s="105" t="s">
        <v>319</v>
      </c>
      <c r="C63" s="106" t="str">
        <f>IFERROR(__xludf.DUMMYFUNCTION("arrayformula(VLOOKUP(to_Text(A63),to_Text(sheet2!$A$1:M1005),13,0))"),"LBU")</f>
        <v>LBU</v>
      </c>
      <c r="D63" s="107" t="str">
        <f>IFERROR(__xludf.DUMMYFUNCTION("arrayformula(VLOOKUP(to_Text(A63),to_Text(sheet2!$A$1:M1005),12,0))"),"QC")</f>
        <v>QC</v>
      </c>
      <c r="E63" s="108" t="str">
        <f t="shared" si="2"/>
        <v>Inactive</v>
      </c>
      <c r="F63" s="104" t="str">
        <f t="array" ref="F63">IFERROR(
  INDEX(ATTENDANCE_INPUT!D:D,
    MATCH(1,
      (ATTENDANCE_INPUT!A:A=A63) *
      (ATTENDANCE_INPUT!W:W=MAXIFS(ATTENDANCE_INPUT!W:W, ATTENDANCE_INPUT!A:A, A63)),
      0)),
  "")</f>
        <v>Huy Nguyen</v>
      </c>
      <c r="G63" s="109" t="str">
        <f t="array" ref="G63">IFERROR(
  INDEX(ATTENDANCE_INPUT!E:E,
    MATCH(1,
      (ATTENDANCE_INPUT!A:A=A63) *
      (ATTENDANCE_INPUT!W:W=MAXIFS(ATTENDANCE_INPUT!W:W, ATTENDANCE_INPUT!A:A, A63)),
      0)),
  "")</f>
        <v>Communication 1</v>
      </c>
      <c r="H63" s="110" t="str">
        <f t="array" ref="H63">IF(ISNA(MATCH(A63,sheet2!A:A,0)),"⏳ Chưa test",IFERROR(INDEX(LEVEL_HELPER!A:A,MATCH(INDEX(sheet2!N:N,MATCH(A63,sheet2!A:A,0)),LEVEL_HELPER!B:B,0)),"⏳ Chưa test"))</f>
        <v>Beginner</v>
      </c>
      <c r="I63" s="110" t="str">
        <f t="array" ref="I63">IF(ISNA(MATCH(A63,sheet2!A:A,0)),H63,IF(INDEX(sheet2!O:O,MATCH(A63,sheet2!A:A,0))&gt;0,IFERROR(INDEX(LEVEL_HELPER!A:A,MATCH(INDEX(sheet2!O:O,MATCH(A63,sheet2!A:A,0)),LEVEL_HELPER!B:B,0)),H63),H63))</f>
        <v>Pre-Intermediate 2</v>
      </c>
      <c r="J63" s="110">
        <f>IFERROR(MAXIFS(ATTENDANCE_LOG!F:F, ATTENDANCE_LOG!C:C, A63&amp;"", ATTENDANCE_LOG!G:G, "Present"), "")</f>
        <v>45959.41667</v>
      </c>
      <c r="K63" s="111">
        <f t="shared" si="3"/>
        <v>253.5833333</v>
      </c>
      <c r="L63" s="112" t="str">
        <f t="shared" si="4"/>
        <v>✅ Completed</v>
      </c>
      <c r="M63" s="113" t="s">
        <v>35</v>
      </c>
      <c r="N63" s="114" t="s">
        <v>34</v>
      </c>
      <c r="O63" s="113"/>
      <c r="P63" s="115">
        <f>IFERROR(__xludf.DUMMYFUNCTION("IFERROR(COUNTUNIQUEIFS(ATTENDANCE_LOG!B:B,ATTENDANCE_LOG!C:C,A63),0)"),1.0)</f>
        <v>1</v>
      </c>
      <c r="Q63" s="113" t="str">
        <f t="array" ref="Q63">IFERROR(INDEX(ATTENDANCE_LOG!A:A,MATCH(1,(ATTENDANCE_LOG!C:C=A63)*(ATTENDANCE_LOG!F:F=MAXIFS(ATTENDANCE_LOG!F:F,ATTENDANCE_LOG!C:C,A63)),0)),"")</f>
        <v>EL039</v>
      </c>
      <c r="R63" s="113" t="str">
        <f t="array" ref="R63">IFERROR(INDEX(ATTENDANCE_LOG!B:B,MATCH(1,(ATTENDANCE_LOG!C:C=A63)*(ATTENDANCE_LOG!F:F=MAXIFS(ATTENDANCE_LOG!F:F,ATTENDANCE_LOG!C:C,A63)),0)),"")</f>
        <v>Communication 1</v>
      </c>
      <c r="S63" s="113">
        <f>IFERROR(VLOOKUP(H63, LEVEL_HELPER!A:B, 2, 0), 0)</f>
        <v>1</v>
      </c>
      <c r="T63" s="113">
        <f>IFERROR(VLOOKUP(I63, LEVEL_HELPER!A:B, 2, 0), 0)</f>
        <v>3.5</v>
      </c>
      <c r="U63" s="113">
        <f t="shared" ref="U63:V63" si="67">IF(S63="",0,IF(S63&lt;=2,1,IF(S63&lt;=4,2,IF(S63&lt;=5.5,3,4))))
</f>
        <v>1</v>
      </c>
      <c r="V63" s="113">
        <f t="shared" si="67"/>
        <v>2</v>
      </c>
      <c r="W63" s="113" t="str">
        <f t="shared" si="6"/>
        <v>Lv1→Lv2</v>
      </c>
      <c r="X63" s="113"/>
      <c r="Y63" s="113">
        <v>247278.0</v>
      </c>
      <c r="Z63" s="113" t="s">
        <v>190</v>
      </c>
      <c r="AA63" s="113" t="s">
        <v>34</v>
      </c>
      <c r="AB63" s="116"/>
      <c r="AC63" s="116"/>
      <c r="AD63" s="117"/>
    </row>
    <row r="64" ht="15.75" customHeight="1">
      <c r="A64" s="104" t="s">
        <v>320</v>
      </c>
      <c r="B64" s="105" t="s">
        <v>321</v>
      </c>
      <c r="C64" s="106" t="str">
        <f>IFERROR(__xludf.DUMMYFUNCTION("arrayformula(VLOOKUP(to_Text(A64),to_Text(sheet2!$A$1:M1005),13,0))"),"MOC")</f>
        <v>MOC</v>
      </c>
      <c r="D64" s="107" t="str">
        <f>IFERROR(__xludf.DUMMYFUNCTION("arrayformula(VLOOKUP(to_Text(A64),to_Text(sheet2!$A$1:M1005),12,0))"),"DEV")</f>
        <v>DEV</v>
      </c>
      <c r="E64" s="108" t="str">
        <f t="shared" si="2"/>
        <v>Inactive</v>
      </c>
      <c r="F64" s="104" t="str">
        <f t="array" ref="F64">IFERROR(
  INDEX(ATTENDANCE_INPUT!D:D,
    MATCH(1,
      (ATTENDANCE_INPUT!A:A=A64) *
      (ATTENDANCE_INPUT!W:W=MAXIFS(ATTENDANCE_INPUT!W:W, ATTENDANCE_INPUT!A:A, A64)),
      0)),
  "")</f>
        <v>Huy Nguyen</v>
      </c>
      <c r="G64" s="109" t="str">
        <f t="array" ref="G64">IFERROR(
  INDEX(ATTENDANCE_INPUT!E:E,
    MATCH(1,
      (ATTENDANCE_INPUT!A:A=A64) *
      (ATTENDANCE_INPUT!W:W=MAXIFS(ATTENDANCE_INPUT!W:W, ATTENDANCE_INPUT!A:A, A64)),
      0)),
  "")</f>
        <v>Communication 1</v>
      </c>
      <c r="H64" s="110" t="str">
        <f t="array" ref="H64">IF(ISNA(MATCH(A64,sheet2!A:A,0)),"⏳ Chưa test",IFERROR(INDEX(LEVEL_HELPER!A:A,MATCH(INDEX(sheet2!N:N,MATCH(A64,sheet2!A:A,0)),LEVEL_HELPER!B:B,0)),"⏳ Chưa test"))</f>
        <v>Beginner</v>
      </c>
      <c r="I64" s="110" t="str">
        <f t="array" ref="I64">IF(ISNA(MATCH(A64,sheet2!A:A,0)),H64,IF(INDEX(sheet2!O:O,MATCH(A64,sheet2!A:A,0))&gt;0,IFERROR(INDEX(LEVEL_HELPER!A:A,MATCH(INDEX(sheet2!O:O,MATCH(A64,sheet2!A:A,0)),LEVEL_HELPER!B:B,0)),H64),H64))</f>
        <v>Pre-Intermediate 1</v>
      </c>
      <c r="J64" s="110">
        <f>IFERROR(MAXIFS(ATTENDANCE_LOG!F:F, ATTENDANCE_LOG!C:C, A64&amp;"", ATTENDANCE_LOG!G:G, "Present"), "")</f>
        <v>45959.41667</v>
      </c>
      <c r="K64" s="111">
        <f t="shared" si="3"/>
        <v>253.5833333</v>
      </c>
      <c r="L64" s="112" t="str">
        <f t="shared" si="4"/>
        <v>✅ Completed</v>
      </c>
      <c r="M64" s="113" t="s">
        <v>35</v>
      </c>
      <c r="N64" s="114" t="s">
        <v>36</v>
      </c>
      <c r="O64" s="129"/>
      <c r="P64" s="115">
        <f>IFERROR(__xludf.DUMMYFUNCTION("IFERROR(COUNTUNIQUEIFS(ATTENDANCE_LOG!B:B,ATTENDANCE_LOG!C:C,A64),0)"),1.0)</f>
        <v>1</v>
      </c>
      <c r="Q64" s="113" t="str">
        <f t="array" ref="Q64">IFERROR(INDEX(ATTENDANCE_LOG!A:A,MATCH(1,(ATTENDANCE_LOG!C:C=A64)*(ATTENDANCE_LOG!F:F=MAXIFS(ATTENDANCE_LOG!F:F,ATTENDANCE_LOG!C:C,A64)),0)),"")</f>
        <v>EL039</v>
      </c>
      <c r="R64" s="113" t="str">
        <f t="array" ref="R64">IFERROR(INDEX(ATTENDANCE_LOG!B:B,MATCH(1,(ATTENDANCE_LOG!C:C=A64)*(ATTENDANCE_LOG!F:F=MAXIFS(ATTENDANCE_LOG!F:F,ATTENDANCE_LOG!C:C,A64)),0)),"")</f>
        <v>Communication 1</v>
      </c>
      <c r="S64" s="113">
        <f>IFERROR(VLOOKUP(H64, LEVEL_HELPER!A:B, 2, 0), 0)</f>
        <v>1</v>
      </c>
      <c r="T64" s="113">
        <f>IFERROR(VLOOKUP(I64, LEVEL_HELPER!A:B, 2, 0), 0)</f>
        <v>3</v>
      </c>
      <c r="U64" s="113">
        <f t="shared" ref="U64:V64" si="68">IF(S64="",0,IF(S64&lt;=2,1,IF(S64&lt;=4,2,IF(S64&lt;=5.5,3,4))))
</f>
        <v>1</v>
      </c>
      <c r="V64" s="113">
        <f t="shared" si="68"/>
        <v>2</v>
      </c>
      <c r="W64" s="113" t="str">
        <f t="shared" si="6"/>
        <v>Lv1→Lv2</v>
      </c>
      <c r="X64" s="113"/>
      <c r="Y64" s="113"/>
      <c r="Z64" s="113"/>
      <c r="AA64" s="113"/>
      <c r="AB64" s="116"/>
      <c r="AC64" s="116"/>
      <c r="AD64" s="117"/>
    </row>
    <row r="65" ht="15.75" customHeight="1">
      <c r="A65" s="104" t="s">
        <v>322</v>
      </c>
      <c r="B65" s="105" t="s">
        <v>323</v>
      </c>
      <c r="C65" s="106" t="str">
        <f>IFERROR(__xludf.DUMMYFUNCTION("arrayformula(VLOOKUP(to_Text(A65),to_Text(sheet2!$A$1:M1005),13,0))"),"LBU")</f>
        <v>LBU</v>
      </c>
      <c r="D65" s="107" t="str">
        <f>IFERROR(__xludf.DUMMYFUNCTION("arrayformula(VLOOKUP(to_Text(A65),to_Text(sheet2!$A$1:M1005),12,0))"),"DEV")</f>
        <v>DEV</v>
      </c>
      <c r="E65" s="108" t="str">
        <f t="shared" si="2"/>
        <v>Inactive</v>
      </c>
      <c r="F65" s="104" t="str">
        <f t="array" ref="F65">IFERROR(
  INDEX(ATTENDANCE_INPUT!D:D,
    MATCH(1,
      (ATTENDANCE_INPUT!A:A=A65) *
      (ATTENDANCE_INPUT!W:W=MAXIFS(ATTENDANCE_INPUT!W:W, ATTENDANCE_INPUT!A:A, A65)),
      0)),
  "")</f>
        <v>Huy Nguyen</v>
      </c>
      <c r="G65" s="109" t="str">
        <f t="array" ref="G65">IFERROR(
  INDEX(ATTENDANCE_INPUT!E:E,
    MATCH(1,
      (ATTENDANCE_INPUT!A:A=A65) *
      (ATTENDANCE_INPUT!W:W=MAXIFS(ATTENDANCE_INPUT!W:W, ATTENDANCE_INPUT!A:A, A65)),
      0)),
  "")</f>
        <v>Communication 1</v>
      </c>
      <c r="H65" s="110" t="str">
        <f t="array" ref="H65">IF(ISNA(MATCH(A65,sheet2!A:A,0)),"⏳ Chưa test",IFERROR(INDEX(LEVEL_HELPER!A:A,MATCH(INDEX(sheet2!N:N,MATCH(A65,sheet2!A:A,0)),LEVEL_HELPER!B:B,0)),"⏳ Chưa test"))</f>
        <v>Beginner</v>
      </c>
      <c r="I65" s="110" t="str">
        <f t="array" ref="I65">IF(ISNA(MATCH(A65,sheet2!A:A,0)),H65,IF(INDEX(sheet2!O:O,MATCH(A65,sheet2!A:A,0))&gt;0,IFERROR(INDEX(LEVEL_HELPER!A:A,MATCH(INDEX(sheet2!O:O,MATCH(A65,sheet2!A:A,0)),LEVEL_HELPER!B:B,0)),H65),H65))</f>
        <v>Beginner 2</v>
      </c>
      <c r="J65" s="110">
        <f>IFERROR(MAXIFS(ATTENDANCE_LOG!F:F, ATTENDANCE_LOG!C:C, A65&amp;"", ATTENDANCE_LOG!G:G, "Present"), "")</f>
        <v>45959.41667</v>
      </c>
      <c r="K65" s="111">
        <f t="shared" si="3"/>
        <v>253.5833333</v>
      </c>
      <c r="L65" s="112" t="str">
        <f t="shared" si="4"/>
        <v>❌ Dropped</v>
      </c>
      <c r="M65" s="113" t="s">
        <v>37</v>
      </c>
      <c r="N65" s="114" t="s">
        <v>34</v>
      </c>
      <c r="O65" s="113"/>
      <c r="P65" s="115">
        <f>IFERROR(__xludf.DUMMYFUNCTION("IFERROR(COUNTUNIQUEIFS(ATTENDANCE_LOG!B:B,ATTENDANCE_LOG!C:C,A65),0)"),1.0)</f>
        <v>1</v>
      </c>
      <c r="Q65" s="113" t="str">
        <f t="array" ref="Q65">IFERROR(INDEX(ATTENDANCE_LOG!A:A,MATCH(1,(ATTENDANCE_LOG!C:C=A65)*(ATTENDANCE_LOG!F:F=MAXIFS(ATTENDANCE_LOG!F:F,ATTENDANCE_LOG!C:C,A65)),0)),"")</f>
        <v>EL039</v>
      </c>
      <c r="R65" s="113" t="str">
        <f t="array" ref="R65">IFERROR(INDEX(ATTENDANCE_LOG!B:B,MATCH(1,(ATTENDANCE_LOG!C:C=A65)*(ATTENDANCE_LOG!F:F=MAXIFS(ATTENDANCE_LOG!F:F,ATTENDANCE_LOG!C:C,A65)),0)),"")</f>
        <v>Communication 1</v>
      </c>
      <c r="S65" s="113">
        <f>IFERROR(VLOOKUP(H65, LEVEL_HELPER!A:B, 2, 0), 0)</f>
        <v>1</v>
      </c>
      <c r="T65" s="113">
        <f>IFERROR(VLOOKUP(I65, LEVEL_HELPER!A:B, 2, 0), 0)</f>
        <v>1.5</v>
      </c>
      <c r="U65" s="113">
        <f t="shared" ref="U65:V65" si="69">IF(S65="",0,IF(S65&lt;=2,1,IF(S65&lt;=4,2,IF(S65&lt;=5.5,3,4))))
</f>
        <v>1</v>
      </c>
      <c r="V65" s="113">
        <f t="shared" si="69"/>
        <v>1</v>
      </c>
      <c r="W65" s="113" t="str">
        <f t="shared" si="6"/>
        <v>Minor Improvement</v>
      </c>
      <c r="X65" s="113"/>
      <c r="Y65" s="113"/>
      <c r="Z65" s="113"/>
      <c r="AA65" s="113"/>
      <c r="AB65" s="116"/>
      <c r="AC65" s="116"/>
      <c r="AD65" s="117"/>
    </row>
    <row r="66" ht="15.75" customHeight="1">
      <c r="A66" s="104" t="s">
        <v>324</v>
      </c>
      <c r="B66" s="105" t="s">
        <v>325</v>
      </c>
      <c r="C66" s="106" t="str">
        <f>IFERROR(__xludf.DUMMYFUNCTION("arrayformula(VLOOKUP(to_Text(A66),to_Text(sheet2!$A$1:M1005),13,0))"),"ONC")</f>
        <v>ONC</v>
      </c>
      <c r="D66" s="107" t="str">
        <f>IFERROR(__xludf.DUMMYFUNCTION("arrayformula(VLOOKUP(to_Text(A66),to_Text(sheet2!$A$1:M1005),12,0))"),"Management")</f>
        <v>Management</v>
      </c>
      <c r="E66" s="108" t="str">
        <f t="shared" si="2"/>
        <v>Inactive</v>
      </c>
      <c r="F66" s="104" t="str">
        <f t="array" ref="F66">IFERROR(
  INDEX(ATTENDANCE_INPUT!D:D,
    MATCH(1,
      (ATTENDANCE_INPUT!A:A=A66) *
      (ATTENDANCE_INPUT!W:W=MAXIFS(ATTENDANCE_INPUT!W:W, ATTENDANCE_INPUT!A:A, A66)),
      0)),
  "")</f>
        <v>Huy Nguyen</v>
      </c>
      <c r="G66" s="109" t="str">
        <f t="array" ref="G66">IFERROR(
  INDEX(ATTENDANCE_INPUT!E:E,
    MATCH(1,
      (ATTENDANCE_INPUT!A:A=A66) *
      (ATTENDANCE_INPUT!W:W=MAXIFS(ATTENDANCE_INPUT!W:W, ATTENDANCE_INPUT!A:A, A66)),
      0)),
  "")</f>
        <v>Communication 1</v>
      </c>
      <c r="H66" s="110" t="str">
        <f t="array" ref="H66">IF(ISNA(MATCH(A66,sheet2!A:A,0)),"⏳ Chưa test",IFERROR(INDEX(LEVEL_HELPER!A:A,MATCH(INDEX(sheet2!N:N,MATCH(A66,sheet2!A:A,0)),LEVEL_HELPER!B:B,0)),"⏳ Chưa test"))</f>
        <v>Pre-Intermediate</v>
      </c>
      <c r="I66" s="110" t="str">
        <f t="array" ref="I66">IF(ISNA(MATCH(A66,sheet2!A:A,0)),H66,IF(INDEX(sheet2!O:O,MATCH(A66,sheet2!A:A,0))&gt;0,IFERROR(INDEX(LEVEL_HELPER!A:A,MATCH(INDEX(sheet2!O:O,MATCH(A66,sheet2!A:A,0)),LEVEL_HELPER!B:B,0)),H66),H66))</f>
        <v>Pre-Intermediate</v>
      </c>
      <c r="J66" s="110">
        <f>IFERROR(MAXIFS(ATTENDANCE_LOG!F:F, ATTENDANCE_LOG!C:C, A66&amp;"", ATTENDANCE_LOG!G:G, "Present"), "")</f>
        <v>45896.58333</v>
      </c>
      <c r="K66" s="111">
        <f t="shared" si="3"/>
        <v>316.4166667</v>
      </c>
      <c r="L66" s="112" t="str">
        <f t="shared" si="4"/>
        <v>❌ Dropped</v>
      </c>
      <c r="M66" s="113" t="s">
        <v>37</v>
      </c>
      <c r="N66" s="114" t="s">
        <v>34</v>
      </c>
      <c r="O66" s="113"/>
      <c r="P66" s="115">
        <f>IFERROR(__xludf.DUMMYFUNCTION("IFERROR(COUNTUNIQUEIFS(ATTENDANCE_LOG!B:B,ATTENDANCE_LOG!C:C,A66),0)"),1.0)</f>
        <v>1</v>
      </c>
      <c r="Q66" s="113" t="str">
        <f t="array" ref="Q66">IFERROR(INDEX(ATTENDANCE_LOG!A:A,MATCH(1,(ATTENDANCE_LOG!C:C=A66)*(ATTENDANCE_LOG!F:F=MAXIFS(ATTENDANCE_LOG!F:F,ATTENDANCE_LOG!C:C,A66)),0)),"")</f>
        <v>EL039</v>
      </c>
      <c r="R66" s="113" t="str">
        <f t="array" ref="R66">IFERROR(INDEX(ATTENDANCE_LOG!B:B,MATCH(1,(ATTENDANCE_LOG!C:C=A66)*(ATTENDANCE_LOG!F:F=MAXIFS(ATTENDANCE_LOG!F:F,ATTENDANCE_LOG!C:C,A66)),0)),"")</f>
        <v>Communication 1</v>
      </c>
      <c r="S66" s="113">
        <f>IFERROR(VLOOKUP(H66, LEVEL_HELPER!A:B, 2, 0), 0)</f>
        <v>2.5</v>
      </c>
      <c r="T66" s="113">
        <f>IFERROR(VLOOKUP(I66, LEVEL_HELPER!A:B, 2, 0), 0)</f>
        <v>2.5</v>
      </c>
      <c r="U66" s="113">
        <f t="shared" ref="U66:V66" si="70">IF(S66="",0,IF(S66&lt;=2,1,IF(S66&lt;=4,2,IF(S66&lt;=5.5,3,4))))
</f>
        <v>2</v>
      </c>
      <c r="V66" s="113">
        <f t="shared" si="70"/>
        <v>2</v>
      </c>
      <c r="W66" s="113" t="str">
        <f t="shared" si="6"/>
        <v>No Progress</v>
      </c>
      <c r="X66" s="128"/>
      <c r="Y66" s="128"/>
      <c r="Z66" s="128"/>
      <c r="AA66" s="128"/>
      <c r="AB66" s="116"/>
      <c r="AC66" s="116"/>
      <c r="AD66" s="117"/>
    </row>
    <row r="67" ht="15.75" customHeight="1">
      <c r="A67" s="104" t="s">
        <v>326</v>
      </c>
      <c r="B67" s="105" t="s">
        <v>327</v>
      </c>
      <c r="C67" s="106" t="str">
        <f>IFERROR(__xludf.DUMMYFUNCTION("arrayformula(VLOOKUP(to_Text(A67),to_Text(sheet2!$A$1:M1005),13,0))"),"LBU")</f>
        <v>LBU</v>
      </c>
      <c r="D67" s="107" t="str">
        <f>IFERROR(__xludf.DUMMYFUNCTION("arrayformula(VLOOKUP(to_Text(A67),to_Text(sheet2!$A$1:M1005),12,0))"),"DEV")</f>
        <v>DEV</v>
      </c>
      <c r="E67" s="108" t="str">
        <f t="shared" si="2"/>
        <v>Inactive</v>
      </c>
      <c r="F67" s="104" t="str">
        <f t="array" ref="F67">IFERROR(
  INDEX(ATTENDANCE_INPUT!D:D,
    MATCH(1,
      (ATTENDANCE_INPUT!A:A=A67) *
      (ATTENDANCE_INPUT!W:W=MAXIFS(ATTENDANCE_INPUT!W:W, ATTENDANCE_INPUT!A:A, A67)),
      0)),
  "")</f>
        <v>Huy Nguyen</v>
      </c>
      <c r="G67" s="109" t="str">
        <f t="array" ref="G67">IFERROR(
  INDEX(ATTENDANCE_INPUT!E:E,
    MATCH(1,
      (ATTENDANCE_INPUT!A:A=A67) *
      (ATTENDANCE_INPUT!W:W=MAXIFS(ATTENDANCE_INPUT!W:W, ATTENDANCE_INPUT!A:A, A67)),
      0)),
  "")</f>
        <v>Communication 1</v>
      </c>
      <c r="H67" s="110" t="str">
        <f t="array" ref="H67">IF(ISNA(MATCH(A67,sheet2!A:A,0)),"⏳ Chưa test",IFERROR(INDEX(LEVEL_HELPER!A:A,MATCH(INDEX(sheet2!N:N,MATCH(A67,sheet2!A:A,0)),LEVEL_HELPER!B:B,0)),"⏳ Chưa test"))</f>
        <v>Beginner</v>
      </c>
      <c r="I67" s="110" t="str">
        <f t="array" ref="I67">IF(ISNA(MATCH(A67,sheet2!A:A,0)),H67,IF(INDEX(sheet2!O:O,MATCH(A67,sheet2!A:A,0))&gt;0,IFERROR(INDEX(LEVEL_HELPER!A:A,MATCH(INDEX(sheet2!O:O,MATCH(A67,sheet2!A:A,0)),LEVEL_HELPER!B:B,0)),H67),H67))</f>
        <v>Beginner 2</v>
      </c>
      <c r="J67" s="110">
        <f>IFERROR(MAXIFS(ATTENDANCE_LOG!F:F, ATTENDANCE_LOG!C:C, A67&amp;"", ATTENDANCE_LOG!G:G, "Present"), "")</f>
        <v>45959.41667</v>
      </c>
      <c r="K67" s="111">
        <f t="shared" si="3"/>
        <v>253.5833333</v>
      </c>
      <c r="L67" s="112" t="str">
        <f t="shared" si="4"/>
        <v>❌ Dropped</v>
      </c>
      <c r="M67" s="113" t="s">
        <v>37</v>
      </c>
      <c r="N67" s="114" t="s">
        <v>34</v>
      </c>
      <c r="O67" s="113" t="s">
        <v>328</v>
      </c>
      <c r="P67" s="115">
        <f>IFERROR(__xludf.DUMMYFUNCTION("IFERROR(COUNTUNIQUEIFS(ATTENDANCE_LOG!B:B,ATTENDANCE_LOG!C:C,A67),0)"),1.0)</f>
        <v>1</v>
      </c>
      <c r="Q67" s="113" t="str">
        <f t="array" ref="Q67">IFERROR(INDEX(ATTENDANCE_LOG!A:A,MATCH(1,(ATTENDANCE_LOG!C:C=A67)*(ATTENDANCE_LOG!F:F=MAXIFS(ATTENDANCE_LOG!F:F,ATTENDANCE_LOG!C:C,A67)),0)),"")</f>
        <v>EL039</v>
      </c>
      <c r="R67" s="113" t="str">
        <f t="array" ref="R67">IFERROR(INDEX(ATTENDANCE_LOG!B:B,MATCH(1,(ATTENDANCE_LOG!C:C=A67)*(ATTENDANCE_LOG!F:F=MAXIFS(ATTENDANCE_LOG!F:F,ATTENDANCE_LOG!C:C,A67)),0)),"")</f>
        <v>Communication 1</v>
      </c>
      <c r="S67" s="113">
        <f>IFERROR(VLOOKUP(H67, LEVEL_HELPER!A:B, 2, 0), 0)</f>
        <v>1</v>
      </c>
      <c r="T67" s="113">
        <f>IFERROR(VLOOKUP(I67, LEVEL_HELPER!A:B, 2, 0), 0)</f>
        <v>1.5</v>
      </c>
      <c r="U67" s="113">
        <f t="shared" ref="U67:V67" si="71">IF(S67="",0,IF(S67&lt;=2,1,IF(S67&lt;=4,2,IF(S67&lt;=5.5,3,4))))
</f>
        <v>1</v>
      </c>
      <c r="V67" s="113">
        <f t="shared" si="71"/>
        <v>1</v>
      </c>
      <c r="W67" s="113" t="str">
        <f t="shared" si="6"/>
        <v>Minor Improvement</v>
      </c>
      <c r="X67" s="113"/>
      <c r="Y67" s="113"/>
      <c r="Z67" s="113"/>
      <c r="AA67" s="113"/>
      <c r="AB67" s="116"/>
      <c r="AC67" s="116"/>
      <c r="AD67" s="117"/>
    </row>
    <row r="68" ht="15.75" customHeight="1">
      <c r="A68" s="104" t="s">
        <v>329</v>
      </c>
      <c r="B68" s="105" t="s">
        <v>330</v>
      </c>
      <c r="C68" s="106" t="str">
        <f>IFERROR(__xludf.DUMMYFUNCTION("arrayformula(VLOOKUP(to_Text(A68),to_Text(sheet2!$A$1:M1005),13,0))"),"LBU")</f>
        <v>LBU</v>
      </c>
      <c r="D68" s="107" t="str">
        <f>IFERROR(__xludf.DUMMYFUNCTION("arrayformula(VLOOKUP(to_Text(A68),to_Text(sheet2!$A$1:M1005),12,0))"),"DEV")</f>
        <v>DEV</v>
      </c>
      <c r="E68" s="108" t="str">
        <f t="shared" si="2"/>
        <v>Inactive</v>
      </c>
      <c r="F68" s="104" t="str">
        <f t="array" ref="F68">IFERROR(
  INDEX(ATTENDANCE_INPUT!D:D,
    MATCH(1,
      (ATTENDANCE_INPUT!A:A=A68) *
      (ATTENDANCE_INPUT!W:W=MAXIFS(ATTENDANCE_INPUT!W:W, ATTENDANCE_INPUT!A:A, A68)),
      0)),
  "")</f>
        <v>Huy Nguyen</v>
      </c>
      <c r="G68" s="109" t="str">
        <f t="array" ref="G68">IFERROR(
  INDEX(ATTENDANCE_INPUT!E:E,
    MATCH(1,
      (ATTENDANCE_INPUT!A:A=A68) *
      (ATTENDANCE_INPUT!W:W=MAXIFS(ATTENDANCE_INPUT!W:W, ATTENDANCE_INPUT!A:A, A68)),
      0)),
  "")</f>
        <v>Communication 1</v>
      </c>
      <c r="H68" s="110" t="str">
        <f t="array" ref="H68">IF(ISNA(MATCH(A68,sheet2!A:A,0)),"⏳ Chưa test",IFERROR(INDEX(LEVEL_HELPER!A:A,MATCH(INDEX(sheet2!N:N,MATCH(A68,sheet2!A:A,0)),LEVEL_HELPER!B:B,0)),"⏳ Chưa test"))</f>
        <v>Beginner</v>
      </c>
      <c r="I68" s="110" t="str">
        <f t="array" ref="I68">IF(ISNA(MATCH(A68,sheet2!A:A,0)),H68,IF(INDEX(sheet2!O:O,MATCH(A68,sheet2!A:A,0))&gt;0,IFERROR(INDEX(LEVEL_HELPER!A:A,MATCH(INDEX(sheet2!O:O,MATCH(A68,sheet2!A:A,0)),LEVEL_HELPER!B:B,0)),H68),H68))</f>
        <v>Pre-Intermediate 2</v>
      </c>
      <c r="J68" s="110">
        <f>IFERROR(MAXIFS(ATTENDANCE_LOG!F:F, ATTENDANCE_LOG!C:C, A68&amp;"", ATTENDANCE_LOG!G:G, "Present"), "")</f>
        <v>45959.41667</v>
      </c>
      <c r="K68" s="111">
        <f t="shared" si="3"/>
        <v>253.5833333</v>
      </c>
      <c r="L68" s="112" t="str">
        <f t="shared" si="4"/>
        <v>❌ Dropped</v>
      </c>
      <c r="M68" s="113" t="s">
        <v>37</v>
      </c>
      <c r="N68" s="114" t="s">
        <v>34</v>
      </c>
      <c r="O68" s="113"/>
      <c r="P68" s="115">
        <f>IFERROR(__xludf.DUMMYFUNCTION("IFERROR(COUNTUNIQUEIFS(ATTENDANCE_LOG!B:B,ATTENDANCE_LOG!C:C,A68),0)"),1.0)</f>
        <v>1</v>
      </c>
      <c r="Q68" s="113" t="str">
        <f t="array" ref="Q68">IFERROR(INDEX(ATTENDANCE_LOG!A:A,MATCH(1,(ATTENDANCE_LOG!C:C=A68)*(ATTENDANCE_LOG!F:F=MAXIFS(ATTENDANCE_LOG!F:F,ATTENDANCE_LOG!C:C,A68)),0)),"")</f>
        <v>EL039</v>
      </c>
      <c r="R68" s="113" t="str">
        <f t="array" ref="R68">IFERROR(INDEX(ATTENDANCE_LOG!B:B,MATCH(1,(ATTENDANCE_LOG!C:C=A68)*(ATTENDANCE_LOG!F:F=MAXIFS(ATTENDANCE_LOG!F:F,ATTENDANCE_LOG!C:C,A68)),0)),"")</f>
        <v>Communication 1</v>
      </c>
      <c r="S68" s="113">
        <f>IFERROR(VLOOKUP(H68, LEVEL_HELPER!A:B, 2, 0), 0)</f>
        <v>1</v>
      </c>
      <c r="T68" s="113">
        <f>IFERROR(VLOOKUP(I68, LEVEL_HELPER!A:B, 2, 0), 0)</f>
        <v>3.5</v>
      </c>
      <c r="U68" s="113">
        <f t="shared" ref="U68:V68" si="72">IF(S68="",0,IF(S68&lt;=2,1,IF(S68&lt;=4,2,IF(S68&lt;=5.5,3,4))))
</f>
        <v>1</v>
      </c>
      <c r="V68" s="113">
        <f t="shared" si="72"/>
        <v>2</v>
      </c>
      <c r="W68" s="113" t="str">
        <f t="shared" si="6"/>
        <v>Lv1→Lv2</v>
      </c>
      <c r="X68" s="113"/>
      <c r="Y68" s="113"/>
      <c r="Z68" s="113"/>
      <c r="AA68" s="113"/>
      <c r="AB68" s="116"/>
      <c r="AC68" s="116"/>
      <c r="AD68" s="117"/>
    </row>
    <row r="69" ht="15.75" customHeight="1">
      <c r="A69" s="104" t="s">
        <v>331</v>
      </c>
      <c r="B69" s="105" t="s">
        <v>332</v>
      </c>
      <c r="C69" s="106" t="str">
        <f>IFERROR(__xludf.DUMMYFUNCTION("arrayformula(VLOOKUP(to_Text(A69),to_Text(sheet2!$A$1:M1005),13,0))"),"CHORUS")</f>
        <v>CHORUS</v>
      </c>
      <c r="D69" s="107" t="str">
        <f>IFERROR(__xludf.DUMMYFUNCTION("arrayformula(VLOOKUP(to_Text(A69),to_Text(sheet2!$A$1:M1005),12,0))"),"DEV")</f>
        <v>DEV</v>
      </c>
      <c r="E69" s="108" t="str">
        <f t="shared" si="2"/>
        <v>Inactive</v>
      </c>
      <c r="F69" s="104" t="str">
        <f t="array" ref="F69">IFERROR(
  INDEX(ATTENDANCE_INPUT!D:D,
    MATCH(1,
      (ATTENDANCE_INPUT!A:A=A69) *
      (ATTENDANCE_INPUT!W:W=MAXIFS(ATTENDANCE_INPUT!W:W, ATTENDANCE_INPUT!A:A, A69)),
      0)),
  "")</f>
        <v>Huy Tran 1</v>
      </c>
      <c r="G69" s="109" t="str">
        <f t="array" ref="G69">IFERROR(
  INDEX(ATTENDANCE_INPUT!E:E,
    MATCH(1,
      (ATTENDANCE_INPUT!A:A=A69) *
      (ATTENDANCE_INPUT!W:W=MAXIFS(ATTENDANCE_INPUT!W:W, ATTENDANCE_INPUT!A:A, A69)),
      0)),
  "")</f>
        <v>Communication 2</v>
      </c>
      <c r="H69" s="110" t="str">
        <f t="array" ref="H69">IF(ISNA(MATCH(A69,sheet2!A:A,0)),"⏳ Chưa test",IFERROR(INDEX(LEVEL_HELPER!A:A,MATCH(INDEX(sheet2!N:N,MATCH(A69,sheet2!A:A,0)),LEVEL_HELPER!B:B,0)),"⏳ Chưa test"))</f>
        <v>Beginner</v>
      </c>
      <c r="I69" s="110" t="str">
        <f t="array" ref="I69">IF(ISNA(MATCH(A69,sheet2!A:A,0)),H69,IF(INDEX(sheet2!O:O,MATCH(A69,sheet2!A:A,0))&gt;0,IFERROR(INDEX(LEVEL_HELPER!A:A,MATCH(INDEX(sheet2!O:O,MATCH(A69,sheet2!A:A,0)),LEVEL_HELPER!B:B,0)),H69),H69))</f>
        <v>Pre-Intermediate</v>
      </c>
      <c r="J69" s="110">
        <f>IFERROR(MAXIFS(ATTENDANCE_LOG!F:F, ATTENDANCE_LOG!C:C, A69&amp;"", ATTENDANCE_LOG!G:G, "Present"), "")</f>
        <v>45895.45833</v>
      </c>
      <c r="K69" s="111">
        <f t="shared" si="3"/>
        <v>317.5416667</v>
      </c>
      <c r="L69" s="112" t="str">
        <f t="shared" si="4"/>
        <v>❌ Dropped</v>
      </c>
      <c r="M69" s="113" t="s">
        <v>37</v>
      </c>
      <c r="N69" s="114" t="s">
        <v>34</v>
      </c>
      <c r="O69" s="121"/>
      <c r="P69" s="115">
        <f>IFERROR(__xludf.DUMMYFUNCTION("IFERROR(COUNTUNIQUEIFS(ATTENDANCE_LOG!B:B,ATTENDANCE_LOG!C:C,A69),0)"),2.0)</f>
        <v>2</v>
      </c>
      <c r="Q69" s="113" t="str">
        <f t="array" ref="Q69">IFERROR(INDEX(ATTENDANCE_LOG!A:A,MATCH(1,(ATTENDANCE_LOG!C:C=A69)*(ATTENDANCE_LOG!F:F=MAXIFS(ATTENDANCE_LOG!F:F,ATTENDANCE_LOG!C:C,A69)),0)),"")</f>
        <v>EL010</v>
      </c>
      <c r="R69" s="113" t="str">
        <f t="array" ref="R69">IFERROR(INDEX(ATTENDANCE_LOG!B:B,MATCH(1,(ATTENDANCE_LOG!C:C=A69)*(ATTENDANCE_LOG!F:F=MAXIFS(ATTENDANCE_LOG!F:F,ATTENDANCE_LOG!C:C,A69)),0)),"")</f>
        <v>Communication 2</v>
      </c>
      <c r="S69" s="113">
        <f>IFERROR(VLOOKUP(H69, LEVEL_HELPER!A:B, 2, 0), 0)</f>
        <v>1</v>
      </c>
      <c r="T69" s="113">
        <f>IFERROR(VLOOKUP(I69, LEVEL_HELPER!A:B, 2, 0), 0)</f>
        <v>2.5</v>
      </c>
      <c r="U69" s="113">
        <f t="shared" ref="U69:V69" si="73">IF(S69="",0,IF(S69&lt;=2,1,IF(S69&lt;=4,2,IF(S69&lt;=5.5,3,4))))
</f>
        <v>1</v>
      </c>
      <c r="V69" s="113">
        <f t="shared" si="73"/>
        <v>2</v>
      </c>
      <c r="W69" s="113" t="str">
        <f t="shared" si="6"/>
        <v>Lv1→Lv2</v>
      </c>
      <c r="X69" s="130"/>
      <c r="Y69" s="130"/>
      <c r="Z69" s="130"/>
      <c r="AA69" s="130"/>
      <c r="AB69" s="102"/>
      <c r="AC69" s="102"/>
      <c r="AD69" s="103"/>
    </row>
    <row r="70" ht="15.75" customHeight="1">
      <c r="A70" s="104" t="s">
        <v>333</v>
      </c>
      <c r="B70" s="105" t="s">
        <v>334</v>
      </c>
      <c r="C70" s="106" t="str">
        <f>IFERROR(__xludf.DUMMYFUNCTION("arrayformula(VLOOKUP(to_Text(A70),to_Text(sheet2!$A$1:M1005),13,0))"),"CHORUS")</f>
        <v>CHORUS</v>
      </c>
      <c r="D70" s="107" t="str">
        <f>IFERROR(__xludf.DUMMYFUNCTION("arrayformula(VLOOKUP(to_Text(A70),to_Text(sheet2!$A$1:M1005),12,0))"),"DEV")</f>
        <v>DEV</v>
      </c>
      <c r="E70" s="108" t="str">
        <f t="shared" si="2"/>
        <v>Inactive</v>
      </c>
      <c r="F70" s="104" t="str">
        <f t="array" ref="F70">IFERROR(
  INDEX(ATTENDANCE_INPUT!D:D,
    MATCH(1,
      (ATTENDANCE_INPUT!A:A=A70) *
      (ATTENDANCE_INPUT!W:W=MAXIFS(ATTENDANCE_INPUT!W:W, ATTENDANCE_INPUT!A:A, A70)),
      0)),
  "")</f>
        <v>Huy Tran 1</v>
      </c>
      <c r="G70" s="109" t="str">
        <f t="array" ref="G70">IFERROR(
  INDEX(ATTENDANCE_INPUT!E:E,
    MATCH(1,
      (ATTENDANCE_INPUT!A:A=A70) *
      (ATTENDANCE_INPUT!W:W=MAXIFS(ATTENDANCE_INPUT!W:W, ATTENDANCE_INPUT!A:A, A70)),
      0)),
  "")</f>
        <v>Communication 2</v>
      </c>
      <c r="H70" s="110" t="str">
        <f t="array" ref="H70">IF(ISNA(MATCH(A70,sheet2!A:A,0)),"⏳ Chưa test",IFERROR(INDEX(LEVEL_HELPER!A:A,MATCH(INDEX(sheet2!N:N,MATCH(A70,sheet2!A:A,0)),LEVEL_HELPER!B:B,0)),"⏳ Chưa test"))</f>
        <v>Pre-Intermediate</v>
      </c>
      <c r="I70" s="110" t="str">
        <f t="array" ref="I70">IF(ISNA(MATCH(A70,sheet2!A:A,0)),H70,IF(INDEX(sheet2!O:O,MATCH(A70,sheet2!A:A,0))&gt;0,IFERROR(INDEX(LEVEL_HELPER!A:A,MATCH(INDEX(sheet2!O:O,MATCH(A70,sheet2!A:A,0)),LEVEL_HELPER!B:B,0)),H70),H70))</f>
        <v>Pre-Intermediate</v>
      </c>
      <c r="J70" s="110">
        <f>IFERROR(MAXIFS(ATTENDANCE_LOG!F:F, ATTENDANCE_LOG!C:C, A70&amp;"", ATTENDANCE_LOG!G:G, "Present"), "")</f>
        <v>45895.45833</v>
      </c>
      <c r="K70" s="111">
        <f t="shared" si="3"/>
        <v>317.5416667</v>
      </c>
      <c r="L70" s="112" t="str">
        <f t="shared" si="4"/>
        <v>❌ Dropped</v>
      </c>
      <c r="M70" s="113" t="s">
        <v>37</v>
      </c>
      <c r="N70" s="114" t="s">
        <v>34</v>
      </c>
      <c r="O70" s="113"/>
      <c r="P70" s="115">
        <f>IFERROR(__xludf.DUMMYFUNCTION("IFERROR(COUNTUNIQUEIFS(ATTENDANCE_LOG!B:B,ATTENDANCE_LOG!C:C,A70),0)"),2.0)</f>
        <v>2</v>
      </c>
      <c r="Q70" s="113" t="str">
        <f t="array" ref="Q70">IFERROR(INDEX(ATTENDANCE_LOG!A:A,MATCH(1,(ATTENDANCE_LOG!C:C=A70)*(ATTENDANCE_LOG!F:F=MAXIFS(ATTENDANCE_LOG!F:F,ATTENDANCE_LOG!C:C,A70)),0)),"")</f>
        <v>EL010</v>
      </c>
      <c r="R70" s="113" t="str">
        <f t="array" ref="R70">IFERROR(INDEX(ATTENDANCE_LOG!B:B,MATCH(1,(ATTENDANCE_LOG!C:C=A70)*(ATTENDANCE_LOG!F:F=MAXIFS(ATTENDANCE_LOG!F:F,ATTENDANCE_LOG!C:C,A70)),0)),"")</f>
        <v>Communication 2</v>
      </c>
      <c r="S70" s="113">
        <f>IFERROR(VLOOKUP(H70, LEVEL_HELPER!A:B, 2, 0), 0)</f>
        <v>2.5</v>
      </c>
      <c r="T70" s="113">
        <f>IFERROR(VLOOKUP(I70, LEVEL_HELPER!A:B, 2, 0), 0)</f>
        <v>2.5</v>
      </c>
      <c r="U70" s="113">
        <f t="shared" ref="U70:V70" si="74">IF(S70="",0,IF(S70&lt;=2,1,IF(S70&lt;=4,2,IF(S70&lt;=5.5,3,4))))
</f>
        <v>2</v>
      </c>
      <c r="V70" s="113">
        <f t="shared" si="74"/>
        <v>2</v>
      </c>
      <c r="W70" s="113" t="str">
        <f t="shared" si="6"/>
        <v>No Progress</v>
      </c>
      <c r="X70" s="128"/>
      <c r="Y70" s="128"/>
      <c r="Z70" s="128"/>
      <c r="AA70" s="128"/>
      <c r="AB70" s="116"/>
      <c r="AC70" s="116"/>
      <c r="AD70" s="117"/>
    </row>
    <row r="71" ht="15.75" customHeight="1">
      <c r="A71" s="104" t="s">
        <v>335</v>
      </c>
      <c r="B71" s="105" t="s">
        <v>336</v>
      </c>
      <c r="C71" s="106" t="str">
        <f>IFERROR(__xludf.DUMMYFUNCTION("arrayformula(VLOOKUP(to_Text(A71),to_Text(sheet2!$A$1:M1005),13,0))"),"CHORUS")</f>
        <v>CHORUS</v>
      </c>
      <c r="D71" s="107" t="str">
        <f>IFERROR(__xludf.DUMMYFUNCTION("arrayformula(VLOOKUP(to_Text(A71),to_Text(sheet2!$A$1:M1005),12,0))"),"DEV")</f>
        <v>DEV</v>
      </c>
      <c r="E71" s="108" t="str">
        <f t="shared" si="2"/>
        <v>Inactive</v>
      </c>
      <c r="F71" s="104" t="str">
        <f t="array" ref="F71">IFERROR(
  INDEX(ATTENDANCE_INPUT!D:D,
    MATCH(1,
      (ATTENDANCE_INPUT!A:A=A71) *
      (ATTENDANCE_INPUT!W:W=MAXIFS(ATTENDANCE_INPUT!W:W, ATTENDANCE_INPUT!A:A, A71)),
      0)),
  "")</f>
        <v>Huy Tran 1</v>
      </c>
      <c r="G71" s="109" t="str">
        <f t="array" ref="G71">IFERROR(
  INDEX(ATTENDANCE_INPUT!E:E,
    MATCH(1,
      (ATTENDANCE_INPUT!A:A=A71) *
      (ATTENDANCE_INPUT!W:W=MAXIFS(ATTENDANCE_INPUT!W:W, ATTENDANCE_INPUT!A:A, A71)),
      0)),
  "")</f>
        <v>Communication 2</v>
      </c>
      <c r="H71" s="110" t="str">
        <f t="array" ref="H71">IF(ISNA(MATCH(A71,sheet2!A:A,0)),"⏳ Chưa test",IFERROR(INDEX(LEVEL_HELPER!A:A,MATCH(INDEX(sheet2!N:N,MATCH(A71,sheet2!A:A,0)),LEVEL_HELPER!B:B,0)),"⏳ Chưa test"))</f>
        <v>Beginner</v>
      </c>
      <c r="I71" s="110" t="str">
        <f t="array" ref="I71">IF(ISNA(MATCH(A71,sheet2!A:A,0)),H71,IF(INDEX(sheet2!O:O,MATCH(A71,sheet2!A:A,0))&gt;0,IFERROR(INDEX(LEVEL_HELPER!A:A,MATCH(INDEX(sheet2!O:O,MATCH(A71,sheet2!A:A,0)),LEVEL_HELPER!B:B,0)),H71),H71))</f>
        <v>Pre-Intermediate</v>
      </c>
      <c r="J71" s="110">
        <f>IFERROR(MAXIFS(ATTENDANCE_LOG!F:F, ATTENDANCE_LOG!C:C, A71&amp;"", ATTENDANCE_LOG!G:G, "Present"), "")</f>
        <v>45895.45833</v>
      </c>
      <c r="K71" s="111">
        <f t="shared" si="3"/>
        <v>317.5416667</v>
      </c>
      <c r="L71" s="112" t="str">
        <f t="shared" si="4"/>
        <v>❌ Dropped</v>
      </c>
      <c r="M71" s="113" t="s">
        <v>37</v>
      </c>
      <c r="N71" s="114" t="s">
        <v>34</v>
      </c>
      <c r="O71" s="113"/>
      <c r="P71" s="115">
        <f>IFERROR(__xludf.DUMMYFUNCTION("IFERROR(COUNTUNIQUEIFS(ATTENDANCE_LOG!B:B,ATTENDANCE_LOG!C:C,A71),0)"),2.0)</f>
        <v>2</v>
      </c>
      <c r="Q71" s="113" t="str">
        <f t="array" ref="Q71">IFERROR(INDEX(ATTENDANCE_LOG!A:A,MATCH(1,(ATTENDANCE_LOG!C:C=A71)*(ATTENDANCE_LOG!F:F=MAXIFS(ATTENDANCE_LOG!F:F,ATTENDANCE_LOG!C:C,A71)),0)),"")</f>
        <v>EL010</v>
      </c>
      <c r="R71" s="113" t="str">
        <f t="array" ref="R71">IFERROR(INDEX(ATTENDANCE_LOG!B:B,MATCH(1,(ATTENDANCE_LOG!C:C=A71)*(ATTENDANCE_LOG!F:F=MAXIFS(ATTENDANCE_LOG!F:F,ATTENDANCE_LOG!C:C,A71)),0)),"")</f>
        <v>Communication 2</v>
      </c>
      <c r="S71" s="113">
        <f>IFERROR(VLOOKUP(H71, LEVEL_HELPER!A:B, 2, 0), 0)</f>
        <v>1</v>
      </c>
      <c r="T71" s="113">
        <f>IFERROR(VLOOKUP(I71, LEVEL_HELPER!A:B, 2, 0), 0)</f>
        <v>2.5</v>
      </c>
      <c r="U71" s="113">
        <f t="shared" ref="U71:V71" si="75">IF(S71="",0,IF(S71&lt;=2,1,IF(S71&lt;=4,2,IF(S71&lt;=5.5,3,4))))
</f>
        <v>1</v>
      </c>
      <c r="V71" s="113">
        <f t="shared" si="75"/>
        <v>2</v>
      </c>
      <c r="W71" s="113" t="str">
        <f t="shared" si="6"/>
        <v>Lv1→Lv2</v>
      </c>
      <c r="X71" s="128"/>
      <c r="Y71" s="128"/>
      <c r="Z71" s="128"/>
      <c r="AA71" s="128"/>
      <c r="AB71" s="116"/>
      <c r="AC71" s="116"/>
      <c r="AD71" s="117"/>
    </row>
    <row r="72" ht="15.75" customHeight="1">
      <c r="A72" s="104" t="s">
        <v>337</v>
      </c>
      <c r="B72" s="105" t="s">
        <v>338</v>
      </c>
      <c r="C72" s="106" t="str">
        <f>IFERROR(__xludf.DUMMYFUNCTION("arrayformula(VLOOKUP(to_Text(A72),to_Text(sheet2!$A$1:M1005),13,0))"),"CHORUS")</f>
        <v>CHORUS</v>
      </c>
      <c r="D72" s="107" t="str">
        <f>IFERROR(__xludf.DUMMYFUNCTION("arrayformula(VLOOKUP(to_Text(A72),to_Text(sheet2!$A$1:M1005),12,0))"),"QC")</f>
        <v>QC</v>
      </c>
      <c r="E72" s="108" t="str">
        <f t="shared" si="2"/>
        <v>Inactive</v>
      </c>
      <c r="F72" s="104" t="str">
        <f t="array" ref="F72">IFERROR(
  INDEX(ATTENDANCE_INPUT!D:D,
    MATCH(1,
      (ATTENDANCE_INPUT!A:A=A72) *
      (ATTENDANCE_INPUT!W:W=MAXIFS(ATTENDANCE_INPUT!W:W, ATTENDANCE_INPUT!A:A, A72)),
      0)),
  "")</f>
        <v>Huy Tran 1</v>
      </c>
      <c r="G72" s="109" t="str">
        <f t="array" ref="G72">IFERROR(
  INDEX(ATTENDANCE_INPUT!E:E,
    MATCH(1,
      (ATTENDANCE_INPUT!A:A=A72) *
      (ATTENDANCE_INPUT!W:W=MAXIFS(ATTENDANCE_INPUT!W:W, ATTENDANCE_INPUT!A:A, A72)),
      0)),
  "")</f>
        <v>Communication 2</v>
      </c>
      <c r="H72" s="110" t="str">
        <f t="array" ref="H72">IF(ISNA(MATCH(A72,sheet2!A:A,0)),"⏳ Chưa test",IFERROR(INDEX(LEVEL_HELPER!A:A,MATCH(INDEX(sheet2!N:N,MATCH(A72,sheet2!A:A,0)),LEVEL_HELPER!B:B,0)),"⏳ Chưa test"))</f>
        <v>Beginner</v>
      </c>
      <c r="I72" s="110" t="str">
        <f t="array" ref="I72">IF(ISNA(MATCH(A72,sheet2!A:A,0)),H72,IF(INDEX(sheet2!O:O,MATCH(A72,sheet2!A:A,0))&gt;0,IFERROR(INDEX(LEVEL_HELPER!A:A,MATCH(INDEX(sheet2!O:O,MATCH(A72,sheet2!A:A,0)),LEVEL_HELPER!B:B,0)),H72),H72))</f>
        <v>Pre-Intermediate</v>
      </c>
      <c r="J72" s="110">
        <f>IFERROR(MAXIFS(ATTENDANCE_LOG!F:F, ATTENDANCE_LOG!C:C, A72&amp;"", ATTENDANCE_LOG!G:G, "Present"), "")</f>
        <v>45895.45833</v>
      </c>
      <c r="K72" s="111">
        <f t="shared" si="3"/>
        <v>317.5416667</v>
      </c>
      <c r="L72" s="112" t="str">
        <f t="shared" si="4"/>
        <v>❌ Dropped</v>
      </c>
      <c r="M72" s="113" t="s">
        <v>37</v>
      </c>
      <c r="N72" s="114" t="s">
        <v>34</v>
      </c>
      <c r="O72" s="113"/>
      <c r="P72" s="115">
        <f>IFERROR(__xludf.DUMMYFUNCTION("IFERROR(COUNTUNIQUEIFS(ATTENDANCE_LOG!B:B,ATTENDANCE_LOG!C:C,A72),0)"),2.0)</f>
        <v>2</v>
      </c>
      <c r="Q72" s="113" t="str">
        <f t="array" ref="Q72">IFERROR(INDEX(ATTENDANCE_LOG!A:A,MATCH(1,(ATTENDANCE_LOG!C:C=A72)*(ATTENDANCE_LOG!F:F=MAXIFS(ATTENDANCE_LOG!F:F,ATTENDANCE_LOG!C:C,A72)),0)),"")</f>
        <v>EL010</v>
      </c>
      <c r="R72" s="113" t="str">
        <f t="array" ref="R72">IFERROR(INDEX(ATTENDANCE_LOG!B:B,MATCH(1,(ATTENDANCE_LOG!C:C=A72)*(ATTENDANCE_LOG!F:F=MAXIFS(ATTENDANCE_LOG!F:F,ATTENDANCE_LOG!C:C,A72)),0)),"")</f>
        <v>Communication 2</v>
      </c>
      <c r="S72" s="113">
        <f>IFERROR(VLOOKUP(H72, LEVEL_HELPER!A:B, 2, 0), 0)</f>
        <v>1</v>
      </c>
      <c r="T72" s="113">
        <f>IFERROR(VLOOKUP(I72, LEVEL_HELPER!A:B, 2, 0), 0)</f>
        <v>2.5</v>
      </c>
      <c r="U72" s="113">
        <f t="shared" ref="U72:V72" si="76">IF(S72="",0,IF(S72&lt;=2,1,IF(S72&lt;=4,2,IF(S72&lt;=5.5,3,4))))
</f>
        <v>1</v>
      </c>
      <c r="V72" s="113">
        <f t="shared" si="76"/>
        <v>2</v>
      </c>
      <c r="W72" s="113" t="str">
        <f t="shared" si="6"/>
        <v>Lv1→Lv2</v>
      </c>
      <c r="X72" s="113"/>
      <c r="Y72" s="113"/>
      <c r="Z72" s="113"/>
      <c r="AA72" s="113"/>
      <c r="AB72" s="116"/>
      <c r="AC72" s="116"/>
      <c r="AD72" s="117"/>
    </row>
    <row r="73" ht="15.75" customHeight="1">
      <c r="A73" s="104" t="s">
        <v>339</v>
      </c>
      <c r="B73" s="105" t="s">
        <v>340</v>
      </c>
      <c r="C73" s="106" t="str">
        <f>IFERROR(__xludf.DUMMYFUNCTION("arrayformula(VLOOKUP(to_Text(A73),to_Text(sheet2!$A$1:M1005),13,0))"),"CHORUS")</f>
        <v>CHORUS</v>
      </c>
      <c r="D73" s="107" t="str">
        <f>IFERROR(__xludf.DUMMYFUNCTION("arrayformula(VLOOKUP(to_Text(A73),to_Text(sheet2!$A$1:M1005),12,0))"),"DEV")</f>
        <v>DEV</v>
      </c>
      <c r="E73" s="108" t="str">
        <f t="shared" si="2"/>
        <v>Inactive</v>
      </c>
      <c r="F73" s="104" t="str">
        <f t="array" ref="F73">IFERROR(
  INDEX(ATTENDANCE_INPUT!D:D,
    MATCH(1,
      (ATTENDANCE_INPUT!A:A=A73) *
      (ATTENDANCE_INPUT!W:W=MAXIFS(ATTENDANCE_INPUT!W:W, ATTENDANCE_INPUT!A:A, A73)),
      0)),
  "")</f>
        <v>Huy Tran 1</v>
      </c>
      <c r="G73" s="109" t="str">
        <f t="array" ref="G73">IFERROR(
  INDEX(ATTENDANCE_INPUT!E:E,
    MATCH(1,
      (ATTENDANCE_INPUT!A:A=A73) *
      (ATTENDANCE_INPUT!W:W=MAXIFS(ATTENDANCE_INPUT!W:W, ATTENDANCE_INPUT!A:A, A73)),
      0)),
  "")</f>
        <v>Communication 2</v>
      </c>
      <c r="H73" s="110" t="str">
        <f t="array" ref="H73">IF(ISNA(MATCH(A73,sheet2!A:A,0)),"⏳ Chưa test",IFERROR(INDEX(LEVEL_HELPER!A:A,MATCH(INDEX(sheet2!N:N,MATCH(A73,sheet2!A:A,0)),LEVEL_HELPER!B:B,0)),"⏳ Chưa test"))</f>
        <v>Beginner</v>
      </c>
      <c r="I73" s="110" t="str">
        <f t="array" ref="I73">IF(ISNA(MATCH(A73,sheet2!A:A,0)),H73,IF(INDEX(sheet2!O:O,MATCH(A73,sheet2!A:A,0))&gt;0,IFERROR(INDEX(LEVEL_HELPER!A:A,MATCH(INDEX(sheet2!O:O,MATCH(A73,sheet2!A:A,0)),LEVEL_HELPER!B:B,0)),H73),H73))</f>
        <v>Pre-Intermediate</v>
      </c>
      <c r="J73" s="110">
        <f>IFERROR(MAXIFS(ATTENDANCE_LOG!F:F, ATTENDANCE_LOG!C:C, A73&amp;"", ATTENDANCE_LOG!G:G, "Present"), "")</f>
        <v>45895.45833</v>
      </c>
      <c r="K73" s="111">
        <f t="shared" si="3"/>
        <v>317.5416667</v>
      </c>
      <c r="L73" s="112" t="str">
        <f t="shared" si="4"/>
        <v>❌ Dropped</v>
      </c>
      <c r="M73" s="113" t="s">
        <v>37</v>
      </c>
      <c r="N73" s="114" t="s">
        <v>34</v>
      </c>
      <c r="O73" s="113"/>
      <c r="P73" s="115">
        <f>IFERROR(__xludf.DUMMYFUNCTION("IFERROR(COUNTUNIQUEIFS(ATTENDANCE_LOG!B:B,ATTENDANCE_LOG!C:C,A73),0)"),2.0)</f>
        <v>2</v>
      </c>
      <c r="Q73" s="113" t="str">
        <f t="array" ref="Q73">IFERROR(INDEX(ATTENDANCE_LOG!A:A,MATCH(1,(ATTENDANCE_LOG!C:C=A73)*(ATTENDANCE_LOG!F:F=MAXIFS(ATTENDANCE_LOG!F:F,ATTENDANCE_LOG!C:C,A73)),0)),"")</f>
        <v>EL010</v>
      </c>
      <c r="R73" s="113" t="str">
        <f t="array" ref="R73">IFERROR(INDEX(ATTENDANCE_LOG!B:B,MATCH(1,(ATTENDANCE_LOG!C:C=A73)*(ATTENDANCE_LOG!F:F=MAXIFS(ATTENDANCE_LOG!F:F,ATTENDANCE_LOG!C:C,A73)),0)),"")</f>
        <v>Communication 2</v>
      </c>
      <c r="S73" s="113">
        <f>IFERROR(VLOOKUP(H73, LEVEL_HELPER!A:B, 2, 0), 0)</f>
        <v>1</v>
      </c>
      <c r="T73" s="113">
        <f>IFERROR(VLOOKUP(I73, LEVEL_HELPER!A:B, 2, 0), 0)</f>
        <v>2.5</v>
      </c>
      <c r="U73" s="113">
        <f t="shared" ref="U73:V73" si="77">IF(S73="",0,IF(S73&lt;=2,1,IF(S73&lt;=4,2,IF(S73&lt;=5.5,3,4))))
</f>
        <v>1</v>
      </c>
      <c r="V73" s="113">
        <f t="shared" si="77"/>
        <v>2</v>
      </c>
      <c r="W73" s="113" t="str">
        <f t="shared" si="6"/>
        <v>Lv1→Lv2</v>
      </c>
      <c r="X73" s="113"/>
      <c r="Y73" s="113"/>
      <c r="Z73" s="113"/>
      <c r="AA73" s="113"/>
      <c r="AB73" s="116"/>
      <c r="AC73" s="116"/>
      <c r="AD73" s="117"/>
    </row>
    <row r="74" ht="15.75" customHeight="1">
      <c r="A74" s="104" t="s">
        <v>341</v>
      </c>
      <c r="B74" s="105" t="s">
        <v>342</v>
      </c>
      <c r="C74" s="106" t="str">
        <f>IFERROR(__xludf.DUMMYFUNCTION("arrayformula(VLOOKUP(to_Text(A74),to_Text(sheet2!$A$1:M1005),13,0))"),"CHORUS")</f>
        <v>CHORUS</v>
      </c>
      <c r="D74" s="107" t="str">
        <f>IFERROR(__xludf.DUMMYFUNCTION("arrayformula(VLOOKUP(to_Text(A74),to_Text(sheet2!$A$1:M1005),12,0))"),"QC")</f>
        <v>QC</v>
      </c>
      <c r="E74" s="108" t="str">
        <f t="shared" si="2"/>
        <v>Inactive</v>
      </c>
      <c r="F74" s="104" t="str">
        <f t="array" ref="F74">IFERROR(
  INDEX(ATTENDANCE_INPUT!D:D,
    MATCH(1,
      (ATTENDANCE_INPUT!A:A=A74) *
      (ATTENDANCE_INPUT!W:W=MAXIFS(ATTENDANCE_INPUT!W:W, ATTENDANCE_INPUT!A:A, A74)),
      0)),
  "")</f>
        <v>Huy Tran 1</v>
      </c>
      <c r="G74" s="109" t="str">
        <f t="array" ref="G74">IFERROR(
  INDEX(ATTENDANCE_INPUT!E:E,
    MATCH(1,
      (ATTENDANCE_INPUT!A:A=A74) *
      (ATTENDANCE_INPUT!W:W=MAXIFS(ATTENDANCE_INPUT!W:W, ATTENDANCE_INPUT!A:A, A74)),
      0)),
  "")</f>
        <v>Communication 2</v>
      </c>
      <c r="H74" s="110" t="str">
        <f t="array" ref="H74">IF(ISNA(MATCH(A74,sheet2!A:A,0)),"⏳ Chưa test",IFERROR(INDEX(LEVEL_HELPER!A:A,MATCH(INDEX(sheet2!N:N,MATCH(A74,sheet2!A:A,0)),LEVEL_HELPER!B:B,0)),"⏳ Chưa test"))</f>
        <v>Pre-Intermediate</v>
      </c>
      <c r="I74" s="110" t="str">
        <f t="array" ref="I74">IF(ISNA(MATCH(A74,sheet2!A:A,0)),H74,IF(INDEX(sheet2!O:O,MATCH(A74,sheet2!A:A,0))&gt;0,IFERROR(INDEX(LEVEL_HELPER!A:A,MATCH(INDEX(sheet2!O:O,MATCH(A74,sheet2!A:A,0)),LEVEL_HELPER!B:B,0)),H74),H74))</f>
        <v>Pre-Intermediate</v>
      </c>
      <c r="J74" s="110">
        <f>IFERROR(MAXIFS(ATTENDANCE_LOG!F:F, ATTENDANCE_LOG!C:C, A74&amp;"", ATTENDANCE_LOG!G:G, "Present"), "")</f>
        <v>45895.45833</v>
      </c>
      <c r="K74" s="111">
        <f t="shared" si="3"/>
        <v>317.5416667</v>
      </c>
      <c r="L74" s="112" t="str">
        <f t="shared" si="4"/>
        <v>❌ Dropped</v>
      </c>
      <c r="M74" s="113" t="s">
        <v>37</v>
      </c>
      <c r="N74" s="114" t="s">
        <v>34</v>
      </c>
      <c r="O74" s="113"/>
      <c r="P74" s="115">
        <f>IFERROR(__xludf.DUMMYFUNCTION("IFERROR(COUNTUNIQUEIFS(ATTENDANCE_LOG!B:B,ATTENDANCE_LOG!C:C,A74),0)"),2.0)</f>
        <v>2</v>
      </c>
      <c r="Q74" s="113" t="str">
        <f t="array" ref="Q74">IFERROR(INDEX(ATTENDANCE_LOG!A:A,MATCH(1,(ATTENDANCE_LOG!C:C=A74)*(ATTENDANCE_LOG!F:F=MAXIFS(ATTENDANCE_LOG!F:F,ATTENDANCE_LOG!C:C,A74)),0)),"")</f>
        <v>EL010</v>
      </c>
      <c r="R74" s="113" t="str">
        <f t="array" ref="R74">IFERROR(INDEX(ATTENDANCE_LOG!B:B,MATCH(1,(ATTENDANCE_LOG!C:C=A74)*(ATTENDANCE_LOG!F:F=MAXIFS(ATTENDANCE_LOG!F:F,ATTENDANCE_LOG!C:C,A74)),0)),"")</f>
        <v>Communication 2</v>
      </c>
      <c r="S74" s="113">
        <f>IFERROR(VLOOKUP(H74, LEVEL_HELPER!A:B, 2, 0), 0)</f>
        <v>2.5</v>
      </c>
      <c r="T74" s="113">
        <f>IFERROR(VLOOKUP(I74, LEVEL_HELPER!A:B, 2, 0), 0)</f>
        <v>2.5</v>
      </c>
      <c r="U74" s="113">
        <f t="shared" ref="U74:V74" si="78">IF(S74="",0,IF(S74&lt;=2,1,IF(S74&lt;=4,2,IF(S74&lt;=5.5,3,4))))
</f>
        <v>2</v>
      </c>
      <c r="V74" s="113">
        <f t="shared" si="78"/>
        <v>2</v>
      </c>
      <c r="W74" s="113" t="str">
        <f t="shared" si="6"/>
        <v>No Progress</v>
      </c>
      <c r="X74" s="128"/>
      <c r="Y74" s="128"/>
      <c r="Z74" s="128"/>
      <c r="AA74" s="128"/>
      <c r="AB74" s="116"/>
      <c r="AC74" s="116"/>
      <c r="AD74" s="117"/>
    </row>
    <row r="75" ht="15.75" customHeight="1">
      <c r="A75" s="104" t="s">
        <v>343</v>
      </c>
      <c r="B75" s="105" t="s">
        <v>344</v>
      </c>
      <c r="C75" s="106" t="str">
        <f>IFERROR(__xludf.DUMMYFUNCTION("arrayformula(VLOOKUP(to_Text(A75),to_Text(sheet2!$A$1:M1005),13,0))"),"CHORUS")</f>
        <v>CHORUS</v>
      </c>
      <c r="D75" s="107" t="str">
        <f>IFERROR(__xludf.DUMMYFUNCTION("arrayformula(VLOOKUP(to_Text(A75),to_Text(sheet2!$A$1:M1005),12,0))"),"DEV")</f>
        <v>DEV</v>
      </c>
      <c r="E75" s="108" t="str">
        <f t="shared" si="2"/>
        <v>Inactive</v>
      </c>
      <c r="F75" s="104" t="str">
        <f t="array" ref="F75">IFERROR(
  INDEX(ATTENDANCE_INPUT!D:D,
    MATCH(1,
      (ATTENDANCE_INPUT!A:A=A75) *
      (ATTENDANCE_INPUT!W:W=MAXIFS(ATTENDANCE_INPUT!W:W, ATTENDANCE_INPUT!A:A, A75)),
      0)),
  "")</f>
        <v>Huy Tran 1</v>
      </c>
      <c r="G75" s="109" t="str">
        <f t="array" ref="G75">IFERROR(
  INDEX(ATTENDANCE_INPUT!E:E,
    MATCH(1,
      (ATTENDANCE_INPUT!A:A=A75) *
      (ATTENDANCE_INPUT!W:W=MAXIFS(ATTENDANCE_INPUT!W:W, ATTENDANCE_INPUT!A:A, A75)),
      0)),
  "")</f>
        <v>Communication 2</v>
      </c>
      <c r="H75" s="110" t="str">
        <f t="array" ref="H75">IF(ISNA(MATCH(A75,sheet2!A:A,0)),"⏳ Chưa test",IFERROR(INDEX(LEVEL_HELPER!A:A,MATCH(INDEX(sheet2!N:N,MATCH(A75,sheet2!A:A,0)),LEVEL_HELPER!B:B,0)),"⏳ Chưa test"))</f>
        <v>Beginner</v>
      </c>
      <c r="I75" s="110" t="str">
        <f t="array" ref="I75">IF(ISNA(MATCH(A75,sheet2!A:A,0)),H75,IF(INDEX(sheet2!O:O,MATCH(A75,sheet2!A:A,0))&gt;0,IFERROR(INDEX(LEVEL_HELPER!A:A,MATCH(INDEX(sheet2!O:O,MATCH(A75,sheet2!A:A,0)),LEVEL_HELPER!B:B,0)),H75),H75))</f>
        <v>Beginner</v>
      </c>
      <c r="J75" s="110">
        <f>IFERROR(MAXIFS(ATTENDANCE_LOG!F:F, ATTENDANCE_LOG!C:C, A75&amp;"", ATTENDANCE_LOG!G:G, "Present"), "")</f>
        <v>45853.375</v>
      </c>
      <c r="K75" s="111">
        <f t="shared" si="3"/>
        <v>359.625</v>
      </c>
      <c r="L75" s="112" t="str">
        <f t="shared" si="4"/>
        <v>❌ Dropped</v>
      </c>
      <c r="M75" s="113" t="s">
        <v>37</v>
      </c>
      <c r="N75" s="114" t="s">
        <v>34</v>
      </c>
      <c r="O75" s="113"/>
      <c r="P75" s="115">
        <f>IFERROR(__xludf.DUMMYFUNCTION("IFERROR(COUNTUNIQUEIFS(ATTENDANCE_LOG!B:B,ATTENDANCE_LOG!C:C,A75),0)"),2.0)</f>
        <v>2</v>
      </c>
      <c r="Q75" s="113" t="str">
        <f t="array" ref="Q75">IFERROR(INDEX(ATTENDANCE_LOG!A:A,MATCH(1,(ATTENDANCE_LOG!C:C=A75)*(ATTENDANCE_LOG!F:F=MAXIFS(ATTENDANCE_LOG!F:F,ATTENDANCE_LOG!C:C,A75)),0)),"")</f>
        <v>EL010</v>
      </c>
      <c r="R75" s="113" t="str">
        <f t="array" ref="R75">IFERROR(INDEX(ATTENDANCE_LOG!B:B,MATCH(1,(ATTENDANCE_LOG!C:C=A75)*(ATTENDANCE_LOG!F:F=MAXIFS(ATTENDANCE_LOG!F:F,ATTENDANCE_LOG!C:C,A75)),0)),"")</f>
        <v>Communication 2</v>
      </c>
      <c r="S75" s="113">
        <f>IFERROR(VLOOKUP(H75, LEVEL_HELPER!A:B, 2, 0), 0)</f>
        <v>1</v>
      </c>
      <c r="T75" s="113">
        <f>IFERROR(VLOOKUP(I75, LEVEL_HELPER!A:B, 2, 0), 0)</f>
        <v>1</v>
      </c>
      <c r="U75" s="113">
        <f t="shared" ref="U75:V75" si="79">IF(S75="",0,IF(S75&lt;=2,1,IF(S75&lt;=4,2,IF(S75&lt;=5.5,3,4))))
</f>
        <v>1</v>
      </c>
      <c r="V75" s="113">
        <f t="shared" si="79"/>
        <v>1</v>
      </c>
      <c r="W75" s="113" t="str">
        <f t="shared" si="6"/>
        <v>No Progress</v>
      </c>
      <c r="X75" s="113"/>
      <c r="Y75" s="113"/>
      <c r="Z75" s="113"/>
      <c r="AA75" s="113"/>
      <c r="AB75" s="116"/>
      <c r="AC75" s="116"/>
      <c r="AD75" s="117"/>
    </row>
    <row r="76" ht="15.75" customHeight="1">
      <c r="A76" s="104" t="s">
        <v>345</v>
      </c>
      <c r="B76" s="105" t="s">
        <v>346</v>
      </c>
      <c r="C76" s="106" t="str">
        <f>IFERROR(__xludf.DUMMYFUNCTION("arrayformula(VLOOKUP(to_Text(A76),to_Text(sheet2!$A$1:M1005),13,0))"),"CHORUS")</f>
        <v>CHORUS</v>
      </c>
      <c r="D76" s="107" t="str">
        <f>IFERROR(__xludf.DUMMYFUNCTION("arrayformula(VLOOKUP(to_Text(A76),to_Text(sheet2!$A$1:M1005),12,0))"),"DEV")</f>
        <v>DEV</v>
      </c>
      <c r="E76" s="108" t="str">
        <f t="shared" si="2"/>
        <v>Inactive</v>
      </c>
      <c r="F76" s="104" t="str">
        <f t="array" ref="F76">IFERROR(
  INDEX(ATTENDANCE_INPUT!D:D,
    MATCH(1,
      (ATTENDANCE_INPUT!A:A=A76) *
      (ATTENDANCE_INPUT!W:W=MAXIFS(ATTENDANCE_INPUT!W:W, ATTENDANCE_INPUT!A:A, A76)),
      0)),
  "")</f>
        <v>Huy Tran 1</v>
      </c>
      <c r="G76" s="109" t="str">
        <f t="array" ref="G76">IFERROR(
  INDEX(ATTENDANCE_INPUT!E:E,
    MATCH(1,
      (ATTENDANCE_INPUT!A:A=A76) *
      (ATTENDANCE_INPUT!W:W=MAXIFS(ATTENDANCE_INPUT!W:W, ATTENDANCE_INPUT!A:A, A76)),
      0)),
  "")</f>
        <v>Communication 2</v>
      </c>
      <c r="H76" s="110" t="str">
        <f t="array" ref="H76">IF(ISNA(MATCH(A76,sheet2!A:A,0)),"⏳ Chưa test",IFERROR(INDEX(LEVEL_HELPER!A:A,MATCH(INDEX(sheet2!N:N,MATCH(A76,sheet2!A:A,0)),LEVEL_HELPER!B:B,0)),"⏳ Chưa test"))</f>
        <v>Pre-Intermediate</v>
      </c>
      <c r="I76" s="110" t="str">
        <f t="array" ref="I76">IF(ISNA(MATCH(A76,sheet2!A:A,0)),H76,IF(INDEX(sheet2!O:O,MATCH(A76,sheet2!A:A,0))&gt;0,IFERROR(INDEX(LEVEL_HELPER!A:A,MATCH(INDEX(sheet2!O:O,MATCH(A76,sheet2!A:A,0)),LEVEL_HELPER!B:B,0)),H76),H76))</f>
        <v>Intermediate</v>
      </c>
      <c r="J76" s="110">
        <f>IFERROR(MAXIFS(ATTENDANCE_LOG!F:F, ATTENDANCE_LOG!C:C, A76&amp;"", ATTENDANCE_LOG!G:G, "Present"), "")</f>
        <v>45895.45833</v>
      </c>
      <c r="K76" s="111">
        <f t="shared" si="3"/>
        <v>317.5416667</v>
      </c>
      <c r="L76" s="112" t="str">
        <f t="shared" si="4"/>
        <v>❌ Dropped</v>
      </c>
      <c r="M76" s="113" t="s">
        <v>37</v>
      </c>
      <c r="N76" s="114" t="s">
        <v>34</v>
      </c>
      <c r="O76" s="113"/>
      <c r="P76" s="115">
        <f>IFERROR(__xludf.DUMMYFUNCTION("IFERROR(COUNTUNIQUEIFS(ATTENDANCE_LOG!B:B,ATTENDANCE_LOG!C:C,A76),0)"),2.0)</f>
        <v>2</v>
      </c>
      <c r="Q76" s="113" t="str">
        <f t="array" ref="Q76">IFERROR(INDEX(ATTENDANCE_LOG!A:A,MATCH(1,(ATTENDANCE_LOG!C:C=A76)*(ATTENDANCE_LOG!F:F=MAXIFS(ATTENDANCE_LOG!F:F,ATTENDANCE_LOG!C:C,A76)),0)),"")</f>
        <v>EL010</v>
      </c>
      <c r="R76" s="113" t="str">
        <f t="array" ref="R76">IFERROR(INDEX(ATTENDANCE_LOG!B:B,MATCH(1,(ATTENDANCE_LOG!C:C=A76)*(ATTENDANCE_LOG!F:F=MAXIFS(ATTENDANCE_LOG!F:F,ATTENDANCE_LOG!C:C,A76)),0)),"")</f>
        <v>Communication 2</v>
      </c>
      <c r="S76" s="113">
        <f>IFERROR(VLOOKUP(H76, LEVEL_HELPER!A:B, 2, 0), 0)</f>
        <v>2.5</v>
      </c>
      <c r="T76" s="113">
        <f>IFERROR(VLOOKUP(I76, LEVEL_HELPER!A:B, 2, 0), 0)</f>
        <v>4.5</v>
      </c>
      <c r="U76" s="113">
        <f t="shared" ref="U76:V76" si="80">IF(S76="",0,IF(S76&lt;=2,1,IF(S76&lt;=4,2,IF(S76&lt;=5.5,3,4))))
</f>
        <v>2</v>
      </c>
      <c r="V76" s="113">
        <f t="shared" si="80"/>
        <v>3</v>
      </c>
      <c r="W76" s="113" t="str">
        <f t="shared" si="6"/>
        <v>Lv2→Lv3</v>
      </c>
      <c r="X76" s="113"/>
      <c r="Y76" s="113"/>
      <c r="Z76" s="113"/>
      <c r="AA76" s="113"/>
      <c r="AB76" s="116"/>
      <c r="AC76" s="116"/>
      <c r="AD76" s="117"/>
    </row>
    <row r="77" ht="15.75" customHeight="1">
      <c r="A77" s="104" t="s">
        <v>347</v>
      </c>
      <c r="B77" s="105" t="s">
        <v>348</v>
      </c>
      <c r="C77" s="106" t="str">
        <f>IFERROR(__xludf.DUMMYFUNCTION("arrayformula(VLOOKUP(to_Text(A77),to_Text(sheet2!$A$1:M1005),13,0))"),"CHORUS")</f>
        <v>CHORUS</v>
      </c>
      <c r="D77" s="107" t="str">
        <f>IFERROR(__xludf.DUMMYFUNCTION("arrayformula(VLOOKUP(to_Text(A77),to_Text(sheet2!$A$1:M1005),12,0))"),"UI/UX")</f>
        <v>UI/UX</v>
      </c>
      <c r="E77" s="108" t="str">
        <f t="shared" si="2"/>
        <v>Inactive</v>
      </c>
      <c r="F77" s="104" t="str">
        <f t="array" ref="F77">IFERROR(
  INDEX(ATTENDANCE_INPUT!D:D,
    MATCH(1,
      (ATTENDANCE_INPUT!A:A=A77) *
      (ATTENDANCE_INPUT!W:W=MAXIFS(ATTENDANCE_INPUT!W:W, ATTENDANCE_INPUT!A:A, A77)),
      0)),
  "")</f>
        <v>Huy Tran 1</v>
      </c>
      <c r="G77" s="109" t="str">
        <f t="array" ref="G77">IFERROR(
  INDEX(ATTENDANCE_INPUT!E:E,
    MATCH(1,
      (ATTENDANCE_INPUT!A:A=A77) *
      (ATTENDANCE_INPUT!W:W=MAXIFS(ATTENDANCE_INPUT!W:W, ATTENDANCE_INPUT!A:A, A77)),
      0)),
  "")</f>
        <v>Communication 1</v>
      </c>
      <c r="H77" s="110" t="str">
        <f t="array" ref="H77">IF(ISNA(MATCH(A77,sheet2!A:A,0)),"⏳ Chưa test",IFERROR(INDEX(LEVEL_HELPER!A:A,MATCH(INDEX(sheet2!N:N,MATCH(A77,sheet2!A:A,0)),LEVEL_HELPER!B:B,0)),"⏳ Chưa test"))</f>
        <v>Beginner</v>
      </c>
      <c r="I77" s="110" t="str">
        <f t="array" ref="I77">IF(ISNA(MATCH(A77,sheet2!A:A,0)),H77,IF(INDEX(sheet2!O:O,MATCH(A77,sheet2!A:A,0))&gt;0,IFERROR(INDEX(LEVEL_HELPER!A:A,MATCH(INDEX(sheet2!O:O,MATCH(A77,sheet2!A:A,0)),LEVEL_HELPER!B:B,0)),H77),H77))</f>
        <v>Pre-Intermediate</v>
      </c>
      <c r="J77" s="110">
        <f>IFERROR(MAXIFS(ATTENDANCE_LOG!F:F, ATTENDANCE_LOG!C:C, A77&amp;"", ATTENDANCE_LOG!G:G, "Present"), "")</f>
        <v>45799.375</v>
      </c>
      <c r="K77" s="111">
        <f t="shared" si="3"/>
        <v>413.625</v>
      </c>
      <c r="L77" s="112" t="str">
        <f t="shared" si="4"/>
        <v>❌ Dropped</v>
      </c>
      <c r="M77" s="113" t="s">
        <v>37</v>
      </c>
      <c r="N77" s="114" t="s">
        <v>40</v>
      </c>
      <c r="O77" s="113"/>
      <c r="P77" s="115">
        <f>IFERROR(__xludf.DUMMYFUNCTION("IFERROR(COUNTUNIQUEIFS(ATTENDANCE_LOG!B:B,ATTENDANCE_LOG!C:C,A77),0)"),1.0)</f>
        <v>1</v>
      </c>
      <c r="Q77" s="113" t="str">
        <f t="array" ref="Q77">IFERROR(INDEX(ATTENDANCE_LOG!A:A,MATCH(1,(ATTENDANCE_LOG!C:C=A77)*(ATTENDANCE_LOG!F:F=MAXIFS(ATTENDANCE_LOG!F:F,ATTENDANCE_LOG!C:C,A77)),0)),"")</f>
        <v>EL010</v>
      </c>
      <c r="R77" s="113" t="str">
        <f t="array" ref="R77">IFERROR(INDEX(ATTENDANCE_LOG!B:B,MATCH(1,(ATTENDANCE_LOG!C:C=A77)*(ATTENDANCE_LOG!F:F=MAXIFS(ATTENDANCE_LOG!F:F,ATTENDANCE_LOG!C:C,A77)),0)),"")</f>
        <v>Communication 1</v>
      </c>
      <c r="S77" s="113">
        <f>IFERROR(VLOOKUP(H77, LEVEL_HELPER!A:B, 2, 0), 0)</f>
        <v>1</v>
      </c>
      <c r="T77" s="113">
        <f>IFERROR(VLOOKUP(I77, LEVEL_HELPER!A:B, 2, 0), 0)</f>
        <v>2.5</v>
      </c>
      <c r="U77" s="113">
        <f t="shared" ref="U77:V77" si="81">IF(S77="",0,IF(S77&lt;=2,1,IF(S77&lt;=4,2,IF(S77&lt;=5.5,3,4))))
</f>
        <v>1</v>
      </c>
      <c r="V77" s="113">
        <f t="shared" si="81"/>
        <v>2</v>
      </c>
      <c r="W77" s="113" t="str">
        <f t="shared" si="6"/>
        <v>Lv1→Lv2</v>
      </c>
      <c r="X77" s="113"/>
      <c r="Y77" s="113"/>
      <c r="Z77" s="113"/>
      <c r="AA77" s="113"/>
      <c r="AB77" s="116"/>
      <c r="AC77" s="116"/>
      <c r="AD77" s="117"/>
    </row>
    <row r="78" ht="15.75" customHeight="1">
      <c r="A78" s="104" t="s">
        <v>349</v>
      </c>
      <c r="B78" s="105" t="s">
        <v>350</v>
      </c>
      <c r="C78" s="106" t="str">
        <f>IFERROR(__xludf.DUMMYFUNCTION("arrayformula(VLOOKUP(to_Text(A78),to_Text(sheet2!$A$1:M1005),13,0))"),"CHORUS")</f>
        <v>CHORUS</v>
      </c>
      <c r="D78" s="107" t="str">
        <f>IFERROR(__xludf.DUMMYFUNCTION("arrayformula(VLOOKUP(to_Text(A78),to_Text(sheet2!$A$1:M1005),12,0))"),"TA")</f>
        <v>TA</v>
      </c>
      <c r="E78" s="108" t="str">
        <f t="shared" si="2"/>
        <v>Inactive</v>
      </c>
      <c r="F78" s="104" t="str">
        <f t="array" ref="F78">IFERROR(
  INDEX(ATTENDANCE_INPUT!D:D,
    MATCH(1,
      (ATTENDANCE_INPUT!A:A=A78) *
      (ATTENDANCE_INPUT!W:W=MAXIFS(ATTENDANCE_INPUT!W:W, ATTENDANCE_INPUT!A:A, A78)),
      0)),
  "")</f>
        <v>Huy Tran 1</v>
      </c>
      <c r="G78" s="109" t="str">
        <f t="array" ref="G78">IFERROR(
  INDEX(ATTENDANCE_INPUT!E:E,
    MATCH(1,
      (ATTENDANCE_INPUT!A:A=A78) *
      (ATTENDANCE_INPUT!W:W=MAXIFS(ATTENDANCE_INPUT!W:W, ATTENDANCE_INPUT!A:A, A78)),
      0)),
  "")</f>
        <v>Communication 1</v>
      </c>
      <c r="H78" s="110" t="str">
        <f t="array" ref="H78">IF(ISNA(MATCH(A78,sheet2!A:A,0)),"⏳ Chưa test",IFERROR(INDEX(LEVEL_HELPER!A:A,MATCH(INDEX(sheet2!N:N,MATCH(A78,sheet2!A:A,0)),LEVEL_HELPER!B:B,0)),"⏳ Chưa test"))</f>
        <v>Beginner</v>
      </c>
      <c r="I78" s="110" t="str">
        <f t="array" ref="I78">IF(ISNA(MATCH(A78,sheet2!A:A,0)),H78,IF(INDEX(sheet2!O:O,MATCH(A78,sheet2!A:A,0))&gt;0,IFERROR(INDEX(LEVEL_HELPER!A:A,MATCH(INDEX(sheet2!O:O,MATCH(A78,sheet2!A:A,0)),LEVEL_HELPER!B:B,0)),H78),H78))</f>
        <v>Pre-Intermediate</v>
      </c>
      <c r="J78" s="110">
        <f>IFERROR(MAXIFS(ATTENDANCE_LOG!F:F, ATTENDANCE_LOG!C:C, A78&amp;"", ATTENDANCE_LOG!G:G, "Present"), "")</f>
        <v>45799.375</v>
      </c>
      <c r="K78" s="111">
        <f t="shared" si="3"/>
        <v>413.625</v>
      </c>
      <c r="L78" s="112" t="str">
        <f t="shared" si="4"/>
        <v>❌ Dropped</v>
      </c>
      <c r="M78" s="113" t="s">
        <v>37</v>
      </c>
      <c r="N78" s="114" t="s">
        <v>34</v>
      </c>
      <c r="O78" s="113"/>
      <c r="P78" s="115">
        <f>IFERROR(__xludf.DUMMYFUNCTION("IFERROR(COUNTUNIQUEIFS(ATTENDANCE_LOG!B:B,ATTENDANCE_LOG!C:C,A78),0)"),1.0)</f>
        <v>1</v>
      </c>
      <c r="Q78" s="113" t="str">
        <f t="array" ref="Q78">IFERROR(INDEX(ATTENDANCE_LOG!A:A,MATCH(1,(ATTENDANCE_LOG!C:C=A78)*(ATTENDANCE_LOG!F:F=MAXIFS(ATTENDANCE_LOG!F:F,ATTENDANCE_LOG!C:C,A78)),0)),"")</f>
        <v>EL010</v>
      </c>
      <c r="R78" s="113" t="str">
        <f t="array" ref="R78">IFERROR(INDEX(ATTENDANCE_LOG!B:B,MATCH(1,(ATTENDANCE_LOG!C:C=A78)*(ATTENDANCE_LOG!F:F=MAXIFS(ATTENDANCE_LOG!F:F,ATTENDANCE_LOG!C:C,A78)),0)),"")</f>
        <v>Communication 1</v>
      </c>
      <c r="S78" s="113">
        <f>IFERROR(VLOOKUP(H78, LEVEL_HELPER!A:B, 2, 0), 0)</f>
        <v>1</v>
      </c>
      <c r="T78" s="113">
        <f>IFERROR(VLOOKUP(I78, LEVEL_HELPER!A:B, 2, 0), 0)</f>
        <v>2.5</v>
      </c>
      <c r="U78" s="113">
        <f t="shared" ref="U78:V78" si="82">IF(S78="",0,IF(S78&lt;=2,1,IF(S78&lt;=4,2,IF(S78&lt;=5.5,3,4))))
</f>
        <v>1</v>
      </c>
      <c r="V78" s="113">
        <f t="shared" si="82"/>
        <v>2</v>
      </c>
      <c r="W78" s="113" t="str">
        <f t="shared" si="6"/>
        <v>Lv1→Lv2</v>
      </c>
      <c r="X78" s="113"/>
      <c r="Y78" s="113"/>
      <c r="Z78" s="113"/>
      <c r="AA78" s="113"/>
      <c r="AB78" s="116"/>
      <c r="AC78" s="116"/>
      <c r="AD78" s="117"/>
    </row>
    <row r="79" ht="15.75" customHeight="1">
      <c r="A79" s="104" t="s">
        <v>351</v>
      </c>
      <c r="B79" s="105" t="s">
        <v>352</v>
      </c>
      <c r="C79" s="106" t="str">
        <f>IFERROR(__xludf.DUMMYFUNCTION("arrayformula(VLOOKUP(to_Text(A79),to_Text(sheet2!$A$1:M1005),13,0))"),"CHORUS")</f>
        <v>CHORUS</v>
      </c>
      <c r="D79" s="107" t="str">
        <f>IFERROR(__xludf.DUMMYFUNCTION("arrayformula(VLOOKUP(to_Text(A79),to_Text(sheet2!$A$1:M1005),12,0))"),"TA")</f>
        <v>TA</v>
      </c>
      <c r="E79" s="108" t="str">
        <f t="shared" si="2"/>
        <v>Inactive</v>
      </c>
      <c r="F79" s="104" t="str">
        <f t="array" ref="F79">IFERROR(
  INDEX(ATTENDANCE_INPUT!D:D,
    MATCH(1,
      (ATTENDANCE_INPUT!A:A=A79) *
      (ATTENDANCE_INPUT!W:W=MAXIFS(ATTENDANCE_INPUT!W:W, ATTENDANCE_INPUT!A:A, A79)),
      0)),
  "")</f>
        <v>Huyen Vo</v>
      </c>
      <c r="G79" s="109" t="str">
        <f t="array" ref="G79">IFERROR(
  INDEX(ATTENDANCE_INPUT!E:E,
    MATCH(1,
      (ATTENDANCE_INPUT!A:A=A79) *
      (ATTENDANCE_INPUT!W:W=MAXIFS(ATTENDANCE_INPUT!W:W, ATTENDANCE_INPUT!A:A, A79)),
      0)),
  "")</f>
        <v>Communication 1</v>
      </c>
      <c r="H79" s="110" t="str">
        <f t="array" ref="H79">IF(ISNA(MATCH(A79,sheet2!A:A,0)),"⏳ Chưa test",IFERROR(INDEX(LEVEL_HELPER!A:A,MATCH(INDEX(sheet2!N:N,MATCH(A79,sheet2!A:A,0)),LEVEL_HELPER!B:B,0)),"⏳ Chưa test"))</f>
        <v>Beginner</v>
      </c>
      <c r="I79" s="110" t="str">
        <f t="array" ref="I79">IF(ISNA(MATCH(A79,sheet2!A:A,0)),H79,IF(INDEX(sheet2!O:O,MATCH(A79,sheet2!A:A,0))&gt;0,IFERROR(INDEX(LEVEL_HELPER!A:A,MATCH(INDEX(sheet2!O:O,MATCH(A79,sheet2!A:A,0)),LEVEL_HELPER!B:B,0)),H79),H79))</f>
        <v>Beginner</v>
      </c>
      <c r="J79" s="110">
        <f>IFERROR(MAXIFS(ATTENDANCE_LOG!F:F, ATTENDANCE_LOG!C:C, A79&amp;"", ATTENDANCE_LOG!G:G, "Present"), "")</f>
        <v>45791.375</v>
      </c>
      <c r="K79" s="111">
        <f t="shared" si="3"/>
        <v>421.625</v>
      </c>
      <c r="L79" s="112" t="str">
        <f t="shared" si="4"/>
        <v>✅ Completed</v>
      </c>
      <c r="M79" s="113" t="s">
        <v>35</v>
      </c>
      <c r="N79" s="114" t="s">
        <v>34</v>
      </c>
      <c r="O79" s="113"/>
      <c r="P79" s="115">
        <f>IFERROR(__xludf.DUMMYFUNCTION("IFERROR(COUNTUNIQUEIFS(ATTENDANCE_LOG!B:B,ATTENDANCE_LOG!C:C,A79),0)"),1.0)</f>
        <v>1</v>
      </c>
      <c r="Q79" s="113" t="str">
        <f t="array" ref="Q79">IFERROR(INDEX(ATTENDANCE_LOG!A:A,MATCH(1,(ATTENDANCE_LOG!C:C=A79)*(ATTENDANCE_LOG!F:F=MAXIFS(ATTENDANCE_LOG!F:F,ATTENDANCE_LOG!C:C,A79)),0)),"")</f>
        <v>EL012</v>
      </c>
      <c r="R79" s="113" t="str">
        <f t="array" ref="R79">IFERROR(INDEX(ATTENDANCE_LOG!B:B,MATCH(1,(ATTENDANCE_LOG!C:C=A79)*(ATTENDANCE_LOG!F:F=MAXIFS(ATTENDANCE_LOG!F:F,ATTENDANCE_LOG!C:C,A79)),0)),"")</f>
        <v>Communication 1</v>
      </c>
      <c r="S79" s="113">
        <f>IFERROR(VLOOKUP(H79, LEVEL_HELPER!A:B, 2, 0), 0)</f>
        <v>1</v>
      </c>
      <c r="T79" s="113">
        <f>IFERROR(VLOOKUP(I79, LEVEL_HELPER!A:B, 2, 0), 0)</f>
        <v>1</v>
      </c>
      <c r="U79" s="113">
        <f t="shared" ref="U79:V79" si="83">IF(S79="",0,IF(S79&lt;=2,1,IF(S79&lt;=4,2,IF(S79&lt;=5.5,3,4))))
</f>
        <v>1</v>
      </c>
      <c r="V79" s="113">
        <f t="shared" si="83"/>
        <v>1</v>
      </c>
      <c r="W79" s="113" t="str">
        <f t="shared" si="6"/>
        <v>No Progress</v>
      </c>
      <c r="X79" s="113"/>
      <c r="Y79" s="113"/>
      <c r="Z79" s="113"/>
      <c r="AA79" s="113"/>
      <c r="AB79" s="116"/>
      <c r="AC79" s="116"/>
      <c r="AD79" s="117"/>
    </row>
    <row r="80" ht="15.75" customHeight="1">
      <c r="A80" s="104" t="s">
        <v>353</v>
      </c>
      <c r="B80" s="105" t="s">
        <v>354</v>
      </c>
      <c r="C80" s="106" t="str">
        <f>IFERROR(__xludf.DUMMYFUNCTION("arrayformula(VLOOKUP(to_Text(A80),to_Text(sheet2!$A$1:M1005),13,0))"),"CHORUS")</f>
        <v>CHORUS</v>
      </c>
      <c r="D80" s="107" t="str">
        <f>IFERROR(__xludf.DUMMYFUNCTION("arrayformula(VLOOKUP(to_Text(A80),to_Text(sheet2!$A$1:M1005),12,0))"),"QC")</f>
        <v>QC</v>
      </c>
      <c r="E80" s="108" t="str">
        <f t="shared" si="2"/>
        <v>Inactive</v>
      </c>
      <c r="F80" s="104" t="str">
        <f t="array" ref="F80">IFERROR(
  INDEX(ATTENDANCE_INPUT!D:D,
    MATCH(1,
      (ATTENDANCE_INPUT!A:A=A80) *
      (ATTENDANCE_INPUT!W:W=MAXIFS(ATTENDANCE_INPUT!W:W, ATTENDANCE_INPUT!A:A, A80)),
      0)),
  "")</f>
        <v>Huyen Vo</v>
      </c>
      <c r="G80" s="109" t="str">
        <f t="array" ref="G80">IFERROR(
  INDEX(ATTENDANCE_INPUT!E:E,
    MATCH(1,
      (ATTENDANCE_INPUT!A:A=A80) *
      (ATTENDANCE_INPUT!W:W=MAXIFS(ATTENDANCE_INPUT!W:W, ATTENDANCE_INPUT!A:A, A80)),
      0)),
  "")</f>
        <v>Communication 1</v>
      </c>
      <c r="H80" s="110" t="str">
        <f t="array" ref="H80">IF(ISNA(MATCH(A80,sheet2!A:A,0)),"⏳ Chưa test",IFERROR(INDEX(LEVEL_HELPER!A:A,MATCH(INDEX(sheet2!N:N,MATCH(A80,sheet2!A:A,0)),LEVEL_HELPER!B:B,0)),"⏳ Chưa test"))</f>
        <v>Pre-Intermediate</v>
      </c>
      <c r="I80" s="110" t="str">
        <f t="array" ref="I80">IF(ISNA(MATCH(A80,sheet2!A:A,0)),H80,IF(INDEX(sheet2!O:O,MATCH(A80,sheet2!A:A,0))&gt;0,IFERROR(INDEX(LEVEL_HELPER!A:A,MATCH(INDEX(sheet2!O:O,MATCH(A80,sheet2!A:A,0)),LEVEL_HELPER!B:B,0)),H80),H80))</f>
        <v>Pre-Intermediate</v>
      </c>
      <c r="J80" s="110">
        <f>IFERROR(MAXIFS(ATTENDANCE_LOG!F:F, ATTENDANCE_LOG!C:C, A80&amp;"", ATTENDANCE_LOG!G:G, "Present"), "")</f>
        <v>45791.375</v>
      </c>
      <c r="K80" s="111">
        <f t="shared" si="3"/>
        <v>421.625</v>
      </c>
      <c r="L80" s="112" t="str">
        <f t="shared" si="4"/>
        <v>✅ Completed</v>
      </c>
      <c r="M80" s="113" t="s">
        <v>35</v>
      </c>
      <c r="N80" s="114" t="s">
        <v>34</v>
      </c>
      <c r="O80" s="113"/>
      <c r="P80" s="115">
        <f>IFERROR(__xludf.DUMMYFUNCTION("IFERROR(COUNTUNIQUEIFS(ATTENDANCE_LOG!B:B,ATTENDANCE_LOG!C:C,A80),0)"),1.0)</f>
        <v>1</v>
      </c>
      <c r="Q80" s="113" t="str">
        <f t="array" ref="Q80">IFERROR(INDEX(ATTENDANCE_LOG!A:A,MATCH(1,(ATTENDANCE_LOG!C:C=A80)*(ATTENDANCE_LOG!F:F=MAXIFS(ATTENDANCE_LOG!F:F,ATTENDANCE_LOG!C:C,A80)),0)),"")</f>
        <v>EL012</v>
      </c>
      <c r="R80" s="113" t="str">
        <f t="array" ref="R80">IFERROR(INDEX(ATTENDANCE_LOG!B:B,MATCH(1,(ATTENDANCE_LOG!C:C=A80)*(ATTENDANCE_LOG!F:F=MAXIFS(ATTENDANCE_LOG!F:F,ATTENDANCE_LOG!C:C,A80)),0)),"")</f>
        <v>Communication 1</v>
      </c>
      <c r="S80" s="113">
        <f>IFERROR(VLOOKUP(H80, LEVEL_HELPER!A:B, 2, 0), 0)</f>
        <v>2.5</v>
      </c>
      <c r="T80" s="113">
        <f>IFERROR(VLOOKUP(I80, LEVEL_HELPER!A:B, 2, 0), 0)</f>
        <v>2.5</v>
      </c>
      <c r="U80" s="113">
        <f t="shared" ref="U80:V80" si="84">IF(S80="",0,IF(S80&lt;=2,1,IF(S80&lt;=4,2,IF(S80&lt;=5.5,3,4))))
</f>
        <v>2</v>
      </c>
      <c r="V80" s="113">
        <f t="shared" si="84"/>
        <v>2</v>
      </c>
      <c r="W80" s="113" t="str">
        <f t="shared" si="6"/>
        <v>No Progress</v>
      </c>
      <c r="X80" s="113"/>
      <c r="Y80" s="113"/>
      <c r="Z80" s="113"/>
      <c r="AA80" s="113"/>
      <c r="AB80" s="116"/>
      <c r="AC80" s="116"/>
      <c r="AD80" s="117"/>
    </row>
    <row r="81" ht="15.75" customHeight="1">
      <c r="A81" s="104" t="s">
        <v>355</v>
      </c>
      <c r="B81" s="105" t="s">
        <v>356</v>
      </c>
      <c r="C81" s="106" t="str">
        <f>IFERROR(__xludf.DUMMYFUNCTION("arrayformula(VLOOKUP(to_Text(A81),to_Text(sheet2!$A$1:M1005),13,0))"),"CHORUS")</f>
        <v>CHORUS</v>
      </c>
      <c r="D81" s="107" t="str">
        <f>IFERROR(__xludf.DUMMYFUNCTION("arrayformula(VLOOKUP(to_Text(A81),to_Text(sheet2!$A$1:M1005),12,0))"),"DEV")</f>
        <v>DEV</v>
      </c>
      <c r="E81" s="108" t="str">
        <f t="shared" si="2"/>
        <v>Inactive</v>
      </c>
      <c r="F81" s="104" t="str">
        <f t="array" ref="F81">IFERROR(
  INDEX(ATTENDANCE_INPUT!D:D,
    MATCH(1,
      (ATTENDANCE_INPUT!A:A=A81) *
      (ATTENDANCE_INPUT!W:W=MAXIFS(ATTENDANCE_INPUT!W:W, ATTENDANCE_INPUT!A:A, A81)),
      0)),
  "")</f>
        <v>Huyen Vo</v>
      </c>
      <c r="G81" s="109" t="str">
        <f t="array" ref="G81">IFERROR(
  INDEX(ATTENDANCE_INPUT!E:E,
    MATCH(1,
      (ATTENDANCE_INPUT!A:A=A81) *
      (ATTENDANCE_INPUT!W:W=MAXIFS(ATTENDANCE_INPUT!W:W, ATTENDANCE_INPUT!A:A, A81)),
      0)),
  "")</f>
        <v>Communication 1</v>
      </c>
      <c r="H81" s="110" t="str">
        <f t="array" ref="H81">IF(ISNA(MATCH(A81,sheet2!A:A,0)),"⏳ Chưa test",IFERROR(INDEX(LEVEL_HELPER!A:A,MATCH(INDEX(sheet2!N:N,MATCH(A81,sheet2!A:A,0)),LEVEL_HELPER!B:B,0)),"⏳ Chưa test"))</f>
        <v>Beginner</v>
      </c>
      <c r="I81" s="110" t="str">
        <f t="array" ref="I81">IF(ISNA(MATCH(A81,sheet2!A:A,0)),H81,IF(INDEX(sheet2!O:O,MATCH(A81,sheet2!A:A,0))&gt;0,IFERROR(INDEX(LEVEL_HELPER!A:A,MATCH(INDEX(sheet2!O:O,MATCH(A81,sheet2!A:A,0)),LEVEL_HELPER!B:B,0)),H81),H81))</f>
        <v>Beginner</v>
      </c>
      <c r="J81" s="110">
        <f>IFERROR(MAXIFS(ATTENDANCE_LOG!F:F, ATTENDANCE_LOG!C:C, A81&amp;"", ATTENDANCE_LOG!G:G, "Present"), "")</f>
        <v>45791.375</v>
      </c>
      <c r="K81" s="111">
        <f t="shared" si="3"/>
        <v>421.625</v>
      </c>
      <c r="L81" s="112" t="str">
        <f t="shared" si="4"/>
        <v>✅ Completed</v>
      </c>
      <c r="M81" s="113" t="s">
        <v>35</v>
      </c>
      <c r="N81" s="114" t="s">
        <v>34</v>
      </c>
      <c r="O81" s="113"/>
      <c r="P81" s="115">
        <f>IFERROR(__xludf.DUMMYFUNCTION("IFERROR(COUNTUNIQUEIFS(ATTENDANCE_LOG!B:B,ATTENDANCE_LOG!C:C,A81),0)"),1.0)</f>
        <v>1</v>
      </c>
      <c r="Q81" s="113" t="str">
        <f t="array" ref="Q81">IFERROR(INDEX(ATTENDANCE_LOG!A:A,MATCH(1,(ATTENDANCE_LOG!C:C=A81)*(ATTENDANCE_LOG!F:F=MAXIFS(ATTENDANCE_LOG!F:F,ATTENDANCE_LOG!C:C,A81)),0)),"")</f>
        <v>EL012</v>
      </c>
      <c r="R81" s="113" t="str">
        <f t="array" ref="R81">IFERROR(INDEX(ATTENDANCE_LOG!B:B,MATCH(1,(ATTENDANCE_LOG!C:C=A81)*(ATTENDANCE_LOG!F:F=MAXIFS(ATTENDANCE_LOG!F:F,ATTENDANCE_LOG!C:C,A81)),0)),"")</f>
        <v>Communication 1</v>
      </c>
      <c r="S81" s="113">
        <f>IFERROR(VLOOKUP(H81, LEVEL_HELPER!A:B, 2, 0), 0)</f>
        <v>1</v>
      </c>
      <c r="T81" s="113">
        <f>IFERROR(VLOOKUP(I81, LEVEL_HELPER!A:B, 2, 0), 0)</f>
        <v>1</v>
      </c>
      <c r="U81" s="113">
        <f t="shared" ref="U81:V81" si="85">IF(S81="",0,IF(S81&lt;=2,1,IF(S81&lt;=4,2,IF(S81&lt;=5.5,3,4))))
</f>
        <v>1</v>
      </c>
      <c r="V81" s="113">
        <f t="shared" si="85"/>
        <v>1</v>
      </c>
      <c r="W81" s="113" t="str">
        <f t="shared" si="6"/>
        <v>No Progress</v>
      </c>
      <c r="X81" s="113"/>
      <c r="Y81" s="113"/>
      <c r="Z81" s="113"/>
      <c r="AA81" s="113"/>
      <c r="AB81" s="116"/>
      <c r="AC81" s="116"/>
      <c r="AD81" s="117"/>
    </row>
    <row r="82" ht="15.75" customHeight="1">
      <c r="A82" s="104" t="s">
        <v>357</v>
      </c>
      <c r="B82" s="105" t="s">
        <v>358</v>
      </c>
      <c r="C82" s="106" t="str">
        <f>IFERROR(__xludf.DUMMYFUNCTION("arrayformula(VLOOKUP(to_Text(A82),to_Text(sheet2!$A$1:M1005),13,0))"),"CHORUS")</f>
        <v>CHORUS</v>
      </c>
      <c r="D82" s="107" t="str">
        <f>IFERROR(__xludf.DUMMYFUNCTION("arrayformula(VLOOKUP(to_Text(A82),to_Text(sheet2!$A$1:M1005),12,0))"),"QC")</f>
        <v>QC</v>
      </c>
      <c r="E82" s="108" t="str">
        <f t="shared" si="2"/>
        <v>Inactive</v>
      </c>
      <c r="F82" s="104" t="str">
        <f t="array" ref="F82">IFERROR(
  INDEX(ATTENDANCE_INPUT!D:D,
    MATCH(1,
      (ATTENDANCE_INPUT!A:A=A82) *
      (ATTENDANCE_INPUT!W:W=MAXIFS(ATTENDANCE_INPUT!W:W, ATTENDANCE_INPUT!A:A, A82)),
      0)),
  "")</f>
        <v>Huyen Vo</v>
      </c>
      <c r="G82" s="109" t="str">
        <f t="array" ref="G82">IFERROR(
  INDEX(ATTENDANCE_INPUT!E:E,
    MATCH(1,
      (ATTENDANCE_INPUT!A:A=A82) *
      (ATTENDANCE_INPUT!W:W=MAXIFS(ATTENDANCE_INPUT!W:W, ATTENDANCE_INPUT!A:A, A82)),
      0)),
  "")</f>
        <v>Communication 1</v>
      </c>
      <c r="H82" s="110" t="str">
        <f t="array" ref="H82">IF(ISNA(MATCH(A82,sheet2!A:A,0)),"⏳ Chưa test",IFERROR(INDEX(LEVEL_HELPER!A:A,MATCH(INDEX(sheet2!N:N,MATCH(A82,sheet2!A:A,0)),LEVEL_HELPER!B:B,0)),"⏳ Chưa test"))</f>
        <v>Beginner</v>
      </c>
      <c r="I82" s="110" t="str">
        <f t="array" ref="I82">IF(ISNA(MATCH(A82,sheet2!A:A,0)),H82,IF(INDEX(sheet2!O:O,MATCH(A82,sheet2!A:A,0))&gt;0,IFERROR(INDEX(LEVEL_HELPER!A:A,MATCH(INDEX(sheet2!O:O,MATCH(A82,sheet2!A:A,0)),LEVEL_HELPER!B:B,0)),H82),H82))</f>
        <v>Beginner</v>
      </c>
      <c r="J82" s="110">
        <f>IFERROR(MAXIFS(ATTENDANCE_LOG!F:F, ATTENDANCE_LOG!C:C, A82&amp;"", ATTENDANCE_LOG!G:G, "Present"), "")</f>
        <v>45791.375</v>
      </c>
      <c r="K82" s="111">
        <f t="shared" si="3"/>
        <v>421.625</v>
      </c>
      <c r="L82" s="112" t="str">
        <f t="shared" si="4"/>
        <v>✅ Completed</v>
      </c>
      <c r="M82" s="113" t="s">
        <v>35</v>
      </c>
      <c r="N82" s="114" t="s">
        <v>34</v>
      </c>
      <c r="O82" s="113" t="s">
        <v>359</v>
      </c>
      <c r="P82" s="115">
        <f>IFERROR(__xludf.DUMMYFUNCTION("IFERROR(COUNTUNIQUEIFS(ATTENDANCE_LOG!B:B,ATTENDANCE_LOG!C:C,A82),0)"),1.0)</f>
        <v>1</v>
      </c>
      <c r="Q82" s="113" t="str">
        <f t="array" ref="Q82">IFERROR(INDEX(ATTENDANCE_LOG!A:A,MATCH(1,(ATTENDANCE_LOG!C:C=A82)*(ATTENDANCE_LOG!F:F=MAXIFS(ATTENDANCE_LOG!F:F,ATTENDANCE_LOG!C:C,A82)),0)),"")</f>
        <v>EL012</v>
      </c>
      <c r="R82" s="113" t="str">
        <f t="array" ref="R82">IFERROR(INDEX(ATTENDANCE_LOG!B:B,MATCH(1,(ATTENDANCE_LOG!C:C=A82)*(ATTENDANCE_LOG!F:F=MAXIFS(ATTENDANCE_LOG!F:F,ATTENDANCE_LOG!C:C,A82)),0)),"")</f>
        <v>Communication 1</v>
      </c>
      <c r="S82" s="113">
        <f>IFERROR(VLOOKUP(H82, LEVEL_HELPER!A:B, 2, 0), 0)</f>
        <v>1</v>
      </c>
      <c r="T82" s="113">
        <f>IFERROR(VLOOKUP(I82, LEVEL_HELPER!A:B, 2, 0), 0)</f>
        <v>1</v>
      </c>
      <c r="U82" s="113">
        <f t="shared" ref="U82:V82" si="86">IF(S82="",0,IF(S82&lt;=2,1,IF(S82&lt;=4,2,IF(S82&lt;=5.5,3,4))))
</f>
        <v>1</v>
      </c>
      <c r="V82" s="113">
        <f t="shared" si="86"/>
        <v>1</v>
      </c>
      <c r="W82" s="113" t="str">
        <f t="shared" si="6"/>
        <v>No Progress</v>
      </c>
      <c r="X82" s="113"/>
      <c r="Y82" s="113">
        <v>247150.0</v>
      </c>
      <c r="Z82" s="113" t="s">
        <v>204</v>
      </c>
      <c r="AA82" s="113" t="s">
        <v>205</v>
      </c>
      <c r="AB82" s="116"/>
      <c r="AC82" s="116"/>
      <c r="AD82" s="117"/>
    </row>
    <row r="83" ht="15.75" customHeight="1">
      <c r="A83" s="104" t="s">
        <v>360</v>
      </c>
      <c r="B83" s="105" t="s">
        <v>361</v>
      </c>
      <c r="C83" s="106" t="str">
        <f>IFERROR(__xludf.DUMMYFUNCTION("arrayformula(VLOOKUP(to_Text(A83),to_Text(sheet2!$A$1:M1005),13,0))"),"CHORUS")</f>
        <v>CHORUS</v>
      </c>
      <c r="D83" s="107" t="str">
        <f>IFERROR(__xludf.DUMMYFUNCTION("arrayformula(VLOOKUP(to_Text(A83),to_Text(sheet2!$A$1:M1005),12,0))"),"DEV")</f>
        <v>DEV</v>
      </c>
      <c r="E83" s="108" t="str">
        <f t="shared" si="2"/>
        <v>Inactive</v>
      </c>
      <c r="F83" s="104" t="str">
        <f t="array" ref="F83">IFERROR(
  INDEX(ATTENDANCE_INPUT!D:D,
    MATCH(1,
      (ATTENDANCE_INPUT!A:A=A83) *
      (ATTENDANCE_INPUT!W:W=MAXIFS(ATTENDANCE_INPUT!W:W, ATTENDANCE_INPUT!A:A, A83)),
      0)),
  "")</f>
        <v>Huyen Vo</v>
      </c>
      <c r="G83" s="109" t="str">
        <f t="array" ref="G83">IFERROR(
  INDEX(ATTENDANCE_INPUT!E:E,
    MATCH(1,
      (ATTENDANCE_INPUT!A:A=A83) *
      (ATTENDANCE_INPUT!W:W=MAXIFS(ATTENDANCE_INPUT!W:W, ATTENDANCE_INPUT!A:A, A83)),
      0)),
  "")</f>
        <v>Communication 1</v>
      </c>
      <c r="H83" s="110" t="str">
        <f t="array" ref="H83">IF(ISNA(MATCH(A83,sheet2!A:A,0)),"⏳ Chưa test",IFERROR(INDEX(LEVEL_HELPER!A:A,MATCH(INDEX(sheet2!N:N,MATCH(A83,sheet2!A:A,0)),LEVEL_HELPER!B:B,0)),"⏳ Chưa test"))</f>
        <v>Beginner</v>
      </c>
      <c r="I83" s="110" t="str">
        <f t="array" ref="I83">IF(ISNA(MATCH(A83,sheet2!A:A,0)),H83,IF(INDEX(sheet2!O:O,MATCH(A83,sheet2!A:A,0))&gt;0,IFERROR(INDEX(LEVEL_HELPER!A:A,MATCH(INDEX(sheet2!O:O,MATCH(A83,sheet2!A:A,0)),LEVEL_HELPER!B:B,0)),H83),H83))</f>
        <v>Beginner 2</v>
      </c>
      <c r="J83" s="110">
        <f>IFERROR(MAXIFS(ATTENDANCE_LOG!F:F, ATTENDANCE_LOG!C:C, A83&amp;"", ATTENDANCE_LOG!G:G, "Present"), "")</f>
        <v>45791.375</v>
      </c>
      <c r="K83" s="111">
        <f t="shared" si="3"/>
        <v>421.625</v>
      </c>
      <c r="L83" s="112" t="str">
        <f t="shared" si="4"/>
        <v>✅ Completed</v>
      </c>
      <c r="M83" s="113" t="s">
        <v>35</v>
      </c>
      <c r="N83" s="114" t="s">
        <v>34</v>
      </c>
      <c r="O83" s="113"/>
      <c r="P83" s="115">
        <f>IFERROR(__xludf.DUMMYFUNCTION("IFERROR(COUNTUNIQUEIFS(ATTENDANCE_LOG!B:B,ATTENDANCE_LOG!C:C,A83),0)"),1.0)</f>
        <v>1</v>
      </c>
      <c r="Q83" s="113" t="str">
        <f t="array" ref="Q83">IFERROR(INDEX(ATTENDANCE_LOG!A:A,MATCH(1,(ATTENDANCE_LOG!C:C=A83)*(ATTENDANCE_LOG!F:F=MAXIFS(ATTENDANCE_LOG!F:F,ATTENDANCE_LOG!C:C,A83)),0)),"")</f>
        <v>EL012</v>
      </c>
      <c r="R83" s="113" t="str">
        <f t="array" ref="R83">IFERROR(INDEX(ATTENDANCE_LOG!B:B,MATCH(1,(ATTENDANCE_LOG!C:C=A83)*(ATTENDANCE_LOG!F:F=MAXIFS(ATTENDANCE_LOG!F:F,ATTENDANCE_LOG!C:C,A83)),0)),"")</f>
        <v>Communication 1</v>
      </c>
      <c r="S83" s="113">
        <f>IFERROR(VLOOKUP(H83, LEVEL_HELPER!A:B, 2, 0), 0)</f>
        <v>1</v>
      </c>
      <c r="T83" s="113">
        <f>IFERROR(VLOOKUP(I83, LEVEL_HELPER!A:B, 2, 0), 0)</f>
        <v>1.5</v>
      </c>
      <c r="U83" s="113">
        <f t="shared" ref="U83:V83" si="87">IF(S83="",0,IF(S83&lt;=2,1,IF(S83&lt;=4,2,IF(S83&lt;=5.5,3,4))))
</f>
        <v>1</v>
      </c>
      <c r="V83" s="113">
        <f t="shared" si="87"/>
        <v>1</v>
      </c>
      <c r="W83" s="113" t="str">
        <f t="shared" si="6"/>
        <v>Minor Improvement</v>
      </c>
      <c r="X83" s="113"/>
      <c r="Y83" s="113"/>
      <c r="Z83" s="113"/>
      <c r="AA83" s="113"/>
      <c r="AB83" s="116"/>
      <c r="AC83" s="116"/>
      <c r="AD83" s="117"/>
    </row>
    <row r="84" ht="15.75" customHeight="1">
      <c r="A84" s="104" t="s">
        <v>362</v>
      </c>
      <c r="B84" s="105" t="s">
        <v>363</v>
      </c>
      <c r="C84" s="106" t="str">
        <f>IFERROR(__xludf.DUMMYFUNCTION("arrayformula(VLOOKUP(to_Text(A84),to_Text(sheet2!$A$1:M1005),13,0))"),"TBU")</f>
        <v>TBU</v>
      </c>
      <c r="D84" s="107" t="str">
        <f>IFERROR(__xludf.DUMMYFUNCTION("arrayformula(VLOOKUP(to_Text(A84),to_Text(sheet2!$A$1:M1005),12,0))"),"DEV")</f>
        <v>DEV</v>
      </c>
      <c r="E84" s="108" t="str">
        <f t="shared" si="2"/>
        <v>Inactive</v>
      </c>
      <c r="F84" s="104" t="str">
        <f t="array" ref="F84">IFERROR(
  INDEX(ATTENDANCE_INPUT!D:D,
    MATCH(1,
      (ATTENDANCE_INPUT!A:A=A84) *
      (ATTENDANCE_INPUT!W:W=MAXIFS(ATTENDANCE_INPUT!W:W, ATTENDANCE_INPUT!A:A, A84)),
      0)),
  "")</f>
        <v>Huyen Vo</v>
      </c>
      <c r="G84" s="109" t="str">
        <f t="array" ref="G84">IFERROR(
  INDEX(ATTENDANCE_INPUT!E:E,
    MATCH(1,
      (ATTENDANCE_INPUT!A:A=A84) *
      (ATTENDANCE_INPUT!W:W=MAXIFS(ATTENDANCE_INPUT!W:W, ATTENDANCE_INPUT!A:A, A84)),
      0)),
  "")</f>
        <v>Communication 1</v>
      </c>
      <c r="H84" s="110" t="str">
        <f t="array" ref="H84">IF(ISNA(MATCH(A84,sheet2!A:A,0)),"⏳ Chưa test",IFERROR(INDEX(LEVEL_HELPER!A:A,MATCH(INDEX(sheet2!N:N,MATCH(A84,sheet2!A:A,0)),LEVEL_HELPER!B:B,0)),"⏳ Chưa test"))</f>
        <v>Pre-Intermediate</v>
      </c>
      <c r="I84" s="110" t="str">
        <f t="array" ref="I84">IF(ISNA(MATCH(A84,sheet2!A:A,0)),H84,IF(INDEX(sheet2!O:O,MATCH(A84,sheet2!A:A,0))&gt;0,IFERROR(INDEX(LEVEL_HELPER!A:A,MATCH(INDEX(sheet2!O:O,MATCH(A84,sheet2!A:A,0)),LEVEL_HELPER!B:B,0)),H84),H84))</f>
        <v>Pre-Intermediate</v>
      </c>
      <c r="J84" s="110">
        <f>IFERROR(MAXIFS(ATTENDANCE_LOG!F:F, ATTENDANCE_LOG!C:C, A84&amp;"", ATTENDANCE_LOG!G:G, "Present"), "")</f>
        <v>45791.375</v>
      </c>
      <c r="K84" s="111">
        <f t="shared" si="3"/>
        <v>421.625</v>
      </c>
      <c r="L84" s="112" t="str">
        <f t="shared" si="4"/>
        <v>❌ Dropped</v>
      </c>
      <c r="M84" s="120" t="s">
        <v>37</v>
      </c>
      <c r="N84" s="114" t="s">
        <v>34</v>
      </c>
      <c r="O84" s="113"/>
      <c r="P84" s="115">
        <f>IFERROR(__xludf.DUMMYFUNCTION("IFERROR(COUNTUNIQUEIFS(ATTENDANCE_LOG!B:B,ATTENDANCE_LOG!C:C,A84),0)"),1.0)</f>
        <v>1</v>
      </c>
      <c r="Q84" s="113" t="str">
        <f t="array" ref="Q84">IFERROR(INDEX(ATTENDANCE_LOG!A:A,MATCH(1,(ATTENDANCE_LOG!C:C=A84)*(ATTENDANCE_LOG!F:F=MAXIFS(ATTENDANCE_LOG!F:F,ATTENDANCE_LOG!C:C,A84)),0)),"")</f>
        <v>EL012</v>
      </c>
      <c r="R84" s="113" t="str">
        <f t="array" ref="R84">IFERROR(INDEX(ATTENDANCE_LOG!B:B,MATCH(1,(ATTENDANCE_LOG!C:C=A84)*(ATTENDANCE_LOG!F:F=MAXIFS(ATTENDANCE_LOG!F:F,ATTENDANCE_LOG!C:C,A84)),0)),"")</f>
        <v>Communication 1</v>
      </c>
      <c r="S84" s="113">
        <f>IFERROR(VLOOKUP(H84, LEVEL_HELPER!A:B, 2, 0), 0)</f>
        <v>2.5</v>
      </c>
      <c r="T84" s="113">
        <f>IFERROR(VLOOKUP(I84, LEVEL_HELPER!A:B, 2, 0), 0)</f>
        <v>2.5</v>
      </c>
      <c r="U84" s="113">
        <f t="shared" ref="U84:V84" si="88">IF(S84="",0,IF(S84&lt;=2,1,IF(S84&lt;=4,2,IF(S84&lt;=5.5,3,4))))
</f>
        <v>2</v>
      </c>
      <c r="V84" s="113">
        <f t="shared" si="88"/>
        <v>2</v>
      </c>
      <c r="W84" s="113" t="str">
        <f t="shared" si="6"/>
        <v>No Progress</v>
      </c>
      <c r="X84" s="113"/>
      <c r="Y84" s="113"/>
      <c r="Z84" s="113"/>
      <c r="AA84" s="113"/>
      <c r="AB84" s="116"/>
      <c r="AC84" s="116"/>
      <c r="AD84" s="117"/>
    </row>
    <row r="85" ht="15.75" customHeight="1">
      <c r="A85" s="104" t="s">
        <v>364</v>
      </c>
      <c r="B85" s="105" t="s">
        <v>365</v>
      </c>
      <c r="C85" s="106" t="str">
        <f>IFERROR(__xludf.DUMMYFUNCTION("arrayformula(VLOOKUP(to_Text(A85),to_Text(sheet2!$A$1:M1005),13,0))"),"CHORUS")</f>
        <v>CHORUS</v>
      </c>
      <c r="D85" s="107" t="str">
        <f>IFERROR(__xludf.DUMMYFUNCTION("arrayformula(VLOOKUP(to_Text(A85),to_Text(sheet2!$A$1:M1005),12,0))"),"DEV")</f>
        <v>DEV</v>
      </c>
      <c r="E85" s="108" t="str">
        <f t="shared" si="2"/>
        <v>Inactive</v>
      </c>
      <c r="F85" s="104" t="str">
        <f t="array" ref="F85">IFERROR(
  INDEX(ATTENDANCE_INPUT!D:D,
    MATCH(1,
      (ATTENDANCE_INPUT!A:A=A85) *
      (ATTENDANCE_INPUT!W:W=MAXIFS(ATTENDANCE_INPUT!W:W, ATTENDANCE_INPUT!A:A, A85)),
      0)),
  "")</f>
        <v>Huyen Vo</v>
      </c>
      <c r="G85" s="109" t="str">
        <f t="array" ref="G85">IFERROR(
  INDEX(ATTENDANCE_INPUT!E:E,
    MATCH(1,
      (ATTENDANCE_INPUT!A:A=A85) *
      (ATTENDANCE_INPUT!W:W=MAXIFS(ATTENDANCE_INPUT!W:W, ATTENDANCE_INPUT!A:A, A85)),
      0)),
  "")</f>
        <v>Communication 1</v>
      </c>
      <c r="H85" s="110" t="str">
        <f t="array" ref="H85">IF(ISNA(MATCH(A85,sheet2!A:A,0)),"⏳ Chưa test",IFERROR(INDEX(LEVEL_HELPER!A:A,MATCH(INDEX(sheet2!N:N,MATCH(A85,sheet2!A:A,0)),LEVEL_HELPER!B:B,0)),"⏳ Chưa test"))</f>
        <v>Pre-Intermediate</v>
      </c>
      <c r="I85" s="110" t="str">
        <f t="array" ref="I85">IF(ISNA(MATCH(A85,sheet2!A:A,0)),H85,IF(INDEX(sheet2!O:O,MATCH(A85,sheet2!A:A,0))&gt;0,IFERROR(INDEX(LEVEL_HELPER!A:A,MATCH(INDEX(sheet2!O:O,MATCH(A85,sheet2!A:A,0)),LEVEL_HELPER!B:B,0)),H85),H85))</f>
        <v>Pre-Intermediate 2</v>
      </c>
      <c r="J85" s="110">
        <f>IFERROR(MAXIFS(ATTENDANCE_LOG!F:F, ATTENDANCE_LOG!C:C, A85&amp;"", ATTENDANCE_LOG!G:G, "Present"), "")</f>
        <v>45791.375</v>
      </c>
      <c r="K85" s="111">
        <f t="shared" si="3"/>
        <v>421.625</v>
      </c>
      <c r="L85" s="112" t="str">
        <f t="shared" si="4"/>
        <v>❌ Dropped</v>
      </c>
      <c r="M85" s="120" t="s">
        <v>37</v>
      </c>
      <c r="N85" s="126" t="s">
        <v>43</v>
      </c>
      <c r="O85" s="113"/>
      <c r="P85" s="115">
        <f>IFERROR(__xludf.DUMMYFUNCTION("IFERROR(COUNTUNIQUEIFS(ATTENDANCE_LOG!B:B,ATTENDANCE_LOG!C:C,A85),0)"),1.0)</f>
        <v>1</v>
      </c>
      <c r="Q85" s="113" t="str">
        <f t="array" ref="Q85">IFERROR(INDEX(ATTENDANCE_LOG!A:A,MATCH(1,(ATTENDANCE_LOG!C:C=A85)*(ATTENDANCE_LOG!F:F=MAXIFS(ATTENDANCE_LOG!F:F,ATTENDANCE_LOG!C:C,A85)),0)),"")</f>
        <v>EL012</v>
      </c>
      <c r="R85" s="113" t="str">
        <f t="array" ref="R85">IFERROR(INDEX(ATTENDANCE_LOG!B:B,MATCH(1,(ATTENDANCE_LOG!C:C=A85)*(ATTENDANCE_LOG!F:F=MAXIFS(ATTENDANCE_LOG!F:F,ATTENDANCE_LOG!C:C,A85)),0)),"")</f>
        <v>Communication 1</v>
      </c>
      <c r="S85" s="113">
        <f>IFERROR(VLOOKUP(H85, LEVEL_HELPER!A:B, 2, 0), 0)</f>
        <v>2.5</v>
      </c>
      <c r="T85" s="113">
        <f>IFERROR(VLOOKUP(I85, LEVEL_HELPER!A:B, 2, 0), 0)</f>
        <v>3.5</v>
      </c>
      <c r="U85" s="113">
        <f t="shared" ref="U85:V85" si="89">IF(S85="",0,IF(S85&lt;=2,1,IF(S85&lt;=4,2,IF(S85&lt;=5.5,3,4))))
</f>
        <v>2</v>
      </c>
      <c r="V85" s="113">
        <f t="shared" si="89"/>
        <v>2</v>
      </c>
      <c r="W85" s="113" t="str">
        <f t="shared" si="6"/>
        <v>Minor Improvement</v>
      </c>
      <c r="X85" s="113"/>
      <c r="Y85" s="113">
        <v>247001.0</v>
      </c>
      <c r="Z85" s="113" t="s">
        <v>190</v>
      </c>
      <c r="AA85" s="113" t="s">
        <v>34</v>
      </c>
      <c r="AB85" s="116"/>
      <c r="AC85" s="116"/>
      <c r="AD85" s="117"/>
    </row>
    <row r="86" ht="15.75" customHeight="1">
      <c r="A86" s="104" t="s">
        <v>366</v>
      </c>
      <c r="B86" s="105" t="s">
        <v>367</v>
      </c>
      <c r="C86" s="106" t="str">
        <f>IFERROR(__xludf.DUMMYFUNCTION("arrayformula(VLOOKUP(to_Text(A86),to_Text(sheet2!$A$1:M1005),13,0))"),"ONC")</f>
        <v>ONC</v>
      </c>
      <c r="D86" s="107" t="str">
        <f>IFERROR(__xludf.DUMMYFUNCTION("arrayformula(VLOOKUP(to_Text(A86),to_Text(sheet2!$A$1:M1005),12,0))"),"DEV")</f>
        <v>DEV</v>
      </c>
      <c r="E86" s="108" t="str">
        <f t="shared" si="2"/>
        <v>Active</v>
      </c>
      <c r="F86" s="104" t="str">
        <f t="array" ref="F86">IFERROR(
  INDEX(ATTENDANCE_INPUT!D:D,
    MATCH(1,
      (ATTENDANCE_INPUT!A:A=A86) *
      (ATTENDANCE_INPUT!W:W=MAXIFS(ATTENDANCE_INPUT!W:W, ATTENDANCE_INPUT!A:A, A86)),
      0)),
  "")</f>
        <v>Lanh Le</v>
      </c>
      <c r="G86" s="109" t="str">
        <f t="array" ref="G86">IFERROR(
  INDEX(ATTENDANCE_INPUT!E:E,
    MATCH(1,
      (ATTENDANCE_INPUT!A:A=A86) *
      (ATTENDANCE_INPUT!W:W=MAXIFS(ATTENDANCE_INPUT!W:W, ATTENDANCE_INPUT!A:A, A86)),
      0)),
  "")</f>
        <v>Communication 3</v>
      </c>
      <c r="H86" s="110" t="str">
        <f t="array" ref="H86">IF(ISNA(MATCH(A86,sheet2!A:A,0)),"⏳ Chưa test",IFERROR(INDEX(LEVEL_HELPER!A:A,MATCH(INDEX(sheet2!N:N,MATCH(A86,sheet2!A:A,0)),LEVEL_HELPER!B:B,0)),"⏳ Chưa test"))</f>
        <v>Beginner</v>
      </c>
      <c r="I86" s="110" t="str">
        <f t="array" ref="I86">IF(ISNA(MATCH(A86,sheet2!A:A,0)),H86,IF(INDEX(sheet2!O:O,MATCH(A86,sheet2!A:A,0))&gt;0,IFERROR(INDEX(LEVEL_HELPER!A:A,MATCH(INDEX(sheet2!O:O,MATCH(A86,sheet2!A:A,0)),LEVEL_HELPER!B:B,0)),H86),H86))</f>
        <v>Pre-Intermediate 1</v>
      </c>
      <c r="J86" s="110">
        <f>IFERROR(MAXIFS(ATTENDANCE_LOG!F:F, ATTENDANCE_LOG!C:C, A86&amp;"", ATTENDANCE_LOG!G:G, "Present"), "")</f>
        <v>46182.58333</v>
      </c>
      <c r="K86" s="111">
        <f t="shared" si="3"/>
        <v>30.41666667</v>
      </c>
      <c r="L86" s="112" t="str">
        <f t="shared" si="4"/>
        <v>⚠ Check</v>
      </c>
      <c r="M86" s="113"/>
      <c r="N86" s="114"/>
      <c r="O86" s="113"/>
      <c r="P86" s="115">
        <f>IFERROR(__xludf.DUMMYFUNCTION("IFERROR(COUNTUNIQUEIFS(ATTENDANCE_LOG!B:B,ATTENDANCE_LOG!C:C,A86),0)"),3.0)</f>
        <v>3</v>
      </c>
      <c r="Q86" s="113" t="str">
        <f t="array" ref="Q86">IFERROR(INDEX(ATTENDANCE_LOG!A:A,MATCH(1,(ATTENDANCE_LOG!C:C=A86)*(ATTENDANCE_LOG!F:F=MAXIFS(ATTENDANCE_LOG!F:F,ATTENDANCE_LOG!C:C,A86)),0)),"")</f>
        <v>EL013</v>
      </c>
      <c r="R86" s="113" t="str">
        <f t="array" ref="R86">IFERROR(INDEX(ATTENDANCE_LOG!B:B,MATCH(1,(ATTENDANCE_LOG!C:C=A86)*(ATTENDANCE_LOG!F:F=MAXIFS(ATTENDANCE_LOG!F:F,ATTENDANCE_LOG!C:C,A86)),0)),"")</f>
        <v>Communication 3</v>
      </c>
      <c r="S86" s="113">
        <f>IFERROR(VLOOKUP(H86, LEVEL_HELPER!A:B, 2, 0), 0)</f>
        <v>1</v>
      </c>
      <c r="T86" s="113">
        <f>IFERROR(VLOOKUP(I86, LEVEL_HELPER!A:B, 2, 0), 0)</f>
        <v>3</v>
      </c>
      <c r="U86" s="113">
        <f t="shared" ref="U86:V86" si="90">IF(S86="",0,IF(S86&lt;=2,1,IF(S86&lt;=4,2,IF(S86&lt;=5.5,3,4))))
</f>
        <v>1</v>
      </c>
      <c r="V86" s="113">
        <f t="shared" si="90"/>
        <v>2</v>
      </c>
      <c r="W86" s="113" t="str">
        <f t="shared" si="6"/>
        <v>Lv1→Lv2</v>
      </c>
      <c r="X86" s="113"/>
      <c r="Y86" s="113"/>
      <c r="Z86" s="113"/>
      <c r="AA86" s="113"/>
      <c r="AB86" s="116"/>
      <c r="AC86" s="116"/>
      <c r="AD86" s="117"/>
    </row>
    <row r="87" ht="15.75" customHeight="1">
      <c r="A87" s="104" t="s">
        <v>368</v>
      </c>
      <c r="B87" s="105" t="s">
        <v>369</v>
      </c>
      <c r="C87" s="106" t="str">
        <f>IFERROR(__xludf.DUMMYFUNCTION("arrayformula(VLOOKUP(to_Text(A87),to_Text(sheet2!$A$1:M1005),13,0))"),"ONC")</f>
        <v>ONC</v>
      </c>
      <c r="D87" s="107" t="str">
        <f>IFERROR(__xludf.DUMMYFUNCTION("arrayformula(VLOOKUP(to_Text(A87),to_Text(sheet2!$A$1:M1005),12,0))"),"DEV")</f>
        <v>DEV</v>
      </c>
      <c r="E87" s="108" t="str">
        <f t="shared" si="2"/>
        <v>Active</v>
      </c>
      <c r="F87" s="104" t="str">
        <f t="array" ref="F87">IFERROR(
  INDEX(ATTENDANCE_INPUT!D:D,
    MATCH(1,
      (ATTENDANCE_INPUT!A:A=A87) *
      (ATTENDANCE_INPUT!W:W=MAXIFS(ATTENDANCE_INPUT!W:W, ATTENDANCE_INPUT!A:A, A87)),
      0)),
  "")</f>
        <v>Lanh Le</v>
      </c>
      <c r="G87" s="109" t="str">
        <f t="array" ref="G87">IFERROR(
  INDEX(ATTENDANCE_INPUT!E:E,
    MATCH(1,
      (ATTENDANCE_INPUT!A:A=A87) *
      (ATTENDANCE_INPUT!W:W=MAXIFS(ATTENDANCE_INPUT!W:W, ATTENDANCE_INPUT!A:A, A87)),
      0)),
  "")</f>
        <v>Communication 3</v>
      </c>
      <c r="H87" s="110" t="str">
        <f t="array" ref="H87">IF(ISNA(MATCH(A87,sheet2!A:A,0)),"⏳ Chưa test",IFERROR(INDEX(LEVEL_HELPER!A:A,MATCH(INDEX(sheet2!N:N,MATCH(A87,sheet2!A:A,0)),LEVEL_HELPER!B:B,0)),"⏳ Chưa test"))</f>
        <v>Pre-Intermediate</v>
      </c>
      <c r="I87" s="110" t="str">
        <f t="array" ref="I87">IF(ISNA(MATCH(A87,sheet2!A:A,0)),H87,IF(INDEX(sheet2!O:O,MATCH(A87,sheet2!A:A,0))&gt;0,IFERROR(INDEX(LEVEL_HELPER!A:A,MATCH(INDEX(sheet2!O:O,MATCH(A87,sheet2!A:A,0)),LEVEL_HELPER!B:B,0)),H87),H87))</f>
        <v>Pre-Intermediate 2</v>
      </c>
      <c r="J87" s="110">
        <f>IFERROR(MAXIFS(ATTENDANCE_LOG!F:F, ATTENDANCE_LOG!C:C, A87&amp;"", ATTENDANCE_LOG!G:G, "Present"), "")</f>
        <v>46182.58333</v>
      </c>
      <c r="K87" s="111">
        <f t="shared" si="3"/>
        <v>30.41666667</v>
      </c>
      <c r="L87" s="112" t="str">
        <f t="shared" si="4"/>
        <v>⚠ Check</v>
      </c>
      <c r="M87" s="113"/>
      <c r="N87" s="114"/>
      <c r="O87" s="113" t="s">
        <v>370</v>
      </c>
      <c r="P87" s="115">
        <f>IFERROR(__xludf.DUMMYFUNCTION("IFERROR(COUNTUNIQUEIFS(ATTENDANCE_LOG!B:B,ATTENDANCE_LOG!C:C,A87),0)"),3.0)</f>
        <v>3</v>
      </c>
      <c r="Q87" s="113" t="str">
        <f t="array" ref="Q87">IFERROR(INDEX(ATTENDANCE_LOG!A:A,MATCH(1,(ATTENDANCE_LOG!C:C=A87)*(ATTENDANCE_LOG!F:F=MAXIFS(ATTENDANCE_LOG!F:F,ATTENDANCE_LOG!C:C,A87)),0)),"")</f>
        <v>EL013</v>
      </c>
      <c r="R87" s="113" t="str">
        <f t="array" ref="R87">IFERROR(INDEX(ATTENDANCE_LOG!B:B,MATCH(1,(ATTENDANCE_LOG!C:C=A87)*(ATTENDANCE_LOG!F:F=MAXIFS(ATTENDANCE_LOG!F:F,ATTENDANCE_LOG!C:C,A87)),0)),"")</f>
        <v>Communication 3</v>
      </c>
      <c r="S87" s="113">
        <f>IFERROR(VLOOKUP(H87, LEVEL_HELPER!A:B, 2, 0), 0)</f>
        <v>2.5</v>
      </c>
      <c r="T87" s="113">
        <f>IFERROR(VLOOKUP(I87, LEVEL_HELPER!A:B, 2, 0), 0)</f>
        <v>3.5</v>
      </c>
      <c r="U87" s="113">
        <f t="shared" ref="U87:V87" si="91">IF(S87="",0,IF(S87&lt;=2,1,IF(S87&lt;=4,2,IF(S87&lt;=5.5,3,4))))
</f>
        <v>2</v>
      </c>
      <c r="V87" s="113">
        <f t="shared" si="91"/>
        <v>2</v>
      </c>
      <c r="W87" s="113" t="str">
        <f t="shared" si="6"/>
        <v>Minor Improvement</v>
      </c>
      <c r="X87" s="113"/>
      <c r="Y87" s="113"/>
      <c r="Z87" s="113"/>
      <c r="AA87" s="113"/>
      <c r="AB87" s="116"/>
      <c r="AC87" s="116"/>
      <c r="AD87" s="117"/>
    </row>
    <row r="88" ht="15.75" customHeight="1">
      <c r="A88" s="104" t="s">
        <v>371</v>
      </c>
      <c r="B88" s="105" t="s">
        <v>372</v>
      </c>
      <c r="C88" s="106" t="str">
        <f>IFERROR(__xludf.DUMMYFUNCTION("arrayformula(VLOOKUP(to_Text(A88),to_Text(sheet2!$A$1:M1005),13,0))"),"ONC")</f>
        <v>ONC</v>
      </c>
      <c r="D88" s="107" t="str">
        <f>IFERROR(__xludf.DUMMYFUNCTION("arrayformula(VLOOKUP(to_Text(A88),to_Text(sheet2!$A$1:M1005),12,0))"),"DEV")</f>
        <v>DEV</v>
      </c>
      <c r="E88" s="108" t="str">
        <f t="shared" si="2"/>
        <v>Active</v>
      </c>
      <c r="F88" s="104" t="str">
        <f t="array" ref="F88">IFERROR(
  INDEX(ATTENDANCE_INPUT!D:D,
    MATCH(1,
      (ATTENDANCE_INPUT!A:A=A88) *
      (ATTENDANCE_INPUT!W:W=MAXIFS(ATTENDANCE_INPUT!W:W, ATTENDANCE_INPUT!A:A, A88)),
      0)),
  "")</f>
        <v>Lanh Le</v>
      </c>
      <c r="G88" s="109" t="str">
        <f t="array" ref="G88">IFERROR(
  INDEX(ATTENDANCE_INPUT!E:E,
    MATCH(1,
      (ATTENDANCE_INPUT!A:A=A88) *
      (ATTENDANCE_INPUT!W:W=MAXIFS(ATTENDANCE_INPUT!W:W, ATTENDANCE_INPUT!A:A, A88)),
      0)),
  "")</f>
        <v>Communication 3</v>
      </c>
      <c r="H88" s="110" t="str">
        <f t="array" ref="H88">IF(ISNA(MATCH(A88,sheet2!A:A,0)),"⏳ Chưa test",IFERROR(INDEX(LEVEL_HELPER!A:A,MATCH(INDEX(sheet2!N:N,MATCH(A88,sheet2!A:A,0)),LEVEL_HELPER!B:B,0)),"⏳ Chưa test"))</f>
        <v>Beginner</v>
      </c>
      <c r="I88" s="110" t="str">
        <f t="array" ref="I88">IF(ISNA(MATCH(A88,sheet2!A:A,0)),H88,IF(INDEX(sheet2!O:O,MATCH(A88,sheet2!A:A,0))&gt;0,IFERROR(INDEX(LEVEL_HELPER!A:A,MATCH(INDEX(sheet2!O:O,MATCH(A88,sheet2!A:A,0)),LEVEL_HELPER!B:B,0)),H88),H88))</f>
        <v>Pre-Intermediate 2</v>
      </c>
      <c r="J88" s="110">
        <f>IFERROR(MAXIFS(ATTENDANCE_LOG!F:F, ATTENDANCE_LOG!C:C, A88&amp;"", ATTENDANCE_LOG!G:G, "Present"), "")</f>
        <v>46182.58333</v>
      </c>
      <c r="K88" s="111">
        <f t="shared" si="3"/>
        <v>30.41666667</v>
      </c>
      <c r="L88" s="112" t="str">
        <f t="shared" si="4"/>
        <v>⚠ Check</v>
      </c>
      <c r="M88" s="113"/>
      <c r="N88" s="114"/>
      <c r="O88" s="113"/>
      <c r="P88" s="115">
        <f>IFERROR(__xludf.DUMMYFUNCTION("IFERROR(COUNTUNIQUEIFS(ATTENDANCE_LOG!B:B,ATTENDANCE_LOG!C:C,A88),0)"),3.0)</f>
        <v>3</v>
      </c>
      <c r="Q88" s="113" t="str">
        <f t="array" ref="Q88">IFERROR(INDEX(ATTENDANCE_LOG!A:A,MATCH(1,(ATTENDANCE_LOG!C:C=A88)*(ATTENDANCE_LOG!F:F=MAXIFS(ATTENDANCE_LOG!F:F,ATTENDANCE_LOG!C:C,A88)),0)),"")</f>
        <v>EL013</v>
      </c>
      <c r="R88" s="113" t="str">
        <f t="array" ref="R88">IFERROR(INDEX(ATTENDANCE_LOG!B:B,MATCH(1,(ATTENDANCE_LOG!C:C=A88)*(ATTENDANCE_LOG!F:F=MAXIFS(ATTENDANCE_LOG!F:F,ATTENDANCE_LOG!C:C,A88)),0)),"")</f>
        <v>Communication 3</v>
      </c>
      <c r="S88" s="113">
        <f>IFERROR(VLOOKUP(H88, LEVEL_HELPER!A:B, 2, 0), 0)</f>
        <v>1</v>
      </c>
      <c r="T88" s="113">
        <f>IFERROR(VLOOKUP(I88, LEVEL_HELPER!A:B, 2, 0), 0)</f>
        <v>3.5</v>
      </c>
      <c r="U88" s="113">
        <f t="shared" ref="U88:V88" si="92">IF(S88="",0,IF(S88&lt;=2,1,IF(S88&lt;=4,2,IF(S88&lt;=5.5,3,4))))
</f>
        <v>1</v>
      </c>
      <c r="V88" s="113">
        <f t="shared" si="92"/>
        <v>2</v>
      </c>
      <c r="W88" s="113" t="str">
        <f t="shared" si="6"/>
        <v>Lv1→Lv2</v>
      </c>
      <c r="X88" s="113"/>
      <c r="Y88" s="113"/>
      <c r="Z88" s="113"/>
      <c r="AA88" s="113"/>
      <c r="AB88" s="116"/>
      <c r="AC88" s="116"/>
      <c r="AD88" s="117"/>
    </row>
    <row r="89" ht="15.75" customHeight="1">
      <c r="A89" s="104" t="s">
        <v>373</v>
      </c>
      <c r="B89" s="105" t="s">
        <v>374</v>
      </c>
      <c r="C89" s="106" t="str">
        <f>IFERROR(__xludf.DUMMYFUNCTION("arrayformula(VLOOKUP(to_Text(A89),to_Text(sheet2!$A$1:M1005),13,0))"),"ONC")</f>
        <v>ONC</v>
      </c>
      <c r="D89" s="107" t="str">
        <f>IFERROR(__xludf.DUMMYFUNCTION("arrayformula(VLOOKUP(to_Text(A89),to_Text(sheet2!$A$1:M1005),12,0))"),"DEV")</f>
        <v>DEV</v>
      </c>
      <c r="E89" s="108" t="str">
        <f t="shared" si="2"/>
        <v>Active</v>
      </c>
      <c r="F89" s="104" t="str">
        <f t="array" ref="F89">IFERROR(
  INDEX(ATTENDANCE_INPUT!D:D,
    MATCH(1,
      (ATTENDANCE_INPUT!A:A=A89) *
      (ATTENDANCE_INPUT!W:W=MAXIFS(ATTENDANCE_INPUT!W:W, ATTENDANCE_INPUT!A:A, A89)),
      0)),
  "")</f>
        <v>Lanh Le</v>
      </c>
      <c r="G89" s="109" t="str">
        <f t="array" ref="G89">IFERROR(
  INDEX(ATTENDANCE_INPUT!E:E,
    MATCH(1,
      (ATTENDANCE_INPUT!A:A=A89) *
      (ATTENDANCE_INPUT!W:W=MAXIFS(ATTENDANCE_INPUT!W:W, ATTENDANCE_INPUT!A:A, A89)),
      0)),
  "")</f>
        <v>Communication 3</v>
      </c>
      <c r="H89" s="110" t="str">
        <f t="array" ref="H89">IF(ISNA(MATCH(A89,sheet2!A:A,0)),"⏳ Chưa test",IFERROR(INDEX(LEVEL_HELPER!A:A,MATCH(INDEX(sheet2!N:N,MATCH(A89,sheet2!A:A,0)),LEVEL_HELPER!B:B,0)),"⏳ Chưa test"))</f>
        <v>Beginner</v>
      </c>
      <c r="I89" s="110" t="str">
        <f t="array" ref="I89">IF(ISNA(MATCH(A89,sheet2!A:A,0)),H89,IF(INDEX(sheet2!O:O,MATCH(A89,sheet2!A:A,0))&gt;0,IFERROR(INDEX(LEVEL_HELPER!A:A,MATCH(INDEX(sheet2!O:O,MATCH(A89,sheet2!A:A,0)),LEVEL_HELPER!B:B,0)),H89),H89))</f>
        <v>Intermediate 1</v>
      </c>
      <c r="J89" s="110">
        <f>IFERROR(MAXIFS(ATTENDANCE_LOG!F:F, ATTENDANCE_LOG!C:C, A89&amp;"", ATTENDANCE_LOG!G:G, "Present"), "")</f>
        <v>46182.58333</v>
      </c>
      <c r="K89" s="111">
        <f t="shared" si="3"/>
        <v>30.41666667</v>
      </c>
      <c r="L89" s="112" t="str">
        <f t="shared" si="4"/>
        <v>⚠ Check</v>
      </c>
      <c r="M89" s="113"/>
      <c r="N89" s="114"/>
      <c r="O89" s="113" t="s">
        <v>375</v>
      </c>
      <c r="P89" s="115">
        <f>IFERROR(__xludf.DUMMYFUNCTION("IFERROR(COUNTUNIQUEIFS(ATTENDANCE_LOG!B:B,ATTENDANCE_LOG!C:C,A89),0)"),3.0)</f>
        <v>3</v>
      </c>
      <c r="Q89" s="113" t="str">
        <f t="array" ref="Q89">IFERROR(INDEX(ATTENDANCE_LOG!A:A,MATCH(1,(ATTENDANCE_LOG!C:C=A89)*(ATTENDANCE_LOG!F:F=MAXIFS(ATTENDANCE_LOG!F:F,ATTENDANCE_LOG!C:C,A89)),0)),"")</f>
        <v>EL013</v>
      </c>
      <c r="R89" s="113" t="str">
        <f t="array" ref="R89">IFERROR(INDEX(ATTENDANCE_LOG!B:B,MATCH(1,(ATTENDANCE_LOG!C:C=A89)*(ATTENDANCE_LOG!F:F=MAXIFS(ATTENDANCE_LOG!F:F,ATTENDANCE_LOG!C:C,A89)),0)),"")</f>
        <v>Communication 3</v>
      </c>
      <c r="S89" s="113">
        <f>IFERROR(VLOOKUP(H89, LEVEL_HELPER!A:B, 2, 0), 0)</f>
        <v>1</v>
      </c>
      <c r="T89" s="113">
        <f>IFERROR(VLOOKUP(I89, LEVEL_HELPER!A:B, 2, 0), 0)</f>
        <v>5</v>
      </c>
      <c r="U89" s="113">
        <f t="shared" ref="U89:V89" si="93">IF(S89="",0,IF(S89&lt;=2,1,IF(S89&lt;=4,2,IF(S89&lt;=5.5,3,4))))
</f>
        <v>1</v>
      </c>
      <c r="V89" s="113">
        <f t="shared" si="93"/>
        <v>3</v>
      </c>
      <c r="W89" s="113" t="str">
        <f t="shared" si="6"/>
        <v>Lv1→Lv3 (multi)</v>
      </c>
      <c r="X89" s="113"/>
      <c r="Y89" s="113"/>
      <c r="Z89" s="113"/>
      <c r="AA89" s="113"/>
      <c r="AB89" s="116"/>
      <c r="AC89" s="116"/>
      <c r="AD89" s="117"/>
    </row>
    <row r="90" ht="15.75" customHeight="1">
      <c r="A90" s="104" t="s">
        <v>376</v>
      </c>
      <c r="B90" s="105" t="s">
        <v>377</v>
      </c>
      <c r="C90" s="106" t="str">
        <f>IFERROR(__xludf.DUMMYFUNCTION("arrayformula(VLOOKUP(to_Text(A90),to_Text(sheet2!$A$1:M1005),13,0))"),"ONC")</f>
        <v>ONC</v>
      </c>
      <c r="D90" s="107" t="str">
        <f>IFERROR(__xludf.DUMMYFUNCTION("arrayformula(VLOOKUP(to_Text(A90),to_Text(sheet2!$A$1:M1005),12,0))"),"DEV")</f>
        <v>DEV</v>
      </c>
      <c r="E90" s="108" t="str">
        <f t="shared" si="2"/>
        <v>Active</v>
      </c>
      <c r="F90" s="104" t="str">
        <f t="array" ref="F90">IFERROR(
  INDEX(ATTENDANCE_INPUT!D:D,
    MATCH(1,
      (ATTENDANCE_INPUT!A:A=A90) *
      (ATTENDANCE_INPUT!W:W=MAXIFS(ATTENDANCE_INPUT!W:W, ATTENDANCE_INPUT!A:A, A90)),
      0)),
  "")</f>
        <v>Lanh Le</v>
      </c>
      <c r="G90" s="109" t="str">
        <f t="array" ref="G90">IFERROR(
  INDEX(ATTENDANCE_INPUT!E:E,
    MATCH(1,
      (ATTENDANCE_INPUT!A:A=A90) *
      (ATTENDANCE_INPUT!W:W=MAXIFS(ATTENDANCE_INPUT!W:W, ATTENDANCE_INPUT!A:A, A90)),
      0)),
  "")</f>
        <v>Communication 3</v>
      </c>
      <c r="H90" s="110" t="str">
        <f t="array" ref="H90">IF(ISNA(MATCH(A90,sheet2!A:A,0)),"⏳ Chưa test",IFERROR(INDEX(LEVEL_HELPER!A:A,MATCH(INDEX(sheet2!N:N,MATCH(A90,sheet2!A:A,0)),LEVEL_HELPER!B:B,0)),"⏳ Chưa test"))</f>
        <v>Pre-Intermediate</v>
      </c>
      <c r="I90" s="110" t="str">
        <f t="array" ref="I90">IF(ISNA(MATCH(A90,sheet2!A:A,0)),H90,IF(INDEX(sheet2!O:O,MATCH(A90,sheet2!A:A,0))&gt;0,IFERROR(INDEX(LEVEL_HELPER!A:A,MATCH(INDEX(sheet2!O:O,MATCH(A90,sheet2!A:A,0)),LEVEL_HELPER!B:B,0)),H90),H90))</f>
        <v>Pre-Intermediate 2</v>
      </c>
      <c r="J90" s="110">
        <f>IFERROR(MAXIFS(ATTENDANCE_LOG!F:F, ATTENDANCE_LOG!C:C, A90&amp;"", ATTENDANCE_LOG!G:G, "Present"), "")</f>
        <v>46182.58333</v>
      </c>
      <c r="K90" s="111">
        <f t="shared" si="3"/>
        <v>30.41666667</v>
      </c>
      <c r="L90" s="112" t="str">
        <f t="shared" si="4"/>
        <v>⚠ Check</v>
      </c>
      <c r="M90" s="113"/>
      <c r="N90" s="114"/>
      <c r="O90" s="113"/>
      <c r="P90" s="115">
        <f>IFERROR(__xludf.DUMMYFUNCTION("IFERROR(COUNTUNIQUEIFS(ATTENDANCE_LOG!B:B,ATTENDANCE_LOG!C:C,A90),0)"),3.0)</f>
        <v>3</v>
      </c>
      <c r="Q90" s="113" t="str">
        <f t="array" ref="Q90">IFERROR(INDEX(ATTENDANCE_LOG!A:A,MATCH(1,(ATTENDANCE_LOG!C:C=A90)*(ATTENDANCE_LOG!F:F=MAXIFS(ATTENDANCE_LOG!F:F,ATTENDANCE_LOG!C:C,A90)),0)),"")</f>
        <v>EL013</v>
      </c>
      <c r="R90" s="113" t="str">
        <f t="array" ref="R90">IFERROR(INDEX(ATTENDANCE_LOG!B:B,MATCH(1,(ATTENDANCE_LOG!C:C=A90)*(ATTENDANCE_LOG!F:F=MAXIFS(ATTENDANCE_LOG!F:F,ATTENDANCE_LOG!C:C,A90)),0)),"")</f>
        <v>Communication 3</v>
      </c>
      <c r="S90" s="113">
        <f>IFERROR(VLOOKUP(H90, LEVEL_HELPER!A:B, 2, 0), 0)</f>
        <v>2.5</v>
      </c>
      <c r="T90" s="113">
        <f>IFERROR(VLOOKUP(I90, LEVEL_HELPER!A:B, 2, 0), 0)</f>
        <v>3.5</v>
      </c>
      <c r="U90" s="113">
        <f t="shared" ref="U90:V90" si="94">IF(S90="",0,IF(S90&lt;=2,1,IF(S90&lt;=4,2,IF(S90&lt;=5.5,3,4))))
</f>
        <v>2</v>
      </c>
      <c r="V90" s="113">
        <f t="shared" si="94"/>
        <v>2</v>
      </c>
      <c r="W90" s="113" t="str">
        <f t="shared" si="6"/>
        <v>Minor Improvement</v>
      </c>
      <c r="X90" s="113"/>
      <c r="Y90" s="113">
        <v>183421.0</v>
      </c>
      <c r="Z90" s="113"/>
      <c r="AA90" s="113"/>
      <c r="AB90" s="116"/>
      <c r="AC90" s="116"/>
      <c r="AD90" s="117"/>
    </row>
    <row r="91" ht="15.75" customHeight="1">
      <c r="A91" s="104" t="s">
        <v>378</v>
      </c>
      <c r="B91" s="105" t="s">
        <v>379</v>
      </c>
      <c r="C91" s="106" t="str">
        <f>IFERROR(__xludf.DUMMYFUNCTION("arrayformula(VLOOKUP(to_Text(A91),to_Text(sheet2!$A$1:M1005),13,0))"),"LBU")</f>
        <v>LBU</v>
      </c>
      <c r="D91" s="107" t="str">
        <f>IFERROR(__xludf.DUMMYFUNCTION("arrayformula(VLOOKUP(to_Text(A91),to_Text(sheet2!$A$1:M1005),12,0))"),"QC")</f>
        <v>QC</v>
      </c>
      <c r="E91" s="108" t="str">
        <f t="shared" si="2"/>
        <v>Active</v>
      </c>
      <c r="F91" s="104" t="str">
        <f t="array" ref="F91">IFERROR(
  INDEX(ATTENDANCE_INPUT!D:D,
    MATCH(1,
      (ATTENDANCE_INPUT!A:A=A91) *
      (ATTENDANCE_INPUT!W:W=MAXIFS(ATTENDANCE_INPUT!W:W, ATTENDANCE_INPUT!A:A, A91)),
      0)),
  "")</f>
        <v>Lanh Le</v>
      </c>
      <c r="G91" s="109" t="str">
        <f t="array" ref="G91">IFERROR(
  INDEX(ATTENDANCE_INPUT!E:E,
    MATCH(1,
      (ATTENDANCE_INPUT!A:A=A91) *
      (ATTENDANCE_INPUT!W:W=MAXIFS(ATTENDANCE_INPUT!W:W, ATTENDANCE_INPUT!A:A, A91)),
      0)),
  "")</f>
        <v>Communication 3</v>
      </c>
      <c r="H91" s="110" t="str">
        <f t="array" ref="H91">IF(ISNA(MATCH(A91,sheet2!A:A,0)),"⏳ Chưa test",IFERROR(INDEX(LEVEL_HELPER!A:A,MATCH(INDEX(sheet2!N:N,MATCH(A91,sheet2!A:A,0)),LEVEL_HELPER!B:B,0)),"⏳ Chưa test"))</f>
        <v>Beginner</v>
      </c>
      <c r="I91" s="110" t="str">
        <f t="array" ref="I91">IF(ISNA(MATCH(A91,sheet2!A:A,0)),H91,IF(INDEX(sheet2!O:O,MATCH(A91,sheet2!A:A,0))&gt;0,IFERROR(INDEX(LEVEL_HELPER!A:A,MATCH(INDEX(sheet2!O:O,MATCH(A91,sheet2!A:A,0)),LEVEL_HELPER!B:B,0)),H91),H91))</f>
        <v>Intermediate 1</v>
      </c>
      <c r="J91" s="110">
        <f>IFERROR(MAXIFS(ATTENDANCE_LOG!F:F, ATTENDANCE_LOG!C:C, A91&amp;"", ATTENDANCE_LOG!G:G, "Present"), "")</f>
        <v>46211.54167</v>
      </c>
      <c r="K91" s="111">
        <f t="shared" si="3"/>
        <v>1.458333333</v>
      </c>
      <c r="L91" s="112" t="str">
        <f t="shared" si="4"/>
        <v/>
      </c>
      <c r="M91" s="113"/>
      <c r="N91" s="114"/>
      <c r="O91" s="113"/>
      <c r="P91" s="115">
        <f>IFERROR(__xludf.DUMMYFUNCTION("IFERROR(COUNTUNIQUEIFS(ATTENDANCE_LOG!B:B,ATTENDANCE_LOG!C:C,A91),0)"),3.0)</f>
        <v>3</v>
      </c>
      <c r="Q91" s="113" t="str">
        <f t="array" ref="Q91">IFERROR(INDEX(ATTENDANCE_LOG!A:A,MATCH(1,(ATTENDANCE_LOG!C:C=A91)*(ATTENDANCE_LOG!F:F=MAXIFS(ATTENDANCE_LOG!F:F,ATTENDANCE_LOG!C:C,A91)),0)),"")</f>
        <v>EL013</v>
      </c>
      <c r="R91" s="113" t="str">
        <f t="array" ref="R91">IFERROR(INDEX(ATTENDANCE_LOG!B:B,MATCH(1,(ATTENDANCE_LOG!C:C=A91)*(ATTENDANCE_LOG!F:F=MAXIFS(ATTENDANCE_LOG!F:F,ATTENDANCE_LOG!C:C,A91)),0)),"")</f>
        <v>Communication 3</v>
      </c>
      <c r="S91" s="113">
        <f>IFERROR(VLOOKUP(H91, LEVEL_HELPER!A:B, 2, 0), 0)</f>
        <v>1</v>
      </c>
      <c r="T91" s="113">
        <f>IFERROR(VLOOKUP(I91, LEVEL_HELPER!A:B, 2, 0), 0)</f>
        <v>5</v>
      </c>
      <c r="U91" s="113">
        <f t="shared" ref="U91:V91" si="95">IF(S91="",0,IF(S91&lt;=2,1,IF(S91&lt;=4,2,IF(S91&lt;=5.5,3,4))))
</f>
        <v>1</v>
      </c>
      <c r="V91" s="113">
        <f t="shared" si="95"/>
        <v>3</v>
      </c>
      <c r="W91" s="113" t="str">
        <f t="shared" si="6"/>
        <v>Lv1→Lv3 (multi)</v>
      </c>
      <c r="X91" s="113"/>
      <c r="Y91" s="113">
        <v>193548.0</v>
      </c>
      <c r="Z91" s="113"/>
      <c r="AA91" s="113"/>
      <c r="AB91" s="116"/>
      <c r="AC91" s="116"/>
      <c r="AD91" s="117"/>
    </row>
    <row r="92" ht="15.75" customHeight="1">
      <c r="A92" s="104" t="s">
        <v>380</v>
      </c>
      <c r="B92" s="105" t="s">
        <v>381</v>
      </c>
      <c r="C92" s="106" t="str">
        <f>IFERROR(__xludf.DUMMYFUNCTION("arrayformula(VLOOKUP(to_Text(A92),to_Text(sheet2!$A$1:M1005),13,0))"),"ONC")</f>
        <v>ONC</v>
      </c>
      <c r="D92" s="107" t="str">
        <f>IFERROR(__xludf.DUMMYFUNCTION("arrayformula(VLOOKUP(to_Text(A92),to_Text(sheet2!$A$1:M1005),12,0))"),"DEV")</f>
        <v>DEV</v>
      </c>
      <c r="E92" s="108" t="str">
        <f t="shared" si="2"/>
        <v>Inactive</v>
      </c>
      <c r="F92" s="104" t="str">
        <f t="array" ref="F92">IFERROR(
  INDEX(ATTENDANCE_INPUT!D:D,
    MATCH(1,
      (ATTENDANCE_INPUT!A:A=A92) *
      (ATTENDANCE_INPUT!W:W=MAXIFS(ATTENDANCE_INPUT!W:W, ATTENDANCE_INPUT!A:A, A92)),
      0)),
  "")</f>
        <v>Lanh Le</v>
      </c>
      <c r="G92" s="109" t="str">
        <f t="array" ref="G92">IFERROR(
  INDEX(ATTENDANCE_INPUT!E:E,
    MATCH(1,
      (ATTENDANCE_INPUT!A:A=A92) *
      (ATTENDANCE_INPUT!W:W=MAXIFS(ATTENDANCE_INPUT!W:W, ATTENDANCE_INPUT!A:A, A92)),
      0)),
  "")</f>
        <v>Communication 2</v>
      </c>
      <c r="H92" s="110" t="str">
        <f t="array" ref="H92">IF(ISNA(MATCH(A92,sheet2!A:A,0)),"⏳ Chưa test",IFERROR(INDEX(LEVEL_HELPER!A:A,MATCH(INDEX(sheet2!N:N,MATCH(A92,sheet2!A:A,0)),LEVEL_HELPER!B:B,0)),"⏳ Chưa test"))</f>
        <v>Beginner</v>
      </c>
      <c r="I92" s="110" t="str">
        <f t="array" ref="I92">IF(ISNA(MATCH(A92,sheet2!A:A,0)),H92,IF(INDEX(sheet2!O:O,MATCH(A92,sheet2!A:A,0))&gt;0,IFERROR(INDEX(LEVEL_HELPER!A:A,MATCH(INDEX(sheet2!O:O,MATCH(A92,sheet2!A:A,0)),LEVEL_HELPER!B:B,0)),H92),H92))</f>
        <v>Beginner 2</v>
      </c>
      <c r="J92" s="110">
        <f>IFERROR(MAXIFS(ATTENDANCE_LOG!F:F, ATTENDANCE_LOG!C:C, A92&amp;"", ATTENDANCE_LOG!G:G, "Present"), "")</f>
        <v>45967.625</v>
      </c>
      <c r="K92" s="111">
        <f t="shared" si="3"/>
        <v>245.375</v>
      </c>
      <c r="L92" s="112" t="str">
        <f t="shared" si="4"/>
        <v>❌ Dropped</v>
      </c>
      <c r="M92" s="120" t="s">
        <v>37</v>
      </c>
      <c r="N92" s="126" t="s">
        <v>34</v>
      </c>
      <c r="O92" s="113"/>
      <c r="P92" s="115">
        <f>IFERROR(__xludf.DUMMYFUNCTION("IFERROR(COUNTUNIQUEIFS(ATTENDANCE_LOG!B:B,ATTENDANCE_LOG!C:C,A92),0)"),2.0)</f>
        <v>2</v>
      </c>
      <c r="Q92" s="113" t="str">
        <f t="array" ref="Q92">IFERROR(INDEX(ATTENDANCE_LOG!A:A,MATCH(1,(ATTENDANCE_LOG!C:C=A92)*(ATTENDANCE_LOG!F:F=MAXIFS(ATTENDANCE_LOG!F:F,ATTENDANCE_LOG!C:C,A92)),0)),"")</f>
        <v>EL013</v>
      </c>
      <c r="R92" s="113" t="str">
        <f t="array" ref="R92">IFERROR(INDEX(ATTENDANCE_LOG!B:B,MATCH(1,(ATTENDANCE_LOG!C:C=A92)*(ATTENDANCE_LOG!F:F=MAXIFS(ATTENDANCE_LOG!F:F,ATTENDANCE_LOG!C:C,A92)),0)),"")</f>
        <v>Communication 2</v>
      </c>
      <c r="S92" s="113">
        <f>IFERROR(VLOOKUP(H92, LEVEL_HELPER!A:B, 2, 0), 0)</f>
        <v>1</v>
      </c>
      <c r="T92" s="113">
        <f>IFERROR(VLOOKUP(I92, LEVEL_HELPER!A:B, 2, 0), 0)</f>
        <v>1.5</v>
      </c>
      <c r="U92" s="113">
        <f t="shared" ref="U92:V92" si="96">IF(S92="",0,IF(S92&lt;=2,1,IF(S92&lt;=4,2,IF(S92&lt;=5.5,3,4))))
</f>
        <v>1</v>
      </c>
      <c r="V92" s="113">
        <f t="shared" si="96"/>
        <v>1</v>
      </c>
      <c r="W92" s="113" t="str">
        <f t="shared" si="6"/>
        <v>Minor Improvement</v>
      </c>
      <c r="X92" s="113"/>
      <c r="Y92" s="113"/>
      <c r="Z92" s="113"/>
      <c r="AA92" s="113"/>
      <c r="AB92" s="116"/>
      <c r="AC92" s="116"/>
      <c r="AD92" s="117"/>
    </row>
    <row r="93" ht="15.75" customHeight="1">
      <c r="A93" s="104" t="s">
        <v>382</v>
      </c>
      <c r="B93" s="105" t="s">
        <v>383</v>
      </c>
      <c r="C93" s="106" t="str">
        <f>IFERROR(__xludf.DUMMYFUNCTION("arrayformula(VLOOKUP(to_Text(A93),to_Text(sheet2!$A$1:M1005),13,0))"),"MOC")</f>
        <v>MOC</v>
      </c>
      <c r="D93" s="107" t="str">
        <f>IFERROR(__xludf.DUMMYFUNCTION("arrayformula(VLOOKUP(to_Text(A93),to_Text(sheet2!$A$1:M1005),12,0))"),"DEV")</f>
        <v>DEV</v>
      </c>
      <c r="E93" s="108" t="str">
        <f t="shared" si="2"/>
        <v>Inactive</v>
      </c>
      <c r="F93" s="104" t="str">
        <f t="array" ref="F93">IFERROR(
  INDEX(ATTENDANCE_INPUT!D:D,
    MATCH(1,
      (ATTENDANCE_INPUT!A:A=A93) *
      (ATTENDANCE_INPUT!W:W=MAXIFS(ATTENDANCE_INPUT!W:W, ATTENDANCE_INPUT!A:A, A93)),
      0)),
  "")</f>
        <v>Liên Nguyễn</v>
      </c>
      <c r="G93" s="109" t="str">
        <f t="array" ref="G93">IFERROR(
  INDEX(ATTENDANCE_INPUT!E:E,
    MATCH(1,
      (ATTENDANCE_INPUT!A:A=A93) *
      (ATTENDANCE_INPUT!W:W=MAXIFS(ATTENDANCE_INPUT!W:W, ATTENDANCE_INPUT!A:A, A93)),
      0)),
  "")</f>
        <v>Foundation</v>
      </c>
      <c r="H93" s="110" t="str">
        <f t="array" ref="H93">IF(ISNA(MATCH(A93,sheet2!A:A,0)),"⏳ Chưa test",IFERROR(INDEX(LEVEL_HELPER!A:A,MATCH(INDEX(sheet2!N:N,MATCH(A93,sheet2!A:A,0)),LEVEL_HELPER!B:B,0)),"⏳ Chưa test"))</f>
        <v>Foundation</v>
      </c>
      <c r="I93" s="110" t="str">
        <f t="array" ref="I93">IF(ISNA(MATCH(A93,sheet2!A:A,0)),H93,IF(INDEX(sheet2!O:O,MATCH(A93,sheet2!A:A,0))&gt;0,IFERROR(INDEX(LEVEL_HELPER!A:A,MATCH(INDEX(sheet2!O:O,MATCH(A93,sheet2!A:A,0)),LEVEL_HELPER!B:B,0)),H93),H93))</f>
        <v>Foundation</v>
      </c>
      <c r="J93" s="110">
        <f>IFERROR(MAXIFS(ATTENDANCE_LOG!F:F, ATTENDANCE_LOG!C:C, A93&amp;"", ATTENDANCE_LOG!G:G, "Present"), "")</f>
        <v>46083.58333</v>
      </c>
      <c r="K93" s="111">
        <f t="shared" si="3"/>
        <v>129.4166667</v>
      </c>
      <c r="L93" s="112" t="str">
        <f t="shared" si="4"/>
        <v>✅ Completed</v>
      </c>
      <c r="M93" s="113" t="s">
        <v>35</v>
      </c>
      <c r="N93" s="114" t="s">
        <v>38</v>
      </c>
      <c r="O93" s="113"/>
      <c r="P93" s="115">
        <f>IFERROR(__xludf.DUMMYFUNCTION("IFERROR(COUNTUNIQUEIFS(ATTENDANCE_LOG!B:B,ATTENDANCE_LOG!C:C,A93),0)"),1.0)</f>
        <v>1</v>
      </c>
      <c r="Q93" s="113" t="str">
        <f t="array" ref="Q93">IFERROR(INDEX(ATTENDANCE_LOG!A:A,MATCH(1,(ATTENDANCE_LOG!C:C=A93)*(ATTENDANCE_LOG!F:F=MAXIFS(ATTENDANCE_LOG!F:F,ATTENDANCE_LOG!C:C,A93)),0)),"")</f>
        <v>EL043</v>
      </c>
      <c r="R93" s="113" t="str">
        <f t="array" ref="R93">IFERROR(INDEX(ATTENDANCE_LOG!B:B,MATCH(1,(ATTENDANCE_LOG!C:C=A93)*(ATTENDANCE_LOG!F:F=MAXIFS(ATTENDANCE_LOG!F:F,ATTENDANCE_LOG!C:C,A93)),0)),"")</f>
        <v>Foundation</v>
      </c>
      <c r="S93" s="113">
        <f>IFERROR(VLOOKUP(H93, LEVEL_HELPER!A:B, 2, 0), 0)</f>
        <v>0.5</v>
      </c>
      <c r="T93" s="113">
        <f>IFERROR(VLOOKUP(I93, LEVEL_HELPER!A:B, 2, 0), 0)</f>
        <v>0.5</v>
      </c>
      <c r="U93" s="113">
        <f t="shared" ref="U93:V93" si="97">IF(S93="",0,IF(S93&lt;=2,1,IF(S93&lt;=4,2,IF(S93&lt;=5.5,3,4))))
</f>
        <v>1</v>
      </c>
      <c r="V93" s="113">
        <f t="shared" si="97"/>
        <v>1</v>
      </c>
      <c r="W93" s="113" t="str">
        <f t="shared" si="6"/>
        <v>No Progress</v>
      </c>
      <c r="X93" s="113"/>
      <c r="Y93" s="113"/>
      <c r="Z93" s="113"/>
      <c r="AA93" s="113"/>
      <c r="AB93" s="116"/>
      <c r="AC93" s="116"/>
      <c r="AD93" s="117"/>
    </row>
    <row r="94" ht="15.75" customHeight="1">
      <c r="A94" s="104" t="s">
        <v>384</v>
      </c>
      <c r="B94" s="105" t="s">
        <v>385</v>
      </c>
      <c r="C94" s="106" t="str">
        <f>IFERROR(__xludf.DUMMYFUNCTION("arrayformula(VLOOKUP(to_Text(A94),to_Text(sheet2!$A$1:M1005),13,0))"),"LBU")</f>
        <v>LBU</v>
      </c>
      <c r="D94" s="107" t="str">
        <f>IFERROR(__xludf.DUMMYFUNCTION("arrayformula(VLOOKUP(to_Text(A94),to_Text(sheet2!$A$1:M1005),12,0))"),"BA")</f>
        <v>BA</v>
      </c>
      <c r="E94" s="108" t="str">
        <f t="shared" si="2"/>
        <v>Inactive</v>
      </c>
      <c r="F94" s="104" t="str">
        <f t="array" ref="F94">IFERROR(
  INDEX(ATTENDANCE_INPUT!D:D,
    MATCH(1,
      (ATTENDANCE_INPUT!A:A=A94) *
      (ATTENDANCE_INPUT!W:W=MAXIFS(ATTENDANCE_INPUT!W:W, ATTENDANCE_INPUT!A:A, A94)),
      0)),
  "")</f>
        <v>Liên Nguyễn</v>
      </c>
      <c r="G94" s="109" t="str">
        <f t="array" ref="G94">IFERROR(
  INDEX(ATTENDANCE_INPUT!E:E,
    MATCH(1,
      (ATTENDANCE_INPUT!A:A=A94) *
      (ATTENDANCE_INPUT!W:W=MAXIFS(ATTENDANCE_INPUT!W:W, ATTENDANCE_INPUT!A:A, A94)),
      0)),
  "")</f>
        <v>Foundation</v>
      </c>
      <c r="H94" s="110" t="str">
        <f t="array" ref="H94">IF(ISNA(MATCH(A94,sheet2!A:A,0)),"⏳ Chưa test",IFERROR(INDEX(LEVEL_HELPER!A:A,MATCH(INDEX(sheet2!N:N,MATCH(A94,sheet2!A:A,0)),LEVEL_HELPER!B:B,0)),"⏳ Chưa test"))</f>
        <v>Foundation</v>
      </c>
      <c r="I94" s="110" t="str">
        <f t="array" ref="I94">IF(ISNA(MATCH(A94,sheet2!A:A,0)),H94,IF(INDEX(sheet2!O:O,MATCH(A94,sheet2!A:A,0))&gt;0,IFERROR(INDEX(LEVEL_HELPER!A:A,MATCH(INDEX(sheet2!O:O,MATCH(A94,sheet2!A:A,0)),LEVEL_HELPER!B:B,0)),H94),H94))</f>
        <v>Foundation</v>
      </c>
      <c r="J94" s="110">
        <f>IFERROR(MAXIFS(ATTENDANCE_LOG!F:F, ATTENDANCE_LOG!C:C, A94&amp;"", ATTENDANCE_LOG!G:G, "Present"), "")</f>
        <v>46083.58333</v>
      </c>
      <c r="K94" s="111">
        <f t="shared" si="3"/>
        <v>129.4166667</v>
      </c>
      <c r="L94" s="112" t="str">
        <f t="shared" si="4"/>
        <v>✅ Completed</v>
      </c>
      <c r="M94" s="113" t="s">
        <v>35</v>
      </c>
      <c r="N94" s="114" t="s">
        <v>36</v>
      </c>
      <c r="O94" s="113"/>
      <c r="P94" s="115">
        <f>IFERROR(__xludf.DUMMYFUNCTION("IFERROR(COUNTUNIQUEIFS(ATTENDANCE_LOG!B:B,ATTENDANCE_LOG!C:C,A94),0)"),2.0)</f>
        <v>2</v>
      </c>
      <c r="Q94" s="113" t="str">
        <f t="array" ref="Q94">IFERROR(INDEX(ATTENDANCE_LOG!A:A,MATCH(1,(ATTENDANCE_LOG!C:C=A94)*(ATTENDANCE_LOG!F:F=MAXIFS(ATTENDANCE_LOG!F:F,ATTENDANCE_LOG!C:C,A94)),0)),"")</f>
        <v>EL043</v>
      </c>
      <c r="R94" s="113" t="str">
        <f t="array" ref="R94">IFERROR(INDEX(ATTENDANCE_LOG!B:B,MATCH(1,(ATTENDANCE_LOG!C:C=A94)*(ATTENDANCE_LOG!F:F=MAXIFS(ATTENDANCE_LOG!F:F,ATTENDANCE_LOG!C:C,A94)),0)),"")</f>
        <v>Foundation</v>
      </c>
      <c r="S94" s="113">
        <f>IFERROR(VLOOKUP(H94, LEVEL_HELPER!A:B, 2, 0), 0)</f>
        <v>0.5</v>
      </c>
      <c r="T94" s="113">
        <f>IFERROR(VLOOKUP(I94, LEVEL_HELPER!A:B, 2, 0), 0)</f>
        <v>0.5</v>
      </c>
      <c r="U94" s="113">
        <f t="shared" ref="U94:V94" si="98">IF(S94="",0,IF(S94&lt;=2,1,IF(S94&lt;=4,2,IF(S94&lt;=5.5,3,4))))
</f>
        <v>1</v>
      </c>
      <c r="V94" s="113">
        <f t="shared" si="98"/>
        <v>1</v>
      </c>
      <c r="W94" s="113" t="str">
        <f t="shared" si="6"/>
        <v>No Progress</v>
      </c>
      <c r="X94" s="113"/>
      <c r="Y94" s="113">
        <v>247026.0</v>
      </c>
      <c r="Z94" s="113" t="s">
        <v>386</v>
      </c>
      <c r="AA94" s="113" t="s">
        <v>38</v>
      </c>
      <c r="AB94" s="116"/>
      <c r="AC94" s="116"/>
      <c r="AD94" s="117"/>
    </row>
    <row r="95" ht="15.75" customHeight="1">
      <c r="A95" s="104" t="s">
        <v>387</v>
      </c>
      <c r="B95" s="105" t="s">
        <v>388</v>
      </c>
      <c r="C95" s="106" t="str">
        <f>IFERROR(__xludf.DUMMYFUNCTION("arrayformula(VLOOKUP(to_Text(A95),to_Text(sheet2!$A$1:M1005),13,0))"),"TBU")</f>
        <v>TBU</v>
      </c>
      <c r="D95" s="107" t="str">
        <f>IFERROR(__xludf.DUMMYFUNCTION("arrayformula(VLOOKUP(to_Text(A95),to_Text(sheet2!$A$1:M1005),12,0))"),"GSD")</f>
        <v>GSD</v>
      </c>
      <c r="E95" s="108" t="str">
        <f t="shared" si="2"/>
        <v>Inactive</v>
      </c>
      <c r="F95" s="104" t="str">
        <f t="array" ref="F95">IFERROR(
  INDEX(ATTENDANCE_INPUT!D:D,
    MATCH(1,
      (ATTENDANCE_INPUT!A:A=A95) *
      (ATTENDANCE_INPUT!W:W=MAXIFS(ATTENDANCE_INPUT!W:W, ATTENDANCE_INPUT!A:A, A95)),
      0)),
  "")</f>
        <v>Liên Nguyễn</v>
      </c>
      <c r="G95" s="109" t="str">
        <f t="array" ref="G95">IFERROR(
  INDEX(ATTENDANCE_INPUT!E:E,
    MATCH(1,
      (ATTENDANCE_INPUT!A:A=A95) *
      (ATTENDANCE_INPUT!W:W=MAXIFS(ATTENDANCE_INPUT!W:W, ATTENDANCE_INPUT!A:A, A95)),
      0)),
  "")</f>
        <v>Foundation</v>
      </c>
      <c r="H95" s="110" t="str">
        <f t="array" ref="H95">IF(ISNA(MATCH(A95,sheet2!A:A,0)),"⏳ Chưa test",IFERROR(INDEX(LEVEL_HELPER!A:A,MATCH(INDEX(sheet2!N:N,MATCH(A95,sheet2!A:A,0)),LEVEL_HELPER!B:B,0)),"⏳ Chưa test"))</f>
        <v>Foundation</v>
      </c>
      <c r="I95" s="110" t="str">
        <f t="array" ref="I95">IF(ISNA(MATCH(A95,sheet2!A:A,0)),H95,IF(INDEX(sheet2!O:O,MATCH(A95,sheet2!A:A,0))&gt;0,IFERROR(INDEX(LEVEL_HELPER!A:A,MATCH(INDEX(sheet2!O:O,MATCH(A95,sheet2!A:A,0)),LEVEL_HELPER!B:B,0)),H95),H95))</f>
        <v>Foundation</v>
      </c>
      <c r="J95" s="110">
        <f>IFERROR(MAXIFS(ATTENDANCE_LOG!F:F, ATTENDANCE_LOG!C:C, A95&amp;"", ATTENDANCE_LOG!G:G, "Present"), "")</f>
        <v>46083.58333</v>
      </c>
      <c r="K95" s="111">
        <f t="shared" si="3"/>
        <v>129.4166667</v>
      </c>
      <c r="L95" s="112" t="str">
        <f t="shared" si="4"/>
        <v>✅ Completed</v>
      </c>
      <c r="M95" s="113" t="s">
        <v>35</v>
      </c>
      <c r="N95" s="114" t="s">
        <v>36</v>
      </c>
      <c r="O95" s="113"/>
      <c r="P95" s="115">
        <f>IFERROR(__xludf.DUMMYFUNCTION("IFERROR(COUNTUNIQUEIFS(ATTENDANCE_LOG!B:B,ATTENDANCE_LOG!C:C,A95),0)"),1.0)</f>
        <v>1</v>
      </c>
      <c r="Q95" s="113" t="str">
        <f t="array" ref="Q95">IFERROR(INDEX(ATTENDANCE_LOG!A:A,MATCH(1,(ATTENDANCE_LOG!C:C=A95)*(ATTENDANCE_LOG!F:F=MAXIFS(ATTENDANCE_LOG!F:F,ATTENDANCE_LOG!C:C,A95)),0)),"")</f>
        <v>EL043</v>
      </c>
      <c r="R95" s="113" t="str">
        <f t="array" ref="R95">IFERROR(INDEX(ATTENDANCE_LOG!B:B,MATCH(1,(ATTENDANCE_LOG!C:C=A95)*(ATTENDANCE_LOG!F:F=MAXIFS(ATTENDANCE_LOG!F:F,ATTENDANCE_LOG!C:C,A95)),0)),"")</f>
        <v>Foundation</v>
      </c>
      <c r="S95" s="113">
        <f>IFERROR(VLOOKUP(H95, LEVEL_HELPER!A:B, 2, 0), 0)</f>
        <v>0.5</v>
      </c>
      <c r="T95" s="113">
        <f>IFERROR(VLOOKUP(I95, LEVEL_HELPER!A:B, 2, 0), 0)</f>
        <v>0.5</v>
      </c>
      <c r="U95" s="113">
        <f t="shared" ref="U95:V95" si="99">IF(S95="",0,IF(S95&lt;=2,1,IF(S95&lt;=4,2,IF(S95&lt;=5.5,3,4))))
</f>
        <v>1</v>
      </c>
      <c r="V95" s="113">
        <f t="shared" si="99"/>
        <v>1</v>
      </c>
      <c r="W95" s="113" t="str">
        <f t="shared" si="6"/>
        <v>No Progress</v>
      </c>
      <c r="X95" s="113"/>
      <c r="Y95" s="113"/>
      <c r="Z95" s="113"/>
      <c r="AA95" s="113"/>
      <c r="AB95" s="116"/>
      <c r="AC95" s="116"/>
      <c r="AD95" s="117"/>
    </row>
    <row r="96" ht="15.75" customHeight="1">
      <c r="A96" s="104" t="s">
        <v>389</v>
      </c>
      <c r="B96" s="105" t="s">
        <v>390</v>
      </c>
      <c r="C96" s="106" t="str">
        <f>IFERROR(__xludf.DUMMYFUNCTION("arrayformula(VLOOKUP(to_Text(A96),to_Text(sheet2!$A$1:M1005),13,0))"),"TBU")</f>
        <v>TBU</v>
      </c>
      <c r="D96" s="107" t="str">
        <f>IFERROR(__xludf.DUMMYFUNCTION("arrayformula(VLOOKUP(to_Text(A96),to_Text(sheet2!$A$1:M1005),12,0))"),"GSD")</f>
        <v>GSD</v>
      </c>
      <c r="E96" s="108" t="str">
        <f t="shared" si="2"/>
        <v>Inactive</v>
      </c>
      <c r="F96" s="104" t="str">
        <f t="array" ref="F96">IFERROR(
  INDEX(ATTENDANCE_INPUT!D:D,
    MATCH(1,
      (ATTENDANCE_INPUT!A:A=A96) *
      (ATTENDANCE_INPUT!W:W=MAXIFS(ATTENDANCE_INPUT!W:W, ATTENDANCE_INPUT!A:A, A96)),
      0)),
  "")</f>
        <v>Liên Nguyễn</v>
      </c>
      <c r="G96" s="109" t="str">
        <f t="array" ref="G96">IFERROR(
  INDEX(ATTENDANCE_INPUT!E:E,
    MATCH(1,
      (ATTENDANCE_INPUT!A:A=A96) *
      (ATTENDANCE_INPUT!W:W=MAXIFS(ATTENDANCE_INPUT!W:W, ATTENDANCE_INPUT!A:A, A96)),
      0)),
  "")</f>
        <v>Foundation</v>
      </c>
      <c r="H96" s="110" t="str">
        <f t="array" ref="H96">IF(ISNA(MATCH(A96,sheet2!A:A,0)),"⏳ Chưa test",IFERROR(INDEX(LEVEL_HELPER!A:A,MATCH(INDEX(sheet2!N:N,MATCH(A96,sheet2!A:A,0)),LEVEL_HELPER!B:B,0)),"⏳ Chưa test"))</f>
        <v>Foundation</v>
      </c>
      <c r="I96" s="110" t="str">
        <f t="array" ref="I96">IF(ISNA(MATCH(A96,sheet2!A:A,0)),H96,IF(INDEX(sheet2!O:O,MATCH(A96,sheet2!A:A,0))&gt;0,IFERROR(INDEX(LEVEL_HELPER!A:A,MATCH(INDEX(sheet2!O:O,MATCH(A96,sheet2!A:A,0)),LEVEL_HELPER!B:B,0)),H96),H96))</f>
        <v>Foundation</v>
      </c>
      <c r="J96" s="110">
        <f>IFERROR(MAXIFS(ATTENDANCE_LOG!F:F, ATTENDANCE_LOG!C:C, A96&amp;"", ATTENDANCE_LOG!G:G, "Present"), "")</f>
        <v>46083.58333</v>
      </c>
      <c r="K96" s="111">
        <f t="shared" si="3"/>
        <v>129.4166667</v>
      </c>
      <c r="L96" s="112" t="str">
        <f t="shared" si="4"/>
        <v>✅ Completed</v>
      </c>
      <c r="M96" s="113" t="s">
        <v>35</v>
      </c>
      <c r="N96" s="114" t="s">
        <v>36</v>
      </c>
      <c r="O96" s="113"/>
      <c r="P96" s="115">
        <f>IFERROR(__xludf.DUMMYFUNCTION("IFERROR(COUNTUNIQUEIFS(ATTENDANCE_LOG!B:B,ATTENDANCE_LOG!C:C,A96),0)"),1.0)</f>
        <v>1</v>
      </c>
      <c r="Q96" s="113" t="str">
        <f t="array" ref="Q96">IFERROR(INDEX(ATTENDANCE_LOG!A:A,MATCH(1,(ATTENDANCE_LOG!C:C=A96)*(ATTENDANCE_LOG!F:F=MAXIFS(ATTENDANCE_LOG!F:F,ATTENDANCE_LOG!C:C,A96)),0)),"")</f>
        <v>EL043</v>
      </c>
      <c r="R96" s="113" t="str">
        <f t="array" ref="R96">IFERROR(INDEX(ATTENDANCE_LOG!B:B,MATCH(1,(ATTENDANCE_LOG!C:C=A96)*(ATTENDANCE_LOG!F:F=MAXIFS(ATTENDANCE_LOG!F:F,ATTENDANCE_LOG!C:C,A96)),0)),"")</f>
        <v>Foundation</v>
      </c>
      <c r="S96" s="113">
        <f>IFERROR(VLOOKUP(H96, LEVEL_HELPER!A:B, 2, 0), 0)</f>
        <v>0.5</v>
      </c>
      <c r="T96" s="113">
        <f>IFERROR(VLOOKUP(I96, LEVEL_HELPER!A:B, 2, 0), 0)</f>
        <v>0.5</v>
      </c>
      <c r="U96" s="113">
        <f t="shared" ref="U96:V96" si="100">IF(S96="",0,IF(S96&lt;=2,1,IF(S96&lt;=4,2,IF(S96&lt;=5.5,3,4))))
</f>
        <v>1</v>
      </c>
      <c r="V96" s="113">
        <f t="shared" si="100"/>
        <v>1</v>
      </c>
      <c r="W96" s="113" t="str">
        <f t="shared" si="6"/>
        <v>No Progress</v>
      </c>
      <c r="X96" s="113"/>
      <c r="Y96" s="113"/>
      <c r="Z96" s="113"/>
      <c r="AA96" s="113"/>
      <c r="AB96" s="116"/>
      <c r="AC96" s="116"/>
      <c r="AD96" s="117"/>
    </row>
    <row r="97" ht="15.75" customHeight="1">
      <c r="A97" s="104" t="s">
        <v>391</v>
      </c>
      <c r="B97" s="105" t="s">
        <v>392</v>
      </c>
      <c r="C97" s="106" t="str">
        <f>IFERROR(__xludf.DUMMYFUNCTION("arrayformula(VLOOKUP(to_Text(A97),to_Text(sheet2!$A$1:M1005),13,0))"),"LBU")</f>
        <v>LBU</v>
      </c>
      <c r="D97" s="107" t="str">
        <f>IFERROR(__xludf.DUMMYFUNCTION("arrayformula(VLOOKUP(to_Text(A97),to_Text(sheet2!$A$1:M1005),12,0))"),"GSD")</f>
        <v>GSD</v>
      </c>
      <c r="E97" s="108" t="str">
        <f t="shared" si="2"/>
        <v>Inactive</v>
      </c>
      <c r="F97" s="104" t="str">
        <f t="array" ref="F97">IFERROR(
  INDEX(ATTENDANCE_INPUT!D:D,
    MATCH(1,
      (ATTENDANCE_INPUT!A:A=A97) *
      (ATTENDANCE_INPUT!W:W=MAXIFS(ATTENDANCE_INPUT!W:W, ATTENDANCE_INPUT!A:A, A97)),
      0)),
  "")</f>
        <v>Liên Nguyễn</v>
      </c>
      <c r="G97" s="109" t="str">
        <f t="array" ref="G97">IFERROR(
  INDEX(ATTENDANCE_INPUT!E:E,
    MATCH(1,
      (ATTENDANCE_INPUT!A:A=A97) *
      (ATTENDANCE_INPUT!W:W=MAXIFS(ATTENDANCE_INPUT!W:W, ATTENDANCE_INPUT!A:A, A97)),
      0)),
  "")</f>
        <v>Foundation</v>
      </c>
      <c r="H97" s="110" t="str">
        <f t="array" ref="H97">IF(ISNA(MATCH(A97,sheet2!A:A,0)),"⏳ Chưa test",IFERROR(INDEX(LEVEL_HELPER!A:A,MATCH(INDEX(sheet2!N:N,MATCH(A97,sheet2!A:A,0)),LEVEL_HELPER!B:B,0)),"⏳ Chưa test"))</f>
        <v>Foundation</v>
      </c>
      <c r="I97" s="110" t="str">
        <f t="array" ref="I97">IF(ISNA(MATCH(A97,sheet2!A:A,0)),H97,IF(INDEX(sheet2!O:O,MATCH(A97,sheet2!A:A,0))&gt;0,IFERROR(INDEX(LEVEL_HELPER!A:A,MATCH(INDEX(sheet2!O:O,MATCH(A97,sheet2!A:A,0)),LEVEL_HELPER!B:B,0)),H97),H97))</f>
        <v>Beginner</v>
      </c>
      <c r="J97" s="110">
        <f>IFERROR(MAXIFS(ATTENDANCE_LOG!F:F, ATTENDANCE_LOG!C:C, A97&amp;"", ATTENDANCE_LOG!G:G, "Present"), "")</f>
        <v>46052.58333</v>
      </c>
      <c r="K97" s="111">
        <f t="shared" si="3"/>
        <v>160.4166667</v>
      </c>
      <c r="L97" s="112" t="str">
        <f t="shared" si="4"/>
        <v>❌ Dropped</v>
      </c>
      <c r="M97" s="120" t="s">
        <v>37</v>
      </c>
      <c r="N97" s="114" t="s">
        <v>34</v>
      </c>
      <c r="O97" s="113"/>
      <c r="P97" s="115">
        <f>IFERROR(__xludf.DUMMYFUNCTION("IFERROR(COUNTUNIQUEIFS(ATTENDANCE_LOG!B:B,ATTENDANCE_LOG!C:C,A97),0)"),2.0)</f>
        <v>2</v>
      </c>
      <c r="Q97" s="113" t="str">
        <f t="array" ref="Q97">IFERROR(INDEX(ATTENDANCE_LOG!A:A,MATCH(1,(ATTENDANCE_LOG!C:C=A97)*(ATTENDANCE_LOG!F:F=MAXIFS(ATTENDANCE_LOG!F:F,ATTENDANCE_LOG!C:C,A97)),0)),"")</f>
        <v>EL043</v>
      </c>
      <c r="R97" s="113" t="str">
        <f t="array" ref="R97">IFERROR(INDEX(ATTENDANCE_LOG!B:B,MATCH(1,(ATTENDANCE_LOG!C:C=A97)*(ATTENDANCE_LOG!F:F=MAXIFS(ATTENDANCE_LOG!F:F,ATTENDANCE_LOG!C:C,A97)),0)),"")</f>
        <v>Foundation</v>
      </c>
      <c r="S97" s="113">
        <f>IFERROR(VLOOKUP(H97, LEVEL_HELPER!A:B, 2, 0), 0)</f>
        <v>0.5</v>
      </c>
      <c r="T97" s="113">
        <f>IFERROR(VLOOKUP(I97, LEVEL_HELPER!A:B, 2, 0), 0)</f>
        <v>1</v>
      </c>
      <c r="U97" s="113">
        <f t="shared" ref="U97:V97" si="101">IF(S97="",0,IF(S97&lt;=2,1,IF(S97&lt;=4,2,IF(S97&lt;=5.5,3,4))))
</f>
        <v>1</v>
      </c>
      <c r="V97" s="113">
        <f t="shared" si="101"/>
        <v>1</v>
      </c>
      <c r="W97" s="113" t="str">
        <f t="shared" si="6"/>
        <v>Minor Improvement</v>
      </c>
      <c r="X97" s="113"/>
      <c r="Y97" s="113"/>
      <c r="Z97" s="113"/>
      <c r="AA97" s="113"/>
      <c r="AB97" s="116"/>
      <c r="AC97" s="116"/>
      <c r="AD97" s="117"/>
    </row>
    <row r="98" ht="15.75" customHeight="1">
      <c r="A98" s="104" t="s">
        <v>393</v>
      </c>
      <c r="B98" s="105" t="s">
        <v>394</v>
      </c>
      <c r="C98" s="106" t="str">
        <f>IFERROR(__xludf.DUMMYFUNCTION("arrayformula(VLOOKUP(to_Text(A98),to_Text(sheet2!$A$1:M1005),13,0))"),"LBU")</f>
        <v>LBU</v>
      </c>
      <c r="D98" s="107" t="str">
        <f>IFERROR(__xludf.DUMMYFUNCTION("arrayformula(VLOOKUP(to_Text(A98),to_Text(sheet2!$A$1:M1005),12,0))"),"GSD")</f>
        <v>GSD</v>
      </c>
      <c r="E98" s="108" t="str">
        <f t="shared" si="2"/>
        <v>Inactive</v>
      </c>
      <c r="F98" s="104" t="str">
        <f t="array" ref="F98">IFERROR(
  INDEX(ATTENDANCE_INPUT!D:D,
    MATCH(1,
      (ATTENDANCE_INPUT!A:A=A98) *
      (ATTENDANCE_INPUT!W:W=MAXIFS(ATTENDANCE_INPUT!W:W, ATTENDANCE_INPUT!A:A, A98)),
      0)),
  "")</f>
        <v>Liên Nguyễn</v>
      </c>
      <c r="G98" s="109" t="str">
        <f t="array" ref="G98">IFERROR(
  INDEX(ATTENDANCE_INPUT!E:E,
    MATCH(1,
      (ATTENDANCE_INPUT!A:A=A98) *
      (ATTENDANCE_INPUT!W:W=MAXIFS(ATTENDANCE_INPUT!W:W, ATTENDANCE_INPUT!A:A, A98)),
      0)),
  "")</f>
        <v>Foundation</v>
      </c>
      <c r="H98" s="110" t="str">
        <f t="array" ref="H98">IF(ISNA(MATCH(A98,sheet2!A:A,0)),"⏳ Chưa test",IFERROR(INDEX(LEVEL_HELPER!A:A,MATCH(INDEX(sheet2!N:N,MATCH(A98,sheet2!A:A,0)),LEVEL_HELPER!B:B,0)),"⏳ Chưa test"))</f>
        <v>Foundation</v>
      </c>
      <c r="I98" s="110" t="str">
        <f t="array" ref="I98">IF(ISNA(MATCH(A98,sheet2!A:A,0)),H98,IF(INDEX(sheet2!O:O,MATCH(A98,sheet2!A:A,0))&gt;0,IFERROR(INDEX(LEVEL_HELPER!A:A,MATCH(INDEX(sheet2!O:O,MATCH(A98,sheet2!A:A,0)),LEVEL_HELPER!B:B,0)),H98),H98))</f>
        <v>Foundation</v>
      </c>
      <c r="J98" s="110">
        <f>IFERROR(MAXIFS(ATTENDANCE_LOG!F:F, ATTENDANCE_LOG!C:C, A98&amp;"", ATTENDANCE_LOG!G:G, "Present"), "")</f>
        <v>46083.58333</v>
      </c>
      <c r="K98" s="111">
        <f t="shared" si="3"/>
        <v>129.4166667</v>
      </c>
      <c r="L98" s="112" t="str">
        <f t="shared" si="4"/>
        <v>❌ Dropped</v>
      </c>
      <c r="M98" s="120" t="s">
        <v>37</v>
      </c>
      <c r="N98" s="114" t="s">
        <v>40</v>
      </c>
      <c r="O98" s="113"/>
      <c r="P98" s="115">
        <f>IFERROR(__xludf.DUMMYFUNCTION("IFERROR(COUNTUNIQUEIFS(ATTENDANCE_LOG!B:B,ATTENDANCE_LOG!C:C,A98),0)"),2.0)</f>
        <v>2</v>
      </c>
      <c r="Q98" s="113" t="str">
        <f t="array" ref="Q98">IFERROR(INDEX(ATTENDANCE_LOG!A:A,MATCH(1,(ATTENDANCE_LOG!C:C=A98)*(ATTENDANCE_LOG!F:F=MAXIFS(ATTENDANCE_LOG!F:F,ATTENDANCE_LOG!C:C,A98)),0)),"")</f>
        <v>EL043</v>
      </c>
      <c r="R98" s="113" t="str">
        <f t="array" ref="R98">IFERROR(INDEX(ATTENDANCE_LOG!B:B,MATCH(1,(ATTENDANCE_LOG!C:C=A98)*(ATTENDANCE_LOG!F:F=MAXIFS(ATTENDANCE_LOG!F:F,ATTENDANCE_LOG!C:C,A98)),0)),"")</f>
        <v>Foundation</v>
      </c>
      <c r="S98" s="113">
        <f>IFERROR(VLOOKUP(H98, LEVEL_HELPER!A:B, 2, 0), 0)</f>
        <v>0.5</v>
      </c>
      <c r="T98" s="113">
        <f>IFERROR(VLOOKUP(I98, LEVEL_HELPER!A:B, 2, 0), 0)</f>
        <v>0.5</v>
      </c>
      <c r="U98" s="113">
        <f t="shared" ref="U98:V98" si="102">IF(S98="",0,IF(S98&lt;=2,1,IF(S98&lt;=4,2,IF(S98&lt;=5.5,3,4))))
</f>
        <v>1</v>
      </c>
      <c r="V98" s="113">
        <f t="shared" si="102"/>
        <v>1</v>
      </c>
      <c r="W98" s="113" t="str">
        <f t="shared" si="6"/>
        <v>No Progress</v>
      </c>
      <c r="X98" s="113"/>
      <c r="Y98" s="113"/>
      <c r="Z98" s="113"/>
      <c r="AA98" s="113"/>
      <c r="AB98" s="116"/>
      <c r="AC98" s="116"/>
      <c r="AD98" s="117"/>
    </row>
    <row r="99" ht="15.75" customHeight="1">
      <c r="A99" s="104" t="s">
        <v>395</v>
      </c>
      <c r="B99" s="105" t="s">
        <v>396</v>
      </c>
      <c r="C99" s="131" t="s">
        <v>154</v>
      </c>
      <c r="D99" s="131" t="s">
        <v>397</v>
      </c>
      <c r="E99" s="108" t="str">
        <f t="shared" si="2"/>
        <v>Inactive</v>
      </c>
      <c r="F99" s="104" t="str">
        <f t="array" ref="F99">IFERROR(
  INDEX(ATTENDANCE_INPUT!D:D,
    MATCH(1,
      (ATTENDANCE_INPUT!A:A=A99) *
      (ATTENDANCE_INPUT!W:W=MAXIFS(ATTENDANCE_INPUT!W:W, ATTENDANCE_INPUT!A:A, A99)),
      0)),
  "")</f>
        <v>Minh Nguyen</v>
      </c>
      <c r="G99" s="109" t="str">
        <f t="array" ref="G99">IFERROR(
  INDEX(ATTENDANCE_INPUT!E:E,
    MATCH(1,
      (ATTENDANCE_INPUT!A:A=A99) *
      (ATTENDANCE_INPUT!W:W=MAXIFS(ATTENDANCE_INPUT!W:W, ATTENDANCE_INPUT!A:A, A99)),
      0)),
  "")</f>
        <v>Communication 1</v>
      </c>
      <c r="H99" s="110" t="str">
        <f t="array" ref="H99">IF(ISNA(MATCH(A99,sheet2!A:A,0)),"⏳ Chưa test",IFERROR(INDEX(LEVEL_HELPER!A:A,MATCH(INDEX(sheet2!N:N,MATCH(A99,sheet2!A:A,0)),LEVEL_HELPER!B:B,0)),"⏳ Chưa test"))</f>
        <v>Beginner</v>
      </c>
      <c r="I99" s="110" t="str">
        <f t="array" ref="I99">IF(ISNA(MATCH(A99,sheet2!A:A,0)),H99,IF(INDEX(sheet2!O:O,MATCH(A99,sheet2!A:A,0))&gt;0,IFERROR(INDEX(LEVEL_HELPER!A:A,MATCH(INDEX(sheet2!O:O,MATCH(A99,sheet2!A:A,0)),LEVEL_HELPER!B:B,0)),H99),H99))</f>
        <v>Beginner</v>
      </c>
      <c r="J99" s="110">
        <f>IFERROR(MAXIFS(ATTENDANCE_LOG!F:F, ATTENDANCE_LOG!C:C, A99&amp;"", ATTENDANCE_LOG!G:G, "Present"), "")</f>
        <v>45712.58333</v>
      </c>
      <c r="K99" s="111">
        <f t="shared" si="3"/>
        <v>500.4166667</v>
      </c>
      <c r="L99" s="112" t="str">
        <f t="shared" si="4"/>
        <v>❌ Dropped</v>
      </c>
      <c r="M99" s="120" t="s">
        <v>37</v>
      </c>
      <c r="N99" s="114" t="s">
        <v>34</v>
      </c>
      <c r="O99" s="113"/>
      <c r="P99" s="115">
        <f>IFERROR(__xludf.DUMMYFUNCTION("IFERROR(COUNTUNIQUEIFS(ATTENDANCE_LOG!B:B,ATTENDANCE_LOG!C:C,A99),0)"),1.0)</f>
        <v>1</v>
      </c>
      <c r="Q99" s="113" t="str">
        <f t="array" ref="Q99">IFERROR(INDEX(ATTENDANCE_LOG!A:A,MATCH(1,(ATTENDANCE_LOG!C:C=A99)*(ATTENDANCE_LOG!F:F=MAXIFS(ATTENDANCE_LOG!F:F,ATTENDANCE_LOG!C:C,A99)),0)),"")</f>
        <v>EL016</v>
      </c>
      <c r="R99" s="113" t="str">
        <f t="array" ref="R99">IFERROR(INDEX(ATTENDANCE_LOG!B:B,MATCH(1,(ATTENDANCE_LOG!C:C=A99)*(ATTENDANCE_LOG!F:F=MAXIFS(ATTENDANCE_LOG!F:F,ATTENDANCE_LOG!C:C,A99)),0)),"")</f>
        <v>Communication 1</v>
      </c>
      <c r="S99" s="113">
        <f>IFERROR(VLOOKUP(H99, LEVEL_HELPER!A:B, 2, 0), 0)</f>
        <v>1</v>
      </c>
      <c r="T99" s="113">
        <f>IFERROR(VLOOKUP(I99, LEVEL_HELPER!A:B, 2, 0), 0)</f>
        <v>1</v>
      </c>
      <c r="U99" s="113">
        <f t="shared" ref="U99:V99" si="103">IF(S99="",0,IF(S99&lt;=2,1,IF(S99&lt;=4,2,IF(S99&lt;=5.5,3,4))))
</f>
        <v>1</v>
      </c>
      <c r="V99" s="113">
        <f t="shared" si="103"/>
        <v>1</v>
      </c>
      <c r="W99" s="113" t="str">
        <f t="shared" si="6"/>
        <v>No Progress</v>
      </c>
      <c r="X99" s="113"/>
      <c r="Y99" s="113"/>
      <c r="Z99" s="113"/>
      <c r="AA99" s="113"/>
      <c r="AB99" s="116"/>
      <c r="AC99" s="116"/>
      <c r="AD99" s="117"/>
    </row>
    <row r="100" ht="15.75" customHeight="1">
      <c r="A100" s="104" t="s">
        <v>398</v>
      </c>
      <c r="B100" s="105" t="s">
        <v>399</v>
      </c>
      <c r="C100" s="131" t="s">
        <v>154</v>
      </c>
      <c r="D100" s="131" t="s">
        <v>400</v>
      </c>
      <c r="E100" s="108" t="str">
        <f t="shared" si="2"/>
        <v>Inactive</v>
      </c>
      <c r="F100" s="104" t="str">
        <f t="array" ref="F100">IFERROR(
  INDEX(ATTENDANCE_INPUT!D:D,
    MATCH(1,
      (ATTENDANCE_INPUT!A:A=A100) *
      (ATTENDANCE_INPUT!W:W=MAXIFS(ATTENDANCE_INPUT!W:W, ATTENDANCE_INPUT!A:A, A100)),
      0)),
  "")</f>
        <v>Minh Nguyen</v>
      </c>
      <c r="G100" s="109" t="str">
        <f t="array" ref="G100">IFERROR(
  INDEX(ATTENDANCE_INPUT!E:E,
    MATCH(1,
      (ATTENDANCE_INPUT!A:A=A100) *
      (ATTENDANCE_INPUT!W:W=MAXIFS(ATTENDANCE_INPUT!W:W, ATTENDANCE_INPUT!A:A, A100)),
      0)),
  "")</f>
        <v>Communication 1</v>
      </c>
      <c r="H100" s="110" t="str">
        <f t="array" ref="H100">IF(ISNA(MATCH(A100,sheet2!A:A,0)),"⏳ Chưa test",IFERROR(INDEX(LEVEL_HELPER!A:A,MATCH(INDEX(sheet2!N:N,MATCH(A100,sheet2!A:A,0)),LEVEL_HELPER!B:B,0)),"⏳ Chưa test"))</f>
        <v>Beginner</v>
      </c>
      <c r="I100" s="110" t="str">
        <f t="array" ref="I100">IF(ISNA(MATCH(A100,sheet2!A:A,0)),H100,IF(INDEX(sheet2!O:O,MATCH(A100,sheet2!A:A,0))&gt;0,IFERROR(INDEX(LEVEL_HELPER!A:A,MATCH(INDEX(sheet2!O:O,MATCH(A100,sheet2!A:A,0)),LEVEL_HELPER!B:B,0)),H100),H100))</f>
        <v>Beginner</v>
      </c>
      <c r="J100" s="110">
        <f>IFERROR(MAXIFS(ATTENDANCE_LOG!F:F, ATTENDANCE_LOG!C:C, A100&amp;"", ATTENDANCE_LOG!G:G, "Present"), "")</f>
        <v>45705.58333</v>
      </c>
      <c r="K100" s="111">
        <f t="shared" si="3"/>
        <v>507.4166667</v>
      </c>
      <c r="L100" s="112" t="str">
        <f t="shared" si="4"/>
        <v>❌ Dropped</v>
      </c>
      <c r="M100" s="120" t="s">
        <v>37</v>
      </c>
      <c r="N100" s="114" t="s">
        <v>34</v>
      </c>
      <c r="O100" s="113"/>
      <c r="P100" s="115">
        <f>IFERROR(__xludf.DUMMYFUNCTION("IFERROR(COUNTUNIQUEIFS(ATTENDANCE_LOG!B:B,ATTENDANCE_LOG!C:C,A100),0)"),1.0)</f>
        <v>1</v>
      </c>
      <c r="Q100" s="113" t="str">
        <f t="array" ref="Q100">IFERROR(INDEX(ATTENDANCE_LOG!A:A,MATCH(1,(ATTENDANCE_LOG!C:C=A100)*(ATTENDANCE_LOG!F:F=MAXIFS(ATTENDANCE_LOG!F:F,ATTENDANCE_LOG!C:C,A100)),0)),"")</f>
        <v>EL016</v>
      </c>
      <c r="R100" s="113" t="str">
        <f t="array" ref="R100">IFERROR(INDEX(ATTENDANCE_LOG!B:B,MATCH(1,(ATTENDANCE_LOG!C:C=A100)*(ATTENDANCE_LOG!F:F=MAXIFS(ATTENDANCE_LOG!F:F,ATTENDANCE_LOG!C:C,A100)),0)),"")</f>
        <v>Communication 1</v>
      </c>
      <c r="S100" s="113">
        <f>IFERROR(VLOOKUP(H100, LEVEL_HELPER!A:B, 2, 0), 0)</f>
        <v>1</v>
      </c>
      <c r="T100" s="113">
        <f>IFERROR(VLOOKUP(I100, LEVEL_HELPER!A:B, 2, 0), 0)</f>
        <v>1</v>
      </c>
      <c r="U100" s="113">
        <f t="shared" ref="U100:V100" si="104">IF(S100="",0,IF(S100&lt;=2,1,IF(S100&lt;=4,2,IF(S100&lt;=5.5,3,4))))
</f>
        <v>1</v>
      </c>
      <c r="V100" s="113">
        <f t="shared" si="104"/>
        <v>1</v>
      </c>
      <c r="W100" s="113" t="str">
        <f t="shared" si="6"/>
        <v>No Progress</v>
      </c>
      <c r="X100" s="113"/>
      <c r="Y100" s="113"/>
      <c r="Z100" s="113"/>
      <c r="AA100" s="113"/>
      <c r="AB100" s="116"/>
      <c r="AC100" s="116"/>
      <c r="AD100" s="117"/>
    </row>
    <row r="101" ht="15.75" customHeight="1">
      <c r="A101" s="104" t="s">
        <v>401</v>
      </c>
      <c r="B101" s="105" t="s">
        <v>402</v>
      </c>
      <c r="C101" s="131" t="s">
        <v>154</v>
      </c>
      <c r="D101" s="131" t="s">
        <v>400</v>
      </c>
      <c r="E101" s="108" t="str">
        <f t="shared" si="2"/>
        <v>Inactive</v>
      </c>
      <c r="F101" s="104" t="str">
        <f t="array" ref="F101">IFERROR(
  INDEX(ATTENDANCE_INPUT!D:D,
    MATCH(1,
      (ATTENDANCE_INPUT!A:A=A101) *
      (ATTENDANCE_INPUT!W:W=MAXIFS(ATTENDANCE_INPUT!W:W, ATTENDANCE_INPUT!A:A, A101)),
      0)),
  "")</f>
        <v>Minh Nguyen</v>
      </c>
      <c r="G101" s="109" t="str">
        <f t="array" ref="G101">IFERROR(
  INDEX(ATTENDANCE_INPUT!E:E,
    MATCH(1,
      (ATTENDANCE_INPUT!A:A=A101) *
      (ATTENDANCE_INPUT!W:W=MAXIFS(ATTENDANCE_INPUT!W:W, ATTENDANCE_INPUT!A:A, A101)),
      0)),
  "")</f>
        <v>Communication 1</v>
      </c>
      <c r="H101" s="110" t="str">
        <f t="array" ref="H101">IF(ISNA(MATCH(A101,sheet2!A:A,0)),"⏳ Chưa test",IFERROR(INDEX(LEVEL_HELPER!A:A,MATCH(INDEX(sheet2!N:N,MATCH(A101,sheet2!A:A,0)),LEVEL_HELPER!B:B,0)),"⏳ Chưa test"))</f>
        <v>Beginner</v>
      </c>
      <c r="I101" s="110" t="str">
        <f t="array" ref="I101">IF(ISNA(MATCH(A101,sheet2!A:A,0)),H101,IF(INDEX(sheet2!O:O,MATCH(A101,sheet2!A:A,0))&gt;0,IFERROR(INDEX(LEVEL_HELPER!A:A,MATCH(INDEX(sheet2!O:O,MATCH(A101,sheet2!A:A,0)),LEVEL_HELPER!B:B,0)),H101),H101))</f>
        <v>Beginner</v>
      </c>
      <c r="J101" s="110">
        <f>IFERROR(MAXIFS(ATTENDANCE_LOG!F:F, ATTENDANCE_LOG!C:C, A101&amp;"", ATTENDANCE_LOG!G:G, "Present"), "")</f>
        <v>45705.58333</v>
      </c>
      <c r="K101" s="111">
        <f t="shared" si="3"/>
        <v>507.4166667</v>
      </c>
      <c r="L101" s="112" t="str">
        <f t="shared" si="4"/>
        <v>❌ Dropped</v>
      </c>
      <c r="M101" s="120" t="s">
        <v>37</v>
      </c>
      <c r="N101" s="114" t="s">
        <v>34</v>
      </c>
      <c r="O101" s="113"/>
      <c r="P101" s="115">
        <f>IFERROR(__xludf.DUMMYFUNCTION("IFERROR(COUNTUNIQUEIFS(ATTENDANCE_LOG!B:B,ATTENDANCE_LOG!C:C,A101),0)"),1.0)</f>
        <v>1</v>
      </c>
      <c r="Q101" s="113" t="str">
        <f t="array" ref="Q101">IFERROR(INDEX(ATTENDANCE_LOG!A:A,MATCH(1,(ATTENDANCE_LOG!C:C=A101)*(ATTENDANCE_LOG!F:F=MAXIFS(ATTENDANCE_LOG!F:F,ATTENDANCE_LOG!C:C,A101)),0)),"")</f>
        <v>EL016</v>
      </c>
      <c r="R101" s="113" t="str">
        <f t="array" ref="R101">IFERROR(INDEX(ATTENDANCE_LOG!B:B,MATCH(1,(ATTENDANCE_LOG!C:C=A101)*(ATTENDANCE_LOG!F:F=MAXIFS(ATTENDANCE_LOG!F:F,ATTENDANCE_LOG!C:C,A101)),0)),"")</f>
        <v>Communication 1</v>
      </c>
      <c r="S101" s="113">
        <f>IFERROR(VLOOKUP(H101, LEVEL_HELPER!A:B, 2, 0), 0)</f>
        <v>1</v>
      </c>
      <c r="T101" s="113">
        <f>IFERROR(VLOOKUP(I101, LEVEL_HELPER!A:B, 2, 0), 0)</f>
        <v>1</v>
      </c>
      <c r="U101" s="113">
        <f t="shared" ref="U101:V101" si="105">IF(S101="",0,IF(S101&lt;=2,1,IF(S101&lt;=4,2,IF(S101&lt;=5.5,3,4))))
</f>
        <v>1</v>
      </c>
      <c r="V101" s="113">
        <f t="shared" si="105"/>
        <v>1</v>
      </c>
      <c r="W101" s="113" t="str">
        <f t="shared" si="6"/>
        <v>No Progress</v>
      </c>
      <c r="X101" s="113"/>
      <c r="Y101" s="113"/>
      <c r="Z101" s="113"/>
      <c r="AA101" s="113"/>
      <c r="AB101" s="116"/>
      <c r="AC101" s="116"/>
      <c r="AD101" s="117"/>
    </row>
    <row r="102" ht="15.75" customHeight="1">
      <c r="A102" s="104" t="s">
        <v>403</v>
      </c>
      <c r="B102" s="105" t="s">
        <v>404</v>
      </c>
      <c r="C102" s="131" t="s">
        <v>154</v>
      </c>
      <c r="D102" s="131" t="s">
        <v>400</v>
      </c>
      <c r="E102" s="108" t="str">
        <f t="shared" si="2"/>
        <v>Inactive</v>
      </c>
      <c r="F102" s="104" t="str">
        <f t="array" ref="F102">IFERROR(
  INDEX(ATTENDANCE_INPUT!D:D,
    MATCH(1,
      (ATTENDANCE_INPUT!A:A=A102) *
      (ATTENDANCE_INPUT!W:W=MAXIFS(ATTENDANCE_INPUT!W:W, ATTENDANCE_INPUT!A:A, A102)),
      0)),
  "")</f>
        <v>Minh Nguyen</v>
      </c>
      <c r="G102" s="109" t="str">
        <f t="array" ref="G102">IFERROR(
  INDEX(ATTENDANCE_INPUT!E:E,
    MATCH(1,
      (ATTENDANCE_INPUT!A:A=A102) *
      (ATTENDANCE_INPUT!W:W=MAXIFS(ATTENDANCE_INPUT!W:W, ATTENDANCE_INPUT!A:A, A102)),
      0)),
  "")</f>
        <v>Communication 1</v>
      </c>
      <c r="H102" s="110" t="str">
        <f t="array" ref="H102">IF(ISNA(MATCH(A102,sheet2!A:A,0)),"⏳ Chưa test",IFERROR(INDEX(LEVEL_HELPER!A:A,MATCH(INDEX(sheet2!N:N,MATCH(A102,sheet2!A:A,0)),LEVEL_HELPER!B:B,0)),"⏳ Chưa test"))</f>
        <v>Beginner</v>
      </c>
      <c r="I102" s="110" t="str">
        <f t="array" ref="I102">IF(ISNA(MATCH(A102,sheet2!A:A,0)),H102,IF(INDEX(sheet2!O:O,MATCH(A102,sheet2!A:A,0))&gt;0,IFERROR(INDEX(LEVEL_HELPER!A:A,MATCH(INDEX(sheet2!O:O,MATCH(A102,sheet2!A:A,0)),LEVEL_HELPER!B:B,0)),H102),H102))</f>
        <v>Beginner</v>
      </c>
      <c r="J102" s="110">
        <f>IFERROR(MAXIFS(ATTENDANCE_LOG!F:F, ATTENDANCE_LOG!C:C, A102&amp;"", ATTENDANCE_LOG!G:G, "Present"), "")</f>
        <v>45712.58333</v>
      </c>
      <c r="K102" s="111">
        <f t="shared" si="3"/>
        <v>500.4166667</v>
      </c>
      <c r="L102" s="112" t="str">
        <f t="shared" si="4"/>
        <v>❌ Dropped</v>
      </c>
      <c r="M102" s="120" t="s">
        <v>37</v>
      </c>
      <c r="N102" s="114" t="s">
        <v>34</v>
      </c>
      <c r="O102" s="113"/>
      <c r="P102" s="115">
        <f>IFERROR(__xludf.DUMMYFUNCTION("IFERROR(COUNTUNIQUEIFS(ATTENDANCE_LOG!B:B,ATTENDANCE_LOG!C:C,A102),0)"),1.0)</f>
        <v>1</v>
      </c>
      <c r="Q102" s="113" t="str">
        <f t="array" ref="Q102">IFERROR(INDEX(ATTENDANCE_LOG!A:A,MATCH(1,(ATTENDANCE_LOG!C:C=A102)*(ATTENDANCE_LOG!F:F=MAXIFS(ATTENDANCE_LOG!F:F,ATTENDANCE_LOG!C:C,A102)),0)),"")</f>
        <v>EL016</v>
      </c>
      <c r="R102" s="113" t="str">
        <f t="array" ref="R102">IFERROR(INDEX(ATTENDANCE_LOG!B:B,MATCH(1,(ATTENDANCE_LOG!C:C=A102)*(ATTENDANCE_LOG!F:F=MAXIFS(ATTENDANCE_LOG!F:F,ATTENDANCE_LOG!C:C,A102)),0)),"")</f>
        <v>Communication 1</v>
      </c>
      <c r="S102" s="113">
        <f>IFERROR(VLOOKUP(H102, LEVEL_HELPER!A:B, 2, 0), 0)</f>
        <v>1</v>
      </c>
      <c r="T102" s="113">
        <f>IFERROR(VLOOKUP(I102, LEVEL_HELPER!A:B, 2, 0), 0)</f>
        <v>1</v>
      </c>
      <c r="U102" s="113">
        <f t="shared" ref="U102:V102" si="106">IF(S102="",0,IF(S102&lt;=2,1,IF(S102&lt;=4,2,IF(S102&lt;=5.5,3,4))))
</f>
        <v>1</v>
      </c>
      <c r="V102" s="113">
        <f t="shared" si="106"/>
        <v>1</v>
      </c>
      <c r="W102" s="113" t="str">
        <f t="shared" si="6"/>
        <v>No Progress</v>
      </c>
      <c r="X102" s="113"/>
      <c r="Y102" s="113"/>
      <c r="Z102" s="113"/>
      <c r="AA102" s="113"/>
      <c r="AB102" s="116"/>
      <c r="AC102" s="116"/>
      <c r="AD102" s="117"/>
    </row>
    <row r="103" ht="15.75" customHeight="1">
      <c r="A103" s="104" t="s">
        <v>405</v>
      </c>
      <c r="B103" s="105" t="s">
        <v>406</v>
      </c>
      <c r="C103" s="131" t="s">
        <v>154</v>
      </c>
      <c r="D103" s="131" t="s">
        <v>400</v>
      </c>
      <c r="E103" s="108" t="str">
        <f t="shared" si="2"/>
        <v>Inactive</v>
      </c>
      <c r="F103" s="104" t="str">
        <f t="array" ref="F103">IFERROR(
  INDEX(ATTENDANCE_INPUT!D:D,
    MATCH(1,
      (ATTENDANCE_INPUT!A:A=A103) *
      (ATTENDANCE_INPUT!W:W=MAXIFS(ATTENDANCE_INPUT!W:W, ATTENDANCE_INPUT!A:A, A103)),
      0)),
  "")</f>
        <v>Minh Nguyen</v>
      </c>
      <c r="G103" s="109" t="str">
        <f t="array" ref="G103">IFERROR(
  INDEX(ATTENDANCE_INPUT!E:E,
    MATCH(1,
      (ATTENDANCE_INPUT!A:A=A103) *
      (ATTENDANCE_INPUT!W:W=MAXIFS(ATTENDANCE_INPUT!W:W, ATTENDANCE_INPUT!A:A, A103)),
      0)),
  "")</f>
        <v>Communication 1</v>
      </c>
      <c r="H103" s="110" t="str">
        <f t="array" ref="H103">IF(ISNA(MATCH(A103,sheet2!A:A,0)),"⏳ Chưa test",IFERROR(INDEX(LEVEL_HELPER!A:A,MATCH(INDEX(sheet2!N:N,MATCH(A103,sheet2!A:A,0)),LEVEL_HELPER!B:B,0)),"⏳ Chưa test"))</f>
        <v>Beginner</v>
      </c>
      <c r="I103" s="110" t="str">
        <f t="array" ref="I103">IF(ISNA(MATCH(A103,sheet2!A:A,0)),H103,IF(INDEX(sheet2!O:O,MATCH(A103,sheet2!A:A,0))&gt;0,IFERROR(INDEX(LEVEL_HELPER!A:A,MATCH(INDEX(sheet2!O:O,MATCH(A103,sheet2!A:A,0)),LEVEL_HELPER!B:B,0)),H103),H103))</f>
        <v>Beginner</v>
      </c>
      <c r="J103" s="110">
        <f>IFERROR(MAXIFS(ATTENDANCE_LOG!F:F, ATTENDANCE_LOG!C:C, A103&amp;"", ATTENDANCE_LOG!G:G, "Present"), "")</f>
        <v>45705.58333</v>
      </c>
      <c r="K103" s="111">
        <f t="shared" si="3"/>
        <v>507.4166667</v>
      </c>
      <c r="L103" s="112" t="str">
        <f t="shared" si="4"/>
        <v>❌ Dropped</v>
      </c>
      <c r="M103" s="120" t="s">
        <v>37</v>
      </c>
      <c r="N103" s="114" t="s">
        <v>34</v>
      </c>
      <c r="O103" s="113"/>
      <c r="P103" s="115">
        <f>IFERROR(__xludf.DUMMYFUNCTION("IFERROR(COUNTUNIQUEIFS(ATTENDANCE_LOG!B:B,ATTENDANCE_LOG!C:C,A103),0)"),1.0)</f>
        <v>1</v>
      </c>
      <c r="Q103" s="113" t="str">
        <f t="array" ref="Q103">IFERROR(INDEX(ATTENDANCE_LOG!A:A,MATCH(1,(ATTENDANCE_LOG!C:C=A103)*(ATTENDANCE_LOG!F:F=MAXIFS(ATTENDANCE_LOG!F:F,ATTENDANCE_LOG!C:C,A103)),0)),"")</f>
        <v>EL016</v>
      </c>
      <c r="R103" s="113" t="str">
        <f t="array" ref="R103">IFERROR(INDEX(ATTENDANCE_LOG!B:B,MATCH(1,(ATTENDANCE_LOG!C:C=A103)*(ATTENDANCE_LOG!F:F=MAXIFS(ATTENDANCE_LOG!F:F,ATTENDANCE_LOG!C:C,A103)),0)),"")</f>
        <v>Communication 1</v>
      </c>
      <c r="S103" s="113">
        <f>IFERROR(VLOOKUP(H103, LEVEL_HELPER!A:B, 2, 0), 0)</f>
        <v>1</v>
      </c>
      <c r="T103" s="113">
        <f>IFERROR(VLOOKUP(I103, LEVEL_HELPER!A:B, 2, 0), 0)</f>
        <v>1</v>
      </c>
      <c r="U103" s="113">
        <f t="shared" ref="U103:V103" si="107">IF(S103="",0,IF(S103&lt;=2,1,IF(S103&lt;=4,2,IF(S103&lt;=5.5,3,4))))
</f>
        <v>1</v>
      </c>
      <c r="V103" s="113">
        <f t="shared" si="107"/>
        <v>1</v>
      </c>
      <c r="W103" s="113" t="str">
        <f t="shared" si="6"/>
        <v>No Progress</v>
      </c>
      <c r="X103" s="113"/>
      <c r="Y103" s="113"/>
      <c r="Z103" s="113"/>
      <c r="AA103" s="113"/>
      <c r="AB103" s="116"/>
      <c r="AC103" s="116"/>
      <c r="AD103" s="117"/>
    </row>
    <row r="104" ht="15.75" customHeight="1">
      <c r="A104" s="104" t="s">
        <v>407</v>
      </c>
      <c r="B104" s="105" t="s">
        <v>408</v>
      </c>
      <c r="C104" s="131" t="s">
        <v>154</v>
      </c>
      <c r="D104" s="131" t="s">
        <v>400</v>
      </c>
      <c r="E104" s="108" t="str">
        <f t="shared" si="2"/>
        <v>Inactive</v>
      </c>
      <c r="F104" s="104" t="str">
        <f t="array" ref="F104">IFERROR(
  INDEX(ATTENDANCE_INPUT!D:D,
    MATCH(1,
      (ATTENDANCE_INPUT!A:A=A104) *
      (ATTENDANCE_INPUT!W:W=MAXIFS(ATTENDANCE_INPUT!W:W, ATTENDANCE_INPUT!A:A, A104)),
      0)),
  "")</f>
        <v>Minh Nguyen</v>
      </c>
      <c r="G104" s="109" t="str">
        <f t="array" ref="G104">IFERROR(
  INDEX(ATTENDANCE_INPUT!E:E,
    MATCH(1,
      (ATTENDANCE_INPUT!A:A=A104) *
      (ATTENDANCE_INPUT!W:W=MAXIFS(ATTENDANCE_INPUT!W:W, ATTENDANCE_INPUT!A:A, A104)),
      0)),
  "")</f>
        <v>Communication 1</v>
      </c>
      <c r="H104" s="110" t="str">
        <f t="array" ref="H104">IF(ISNA(MATCH(A104,sheet2!A:A,0)),"⏳ Chưa test",IFERROR(INDEX(LEVEL_HELPER!A:A,MATCH(INDEX(sheet2!N:N,MATCH(A104,sheet2!A:A,0)),LEVEL_HELPER!B:B,0)),"⏳ Chưa test"))</f>
        <v>Beginner</v>
      </c>
      <c r="I104" s="110" t="str">
        <f t="array" ref="I104">IF(ISNA(MATCH(A104,sheet2!A:A,0)),H104,IF(INDEX(sheet2!O:O,MATCH(A104,sheet2!A:A,0))&gt;0,IFERROR(INDEX(LEVEL_HELPER!A:A,MATCH(INDEX(sheet2!O:O,MATCH(A104,sheet2!A:A,0)),LEVEL_HELPER!B:B,0)),H104),H104))</f>
        <v>Beginner</v>
      </c>
      <c r="J104" s="110">
        <f>IFERROR(MAXIFS(ATTENDANCE_LOG!F:F, ATTENDANCE_LOG!C:C, A104&amp;"", ATTENDANCE_LOG!G:G, "Present"), "")</f>
        <v>45712.58333</v>
      </c>
      <c r="K104" s="111">
        <f t="shared" si="3"/>
        <v>500.4166667</v>
      </c>
      <c r="L104" s="112" t="str">
        <f t="shared" si="4"/>
        <v>❌ Dropped</v>
      </c>
      <c r="M104" s="120" t="s">
        <v>37</v>
      </c>
      <c r="N104" s="114" t="s">
        <v>34</v>
      </c>
      <c r="O104" s="113"/>
      <c r="P104" s="115">
        <f>IFERROR(__xludf.DUMMYFUNCTION("IFERROR(COUNTUNIQUEIFS(ATTENDANCE_LOG!B:B,ATTENDANCE_LOG!C:C,A104),0)"),1.0)</f>
        <v>1</v>
      </c>
      <c r="Q104" s="113" t="str">
        <f t="array" ref="Q104">IFERROR(INDEX(ATTENDANCE_LOG!A:A,MATCH(1,(ATTENDANCE_LOG!C:C=A104)*(ATTENDANCE_LOG!F:F=MAXIFS(ATTENDANCE_LOG!F:F,ATTENDANCE_LOG!C:C,A104)),0)),"")</f>
        <v>EL016</v>
      </c>
      <c r="R104" s="113" t="str">
        <f t="array" ref="R104">IFERROR(INDEX(ATTENDANCE_LOG!B:B,MATCH(1,(ATTENDANCE_LOG!C:C=A104)*(ATTENDANCE_LOG!F:F=MAXIFS(ATTENDANCE_LOG!F:F,ATTENDANCE_LOG!C:C,A104)),0)),"")</f>
        <v>Communication 1</v>
      </c>
      <c r="S104" s="113">
        <f>IFERROR(VLOOKUP(H104, LEVEL_HELPER!A:B, 2, 0), 0)</f>
        <v>1</v>
      </c>
      <c r="T104" s="113">
        <f>IFERROR(VLOOKUP(I104, LEVEL_HELPER!A:B, 2, 0), 0)</f>
        <v>1</v>
      </c>
      <c r="U104" s="113">
        <f t="shared" ref="U104:V104" si="108">IF(S104="",0,IF(S104&lt;=2,1,IF(S104&lt;=4,2,IF(S104&lt;=5.5,3,4))))
</f>
        <v>1</v>
      </c>
      <c r="V104" s="113">
        <f t="shared" si="108"/>
        <v>1</v>
      </c>
      <c r="W104" s="113" t="str">
        <f t="shared" si="6"/>
        <v>No Progress</v>
      </c>
      <c r="X104" s="113"/>
      <c r="Y104" s="113"/>
      <c r="Z104" s="113"/>
      <c r="AA104" s="113"/>
      <c r="AB104" s="116"/>
      <c r="AC104" s="116"/>
      <c r="AD104" s="117"/>
    </row>
    <row r="105" ht="15.75" customHeight="1">
      <c r="A105" s="104" t="s">
        <v>409</v>
      </c>
      <c r="B105" s="105" t="s">
        <v>410</v>
      </c>
      <c r="C105" s="106" t="str">
        <f>IFERROR(__xludf.DUMMYFUNCTION("arrayformula(VLOOKUP(to_Text(A105),to_Text(sheet2!$A$1:M1005),13,0))"),"TBU")</f>
        <v>TBU</v>
      </c>
      <c r="D105" s="107" t="str">
        <f>IFERROR(__xludf.DUMMYFUNCTION("arrayformula(VLOOKUP(to_Text(A105),to_Text(sheet2!$A$1:M1005),12,0))"),"SM")</f>
        <v>SM</v>
      </c>
      <c r="E105" s="108" t="str">
        <f t="shared" si="2"/>
        <v>Inactive</v>
      </c>
      <c r="F105" s="104" t="str">
        <f t="array" ref="F105">IFERROR(
  INDEX(ATTENDANCE_INPUT!D:D,
    MATCH(1,
      (ATTENDANCE_INPUT!A:A=A105) *
      (ATTENDANCE_INPUT!W:W=MAXIFS(ATTENDANCE_INPUT!W:W, ATTENDANCE_INPUT!A:A, A105)),
      0)),
  "")</f>
        <v>My Nguyen</v>
      </c>
      <c r="G105" s="109" t="str">
        <f t="array" ref="G105">IFERROR(
  INDEX(ATTENDANCE_INPUT!E:E,
    MATCH(1,
      (ATTENDANCE_INPUT!A:A=A105) *
      (ATTENDANCE_INPUT!W:W=MAXIFS(ATTENDANCE_INPUT!W:W, ATTENDANCE_INPUT!A:A, A105)),
      0)),
  "")</f>
        <v>Communication 2</v>
      </c>
      <c r="H105" s="110" t="str">
        <f t="array" ref="H105">IF(ISNA(MATCH(A105,sheet2!A:A,0)),"⏳ Chưa test",IFERROR(INDEX(LEVEL_HELPER!A:A,MATCH(INDEX(sheet2!N:N,MATCH(A105,sheet2!A:A,0)),LEVEL_HELPER!B:B,0)),"⏳ Chưa test"))</f>
        <v>Intermediate</v>
      </c>
      <c r="I105" s="110" t="str">
        <f t="array" ref="I105">IF(ISNA(MATCH(A105,sheet2!A:A,0)),H105,IF(INDEX(sheet2!O:O,MATCH(A105,sheet2!A:A,0))&gt;0,IFERROR(INDEX(LEVEL_HELPER!A:A,MATCH(INDEX(sheet2!O:O,MATCH(A105,sheet2!A:A,0)),LEVEL_HELPER!B:B,0)),H105),H105))</f>
        <v>Intermediate 2</v>
      </c>
      <c r="J105" s="110">
        <f>IFERROR(MAXIFS(ATTENDANCE_LOG!F:F, ATTENDANCE_LOG!C:C, A105&amp;"", ATTENDANCE_LOG!G:G, "Present"), "")</f>
        <v>46086.54167</v>
      </c>
      <c r="K105" s="111">
        <f t="shared" si="3"/>
        <v>126.4583333</v>
      </c>
      <c r="L105" s="112" t="str">
        <f t="shared" si="4"/>
        <v>❌ Dropped</v>
      </c>
      <c r="M105" s="120" t="s">
        <v>37</v>
      </c>
      <c r="N105" s="126" t="s">
        <v>34</v>
      </c>
      <c r="O105" s="113"/>
      <c r="P105" s="115">
        <f>IFERROR(__xludf.DUMMYFUNCTION("IFERROR(COUNTUNIQUEIFS(ATTENDANCE_LOG!B:B,ATTENDANCE_LOG!C:C,A105),0)"),2.0)</f>
        <v>2</v>
      </c>
      <c r="Q105" s="113" t="str">
        <f t="array" ref="Q105">IFERROR(INDEX(ATTENDANCE_LOG!A:A,MATCH(1,(ATTENDANCE_LOG!C:C=A105)*(ATTENDANCE_LOG!F:F=MAXIFS(ATTENDANCE_LOG!F:F,ATTENDANCE_LOG!C:C,A105)),0)),"")</f>
        <v>EL038</v>
      </c>
      <c r="R105" s="113" t="str">
        <f t="array" ref="R105">IFERROR(INDEX(ATTENDANCE_LOG!B:B,MATCH(1,(ATTENDANCE_LOG!C:C=A105)*(ATTENDANCE_LOG!F:F=MAXIFS(ATTENDANCE_LOG!F:F,ATTENDANCE_LOG!C:C,A105)),0)),"")</f>
        <v>Communication 2</v>
      </c>
      <c r="S105" s="113">
        <f>IFERROR(VLOOKUP(H105, LEVEL_HELPER!A:B, 2, 0), 0)</f>
        <v>4.5</v>
      </c>
      <c r="T105" s="113">
        <f>IFERROR(VLOOKUP(I105, LEVEL_HELPER!A:B, 2, 0), 0)</f>
        <v>5.5</v>
      </c>
      <c r="U105" s="113">
        <f t="shared" ref="U105:V105" si="109">IF(S105="",0,IF(S105&lt;=2,1,IF(S105&lt;=4,2,IF(S105&lt;=5.5,3,4))))
</f>
        <v>3</v>
      </c>
      <c r="V105" s="113">
        <f t="shared" si="109"/>
        <v>3</v>
      </c>
      <c r="W105" s="113" t="str">
        <f t="shared" si="6"/>
        <v>Minor Improvement</v>
      </c>
      <c r="X105" s="113"/>
      <c r="Y105" s="113">
        <v>247193.0</v>
      </c>
      <c r="Z105" s="113" t="s">
        <v>190</v>
      </c>
      <c r="AA105" s="113" t="s">
        <v>34</v>
      </c>
      <c r="AB105" s="116"/>
      <c r="AC105" s="116"/>
      <c r="AD105" s="117"/>
    </row>
    <row r="106" ht="15.75" customHeight="1">
      <c r="A106" s="104" t="s">
        <v>411</v>
      </c>
      <c r="B106" s="105" t="s">
        <v>412</v>
      </c>
      <c r="C106" s="106" t="str">
        <f>IFERROR(__xludf.DUMMYFUNCTION("arrayformula(VLOOKUP(to_Text(A106),to_Text(sheet2!$A$1:M1005),13,0))"),"TBU")</f>
        <v>TBU</v>
      </c>
      <c r="D106" s="107" t="str">
        <f>IFERROR(__xludf.DUMMYFUNCTION("arrayformula(VLOOKUP(to_Text(A106),to_Text(sheet2!$A$1:M1005),12,0))"),"BA")</f>
        <v>BA</v>
      </c>
      <c r="E106" s="108" t="str">
        <f t="shared" si="2"/>
        <v>Inactive</v>
      </c>
      <c r="F106" s="104" t="str">
        <f t="array" ref="F106">IFERROR(
  INDEX(ATTENDANCE_INPUT!D:D,
    MATCH(1,
      (ATTENDANCE_INPUT!A:A=A106) *
      (ATTENDANCE_INPUT!W:W=MAXIFS(ATTENDANCE_INPUT!W:W, ATTENDANCE_INPUT!A:A, A106)),
      0)),
  "")</f>
        <v>My Nguyen</v>
      </c>
      <c r="G106" s="109" t="str">
        <f t="array" ref="G106">IFERROR(
  INDEX(ATTENDANCE_INPUT!E:E,
    MATCH(1,
      (ATTENDANCE_INPUT!A:A=A106) *
      (ATTENDANCE_INPUT!W:W=MAXIFS(ATTENDANCE_INPUT!W:W, ATTENDANCE_INPUT!A:A, A106)),
      0)),
  "")</f>
        <v>Communication 2</v>
      </c>
      <c r="H106" s="110" t="str">
        <f t="array" ref="H106">IF(ISNA(MATCH(A106,sheet2!A:A,0)),"⏳ Chưa test",IFERROR(INDEX(LEVEL_HELPER!A:A,MATCH(INDEX(sheet2!N:N,MATCH(A106,sheet2!A:A,0)),LEVEL_HELPER!B:B,0)),"⏳ Chưa test"))</f>
        <v>Beginner</v>
      </c>
      <c r="I106" s="110" t="str">
        <f t="array" ref="I106">IF(ISNA(MATCH(A106,sheet2!A:A,0)),H106,IF(INDEX(sheet2!O:O,MATCH(A106,sheet2!A:A,0))&gt;0,IFERROR(INDEX(LEVEL_HELPER!A:A,MATCH(INDEX(sheet2!O:O,MATCH(A106,sheet2!A:A,0)),LEVEL_HELPER!B:B,0)),H106),H106))</f>
        <v>Pre-Intermediate 1</v>
      </c>
      <c r="J106" s="110">
        <f>IFERROR(MAXIFS(ATTENDANCE_LOG!F:F, ATTENDANCE_LOG!C:C, A106&amp;"", ATTENDANCE_LOG!G:G, "Present"), "")</f>
        <v>46086.54167</v>
      </c>
      <c r="K106" s="111">
        <f t="shared" si="3"/>
        <v>126.4583333</v>
      </c>
      <c r="L106" s="112" t="str">
        <f t="shared" si="4"/>
        <v>✅ Completed</v>
      </c>
      <c r="M106" s="113" t="s">
        <v>35</v>
      </c>
      <c r="N106" s="114" t="s">
        <v>34</v>
      </c>
      <c r="O106" s="113"/>
      <c r="P106" s="115">
        <f>IFERROR(__xludf.DUMMYFUNCTION("IFERROR(COUNTUNIQUEIFS(ATTENDANCE_LOG!B:B,ATTENDANCE_LOG!C:C,A106),0)"),2.0)</f>
        <v>2</v>
      </c>
      <c r="Q106" s="113" t="str">
        <f t="array" ref="Q106">IFERROR(INDEX(ATTENDANCE_LOG!A:A,MATCH(1,(ATTENDANCE_LOG!C:C=A106)*(ATTENDANCE_LOG!F:F=MAXIFS(ATTENDANCE_LOG!F:F,ATTENDANCE_LOG!C:C,A106)),0)),"")</f>
        <v>EL038</v>
      </c>
      <c r="R106" s="113" t="str">
        <f t="array" ref="R106">IFERROR(INDEX(ATTENDANCE_LOG!B:B,MATCH(1,(ATTENDANCE_LOG!C:C=A106)*(ATTENDANCE_LOG!F:F=MAXIFS(ATTENDANCE_LOG!F:F,ATTENDANCE_LOG!C:C,A106)),0)),"")</f>
        <v>Communication 2</v>
      </c>
      <c r="S106" s="113">
        <f>IFERROR(VLOOKUP(H106, LEVEL_HELPER!A:B, 2, 0), 0)</f>
        <v>1</v>
      </c>
      <c r="T106" s="113">
        <f>IFERROR(VLOOKUP(I106, LEVEL_HELPER!A:B, 2, 0), 0)</f>
        <v>3</v>
      </c>
      <c r="U106" s="113">
        <f t="shared" ref="U106:V106" si="110">IF(S106="",0,IF(S106&lt;=2,1,IF(S106&lt;=4,2,IF(S106&lt;=5.5,3,4))))
</f>
        <v>1</v>
      </c>
      <c r="V106" s="113">
        <f t="shared" si="110"/>
        <v>2</v>
      </c>
      <c r="W106" s="113" t="str">
        <f t="shared" si="6"/>
        <v>Lv1→Lv2</v>
      </c>
      <c r="X106" s="113"/>
      <c r="Y106" s="113"/>
      <c r="Z106" s="113"/>
      <c r="AA106" s="113"/>
      <c r="AB106" s="116"/>
      <c r="AC106" s="116"/>
      <c r="AD106" s="117"/>
    </row>
    <row r="107" ht="15.75" customHeight="1">
      <c r="A107" s="104" t="s">
        <v>413</v>
      </c>
      <c r="B107" s="105" t="s">
        <v>414</v>
      </c>
      <c r="C107" s="106" t="str">
        <f>IFERROR(__xludf.DUMMYFUNCTION("arrayformula(VLOOKUP(to_Text(A107),to_Text(sheet2!$A$1:M1005),13,0))"),"TBU")</f>
        <v>TBU</v>
      </c>
      <c r="D107" s="107" t="str">
        <f>IFERROR(__xludf.DUMMYFUNCTION("arrayformula(VLOOKUP(to_Text(A107),to_Text(sheet2!$A$1:M1005),12,0))"),"DEV")</f>
        <v>DEV</v>
      </c>
      <c r="E107" s="108" t="str">
        <f t="shared" si="2"/>
        <v>Inactive</v>
      </c>
      <c r="F107" s="104" t="str">
        <f t="array" ref="F107">IFERROR(
  INDEX(ATTENDANCE_INPUT!D:D,
    MATCH(1,
      (ATTENDANCE_INPUT!A:A=A107) *
      (ATTENDANCE_INPUT!W:W=MAXIFS(ATTENDANCE_INPUT!W:W, ATTENDANCE_INPUT!A:A, A107)),
      0)),
  "")</f>
        <v>My Nguyen</v>
      </c>
      <c r="G107" s="109" t="str">
        <f t="array" ref="G107">IFERROR(
  INDEX(ATTENDANCE_INPUT!E:E,
    MATCH(1,
      (ATTENDANCE_INPUT!A:A=A107) *
      (ATTENDANCE_INPUT!W:W=MAXIFS(ATTENDANCE_INPUT!W:W, ATTENDANCE_INPUT!A:A, A107)),
      0)),
  "")</f>
        <v>Communication 2</v>
      </c>
      <c r="H107" s="110" t="str">
        <f t="array" ref="H107">IF(ISNA(MATCH(A107,sheet2!A:A,0)),"⏳ Chưa test",IFERROR(INDEX(LEVEL_HELPER!A:A,MATCH(INDEX(sheet2!N:N,MATCH(A107,sheet2!A:A,0)),LEVEL_HELPER!B:B,0)),"⏳ Chưa test"))</f>
        <v>Beginner</v>
      </c>
      <c r="I107" s="110" t="str">
        <f t="array" ref="I107">IF(ISNA(MATCH(A107,sheet2!A:A,0)),H107,IF(INDEX(sheet2!O:O,MATCH(A107,sheet2!A:A,0))&gt;0,IFERROR(INDEX(LEVEL_HELPER!A:A,MATCH(INDEX(sheet2!O:O,MATCH(A107,sheet2!A:A,0)),LEVEL_HELPER!B:B,0)),H107),H107))</f>
        <v>Pre-Intermediate 1</v>
      </c>
      <c r="J107" s="110">
        <f>IFERROR(MAXIFS(ATTENDANCE_LOG!F:F, ATTENDANCE_LOG!C:C, A107&amp;"", ATTENDANCE_LOG!G:G, "Present"), "")</f>
        <v>46052.45833</v>
      </c>
      <c r="K107" s="111">
        <f t="shared" si="3"/>
        <v>160.5416667</v>
      </c>
      <c r="L107" s="112" t="str">
        <f t="shared" si="4"/>
        <v>✅ Completed</v>
      </c>
      <c r="M107" s="113" t="s">
        <v>35</v>
      </c>
      <c r="N107" s="114" t="s">
        <v>34</v>
      </c>
      <c r="O107" s="113"/>
      <c r="P107" s="115">
        <f>IFERROR(__xludf.DUMMYFUNCTION("IFERROR(COUNTUNIQUEIFS(ATTENDANCE_LOG!B:B,ATTENDANCE_LOG!C:C,A107),0)"),2.0)</f>
        <v>2</v>
      </c>
      <c r="Q107" s="113" t="str">
        <f t="array" ref="Q107">IFERROR(INDEX(ATTENDANCE_LOG!A:A,MATCH(1,(ATTENDANCE_LOG!C:C=A107)*(ATTENDANCE_LOG!F:F=MAXIFS(ATTENDANCE_LOG!F:F,ATTENDANCE_LOG!C:C,A107)),0)),"")</f>
        <v>EL038</v>
      </c>
      <c r="R107" s="113" t="str">
        <f t="array" ref="R107">IFERROR(INDEX(ATTENDANCE_LOG!B:B,MATCH(1,(ATTENDANCE_LOG!C:C=A107)*(ATTENDANCE_LOG!F:F=MAXIFS(ATTENDANCE_LOG!F:F,ATTENDANCE_LOG!C:C,A107)),0)),"")</f>
        <v>Communication 2</v>
      </c>
      <c r="S107" s="113">
        <f>IFERROR(VLOOKUP(H107, LEVEL_HELPER!A:B, 2, 0), 0)</f>
        <v>1</v>
      </c>
      <c r="T107" s="113">
        <f>IFERROR(VLOOKUP(I107, LEVEL_HELPER!A:B, 2, 0), 0)</f>
        <v>3</v>
      </c>
      <c r="U107" s="113">
        <f t="shared" ref="U107:V107" si="111">IF(S107="",0,IF(S107&lt;=2,1,IF(S107&lt;=4,2,IF(S107&lt;=5.5,3,4))))
</f>
        <v>1</v>
      </c>
      <c r="V107" s="113">
        <f t="shared" si="111"/>
        <v>2</v>
      </c>
      <c r="W107" s="113" t="str">
        <f t="shared" si="6"/>
        <v>Lv1→Lv2</v>
      </c>
      <c r="X107" s="113"/>
      <c r="Y107" s="113"/>
      <c r="Z107" s="113"/>
      <c r="AA107" s="113"/>
      <c r="AB107" s="116"/>
      <c r="AC107" s="116"/>
      <c r="AD107" s="117"/>
    </row>
    <row r="108" ht="15.75" customHeight="1">
      <c r="A108" s="104" t="s">
        <v>415</v>
      </c>
      <c r="B108" s="105" t="s">
        <v>416</v>
      </c>
      <c r="C108" s="106" t="str">
        <f>IFERROR(__xludf.DUMMYFUNCTION("arrayformula(VLOOKUP(to_Text(A108),to_Text(sheet2!$A$1:M1005),13,0))"),"TBU")</f>
        <v>TBU</v>
      </c>
      <c r="D108" s="107" t="str">
        <f>IFERROR(__xludf.DUMMYFUNCTION("arrayformula(VLOOKUP(to_Text(A108),to_Text(sheet2!$A$1:M1005),12,0))"),"DEV")</f>
        <v>DEV</v>
      </c>
      <c r="E108" s="108" t="str">
        <f t="shared" si="2"/>
        <v>Inactive</v>
      </c>
      <c r="F108" s="104" t="str">
        <f t="array" ref="F108">IFERROR(
  INDEX(ATTENDANCE_INPUT!D:D,
    MATCH(1,
      (ATTENDANCE_INPUT!A:A=A108) *
      (ATTENDANCE_INPUT!W:W=MAXIFS(ATTENDANCE_INPUT!W:W, ATTENDANCE_INPUT!A:A, A108)),
      0)),
  "")</f>
        <v>My Nguyen</v>
      </c>
      <c r="G108" s="109" t="str">
        <f t="array" ref="G108">IFERROR(
  INDEX(ATTENDANCE_INPUT!E:E,
    MATCH(1,
      (ATTENDANCE_INPUT!A:A=A108) *
      (ATTENDANCE_INPUT!W:W=MAXIFS(ATTENDANCE_INPUT!W:W, ATTENDANCE_INPUT!A:A, A108)),
      0)),
  "")</f>
        <v>Communication 2</v>
      </c>
      <c r="H108" s="110" t="str">
        <f t="array" ref="H108">IF(ISNA(MATCH(A108,sheet2!A:A,0)),"⏳ Chưa test",IFERROR(INDEX(LEVEL_HELPER!A:A,MATCH(INDEX(sheet2!N:N,MATCH(A108,sheet2!A:A,0)),LEVEL_HELPER!B:B,0)),"⏳ Chưa test"))</f>
        <v>Beginner</v>
      </c>
      <c r="I108" s="110" t="str">
        <f t="array" ref="I108">IF(ISNA(MATCH(A108,sheet2!A:A,0)),H108,IF(INDEX(sheet2!O:O,MATCH(A108,sheet2!A:A,0))&gt;0,IFERROR(INDEX(LEVEL_HELPER!A:A,MATCH(INDEX(sheet2!O:O,MATCH(A108,sheet2!A:A,0)),LEVEL_HELPER!B:B,0)),H108),H108))</f>
        <v>Beginner</v>
      </c>
      <c r="J108" s="110">
        <f>IFERROR(MAXIFS(ATTENDANCE_LOG!F:F, ATTENDANCE_LOG!C:C, A108&amp;"", ATTENDANCE_LOG!G:G, "Present"), "")</f>
        <v>46086.54167</v>
      </c>
      <c r="K108" s="111">
        <f t="shared" si="3"/>
        <v>126.4583333</v>
      </c>
      <c r="L108" s="112" t="str">
        <f t="shared" si="4"/>
        <v>✅ Completed</v>
      </c>
      <c r="M108" s="113" t="s">
        <v>35</v>
      </c>
      <c r="N108" s="114" t="s">
        <v>34</v>
      </c>
      <c r="O108" s="113"/>
      <c r="P108" s="115">
        <f>IFERROR(__xludf.DUMMYFUNCTION("IFERROR(COUNTUNIQUEIFS(ATTENDANCE_LOG!B:B,ATTENDANCE_LOG!C:C,A108),0)"),2.0)</f>
        <v>2</v>
      </c>
      <c r="Q108" s="113" t="str">
        <f t="array" ref="Q108">IFERROR(INDEX(ATTENDANCE_LOG!A:A,MATCH(1,(ATTENDANCE_LOG!C:C=A108)*(ATTENDANCE_LOG!F:F=MAXIFS(ATTENDANCE_LOG!F:F,ATTENDANCE_LOG!C:C,A108)),0)),"")</f>
        <v>EL038</v>
      </c>
      <c r="R108" s="113" t="str">
        <f t="array" ref="R108">IFERROR(INDEX(ATTENDANCE_LOG!B:B,MATCH(1,(ATTENDANCE_LOG!C:C=A108)*(ATTENDANCE_LOG!F:F=MAXIFS(ATTENDANCE_LOG!F:F,ATTENDANCE_LOG!C:C,A108)),0)),"")</f>
        <v>Communication 2</v>
      </c>
      <c r="S108" s="113">
        <f>IFERROR(VLOOKUP(H108, LEVEL_HELPER!A:B, 2, 0), 0)</f>
        <v>1</v>
      </c>
      <c r="T108" s="113">
        <f>IFERROR(VLOOKUP(I108, LEVEL_HELPER!A:B, 2, 0), 0)</f>
        <v>1</v>
      </c>
      <c r="U108" s="113">
        <f t="shared" ref="U108:V108" si="112">IF(S108="",0,IF(S108&lt;=2,1,IF(S108&lt;=4,2,IF(S108&lt;=5.5,3,4))))
</f>
        <v>1</v>
      </c>
      <c r="V108" s="113">
        <f t="shared" si="112"/>
        <v>1</v>
      </c>
      <c r="W108" s="113" t="str">
        <f t="shared" si="6"/>
        <v>No Progress</v>
      </c>
      <c r="X108" s="113"/>
      <c r="Y108" s="113"/>
      <c r="Z108" s="113"/>
      <c r="AA108" s="113"/>
      <c r="AB108" s="116"/>
      <c r="AC108" s="116"/>
      <c r="AD108" s="117"/>
    </row>
    <row r="109" ht="15.75" customHeight="1">
      <c r="A109" s="104" t="s">
        <v>417</v>
      </c>
      <c r="B109" s="105" t="s">
        <v>418</v>
      </c>
      <c r="C109" s="106" t="str">
        <f>IFERROR(__xludf.DUMMYFUNCTION("arrayformula(VLOOKUP(to_Text(A109),to_Text(sheet2!$A$1:M1005),13,0))"),"LBU")</f>
        <v>LBU</v>
      </c>
      <c r="D109" s="107" t="str">
        <f>IFERROR(__xludf.DUMMYFUNCTION("arrayformula(VLOOKUP(to_Text(A109),to_Text(sheet2!$A$1:M1005),12,0))"),"QC")</f>
        <v>QC</v>
      </c>
      <c r="E109" s="108" t="str">
        <f t="shared" si="2"/>
        <v>Inactive</v>
      </c>
      <c r="F109" s="104" t="str">
        <f t="array" ref="F109">IFERROR(
  INDEX(ATTENDANCE_INPUT!D:D,
    MATCH(1,
      (ATTENDANCE_INPUT!A:A=A109) *
      (ATTENDANCE_INPUT!W:W=MAXIFS(ATTENDANCE_INPUT!W:W, ATTENDANCE_INPUT!A:A, A109)),
      0)),
  "")</f>
        <v>My Tran</v>
      </c>
      <c r="G109" s="109" t="str">
        <f t="array" ref="G109">IFERROR(
  INDEX(ATTENDANCE_INPUT!E:E,
    MATCH(1,
      (ATTENDANCE_INPUT!A:A=A109) *
      (ATTENDANCE_INPUT!W:W=MAXIFS(ATTENDANCE_INPUT!W:W, ATTENDANCE_INPUT!A:A, A109)),
      0)),
  "")</f>
        <v>Communication 2</v>
      </c>
      <c r="H109" s="110" t="str">
        <f t="array" ref="H109">IF(ISNA(MATCH(A109,sheet2!A:A,0)),"⏳ Chưa test",IFERROR(INDEX(LEVEL_HELPER!A:A,MATCH(INDEX(sheet2!N:N,MATCH(A109,sheet2!A:A,0)),LEVEL_HELPER!B:B,0)),"⏳ Chưa test"))</f>
        <v>Beginner</v>
      </c>
      <c r="I109" s="110" t="str">
        <f t="array" ref="I109">IF(ISNA(MATCH(A109,sheet2!A:A,0)),H109,IF(INDEX(sheet2!O:O,MATCH(A109,sheet2!A:A,0))&gt;0,IFERROR(INDEX(LEVEL_HELPER!A:A,MATCH(INDEX(sheet2!O:O,MATCH(A109,sheet2!A:A,0)),LEVEL_HELPER!B:B,0)),H109),H109))</f>
        <v>Pre-Intermediate 1</v>
      </c>
      <c r="J109" s="110">
        <f>IFERROR(MAXIFS(ATTENDANCE_LOG!F:F, ATTENDANCE_LOG!C:C, A109&amp;"", ATTENDANCE_LOG!G:G, "Present"), "")</f>
        <v>46013.58333</v>
      </c>
      <c r="K109" s="111">
        <f t="shared" si="3"/>
        <v>199.4166667</v>
      </c>
      <c r="L109" s="112" t="str">
        <f t="shared" si="4"/>
        <v>✅ Completed</v>
      </c>
      <c r="M109" s="113" t="s">
        <v>35</v>
      </c>
      <c r="N109" s="114" t="s">
        <v>34</v>
      </c>
      <c r="O109" s="113"/>
      <c r="P109" s="115">
        <f>IFERROR(__xludf.DUMMYFUNCTION("IFERROR(COUNTUNIQUEIFS(ATTENDANCE_LOG!B:B,ATTENDANCE_LOG!C:C,A109),0)"),2.0)</f>
        <v>2</v>
      </c>
      <c r="Q109" s="113" t="str">
        <f t="array" ref="Q109">IFERROR(INDEX(ATTENDANCE_LOG!A:A,MATCH(1,(ATTENDANCE_LOG!C:C=A109)*(ATTENDANCE_LOG!F:F=MAXIFS(ATTENDANCE_LOG!F:F,ATTENDANCE_LOG!C:C,A109)),0)),"")</f>
        <v>EL026</v>
      </c>
      <c r="R109" s="113" t="str">
        <f t="array" ref="R109">IFERROR(INDEX(ATTENDANCE_LOG!B:B,MATCH(1,(ATTENDANCE_LOG!C:C=A109)*(ATTENDANCE_LOG!F:F=MAXIFS(ATTENDANCE_LOG!F:F,ATTENDANCE_LOG!C:C,A109)),0)),"")</f>
        <v>Communication 2</v>
      </c>
      <c r="S109" s="113">
        <f>IFERROR(VLOOKUP(H109, LEVEL_HELPER!A:B, 2, 0), 0)</f>
        <v>1</v>
      </c>
      <c r="T109" s="113">
        <f>IFERROR(VLOOKUP(I109, LEVEL_HELPER!A:B, 2, 0), 0)</f>
        <v>3</v>
      </c>
      <c r="U109" s="113">
        <f t="shared" ref="U109:V109" si="113">IF(S109="",0,IF(S109&lt;=2,1,IF(S109&lt;=4,2,IF(S109&lt;=5.5,3,4))))
</f>
        <v>1</v>
      </c>
      <c r="V109" s="113">
        <f t="shared" si="113"/>
        <v>2</v>
      </c>
      <c r="W109" s="113" t="str">
        <f t="shared" si="6"/>
        <v>Lv1→Lv2</v>
      </c>
      <c r="X109" s="113"/>
      <c r="Y109" s="113">
        <v>247282.0</v>
      </c>
      <c r="Z109" s="113" t="s">
        <v>190</v>
      </c>
      <c r="AA109" s="113" t="s">
        <v>34</v>
      </c>
      <c r="AB109" s="116"/>
      <c r="AC109" s="116"/>
      <c r="AD109" s="117"/>
    </row>
    <row r="110" ht="15.75" customHeight="1">
      <c r="A110" s="104" t="s">
        <v>419</v>
      </c>
      <c r="B110" s="105" t="s">
        <v>420</v>
      </c>
      <c r="C110" s="106" t="str">
        <f>IFERROR(__xludf.DUMMYFUNCTION("arrayformula(VLOOKUP(to_Text(A110),to_Text(sheet2!$A$1:M1005),13,0))"),"LBU")</f>
        <v>LBU</v>
      </c>
      <c r="D110" s="107" t="str">
        <f>IFERROR(__xludf.DUMMYFUNCTION("arrayformula(VLOOKUP(to_Text(A110),to_Text(sheet2!$A$1:M1005),12,0))"),"DEV")</f>
        <v>DEV</v>
      </c>
      <c r="E110" s="108" t="str">
        <f t="shared" si="2"/>
        <v>Inactive</v>
      </c>
      <c r="F110" s="104" t="str">
        <f t="array" ref="F110">IFERROR(
  INDEX(ATTENDANCE_INPUT!D:D,
    MATCH(1,
      (ATTENDANCE_INPUT!A:A=A110) *
      (ATTENDANCE_INPUT!W:W=MAXIFS(ATTENDANCE_INPUT!W:W, ATTENDANCE_INPUT!A:A, A110)),
      0)),
  "")</f>
        <v>My Tran</v>
      </c>
      <c r="G110" s="109" t="str">
        <f t="array" ref="G110">IFERROR(
  INDEX(ATTENDANCE_INPUT!E:E,
    MATCH(1,
      (ATTENDANCE_INPUT!A:A=A110) *
      (ATTENDANCE_INPUT!W:W=MAXIFS(ATTENDANCE_INPUT!W:W, ATTENDANCE_INPUT!A:A, A110)),
      0)),
  "")</f>
        <v>Communication 2</v>
      </c>
      <c r="H110" s="110" t="str">
        <f t="array" ref="H110">IF(ISNA(MATCH(A110,sheet2!A:A,0)),"⏳ Chưa test",IFERROR(INDEX(LEVEL_HELPER!A:A,MATCH(INDEX(sheet2!N:N,MATCH(A110,sheet2!A:A,0)),LEVEL_HELPER!B:B,0)),"⏳ Chưa test"))</f>
        <v>Pre-Intermediate</v>
      </c>
      <c r="I110" s="110" t="str">
        <f t="array" ref="I110">IF(ISNA(MATCH(A110,sheet2!A:A,0)),H110,IF(INDEX(sheet2!O:O,MATCH(A110,sheet2!A:A,0))&gt;0,IFERROR(INDEX(LEVEL_HELPER!A:A,MATCH(INDEX(sheet2!O:O,MATCH(A110,sheet2!A:A,0)),LEVEL_HELPER!B:B,0)),H110),H110))</f>
        <v>Pre-Intermediate 1</v>
      </c>
      <c r="J110" s="110">
        <f>IFERROR(MAXIFS(ATTENDANCE_LOG!F:F, ATTENDANCE_LOG!C:C, A110&amp;"", ATTENDANCE_LOG!G:G, "Present"), "")</f>
        <v>46013.58333</v>
      </c>
      <c r="K110" s="111">
        <f t="shared" si="3"/>
        <v>199.4166667</v>
      </c>
      <c r="L110" s="112" t="str">
        <f t="shared" si="4"/>
        <v>❌ Dropped</v>
      </c>
      <c r="M110" s="113" t="s">
        <v>37</v>
      </c>
      <c r="N110" s="114" t="s">
        <v>34</v>
      </c>
      <c r="O110" s="113"/>
      <c r="P110" s="115">
        <f>IFERROR(__xludf.DUMMYFUNCTION("IFERROR(COUNTUNIQUEIFS(ATTENDANCE_LOG!B:B,ATTENDANCE_LOG!C:C,A110),0)"),2.0)</f>
        <v>2</v>
      </c>
      <c r="Q110" s="113" t="str">
        <f t="array" ref="Q110">IFERROR(INDEX(ATTENDANCE_LOG!A:A,MATCH(1,(ATTENDANCE_LOG!C:C=A110)*(ATTENDANCE_LOG!F:F=MAXIFS(ATTENDANCE_LOG!F:F,ATTENDANCE_LOG!C:C,A110)),0)),"")</f>
        <v>EL026</v>
      </c>
      <c r="R110" s="113" t="str">
        <f t="array" ref="R110">IFERROR(INDEX(ATTENDANCE_LOG!B:B,MATCH(1,(ATTENDANCE_LOG!C:C=A110)*(ATTENDANCE_LOG!F:F=MAXIFS(ATTENDANCE_LOG!F:F,ATTENDANCE_LOG!C:C,A110)),0)),"")</f>
        <v>Communication 2</v>
      </c>
      <c r="S110" s="113">
        <f>IFERROR(VLOOKUP(H110, LEVEL_HELPER!A:B, 2, 0), 0)</f>
        <v>2.5</v>
      </c>
      <c r="T110" s="113">
        <f>IFERROR(VLOOKUP(I110, LEVEL_HELPER!A:B, 2, 0), 0)</f>
        <v>3</v>
      </c>
      <c r="U110" s="113">
        <f t="shared" ref="U110:V110" si="114">IF(S110="",0,IF(S110&lt;=2,1,IF(S110&lt;=4,2,IF(S110&lt;=5.5,3,4))))
</f>
        <v>2</v>
      </c>
      <c r="V110" s="113">
        <f t="shared" si="114"/>
        <v>2</v>
      </c>
      <c r="W110" s="113" t="str">
        <f t="shared" si="6"/>
        <v>Minor Improvement</v>
      </c>
      <c r="X110" s="113"/>
      <c r="Y110" s="113"/>
      <c r="Z110" s="113"/>
      <c r="AA110" s="113"/>
      <c r="AB110" s="116"/>
      <c r="AC110" s="116"/>
      <c r="AD110" s="117"/>
    </row>
    <row r="111" ht="15.75" customHeight="1">
      <c r="A111" s="104" t="s">
        <v>421</v>
      </c>
      <c r="B111" s="105" t="s">
        <v>422</v>
      </c>
      <c r="C111" s="106" t="str">
        <f>IFERROR(__xludf.DUMMYFUNCTION("arrayformula(VLOOKUP(to_Text(A111),to_Text(sheet2!$A$1:M1005),13,0))"),"LBU")</f>
        <v>LBU</v>
      </c>
      <c r="D111" s="107" t="str">
        <f>IFERROR(__xludf.DUMMYFUNCTION("arrayformula(VLOOKUP(to_Text(A111),to_Text(sheet2!$A$1:M1005),12,0))"),"DEV")</f>
        <v>DEV</v>
      </c>
      <c r="E111" s="108" t="str">
        <f t="shared" si="2"/>
        <v>Inactive</v>
      </c>
      <c r="F111" s="104" t="str">
        <f t="array" ref="F111">IFERROR(
  INDEX(ATTENDANCE_INPUT!D:D,
    MATCH(1,
      (ATTENDANCE_INPUT!A:A=A111) *
      (ATTENDANCE_INPUT!W:W=MAXIFS(ATTENDANCE_INPUT!W:W, ATTENDANCE_INPUT!A:A, A111)),
      0)),
  "")</f>
        <v>My Tran</v>
      </c>
      <c r="G111" s="109" t="str">
        <f t="array" ref="G111">IFERROR(
  INDEX(ATTENDANCE_INPUT!E:E,
    MATCH(1,
      (ATTENDANCE_INPUT!A:A=A111) *
      (ATTENDANCE_INPUT!W:W=MAXIFS(ATTENDANCE_INPUT!W:W, ATTENDANCE_INPUT!A:A, A111)),
      0)),
  "")</f>
        <v>Communication 2</v>
      </c>
      <c r="H111" s="110" t="str">
        <f t="array" ref="H111">IF(ISNA(MATCH(A111,sheet2!A:A,0)),"⏳ Chưa test",IFERROR(INDEX(LEVEL_HELPER!A:A,MATCH(INDEX(sheet2!N:N,MATCH(A111,sheet2!A:A,0)),LEVEL_HELPER!B:B,0)),"⏳ Chưa test"))</f>
        <v>Beginner</v>
      </c>
      <c r="I111" s="110" t="str">
        <f t="array" ref="I111">IF(ISNA(MATCH(A111,sheet2!A:A,0)),H111,IF(INDEX(sheet2!O:O,MATCH(A111,sheet2!A:A,0))&gt;0,IFERROR(INDEX(LEVEL_HELPER!A:A,MATCH(INDEX(sheet2!O:O,MATCH(A111,sheet2!A:A,0)),LEVEL_HELPER!B:B,0)),H111),H111))</f>
        <v>Pre-Intermediate 1</v>
      </c>
      <c r="J111" s="110">
        <f>IFERROR(MAXIFS(ATTENDANCE_LOG!F:F, ATTENDANCE_LOG!C:C, A111&amp;"", ATTENDANCE_LOG!G:G, "Present"), "")</f>
        <v>46013.58333</v>
      </c>
      <c r="K111" s="111">
        <f t="shared" si="3"/>
        <v>199.4166667</v>
      </c>
      <c r="L111" s="112" t="str">
        <f t="shared" si="4"/>
        <v>❌ Dropped</v>
      </c>
      <c r="M111" s="113" t="s">
        <v>37</v>
      </c>
      <c r="N111" s="114" t="s">
        <v>34</v>
      </c>
      <c r="O111" s="113"/>
      <c r="P111" s="115">
        <f>IFERROR(__xludf.DUMMYFUNCTION("IFERROR(COUNTUNIQUEIFS(ATTENDANCE_LOG!B:B,ATTENDANCE_LOG!C:C,A111),0)"),2.0)</f>
        <v>2</v>
      </c>
      <c r="Q111" s="113" t="str">
        <f t="array" ref="Q111">IFERROR(INDEX(ATTENDANCE_LOG!A:A,MATCH(1,(ATTENDANCE_LOG!C:C=A111)*(ATTENDANCE_LOG!F:F=MAXIFS(ATTENDANCE_LOG!F:F,ATTENDANCE_LOG!C:C,A111)),0)),"")</f>
        <v>EL026</v>
      </c>
      <c r="R111" s="113" t="str">
        <f t="array" ref="R111">IFERROR(INDEX(ATTENDANCE_LOG!B:B,MATCH(1,(ATTENDANCE_LOG!C:C=A111)*(ATTENDANCE_LOG!F:F=MAXIFS(ATTENDANCE_LOG!F:F,ATTENDANCE_LOG!C:C,A111)),0)),"")</f>
        <v>Communication 2</v>
      </c>
      <c r="S111" s="113">
        <f>IFERROR(VLOOKUP(H111, LEVEL_HELPER!A:B, 2, 0), 0)</f>
        <v>1</v>
      </c>
      <c r="T111" s="113">
        <f>IFERROR(VLOOKUP(I111, LEVEL_HELPER!A:B, 2, 0), 0)</f>
        <v>3</v>
      </c>
      <c r="U111" s="113">
        <f t="shared" ref="U111:V111" si="115">IF(S111="",0,IF(S111&lt;=2,1,IF(S111&lt;=4,2,IF(S111&lt;=5.5,3,4))))
</f>
        <v>1</v>
      </c>
      <c r="V111" s="113">
        <f t="shared" si="115"/>
        <v>2</v>
      </c>
      <c r="W111" s="113" t="str">
        <f t="shared" si="6"/>
        <v>Lv1→Lv2</v>
      </c>
      <c r="X111" s="113"/>
      <c r="Y111" s="113"/>
      <c r="Z111" s="113"/>
      <c r="AA111" s="113"/>
      <c r="AB111" s="116"/>
      <c r="AC111" s="116"/>
      <c r="AD111" s="117"/>
    </row>
    <row r="112" ht="15.75" customHeight="1">
      <c r="A112" s="104" t="s">
        <v>423</v>
      </c>
      <c r="B112" s="105" t="s">
        <v>424</v>
      </c>
      <c r="C112" s="106" t="str">
        <f>IFERROR(__xludf.DUMMYFUNCTION("arrayformula(VLOOKUP(to_Text(A112),to_Text(sheet2!$A$1:M1005),13,0))"),"LBU")</f>
        <v>LBU</v>
      </c>
      <c r="D112" s="107" t="str">
        <f>IFERROR(__xludf.DUMMYFUNCTION("arrayformula(VLOOKUP(to_Text(A112),to_Text(sheet2!$A$1:M1005),12,0))"),"UI/UX")</f>
        <v>UI/UX</v>
      </c>
      <c r="E112" s="108" t="str">
        <f t="shared" si="2"/>
        <v>Inactive</v>
      </c>
      <c r="F112" s="104" t="str">
        <f t="array" ref="F112">IFERROR(
  INDEX(ATTENDANCE_INPUT!D:D,
    MATCH(1,
      (ATTENDANCE_INPUT!A:A=A112) *
      (ATTENDANCE_INPUT!W:W=MAXIFS(ATTENDANCE_INPUT!W:W, ATTENDANCE_INPUT!A:A, A112)),
      0)),
  "")</f>
        <v>My Tran</v>
      </c>
      <c r="G112" s="109" t="str">
        <f t="array" ref="G112">IFERROR(
  INDEX(ATTENDANCE_INPUT!E:E,
    MATCH(1,
      (ATTENDANCE_INPUT!A:A=A112) *
      (ATTENDANCE_INPUT!W:W=MAXIFS(ATTENDANCE_INPUT!W:W, ATTENDANCE_INPUT!A:A, A112)),
      0)),
  "")</f>
        <v>Communication 2</v>
      </c>
      <c r="H112" s="110" t="str">
        <f t="array" ref="H112">IF(ISNA(MATCH(A112,sheet2!A:A,0)),"⏳ Chưa test",IFERROR(INDEX(LEVEL_HELPER!A:A,MATCH(INDEX(sheet2!N:N,MATCH(A112,sheet2!A:A,0)),LEVEL_HELPER!B:B,0)),"⏳ Chưa test"))</f>
        <v>Pre-Intermediate</v>
      </c>
      <c r="I112" s="110" t="str">
        <f t="array" ref="I112">IF(ISNA(MATCH(A112,sheet2!A:A,0)),H112,IF(INDEX(sheet2!O:O,MATCH(A112,sheet2!A:A,0))&gt;0,IFERROR(INDEX(LEVEL_HELPER!A:A,MATCH(INDEX(sheet2!O:O,MATCH(A112,sheet2!A:A,0)),LEVEL_HELPER!B:B,0)),H112),H112))</f>
        <v>Pre-Intermediate 2</v>
      </c>
      <c r="J112" s="110">
        <f>IFERROR(MAXIFS(ATTENDANCE_LOG!F:F, ATTENDANCE_LOG!C:C, A112&amp;"", ATTENDANCE_LOG!G:G, "Present"), "")</f>
        <v>46013.58333</v>
      </c>
      <c r="K112" s="111">
        <f t="shared" si="3"/>
        <v>199.4166667</v>
      </c>
      <c r="L112" s="112" t="str">
        <f t="shared" si="4"/>
        <v>❌ Dropped</v>
      </c>
      <c r="M112" s="113" t="s">
        <v>37</v>
      </c>
      <c r="N112" s="114" t="s">
        <v>34</v>
      </c>
      <c r="O112" s="113"/>
      <c r="P112" s="115">
        <f>IFERROR(__xludf.DUMMYFUNCTION("IFERROR(COUNTUNIQUEIFS(ATTENDANCE_LOG!B:B,ATTENDANCE_LOG!C:C,A112),0)"),1.0)</f>
        <v>1</v>
      </c>
      <c r="Q112" s="113" t="str">
        <f t="array" ref="Q112">IFERROR(INDEX(ATTENDANCE_LOG!A:A,MATCH(1,(ATTENDANCE_LOG!C:C=A112)*(ATTENDANCE_LOG!F:F=MAXIFS(ATTENDANCE_LOG!F:F,ATTENDANCE_LOG!C:C,A112)),0)),"")</f>
        <v>EL026</v>
      </c>
      <c r="R112" s="113" t="str">
        <f t="array" ref="R112">IFERROR(INDEX(ATTENDANCE_LOG!B:B,MATCH(1,(ATTENDANCE_LOG!C:C=A112)*(ATTENDANCE_LOG!F:F=MAXIFS(ATTENDANCE_LOG!F:F,ATTENDANCE_LOG!C:C,A112)),0)),"")</f>
        <v>Communication 2</v>
      </c>
      <c r="S112" s="113">
        <f>IFERROR(VLOOKUP(H112, LEVEL_HELPER!A:B, 2, 0), 0)</f>
        <v>2.5</v>
      </c>
      <c r="T112" s="113">
        <f>IFERROR(VLOOKUP(I112, LEVEL_HELPER!A:B, 2, 0), 0)</f>
        <v>3.5</v>
      </c>
      <c r="U112" s="113">
        <f t="shared" ref="U112:V112" si="116">IF(S112="",0,IF(S112&lt;=2,1,IF(S112&lt;=4,2,IF(S112&lt;=5.5,3,4))))
</f>
        <v>2</v>
      </c>
      <c r="V112" s="113">
        <f t="shared" si="116"/>
        <v>2</v>
      </c>
      <c r="W112" s="113" t="str">
        <f t="shared" si="6"/>
        <v>Minor Improvement</v>
      </c>
      <c r="X112" s="113"/>
      <c r="Y112" s="113"/>
      <c r="Z112" s="113"/>
      <c r="AA112" s="113"/>
      <c r="AB112" s="116"/>
      <c r="AC112" s="116"/>
      <c r="AD112" s="117"/>
    </row>
    <row r="113" ht="15.75" customHeight="1">
      <c r="A113" s="104" t="s">
        <v>425</v>
      </c>
      <c r="B113" s="105" t="s">
        <v>426</v>
      </c>
      <c r="C113" s="106" t="str">
        <f>IFERROR(__xludf.DUMMYFUNCTION("arrayformula(VLOOKUP(to_Text(A113),to_Text(sheet2!$A$1:M1005),13,0))"),"LBU")</f>
        <v>LBU</v>
      </c>
      <c r="D113" s="107" t="str">
        <f>IFERROR(__xludf.DUMMYFUNCTION("arrayformula(VLOOKUP(to_Text(A113),to_Text(sheet2!$A$1:M1005),12,0))"),"DEV")</f>
        <v>DEV</v>
      </c>
      <c r="E113" s="108" t="str">
        <f t="shared" si="2"/>
        <v>Inactive</v>
      </c>
      <c r="F113" s="104" t="str">
        <f t="array" ref="F113">IFERROR(
  INDEX(ATTENDANCE_INPUT!D:D,
    MATCH(1,
      (ATTENDANCE_INPUT!A:A=A113) *
      (ATTENDANCE_INPUT!W:W=MAXIFS(ATTENDANCE_INPUT!W:W, ATTENDANCE_INPUT!A:A, A113)),
      0)),
  "")</f>
        <v>My Tran</v>
      </c>
      <c r="G113" s="109" t="str">
        <f t="array" ref="G113">IFERROR(
  INDEX(ATTENDANCE_INPUT!E:E,
    MATCH(1,
      (ATTENDANCE_INPUT!A:A=A113) *
      (ATTENDANCE_INPUT!W:W=MAXIFS(ATTENDANCE_INPUT!W:W, ATTENDANCE_INPUT!A:A, A113)),
      0)),
  "")</f>
        <v>Communication 1</v>
      </c>
      <c r="H113" s="110" t="str">
        <f t="array" ref="H113">IF(ISNA(MATCH(A113,sheet2!A:A,0)),"⏳ Chưa test",IFERROR(INDEX(LEVEL_HELPER!A:A,MATCH(INDEX(sheet2!N:N,MATCH(A113,sheet2!A:A,0)),LEVEL_HELPER!B:B,0)),"⏳ Chưa test"))</f>
        <v>Beginner</v>
      </c>
      <c r="I113" s="110" t="str">
        <f t="array" ref="I113">IF(ISNA(MATCH(A113,sheet2!A:A,0)),H113,IF(INDEX(sheet2!O:O,MATCH(A113,sheet2!A:A,0))&gt;0,IFERROR(INDEX(LEVEL_HELPER!A:A,MATCH(INDEX(sheet2!O:O,MATCH(A113,sheet2!A:A,0)),LEVEL_HELPER!B:B,0)),H113),H113))</f>
        <v>Beginner</v>
      </c>
      <c r="J113" s="110">
        <f>IFERROR(MAXIFS(ATTENDANCE_LOG!F:F, ATTENDANCE_LOG!C:C, A113&amp;"", ATTENDANCE_LOG!G:G, "Present"), "")</f>
        <v>45868.375</v>
      </c>
      <c r="K113" s="111">
        <f t="shared" si="3"/>
        <v>344.625</v>
      </c>
      <c r="L113" s="112" t="str">
        <f t="shared" si="4"/>
        <v>❌ Dropped</v>
      </c>
      <c r="M113" s="113" t="s">
        <v>37</v>
      </c>
      <c r="N113" s="114" t="s">
        <v>36</v>
      </c>
      <c r="O113" s="113"/>
      <c r="P113" s="115">
        <f>IFERROR(__xludf.DUMMYFUNCTION("IFERROR(COUNTUNIQUEIFS(ATTENDANCE_LOG!B:B,ATTENDANCE_LOG!C:C,A113),0)"),1.0)</f>
        <v>1</v>
      </c>
      <c r="Q113" s="113" t="str">
        <f t="array" ref="Q113">IFERROR(INDEX(ATTENDANCE_LOG!A:A,MATCH(1,(ATTENDANCE_LOG!C:C=A113)*(ATTENDANCE_LOG!F:F=MAXIFS(ATTENDANCE_LOG!F:F,ATTENDANCE_LOG!C:C,A113)),0)),"")</f>
        <v>EL026</v>
      </c>
      <c r="R113" s="113" t="str">
        <f t="array" ref="R113">IFERROR(INDEX(ATTENDANCE_LOG!B:B,MATCH(1,(ATTENDANCE_LOG!C:C=A113)*(ATTENDANCE_LOG!F:F=MAXIFS(ATTENDANCE_LOG!F:F,ATTENDANCE_LOG!C:C,A113)),0)),"")</f>
        <v>Communication 1</v>
      </c>
      <c r="S113" s="113">
        <f>IFERROR(VLOOKUP(H113, LEVEL_HELPER!A:B, 2, 0), 0)</f>
        <v>1</v>
      </c>
      <c r="T113" s="113">
        <f>IFERROR(VLOOKUP(I113, LEVEL_HELPER!A:B, 2, 0), 0)</f>
        <v>1</v>
      </c>
      <c r="U113" s="113">
        <f t="shared" ref="U113:V113" si="117">IF(S113="",0,IF(S113&lt;=2,1,IF(S113&lt;=4,2,IF(S113&lt;=5.5,3,4))))
</f>
        <v>1</v>
      </c>
      <c r="V113" s="113">
        <f t="shared" si="117"/>
        <v>1</v>
      </c>
      <c r="W113" s="113" t="str">
        <f t="shared" si="6"/>
        <v>No Progress</v>
      </c>
      <c r="X113" s="113"/>
      <c r="Y113" s="113"/>
      <c r="Z113" s="113"/>
      <c r="AA113" s="113"/>
      <c r="AB113" s="116"/>
      <c r="AC113" s="116"/>
      <c r="AD113" s="117"/>
    </row>
    <row r="114" ht="15.75" customHeight="1">
      <c r="A114" s="104" t="s">
        <v>427</v>
      </c>
      <c r="B114" s="105" t="s">
        <v>428</v>
      </c>
      <c r="C114" s="106" t="str">
        <f>IFERROR(__xludf.DUMMYFUNCTION("arrayformula(VLOOKUP(to_Text(A114),to_Text(sheet2!$A$1:M1005),13,0))"),"LBU")</f>
        <v>LBU</v>
      </c>
      <c r="D114" s="107" t="str">
        <f>IFERROR(__xludf.DUMMYFUNCTION("arrayformula(VLOOKUP(to_Text(A114),to_Text(sheet2!$A$1:M1005),12,0))"),"DEV")</f>
        <v>DEV</v>
      </c>
      <c r="E114" s="108" t="str">
        <f t="shared" si="2"/>
        <v>Inactive</v>
      </c>
      <c r="F114" s="104" t="str">
        <f t="array" ref="F114">IFERROR(
  INDEX(ATTENDANCE_INPUT!D:D,
    MATCH(1,
      (ATTENDANCE_INPUT!A:A=A114) *
      (ATTENDANCE_INPUT!W:W=MAXIFS(ATTENDANCE_INPUT!W:W, ATTENDANCE_INPUT!A:A, A114)),
      0)),
  "")</f>
        <v>My Tran</v>
      </c>
      <c r="G114" s="109" t="str">
        <f t="array" ref="G114">IFERROR(
  INDEX(ATTENDANCE_INPUT!E:E,
    MATCH(1,
      (ATTENDANCE_INPUT!A:A=A114) *
      (ATTENDANCE_INPUT!W:W=MAXIFS(ATTENDANCE_INPUT!W:W, ATTENDANCE_INPUT!A:A, A114)),
      0)),
  "")</f>
        <v>Communication 2</v>
      </c>
      <c r="H114" s="110" t="str">
        <f t="array" ref="H114">IF(ISNA(MATCH(A114,sheet2!A:A,0)),"⏳ Chưa test",IFERROR(INDEX(LEVEL_HELPER!A:A,MATCH(INDEX(sheet2!N:N,MATCH(A114,sheet2!A:A,0)),LEVEL_HELPER!B:B,0)),"⏳ Chưa test"))</f>
        <v>Beginner</v>
      </c>
      <c r="I114" s="110" t="str">
        <f t="array" ref="I114">IF(ISNA(MATCH(A114,sheet2!A:A,0)),H114,IF(INDEX(sheet2!O:O,MATCH(A114,sheet2!A:A,0))&gt;0,IFERROR(INDEX(LEVEL_HELPER!A:A,MATCH(INDEX(sheet2!O:O,MATCH(A114,sheet2!A:A,0)),LEVEL_HELPER!B:B,0)),H114),H114))</f>
        <v>Beginner</v>
      </c>
      <c r="J114" s="110">
        <f>IFERROR(MAXIFS(ATTENDANCE_LOG!F:F, ATTENDANCE_LOG!C:C, A114&amp;"", ATTENDANCE_LOG!G:G, "Present"), "")</f>
        <v>46013.58333</v>
      </c>
      <c r="K114" s="111">
        <f t="shared" si="3"/>
        <v>199.4166667</v>
      </c>
      <c r="L114" s="112" t="str">
        <f t="shared" si="4"/>
        <v>❌ Dropped</v>
      </c>
      <c r="M114" s="120" t="s">
        <v>37</v>
      </c>
      <c r="N114" s="126" t="s">
        <v>43</v>
      </c>
      <c r="O114" s="113"/>
      <c r="P114" s="115">
        <f>IFERROR(__xludf.DUMMYFUNCTION("IFERROR(COUNTUNIQUEIFS(ATTENDANCE_LOG!B:B,ATTENDANCE_LOG!C:C,A114),0)"),2.0)</f>
        <v>2</v>
      </c>
      <c r="Q114" s="113" t="str">
        <f t="array" ref="Q114">IFERROR(INDEX(ATTENDANCE_LOG!A:A,MATCH(1,(ATTENDANCE_LOG!C:C=A114)*(ATTENDANCE_LOG!F:F=MAXIFS(ATTENDANCE_LOG!F:F,ATTENDANCE_LOG!C:C,A114)),0)),"")</f>
        <v>EL026</v>
      </c>
      <c r="R114" s="113" t="str">
        <f t="array" ref="R114">IFERROR(INDEX(ATTENDANCE_LOG!B:B,MATCH(1,(ATTENDANCE_LOG!C:C=A114)*(ATTENDANCE_LOG!F:F=MAXIFS(ATTENDANCE_LOG!F:F,ATTENDANCE_LOG!C:C,A114)),0)),"")</f>
        <v>Communication 2</v>
      </c>
      <c r="S114" s="113">
        <f>IFERROR(VLOOKUP(H114, LEVEL_HELPER!A:B, 2, 0), 0)</f>
        <v>1</v>
      </c>
      <c r="T114" s="113">
        <f>IFERROR(VLOOKUP(I114, LEVEL_HELPER!A:B, 2, 0), 0)</f>
        <v>1</v>
      </c>
      <c r="U114" s="113">
        <f t="shared" ref="U114:V114" si="118">IF(S114="",0,IF(S114&lt;=2,1,IF(S114&lt;=4,2,IF(S114&lt;=5.5,3,4))))
</f>
        <v>1</v>
      </c>
      <c r="V114" s="113">
        <f t="shared" si="118"/>
        <v>1</v>
      </c>
      <c r="W114" s="113" t="str">
        <f t="shared" si="6"/>
        <v>No Progress</v>
      </c>
      <c r="X114" s="113"/>
      <c r="Y114" s="113"/>
      <c r="Z114" s="113"/>
      <c r="AA114" s="113"/>
      <c r="AB114" s="116"/>
      <c r="AC114" s="116"/>
      <c r="AD114" s="117"/>
    </row>
    <row r="115" ht="15.75" customHeight="1">
      <c r="A115" s="104" t="s">
        <v>429</v>
      </c>
      <c r="B115" s="105" t="s">
        <v>430</v>
      </c>
      <c r="C115" s="106" t="str">
        <f>IFERROR(__xludf.DUMMYFUNCTION("arrayformula(VLOOKUP(to_Text(A115),to_Text(sheet2!$A$1:M1005),13,0))"),"LBU")</f>
        <v>LBU</v>
      </c>
      <c r="D115" s="107" t="str">
        <f>IFERROR(__xludf.DUMMYFUNCTION("arrayformula(VLOOKUP(to_Text(A115),to_Text(sheet2!$A$1:M1005),12,0))"),"QC")</f>
        <v>QC</v>
      </c>
      <c r="E115" s="108" t="str">
        <f t="shared" si="2"/>
        <v>Inactive</v>
      </c>
      <c r="F115" s="104" t="str">
        <f t="array" ref="F115">IFERROR(
  INDEX(ATTENDANCE_INPUT!D:D,
    MATCH(1,
      (ATTENDANCE_INPUT!A:A=A115) *
      (ATTENDANCE_INPUT!W:W=MAXIFS(ATTENDANCE_INPUT!W:W, ATTENDANCE_INPUT!A:A, A115)),
      0)),
  "")</f>
        <v>My Tran</v>
      </c>
      <c r="G115" s="109" t="str">
        <f t="array" ref="G115">IFERROR(
  INDEX(ATTENDANCE_INPUT!E:E,
    MATCH(1,
      (ATTENDANCE_INPUT!A:A=A115) *
      (ATTENDANCE_INPUT!W:W=MAXIFS(ATTENDANCE_INPUT!W:W, ATTENDANCE_INPUT!A:A, A115)),
      0)),
  "")</f>
        <v>Communication 2</v>
      </c>
      <c r="H115" s="110" t="str">
        <f t="array" ref="H115">IF(ISNA(MATCH(A115,sheet2!A:A,0)),"⏳ Chưa test",IFERROR(INDEX(LEVEL_HELPER!A:A,MATCH(INDEX(sheet2!N:N,MATCH(A115,sheet2!A:A,0)),LEVEL_HELPER!B:B,0)),"⏳ Chưa test"))</f>
        <v>Beginner</v>
      </c>
      <c r="I115" s="110" t="str">
        <f t="array" ref="I115">IF(ISNA(MATCH(A115,sheet2!A:A,0)),H115,IF(INDEX(sheet2!O:O,MATCH(A115,sheet2!A:A,0))&gt;0,IFERROR(INDEX(LEVEL_HELPER!A:A,MATCH(INDEX(sheet2!O:O,MATCH(A115,sheet2!A:A,0)),LEVEL_HELPER!B:B,0)),H115),H115))</f>
        <v>Pre-Intermediate 2</v>
      </c>
      <c r="J115" s="110">
        <f>IFERROR(MAXIFS(ATTENDANCE_LOG!F:F, ATTENDANCE_LOG!C:C, A115&amp;"", ATTENDANCE_LOG!G:G, "Present"), "")</f>
        <v>46013.58333</v>
      </c>
      <c r="K115" s="111">
        <f t="shared" si="3"/>
        <v>199.4166667</v>
      </c>
      <c r="L115" s="112" t="str">
        <f t="shared" si="4"/>
        <v>❌ Dropped</v>
      </c>
      <c r="M115" s="113" t="s">
        <v>37</v>
      </c>
      <c r="N115" s="114" t="s">
        <v>34</v>
      </c>
      <c r="O115" s="113"/>
      <c r="P115" s="115">
        <f>IFERROR(__xludf.DUMMYFUNCTION("IFERROR(COUNTUNIQUEIFS(ATTENDANCE_LOG!B:B,ATTENDANCE_LOG!C:C,A115),0)"),2.0)</f>
        <v>2</v>
      </c>
      <c r="Q115" s="113" t="str">
        <f t="array" ref="Q115">IFERROR(INDEX(ATTENDANCE_LOG!A:A,MATCH(1,(ATTENDANCE_LOG!C:C=A115)*(ATTENDANCE_LOG!F:F=MAXIFS(ATTENDANCE_LOG!F:F,ATTENDANCE_LOG!C:C,A115)),0)),"")</f>
        <v>EL026</v>
      </c>
      <c r="R115" s="113" t="str">
        <f t="array" ref="R115">IFERROR(INDEX(ATTENDANCE_LOG!B:B,MATCH(1,(ATTENDANCE_LOG!C:C=A115)*(ATTENDANCE_LOG!F:F=MAXIFS(ATTENDANCE_LOG!F:F,ATTENDANCE_LOG!C:C,A115)),0)),"")</f>
        <v>Communication 2</v>
      </c>
      <c r="S115" s="113">
        <f>IFERROR(VLOOKUP(H115, LEVEL_HELPER!A:B, 2, 0), 0)</f>
        <v>1</v>
      </c>
      <c r="T115" s="113">
        <f>IFERROR(VLOOKUP(I115, LEVEL_HELPER!A:B, 2, 0), 0)</f>
        <v>3.5</v>
      </c>
      <c r="U115" s="113">
        <f t="shared" ref="U115:V115" si="119">IF(S115="",0,IF(S115&lt;=2,1,IF(S115&lt;=4,2,IF(S115&lt;=5.5,3,4))))
</f>
        <v>1</v>
      </c>
      <c r="V115" s="113">
        <f t="shared" si="119"/>
        <v>2</v>
      </c>
      <c r="W115" s="113" t="str">
        <f t="shared" si="6"/>
        <v>Lv1→Lv2</v>
      </c>
      <c r="X115" s="113"/>
      <c r="Y115" s="113"/>
      <c r="Z115" s="113"/>
      <c r="AA115" s="113"/>
      <c r="AB115" s="116"/>
      <c r="AC115" s="116"/>
      <c r="AD115" s="117"/>
    </row>
    <row r="116" ht="15.75" customHeight="1">
      <c r="A116" s="104" t="s">
        <v>431</v>
      </c>
      <c r="B116" s="105" t="s">
        <v>432</v>
      </c>
      <c r="C116" s="106" t="str">
        <f>IFERROR(__xludf.DUMMYFUNCTION("arrayformula(VLOOKUP(to_Text(A116),to_Text(sheet2!$A$1:M1005),13,0))"),"LBU")</f>
        <v>LBU</v>
      </c>
      <c r="D116" s="107" t="str">
        <f>IFERROR(__xludf.DUMMYFUNCTION("arrayformula(VLOOKUP(to_Text(A116),to_Text(sheet2!$A$1:M1005),12,0))"),"QC")</f>
        <v>QC</v>
      </c>
      <c r="E116" s="108" t="str">
        <f t="shared" si="2"/>
        <v>Inactive</v>
      </c>
      <c r="F116" s="104" t="str">
        <f t="array" ref="F116">IFERROR(
  INDEX(ATTENDANCE_INPUT!D:D,
    MATCH(1,
      (ATTENDANCE_INPUT!A:A=A116) *
      (ATTENDANCE_INPUT!W:W=MAXIFS(ATTENDANCE_INPUT!W:W, ATTENDANCE_INPUT!A:A, A116)),
      0)),
  "")</f>
        <v>My Tran</v>
      </c>
      <c r="G116" s="109" t="str">
        <f t="array" ref="G116">IFERROR(
  INDEX(ATTENDANCE_INPUT!E:E,
    MATCH(1,
      (ATTENDANCE_INPUT!A:A=A116) *
      (ATTENDANCE_INPUT!W:W=MAXIFS(ATTENDANCE_INPUT!W:W, ATTENDANCE_INPUT!A:A, A116)),
      0)),
  "")</f>
        <v>Communication 2</v>
      </c>
      <c r="H116" s="110" t="str">
        <f t="array" ref="H116">IF(ISNA(MATCH(A116,sheet2!A:A,0)),"⏳ Chưa test",IFERROR(INDEX(LEVEL_HELPER!A:A,MATCH(INDEX(sheet2!N:N,MATCH(A116,sheet2!A:A,0)),LEVEL_HELPER!B:B,0)),"⏳ Chưa test"))</f>
        <v>Beginner</v>
      </c>
      <c r="I116" s="110" t="str">
        <f t="array" ref="I116">IF(ISNA(MATCH(A116,sheet2!A:A,0)),H116,IF(INDEX(sheet2!O:O,MATCH(A116,sheet2!A:A,0))&gt;0,IFERROR(INDEX(LEVEL_HELPER!A:A,MATCH(INDEX(sheet2!O:O,MATCH(A116,sheet2!A:A,0)),LEVEL_HELPER!B:B,0)),H116),H116))</f>
        <v>Pre-Intermediate 1</v>
      </c>
      <c r="J116" s="110">
        <f>IFERROR(MAXIFS(ATTENDANCE_LOG!F:F, ATTENDANCE_LOG!C:C, A116&amp;"", ATTENDANCE_LOG!G:G, "Present"), "")</f>
        <v>46013.58333</v>
      </c>
      <c r="K116" s="111">
        <f t="shared" si="3"/>
        <v>199.4166667</v>
      </c>
      <c r="L116" s="112" t="str">
        <f t="shared" si="4"/>
        <v>❌ Dropped</v>
      </c>
      <c r="M116" s="113" t="s">
        <v>37</v>
      </c>
      <c r="N116" s="114" t="s">
        <v>34</v>
      </c>
      <c r="O116" s="113"/>
      <c r="P116" s="115">
        <f>IFERROR(__xludf.DUMMYFUNCTION("IFERROR(COUNTUNIQUEIFS(ATTENDANCE_LOG!B:B,ATTENDANCE_LOG!C:C,A116),0)"),2.0)</f>
        <v>2</v>
      </c>
      <c r="Q116" s="113" t="str">
        <f t="array" ref="Q116">IFERROR(INDEX(ATTENDANCE_LOG!A:A,MATCH(1,(ATTENDANCE_LOG!C:C=A116)*(ATTENDANCE_LOG!F:F=MAXIFS(ATTENDANCE_LOG!F:F,ATTENDANCE_LOG!C:C,A116)),0)),"")</f>
        <v>EL026</v>
      </c>
      <c r="R116" s="113" t="str">
        <f t="array" ref="R116">IFERROR(INDEX(ATTENDANCE_LOG!B:B,MATCH(1,(ATTENDANCE_LOG!C:C=A116)*(ATTENDANCE_LOG!F:F=MAXIFS(ATTENDANCE_LOG!F:F,ATTENDANCE_LOG!C:C,A116)),0)),"")</f>
        <v>Communication 2</v>
      </c>
      <c r="S116" s="113">
        <f>IFERROR(VLOOKUP(H116, LEVEL_HELPER!A:B, 2, 0), 0)</f>
        <v>1</v>
      </c>
      <c r="T116" s="113">
        <f>IFERROR(VLOOKUP(I116, LEVEL_HELPER!A:B, 2, 0), 0)</f>
        <v>3</v>
      </c>
      <c r="U116" s="113">
        <f t="shared" ref="U116:V116" si="120">IF(S116="",0,IF(S116&lt;=2,1,IF(S116&lt;=4,2,IF(S116&lt;=5.5,3,4))))
</f>
        <v>1</v>
      </c>
      <c r="V116" s="113">
        <f t="shared" si="120"/>
        <v>2</v>
      </c>
      <c r="W116" s="113" t="str">
        <f t="shared" si="6"/>
        <v>Lv1→Lv2</v>
      </c>
      <c r="X116" s="113"/>
      <c r="Y116" s="113"/>
      <c r="Z116" s="113"/>
      <c r="AA116" s="113"/>
      <c r="AB116" s="116"/>
      <c r="AC116" s="116"/>
      <c r="AD116" s="117"/>
    </row>
    <row r="117" ht="15.75" customHeight="1">
      <c r="A117" s="104" t="s">
        <v>433</v>
      </c>
      <c r="B117" s="105" t="s">
        <v>434</v>
      </c>
      <c r="C117" s="106" t="str">
        <f>IFERROR(__xludf.DUMMYFUNCTION("arrayformula(VLOOKUP(to_Text(A117),to_Text(sheet2!$A$1:M1005),13,0))"),"ONC")</f>
        <v>ONC</v>
      </c>
      <c r="D117" s="107" t="str">
        <f>IFERROR(__xludf.DUMMYFUNCTION("arrayformula(VLOOKUP(to_Text(A117),to_Text(sheet2!$A$1:M1005),12,0))"),"QC")</f>
        <v>QC</v>
      </c>
      <c r="E117" s="108" t="str">
        <f t="shared" si="2"/>
        <v>Active</v>
      </c>
      <c r="F117" s="104" t="str">
        <f t="array" ref="F117">IFERROR(
  INDEX(ATTENDANCE_INPUT!D:D,
    MATCH(1,
      (ATTENDANCE_INPUT!A:A=A117) *
      (ATTENDANCE_INPUT!W:W=MAXIFS(ATTENDANCE_INPUT!W:W, ATTENDANCE_INPUT!A:A, A117)),
      0)),
  "")</f>
        <v>Nam Nguyen</v>
      </c>
      <c r="G117" s="109" t="str">
        <f t="array" ref="G117">IFERROR(
  INDEX(ATTENDANCE_INPUT!E:E,
    MATCH(1,
      (ATTENDANCE_INPUT!A:A=A117) *
      (ATTENDANCE_INPUT!W:W=MAXIFS(ATTENDANCE_INPUT!W:W, ATTENDANCE_INPUT!A:A, A117)),
      0)),
  "")</f>
        <v>Foundation</v>
      </c>
      <c r="H117" s="110" t="str">
        <f t="array" ref="H117">IF(ISNA(MATCH(A117,sheet2!A:A,0)),"⏳ Chưa test",IFERROR(INDEX(LEVEL_HELPER!A:A,MATCH(INDEX(sheet2!N:N,MATCH(A117,sheet2!A:A,0)),LEVEL_HELPER!B:B,0)),"⏳ Chưa test"))</f>
        <v>Beginner</v>
      </c>
      <c r="I117" s="110" t="str">
        <f t="array" ref="I117">IF(ISNA(MATCH(A117,sheet2!A:A,0)),H117,IF(INDEX(sheet2!O:O,MATCH(A117,sheet2!A:A,0))&gt;0,IFERROR(INDEX(LEVEL_HELPER!A:A,MATCH(INDEX(sheet2!O:O,MATCH(A117,sheet2!A:A,0)),LEVEL_HELPER!B:B,0)),H117),H117))</f>
        <v>Pre-Intermediate</v>
      </c>
      <c r="J117" s="110">
        <f>IFERROR(MAXIFS(ATTENDANCE_LOG!F:F, ATTENDANCE_LOG!C:C, A117&amp;"", ATTENDANCE_LOG!G:G, "Present"), "")</f>
        <v>46211.41667</v>
      </c>
      <c r="K117" s="111">
        <f t="shared" si="3"/>
        <v>1.583333333</v>
      </c>
      <c r="L117" s="112" t="str">
        <f t="shared" si="4"/>
        <v/>
      </c>
      <c r="M117" s="113"/>
      <c r="N117" s="114"/>
      <c r="O117" s="113"/>
      <c r="P117" s="115">
        <f>IFERROR(__xludf.DUMMYFUNCTION("IFERROR(COUNTUNIQUEIFS(ATTENDANCE_LOG!B:B,ATTENDANCE_LOG!C:C,A117),0)"),3.0)</f>
        <v>3</v>
      </c>
      <c r="Q117" s="113" t="str">
        <f t="array" ref="Q117">IFERROR(INDEX(ATTENDANCE_LOG!A:A,MATCH(1,(ATTENDANCE_LOG!C:C=A117)*(ATTENDANCE_LOG!F:F=MAXIFS(ATTENDANCE_LOG!F:F,ATTENDANCE_LOG!C:C,A117)),0)),"")</f>
        <v>EL050</v>
      </c>
      <c r="R117" s="113" t="str">
        <f t="array" ref="R117">IFERROR(INDEX(ATTENDANCE_LOG!B:B,MATCH(1,(ATTENDANCE_LOG!C:C=A117)*(ATTENDANCE_LOG!F:F=MAXIFS(ATTENDANCE_LOG!F:F,ATTENDANCE_LOG!C:C,A117)),0)),"")</f>
        <v>Foundation</v>
      </c>
      <c r="S117" s="113">
        <f>IFERROR(VLOOKUP(H117, LEVEL_HELPER!A:B, 2, 0), 0)</f>
        <v>1</v>
      </c>
      <c r="T117" s="113">
        <f>IFERROR(VLOOKUP(I117, LEVEL_HELPER!A:B, 2, 0), 0)</f>
        <v>2.5</v>
      </c>
      <c r="U117" s="113">
        <f t="shared" ref="U117:V117" si="121">IF(S117="",0,IF(S117&lt;=2,1,IF(S117&lt;=4,2,IF(S117&lt;=5.5,3,4))))
</f>
        <v>1</v>
      </c>
      <c r="V117" s="113">
        <f t="shared" si="121"/>
        <v>2</v>
      </c>
      <c r="W117" s="113" t="str">
        <f t="shared" si="6"/>
        <v>Lv1→Lv2</v>
      </c>
      <c r="X117" s="113"/>
      <c r="Y117" s="113"/>
      <c r="Z117" s="113"/>
      <c r="AA117" s="113"/>
      <c r="AB117" s="116"/>
      <c r="AC117" s="116"/>
      <c r="AD117" s="117"/>
    </row>
    <row r="118" ht="15.75" customHeight="1">
      <c r="A118" s="104" t="s">
        <v>435</v>
      </c>
      <c r="B118" s="105" t="s">
        <v>436</v>
      </c>
      <c r="C118" s="106" t="str">
        <f>IFERROR(__xludf.DUMMYFUNCTION("arrayformula(VLOOKUP(to_Text(A118),to_Text(sheet2!$A$1:M1005),13,0))"),"ONC")</f>
        <v>ONC</v>
      </c>
      <c r="D118" s="107" t="str">
        <f>IFERROR(__xludf.DUMMYFUNCTION("arrayformula(VLOOKUP(to_Text(A118),to_Text(sheet2!$A$1:M1005),12,0))"),"QC")</f>
        <v>QC</v>
      </c>
      <c r="E118" s="108" t="str">
        <f t="shared" si="2"/>
        <v>Active</v>
      </c>
      <c r="F118" s="104" t="str">
        <f t="array" ref="F118">IFERROR(
  INDEX(ATTENDANCE_INPUT!D:D,
    MATCH(1,
      (ATTENDANCE_INPUT!A:A=A118) *
      (ATTENDANCE_INPUT!W:W=MAXIFS(ATTENDANCE_INPUT!W:W, ATTENDANCE_INPUT!A:A, A118)),
      0)),
  "")</f>
        <v>Nam Nguyen</v>
      </c>
      <c r="G118" s="109" t="str">
        <f t="array" ref="G118">IFERROR(
  INDEX(ATTENDANCE_INPUT!E:E,
    MATCH(1,
      (ATTENDANCE_INPUT!A:A=A118) *
      (ATTENDANCE_INPUT!W:W=MAXIFS(ATTENDANCE_INPUT!W:W, ATTENDANCE_INPUT!A:A, A118)),
      0)),
  "")</f>
        <v>Foundation</v>
      </c>
      <c r="H118" s="110" t="str">
        <f t="array" ref="H118">IF(ISNA(MATCH(A118,sheet2!A:A,0)),"⏳ Chưa test",IFERROR(INDEX(LEVEL_HELPER!A:A,MATCH(INDEX(sheet2!N:N,MATCH(A118,sheet2!A:A,0)),LEVEL_HELPER!B:B,0)),"⏳ Chưa test"))</f>
        <v>Foundation</v>
      </c>
      <c r="I118" s="110" t="str">
        <f t="array" ref="I118">IF(ISNA(MATCH(A118,sheet2!A:A,0)),H118,IF(INDEX(sheet2!O:O,MATCH(A118,sheet2!A:A,0))&gt;0,IFERROR(INDEX(LEVEL_HELPER!A:A,MATCH(INDEX(sheet2!O:O,MATCH(A118,sheet2!A:A,0)),LEVEL_HELPER!B:B,0)),H118),H118))</f>
        <v>Foundation</v>
      </c>
      <c r="J118" s="110">
        <f>IFERROR(MAXIFS(ATTENDANCE_LOG!F:F, ATTENDANCE_LOG!C:C, A118&amp;"", ATTENDANCE_LOG!G:G, "Present"), "")</f>
        <v>46211.41667</v>
      </c>
      <c r="K118" s="111">
        <f t="shared" si="3"/>
        <v>1.583333333</v>
      </c>
      <c r="L118" s="112" t="str">
        <f t="shared" si="4"/>
        <v/>
      </c>
      <c r="M118" s="113"/>
      <c r="N118" s="114"/>
      <c r="O118" s="113"/>
      <c r="P118" s="115">
        <f>IFERROR(__xludf.DUMMYFUNCTION("IFERROR(COUNTUNIQUEIFS(ATTENDANCE_LOG!B:B,ATTENDANCE_LOG!C:C,A118),0)"),2.0)</f>
        <v>2</v>
      </c>
      <c r="Q118" s="113" t="str">
        <f t="array" ref="Q118">IFERROR(INDEX(ATTENDANCE_LOG!A:A,MATCH(1,(ATTENDANCE_LOG!C:C=A118)*(ATTENDANCE_LOG!F:F=MAXIFS(ATTENDANCE_LOG!F:F,ATTENDANCE_LOG!C:C,A118)),0)),"")</f>
        <v>EL050</v>
      </c>
      <c r="R118" s="113" t="str">
        <f t="array" ref="R118">IFERROR(INDEX(ATTENDANCE_LOG!B:B,MATCH(1,(ATTENDANCE_LOG!C:C=A118)*(ATTENDANCE_LOG!F:F=MAXIFS(ATTENDANCE_LOG!F:F,ATTENDANCE_LOG!C:C,A118)),0)),"")</f>
        <v>Foundation</v>
      </c>
      <c r="S118" s="113">
        <f>IFERROR(VLOOKUP(H118, LEVEL_HELPER!A:B, 2, 0), 0)</f>
        <v>0.5</v>
      </c>
      <c r="T118" s="113">
        <f>IFERROR(VLOOKUP(I118, LEVEL_HELPER!A:B, 2, 0), 0)</f>
        <v>0.5</v>
      </c>
      <c r="U118" s="113">
        <f t="shared" ref="U118:V118" si="122">IF(S118="",0,IF(S118&lt;=2,1,IF(S118&lt;=4,2,IF(S118&lt;=5.5,3,4))))
</f>
        <v>1</v>
      </c>
      <c r="V118" s="113">
        <f t="shared" si="122"/>
        <v>1</v>
      </c>
      <c r="W118" s="113" t="str">
        <f t="shared" si="6"/>
        <v>No Progress</v>
      </c>
      <c r="X118" s="113"/>
      <c r="Y118" s="113"/>
      <c r="Z118" s="113"/>
      <c r="AA118" s="113"/>
      <c r="AB118" s="116"/>
      <c r="AC118" s="116"/>
      <c r="AD118" s="117"/>
    </row>
    <row r="119" ht="15.75" customHeight="1">
      <c r="A119" s="104" t="s">
        <v>437</v>
      </c>
      <c r="B119" s="105" t="s">
        <v>438</v>
      </c>
      <c r="C119" s="106" t="str">
        <f>IFERROR(__xludf.DUMMYFUNCTION("arrayformula(VLOOKUP(to_Text(A119),to_Text(sheet2!$A$1:M1005),13,0))"),"ONC")</f>
        <v>ONC</v>
      </c>
      <c r="D119" s="107" t="str">
        <f>IFERROR(__xludf.DUMMYFUNCTION("arrayformula(VLOOKUP(to_Text(A119),to_Text(sheet2!$A$1:M1005),12,0))"),"QC")</f>
        <v>QC</v>
      </c>
      <c r="E119" s="108" t="str">
        <f t="shared" si="2"/>
        <v>Active</v>
      </c>
      <c r="F119" s="104" t="str">
        <f t="array" ref="F119">IFERROR(
  INDEX(ATTENDANCE_INPUT!D:D,
    MATCH(1,
      (ATTENDANCE_INPUT!A:A=A119) *
      (ATTENDANCE_INPUT!W:W=MAXIFS(ATTENDANCE_INPUT!W:W, ATTENDANCE_INPUT!A:A, A119)),
      0)),
  "")</f>
        <v>Nam Nguyen</v>
      </c>
      <c r="G119" s="109" t="str">
        <f t="array" ref="G119">IFERROR(
  INDEX(ATTENDANCE_INPUT!E:E,
    MATCH(1,
      (ATTENDANCE_INPUT!A:A=A119) *
      (ATTENDANCE_INPUT!W:W=MAXIFS(ATTENDANCE_INPUT!W:W, ATTENDANCE_INPUT!A:A, A119)),
      0)),
  "")</f>
        <v>Foundation</v>
      </c>
      <c r="H119" s="110" t="str">
        <f t="array" ref="H119">IF(ISNA(MATCH(A119,sheet2!A:A,0)),"⏳ Chưa test",IFERROR(INDEX(LEVEL_HELPER!A:A,MATCH(INDEX(sheet2!N:N,MATCH(A119,sheet2!A:A,0)),LEVEL_HELPER!B:B,0)),"⏳ Chưa test"))</f>
        <v>Beginner</v>
      </c>
      <c r="I119" s="110" t="str">
        <f t="array" ref="I119">IF(ISNA(MATCH(A119,sheet2!A:A,0)),H119,IF(INDEX(sheet2!O:O,MATCH(A119,sheet2!A:A,0))&gt;0,IFERROR(INDEX(LEVEL_HELPER!A:A,MATCH(INDEX(sheet2!O:O,MATCH(A119,sheet2!A:A,0)),LEVEL_HELPER!B:B,0)),H119),H119))</f>
        <v>Beginner</v>
      </c>
      <c r="J119" s="110">
        <f>IFERROR(MAXIFS(ATTENDANCE_LOG!F:F, ATTENDANCE_LOG!C:C, A119&amp;"", ATTENDANCE_LOG!G:G, "Present"), "")</f>
        <v>46211.41667</v>
      </c>
      <c r="K119" s="111">
        <f t="shared" si="3"/>
        <v>1.583333333</v>
      </c>
      <c r="L119" s="112" t="str">
        <f t="shared" si="4"/>
        <v/>
      </c>
      <c r="M119" s="113"/>
      <c r="N119" s="114"/>
      <c r="O119" s="113"/>
      <c r="P119" s="115">
        <f>IFERROR(__xludf.DUMMYFUNCTION("IFERROR(COUNTUNIQUEIFS(ATTENDANCE_LOG!B:B,ATTENDANCE_LOG!C:C,A119),0)"),2.0)</f>
        <v>2</v>
      </c>
      <c r="Q119" s="113" t="str">
        <f t="array" ref="Q119">IFERROR(INDEX(ATTENDANCE_LOG!A:A,MATCH(1,(ATTENDANCE_LOG!C:C=A119)*(ATTENDANCE_LOG!F:F=MAXIFS(ATTENDANCE_LOG!F:F,ATTENDANCE_LOG!C:C,A119)),0)),"")</f>
        <v>EL050</v>
      </c>
      <c r="R119" s="113" t="str">
        <f t="array" ref="R119">IFERROR(INDEX(ATTENDANCE_LOG!B:B,MATCH(1,(ATTENDANCE_LOG!C:C=A119)*(ATTENDANCE_LOG!F:F=MAXIFS(ATTENDANCE_LOG!F:F,ATTENDANCE_LOG!C:C,A119)),0)),"")</f>
        <v>Foundation</v>
      </c>
      <c r="S119" s="113">
        <f>IFERROR(VLOOKUP(H119, LEVEL_HELPER!A:B, 2, 0), 0)</f>
        <v>1</v>
      </c>
      <c r="T119" s="113">
        <f>IFERROR(VLOOKUP(I119, LEVEL_HELPER!A:B, 2, 0), 0)</f>
        <v>1</v>
      </c>
      <c r="U119" s="113">
        <f t="shared" ref="U119:V119" si="123">IF(S119="",0,IF(S119&lt;=2,1,IF(S119&lt;=4,2,IF(S119&lt;=5.5,3,4))))
</f>
        <v>1</v>
      </c>
      <c r="V119" s="113">
        <f t="shared" si="123"/>
        <v>1</v>
      </c>
      <c r="W119" s="113" t="str">
        <f t="shared" si="6"/>
        <v>No Progress</v>
      </c>
      <c r="X119" s="113"/>
      <c r="Y119" s="113"/>
      <c r="Z119" s="113"/>
      <c r="AA119" s="113"/>
      <c r="AB119" s="116"/>
      <c r="AC119" s="116"/>
      <c r="AD119" s="117"/>
    </row>
    <row r="120" ht="15.75" customHeight="1">
      <c r="A120" s="104" t="s">
        <v>439</v>
      </c>
      <c r="B120" s="105" t="s">
        <v>440</v>
      </c>
      <c r="C120" s="106" t="str">
        <f>IFERROR(__xludf.DUMMYFUNCTION("arrayformula(VLOOKUP(to_Text(A120),to_Text(sheet2!$A$1:M1005),13,0))"),"ONC")</f>
        <v>ONC</v>
      </c>
      <c r="D120" s="107" t="str">
        <f>IFERROR(__xludf.DUMMYFUNCTION("arrayformula(VLOOKUP(to_Text(A120),to_Text(sheet2!$A$1:M1005),12,0))"),"QC")</f>
        <v>QC</v>
      </c>
      <c r="E120" s="108" t="str">
        <f t="shared" si="2"/>
        <v>Active</v>
      </c>
      <c r="F120" s="104" t="str">
        <f t="array" ref="F120">IFERROR(
  INDEX(ATTENDANCE_INPUT!D:D,
    MATCH(1,
      (ATTENDANCE_INPUT!A:A=A120) *
      (ATTENDANCE_INPUT!W:W=MAXIFS(ATTENDANCE_INPUT!W:W, ATTENDANCE_INPUT!A:A, A120)),
      0)),
  "")</f>
        <v>Nam Nguyen</v>
      </c>
      <c r="G120" s="109" t="str">
        <f t="array" ref="G120">IFERROR(
  INDEX(ATTENDANCE_INPUT!E:E,
    MATCH(1,
      (ATTENDANCE_INPUT!A:A=A120) *
      (ATTENDANCE_INPUT!W:W=MAXIFS(ATTENDANCE_INPUT!W:W, ATTENDANCE_INPUT!A:A, A120)),
      0)),
  "")</f>
        <v>Foundation</v>
      </c>
      <c r="H120" s="110" t="str">
        <f t="array" ref="H120">IF(ISNA(MATCH(A120,sheet2!A:A,0)),"⏳ Chưa test",IFERROR(INDEX(LEVEL_HELPER!A:A,MATCH(INDEX(sheet2!N:N,MATCH(A120,sheet2!A:A,0)),LEVEL_HELPER!B:B,0)),"⏳ Chưa test"))</f>
        <v>Beginner</v>
      </c>
      <c r="I120" s="110" t="str">
        <f t="array" ref="I120">IF(ISNA(MATCH(A120,sheet2!A:A,0)),H120,IF(INDEX(sheet2!O:O,MATCH(A120,sheet2!A:A,0))&gt;0,IFERROR(INDEX(LEVEL_HELPER!A:A,MATCH(INDEX(sheet2!O:O,MATCH(A120,sheet2!A:A,0)),LEVEL_HELPER!B:B,0)),H120),H120))</f>
        <v>Pre-Intermediate</v>
      </c>
      <c r="J120" s="110">
        <f>IFERROR(MAXIFS(ATTENDANCE_LOG!F:F, ATTENDANCE_LOG!C:C, A120&amp;"", ATTENDANCE_LOG!G:G, "Present"), "")</f>
        <v>46211.41667</v>
      </c>
      <c r="K120" s="111">
        <f t="shared" si="3"/>
        <v>1.583333333</v>
      </c>
      <c r="L120" s="112" t="str">
        <f t="shared" si="4"/>
        <v/>
      </c>
      <c r="M120" s="113"/>
      <c r="N120" s="114"/>
      <c r="O120" s="113"/>
      <c r="P120" s="115">
        <f>IFERROR(__xludf.DUMMYFUNCTION("IFERROR(COUNTUNIQUEIFS(ATTENDANCE_LOG!B:B,ATTENDANCE_LOG!C:C,A120),0)"),3.0)</f>
        <v>3</v>
      </c>
      <c r="Q120" s="113" t="str">
        <f t="array" ref="Q120">IFERROR(INDEX(ATTENDANCE_LOG!A:A,MATCH(1,(ATTENDANCE_LOG!C:C=A120)*(ATTENDANCE_LOG!F:F=MAXIFS(ATTENDANCE_LOG!F:F,ATTENDANCE_LOG!C:C,A120)),0)),"")</f>
        <v>EL050</v>
      </c>
      <c r="R120" s="113" t="str">
        <f t="array" ref="R120">IFERROR(INDEX(ATTENDANCE_LOG!B:B,MATCH(1,(ATTENDANCE_LOG!C:C=A120)*(ATTENDANCE_LOG!F:F=MAXIFS(ATTENDANCE_LOG!F:F,ATTENDANCE_LOG!C:C,A120)),0)),"")</f>
        <v>Foundation</v>
      </c>
      <c r="S120" s="113">
        <f>IFERROR(VLOOKUP(H120, LEVEL_HELPER!A:B, 2, 0), 0)</f>
        <v>1</v>
      </c>
      <c r="T120" s="113">
        <f>IFERROR(VLOOKUP(I120, LEVEL_HELPER!A:B, 2, 0), 0)</f>
        <v>2.5</v>
      </c>
      <c r="U120" s="113">
        <f t="shared" ref="U120:V120" si="124">IF(S120="",0,IF(S120&lt;=2,1,IF(S120&lt;=4,2,IF(S120&lt;=5.5,3,4))))
</f>
        <v>1</v>
      </c>
      <c r="V120" s="113">
        <f t="shared" si="124"/>
        <v>2</v>
      </c>
      <c r="W120" s="113" t="str">
        <f t="shared" si="6"/>
        <v>Lv1→Lv2</v>
      </c>
      <c r="X120" s="113"/>
      <c r="Y120" s="113"/>
      <c r="Z120" s="113"/>
      <c r="AA120" s="113"/>
      <c r="AB120" s="116"/>
      <c r="AC120" s="116"/>
      <c r="AD120" s="117"/>
    </row>
    <row r="121" ht="15.75" customHeight="1">
      <c r="A121" s="104" t="s">
        <v>441</v>
      </c>
      <c r="B121" s="105" t="s">
        <v>442</v>
      </c>
      <c r="C121" s="106" t="str">
        <f>IFERROR(__xludf.DUMMYFUNCTION("arrayformula(VLOOKUP(to_Text(A121),to_Text(sheet2!$A$1:M1005),13,0))"),"ONC")</f>
        <v>ONC</v>
      </c>
      <c r="D121" s="107" t="str">
        <f>IFERROR(__xludf.DUMMYFUNCTION("arrayformula(VLOOKUP(to_Text(A121),to_Text(sheet2!$A$1:M1005),12,0))"),"QC")</f>
        <v>QC</v>
      </c>
      <c r="E121" s="108" t="str">
        <f t="shared" si="2"/>
        <v>Active</v>
      </c>
      <c r="F121" s="104" t="str">
        <f t="array" ref="F121">IFERROR(
  INDEX(ATTENDANCE_INPUT!D:D,
    MATCH(1,
      (ATTENDANCE_INPUT!A:A=A121) *
      (ATTENDANCE_INPUT!W:W=MAXIFS(ATTENDANCE_INPUT!W:W, ATTENDANCE_INPUT!A:A, A121)),
      0)),
  "")</f>
        <v>Nam Nguyen</v>
      </c>
      <c r="G121" s="109" t="str">
        <f t="array" ref="G121">IFERROR(
  INDEX(ATTENDANCE_INPUT!E:E,
    MATCH(1,
      (ATTENDANCE_INPUT!A:A=A121) *
      (ATTENDANCE_INPUT!W:W=MAXIFS(ATTENDANCE_INPUT!W:W, ATTENDANCE_INPUT!A:A, A121)),
      0)),
  "")</f>
        <v>Foundation</v>
      </c>
      <c r="H121" s="110" t="str">
        <f t="array" ref="H121">IF(ISNA(MATCH(A121,sheet2!A:A,0)),"⏳ Chưa test",IFERROR(INDEX(LEVEL_HELPER!A:A,MATCH(INDEX(sheet2!N:N,MATCH(A121,sheet2!A:A,0)),LEVEL_HELPER!B:B,0)),"⏳ Chưa test"))</f>
        <v>Foundation</v>
      </c>
      <c r="I121" s="110" t="str">
        <f t="array" ref="I121">IF(ISNA(MATCH(A121,sheet2!A:A,0)),H121,IF(INDEX(sheet2!O:O,MATCH(A121,sheet2!A:A,0))&gt;0,IFERROR(INDEX(LEVEL_HELPER!A:A,MATCH(INDEX(sheet2!O:O,MATCH(A121,sheet2!A:A,0)),LEVEL_HELPER!B:B,0)),H121),H121))</f>
        <v>Foundation</v>
      </c>
      <c r="J121" s="110">
        <f>IFERROR(MAXIFS(ATTENDANCE_LOG!F:F, ATTENDANCE_LOG!C:C, A121&amp;"", ATTENDANCE_LOG!G:G, "Present"), "")</f>
        <v>46211.41667</v>
      </c>
      <c r="K121" s="111">
        <f t="shared" si="3"/>
        <v>1.583333333</v>
      </c>
      <c r="L121" s="112" t="str">
        <f t="shared" si="4"/>
        <v/>
      </c>
      <c r="M121" s="113"/>
      <c r="N121" s="114"/>
      <c r="O121" s="113"/>
      <c r="P121" s="115">
        <f>IFERROR(__xludf.DUMMYFUNCTION("IFERROR(COUNTUNIQUEIFS(ATTENDANCE_LOG!B:B,ATTENDANCE_LOG!C:C,A121),0)"),2.0)</f>
        <v>2</v>
      </c>
      <c r="Q121" s="113" t="str">
        <f t="array" ref="Q121">IFERROR(INDEX(ATTENDANCE_LOG!A:A,MATCH(1,(ATTENDANCE_LOG!C:C=A121)*(ATTENDANCE_LOG!F:F=MAXIFS(ATTENDANCE_LOG!F:F,ATTENDANCE_LOG!C:C,A121)),0)),"")</f>
        <v>EL050</v>
      </c>
      <c r="R121" s="113" t="str">
        <f t="array" ref="R121">IFERROR(INDEX(ATTENDANCE_LOG!B:B,MATCH(1,(ATTENDANCE_LOG!C:C=A121)*(ATTENDANCE_LOG!F:F=MAXIFS(ATTENDANCE_LOG!F:F,ATTENDANCE_LOG!C:C,A121)),0)),"")</f>
        <v>Foundation</v>
      </c>
      <c r="S121" s="113">
        <f>IFERROR(VLOOKUP(H121, LEVEL_HELPER!A:B, 2, 0), 0)</f>
        <v>0.5</v>
      </c>
      <c r="T121" s="113">
        <f>IFERROR(VLOOKUP(I121, LEVEL_HELPER!A:B, 2, 0), 0)</f>
        <v>0.5</v>
      </c>
      <c r="U121" s="113">
        <f t="shared" ref="U121:V121" si="125">IF(S121="",0,IF(S121&lt;=2,1,IF(S121&lt;=4,2,IF(S121&lt;=5.5,3,4))))
</f>
        <v>1</v>
      </c>
      <c r="V121" s="113">
        <f t="shared" si="125"/>
        <v>1</v>
      </c>
      <c r="W121" s="113" t="str">
        <f t="shared" si="6"/>
        <v>No Progress</v>
      </c>
      <c r="X121" s="113"/>
      <c r="Y121" s="113"/>
      <c r="Z121" s="113"/>
      <c r="AA121" s="113"/>
      <c r="AB121" s="116"/>
      <c r="AC121" s="116"/>
      <c r="AD121" s="117"/>
    </row>
    <row r="122" ht="15.75" customHeight="1">
      <c r="A122" s="104" t="s">
        <v>443</v>
      </c>
      <c r="B122" s="105" t="s">
        <v>444</v>
      </c>
      <c r="C122" s="106" t="str">
        <f>IFERROR(__xludf.DUMMYFUNCTION("arrayformula(VLOOKUP(to_Text(A122),to_Text(sheet2!$A$1:M1005),13,0))"),"ONC")</f>
        <v>ONC</v>
      </c>
      <c r="D122" s="107" t="str">
        <f>IFERROR(__xludf.DUMMYFUNCTION("arrayformula(VLOOKUP(to_Text(A122),to_Text(sheet2!$A$1:M1005),12,0))"),"DEV")</f>
        <v>DEV</v>
      </c>
      <c r="E122" s="108" t="str">
        <f t="shared" si="2"/>
        <v>Active</v>
      </c>
      <c r="F122" s="104" t="str">
        <f t="array" ref="F122">IFERROR(
  INDEX(ATTENDANCE_INPUT!D:D,
    MATCH(1,
      (ATTENDANCE_INPUT!A:A=A122) *
      (ATTENDANCE_INPUT!W:W=MAXIFS(ATTENDANCE_INPUT!W:W, ATTENDANCE_INPUT!A:A, A122)),
      0)),
  "")</f>
        <v>Nam Nguyen</v>
      </c>
      <c r="G122" s="109" t="str">
        <f t="array" ref="G122">IFERROR(
  INDEX(ATTENDANCE_INPUT!E:E,
    MATCH(1,
      (ATTENDANCE_INPUT!A:A=A122) *
      (ATTENDANCE_INPUT!W:W=MAXIFS(ATTENDANCE_INPUT!W:W, ATTENDANCE_INPUT!A:A, A122)),
      0)),
  "")</f>
        <v>Foundation</v>
      </c>
      <c r="H122" s="110" t="str">
        <f t="array" ref="H122">IF(ISNA(MATCH(A122,sheet2!A:A,0)),"⏳ Chưa test",IFERROR(INDEX(LEVEL_HELPER!A:A,MATCH(INDEX(sheet2!N:N,MATCH(A122,sheet2!A:A,0)),LEVEL_HELPER!B:B,0)),"⏳ Chưa test"))</f>
        <v>Foundation</v>
      </c>
      <c r="I122" s="110" t="str">
        <f t="array" ref="I122">IF(ISNA(MATCH(A122,sheet2!A:A,0)),H122,IF(INDEX(sheet2!O:O,MATCH(A122,sheet2!A:A,0))&gt;0,IFERROR(INDEX(LEVEL_HELPER!A:A,MATCH(INDEX(sheet2!O:O,MATCH(A122,sheet2!A:A,0)),LEVEL_HELPER!B:B,0)),H122),H122))</f>
        <v>Foundation</v>
      </c>
      <c r="J122" s="110">
        <f>IFERROR(MAXIFS(ATTENDANCE_LOG!F:F, ATTENDANCE_LOG!C:C, A122&amp;"", ATTENDANCE_LOG!G:G, "Present"), "")</f>
        <v>46211.41667</v>
      </c>
      <c r="K122" s="111">
        <f t="shared" si="3"/>
        <v>1.583333333</v>
      </c>
      <c r="L122" s="112" t="str">
        <f t="shared" si="4"/>
        <v/>
      </c>
      <c r="M122" s="113"/>
      <c r="N122" s="114"/>
      <c r="O122" s="113"/>
      <c r="P122" s="115">
        <f>IFERROR(__xludf.DUMMYFUNCTION("IFERROR(COUNTUNIQUEIFS(ATTENDANCE_LOG!B:B,ATTENDANCE_LOG!C:C,A122),0)"),2.0)</f>
        <v>2</v>
      </c>
      <c r="Q122" s="113" t="str">
        <f t="array" ref="Q122">IFERROR(INDEX(ATTENDANCE_LOG!A:A,MATCH(1,(ATTENDANCE_LOG!C:C=A122)*(ATTENDANCE_LOG!F:F=MAXIFS(ATTENDANCE_LOG!F:F,ATTENDANCE_LOG!C:C,A122)),0)),"")</f>
        <v>EL050</v>
      </c>
      <c r="R122" s="113" t="str">
        <f t="array" ref="R122">IFERROR(INDEX(ATTENDANCE_LOG!B:B,MATCH(1,(ATTENDANCE_LOG!C:C=A122)*(ATTENDANCE_LOG!F:F=MAXIFS(ATTENDANCE_LOG!F:F,ATTENDANCE_LOG!C:C,A122)),0)),"")</f>
        <v>Foundation</v>
      </c>
      <c r="S122" s="113">
        <f>IFERROR(VLOOKUP(H122, LEVEL_HELPER!A:B, 2, 0), 0)</f>
        <v>0.5</v>
      </c>
      <c r="T122" s="113">
        <f>IFERROR(VLOOKUP(I122, LEVEL_HELPER!A:B, 2, 0), 0)</f>
        <v>0.5</v>
      </c>
      <c r="U122" s="113">
        <f t="shared" ref="U122:V122" si="126">IF(S122="",0,IF(S122&lt;=2,1,IF(S122&lt;=4,2,IF(S122&lt;=5.5,3,4))))
</f>
        <v>1</v>
      </c>
      <c r="V122" s="113">
        <f t="shared" si="126"/>
        <v>1</v>
      </c>
      <c r="W122" s="113" t="str">
        <f t="shared" si="6"/>
        <v>No Progress</v>
      </c>
      <c r="X122" s="113"/>
      <c r="Y122" s="113"/>
      <c r="Z122" s="113"/>
      <c r="AA122" s="113"/>
      <c r="AB122" s="116"/>
      <c r="AC122" s="116"/>
      <c r="AD122" s="117"/>
    </row>
    <row r="123" ht="15.75" customHeight="1">
      <c r="A123" s="104" t="s">
        <v>445</v>
      </c>
      <c r="B123" s="105" t="s">
        <v>446</v>
      </c>
      <c r="C123" s="106" t="str">
        <f>IFERROR(__xludf.DUMMYFUNCTION("arrayformula(VLOOKUP(to_Text(A123),to_Text(sheet2!$A$1:M1005),13,0))"),"BSG")</f>
        <v>BSG</v>
      </c>
      <c r="D123" s="107" t="str">
        <f>IFERROR(__xludf.DUMMYFUNCTION("arrayformula(VLOOKUP(to_Text(A123),to_Text(sheet2!$A$1:M1005),12,0))"),"HR")</f>
        <v>HR</v>
      </c>
      <c r="E123" s="108" t="str">
        <f t="shared" si="2"/>
        <v>Inactive</v>
      </c>
      <c r="F123" s="104" t="str">
        <f t="array" ref="F123">IFERROR(
  INDEX(ATTENDANCE_INPUT!D:D,
    MATCH(1,
      (ATTENDANCE_INPUT!A:A=A123) *
      (ATTENDANCE_INPUT!W:W=MAXIFS(ATTENDANCE_INPUT!W:W, ATTENDANCE_INPUT!A:A, A123)),
      0)),
  "")</f>
        <v>Nhat Bui</v>
      </c>
      <c r="G123" s="109" t="str">
        <f t="array" ref="G123">IFERROR(
  INDEX(ATTENDANCE_INPUT!E:E,
    MATCH(1,
      (ATTENDANCE_INPUT!A:A=A123) *
      (ATTENDANCE_INPUT!W:W=MAXIFS(ATTENDANCE_INPUT!W:W, ATTENDANCE_INPUT!A:A, A123)),
      0)),
  "")</f>
        <v>Communication 1</v>
      </c>
      <c r="H123" s="110" t="str">
        <f t="array" ref="H123">IF(ISNA(MATCH(A123,sheet2!A:A,0)),"⏳ Chưa test",IFERROR(INDEX(LEVEL_HELPER!A:A,MATCH(INDEX(sheet2!N:N,MATCH(A123,sheet2!A:A,0)),LEVEL_HELPER!B:B,0)),"⏳ Chưa test"))</f>
        <v>Pre-Intermediate</v>
      </c>
      <c r="I123" s="110" t="str">
        <f t="array" ref="I123">IF(ISNA(MATCH(A123,sheet2!A:A,0)),H123,IF(INDEX(sheet2!O:O,MATCH(A123,sheet2!A:A,0))&gt;0,IFERROR(INDEX(LEVEL_HELPER!A:A,MATCH(INDEX(sheet2!O:O,MATCH(A123,sheet2!A:A,0)),LEVEL_HELPER!B:B,0)),H123),H123))</f>
        <v>Pre-Intermediate</v>
      </c>
      <c r="J123" s="110">
        <f>IFERROR(MAXIFS(ATTENDANCE_LOG!F:F, ATTENDANCE_LOG!C:C, A123&amp;"", ATTENDANCE_LOG!G:G, "Present"), "")</f>
        <v>45769.58333</v>
      </c>
      <c r="K123" s="111">
        <f t="shared" si="3"/>
        <v>443.4166667</v>
      </c>
      <c r="L123" s="112" t="str">
        <f t="shared" si="4"/>
        <v>✅ Completed</v>
      </c>
      <c r="M123" s="120" t="s">
        <v>35</v>
      </c>
      <c r="N123" s="114" t="s">
        <v>36</v>
      </c>
      <c r="O123" s="113"/>
      <c r="P123" s="115">
        <f>IFERROR(__xludf.DUMMYFUNCTION("IFERROR(COUNTUNIQUEIFS(ATTENDANCE_LOG!B:B,ATTENDANCE_LOG!C:C,A123),0)"),1.0)</f>
        <v>1</v>
      </c>
      <c r="Q123" s="113" t="str">
        <f t="array" ref="Q123">IFERROR(INDEX(ATTENDANCE_LOG!A:A,MATCH(1,(ATTENDANCE_LOG!C:C=A123)*(ATTENDANCE_LOG!F:F=MAXIFS(ATTENDANCE_LOG!F:F,ATTENDANCE_LOG!C:C,A123)),0)),"")</f>
        <v>EL017</v>
      </c>
      <c r="R123" s="113" t="str">
        <f t="array" ref="R123">IFERROR(INDEX(ATTENDANCE_LOG!B:B,MATCH(1,(ATTENDANCE_LOG!C:C=A123)*(ATTENDANCE_LOG!F:F=MAXIFS(ATTENDANCE_LOG!F:F,ATTENDANCE_LOG!C:C,A123)),0)),"")</f>
        <v>Communication 1</v>
      </c>
      <c r="S123" s="113">
        <f>IFERROR(VLOOKUP(H123, LEVEL_HELPER!A:B, 2, 0), 0)</f>
        <v>2.5</v>
      </c>
      <c r="T123" s="113">
        <f>IFERROR(VLOOKUP(I123, LEVEL_HELPER!A:B, 2, 0), 0)</f>
        <v>2.5</v>
      </c>
      <c r="U123" s="113">
        <f t="shared" ref="U123:V123" si="127">IF(S123="",0,IF(S123&lt;=2,1,IF(S123&lt;=4,2,IF(S123&lt;=5.5,3,4))))
</f>
        <v>2</v>
      </c>
      <c r="V123" s="113">
        <f t="shared" si="127"/>
        <v>2</v>
      </c>
      <c r="W123" s="113" t="str">
        <f t="shared" si="6"/>
        <v>No Progress</v>
      </c>
      <c r="X123" s="113"/>
      <c r="Y123" s="113"/>
      <c r="Z123" s="113"/>
      <c r="AA123" s="113"/>
      <c r="AB123" s="102"/>
      <c r="AC123" s="102"/>
      <c r="AD123" s="103"/>
    </row>
    <row r="124" ht="15.75" customHeight="1">
      <c r="A124" s="104" t="s">
        <v>447</v>
      </c>
      <c r="B124" s="105" t="s">
        <v>448</v>
      </c>
      <c r="C124" s="106" t="str">
        <f>IFERROR(__xludf.DUMMYFUNCTION("arrayformula(VLOOKUP(to_Text(A124),to_Text(sheet2!$A$1:M1005),13,0))"),"LBU")</f>
        <v>LBU</v>
      </c>
      <c r="D124" s="107" t="str">
        <f>IFERROR(__xludf.DUMMYFUNCTION("arrayformula(VLOOKUP(to_Text(A124),to_Text(sheet2!$A$1:M1005),12,0))"),"HR")</f>
        <v>HR</v>
      </c>
      <c r="E124" s="108" t="str">
        <f t="shared" si="2"/>
        <v>Inactive</v>
      </c>
      <c r="F124" s="104" t="str">
        <f t="array" ref="F124">IFERROR(
  INDEX(ATTENDANCE_INPUT!D:D,
    MATCH(1,
      (ATTENDANCE_INPUT!A:A=A124) *
      (ATTENDANCE_INPUT!W:W=MAXIFS(ATTENDANCE_INPUT!W:W, ATTENDANCE_INPUT!A:A, A124)),
      0)),
  "")</f>
        <v>Nhat Bui</v>
      </c>
      <c r="G124" s="109" t="str">
        <f t="array" ref="G124">IFERROR(
  INDEX(ATTENDANCE_INPUT!E:E,
    MATCH(1,
      (ATTENDANCE_INPUT!A:A=A124) *
      (ATTENDANCE_INPUT!W:W=MAXIFS(ATTENDANCE_INPUT!W:W, ATTENDANCE_INPUT!A:A, A124)),
      0)),
  "")</f>
        <v>Communication 1</v>
      </c>
      <c r="H124" s="110" t="str">
        <f t="array" ref="H124">IF(ISNA(MATCH(A124,sheet2!A:A,0)),"⏳ Chưa test",IFERROR(INDEX(LEVEL_HELPER!A:A,MATCH(INDEX(sheet2!N:N,MATCH(A124,sheet2!A:A,0)),LEVEL_HELPER!B:B,0)),"⏳ Chưa test"))</f>
        <v>⏳ Chưa test</v>
      </c>
      <c r="I124" s="110" t="str">
        <f t="array" ref="I124">IF(ISNA(MATCH(A124,sheet2!A:A,0)),H124,IF(INDEX(sheet2!O:O,MATCH(A124,sheet2!A:A,0))&gt;0,IFERROR(INDEX(LEVEL_HELPER!A:A,MATCH(INDEX(sheet2!O:O,MATCH(A124,sheet2!A:A,0)),LEVEL_HELPER!B:B,0)),H124),H124))</f>
        <v>⏳ Chưa test</v>
      </c>
      <c r="J124" s="110">
        <f>IFERROR(MAXIFS(ATTENDANCE_LOG!F:F, ATTENDANCE_LOG!C:C, A124&amp;"", ATTENDANCE_LOG!G:G, "Present"), "")</f>
        <v>45769.58333</v>
      </c>
      <c r="K124" s="111">
        <f t="shared" si="3"/>
        <v>443.4166667</v>
      </c>
      <c r="L124" s="112" t="str">
        <f t="shared" si="4"/>
        <v>✅ Completed</v>
      </c>
      <c r="M124" s="120" t="s">
        <v>35</v>
      </c>
      <c r="N124" s="114" t="s">
        <v>36</v>
      </c>
      <c r="O124" s="113"/>
      <c r="P124" s="115">
        <f>IFERROR(__xludf.DUMMYFUNCTION("IFERROR(COUNTUNIQUEIFS(ATTENDANCE_LOG!B:B,ATTENDANCE_LOG!C:C,A124),0)"),1.0)</f>
        <v>1</v>
      </c>
      <c r="Q124" s="113" t="str">
        <f t="array" ref="Q124">IFERROR(INDEX(ATTENDANCE_LOG!A:A,MATCH(1,(ATTENDANCE_LOG!C:C=A124)*(ATTENDANCE_LOG!F:F=MAXIFS(ATTENDANCE_LOG!F:F,ATTENDANCE_LOG!C:C,A124)),0)),"")</f>
        <v>EL017</v>
      </c>
      <c r="R124" s="113" t="str">
        <f t="array" ref="R124">IFERROR(INDEX(ATTENDANCE_LOG!B:B,MATCH(1,(ATTENDANCE_LOG!C:C=A124)*(ATTENDANCE_LOG!F:F=MAXIFS(ATTENDANCE_LOG!F:F,ATTENDANCE_LOG!C:C,A124)),0)),"")</f>
        <v>Communication 1</v>
      </c>
      <c r="S124" s="113">
        <f>IFERROR(VLOOKUP(H124, LEVEL_HELPER!A:B, 2, 0), 0)</f>
        <v>0</v>
      </c>
      <c r="T124" s="113">
        <f>IFERROR(VLOOKUP(I124, LEVEL_HELPER!A:B, 2, 0), 0)</f>
        <v>0</v>
      </c>
      <c r="U124" s="113">
        <f t="shared" ref="U124:V124" si="128">IF(S124="",0,IF(S124&lt;=2,1,IF(S124&lt;=4,2,IF(S124&lt;=5.5,3,4))))
</f>
        <v>1</v>
      </c>
      <c r="V124" s="113">
        <f t="shared" si="128"/>
        <v>1</v>
      </c>
      <c r="W124" s="113" t="str">
        <f t="shared" si="6"/>
        <v>No Progress</v>
      </c>
      <c r="X124" s="113"/>
      <c r="Y124" s="113"/>
      <c r="Z124" s="113"/>
      <c r="AA124" s="113"/>
      <c r="AB124" s="116"/>
      <c r="AC124" s="116"/>
      <c r="AD124" s="117"/>
    </row>
    <row r="125" ht="15.75" customHeight="1">
      <c r="A125" s="104" t="s">
        <v>449</v>
      </c>
      <c r="B125" s="105" t="s">
        <v>450</v>
      </c>
      <c r="C125" s="106" t="str">
        <f>IFERROR(__xludf.DUMMYFUNCTION("arrayformula(VLOOKUP(to_Text(A125),to_Text(sheet2!$A$1:M1005),13,0))"),"BSG")</f>
        <v>BSG</v>
      </c>
      <c r="D125" s="107" t="str">
        <f>IFERROR(__xludf.DUMMYFUNCTION("arrayformula(VLOOKUP(to_Text(A125),to_Text(sheet2!$A$1:M1005),12,0))"),"HR")</f>
        <v>HR</v>
      </c>
      <c r="E125" s="108" t="str">
        <f t="shared" si="2"/>
        <v>Inactive</v>
      </c>
      <c r="F125" s="104" t="str">
        <f t="array" ref="F125">IFERROR(
  INDEX(ATTENDANCE_INPUT!D:D,
    MATCH(1,
      (ATTENDANCE_INPUT!A:A=A125) *
      (ATTENDANCE_INPUT!W:W=MAXIFS(ATTENDANCE_INPUT!W:W, ATTENDANCE_INPUT!A:A, A125)),
      0)),
  "")</f>
        <v>Nhat Bui</v>
      </c>
      <c r="G125" s="109" t="str">
        <f t="array" ref="G125">IFERROR(
  INDEX(ATTENDANCE_INPUT!E:E,
    MATCH(1,
      (ATTENDANCE_INPUT!A:A=A125) *
      (ATTENDANCE_INPUT!W:W=MAXIFS(ATTENDANCE_INPUT!W:W, ATTENDANCE_INPUT!A:A, A125)),
      0)),
  "")</f>
        <v>Communication 1</v>
      </c>
      <c r="H125" s="110" t="str">
        <f t="array" ref="H125">IF(ISNA(MATCH(A125,sheet2!A:A,0)),"⏳ Chưa test",IFERROR(INDEX(LEVEL_HELPER!A:A,MATCH(INDEX(sheet2!N:N,MATCH(A125,sheet2!A:A,0)),LEVEL_HELPER!B:B,0)),"⏳ Chưa test"))</f>
        <v>Beginner</v>
      </c>
      <c r="I125" s="110" t="str">
        <f t="array" ref="I125">IF(ISNA(MATCH(A125,sheet2!A:A,0)),H125,IF(INDEX(sheet2!O:O,MATCH(A125,sheet2!A:A,0))&gt;0,IFERROR(INDEX(LEVEL_HELPER!A:A,MATCH(INDEX(sheet2!O:O,MATCH(A125,sheet2!A:A,0)),LEVEL_HELPER!B:B,0)),H125),H125))</f>
        <v>Beginner</v>
      </c>
      <c r="J125" s="110">
        <f>IFERROR(MAXIFS(ATTENDANCE_LOG!F:F, ATTENDANCE_LOG!C:C, A125&amp;"", ATTENDANCE_LOG!G:G, "Present"), "")</f>
        <v>45769.58333</v>
      </c>
      <c r="K125" s="111">
        <f t="shared" si="3"/>
        <v>443.4166667</v>
      </c>
      <c r="L125" s="112" t="str">
        <f t="shared" si="4"/>
        <v>✅ Completed</v>
      </c>
      <c r="M125" s="120" t="s">
        <v>35</v>
      </c>
      <c r="N125" s="114" t="s">
        <v>36</v>
      </c>
      <c r="O125" s="113"/>
      <c r="P125" s="115">
        <f>IFERROR(__xludf.DUMMYFUNCTION("IFERROR(COUNTUNIQUEIFS(ATTENDANCE_LOG!B:B,ATTENDANCE_LOG!C:C,A125),0)"),1.0)</f>
        <v>1</v>
      </c>
      <c r="Q125" s="113" t="str">
        <f t="array" ref="Q125">IFERROR(INDEX(ATTENDANCE_LOG!A:A,MATCH(1,(ATTENDANCE_LOG!C:C=A125)*(ATTENDANCE_LOG!F:F=MAXIFS(ATTENDANCE_LOG!F:F,ATTENDANCE_LOG!C:C,A125)),0)),"")</f>
        <v>EL017</v>
      </c>
      <c r="R125" s="113" t="str">
        <f t="array" ref="R125">IFERROR(INDEX(ATTENDANCE_LOG!B:B,MATCH(1,(ATTENDANCE_LOG!C:C=A125)*(ATTENDANCE_LOG!F:F=MAXIFS(ATTENDANCE_LOG!F:F,ATTENDANCE_LOG!C:C,A125)),0)),"")</f>
        <v>Communication 1</v>
      </c>
      <c r="S125" s="113">
        <f>IFERROR(VLOOKUP(H125, LEVEL_HELPER!A:B, 2, 0), 0)</f>
        <v>1</v>
      </c>
      <c r="T125" s="113">
        <f>IFERROR(VLOOKUP(I125, LEVEL_HELPER!A:B, 2, 0), 0)</f>
        <v>1</v>
      </c>
      <c r="U125" s="113">
        <f t="shared" ref="U125:V125" si="129">IF(S125="",0,IF(S125&lt;=2,1,IF(S125&lt;=4,2,IF(S125&lt;=5.5,3,4))))
</f>
        <v>1</v>
      </c>
      <c r="V125" s="113">
        <f t="shared" si="129"/>
        <v>1</v>
      </c>
      <c r="W125" s="113" t="str">
        <f t="shared" si="6"/>
        <v>No Progress</v>
      </c>
      <c r="X125" s="113"/>
      <c r="Y125" s="113"/>
      <c r="Z125" s="113"/>
      <c r="AA125" s="113"/>
      <c r="AB125" s="116"/>
      <c r="AC125" s="116"/>
      <c r="AD125" s="117"/>
    </row>
    <row r="126" ht="15.75" customHeight="1">
      <c r="A126" s="104" t="s">
        <v>451</v>
      </c>
      <c r="B126" s="105" t="s">
        <v>452</v>
      </c>
      <c r="C126" s="106" t="str">
        <f>IFERROR(__xludf.DUMMYFUNCTION("arrayformula(VLOOKUP(to_Text(A126),to_Text(sheet2!$A$1:M1005),13,0))"),"BSG")</f>
        <v>BSG</v>
      </c>
      <c r="D126" s="107" t="str">
        <f>IFERROR(__xludf.DUMMYFUNCTION("arrayformula(VLOOKUP(to_Text(A126),to_Text(sheet2!$A$1:M1005),12,0))"),"HR")</f>
        <v>HR</v>
      </c>
      <c r="E126" s="108" t="str">
        <f t="shared" si="2"/>
        <v>Inactive</v>
      </c>
      <c r="F126" s="104" t="str">
        <f t="array" ref="F126">IFERROR(
  INDEX(ATTENDANCE_INPUT!D:D,
    MATCH(1,
      (ATTENDANCE_INPUT!A:A=A126) *
      (ATTENDANCE_INPUT!W:W=MAXIFS(ATTENDANCE_INPUT!W:W, ATTENDANCE_INPUT!A:A, A126)),
      0)),
  "")</f>
        <v>Nhat Bui</v>
      </c>
      <c r="G126" s="109" t="str">
        <f t="array" ref="G126">IFERROR(
  INDEX(ATTENDANCE_INPUT!E:E,
    MATCH(1,
      (ATTENDANCE_INPUT!A:A=A126) *
      (ATTENDANCE_INPUT!W:W=MAXIFS(ATTENDANCE_INPUT!W:W, ATTENDANCE_INPUT!A:A, A126)),
      0)),
  "")</f>
        <v>Communication 1</v>
      </c>
      <c r="H126" s="110" t="str">
        <f t="array" ref="H126">IF(ISNA(MATCH(A126,sheet2!A:A,0)),"⏳ Chưa test",IFERROR(INDEX(LEVEL_HELPER!A:A,MATCH(INDEX(sheet2!N:N,MATCH(A126,sheet2!A:A,0)),LEVEL_HELPER!B:B,0)),"⏳ Chưa test"))</f>
        <v>Beginner</v>
      </c>
      <c r="I126" s="110" t="str">
        <f t="array" ref="I126">IF(ISNA(MATCH(A126,sheet2!A:A,0)),H126,IF(INDEX(sheet2!O:O,MATCH(A126,sheet2!A:A,0))&gt;0,IFERROR(INDEX(LEVEL_HELPER!A:A,MATCH(INDEX(sheet2!O:O,MATCH(A126,sheet2!A:A,0)),LEVEL_HELPER!B:B,0)),H126),H126))</f>
        <v>Pre-Intermediate</v>
      </c>
      <c r="J126" s="110">
        <f>IFERROR(MAXIFS(ATTENDANCE_LOG!F:F, ATTENDANCE_LOG!C:C, A126&amp;"", ATTENDANCE_LOG!G:G, "Present"), "")</f>
        <v>45769.58333</v>
      </c>
      <c r="K126" s="111">
        <f t="shared" si="3"/>
        <v>443.4166667</v>
      </c>
      <c r="L126" s="112" t="str">
        <f t="shared" si="4"/>
        <v>✅ Completed</v>
      </c>
      <c r="M126" s="120" t="s">
        <v>35</v>
      </c>
      <c r="N126" s="114" t="s">
        <v>34</v>
      </c>
      <c r="O126" s="113" t="s">
        <v>370</v>
      </c>
      <c r="P126" s="115">
        <f>IFERROR(__xludf.DUMMYFUNCTION("IFERROR(COUNTUNIQUEIFS(ATTENDANCE_LOG!B:B,ATTENDANCE_LOG!C:C,A126),0)"),1.0)</f>
        <v>1</v>
      </c>
      <c r="Q126" s="113" t="str">
        <f t="array" ref="Q126">IFERROR(INDEX(ATTENDANCE_LOG!A:A,MATCH(1,(ATTENDANCE_LOG!C:C=A126)*(ATTENDANCE_LOG!F:F=MAXIFS(ATTENDANCE_LOG!F:F,ATTENDANCE_LOG!C:C,A126)),0)),"")</f>
        <v>EL017</v>
      </c>
      <c r="R126" s="113" t="str">
        <f t="array" ref="R126">IFERROR(INDEX(ATTENDANCE_LOG!B:B,MATCH(1,(ATTENDANCE_LOG!C:C=A126)*(ATTENDANCE_LOG!F:F=MAXIFS(ATTENDANCE_LOG!F:F,ATTENDANCE_LOG!C:C,A126)),0)),"")</f>
        <v>Communication 1</v>
      </c>
      <c r="S126" s="113">
        <f>IFERROR(VLOOKUP(H126, LEVEL_HELPER!A:B, 2, 0), 0)</f>
        <v>1</v>
      </c>
      <c r="T126" s="113">
        <f>IFERROR(VLOOKUP(I126, LEVEL_HELPER!A:B, 2, 0), 0)</f>
        <v>2.5</v>
      </c>
      <c r="U126" s="113">
        <f t="shared" ref="U126:V126" si="130">IF(S126="",0,IF(S126&lt;=2,1,IF(S126&lt;=4,2,IF(S126&lt;=5.5,3,4))))
</f>
        <v>1</v>
      </c>
      <c r="V126" s="113">
        <f t="shared" si="130"/>
        <v>2</v>
      </c>
      <c r="W126" s="113" t="str">
        <f t="shared" si="6"/>
        <v>Lv1→Lv2</v>
      </c>
      <c r="X126" s="113"/>
      <c r="Y126" s="113"/>
      <c r="Z126" s="113"/>
      <c r="AA126" s="113"/>
      <c r="AB126" s="116"/>
      <c r="AC126" s="116"/>
      <c r="AD126" s="117"/>
    </row>
    <row r="127" ht="15.75" customHeight="1">
      <c r="A127" s="104" t="s">
        <v>453</v>
      </c>
      <c r="B127" s="105" t="s">
        <v>454</v>
      </c>
      <c r="C127" s="106" t="str">
        <f>IFERROR(__xludf.DUMMYFUNCTION("arrayformula(VLOOKUP(to_Text(A127),to_Text(sheet2!$A$1:M1005),13,0))"),"BSG")</f>
        <v>BSG</v>
      </c>
      <c r="D127" s="107" t="str">
        <f>IFERROR(__xludf.DUMMYFUNCTION("arrayformula(VLOOKUP(to_Text(A127),to_Text(sheet2!$A$1:M1005),12,0))"),"HR")</f>
        <v>HR</v>
      </c>
      <c r="E127" s="108" t="str">
        <f t="shared" si="2"/>
        <v>Inactive</v>
      </c>
      <c r="F127" s="104" t="str">
        <f t="array" ref="F127">IFERROR(
  INDEX(ATTENDANCE_INPUT!D:D,
    MATCH(1,
      (ATTENDANCE_INPUT!A:A=A127) *
      (ATTENDANCE_INPUT!W:W=MAXIFS(ATTENDANCE_INPUT!W:W, ATTENDANCE_INPUT!A:A, A127)),
      0)),
  "")</f>
        <v>Nhat Bui</v>
      </c>
      <c r="G127" s="109" t="str">
        <f t="array" ref="G127">IFERROR(
  INDEX(ATTENDANCE_INPUT!E:E,
    MATCH(1,
      (ATTENDANCE_INPUT!A:A=A127) *
      (ATTENDANCE_INPUT!W:W=MAXIFS(ATTENDANCE_INPUT!W:W, ATTENDANCE_INPUT!A:A, A127)),
      0)),
  "")</f>
        <v>Communication 1</v>
      </c>
      <c r="H127" s="110" t="str">
        <f t="array" ref="H127">IF(ISNA(MATCH(A127,sheet2!A:A,0)),"⏳ Chưa test",IFERROR(INDEX(LEVEL_HELPER!A:A,MATCH(INDEX(sheet2!N:N,MATCH(A127,sheet2!A:A,0)),LEVEL_HELPER!B:B,0)),"⏳ Chưa test"))</f>
        <v>Beginner</v>
      </c>
      <c r="I127" s="110" t="str">
        <f t="array" ref="I127">IF(ISNA(MATCH(A127,sheet2!A:A,0)),H127,IF(INDEX(sheet2!O:O,MATCH(A127,sheet2!A:A,0))&gt;0,IFERROR(INDEX(LEVEL_HELPER!A:A,MATCH(INDEX(sheet2!O:O,MATCH(A127,sheet2!A:A,0)),LEVEL_HELPER!B:B,0)),H127),H127))</f>
        <v>Beginner</v>
      </c>
      <c r="J127" s="110">
        <f>IFERROR(MAXIFS(ATTENDANCE_LOG!F:F, ATTENDANCE_LOG!C:C, A127&amp;"", ATTENDANCE_LOG!G:G, "Present"), "")</f>
        <v>45769.58333</v>
      </c>
      <c r="K127" s="111">
        <f t="shared" si="3"/>
        <v>443.4166667</v>
      </c>
      <c r="L127" s="112" t="str">
        <f t="shared" si="4"/>
        <v>✅ Completed</v>
      </c>
      <c r="M127" s="120" t="s">
        <v>35</v>
      </c>
      <c r="N127" s="114" t="s">
        <v>36</v>
      </c>
      <c r="O127" s="113"/>
      <c r="P127" s="115">
        <f>IFERROR(__xludf.DUMMYFUNCTION("IFERROR(COUNTUNIQUEIFS(ATTENDANCE_LOG!B:B,ATTENDANCE_LOG!C:C,A127),0)"),1.0)</f>
        <v>1</v>
      </c>
      <c r="Q127" s="113" t="str">
        <f t="array" ref="Q127">IFERROR(INDEX(ATTENDANCE_LOG!A:A,MATCH(1,(ATTENDANCE_LOG!C:C=A127)*(ATTENDANCE_LOG!F:F=MAXIFS(ATTENDANCE_LOG!F:F,ATTENDANCE_LOG!C:C,A127)),0)),"")</f>
        <v>EL017</v>
      </c>
      <c r="R127" s="113" t="str">
        <f t="array" ref="R127">IFERROR(INDEX(ATTENDANCE_LOG!B:B,MATCH(1,(ATTENDANCE_LOG!C:C=A127)*(ATTENDANCE_LOG!F:F=MAXIFS(ATTENDANCE_LOG!F:F,ATTENDANCE_LOG!C:C,A127)),0)),"")</f>
        <v>Communication 1</v>
      </c>
      <c r="S127" s="113">
        <f>IFERROR(VLOOKUP(H127, LEVEL_HELPER!A:B, 2, 0), 0)</f>
        <v>1</v>
      </c>
      <c r="T127" s="113">
        <f>IFERROR(VLOOKUP(I127, LEVEL_HELPER!A:B, 2, 0), 0)</f>
        <v>1</v>
      </c>
      <c r="U127" s="113">
        <f t="shared" ref="U127:V127" si="131">IF(S127="",0,IF(S127&lt;=2,1,IF(S127&lt;=4,2,IF(S127&lt;=5.5,3,4))))
</f>
        <v>1</v>
      </c>
      <c r="V127" s="113">
        <f t="shared" si="131"/>
        <v>1</v>
      </c>
      <c r="W127" s="113" t="str">
        <f t="shared" si="6"/>
        <v>No Progress</v>
      </c>
      <c r="X127" s="113"/>
      <c r="Y127" s="113"/>
      <c r="Z127" s="113"/>
      <c r="AA127" s="113"/>
      <c r="AB127" s="116"/>
      <c r="AC127" s="116"/>
      <c r="AD127" s="117"/>
    </row>
    <row r="128" ht="15.75" customHeight="1">
      <c r="A128" s="104" t="s">
        <v>455</v>
      </c>
      <c r="B128" s="105" t="s">
        <v>456</v>
      </c>
      <c r="C128" s="106" t="str">
        <f>IFERROR(__xludf.DUMMYFUNCTION("arrayformula(VLOOKUP(to_Text(A128),to_Text(sheet2!$A$1:M1005),13,0))"),"BSG")</f>
        <v>BSG</v>
      </c>
      <c r="D128" s="107" t="str">
        <f>IFERROR(__xludf.DUMMYFUNCTION("arrayformula(VLOOKUP(to_Text(A128),to_Text(sheet2!$A$1:M1005),12,0))"),"Admin")</f>
        <v>Admin</v>
      </c>
      <c r="E128" s="108" t="str">
        <f t="shared" si="2"/>
        <v>Inactive</v>
      </c>
      <c r="F128" s="104" t="str">
        <f t="array" ref="F128">IFERROR(
  INDEX(ATTENDANCE_INPUT!D:D,
    MATCH(1,
      (ATTENDANCE_INPUT!A:A=A128) *
      (ATTENDANCE_INPUT!W:W=MAXIFS(ATTENDANCE_INPUT!W:W, ATTENDANCE_INPUT!A:A, A128)),
      0)),
  "")</f>
        <v>Nhat Bui</v>
      </c>
      <c r="G128" s="109" t="str">
        <f t="array" ref="G128">IFERROR(
  INDEX(ATTENDANCE_INPUT!E:E,
    MATCH(1,
      (ATTENDANCE_INPUT!A:A=A128) *
      (ATTENDANCE_INPUT!W:W=MAXIFS(ATTENDANCE_INPUT!W:W, ATTENDANCE_INPUT!A:A, A128)),
      0)),
  "")</f>
        <v>Communication 1</v>
      </c>
      <c r="H128" s="110" t="str">
        <f t="array" ref="H128">IF(ISNA(MATCH(A128,sheet2!A:A,0)),"⏳ Chưa test",IFERROR(INDEX(LEVEL_HELPER!A:A,MATCH(INDEX(sheet2!N:N,MATCH(A128,sheet2!A:A,0)),LEVEL_HELPER!B:B,0)),"⏳ Chưa test"))</f>
        <v>Beginner</v>
      </c>
      <c r="I128" s="110" t="str">
        <f t="array" ref="I128">IF(ISNA(MATCH(A128,sheet2!A:A,0)),H128,IF(INDEX(sheet2!O:O,MATCH(A128,sheet2!A:A,0))&gt;0,IFERROR(INDEX(LEVEL_HELPER!A:A,MATCH(INDEX(sheet2!O:O,MATCH(A128,sheet2!A:A,0)),LEVEL_HELPER!B:B,0)),H128),H128))</f>
        <v>Beginner</v>
      </c>
      <c r="J128" s="110">
        <f>IFERROR(MAXIFS(ATTENDANCE_LOG!F:F, ATTENDANCE_LOG!C:C, A128&amp;"", ATTENDANCE_LOG!G:G, "Present"), "")</f>
        <v>45698.54167</v>
      </c>
      <c r="K128" s="111">
        <f t="shared" si="3"/>
        <v>514.4583333</v>
      </c>
      <c r="L128" s="112" t="str">
        <f t="shared" si="4"/>
        <v>✅ Completed</v>
      </c>
      <c r="M128" s="120" t="s">
        <v>35</v>
      </c>
      <c r="N128" s="114" t="s">
        <v>34</v>
      </c>
      <c r="O128" s="113"/>
      <c r="P128" s="115">
        <f>IFERROR(__xludf.DUMMYFUNCTION("IFERROR(COUNTUNIQUEIFS(ATTENDANCE_LOG!B:B,ATTENDANCE_LOG!C:C,A128),0)"),1.0)</f>
        <v>1</v>
      </c>
      <c r="Q128" s="113" t="str">
        <f t="array" ref="Q128">IFERROR(INDEX(ATTENDANCE_LOG!A:A,MATCH(1,(ATTENDANCE_LOG!C:C=A128)*(ATTENDANCE_LOG!F:F=MAXIFS(ATTENDANCE_LOG!F:F,ATTENDANCE_LOG!C:C,A128)),0)),"")</f>
        <v>EL017</v>
      </c>
      <c r="R128" s="113" t="str">
        <f t="array" ref="R128">IFERROR(INDEX(ATTENDANCE_LOG!B:B,MATCH(1,(ATTENDANCE_LOG!C:C=A128)*(ATTENDANCE_LOG!F:F=MAXIFS(ATTENDANCE_LOG!F:F,ATTENDANCE_LOG!C:C,A128)),0)),"")</f>
        <v>Communication 1</v>
      </c>
      <c r="S128" s="113">
        <f>IFERROR(VLOOKUP(H128, LEVEL_HELPER!A:B, 2, 0), 0)</f>
        <v>1</v>
      </c>
      <c r="T128" s="113">
        <f>IFERROR(VLOOKUP(I128, LEVEL_HELPER!A:B, 2, 0), 0)</f>
        <v>1</v>
      </c>
      <c r="U128" s="113">
        <f t="shared" ref="U128:V128" si="132">IF(S128="",0,IF(S128&lt;=2,1,IF(S128&lt;=4,2,IF(S128&lt;=5.5,3,4))))
</f>
        <v>1</v>
      </c>
      <c r="V128" s="113">
        <f t="shared" si="132"/>
        <v>1</v>
      </c>
      <c r="W128" s="113" t="str">
        <f t="shared" si="6"/>
        <v>No Progress</v>
      </c>
      <c r="X128" s="113"/>
      <c r="Y128" s="113"/>
      <c r="Z128" s="113"/>
      <c r="AA128" s="113"/>
      <c r="AB128" s="116"/>
      <c r="AC128" s="116"/>
      <c r="AD128" s="117"/>
    </row>
    <row r="129" ht="15.75" customHeight="1">
      <c r="A129" s="104" t="s">
        <v>457</v>
      </c>
      <c r="B129" s="105" t="s">
        <v>458</v>
      </c>
      <c r="C129" s="106" t="str">
        <f>IFERROR(__xludf.DUMMYFUNCTION("arrayformula(VLOOKUP(to_Text(A129),to_Text(sheet2!$A$1:M1005),13,0))"),"BSG")</f>
        <v>BSG</v>
      </c>
      <c r="D129" s="107" t="str">
        <f>IFERROR(__xludf.DUMMYFUNCTION("arrayformula(VLOOKUP(to_Text(A129),to_Text(sheet2!$A$1:M1005),12,0))"),"Admin")</f>
        <v>Admin</v>
      </c>
      <c r="E129" s="108" t="str">
        <f t="shared" si="2"/>
        <v>Inactive</v>
      </c>
      <c r="F129" s="104" t="str">
        <f t="array" ref="F129">IFERROR(
  INDEX(ATTENDANCE_INPUT!D:D,
    MATCH(1,
      (ATTENDANCE_INPUT!A:A=A129) *
      (ATTENDANCE_INPUT!W:W=MAXIFS(ATTENDANCE_INPUT!W:W, ATTENDANCE_INPUT!A:A, A129)),
      0)),
  "")</f>
        <v>Nhat Bui</v>
      </c>
      <c r="G129" s="109" t="str">
        <f t="array" ref="G129">IFERROR(
  INDEX(ATTENDANCE_INPUT!E:E,
    MATCH(1,
      (ATTENDANCE_INPUT!A:A=A129) *
      (ATTENDANCE_INPUT!W:W=MAXIFS(ATTENDANCE_INPUT!W:W, ATTENDANCE_INPUT!A:A, A129)),
      0)),
  "")</f>
        <v>Communication 1</v>
      </c>
      <c r="H129" s="110" t="str">
        <f t="array" ref="H129">IF(ISNA(MATCH(A129,sheet2!A:A,0)),"⏳ Chưa test",IFERROR(INDEX(LEVEL_HELPER!A:A,MATCH(INDEX(sheet2!N:N,MATCH(A129,sheet2!A:A,0)),LEVEL_HELPER!B:B,0)),"⏳ Chưa test"))</f>
        <v>Beginner</v>
      </c>
      <c r="I129" s="110" t="str">
        <f t="array" ref="I129">IF(ISNA(MATCH(A129,sheet2!A:A,0)),H129,IF(INDEX(sheet2!O:O,MATCH(A129,sheet2!A:A,0))&gt;0,IFERROR(INDEX(LEVEL_HELPER!A:A,MATCH(INDEX(sheet2!O:O,MATCH(A129,sheet2!A:A,0)),LEVEL_HELPER!B:B,0)),H129),H129))</f>
        <v>Beginner</v>
      </c>
      <c r="J129" s="110">
        <f>IFERROR(MAXIFS(ATTENDANCE_LOG!F:F, ATTENDANCE_LOG!C:C, A129&amp;"", ATTENDANCE_LOG!G:G, "Present"), "")</f>
        <v>45653.41667</v>
      </c>
      <c r="K129" s="111">
        <f t="shared" si="3"/>
        <v>559.5833333</v>
      </c>
      <c r="L129" s="112" t="str">
        <f t="shared" si="4"/>
        <v>❌ Dropped</v>
      </c>
      <c r="M129" s="120" t="s">
        <v>37</v>
      </c>
      <c r="N129" s="114" t="s">
        <v>34</v>
      </c>
      <c r="O129" s="113"/>
      <c r="P129" s="115">
        <f>IFERROR(__xludf.DUMMYFUNCTION("IFERROR(COUNTUNIQUEIFS(ATTENDANCE_LOG!B:B,ATTENDANCE_LOG!C:C,A129),0)"),1.0)</f>
        <v>1</v>
      </c>
      <c r="Q129" s="113" t="str">
        <f t="array" ref="Q129">IFERROR(INDEX(ATTENDANCE_LOG!A:A,MATCH(1,(ATTENDANCE_LOG!C:C=A129)*(ATTENDANCE_LOG!F:F=MAXIFS(ATTENDANCE_LOG!F:F,ATTENDANCE_LOG!C:C,A129)),0)),"")</f>
        <v>EL017</v>
      </c>
      <c r="R129" s="113" t="str">
        <f t="array" ref="R129">IFERROR(INDEX(ATTENDANCE_LOG!B:B,MATCH(1,(ATTENDANCE_LOG!C:C=A129)*(ATTENDANCE_LOG!F:F=MAXIFS(ATTENDANCE_LOG!F:F,ATTENDANCE_LOG!C:C,A129)),0)),"")</f>
        <v>Communication 1</v>
      </c>
      <c r="S129" s="113">
        <f>IFERROR(VLOOKUP(H129, LEVEL_HELPER!A:B, 2, 0), 0)</f>
        <v>1</v>
      </c>
      <c r="T129" s="113">
        <f>IFERROR(VLOOKUP(I129, LEVEL_HELPER!A:B, 2, 0), 0)</f>
        <v>1</v>
      </c>
      <c r="U129" s="113">
        <f t="shared" ref="U129:V129" si="133">IF(S129="",0,IF(S129&lt;=2,1,IF(S129&lt;=4,2,IF(S129&lt;=5.5,3,4))))
</f>
        <v>1</v>
      </c>
      <c r="V129" s="113">
        <f t="shared" si="133"/>
        <v>1</v>
      </c>
      <c r="W129" s="113" t="str">
        <f t="shared" si="6"/>
        <v>No Progress</v>
      </c>
      <c r="X129" s="113"/>
      <c r="Y129" s="113"/>
      <c r="Z129" s="113"/>
      <c r="AA129" s="113"/>
      <c r="AB129" s="116"/>
      <c r="AC129" s="116"/>
      <c r="AD129" s="117"/>
    </row>
    <row r="130" ht="15.75" customHeight="1">
      <c r="A130" s="104" t="s">
        <v>459</v>
      </c>
      <c r="B130" s="105" t="s">
        <v>460</v>
      </c>
      <c r="C130" s="106" t="str">
        <f>IFERROR(__xludf.DUMMYFUNCTION("arrayformula(VLOOKUP(to_Text(A130),to_Text(sheet2!$A$1:M1005),13,0))"),"MOC")</f>
        <v>MOC</v>
      </c>
      <c r="D130" s="107" t="str">
        <f>IFERROR(__xludf.DUMMYFUNCTION("arrayformula(VLOOKUP(to_Text(A130),to_Text(sheet2!$A$1:M1005),12,0))"),"QC")</f>
        <v>QC</v>
      </c>
      <c r="E130" s="108" t="str">
        <f t="shared" si="2"/>
        <v>Inactive</v>
      </c>
      <c r="F130" s="104" t="str">
        <f t="array" ref="F130">IFERROR(
  INDEX(ATTENDANCE_INPUT!D:D,
    MATCH(1,
      (ATTENDANCE_INPUT!A:A=A130) *
      (ATTENDANCE_INPUT!W:W=MAXIFS(ATTENDANCE_INPUT!W:W, ATTENDANCE_INPUT!A:A, A130)),
      0)),
  "")</f>
        <v>Nhat Nguyen</v>
      </c>
      <c r="G130" s="109" t="str">
        <f t="array" ref="G130">IFERROR(
  INDEX(ATTENDANCE_INPUT!E:E,
    MATCH(1,
      (ATTENDANCE_INPUT!A:A=A130) *
      (ATTENDANCE_INPUT!W:W=MAXIFS(ATTENDANCE_INPUT!W:W, ATTENDANCE_INPUT!A:A, A130)),
      0)),
  "")</f>
        <v>Communication 1</v>
      </c>
      <c r="H130" s="110" t="str">
        <f t="array" ref="H130">IF(ISNA(MATCH(A130,sheet2!A:A,0)),"⏳ Chưa test",IFERROR(INDEX(LEVEL_HELPER!A:A,MATCH(INDEX(sheet2!N:N,MATCH(A130,sheet2!A:A,0)),LEVEL_HELPER!B:B,0)),"⏳ Chưa test"))</f>
        <v>Pre-Intermediate</v>
      </c>
      <c r="I130" s="110" t="str">
        <f t="array" ref="I130">IF(ISNA(MATCH(A130,sheet2!A:A,0)),H130,IF(INDEX(sheet2!O:O,MATCH(A130,sheet2!A:A,0))&gt;0,IFERROR(INDEX(LEVEL_HELPER!A:A,MATCH(INDEX(sheet2!O:O,MATCH(A130,sheet2!A:A,0)),LEVEL_HELPER!B:B,0)),H130),H130))</f>
        <v>Pre-Intermediate 1</v>
      </c>
      <c r="J130" s="110">
        <f>IFERROR(MAXIFS(ATTENDANCE_LOG!F:F, ATTENDANCE_LOG!C:C, A130&amp;"", ATTENDANCE_LOG!G:G, "Present"), "")</f>
        <v>45841.41667</v>
      </c>
      <c r="K130" s="111">
        <f t="shared" si="3"/>
        <v>371.5833333</v>
      </c>
      <c r="L130" s="112" t="str">
        <f t="shared" si="4"/>
        <v>✅ Completed</v>
      </c>
      <c r="M130" s="120" t="s">
        <v>35</v>
      </c>
      <c r="N130" s="114" t="s">
        <v>36</v>
      </c>
      <c r="O130" s="129"/>
      <c r="P130" s="115">
        <f>IFERROR(__xludf.DUMMYFUNCTION("IFERROR(COUNTUNIQUEIFS(ATTENDANCE_LOG!B:B,ATTENDANCE_LOG!C:C,A130),0)"),1.0)</f>
        <v>1</v>
      </c>
      <c r="Q130" s="113" t="str">
        <f t="array" ref="Q130">IFERROR(INDEX(ATTENDANCE_LOG!A:A,MATCH(1,(ATTENDANCE_LOG!C:C=A130)*(ATTENDANCE_LOG!F:F=MAXIFS(ATTENDANCE_LOG!F:F,ATTENDANCE_LOG!C:C,A130)),0)),"")</f>
        <v>EL007</v>
      </c>
      <c r="R130" s="113" t="str">
        <f t="array" ref="R130">IFERROR(INDEX(ATTENDANCE_LOG!B:B,MATCH(1,(ATTENDANCE_LOG!C:C=A130)*(ATTENDANCE_LOG!F:F=MAXIFS(ATTENDANCE_LOG!F:F,ATTENDANCE_LOG!C:C,A130)),0)),"")</f>
        <v>Communication 1</v>
      </c>
      <c r="S130" s="113">
        <f>IFERROR(VLOOKUP(H130, LEVEL_HELPER!A:B, 2, 0), 0)</f>
        <v>2.5</v>
      </c>
      <c r="T130" s="113">
        <f>IFERROR(VLOOKUP(I130, LEVEL_HELPER!A:B, 2, 0), 0)</f>
        <v>3</v>
      </c>
      <c r="U130" s="113">
        <f t="shared" ref="U130:V130" si="134">IF(S130="",0,IF(S130&lt;=2,1,IF(S130&lt;=4,2,IF(S130&lt;=5.5,3,4))))
</f>
        <v>2</v>
      </c>
      <c r="V130" s="113">
        <f t="shared" si="134"/>
        <v>2</v>
      </c>
      <c r="W130" s="113" t="str">
        <f t="shared" si="6"/>
        <v>Minor Improvement</v>
      </c>
      <c r="X130" s="113"/>
      <c r="Y130" s="113"/>
      <c r="Z130" s="113"/>
      <c r="AA130" s="113"/>
      <c r="AB130" s="116"/>
      <c r="AC130" s="116"/>
      <c r="AD130" s="117"/>
    </row>
    <row r="131" ht="15.75" customHeight="1">
      <c r="A131" s="104" t="s">
        <v>461</v>
      </c>
      <c r="B131" s="105" t="s">
        <v>462</v>
      </c>
      <c r="C131" s="106" t="str">
        <f>IFERROR(__xludf.DUMMYFUNCTION("arrayformula(VLOOKUP(to_Text(A131),to_Text(sheet2!$A$1:M1005),13,0))"),"LBU")</f>
        <v>LBU</v>
      </c>
      <c r="D131" s="107" t="str">
        <f>IFERROR(__xludf.DUMMYFUNCTION("arrayformula(VLOOKUP(to_Text(A131),to_Text(sheet2!$A$1:M1005),12,0))"),"QC")</f>
        <v>QC</v>
      </c>
      <c r="E131" s="108" t="str">
        <f t="shared" si="2"/>
        <v>Inactive</v>
      </c>
      <c r="F131" s="104" t="str">
        <f t="array" ref="F131">IFERROR(
  INDEX(ATTENDANCE_INPUT!D:D,
    MATCH(1,
      (ATTENDANCE_INPUT!A:A=A131) *
      (ATTENDANCE_INPUT!W:W=MAXIFS(ATTENDANCE_INPUT!W:W, ATTENDANCE_INPUT!A:A, A131)),
      0)),
  "")</f>
        <v>Nhat Nguyen</v>
      </c>
      <c r="G131" s="109" t="str">
        <f t="array" ref="G131">IFERROR(
  INDEX(ATTENDANCE_INPUT!E:E,
    MATCH(1,
      (ATTENDANCE_INPUT!A:A=A131) *
      (ATTENDANCE_INPUT!W:W=MAXIFS(ATTENDANCE_INPUT!W:W, ATTENDANCE_INPUT!A:A, A131)),
      0)),
  "")</f>
        <v>Communication 2</v>
      </c>
      <c r="H131" s="110" t="str">
        <f t="array" ref="H131">IF(ISNA(MATCH(A131,sheet2!A:A,0)),"⏳ Chưa test",IFERROR(INDEX(LEVEL_HELPER!A:A,MATCH(INDEX(sheet2!N:N,MATCH(A131,sheet2!A:A,0)),LEVEL_HELPER!B:B,0)),"⏳ Chưa test"))</f>
        <v>Beginner</v>
      </c>
      <c r="I131" s="110" t="str">
        <f t="array" ref="I131">IF(ISNA(MATCH(A131,sheet2!A:A,0)),H131,IF(INDEX(sheet2!O:O,MATCH(A131,sheet2!A:A,0))&gt;0,IFERROR(INDEX(LEVEL_HELPER!A:A,MATCH(INDEX(sheet2!O:O,MATCH(A131,sheet2!A:A,0)),LEVEL_HELPER!B:B,0)),H131),H131))</f>
        <v>Beginner 2</v>
      </c>
      <c r="J131" s="110">
        <f>IFERROR(MAXIFS(ATTENDANCE_LOG!F:F, ATTENDANCE_LOG!C:C, A131&amp;"", ATTENDANCE_LOG!G:G, "Present"), "")</f>
        <v>46083.45833</v>
      </c>
      <c r="K131" s="111">
        <f t="shared" si="3"/>
        <v>129.5416667</v>
      </c>
      <c r="L131" s="112" t="str">
        <f t="shared" si="4"/>
        <v>❌ Dropped</v>
      </c>
      <c r="M131" s="113" t="s">
        <v>37</v>
      </c>
      <c r="N131" s="114" t="s">
        <v>36</v>
      </c>
      <c r="O131" s="113" t="s">
        <v>463</v>
      </c>
      <c r="P131" s="115">
        <f>IFERROR(__xludf.DUMMYFUNCTION("IFERROR(COUNTUNIQUEIFS(ATTENDANCE_LOG!B:B,ATTENDANCE_LOG!C:C,A131),0)"),2.0)</f>
        <v>2</v>
      </c>
      <c r="Q131" s="113" t="str">
        <f t="array" ref="Q131">IFERROR(INDEX(ATTENDANCE_LOG!A:A,MATCH(1,(ATTENDANCE_LOG!C:C=A131)*(ATTENDANCE_LOG!F:F=MAXIFS(ATTENDANCE_LOG!F:F,ATTENDANCE_LOG!C:C,A131)),0)),"")</f>
        <v>EL007</v>
      </c>
      <c r="R131" s="113" t="str">
        <f t="array" ref="R131">IFERROR(INDEX(ATTENDANCE_LOG!B:B,MATCH(1,(ATTENDANCE_LOG!C:C=A131)*(ATTENDANCE_LOG!F:F=MAXIFS(ATTENDANCE_LOG!F:F,ATTENDANCE_LOG!C:C,A131)),0)),"")</f>
        <v>Communication 2</v>
      </c>
      <c r="S131" s="113">
        <f>IFERROR(VLOOKUP(H131, LEVEL_HELPER!A:B, 2, 0), 0)</f>
        <v>1</v>
      </c>
      <c r="T131" s="113">
        <f>IFERROR(VLOOKUP(I131, LEVEL_HELPER!A:B, 2, 0), 0)</f>
        <v>1.5</v>
      </c>
      <c r="U131" s="113">
        <f t="shared" ref="U131:V131" si="135">IF(S131="",0,IF(S131&lt;=2,1,IF(S131&lt;=4,2,IF(S131&lt;=5.5,3,4))))
</f>
        <v>1</v>
      </c>
      <c r="V131" s="113">
        <f t="shared" si="135"/>
        <v>1</v>
      </c>
      <c r="W131" s="113" t="str">
        <f t="shared" si="6"/>
        <v>Minor Improvement</v>
      </c>
      <c r="X131" s="113"/>
      <c r="Y131" s="113"/>
      <c r="Z131" s="113"/>
      <c r="AA131" s="113"/>
      <c r="AB131" s="116"/>
      <c r="AC131" s="116"/>
      <c r="AD131" s="117"/>
    </row>
    <row r="132" ht="15.75" customHeight="1">
      <c r="A132" s="104" t="s">
        <v>464</v>
      </c>
      <c r="B132" s="105" t="s">
        <v>465</v>
      </c>
      <c r="C132" s="106" t="str">
        <f>IFERROR(__xludf.DUMMYFUNCTION("arrayformula(VLOOKUP(to_Text(A132),to_Text(sheet2!$A$1:M1005),13,0))"),"LBU")</f>
        <v>LBU</v>
      </c>
      <c r="D132" s="107" t="str">
        <f>IFERROR(__xludf.DUMMYFUNCTION("arrayformula(VLOOKUP(to_Text(A132),to_Text(sheet2!$A$1:M1005),12,0))"),"QC")</f>
        <v>QC</v>
      </c>
      <c r="E132" s="108" t="str">
        <f t="shared" si="2"/>
        <v>Inactive</v>
      </c>
      <c r="F132" s="104" t="str">
        <f t="array" ref="F132">IFERROR(
  INDEX(ATTENDANCE_INPUT!D:D,
    MATCH(1,
      (ATTENDANCE_INPUT!A:A=A132) *
      (ATTENDANCE_INPUT!W:W=MAXIFS(ATTENDANCE_INPUT!W:W, ATTENDANCE_INPUT!A:A, A132)),
      0)),
  "")</f>
        <v>Nhat Nguyen</v>
      </c>
      <c r="G132" s="109" t="str">
        <f t="array" ref="G132">IFERROR(
  INDEX(ATTENDANCE_INPUT!E:E,
    MATCH(1,
      (ATTENDANCE_INPUT!A:A=A132) *
      (ATTENDANCE_INPUT!W:W=MAXIFS(ATTENDANCE_INPUT!W:W, ATTENDANCE_INPUT!A:A, A132)),
      0)),
  "")</f>
        <v>Communication 2</v>
      </c>
      <c r="H132" s="110" t="str">
        <f t="array" ref="H132">IF(ISNA(MATCH(A132,sheet2!A:A,0)),"⏳ Chưa test",IFERROR(INDEX(LEVEL_HELPER!A:A,MATCH(INDEX(sheet2!N:N,MATCH(A132,sheet2!A:A,0)),LEVEL_HELPER!B:B,0)),"⏳ Chưa test"))</f>
        <v>Beginner</v>
      </c>
      <c r="I132" s="110" t="str">
        <f t="array" ref="I132">IF(ISNA(MATCH(A132,sheet2!A:A,0)),H132,IF(INDEX(sheet2!O:O,MATCH(A132,sheet2!A:A,0))&gt;0,IFERROR(INDEX(LEVEL_HELPER!A:A,MATCH(INDEX(sheet2!O:O,MATCH(A132,sheet2!A:A,0)),LEVEL_HELPER!B:B,0)),H132),H132))</f>
        <v>Pre-Intermediate 2</v>
      </c>
      <c r="J132" s="110">
        <f>IFERROR(MAXIFS(ATTENDANCE_LOG!F:F, ATTENDANCE_LOG!C:C, A132&amp;"", ATTENDANCE_LOG!G:G, "Present"), "")</f>
        <v>45989.45833</v>
      </c>
      <c r="K132" s="111">
        <f t="shared" si="3"/>
        <v>223.5416667</v>
      </c>
      <c r="L132" s="112" t="str">
        <f t="shared" si="4"/>
        <v>❌ Dropped</v>
      </c>
      <c r="M132" s="113" t="s">
        <v>37</v>
      </c>
      <c r="N132" s="114" t="s">
        <v>42</v>
      </c>
      <c r="O132" s="113"/>
      <c r="P132" s="115">
        <f>IFERROR(__xludf.DUMMYFUNCTION("IFERROR(COUNTUNIQUEIFS(ATTENDANCE_LOG!B:B,ATTENDANCE_LOG!C:C,A132),0)"),2.0)</f>
        <v>2</v>
      </c>
      <c r="Q132" s="113" t="str">
        <f t="array" ref="Q132">IFERROR(INDEX(ATTENDANCE_LOG!A:A,MATCH(1,(ATTENDANCE_LOG!C:C=A132)*(ATTENDANCE_LOG!F:F=MAXIFS(ATTENDANCE_LOG!F:F,ATTENDANCE_LOG!C:C,A132)),0)),"")</f>
        <v>EL007</v>
      </c>
      <c r="R132" s="113" t="str">
        <f t="array" ref="R132">IFERROR(INDEX(ATTENDANCE_LOG!B:B,MATCH(1,(ATTENDANCE_LOG!C:C=A132)*(ATTENDANCE_LOG!F:F=MAXIFS(ATTENDANCE_LOG!F:F,ATTENDANCE_LOG!C:C,A132)),0)),"")</f>
        <v>Communication 2</v>
      </c>
      <c r="S132" s="113">
        <f>IFERROR(VLOOKUP(H132, LEVEL_HELPER!A:B, 2, 0), 0)</f>
        <v>1</v>
      </c>
      <c r="T132" s="113">
        <f>IFERROR(VLOOKUP(I132, LEVEL_HELPER!A:B, 2, 0), 0)</f>
        <v>3.5</v>
      </c>
      <c r="U132" s="113">
        <f t="shared" ref="U132:V132" si="136">IF(S132="",0,IF(S132&lt;=2,1,IF(S132&lt;=4,2,IF(S132&lt;=5.5,3,4))))
</f>
        <v>1</v>
      </c>
      <c r="V132" s="113">
        <f t="shared" si="136"/>
        <v>2</v>
      </c>
      <c r="W132" s="113" t="str">
        <f t="shared" si="6"/>
        <v>Lv1→Lv2</v>
      </c>
      <c r="X132" s="113"/>
      <c r="Y132" s="113"/>
      <c r="Z132" s="113"/>
      <c r="AA132" s="113"/>
      <c r="AB132" s="116"/>
      <c r="AC132" s="116"/>
      <c r="AD132" s="117"/>
    </row>
    <row r="133" ht="15.75" customHeight="1">
      <c r="A133" s="104" t="s">
        <v>466</v>
      </c>
      <c r="B133" s="105" t="s">
        <v>467</v>
      </c>
      <c r="C133" s="106" t="str">
        <f>IFERROR(__xludf.DUMMYFUNCTION("arrayformula(VLOOKUP(to_Text(A133),to_Text(sheet2!$A$1:M1005),13,0))"),"CHORUS")</f>
        <v>CHORUS</v>
      </c>
      <c r="D133" s="107" t="str">
        <f>IFERROR(__xludf.DUMMYFUNCTION("arrayformula(VLOOKUP(to_Text(A133),to_Text(sheet2!$A$1:M1005),12,0))"),"DEV")</f>
        <v>DEV</v>
      </c>
      <c r="E133" s="108" t="str">
        <f t="shared" si="2"/>
        <v>Inactive</v>
      </c>
      <c r="F133" s="104" t="str">
        <f t="array" ref="F133">IFERROR(
  INDEX(ATTENDANCE_INPUT!D:D,
    MATCH(1,
      (ATTENDANCE_INPUT!A:A=A133) *
      (ATTENDANCE_INPUT!W:W=MAXIFS(ATTENDANCE_INPUT!W:W, ATTENDANCE_INPUT!A:A, A133)),
      0)),
  "")</f>
        <v>Nhat Nguyen</v>
      </c>
      <c r="G133" s="109" t="str">
        <f t="array" ref="G133">IFERROR(
  INDEX(ATTENDANCE_INPUT!E:E,
    MATCH(1,
      (ATTENDANCE_INPUT!A:A=A133) *
      (ATTENDANCE_INPUT!W:W=MAXIFS(ATTENDANCE_INPUT!W:W, ATTENDANCE_INPUT!A:A, A133)),
      0)),
  "")</f>
        <v>Communication 2</v>
      </c>
      <c r="H133" s="110" t="str">
        <f t="array" ref="H133">IF(ISNA(MATCH(A133,sheet2!A:A,0)),"⏳ Chưa test",IFERROR(INDEX(LEVEL_HELPER!A:A,MATCH(INDEX(sheet2!N:N,MATCH(A133,sheet2!A:A,0)),LEVEL_HELPER!B:B,0)),"⏳ Chưa test"))</f>
        <v>Beginner</v>
      </c>
      <c r="I133" s="110" t="str">
        <f t="array" ref="I133">IF(ISNA(MATCH(A133,sheet2!A:A,0)),H133,IF(INDEX(sheet2!O:O,MATCH(A133,sheet2!A:A,0))&gt;0,IFERROR(INDEX(LEVEL_HELPER!A:A,MATCH(INDEX(sheet2!O:O,MATCH(A133,sheet2!A:A,0)),LEVEL_HELPER!B:B,0)),H133),H133))</f>
        <v>Pre-Intermediate 1</v>
      </c>
      <c r="J133" s="110">
        <f>IFERROR(MAXIFS(ATTENDANCE_LOG!F:F, ATTENDANCE_LOG!C:C, A133&amp;"", ATTENDANCE_LOG!G:G, "Present"), "")</f>
        <v>46021.375</v>
      </c>
      <c r="K133" s="111">
        <f t="shared" si="3"/>
        <v>191.625</v>
      </c>
      <c r="L133" s="112" t="str">
        <f t="shared" si="4"/>
        <v>❌ Dropped</v>
      </c>
      <c r="M133" s="113" t="s">
        <v>37</v>
      </c>
      <c r="N133" s="114" t="s">
        <v>34</v>
      </c>
      <c r="O133" s="113"/>
      <c r="P133" s="115">
        <f>IFERROR(__xludf.DUMMYFUNCTION("IFERROR(COUNTUNIQUEIFS(ATTENDANCE_LOG!B:B,ATTENDANCE_LOG!C:C,A133),0)"),2.0)</f>
        <v>2</v>
      </c>
      <c r="Q133" s="113" t="str">
        <f t="array" ref="Q133">IFERROR(INDEX(ATTENDANCE_LOG!A:A,MATCH(1,(ATTENDANCE_LOG!C:C=A133)*(ATTENDANCE_LOG!F:F=MAXIFS(ATTENDANCE_LOG!F:F,ATTENDANCE_LOG!C:C,A133)),0)),"")</f>
        <v>EL007</v>
      </c>
      <c r="R133" s="113" t="str">
        <f t="array" ref="R133">IFERROR(INDEX(ATTENDANCE_LOG!B:B,MATCH(1,(ATTENDANCE_LOG!C:C=A133)*(ATTENDANCE_LOG!F:F=MAXIFS(ATTENDANCE_LOG!F:F,ATTENDANCE_LOG!C:C,A133)),0)),"")</f>
        <v>Communication 2</v>
      </c>
      <c r="S133" s="113">
        <f>IFERROR(VLOOKUP(H133, LEVEL_HELPER!A:B, 2, 0), 0)</f>
        <v>1</v>
      </c>
      <c r="T133" s="113">
        <f>IFERROR(VLOOKUP(I133, LEVEL_HELPER!A:B, 2, 0), 0)</f>
        <v>3</v>
      </c>
      <c r="U133" s="113">
        <f t="shared" ref="U133:V133" si="137">IF(S133="",0,IF(S133&lt;=2,1,IF(S133&lt;=4,2,IF(S133&lt;=5.5,3,4))))
</f>
        <v>1</v>
      </c>
      <c r="V133" s="113">
        <f t="shared" si="137"/>
        <v>2</v>
      </c>
      <c r="W133" s="113" t="str">
        <f t="shared" si="6"/>
        <v>Lv1→Lv2</v>
      </c>
      <c r="X133" s="113"/>
      <c r="Y133" s="113"/>
      <c r="Z133" s="113"/>
      <c r="AA133" s="113"/>
      <c r="AB133" s="116"/>
      <c r="AC133" s="116"/>
      <c r="AD133" s="117"/>
    </row>
    <row r="134" ht="15.75" customHeight="1">
      <c r="A134" s="104" t="s">
        <v>468</v>
      </c>
      <c r="B134" s="105" t="s">
        <v>469</v>
      </c>
      <c r="C134" s="106" t="str">
        <f>IFERROR(__xludf.DUMMYFUNCTION("arrayformula(VLOOKUP(to_Text(A134),to_Text(sheet2!$A$1:M1005),13,0))"),"CHORUS")</f>
        <v>CHORUS</v>
      </c>
      <c r="D134" s="107" t="str">
        <f>IFERROR(__xludf.DUMMYFUNCTION("arrayformula(VLOOKUP(to_Text(A134),to_Text(sheet2!$A$1:M1005),12,0))"),"DEV")</f>
        <v>DEV</v>
      </c>
      <c r="E134" s="108" t="str">
        <f t="shared" si="2"/>
        <v>Inactive</v>
      </c>
      <c r="F134" s="104" t="str">
        <f t="array" ref="F134">IFERROR(
  INDEX(ATTENDANCE_INPUT!D:D,
    MATCH(1,
      (ATTENDANCE_INPUT!A:A=A134) *
      (ATTENDANCE_INPUT!W:W=MAXIFS(ATTENDANCE_INPUT!W:W, ATTENDANCE_INPUT!A:A, A134)),
      0)),
  "")</f>
        <v>Nhat Nguyen</v>
      </c>
      <c r="G134" s="109" t="str">
        <f t="array" ref="G134">IFERROR(
  INDEX(ATTENDANCE_INPUT!E:E,
    MATCH(1,
      (ATTENDANCE_INPUT!A:A=A134) *
      (ATTENDANCE_INPUT!W:W=MAXIFS(ATTENDANCE_INPUT!W:W, ATTENDANCE_INPUT!A:A, A134)),
      0)),
  "")</f>
        <v>Communication 2</v>
      </c>
      <c r="H134" s="110" t="str">
        <f t="array" ref="H134">IF(ISNA(MATCH(A134,sheet2!A:A,0)),"⏳ Chưa test",IFERROR(INDEX(LEVEL_HELPER!A:A,MATCH(INDEX(sheet2!N:N,MATCH(A134,sheet2!A:A,0)),LEVEL_HELPER!B:B,0)),"⏳ Chưa test"))</f>
        <v>Pre-Intermediate</v>
      </c>
      <c r="I134" s="110" t="str">
        <f t="array" ref="I134">IF(ISNA(MATCH(A134,sheet2!A:A,0)),H134,IF(INDEX(sheet2!O:O,MATCH(A134,sheet2!A:A,0))&gt;0,IFERROR(INDEX(LEVEL_HELPER!A:A,MATCH(INDEX(sheet2!O:O,MATCH(A134,sheet2!A:A,0)),LEVEL_HELPER!B:B,0)),H134),H134))</f>
        <v>Pre-Intermediate 2</v>
      </c>
      <c r="J134" s="110">
        <f>IFERROR(MAXIFS(ATTENDANCE_LOG!F:F, ATTENDANCE_LOG!C:C, A134&amp;"", ATTENDANCE_LOG!G:G, "Present"), "")</f>
        <v>46021.375</v>
      </c>
      <c r="K134" s="111">
        <f t="shared" si="3"/>
        <v>191.625</v>
      </c>
      <c r="L134" s="112" t="str">
        <f t="shared" si="4"/>
        <v>❌ Dropped</v>
      </c>
      <c r="M134" s="113" t="s">
        <v>37</v>
      </c>
      <c r="N134" s="114" t="s">
        <v>34</v>
      </c>
      <c r="O134" s="113"/>
      <c r="P134" s="115">
        <f>IFERROR(__xludf.DUMMYFUNCTION("IFERROR(COUNTUNIQUEIFS(ATTENDANCE_LOG!B:B,ATTENDANCE_LOG!C:C,A134),0)"),2.0)</f>
        <v>2</v>
      </c>
      <c r="Q134" s="113" t="str">
        <f t="array" ref="Q134">IFERROR(INDEX(ATTENDANCE_LOG!A:A,MATCH(1,(ATTENDANCE_LOG!C:C=A134)*(ATTENDANCE_LOG!F:F=MAXIFS(ATTENDANCE_LOG!F:F,ATTENDANCE_LOG!C:C,A134)),0)),"")</f>
        <v>EL007</v>
      </c>
      <c r="R134" s="113" t="str">
        <f t="array" ref="R134">IFERROR(INDEX(ATTENDANCE_LOG!B:B,MATCH(1,(ATTENDANCE_LOG!C:C=A134)*(ATTENDANCE_LOG!F:F=MAXIFS(ATTENDANCE_LOG!F:F,ATTENDANCE_LOG!C:C,A134)),0)),"")</f>
        <v>Communication 2</v>
      </c>
      <c r="S134" s="113">
        <f>IFERROR(VLOOKUP(H134, LEVEL_HELPER!A:B, 2, 0), 0)</f>
        <v>2.5</v>
      </c>
      <c r="T134" s="113">
        <f>IFERROR(VLOOKUP(I134, LEVEL_HELPER!A:B, 2, 0), 0)</f>
        <v>3.5</v>
      </c>
      <c r="U134" s="113">
        <f t="shared" ref="U134:V134" si="138">IF(S134="",0,IF(S134&lt;=2,1,IF(S134&lt;=4,2,IF(S134&lt;=5.5,3,4))))
</f>
        <v>2</v>
      </c>
      <c r="V134" s="113">
        <f t="shared" si="138"/>
        <v>2</v>
      </c>
      <c r="W134" s="113" t="str">
        <f t="shared" si="6"/>
        <v>Minor Improvement</v>
      </c>
      <c r="X134" s="113"/>
      <c r="Y134" s="113"/>
      <c r="Z134" s="113"/>
      <c r="AA134" s="113"/>
      <c r="AB134" s="116"/>
      <c r="AC134" s="116"/>
      <c r="AD134" s="117"/>
    </row>
    <row r="135" ht="15.75" customHeight="1">
      <c r="A135" s="104" t="s">
        <v>470</v>
      </c>
      <c r="B135" s="105" t="s">
        <v>471</v>
      </c>
      <c r="C135" s="106" t="str">
        <f>IFERROR(__xludf.DUMMYFUNCTION("arrayformula(VLOOKUP(to_Text(A135),to_Text(sheet2!$A$1:M1005),13,0))"),"CHORUS")</f>
        <v>CHORUS</v>
      </c>
      <c r="D135" s="107" t="str">
        <f>IFERROR(__xludf.DUMMYFUNCTION("arrayformula(VLOOKUP(to_Text(A135),to_Text(sheet2!$A$1:M1005),12,0))"),"DEV")</f>
        <v>DEV</v>
      </c>
      <c r="E135" s="108" t="str">
        <f t="shared" si="2"/>
        <v>Inactive</v>
      </c>
      <c r="F135" s="104" t="str">
        <f t="array" ref="F135">IFERROR(
  INDEX(ATTENDANCE_INPUT!D:D,
    MATCH(1,
      (ATTENDANCE_INPUT!A:A=A135) *
      (ATTENDANCE_INPUT!W:W=MAXIFS(ATTENDANCE_INPUT!W:W, ATTENDANCE_INPUT!A:A, A135)),
      0)),
  "")</f>
        <v>Nhat Nguyen</v>
      </c>
      <c r="G135" s="109" t="str">
        <f t="array" ref="G135">IFERROR(
  INDEX(ATTENDANCE_INPUT!E:E,
    MATCH(1,
      (ATTENDANCE_INPUT!A:A=A135) *
      (ATTENDANCE_INPUT!W:W=MAXIFS(ATTENDANCE_INPUT!W:W, ATTENDANCE_INPUT!A:A, A135)),
      0)),
  "")</f>
        <v>Communication 2</v>
      </c>
      <c r="H135" s="110" t="str">
        <f t="array" ref="H135">IF(ISNA(MATCH(A135,sheet2!A:A,0)),"⏳ Chưa test",IFERROR(INDEX(LEVEL_HELPER!A:A,MATCH(INDEX(sheet2!N:N,MATCH(A135,sheet2!A:A,0)),LEVEL_HELPER!B:B,0)),"⏳ Chưa test"))</f>
        <v>Beginner</v>
      </c>
      <c r="I135" s="110" t="str">
        <f t="array" ref="I135">IF(ISNA(MATCH(A135,sheet2!A:A,0)),H135,IF(INDEX(sheet2!O:O,MATCH(A135,sheet2!A:A,0))&gt;0,IFERROR(INDEX(LEVEL_HELPER!A:A,MATCH(INDEX(sheet2!O:O,MATCH(A135,sheet2!A:A,0)),LEVEL_HELPER!B:B,0)),H135),H135))</f>
        <v>Pre-Intermediate 1</v>
      </c>
      <c r="J135" s="110">
        <f>IFERROR(MAXIFS(ATTENDANCE_LOG!F:F, ATTENDANCE_LOG!C:C, A135&amp;"", ATTENDANCE_LOG!G:G, "Present"), "")</f>
        <v>46021.375</v>
      </c>
      <c r="K135" s="111">
        <f t="shared" si="3"/>
        <v>191.625</v>
      </c>
      <c r="L135" s="112" t="str">
        <f t="shared" si="4"/>
        <v>❌ Dropped</v>
      </c>
      <c r="M135" s="113" t="s">
        <v>37</v>
      </c>
      <c r="N135" s="114" t="s">
        <v>36</v>
      </c>
      <c r="O135" s="113"/>
      <c r="P135" s="115">
        <f>IFERROR(__xludf.DUMMYFUNCTION("IFERROR(COUNTUNIQUEIFS(ATTENDANCE_LOG!B:B,ATTENDANCE_LOG!C:C,A135),0)"),2.0)</f>
        <v>2</v>
      </c>
      <c r="Q135" s="113" t="str">
        <f t="array" ref="Q135">IFERROR(INDEX(ATTENDANCE_LOG!A:A,MATCH(1,(ATTENDANCE_LOG!C:C=A135)*(ATTENDANCE_LOG!F:F=MAXIFS(ATTENDANCE_LOG!F:F,ATTENDANCE_LOG!C:C,A135)),0)),"")</f>
        <v>EL007</v>
      </c>
      <c r="R135" s="113" t="str">
        <f t="array" ref="R135">IFERROR(INDEX(ATTENDANCE_LOG!B:B,MATCH(1,(ATTENDANCE_LOG!C:C=A135)*(ATTENDANCE_LOG!F:F=MAXIFS(ATTENDANCE_LOG!F:F,ATTENDANCE_LOG!C:C,A135)),0)),"")</f>
        <v>Communication 2</v>
      </c>
      <c r="S135" s="113">
        <f>IFERROR(VLOOKUP(H135, LEVEL_HELPER!A:B, 2, 0), 0)</f>
        <v>1</v>
      </c>
      <c r="T135" s="113">
        <f>IFERROR(VLOOKUP(I135, LEVEL_HELPER!A:B, 2, 0), 0)</f>
        <v>3</v>
      </c>
      <c r="U135" s="113">
        <f t="shared" ref="U135:V135" si="139">IF(S135="",0,IF(S135&lt;=2,1,IF(S135&lt;=4,2,IF(S135&lt;=5.5,3,4))))
</f>
        <v>1</v>
      </c>
      <c r="V135" s="113">
        <f t="shared" si="139"/>
        <v>2</v>
      </c>
      <c r="W135" s="113" t="str">
        <f t="shared" si="6"/>
        <v>Lv1→Lv2</v>
      </c>
      <c r="X135" s="113"/>
      <c r="Y135" s="113"/>
      <c r="Z135" s="113"/>
      <c r="AA135" s="113"/>
      <c r="AB135" s="116"/>
      <c r="AC135" s="116"/>
      <c r="AD135" s="117"/>
    </row>
    <row r="136" ht="15.75" customHeight="1">
      <c r="A136" s="104" t="s">
        <v>472</v>
      </c>
      <c r="B136" s="105" t="s">
        <v>473</v>
      </c>
      <c r="C136" s="106" t="str">
        <f>IFERROR(__xludf.DUMMYFUNCTION("arrayformula(VLOOKUP(to_Text(A136),to_Text(sheet2!$A$1:M1005),13,0))"),"TBU")</f>
        <v>TBU</v>
      </c>
      <c r="D136" s="107" t="str">
        <f>IFERROR(__xludf.DUMMYFUNCTION("arrayformula(VLOOKUP(to_Text(A136),to_Text(sheet2!$A$1:M1005),12,0))"),"DEV")</f>
        <v>DEV</v>
      </c>
      <c r="E136" s="108" t="str">
        <f t="shared" si="2"/>
        <v>Inactive</v>
      </c>
      <c r="F136" s="104" t="str">
        <f t="array" ref="F136">IFERROR(
  INDEX(ATTENDANCE_INPUT!D:D,
    MATCH(1,
      (ATTENDANCE_INPUT!A:A=A136) *
      (ATTENDANCE_INPUT!W:W=MAXIFS(ATTENDANCE_INPUT!W:W, ATTENDANCE_INPUT!A:A, A136)),
      0)),
  "")</f>
        <v>Nhat Nguyen</v>
      </c>
      <c r="G136" s="109" t="str">
        <f t="array" ref="G136">IFERROR(
  INDEX(ATTENDANCE_INPUT!E:E,
    MATCH(1,
      (ATTENDANCE_INPUT!A:A=A136) *
      (ATTENDANCE_INPUT!W:W=MAXIFS(ATTENDANCE_INPUT!W:W, ATTENDANCE_INPUT!A:A, A136)),
      0)),
  "")</f>
        <v>Communication 2</v>
      </c>
      <c r="H136" s="110" t="str">
        <f t="array" ref="H136">IF(ISNA(MATCH(A136,sheet2!A:A,0)),"⏳ Chưa test",IFERROR(INDEX(LEVEL_HELPER!A:A,MATCH(INDEX(sheet2!N:N,MATCH(A136,sheet2!A:A,0)),LEVEL_HELPER!B:B,0)),"⏳ Chưa test"))</f>
        <v>Beginner</v>
      </c>
      <c r="I136" s="110" t="str">
        <f t="array" ref="I136">IF(ISNA(MATCH(A136,sheet2!A:A,0)),H136,IF(INDEX(sheet2!O:O,MATCH(A136,sheet2!A:A,0))&gt;0,IFERROR(INDEX(LEVEL_HELPER!A:A,MATCH(INDEX(sheet2!O:O,MATCH(A136,sheet2!A:A,0)),LEVEL_HELPER!B:B,0)),H136),H136))</f>
        <v>Pre-Intermediate 1</v>
      </c>
      <c r="J136" s="110">
        <f>IFERROR(MAXIFS(ATTENDANCE_LOG!F:F, ATTENDANCE_LOG!C:C, A136&amp;"", ATTENDANCE_LOG!G:G, "Present"), "")</f>
        <v>45996.41667</v>
      </c>
      <c r="K136" s="111">
        <f t="shared" si="3"/>
        <v>216.5833333</v>
      </c>
      <c r="L136" s="112" t="str">
        <f t="shared" si="4"/>
        <v>❌ Dropped</v>
      </c>
      <c r="M136" s="113" t="s">
        <v>37</v>
      </c>
      <c r="N136" s="114" t="s">
        <v>36</v>
      </c>
      <c r="O136" s="113"/>
      <c r="P136" s="115">
        <f>IFERROR(__xludf.DUMMYFUNCTION("IFERROR(COUNTUNIQUEIFS(ATTENDANCE_LOG!B:B,ATTENDANCE_LOG!C:C,A136),0)"),2.0)</f>
        <v>2</v>
      </c>
      <c r="Q136" s="113" t="str">
        <f t="array" ref="Q136">IFERROR(INDEX(ATTENDANCE_LOG!A:A,MATCH(1,(ATTENDANCE_LOG!C:C=A136)*(ATTENDANCE_LOG!F:F=MAXIFS(ATTENDANCE_LOG!F:F,ATTENDANCE_LOG!C:C,A136)),0)),"")</f>
        <v>EL007</v>
      </c>
      <c r="R136" s="113" t="str">
        <f t="array" ref="R136">IFERROR(INDEX(ATTENDANCE_LOG!B:B,MATCH(1,(ATTENDANCE_LOG!C:C=A136)*(ATTENDANCE_LOG!F:F=MAXIFS(ATTENDANCE_LOG!F:F,ATTENDANCE_LOG!C:C,A136)),0)),"")</f>
        <v>Communication 2</v>
      </c>
      <c r="S136" s="113">
        <f>IFERROR(VLOOKUP(H136, LEVEL_HELPER!A:B, 2, 0), 0)</f>
        <v>1</v>
      </c>
      <c r="T136" s="113">
        <f>IFERROR(VLOOKUP(I136, LEVEL_HELPER!A:B, 2, 0), 0)</f>
        <v>3</v>
      </c>
      <c r="U136" s="113">
        <f t="shared" ref="U136:V136" si="140">IF(S136="",0,IF(S136&lt;=2,1,IF(S136&lt;=4,2,IF(S136&lt;=5.5,3,4))))
</f>
        <v>1</v>
      </c>
      <c r="V136" s="113">
        <f t="shared" si="140"/>
        <v>2</v>
      </c>
      <c r="W136" s="113" t="str">
        <f t="shared" si="6"/>
        <v>Lv1→Lv2</v>
      </c>
      <c r="X136" s="113"/>
      <c r="Y136" s="113"/>
      <c r="Z136" s="113"/>
      <c r="AA136" s="113"/>
      <c r="AB136" s="116"/>
      <c r="AC136" s="116"/>
      <c r="AD136" s="117"/>
    </row>
    <row r="137" ht="15.75" customHeight="1">
      <c r="A137" s="104" t="s">
        <v>474</v>
      </c>
      <c r="B137" s="105" t="s">
        <v>475</v>
      </c>
      <c r="C137" s="106" t="str">
        <f>IFERROR(__xludf.DUMMYFUNCTION("arrayformula(VLOOKUP(to_Text(A137),to_Text(sheet2!$A$1:M1005),13,0))"),"TBU")</f>
        <v>TBU</v>
      </c>
      <c r="D137" s="107" t="str">
        <f>IFERROR(__xludf.DUMMYFUNCTION("arrayformula(VLOOKUP(to_Text(A137),to_Text(sheet2!$A$1:M1005),12,0))"),"DEV")</f>
        <v>DEV</v>
      </c>
      <c r="E137" s="108" t="str">
        <f t="shared" si="2"/>
        <v>Waiting for class</v>
      </c>
      <c r="F137" s="104" t="str">
        <f t="array" ref="F137">IFERROR(
  INDEX(ATTENDANCE_INPUT!D:D,
    MATCH(1,
      (ATTENDANCE_INPUT!A:A=A137) *
      (ATTENDANCE_INPUT!W:W=MAXIFS(ATTENDANCE_INPUT!W:W, ATTENDANCE_INPUT!A:A, A137)),
      0)),
  "")</f>
        <v>Nhat Nguyen</v>
      </c>
      <c r="G137" s="109" t="str">
        <f t="array" ref="G137">IFERROR(
  INDEX(ATTENDANCE_INPUT!E:E,
    MATCH(1,
      (ATTENDANCE_INPUT!A:A=A137) *
      (ATTENDANCE_INPUT!W:W=MAXIFS(ATTENDANCE_INPUT!W:W, ATTENDANCE_INPUT!A:A, A137)),
      0)),
  "")</f>
        <v>Communication 2</v>
      </c>
      <c r="H137" s="110" t="str">
        <f t="array" ref="H137">IF(ISNA(MATCH(A137,sheet2!A:A,0)),"⏳ Chưa test",IFERROR(INDEX(LEVEL_HELPER!A:A,MATCH(INDEX(sheet2!N:N,MATCH(A137,sheet2!A:A,0)),LEVEL_HELPER!B:B,0)),"⏳ Chưa test"))</f>
        <v>Beginner</v>
      </c>
      <c r="I137" s="110" t="str">
        <f t="array" ref="I137">IF(ISNA(MATCH(A137,sheet2!A:A,0)),H137,IF(INDEX(sheet2!O:O,MATCH(A137,sheet2!A:A,0))&gt;0,IFERROR(INDEX(LEVEL_HELPER!A:A,MATCH(INDEX(sheet2!O:O,MATCH(A137,sheet2!A:A,0)),LEVEL_HELPER!B:B,0)),H137),H137))</f>
        <v>Pre-Intermediate 2</v>
      </c>
      <c r="J137" s="110">
        <f>IFERROR(MAXIFS(ATTENDANCE_LOG!F:F, ATTENDANCE_LOG!C:C, A137&amp;"", ATTENDANCE_LOG!G:G, "Present"), "")</f>
        <v>46083.45833</v>
      </c>
      <c r="K137" s="111">
        <f t="shared" si="3"/>
        <v>129.5416667</v>
      </c>
      <c r="L137" s="112" t="str">
        <f t="shared" si="4"/>
        <v>⚠ Check</v>
      </c>
      <c r="M137" s="125" t="s">
        <v>202</v>
      </c>
      <c r="N137" s="114"/>
      <c r="O137" s="120" t="s">
        <v>203</v>
      </c>
      <c r="P137" s="115">
        <f>IFERROR(__xludf.DUMMYFUNCTION("IFERROR(COUNTUNIQUEIFS(ATTENDANCE_LOG!B:B,ATTENDANCE_LOG!C:C,A137),0)"),2.0)</f>
        <v>2</v>
      </c>
      <c r="Q137" s="113" t="str">
        <f t="array" ref="Q137">IFERROR(INDEX(ATTENDANCE_LOG!A:A,MATCH(1,(ATTENDANCE_LOG!C:C=A137)*(ATTENDANCE_LOG!F:F=MAXIFS(ATTENDANCE_LOG!F:F,ATTENDANCE_LOG!C:C,A137)),0)),"")</f>
        <v>EL007</v>
      </c>
      <c r="R137" s="113" t="str">
        <f t="array" ref="R137">IFERROR(INDEX(ATTENDANCE_LOG!B:B,MATCH(1,(ATTENDANCE_LOG!C:C=A137)*(ATTENDANCE_LOG!F:F=MAXIFS(ATTENDANCE_LOG!F:F,ATTENDANCE_LOG!C:C,A137)),0)),"")</f>
        <v>Communication 2</v>
      </c>
      <c r="S137" s="113">
        <f>IFERROR(VLOOKUP(H137, LEVEL_HELPER!A:B, 2, 0), 0)</f>
        <v>1</v>
      </c>
      <c r="T137" s="113">
        <f>IFERROR(VLOOKUP(I137, LEVEL_HELPER!A:B, 2, 0), 0)</f>
        <v>3.5</v>
      </c>
      <c r="U137" s="113">
        <f t="shared" ref="U137:V137" si="141">IF(S137="",0,IF(S137&lt;=2,1,IF(S137&lt;=4,2,IF(S137&lt;=5.5,3,4))))
</f>
        <v>1</v>
      </c>
      <c r="V137" s="113">
        <f t="shared" si="141"/>
        <v>2</v>
      </c>
      <c r="W137" s="113" t="str">
        <f t="shared" si="6"/>
        <v>Lv1→Lv2</v>
      </c>
      <c r="X137" s="121"/>
      <c r="Y137" s="121"/>
      <c r="Z137" s="121"/>
      <c r="AA137" s="121"/>
      <c r="AB137" s="102"/>
      <c r="AC137" s="102"/>
      <c r="AD137" s="103"/>
    </row>
    <row r="138" ht="15.75" customHeight="1">
      <c r="A138" s="104" t="s">
        <v>476</v>
      </c>
      <c r="B138" s="105" t="s">
        <v>477</v>
      </c>
      <c r="C138" s="106" t="str">
        <f>IFERROR(__xludf.DUMMYFUNCTION("arrayformula(VLOOKUP(to_Text(A138),to_Text(sheet2!$A$1:M1005),13,0))"),"LBU")</f>
        <v>LBU</v>
      </c>
      <c r="D138" s="107" t="str">
        <f>IFERROR(__xludf.DUMMYFUNCTION("arrayformula(VLOOKUP(to_Text(A138),to_Text(sheet2!$A$1:M1005),12,0))"),"DEV")</f>
        <v>DEV</v>
      </c>
      <c r="E138" s="108" t="str">
        <f t="shared" si="2"/>
        <v>Waiting for class</v>
      </c>
      <c r="F138" s="104" t="str">
        <f t="array" ref="F138">IFERROR(
  INDEX(ATTENDANCE_INPUT!D:D,
    MATCH(1,
      (ATTENDANCE_INPUT!A:A=A138) *
      (ATTENDANCE_INPUT!W:W=MAXIFS(ATTENDANCE_INPUT!W:W, ATTENDANCE_INPUT!A:A, A138)),
      0)),
  "")</f>
        <v>Nhat Nguyen</v>
      </c>
      <c r="G138" s="109" t="str">
        <f t="array" ref="G138">IFERROR(
  INDEX(ATTENDANCE_INPUT!E:E,
    MATCH(1,
      (ATTENDANCE_INPUT!A:A=A138) *
      (ATTENDANCE_INPUT!W:W=MAXIFS(ATTENDANCE_INPUT!W:W, ATTENDANCE_INPUT!A:A, A138)),
      0)),
  "")</f>
        <v>Communication 2</v>
      </c>
      <c r="H138" s="110" t="str">
        <f t="array" ref="H138">IF(ISNA(MATCH(A138,sheet2!A:A,0)),"⏳ Chưa test",IFERROR(INDEX(LEVEL_HELPER!A:A,MATCH(INDEX(sheet2!N:N,MATCH(A138,sheet2!A:A,0)),LEVEL_HELPER!B:B,0)),"⏳ Chưa test"))</f>
        <v>Beginner</v>
      </c>
      <c r="I138" s="110" t="str">
        <f t="array" ref="I138">IF(ISNA(MATCH(A138,sheet2!A:A,0)),H138,IF(INDEX(sheet2!O:O,MATCH(A138,sheet2!A:A,0))&gt;0,IFERROR(INDEX(LEVEL_HELPER!A:A,MATCH(INDEX(sheet2!O:O,MATCH(A138,sheet2!A:A,0)),LEVEL_HELPER!B:B,0)),H138),H138))</f>
        <v>Intermediate 1</v>
      </c>
      <c r="J138" s="110">
        <f>IFERROR(MAXIFS(ATTENDANCE_LOG!F:F, ATTENDANCE_LOG!C:C, A138&amp;"", ATTENDANCE_LOG!G:G, "Present"), "")</f>
        <v>46083.45833</v>
      </c>
      <c r="K138" s="111">
        <f t="shared" si="3"/>
        <v>129.5416667</v>
      </c>
      <c r="L138" s="112" t="str">
        <f t="shared" si="4"/>
        <v>⚠ Check</v>
      </c>
      <c r="M138" s="125" t="s">
        <v>202</v>
      </c>
      <c r="N138" s="114"/>
      <c r="O138" s="120" t="s">
        <v>203</v>
      </c>
      <c r="P138" s="115">
        <f>IFERROR(__xludf.DUMMYFUNCTION("IFERROR(COUNTUNIQUEIFS(ATTENDANCE_LOG!B:B,ATTENDANCE_LOG!C:C,A138),0)"),2.0)</f>
        <v>2</v>
      </c>
      <c r="Q138" s="113" t="str">
        <f t="array" ref="Q138">IFERROR(INDEX(ATTENDANCE_LOG!A:A,MATCH(1,(ATTENDANCE_LOG!C:C=A138)*(ATTENDANCE_LOG!F:F=MAXIFS(ATTENDANCE_LOG!F:F,ATTENDANCE_LOG!C:C,A138)),0)),"")</f>
        <v>EL007</v>
      </c>
      <c r="R138" s="113" t="str">
        <f t="array" ref="R138">IFERROR(INDEX(ATTENDANCE_LOG!B:B,MATCH(1,(ATTENDANCE_LOG!C:C=A138)*(ATTENDANCE_LOG!F:F=MAXIFS(ATTENDANCE_LOG!F:F,ATTENDANCE_LOG!C:C,A138)),0)),"")</f>
        <v>Communication 2</v>
      </c>
      <c r="S138" s="113">
        <f>IFERROR(VLOOKUP(H138, LEVEL_HELPER!A:B, 2, 0), 0)</f>
        <v>1</v>
      </c>
      <c r="T138" s="113">
        <f>IFERROR(VLOOKUP(I138, LEVEL_HELPER!A:B, 2, 0), 0)</f>
        <v>5</v>
      </c>
      <c r="U138" s="113">
        <f t="shared" ref="U138:V138" si="142">IF(S138="",0,IF(S138&lt;=2,1,IF(S138&lt;=4,2,IF(S138&lt;=5.5,3,4))))
</f>
        <v>1</v>
      </c>
      <c r="V138" s="113">
        <f t="shared" si="142"/>
        <v>3</v>
      </c>
      <c r="W138" s="113" t="str">
        <f t="shared" si="6"/>
        <v>Lv1→Lv3 (multi)</v>
      </c>
      <c r="X138" s="121"/>
      <c r="Y138" s="121"/>
      <c r="Z138" s="121"/>
      <c r="AA138" s="121"/>
      <c r="AB138" s="102"/>
      <c r="AC138" s="102"/>
      <c r="AD138" s="103"/>
    </row>
    <row r="139" ht="15.75" customHeight="1">
      <c r="A139" s="104" t="s">
        <v>478</v>
      </c>
      <c r="B139" s="105" t="s">
        <v>479</v>
      </c>
      <c r="C139" s="106" t="str">
        <f>IFERROR(__xludf.DUMMYFUNCTION("arrayformula(VLOOKUP(to_Text(A139),to_Text(sheet2!$A$1:M1005),13,0))"),"ONC")</f>
        <v>ONC</v>
      </c>
      <c r="D139" s="107" t="str">
        <f>IFERROR(__xludf.DUMMYFUNCTION("arrayformula(VLOOKUP(to_Text(A139),to_Text(sheet2!$A$1:M1005),12,0))"),"DEV")</f>
        <v>DEV</v>
      </c>
      <c r="E139" s="108" t="str">
        <f t="shared" si="2"/>
        <v>Inactive</v>
      </c>
      <c r="F139" s="104" t="str">
        <f t="array" ref="F139">IFERROR(
  INDEX(ATTENDANCE_INPUT!D:D,
    MATCH(1,
      (ATTENDANCE_INPUT!A:A=A139) *
      (ATTENDANCE_INPUT!W:W=MAXIFS(ATTENDANCE_INPUT!W:W, ATTENDANCE_INPUT!A:A, A139)),
      0)),
  "")</f>
        <v>Nhat Phan 1</v>
      </c>
      <c r="G139" s="109" t="str">
        <f t="array" ref="G139">IFERROR(
  INDEX(ATTENDANCE_INPUT!E:E,
    MATCH(1,
      (ATTENDANCE_INPUT!A:A=A139) *
      (ATTENDANCE_INPUT!W:W=MAXIFS(ATTENDANCE_INPUT!W:W, ATTENDANCE_INPUT!A:A, A139)),
      0)),
  "")</f>
        <v>Communication 2</v>
      </c>
      <c r="H139" s="110" t="str">
        <f t="array" ref="H139">IF(ISNA(MATCH(A139,sheet2!A:A,0)),"⏳ Chưa test",IFERROR(INDEX(LEVEL_HELPER!A:A,MATCH(INDEX(sheet2!N:N,MATCH(A139,sheet2!A:A,0)),LEVEL_HELPER!B:B,0)),"⏳ Chưa test"))</f>
        <v>Beginner</v>
      </c>
      <c r="I139" s="110" t="str">
        <f t="array" ref="I139">IF(ISNA(MATCH(A139,sheet2!A:A,0)),H139,IF(INDEX(sheet2!O:O,MATCH(A139,sheet2!A:A,0))&gt;0,IFERROR(INDEX(LEVEL_HELPER!A:A,MATCH(INDEX(sheet2!O:O,MATCH(A139,sheet2!A:A,0)),LEVEL_HELPER!B:B,0)),H139),H139))</f>
        <v>Pre-Intermediate 2</v>
      </c>
      <c r="J139" s="110">
        <f>IFERROR(MAXIFS(ATTENDANCE_LOG!F:F, ATTENDANCE_LOG!C:C, A139&amp;"", ATTENDANCE_LOG!G:G, "Present"), "")</f>
        <v>46021.58333</v>
      </c>
      <c r="K139" s="111">
        <f t="shared" si="3"/>
        <v>191.4166667</v>
      </c>
      <c r="L139" s="112" t="str">
        <f t="shared" si="4"/>
        <v>✅ Completed</v>
      </c>
      <c r="M139" s="113" t="s">
        <v>35</v>
      </c>
      <c r="N139" s="114" t="s">
        <v>34</v>
      </c>
      <c r="O139" s="113"/>
      <c r="P139" s="115">
        <f>IFERROR(__xludf.DUMMYFUNCTION("IFERROR(COUNTUNIQUEIFS(ATTENDANCE_LOG!B:B,ATTENDANCE_LOG!C:C,A139),0)"),2.0)</f>
        <v>2</v>
      </c>
      <c r="Q139" s="113" t="str">
        <f t="array" ref="Q139">IFERROR(INDEX(ATTENDANCE_LOG!A:A,MATCH(1,(ATTENDANCE_LOG!C:C=A139)*(ATTENDANCE_LOG!F:F=MAXIFS(ATTENDANCE_LOG!F:F,ATTENDANCE_LOG!C:C,A139)),0)),"")</f>
        <v>EL018</v>
      </c>
      <c r="R139" s="113" t="str">
        <f t="array" ref="R139">IFERROR(INDEX(ATTENDANCE_LOG!B:B,MATCH(1,(ATTENDANCE_LOG!C:C=A139)*(ATTENDANCE_LOG!F:F=MAXIFS(ATTENDANCE_LOG!F:F,ATTENDANCE_LOG!C:C,A139)),0)),"")</f>
        <v>Communication 2</v>
      </c>
      <c r="S139" s="113">
        <f>IFERROR(VLOOKUP(H139, LEVEL_HELPER!A:B, 2, 0), 0)</f>
        <v>1</v>
      </c>
      <c r="T139" s="113">
        <f>IFERROR(VLOOKUP(I139, LEVEL_HELPER!A:B, 2, 0), 0)</f>
        <v>3.5</v>
      </c>
      <c r="U139" s="113">
        <f t="shared" ref="U139:V139" si="143">IF(S139="",0,IF(S139&lt;=2,1,IF(S139&lt;=4,2,IF(S139&lt;=5.5,3,4))))
</f>
        <v>1</v>
      </c>
      <c r="V139" s="113">
        <f t="shared" si="143"/>
        <v>2</v>
      </c>
      <c r="W139" s="113" t="str">
        <f t="shared" si="6"/>
        <v>Lv1→Lv2</v>
      </c>
      <c r="X139" s="113"/>
      <c r="Y139" s="113"/>
      <c r="Z139" s="113"/>
      <c r="AA139" s="113"/>
      <c r="AB139" s="116"/>
      <c r="AC139" s="116"/>
      <c r="AD139" s="117"/>
    </row>
    <row r="140" ht="15.75" customHeight="1">
      <c r="A140" s="104" t="s">
        <v>480</v>
      </c>
      <c r="B140" s="105" t="s">
        <v>481</v>
      </c>
      <c r="C140" s="106" t="str">
        <f>IFERROR(__xludf.DUMMYFUNCTION("arrayformula(VLOOKUP(to_Text(A140),to_Text(sheet2!$A$1:M1005),13,0))"),"ONC")</f>
        <v>ONC</v>
      </c>
      <c r="D140" s="107" t="str">
        <f>IFERROR(__xludf.DUMMYFUNCTION("arrayformula(VLOOKUP(to_Text(A140),to_Text(sheet2!$A$1:M1005),12,0))"),"DEV")</f>
        <v>DEV</v>
      </c>
      <c r="E140" s="108" t="str">
        <f t="shared" si="2"/>
        <v>Inactive</v>
      </c>
      <c r="F140" s="104" t="str">
        <f t="array" ref="F140">IFERROR(
  INDEX(ATTENDANCE_INPUT!D:D,
    MATCH(1,
      (ATTENDANCE_INPUT!A:A=A140) *
      (ATTENDANCE_INPUT!W:W=MAXIFS(ATTENDANCE_INPUT!W:W, ATTENDANCE_INPUT!A:A, A140)),
      0)),
  "")</f>
        <v>Nhat Phan 1</v>
      </c>
      <c r="G140" s="109" t="str">
        <f t="array" ref="G140">IFERROR(
  INDEX(ATTENDANCE_INPUT!E:E,
    MATCH(1,
      (ATTENDANCE_INPUT!A:A=A140) *
      (ATTENDANCE_INPUT!W:W=MAXIFS(ATTENDANCE_INPUT!W:W, ATTENDANCE_INPUT!A:A, A140)),
      0)),
  "")</f>
        <v>Communication 2</v>
      </c>
      <c r="H140" s="110" t="str">
        <f t="array" ref="H140">IF(ISNA(MATCH(A140,sheet2!A:A,0)),"⏳ Chưa test",IFERROR(INDEX(LEVEL_HELPER!A:A,MATCH(INDEX(sheet2!N:N,MATCH(A140,sheet2!A:A,0)),LEVEL_HELPER!B:B,0)),"⏳ Chưa test"))</f>
        <v>Beginner</v>
      </c>
      <c r="I140" s="110" t="str">
        <f t="array" ref="I140">IF(ISNA(MATCH(A140,sheet2!A:A,0)),H140,IF(INDEX(sheet2!O:O,MATCH(A140,sheet2!A:A,0))&gt;0,IFERROR(INDEX(LEVEL_HELPER!A:A,MATCH(INDEX(sheet2!O:O,MATCH(A140,sheet2!A:A,0)),LEVEL_HELPER!B:B,0)),H140),H140))</f>
        <v>Beginner</v>
      </c>
      <c r="J140" s="110">
        <f>IFERROR(MAXIFS(ATTENDANCE_LOG!F:F, ATTENDANCE_LOG!C:C, A140&amp;"", ATTENDANCE_LOG!G:G, "Present"), "")</f>
        <v>46021.58333</v>
      </c>
      <c r="K140" s="111">
        <f t="shared" si="3"/>
        <v>191.4166667</v>
      </c>
      <c r="L140" s="112" t="str">
        <f t="shared" si="4"/>
        <v>✅ Completed</v>
      </c>
      <c r="M140" s="113" t="s">
        <v>35</v>
      </c>
      <c r="N140" s="114" t="s">
        <v>34</v>
      </c>
      <c r="O140" s="113"/>
      <c r="P140" s="115">
        <f>IFERROR(__xludf.DUMMYFUNCTION("IFERROR(COUNTUNIQUEIFS(ATTENDANCE_LOG!B:B,ATTENDANCE_LOG!C:C,A140),0)"),2.0)</f>
        <v>2</v>
      </c>
      <c r="Q140" s="113" t="str">
        <f t="array" ref="Q140">IFERROR(INDEX(ATTENDANCE_LOG!A:A,MATCH(1,(ATTENDANCE_LOG!C:C=A140)*(ATTENDANCE_LOG!F:F=MAXIFS(ATTENDANCE_LOG!F:F,ATTENDANCE_LOG!C:C,A140)),0)),"")</f>
        <v>EL018</v>
      </c>
      <c r="R140" s="113" t="str">
        <f t="array" ref="R140">IFERROR(INDEX(ATTENDANCE_LOG!B:B,MATCH(1,(ATTENDANCE_LOG!C:C=A140)*(ATTENDANCE_LOG!F:F=MAXIFS(ATTENDANCE_LOG!F:F,ATTENDANCE_LOG!C:C,A140)),0)),"")</f>
        <v>Communication 2</v>
      </c>
      <c r="S140" s="113">
        <f>IFERROR(VLOOKUP(H140, LEVEL_HELPER!A:B, 2, 0), 0)</f>
        <v>1</v>
      </c>
      <c r="T140" s="113">
        <f>IFERROR(VLOOKUP(I140, LEVEL_HELPER!A:B, 2, 0), 0)</f>
        <v>1</v>
      </c>
      <c r="U140" s="113">
        <f t="shared" ref="U140:V140" si="144">IF(S140="",0,IF(S140&lt;=2,1,IF(S140&lt;=4,2,IF(S140&lt;=5.5,3,4))))
</f>
        <v>1</v>
      </c>
      <c r="V140" s="113">
        <f t="shared" si="144"/>
        <v>1</v>
      </c>
      <c r="W140" s="113" t="str">
        <f t="shared" si="6"/>
        <v>No Progress</v>
      </c>
      <c r="X140" s="113"/>
      <c r="Y140" s="113"/>
      <c r="Z140" s="113"/>
      <c r="AA140" s="113"/>
      <c r="AB140" s="116"/>
      <c r="AC140" s="116"/>
      <c r="AD140" s="117"/>
    </row>
    <row r="141" ht="15.75" customHeight="1">
      <c r="A141" s="104" t="s">
        <v>482</v>
      </c>
      <c r="B141" s="105" t="s">
        <v>483</v>
      </c>
      <c r="C141" s="106" t="str">
        <f>IFERROR(__xludf.DUMMYFUNCTION("arrayformula(VLOOKUP(to_Text(A141),to_Text(sheet2!$A$1:M1005),13,0))"),"ONC")</f>
        <v>ONC</v>
      </c>
      <c r="D141" s="107" t="str">
        <f>IFERROR(__xludf.DUMMYFUNCTION("arrayformula(VLOOKUP(to_Text(A141),to_Text(sheet2!$A$1:M1005),12,0))"),"DEV")</f>
        <v>DEV</v>
      </c>
      <c r="E141" s="108" t="str">
        <f t="shared" si="2"/>
        <v>Inactive</v>
      </c>
      <c r="F141" s="104" t="str">
        <f t="array" ref="F141">IFERROR(
  INDEX(ATTENDANCE_INPUT!D:D,
    MATCH(1,
      (ATTENDANCE_INPUT!A:A=A141) *
      (ATTENDANCE_INPUT!W:W=MAXIFS(ATTENDANCE_INPUT!W:W, ATTENDANCE_INPUT!A:A, A141)),
      0)),
  "")</f>
        <v>Nhat Phan 1</v>
      </c>
      <c r="G141" s="109" t="str">
        <f t="array" ref="G141">IFERROR(
  INDEX(ATTENDANCE_INPUT!E:E,
    MATCH(1,
      (ATTENDANCE_INPUT!A:A=A141) *
      (ATTENDANCE_INPUT!W:W=MAXIFS(ATTENDANCE_INPUT!W:W, ATTENDANCE_INPUT!A:A, A141)),
      0)),
  "")</f>
        <v>Communication 1</v>
      </c>
      <c r="H141" s="110" t="str">
        <f t="array" ref="H141">IF(ISNA(MATCH(A141,sheet2!A:A,0)),"⏳ Chưa test",IFERROR(INDEX(LEVEL_HELPER!A:A,MATCH(INDEX(sheet2!N:N,MATCH(A141,sheet2!A:A,0)),LEVEL_HELPER!B:B,0)),"⏳ Chưa test"))</f>
        <v>⏳ Chưa test</v>
      </c>
      <c r="I141" s="110" t="str">
        <f t="array" ref="I141">IF(ISNA(MATCH(A141,sheet2!A:A,0)),H141,IF(INDEX(sheet2!O:O,MATCH(A141,sheet2!A:A,0))&gt;0,IFERROR(INDEX(LEVEL_HELPER!A:A,MATCH(INDEX(sheet2!O:O,MATCH(A141,sheet2!A:A,0)),LEVEL_HELPER!B:B,0)),H141),H141))</f>
        <v>⏳ Chưa test</v>
      </c>
      <c r="J141" s="110">
        <f>IFERROR(MAXIFS(ATTENDANCE_LOG!F:F, ATTENDANCE_LOG!C:C, A141&amp;"", ATTENDANCE_LOG!G:G, "Present"), "")</f>
        <v>45819.41667</v>
      </c>
      <c r="K141" s="111">
        <f t="shared" si="3"/>
        <v>393.5833333</v>
      </c>
      <c r="L141" s="112" t="str">
        <f t="shared" si="4"/>
        <v>✅ Completed</v>
      </c>
      <c r="M141" s="113" t="s">
        <v>35</v>
      </c>
      <c r="N141" s="114" t="s">
        <v>42</v>
      </c>
      <c r="O141" s="113"/>
      <c r="P141" s="115">
        <f>IFERROR(__xludf.DUMMYFUNCTION("IFERROR(COUNTUNIQUEIFS(ATTENDANCE_LOG!B:B,ATTENDANCE_LOG!C:C,A141),0)"),1.0)</f>
        <v>1</v>
      </c>
      <c r="Q141" s="113" t="str">
        <f t="array" ref="Q141">IFERROR(INDEX(ATTENDANCE_LOG!A:A,MATCH(1,(ATTENDANCE_LOG!C:C=A141)*(ATTENDANCE_LOG!F:F=MAXIFS(ATTENDANCE_LOG!F:F,ATTENDANCE_LOG!C:C,A141)),0)),"")</f>
        <v>EL018</v>
      </c>
      <c r="R141" s="113" t="str">
        <f t="array" ref="R141">IFERROR(INDEX(ATTENDANCE_LOG!B:B,MATCH(1,(ATTENDANCE_LOG!C:C=A141)*(ATTENDANCE_LOG!F:F=MAXIFS(ATTENDANCE_LOG!F:F,ATTENDANCE_LOG!C:C,A141)),0)),"")</f>
        <v>Communication 1</v>
      </c>
      <c r="S141" s="113">
        <f>IFERROR(VLOOKUP(H141, LEVEL_HELPER!A:B, 2, 0), 0)</f>
        <v>0</v>
      </c>
      <c r="T141" s="113">
        <f>IFERROR(VLOOKUP(I141, LEVEL_HELPER!A:B, 2, 0), 0)</f>
        <v>0</v>
      </c>
      <c r="U141" s="113">
        <f t="shared" ref="U141:V141" si="145">IF(S141="",0,IF(S141&lt;=2,1,IF(S141&lt;=4,2,IF(S141&lt;=5.5,3,4))))
</f>
        <v>1</v>
      </c>
      <c r="V141" s="113">
        <f t="shared" si="145"/>
        <v>1</v>
      </c>
      <c r="W141" s="113" t="str">
        <f t="shared" si="6"/>
        <v>No Progress</v>
      </c>
      <c r="X141" s="113"/>
      <c r="Y141" s="113"/>
      <c r="Z141" s="113"/>
      <c r="AA141" s="113"/>
      <c r="AB141" s="116"/>
      <c r="AC141" s="116"/>
      <c r="AD141" s="117"/>
    </row>
    <row r="142" ht="15.75" customHeight="1">
      <c r="A142" s="104" t="s">
        <v>484</v>
      </c>
      <c r="B142" s="105" t="s">
        <v>485</v>
      </c>
      <c r="C142" s="106" t="str">
        <f>IFERROR(__xludf.DUMMYFUNCTION("arrayformula(VLOOKUP(to_Text(A142),to_Text(sheet2!$A$1:M1005),13,0))"),"ONC")</f>
        <v>ONC</v>
      </c>
      <c r="D142" s="107" t="str">
        <f>IFERROR(__xludf.DUMMYFUNCTION("arrayformula(VLOOKUP(to_Text(A142),to_Text(sheet2!$A$1:M1005),12,0))"),"DEV")</f>
        <v>DEV</v>
      </c>
      <c r="E142" s="108" t="str">
        <f t="shared" si="2"/>
        <v>Inactive</v>
      </c>
      <c r="F142" s="104" t="str">
        <f t="array" ref="F142">IFERROR(
  INDEX(ATTENDANCE_INPUT!D:D,
    MATCH(1,
      (ATTENDANCE_INPUT!A:A=A142) *
      (ATTENDANCE_INPUT!W:W=MAXIFS(ATTENDANCE_INPUT!W:W, ATTENDANCE_INPUT!A:A, A142)),
      0)),
  "")</f>
        <v>Nhat Phan 1</v>
      </c>
      <c r="G142" s="109" t="str">
        <f t="array" ref="G142">IFERROR(
  INDEX(ATTENDANCE_INPUT!E:E,
    MATCH(1,
      (ATTENDANCE_INPUT!A:A=A142) *
      (ATTENDANCE_INPUT!W:W=MAXIFS(ATTENDANCE_INPUT!W:W, ATTENDANCE_INPUT!A:A, A142)),
      0)),
  "")</f>
        <v>Communication 2</v>
      </c>
      <c r="H142" s="110" t="str">
        <f t="array" ref="H142">IF(ISNA(MATCH(A142,sheet2!A:A,0)),"⏳ Chưa test",IFERROR(INDEX(LEVEL_HELPER!A:A,MATCH(INDEX(sheet2!N:N,MATCH(A142,sheet2!A:A,0)),LEVEL_HELPER!B:B,0)),"⏳ Chưa test"))</f>
        <v>Pre-Intermediate</v>
      </c>
      <c r="I142" s="110" t="str">
        <f t="array" ref="I142">IF(ISNA(MATCH(A142,sheet2!A:A,0)),H142,IF(INDEX(sheet2!O:O,MATCH(A142,sheet2!A:A,0))&gt;0,IFERROR(INDEX(LEVEL_HELPER!A:A,MATCH(INDEX(sheet2!O:O,MATCH(A142,sheet2!A:A,0)),LEVEL_HELPER!B:B,0)),H142),H142))</f>
        <v>Pre-Intermediate 2</v>
      </c>
      <c r="J142" s="110">
        <f>IFERROR(MAXIFS(ATTENDANCE_LOG!F:F, ATTENDANCE_LOG!C:C, A142&amp;"", ATTENDANCE_LOG!G:G, "Present"), "")</f>
        <v>46021.58333</v>
      </c>
      <c r="K142" s="111">
        <f t="shared" si="3"/>
        <v>191.4166667</v>
      </c>
      <c r="L142" s="112" t="str">
        <f t="shared" si="4"/>
        <v>✅ Completed</v>
      </c>
      <c r="M142" s="113" t="s">
        <v>35</v>
      </c>
      <c r="N142" s="114" t="s">
        <v>34</v>
      </c>
      <c r="O142" s="113"/>
      <c r="P142" s="115">
        <f>IFERROR(__xludf.DUMMYFUNCTION("IFERROR(COUNTUNIQUEIFS(ATTENDANCE_LOG!B:B,ATTENDANCE_LOG!C:C,A142),0)"),2.0)</f>
        <v>2</v>
      </c>
      <c r="Q142" s="113" t="str">
        <f t="array" ref="Q142">IFERROR(INDEX(ATTENDANCE_LOG!A:A,MATCH(1,(ATTENDANCE_LOG!C:C=A142)*(ATTENDANCE_LOG!F:F=MAXIFS(ATTENDANCE_LOG!F:F,ATTENDANCE_LOG!C:C,A142)),0)),"")</f>
        <v>EL018</v>
      </c>
      <c r="R142" s="113" t="str">
        <f t="array" ref="R142">IFERROR(INDEX(ATTENDANCE_LOG!B:B,MATCH(1,(ATTENDANCE_LOG!C:C=A142)*(ATTENDANCE_LOG!F:F=MAXIFS(ATTENDANCE_LOG!F:F,ATTENDANCE_LOG!C:C,A142)),0)),"")</f>
        <v>Communication 2</v>
      </c>
      <c r="S142" s="113">
        <f>IFERROR(VLOOKUP(H142, LEVEL_HELPER!A:B, 2, 0), 0)</f>
        <v>2.5</v>
      </c>
      <c r="T142" s="113">
        <f>IFERROR(VLOOKUP(I142, LEVEL_HELPER!A:B, 2, 0), 0)</f>
        <v>3.5</v>
      </c>
      <c r="U142" s="113">
        <f t="shared" ref="U142:V142" si="146">IF(S142="",0,IF(S142&lt;=2,1,IF(S142&lt;=4,2,IF(S142&lt;=5.5,3,4))))
</f>
        <v>2</v>
      </c>
      <c r="V142" s="113">
        <f t="shared" si="146"/>
        <v>2</v>
      </c>
      <c r="W142" s="113" t="str">
        <f t="shared" si="6"/>
        <v>Minor Improvement</v>
      </c>
      <c r="X142" s="113"/>
      <c r="Y142" s="113"/>
      <c r="Z142" s="113"/>
      <c r="AA142" s="113"/>
      <c r="AB142" s="116"/>
      <c r="AC142" s="116"/>
      <c r="AD142" s="117"/>
    </row>
    <row r="143" ht="15.75" customHeight="1">
      <c r="A143" s="104" t="s">
        <v>486</v>
      </c>
      <c r="B143" s="105" t="s">
        <v>487</v>
      </c>
      <c r="C143" s="106" t="str">
        <f>IFERROR(__xludf.DUMMYFUNCTION("arrayformula(VLOOKUP(to_Text(A143),to_Text(sheet2!$A$1:M1005),13,0))"),"ONC")</f>
        <v>ONC</v>
      </c>
      <c r="D143" s="107" t="str">
        <f>IFERROR(__xludf.DUMMYFUNCTION("arrayformula(VLOOKUP(to_Text(A143),to_Text(sheet2!$A$1:M1005),12,0))"),"DEV")</f>
        <v>DEV</v>
      </c>
      <c r="E143" s="108" t="str">
        <f t="shared" si="2"/>
        <v>Inactive</v>
      </c>
      <c r="F143" s="104" t="str">
        <f t="array" ref="F143">IFERROR(
  INDEX(ATTENDANCE_INPUT!D:D,
    MATCH(1,
      (ATTENDANCE_INPUT!A:A=A143) *
      (ATTENDANCE_INPUT!W:W=MAXIFS(ATTENDANCE_INPUT!W:W, ATTENDANCE_INPUT!A:A, A143)),
      0)),
  "")</f>
        <v>Nhat Phan 1</v>
      </c>
      <c r="G143" s="109" t="str">
        <f t="array" ref="G143">IFERROR(
  INDEX(ATTENDANCE_INPUT!E:E,
    MATCH(1,
      (ATTENDANCE_INPUT!A:A=A143) *
      (ATTENDANCE_INPUT!W:W=MAXIFS(ATTENDANCE_INPUT!W:W, ATTENDANCE_INPUT!A:A, A143)),
      0)),
  "")</f>
        <v>Communication 2</v>
      </c>
      <c r="H143" s="110" t="str">
        <f t="array" ref="H143">IF(ISNA(MATCH(A143,sheet2!A:A,0)),"⏳ Chưa test",IFERROR(INDEX(LEVEL_HELPER!A:A,MATCH(INDEX(sheet2!N:N,MATCH(A143,sheet2!A:A,0)),LEVEL_HELPER!B:B,0)),"⏳ Chưa test"))</f>
        <v>Beginner</v>
      </c>
      <c r="I143" s="110" t="str">
        <f t="array" ref="I143">IF(ISNA(MATCH(A143,sheet2!A:A,0)),H143,IF(INDEX(sheet2!O:O,MATCH(A143,sheet2!A:A,0))&gt;0,IFERROR(INDEX(LEVEL_HELPER!A:A,MATCH(INDEX(sheet2!O:O,MATCH(A143,sheet2!A:A,0)),LEVEL_HELPER!B:B,0)),H143),H143))</f>
        <v>Pre-Intermediate</v>
      </c>
      <c r="J143" s="110">
        <f>IFERROR(MAXIFS(ATTENDANCE_LOG!F:F, ATTENDANCE_LOG!C:C, A143&amp;"", ATTENDANCE_LOG!G:G, "Present"), "")</f>
        <v>46021.58333</v>
      </c>
      <c r="K143" s="111">
        <f t="shared" si="3"/>
        <v>191.4166667</v>
      </c>
      <c r="L143" s="112" t="str">
        <f t="shared" si="4"/>
        <v>✅ Completed</v>
      </c>
      <c r="M143" s="113" t="s">
        <v>35</v>
      </c>
      <c r="N143" s="114" t="s">
        <v>34</v>
      </c>
      <c r="O143" s="113"/>
      <c r="P143" s="115">
        <f>IFERROR(__xludf.DUMMYFUNCTION("IFERROR(COUNTUNIQUEIFS(ATTENDANCE_LOG!B:B,ATTENDANCE_LOG!C:C,A143),0)"),2.0)</f>
        <v>2</v>
      </c>
      <c r="Q143" s="113" t="str">
        <f t="array" ref="Q143">IFERROR(INDEX(ATTENDANCE_LOG!A:A,MATCH(1,(ATTENDANCE_LOG!C:C=A143)*(ATTENDANCE_LOG!F:F=MAXIFS(ATTENDANCE_LOG!F:F,ATTENDANCE_LOG!C:C,A143)),0)),"")</f>
        <v>EL018</v>
      </c>
      <c r="R143" s="113" t="str">
        <f t="array" ref="R143">IFERROR(INDEX(ATTENDANCE_LOG!B:B,MATCH(1,(ATTENDANCE_LOG!C:C=A143)*(ATTENDANCE_LOG!F:F=MAXIFS(ATTENDANCE_LOG!F:F,ATTENDANCE_LOG!C:C,A143)),0)),"")</f>
        <v>Communication 2</v>
      </c>
      <c r="S143" s="113">
        <f>IFERROR(VLOOKUP(H143, LEVEL_HELPER!A:B, 2, 0), 0)</f>
        <v>1</v>
      </c>
      <c r="T143" s="113">
        <f>IFERROR(VLOOKUP(I143, LEVEL_HELPER!A:B, 2, 0), 0)</f>
        <v>2.5</v>
      </c>
      <c r="U143" s="113">
        <f t="shared" ref="U143:V143" si="147">IF(S143="",0,IF(S143&lt;=2,1,IF(S143&lt;=4,2,IF(S143&lt;=5.5,3,4))))
</f>
        <v>1</v>
      </c>
      <c r="V143" s="113">
        <f t="shared" si="147"/>
        <v>2</v>
      </c>
      <c r="W143" s="113" t="str">
        <f t="shared" si="6"/>
        <v>Lv1→Lv2</v>
      </c>
      <c r="X143" s="113"/>
      <c r="Y143" s="113"/>
      <c r="Z143" s="113"/>
      <c r="AA143" s="113"/>
      <c r="AB143" s="116"/>
      <c r="AC143" s="116"/>
      <c r="AD143" s="117"/>
    </row>
    <row r="144" ht="15.75" customHeight="1">
      <c r="A144" s="104" t="s">
        <v>488</v>
      </c>
      <c r="B144" s="105" t="s">
        <v>489</v>
      </c>
      <c r="C144" s="106" t="str">
        <f>IFERROR(__xludf.DUMMYFUNCTION("arrayformula(VLOOKUP(to_Text(A144),to_Text(sheet2!$A$1:M1005),13,0))"),"ONC")</f>
        <v>ONC</v>
      </c>
      <c r="D144" s="107" t="str">
        <f>IFERROR(__xludf.DUMMYFUNCTION("arrayformula(VLOOKUP(to_Text(A144),to_Text(sheet2!$A$1:M1005),12,0))"),"DEV")</f>
        <v>DEV</v>
      </c>
      <c r="E144" s="108" t="str">
        <f t="shared" si="2"/>
        <v>Inactive</v>
      </c>
      <c r="F144" s="104" t="str">
        <f t="array" ref="F144">IFERROR(
  INDEX(ATTENDANCE_INPUT!D:D,
    MATCH(1,
      (ATTENDANCE_INPUT!A:A=A144) *
      (ATTENDANCE_INPUT!W:W=MAXIFS(ATTENDANCE_INPUT!W:W, ATTENDANCE_INPUT!A:A, A144)),
      0)),
  "")</f>
        <v>Nhat Phan 1</v>
      </c>
      <c r="G144" s="109" t="str">
        <f t="array" ref="G144">IFERROR(
  INDEX(ATTENDANCE_INPUT!E:E,
    MATCH(1,
      (ATTENDANCE_INPUT!A:A=A144) *
      (ATTENDANCE_INPUT!W:W=MAXIFS(ATTENDANCE_INPUT!W:W, ATTENDANCE_INPUT!A:A, A144)),
      0)),
  "")</f>
        <v>Communication 2</v>
      </c>
      <c r="H144" s="110" t="str">
        <f t="array" ref="H144">IF(ISNA(MATCH(A144,sheet2!A:A,0)),"⏳ Chưa test",IFERROR(INDEX(LEVEL_HELPER!A:A,MATCH(INDEX(sheet2!N:N,MATCH(A144,sheet2!A:A,0)),LEVEL_HELPER!B:B,0)),"⏳ Chưa test"))</f>
        <v>Beginner</v>
      </c>
      <c r="I144" s="110" t="str">
        <f t="array" ref="I144">IF(ISNA(MATCH(A144,sheet2!A:A,0)),H144,IF(INDEX(sheet2!O:O,MATCH(A144,sheet2!A:A,0))&gt;0,IFERROR(INDEX(LEVEL_HELPER!A:A,MATCH(INDEX(sheet2!O:O,MATCH(A144,sheet2!A:A,0)),LEVEL_HELPER!B:B,0)),H144),H144))</f>
        <v>Pre-Intermediate 1</v>
      </c>
      <c r="J144" s="110">
        <f>IFERROR(MAXIFS(ATTENDANCE_LOG!F:F, ATTENDANCE_LOG!C:C, A144&amp;"", ATTENDANCE_LOG!G:G, "Present"), "")</f>
        <v>46021.58333</v>
      </c>
      <c r="K144" s="111">
        <f t="shared" si="3"/>
        <v>191.4166667</v>
      </c>
      <c r="L144" s="112" t="str">
        <f t="shared" si="4"/>
        <v>✅ Completed</v>
      </c>
      <c r="M144" s="113" t="s">
        <v>35</v>
      </c>
      <c r="N144" s="114" t="s">
        <v>34</v>
      </c>
      <c r="O144" s="113"/>
      <c r="P144" s="115">
        <f>IFERROR(__xludf.DUMMYFUNCTION("IFERROR(COUNTUNIQUEIFS(ATTENDANCE_LOG!B:B,ATTENDANCE_LOG!C:C,A144),0)"),2.0)</f>
        <v>2</v>
      </c>
      <c r="Q144" s="113" t="str">
        <f t="array" ref="Q144">IFERROR(INDEX(ATTENDANCE_LOG!A:A,MATCH(1,(ATTENDANCE_LOG!C:C=A144)*(ATTENDANCE_LOG!F:F=MAXIFS(ATTENDANCE_LOG!F:F,ATTENDANCE_LOG!C:C,A144)),0)),"")</f>
        <v>EL018</v>
      </c>
      <c r="R144" s="113" t="str">
        <f t="array" ref="R144">IFERROR(INDEX(ATTENDANCE_LOG!B:B,MATCH(1,(ATTENDANCE_LOG!C:C=A144)*(ATTENDANCE_LOG!F:F=MAXIFS(ATTENDANCE_LOG!F:F,ATTENDANCE_LOG!C:C,A144)),0)),"")</f>
        <v>Communication 2</v>
      </c>
      <c r="S144" s="113">
        <f>IFERROR(VLOOKUP(H144, LEVEL_HELPER!A:B, 2, 0), 0)</f>
        <v>1</v>
      </c>
      <c r="T144" s="113">
        <f>IFERROR(VLOOKUP(I144, LEVEL_HELPER!A:B, 2, 0), 0)</f>
        <v>3</v>
      </c>
      <c r="U144" s="113">
        <f t="shared" ref="U144:V144" si="148">IF(S144="",0,IF(S144&lt;=2,1,IF(S144&lt;=4,2,IF(S144&lt;=5.5,3,4))))
</f>
        <v>1</v>
      </c>
      <c r="V144" s="113">
        <f t="shared" si="148"/>
        <v>2</v>
      </c>
      <c r="W144" s="113" t="str">
        <f t="shared" si="6"/>
        <v>Lv1→Lv2</v>
      </c>
      <c r="X144" s="113"/>
      <c r="Y144" s="113"/>
      <c r="Z144" s="113"/>
      <c r="AA144" s="113"/>
      <c r="AB144" s="116"/>
      <c r="AC144" s="116"/>
      <c r="AD144" s="117"/>
    </row>
    <row r="145" ht="15.75" customHeight="1">
      <c r="A145" s="104" t="s">
        <v>490</v>
      </c>
      <c r="B145" s="105" t="s">
        <v>491</v>
      </c>
      <c r="C145" s="106" t="str">
        <f>IFERROR(__xludf.DUMMYFUNCTION("arrayformula(VLOOKUP(to_Text(A145),to_Text(sheet2!$A$1:M1005),13,0))"),"ONC")</f>
        <v>ONC</v>
      </c>
      <c r="D145" s="107" t="str">
        <f>IFERROR(__xludf.DUMMYFUNCTION("arrayformula(VLOOKUP(to_Text(A145),to_Text(sheet2!$A$1:M1005),12,0))"),"DEV")</f>
        <v>DEV</v>
      </c>
      <c r="E145" s="108" t="str">
        <f t="shared" si="2"/>
        <v>Inactive</v>
      </c>
      <c r="F145" s="104" t="str">
        <f t="array" ref="F145">IFERROR(
  INDEX(ATTENDANCE_INPUT!D:D,
    MATCH(1,
      (ATTENDANCE_INPUT!A:A=A145) *
      (ATTENDANCE_INPUT!W:W=MAXIFS(ATTENDANCE_INPUT!W:W, ATTENDANCE_INPUT!A:A, A145)),
      0)),
  "")</f>
        <v>Nhat Phan 1</v>
      </c>
      <c r="G145" s="109" t="str">
        <f t="array" ref="G145">IFERROR(
  INDEX(ATTENDANCE_INPUT!E:E,
    MATCH(1,
      (ATTENDANCE_INPUT!A:A=A145) *
      (ATTENDANCE_INPUT!W:W=MAXIFS(ATTENDANCE_INPUT!W:W, ATTENDANCE_INPUT!A:A, A145)),
      0)),
  "")</f>
        <v>Communication 2</v>
      </c>
      <c r="H145" s="110" t="str">
        <f t="array" ref="H145">IF(ISNA(MATCH(A145,sheet2!A:A,0)),"⏳ Chưa test",IFERROR(INDEX(LEVEL_HELPER!A:A,MATCH(INDEX(sheet2!N:N,MATCH(A145,sheet2!A:A,0)),LEVEL_HELPER!B:B,0)),"⏳ Chưa test"))</f>
        <v>Pre-Intermediate</v>
      </c>
      <c r="I145" s="110" t="str">
        <f t="array" ref="I145">IF(ISNA(MATCH(A145,sheet2!A:A,0)),H145,IF(INDEX(sheet2!O:O,MATCH(A145,sheet2!A:A,0))&gt;0,IFERROR(INDEX(LEVEL_HELPER!A:A,MATCH(INDEX(sheet2!O:O,MATCH(A145,sheet2!A:A,0)),LEVEL_HELPER!B:B,0)),H145),H145))</f>
        <v>Pre-Intermediate</v>
      </c>
      <c r="J145" s="110">
        <f>IFERROR(MAXIFS(ATTENDANCE_LOG!F:F, ATTENDANCE_LOG!C:C, A145&amp;"", ATTENDANCE_LOG!G:G, "Present"), "")</f>
        <v>46021.58333</v>
      </c>
      <c r="K145" s="111">
        <f t="shared" si="3"/>
        <v>191.4166667</v>
      </c>
      <c r="L145" s="112" t="str">
        <f t="shared" si="4"/>
        <v>✅ Completed</v>
      </c>
      <c r="M145" s="113" t="s">
        <v>35</v>
      </c>
      <c r="N145" s="114" t="s">
        <v>34</v>
      </c>
      <c r="O145" s="113"/>
      <c r="P145" s="115">
        <f>IFERROR(__xludf.DUMMYFUNCTION("IFERROR(COUNTUNIQUEIFS(ATTENDANCE_LOG!B:B,ATTENDANCE_LOG!C:C,A145),0)"),2.0)</f>
        <v>2</v>
      </c>
      <c r="Q145" s="113" t="str">
        <f t="array" ref="Q145">IFERROR(INDEX(ATTENDANCE_LOG!A:A,MATCH(1,(ATTENDANCE_LOG!C:C=A145)*(ATTENDANCE_LOG!F:F=MAXIFS(ATTENDANCE_LOG!F:F,ATTENDANCE_LOG!C:C,A145)),0)),"")</f>
        <v>EL018</v>
      </c>
      <c r="R145" s="113" t="str">
        <f t="array" ref="R145">IFERROR(INDEX(ATTENDANCE_LOG!B:B,MATCH(1,(ATTENDANCE_LOG!C:C=A145)*(ATTENDANCE_LOG!F:F=MAXIFS(ATTENDANCE_LOG!F:F,ATTENDANCE_LOG!C:C,A145)),0)),"")</f>
        <v>Communication 2</v>
      </c>
      <c r="S145" s="113">
        <f>IFERROR(VLOOKUP(H145, LEVEL_HELPER!A:B, 2, 0), 0)</f>
        <v>2.5</v>
      </c>
      <c r="T145" s="113">
        <f>IFERROR(VLOOKUP(I145, LEVEL_HELPER!A:B, 2, 0), 0)</f>
        <v>2.5</v>
      </c>
      <c r="U145" s="113">
        <f t="shared" ref="U145:V145" si="149">IF(S145="",0,IF(S145&lt;=2,1,IF(S145&lt;=4,2,IF(S145&lt;=5.5,3,4))))
</f>
        <v>2</v>
      </c>
      <c r="V145" s="113">
        <f t="shared" si="149"/>
        <v>2</v>
      </c>
      <c r="W145" s="113" t="str">
        <f t="shared" si="6"/>
        <v>No Progress</v>
      </c>
      <c r="X145" s="113"/>
      <c r="Y145" s="113"/>
      <c r="Z145" s="113"/>
      <c r="AA145" s="113"/>
      <c r="AB145" s="116"/>
      <c r="AC145" s="116"/>
      <c r="AD145" s="117"/>
    </row>
    <row r="146" ht="15.75" customHeight="1">
      <c r="A146" s="104" t="s">
        <v>492</v>
      </c>
      <c r="B146" s="105" t="s">
        <v>493</v>
      </c>
      <c r="C146" s="106" t="str">
        <f>IFERROR(__xludf.DUMMYFUNCTION("arrayformula(VLOOKUP(to_Text(A146),to_Text(sheet2!$A$1:M1005),13,0))"),"ONC")</f>
        <v>ONC</v>
      </c>
      <c r="D146" s="107" t="str">
        <f>IFERROR(__xludf.DUMMYFUNCTION("arrayformula(VLOOKUP(to_Text(A146),to_Text(sheet2!$A$1:M1005),12,0))"),"DEV")</f>
        <v>DEV</v>
      </c>
      <c r="E146" s="108" t="str">
        <f t="shared" si="2"/>
        <v>Inactive</v>
      </c>
      <c r="F146" s="104" t="str">
        <f t="array" ref="F146">IFERROR(
  INDEX(ATTENDANCE_INPUT!D:D,
    MATCH(1,
      (ATTENDANCE_INPUT!A:A=A146) *
      (ATTENDANCE_INPUT!W:W=MAXIFS(ATTENDANCE_INPUT!W:W, ATTENDANCE_INPUT!A:A, A146)),
      0)),
  "")</f>
        <v>Nhat Phan 2</v>
      </c>
      <c r="G146" s="109" t="str">
        <f t="array" ref="G146">IFERROR(
  INDEX(ATTENDANCE_INPUT!E:E,
    MATCH(1,
      (ATTENDANCE_INPUT!A:A=A146) *
      (ATTENDANCE_INPUT!W:W=MAXIFS(ATTENDANCE_INPUT!W:W, ATTENDANCE_INPUT!A:A, A146)),
      0)),
  "")</f>
        <v>Communication 1</v>
      </c>
      <c r="H146" s="110" t="str">
        <f t="array" ref="H146">IF(ISNA(MATCH(A146,sheet2!A:A,0)),"⏳ Chưa test",IFERROR(INDEX(LEVEL_HELPER!A:A,MATCH(INDEX(sheet2!N:N,MATCH(A146,sheet2!A:A,0)),LEVEL_HELPER!B:B,0)),"⏳ Chưa test"))</f>
        <v>Beginner</v>
      </c>
      <c r="I146" s="110" t="str">
        <f t="array" ref="I146">IF(ISNA(MATCH(A146,sheet2!A:A,0)),H146,IF(INDEX(sheet2!O:O,MATCH(A146,sheet2!A:A,0))&gt;0,IFERROR(INDEX(LEVEL_HELPER!A:A,MATCH(INDEX(sheet2!O:O,MATCH(A146,sheet2!A:A,0)),LEVEL_HELPER!B:B,0)),H146),H146))</f>
        <v>Beginner</v>
      </c>
      <c r="J146" s="110">
        <f>IFERROR(MAXIFS(ATTENDANCE_LOG!F:F, ATTENDANCE_LOG!C:C, A146&amp;"", ATTENDANCE_LOG!G:G, "Present"), "")</f>
        <v>45772.41667</v>
      </c>
      <c r="K146" s="111">
        <f t="shared" si="3"/>
        <v>440.5833333</v>
      </c>
      <c r="L146" s="112" t="str">
        <f t="shared" si="4"/>
        <v>❌ Dropped</v>
      </c>
      <c r="M146" s="120" t="s">
        <v>37</v>
      </c>
      <c r="N146" s="126" t="s">
        <v>43</v>
      </c>
      <c r="O146" s="113"/>
      <c r="P146" s="115">
        <f>IFERROR(__xludf.DUMMYFUNCTION("IFERROR(COUNTUNIQUEIFS(ATTENDANCE_LOG!B:B,ATTENDANCE_LOG!C:C,A146),0)"),1.0)</f>
        <v>1</v>
      </c>
      <c r="Q146" s="113" t="str">
        <f t="array" ref="Q146">IFERROR(INDEX(ATTENDANCE_LOG!A:A,MATCH(1,(ATTENDANCE_LOG!C:C=A146)*(ATTENDANCE_LOG!F:F=MAXIFS(ATTENDANCE_LOG!F:F,ATTENDANCE_LOG!C:C,A146)),0)),"")</f>
        <v>EL019</v>
      </c>
      <c r="R146" s="113" t="str">
        <f t="array" ref="R146">IFERROR(INDEX(ATTENDANCE_LOG!B:B,MATCH(1,(ATTENDANCE_LOG!C:C=A146)*(ATTENDANCE_LOG!F:F=MAXIFS(ATTENDANCE_LOG!F:F,ATTENDANCE_LOG!C:C,A146)),0)),"")</f>
        <v>Communication 1</v>
      </c>
      <c r="S146" s="113">
        <f>IFERROR(VLOOKUP(H146, LEVEL_HELPER!A:B, 2, 0), 0)</f>
        <v>1</v>
      </c>
      <c r="T146" s="113">
        <f>IFERROR(VLOOKUP(I146, LEVEL_HELPER!A:B, 2, 0), 0)</f>
        <v>1</v>
      </c>
      <c r="U146" s="113">
        <f t="shared" ref="U146:V146" si="150">IF(S146="",0,IF(S146&lt;=2,1,IF(S146&lt;=4,2,IF(S146&lt;=5.5,3,4))))
</f>
        <v>1</v>
      </c>
      <c r="V146" s="113">
        <f t="shared" si="150"/>
        <v>1</v>
      </c>
      <c r="W146" s="113" t="str">
        <f t="shared" si="6"/>
        <v>No Progress</v>
      </c>
      <c r="X146" s="113"/>
      <c r="Y146" s="113"/>
      <c r="Z146" s="113"/>
      <c r="AA146" s="113"/>
      <c r="AB146" s="116"/>
      <c r="AC146" s="116"/>
      <c r="AD146" s="117"/>
    </row>
    <row r="147" ht="15.75" customHeight="1">
      <c r="A147" s="104" t="s">
        <v>494</v>
      </c>
      <c r="B147" s="105" t="s">
        <v>495</v>
      </c>
      <c r="C147" s="106" t="str">
        <f>IFERROR(__xludf.DUMMYFUNCTION("arrayformula(VLOOKUP(to_Text(A147),to_Text(sheet2!$A$1:M1005),13,0))"),"ONC")</f>
        <v>ONC</v>
      </c>
      <c r="D147" s="107" t="str">
        <f>IFERROR(__xludf.DUMMYFUNCTION("arrayformula(VLOOKUP(to_Text(A147),to_Text(sheet2!$A$1:M1005),12,0))"),"DEV")</f>
        <v>DEV</v>
      </c>
      <c r="E147" s="108" t="str">
        <f t="shared" si="2"/>
        <v>Waiting for class</v>
      </c>
      <c r="F147" s="104" t="str">
        <f t="array" ref="F147">IFERROR(
  INDEX(ATTENDANCE_INPUT!D:D,
    MATCH(1,
      (ATTENDANCE_INPUT!A:A=A147) *
      (ATTENDANCE_INPUT!W:W=MAXIFS(ATTENDANCE_INPUT!W:W, ATTENDANCE_INPUT!A:A, A147)),
      0)),
  "")</f>
        <v>Nhat Phan 2</v>
      </c>
      <c r="G147" s="109" t="str">
        <f t="array" ref="G147">IFERROR(
  INDEX(ATTENDANCE_INPUT!E:E,
    MATCH(1,
      (ATTENDANCE_INPUT!A:A=A147) *
      (ATTENDANCE_INPUT!W:W=MAXIFS(ATTENDANCE_INPUT!W:W, ATTENDANCE_INPUT!A:A, A147)),
      0)),
  "")</f>
        <v>Communication 1</v>
      </c>
      <c r="H147" s="110" t="str">
        <f t="array" ref="H147">IF(ISNA(MATCH(A147,sheet2!A:A,0)),"⏳ Chưa test",IFERROR(INDEX(LEVEL_HELPER!A:A,MATCH(INDEX(sheet2!N:N,MATCH(A147,sheet2!A:A,0)),LEVEL_HELPER!B:B,0)),"⏳ Chưa test"))</f>
        <v>Pre-Intermediate</v>
      </c>
      <c r="I147" s="110" t="str">
        <f t="array" ref="I147">IF(ISNA(MATCH(A147,sheet2!A:A,0)),H147,IF(INDEX(sheet2!O:O,MATCH(A147,sheet2!A:A,0))&gt;0,IFERROR(INDEX(LEVEL_HELPER!A:A,MATCH(INDEX(sheet2!O:O,MATCH(A147,sheet2!A:A,0)),LEVEL_HELPER!B:B,0)),H147),H147))</f>
        <v>Intermediate</v>
      </c>
      <c r="J147" s="110">
        <f>IFERROR(MAXIFS(ATTENDANCE_LOG!F:F, ATTENDANCE_LOG!C:C, A147&amp;"", ATTENDANCE_LOG!G:G, "Present"), "")</f>
        <v>45772.41667</v>
      </c>
      <c r="K147" s="111">
        <f t="shared" si="3"/>
        <v>440.5833333</v>
      </c>
      <c r="L147" s="112" t="str">
        <f t="shared" si="4"/>
        <v>⚠ Check</v>
      </c>
      <c r="M147" s="125" t="s">
        <v>202</v>
      </c>
      <c r="N147" s="114"/>
      <c r="O147" s="120" t="s">
        <v>269</v>
      </c>
      <c r="P147" s="115">
        <f>IFERROR(__xludf.DUMMYFUNCTION("IFERROR(COUNTUNIQUEIFS(ATTENDANCE_LOG!B:B,ATTENDANCE_LOG!C:C,A147),0)"),1.0)</f>
        <v>1</v>
      </c>
      <c r="Q147" s="113" t="str">
        <f t="array" ref="Q147">IFERROR(INDEX(ATTENDANCE_LOG!A:A,MATCH(1,(ATTENDANCE_LOG!C:C=A147)*(ATTENDANCE_LOG!F:F=MAXIFS(ATTENDANCE_LOG!F:F,ATTENDANCE_LOG!C:C,A147)),0)),"")</f>
        <v>EL019</v>
      </c>
      <c r="R147" s="113" t="str">
        <f t="array" ref="R147">IFERROR(INDEX(ATTENDANCE_LOG!B:B,MATCH(1,(ATTENDANCE_LOG!C:C=A147)*(ATTENDANCE_LOG!F:F=MAXIFS(ATTENDANCE_LOG!F:F,ATTENDANCE_LOG!C:C,A147)),0)),"")</f>
        <v>Communication 1</v>
      </c>
      <c r="S147" s="113">
        <f>IFERROR(VLOOKUP(H147, LEVEL_HELPER!A:B, 2, 0), 0)</f>
        <v>2.5</v>
      </c>
      <c r="T147" s="113">
        <f>IFERROR(VLOOKUP(I147, LEVEL_HELPER!A:B, 2, 0), 0)</f>
        <v>4.5</v>
      </c>
      <c r="U147" s="113">
        <f t="shared" ref="U147:V147" si="151">IF(S147="",0,IF(S147&lt;=2,1,IF(S147&lt;=4,2,IF(S147&lt;=5.5,3,4))))
</f>
        <v>2</v>
      </c>
      <c r="V147" s="113">
        <f t="shared" si="151"/>
        <v>3</v>
      </c>
      <c r="W147" s="113" t="str">
        <f t="shared" si="6"/>
        <v>Lv2→Lv3</v>
      </c>
      <c r="X147" s="113"/>
      <c r="Y147" s="113"/>
      <c r="Z147" s="113"/>
      <c r="AA147" s="113"/>
      <c r="AB147" s="102"/>
      <c r="AC147" s="102"/>
      <c r="AD147" s="103"/>
    </row>
    <row r="148" ht="15.75" customHeight="1">
      <c r="A148" s="122" t="s">
        <v>496</v>
      </c>
      <c r="B148" s="123" t="s">
        <v>497</v>
      </c>
      <c r="C148" s="106" t="str">
        <f>IFERROR(__xludf.DUMMYFUNCTION("arrayformula(VLOOKUP(to_Text(A148),to_Text(sheet2!$A$1:M1005),13,0))"),"ONC")</f>
        <v>ONC</v>
      </c>
      <c r="D148" s="107" t="str">
        <f>IFERROR(__xludf.DUMMYFUNCTION("arrayformula(VLOOKUP(to_Text(A148),to_Text(sheet2!$A$1:M1005),12,0))"),"DEV")</f>
        <v>DEV</v>
      </c>
      <c r="E148" s="108" t="str">
        <f t="shared" si="2"/>
        <v>Waiting for class</v>
      </c>
      <c r="F148" s="104" t="str">
        <f t="array" ref="F148">IFERROR(
  INDEX(ATTENDANCE_INPUT!D:D,
    MATCH(1,
      (ATTENDANCE_INPUT!A:A=A148) *
      (ATTENDANCE_INPUT!W:W=MAXIFS(ATTENDANCE_INPUT!W:W, ATTENDANCE_INPUT!A:A, A148)),
      0)),
  "")</f>
        <v>Nhat Phan 2</v>
      </c>
      <c r="G148" s="109" t="str">
        <f t="array" ref="G148">IFERROR(
  INDEX(ATTENDANCE_INPUT!E:E,
    MATCH(1,
      (ATTENDANCE_INPUT!A:A=A148) *
      (ATTENDANCE_INPUT!W:W=MAXIFS(ATTENDANCE_INPUT!W:W, ATTENDANCE_INPUT!A:A, A148)),
      0)),
  "")</f>
        <v>Communication 1</v>
      </c>
      <c r="H148" s="110" t="str">
        <f t="array" ref="H148">IF(ISNA(MATCH(A148,sheet2!A:A,0)),"⏳ Chưa test",IFERROR(INDEX(LEVEL_HELPER!A:A,MATCH(INDEX(sheet2!N:N,MATCH(A148,sheet2!A:A,0)),LEVEL_HELPER!B:B,0)),"⏳ Chưa test"))</f>
        <v>Pre-Intermediate</v>
      </c>
      <c r="I148" s="110" t="str">
        <f t="array" ref="I148">IF(ISNA(MATCH(A148,sheet2!A:A,0)),H148,IF(INDEX(sheet2!O:O,MATCH(A148,sheet2!A:A,0))&gt;0,IFERROR(INDEX(LEVEL_HELPER!A:A,MATCH(INDEX(sheet2!O:O,MATCH(A148,sheet2!A:A,0)),LEVEL_HELPER!B:B,0)),H148),H148))</f>
        <v>Intermediate</v>
      </c>
      <c r="J148" s="124">
        <f>IFERROR(MAXIFS(ATTENDANCE_LOG!F:F, ATTENDANCE_LOG!C:C, A148&amp;"", ATTENDANCE_LOG!G:G, "Present"), "")</f>
        <v>45772.41667</v>
      </c>
      <c r="K148" s="111">
        <f t="shared" si="3"/>
        <v>440.5833333</v>
      </c>
      <c r="L148" s="112" t="str">
        <f t="shared" si="4"/>
        <v>⚠ Check</v>
      </c>
      <c r="M148" s="125" t="s">
        <v>202</v>
      </c>
      <c r="N148" s="114"/>
      <c r="O148" s="120" t="s">
        <v>269</v>
      </c>
      <c r="P148" s="115">
        <f>IFERROR(__xludf.DUMMYFUNCTION("IFERROR(COUNTUNIQUEIFS(ATTENDANCE_LOG!B:B,ATTENDANCE_LOG!C:C,A148),0)"),1.0)</f>
        <v>1</v>
      </c>
      <c r="Q148" s="113" t="str">
        <f t="array" ref="Q148">IFERROR(INDEX(ATTENDANCE_LOG!A:A,MATCH(1,(ATTENDANCE_LOG!C:C=A148)*(ATTENDANCE_LOG!F:F=MAXIFS(ATTENDANCE_LOG!F:F,ATTENDANCE_LOG!C:C,A148)),0)),"")</f>
        <v>EL019</v>
      </c>
      <c r="R148" s="113" t="str">
        <f t="array" ref="R148">IFERROR(INDEX(ATTENDANCE_LOG!B:B,MATCH(1,(ATTENDANCE_LOG!C:C=A148)*(ATTENDANCE_LOG!F:F=MAXIFS(ATTENDANCE_LOG!F:F,ATTENDANCE_LOG!C:C,A148)),0)),"")</f>
        <v>Communication 1</v>
      </c>
      <c r="S148" s="113">
        <f>IFERROR(VLOOKUP(H148, LEVEL_HELPER!A:B, 2, 0), 0)</f>
        <v>2.5</v>
      </c>
      <c r="T148" s="113">
        <f>IFERROR(VLOOKUP(I148, LEVEL_HELPER!A:B, 2, 0), 0)</f>
        <v>4.5</v>
      </c>
      <c r="U148" s="113">
        <f t="shared" ref="U148:V148" si="152">IF(S148="",0,IF(S148&lt;=2,1,IF(S148&lt;=4,2,IF(S148&lt;=5.5,3,4))))
</f>
        <v>2</v>
      </c>
      <c r="V148" s="113">
        <f t="shared" si="152"/>
        <v>3</v>
      </c>
      <c r="W148" s="113" t="str">
        <f t="shared" si="6"/>
        <v>Lv2→Lv3</v>
      </c>
      <c r="X148" s="113"/>
      <c r="Y148" s="113"/>
      <c r="Z148" s="113"/>
      <c r="AA148" s="113"/>
      <c r="AB148" s="102"/>
      <c r="AC148" s="102"/>
      <c r="AD148" s="103"/>
    </row>
    <row r="149" ht="15.75" customHeight="1">
      <c r="A149" s="104" t="s">
        <v>498</v>
      </c>
      <c r="B149" s="105" t="s">
        <v>499</v>
      </c>
      <c r="C149" s="106" t="str">
        <f>IFERROR(__xludf.DUMMYFUNCTION("arrayformula(VLOOKUP(to_Text(A149),to_Text(sheet2!$A$1:M1005),13,0))"),"POC")</f>
        <v>POC</v>
      </c>
      <c r="D149" s="107" t="str">
        <f>IFERROR(__xludf.DUMMYFUNCTION("arrayformula(VLOOKUP(to_Text(A149),to_Text(sheet2!$A$1:M1005),12,0))"),"GSD")</f>
        <v>GSD</v>
      </c>
      <c r="E149" s="108" t="str">
        <f t="shared" si="2"/>
        <v>Inactive</v>
      </c>
      <c r="F149" s="104" t="str">
        <f t="array" ref="F149">IFERROR(
  INDEX(ATTENDANCE_INPUT!D:D,
    MATCH(1,
      (ATTENDANCE_INPUT!A:A=A149) *
      (ATTENDANCE_INPUT!W:W=MAXIFS(ATTENDANCE_INPUT!W:W, ATTENDANCE_INPUT!A:A, A149)),
      0)),
  "")</f>
        <v>Phu Nguyen</v>
      </c>
      <c r="G149" s="109" t="str">
        <f t="array" ref="G149">IFERROR(
  INDEX(ATTENDANCE_INPUT!E:E,
    MATCH(1,
      (ATTENDANCE_INPUT!A:A=A149) *
      (ATTENDANCE_INPUT!W:W=MAXIFS(ATTENDANCE_INPUT!W:W, ATTENDANCE_INPUT!A:A, A149)),
      0)),
  "")</f>
        <v>Communication 1</v>
      </c>
      <c r="H149" s="110" t="str">
        <f t="array" ref="H149">IF(ISNA(MATCH(A149,sheet2!A:A,0)),"⏳ Chưa test",IFERROR(INDEX(LEVEL_HELPER!A:A,MATCH(INDEX(sheet2!N:N,MATCH(A149,sheet2!A:A,0)),LEVEL_HELPER!B:B,0)),"⏳ Chưa test"))</f>
        <v>Beginner</v>
      </c>
      <c r="I149" s="110" t="str">
        <f t="array" ref="I149">IF(ISNA(MATCH(A149,sheet2!A:A,0)),H149,IF(INDEX(sheet2!O:O,MATCH(A149,sheet2!A:A,0))&gt;0,IFERROR(INDEX(LEVEL_HELPER!A:A,MATCH(INDEX(sheet2!O:O,MATCH(A149,sheet2!A:A,0)),LEVEL_HELPER!B:B,0)),H149),H149))</f>
        <v>Beginner</v>
      </c>
      <c r="J149" s="110">
        <f>IFERROR(MAXIFS(ATTENDANCE_LOG!F:F, ATTENDANCE_LOG!C:C, A149&amp;"", ATTENDANCE_LOG!G:G, "Present"), "")</f>
        <v>45937.54167</v>
      </c>
      <c r="K149" s="111">
        <f t="shared" si="3"/>
        <v>275.4583333</v>
      </c>
      <c r="L149" s="112" t="str">
        <f t="shared" si="4"/>
        <v>❌ Dropped</v>
      </c>
      <c r="M149" s="113" t="s">
        <v>37</v>
      </c>
      <c r="N149" s="114" t="s">
        <v>34</v>
      </c>
      <c r="O149" s="113"/>
      <c r="P149" s="115">
        <f>IFERROR(__xludf.DUMMYFUNCTION("IFERROR(COUNTUNIQUEIFS(ATTENDANCE_LOG!B:B,ATTENDANCE_LOG!C:C,A149),0)"),1.0)</f>
        <v>1</v>
      </c>
      <c r="Q149" s="113" t="str">
        <f t="array" ref="Q149">IFERROR(INDEX(ATTENDANCE_LOG!A:A,MATCH(1,(ATTENDANCE_LOG!C:C=A149)*(ATTENDANCE_LOG!F:F=MAXIFS(ATTENDANCE_LOG!F:F,ATTENDANCE_LOG!C:C,A149)),0)),"")</f>
        <v>EL041</v>
      </c>
      <c r="R149" s="113" t="str">
        <f t="array" ref="R149">IFERROR(INDEX(ATTENDANCE_LOG!B:B,MATCH(1,(ATTENDANCE_LOG!C:C=A149)*(ATTENDANCE_LOG!F:F=MAXIFS(ATTENDANCE_LOG!F:F,ATTENDANCE_LOG!C:C,A149)),0)),"")</f>
        <v>Communication 1</v>
      </c>
      <c r="S149" s="113">
        <f>IFERROR(VLOOKUP(H149, LEVEL_HELPER!A:B, 2, 0), 0)</f>
        <v>1</v>
      </c>
      <c r="T149" s="113">
        <f>IFERROR(VLOOKUP(I149, LEVEL_HELPER!A:B, 2, 0), 0)</f>
        <v>1</v>
      </c>
      <c r="U149" s="113">
        <f t="shared" ref="U149:V149" si="153">IF(S149="",0,IF(S149&lt;=2,1,IF(S149&lt;=4,2,IF(S149&lt;=5.5,3,4))))
</f>
        <v>1</v>
      </c>
      <c r="V149" s="113">
        <f t="shared" si="153"/>
        <v>1</v>
      </c>
      <c r="W149" s="113" t="str">
        <f t="shared" si="6"/>
        <v>No Progress</v>
      </c>
      <c r="X149" s="113"/>
      <c r="Y149" s="113"/>
      <c r="Z149" s="113"/>
      <c r="AA149" s="113"/>
      <c r="AB149" s="116"/>
      <c r="AC149" s="116"/>
      <c r="AD149" s="117"/>
    </row>
    <row r="150" ht="15.75" customHeight="1">
      <c r="A150" s="104" t="s">
        <v>500</v>
      </c>
      <c r="B150" s="105" t="s">
        <v>501</v>
      </c>
      <c r="C150" s="106" t="str">
        <f>IFERROR(__xludf.DUMMYFUNCTION("arrayformula(VLOOKUP(to_Text(A150),to_Text(sheet2!$A$1:M1005),13,0))"),"TBU")</f>
        <v>TBU</v>
      </c>
      <c r="D150" s="107" t="str">
        <f>IFERROR(__xludf.DUMMYFUNCTION("arrayformula(VLOOKUP(to_Text(A150),to_Text(sheet2!$A$1:M1005),12,0))"),"GSD")</f>
        <v>GSD</v>
      </c>
      <c r="E150" s="108" t="str">
        <f t="shared" si="2"/>
        <v>Inactive</v>
      </c>
      <c r="F150" s="104" t="str">
        <f t="array" ref="F150">IFERROR(
  INDEX(ATTENDANCE_INPUT!D:D,
    MATCH(1,
      (ATTENDANCE_INPUT!A:A=A150) *
      (ATTENDANCE_INPUT!W:W=MAXIFS(ATTENDANCE_INPUT!W:W, ATTENDANCE_INPUT!A:A, A150)),
      0)),
  "")</f>
        <v>Phu Nguyen</v>
      </c>
      <c r="G150" s="109" t="str">
        <f t="array" ref="G150">IFERROR(
  INDEX(ATTENDANCE_INPUT!E:E,
    MATCH(1,
      (ATTENDANCE_INPUT!A:A=A150) *
      (ATTENDANCE_INPUT!W:W=MAXIFS(ATTENDANCE_INPUT!W:W, ATTENDANCE_INPUT!A:A, A150)),
      0)),
  "")</f>
        <v>Communication 1</v>
      </c>
      <c r="H150" s="110" t="str">
        <f t="array" ref="H150">IF(ISNA(MATCH(A150,sheet2!A:A,0)),"⏳ Chưa test",IFERROR(INDEX(LEVEL_HELPER!A:A,MATCH(INDEX(sheet2!N:N,MATCH(A150,sheet2!A:A,0)),LEVEL_HELPER!B:B,0)),"⏳ Chưa test"))</f>
        <v>Beginner</v>
      </c>
      <c r="I150" s="110" t="str">
        <f t="array" ref="I150">IF(ISNA(MATCH(A150,sheet2!A:A,0)),H150,IF(INDEX(sheet2!O:O,MATCH(A150,sheet2!A:A,0))&gt;0,IFERROR(INDEX(LEVEL_HELPER!A:A,MATCH(INDEX(sheet2!O:O,MATCH(A150,sheet2!A:A,0)),LEVEL_HELPER!B:B,0)),H150),H150))</f>
        <v>Beginner</v>
      </c>
      <c r="J150" s="110">
        <f>IFERROR(MAXIFS(ATTENDANCE_LOG!F:F, ATTENDANCE_LOG!C:C, A150&amp;"", ATTENDANCE_LOG!G:G, "Present"), "")</f>
        <v>45993.58333</v>
      </c>
      <c r="K150" s="111">
        <f t="shared" si="3"/>
        <v>219.4166667</v>
      </c>
      <c r="L150" s="112" t="str">
        <f t="shared" si="4"/>
        <v>❌ Dropped</v>
      </c>
      <c r="M150" s="113" t="s">
        <v>37</v>
      </c>
      <c r="N150" s="114" t="s">
        <v>34</v>
      </c>
      <c r="O150" s="113"/>
      <c r="P150" s="115">
        <f>IFERROR(__xludf.DUMMYFUNCTION("IFERROR(COUNTUNIQUEIFS(ATTENDANCE_LOG!B:B,ATTENDANCE_LOG!C:C,A150),0)"),1.0)</f>
        <v>1</v>
      </c>
      <c r="Q150" s="113" t="str">
        <f t="array" ref="Q150">IFERROR(INDEX(ATTENDANCE_LOG!A:A,MATCH(1,(ATTENDANCE_LOG!C:C=A150)*(ATTENDANCE_LOG!F:F=MAXIFS(ATTENDANCE_LOG!F:F,ATTENDANCE_LOG!C:C,A150)),0)),"")</f>
        <v>EL041</v>
      </c>
      <c r="R150" s="113" t="str">
        <f t="array" ref="R150">IFERROR(INDEX(ATTENDANCE_LOG!B:B,MATCH(1,(ATTENDANCE_LOG!C:C=A150)*(ATTENDANCE_LOG!F:F=MAXIFS(ATTENDANCE_LOG!F:F,ATTENDANCE_LOG!C:C,A150)),0)),"")</f>
        <v>Communication 1</v>
      </c>
      <c r="S150" s="113">
        <f>IFERROR(VLOOKUP(H150, LEVEL_HELPER!A:B, 2, 0), 0)</f>
        <v>1</v>
      </c>
      <c r="T150" s="113">
        <f>IFERROR(VLOOKUP(I150, LEVEL_HELPER!A:B, 2, 0), 0)</f>
        <v>1</v>
      </c>
      <c r="U150" s="113">
        <f t="shared" ref="U150:V150" si="154">IF(S150="",0,IF(S150&lt;=2,1,IF(S150&lt;=4,2,IF(S150&lt;=5.5,3,4))))
</f>
        <v>1</v>
      </c>
      <c r="V150" s="113">
        <f t="shared" si="154"/>
        <v>1</v>
      </c>
      <c r="W150" s="113" t="str">
        <f t="shared" si="6"/>
        <v>No Progress</v>
      </c>
      <c r="X150" s="113"/>
      <c r="Y150" s="113"/>
      <c r="Z150" s="113"/>
      <c r="AA150" s="113"/>
      <c r="AB150" s="116"/>
      <c r="AC150" s="116"/>
      <c r="AD150" s="117"/>
    </row>
    <row r="151" ht="15.75" customHeight="1">
      <c r="A151" s="104" t="s">
        <v>502</v>
      </c>
      <c r="B151" s="105" t="s">
        <v>503</v>
      </c>
      <c r="C151" s="106" t="str">
        <f>IFERROR(__xludf.DUMMYFUNCTION("arrayformula(VLOOKUP(to_Text(A151),to_Text(sheet2!$A$1:M1005),13,0))"),"POC")</f>
        <v>POC</v>
      </c>
      <c r="D151" s="107" t="str">
        <f>IFERROR(__xludf.DUMMYFUNCTION("arrayformula(VLOOKUP(to_Text(A151),to_Text(sheet2!$A$1:M1005),12,0))"),"GSD")</f>
        <v>GSD</v>
      </c>
      <c r="E151" s="108" t="str">
        <f t="shared" si="2"/>
        <v>Inactive</v>
      </c>
      <c r="F151" s="104" t="str">
        <f t="array" ref="F151">IFERROR(
  INDEX(ATTENDANCE_INPUT!D:D,
    MATCH(1,
      (ATTENDANCE_INPUT!A:A=A151) *
      (ATTENDANCE_INPUT!W:W=MAXIFS(ATTENDANCE_INPUT!W:W, ATTENDANCE_INPUT!A:A, A151)),
      0)),
  "")</f>
        <v>Phu Nguyen</v>
      </c>
      <c r="G151" s="109" t="str">
        <f t="array" ref="G151">IFERROR(
  INDEX(ATTENDANCE_INPUT!E:E,
    MATCH(1,
      (ATTENDANCE_INPUT!A:A=A151) *
      (ATTENDANCE_INPUT!W:W=MAXIFS(ATTENDANCE_INPUT!W:W, ATTENDANCE_INPUT!A:A, A151)),
      0)),
  "")</f>
        <v>Communication 1</v>
      </c>
      <c r="H151" s="110" t="str">
        <f t="array" ref="H151">IF(ISNA(MATCH(A151,sheet2!A:A,0)),"⏳ Chưa test",IFERROR(INDEX(LEVEL_HELPER!A:A,MATCH(INDEX(sheet2!N:N,MATCH(A151,sheet2!A:A,0)),LEVEL_HELPER!B:B,0)),"⏳ Chưa test"))</f>
        <v>Beginner</v>
      </c>
      <c r="I151" s="110" t="str">
        <f t="array" ref="I151">IF(ISNA(MATCH(A151,sheet2!A:A,0)),H151,IF(INDEX(sheet2!O:O,MATCH(A151,sheet2!A:A,0))&gt;0,IFERROR(INDEX(LEVEL_HELPER!A:A,MATCH(INDEX(sheet2!O:O,MATCH(A151,sheet2!A:A,0)),LEVEL_HELPER!B:B,0)),H151),H151))</f>
        <v>Beginner</v>
      </c>
      <c r="J151" s="110">
        <f>IFERROR(MAXIFS(ATTENDANCE_LOG!F:F, ATTENDANCE_LOG!C:C, A151&amp;"", ATTENDANCE_LOG!G:G, "Present"), "")</f>
        <v>45930.54167</v>
      </c>
      <c r="K151" s="111">
        <f t="shared" si="3"/>
        <v>282.4583333</v>
      </c>
      <c r="L151" s="112" t="str">
        <f t="shared" si="4"/>
        <v>❌ Dropped</v>
      </c>
      <c r="M151" s="113" t="s">
        <v>37</v>
      </c>
      <c r="N151" s="114" t="s">
        <v>34</v>
      </c>
      <c r="O151" s="113"/>
      <c r="P151" s="115">
        <f>IFERROR(__xludf.DUMMYFUNCTION("IFERROR(COUNTUNIQUEIFS(ATTENDANCE_LOG!B:B,ATTENDANCE_LOG!C:C,A151),0)"),1.0)</f>
        <v>1</v>
      </c>
      <c r="Q151" s="113" t="str">
        <f t="array" ref="Q151">IFERROR(INDEX(ATTENDANCE_LOG!A:A,MATCH(1,(ATTENDANCE_LOG!C:C=A151)*(ATTENDANCE_LOG!F:F=MAXIFS(ATTENDANCE_LOG!F:F,ATTENDANCE_LOG!C:C,A151)),0)),"")</f>
        <v>EL041</v>
      </c>
      <c r="R151" s="113" t="str">
        <f t="array" ref="R151">IFERROR(INDEX(ATTENDANCE_LOG!B:B,MATCH(1,(ATTENDANCE_LOG!C:C=A151)*(ATTENDANCE_LOG!F:F=MAXIFS(ATTENDANCE_LOG!F:F,ATTENDANCE_LOG!C:C,A151)),0)),"")</f>
        <v>Communication 1</v>
      </c>
      <c r="S151" s="113">
        <f>IFERROR(VLOOKUP(H151, LEVEL_HELPER!A:B, 2, 0), 0)</f>
        <v>1</v>
      </c>
      <c r="T151" s="113">
        <f>IFERROR(VLOOKUP(I151, LEVEL_HELPER!A:B, 2, 0), 0)</f>
        <v>1</v>
      </c>
      <c r="U151" s="113">
        <f t="shared" ref="U151:V151" si="155">IF(S151="",0,IF(S151&lt;=2,1,IF(S151&lt;=4,2,IF(S151&lt;=5.5,3,4))))
</f>
        <v>1</v>
      </c>
      <c r="V151" s="113">
        <f t="shared" si="155"/>
        <v>1</v>
      </c>
      <c r="W151" s="113" t="str">
        <f t="shared" si="6"/>
        <v>No Progress</v>
      </c>
      <c r="X151" s="113"/>
      <c r="Y151" s="113"/>
      <c r="Z151" s="113"/>
      <c r="AA151" s="113"/>
      <c r="AB151" s="116"/>
      <c r="AC151" s="116"/>
      <c r="AD151" s="117"/>
    </row>
    <row r="152" ht="15.75" customHeight="1">
      <c r="A152" s="104" t="s">
        <v>504</v>
      </c>
      <c r="B152" s="105" t="s">
        <v>279</v>
      </c>
      <c r="C152" s="106" t="str">
        <f>IFERROR(__xludf.DUMMYFUNCTION("arrayformula(VLOOKUP(to_Text(A152),to_Text(sheet2!$A$1:M1005),13,0))"),"TBU")</f>
        <v>TBU</v>
      </c>
      <c r="D152" s="107" t="str">
        <f>IFERROR(__xludf.DUMMYFUNCTION("arrayformula(VLOOKUP(to_Text(A152),to_Text(sheet2!$A$1:M1005),12,0))"),"GSD")</f>
        <v>GSD</v>
      </c>
      <c r="E152" s="108" t="str">
        <f t="shared" si="2"/>
        <v>Inactive</v>
      </c>
      <c r="F152" s="104" t="str">
        <f t="array" ref="F152">IFERROR(
  INDEX(ATTENDANCE_INPUT!D:D,
    MATCH(1,
      (ATTENDANCE_INPUT!A:A=A152) *
      (ATTENDANCE_INPUT!W:W=MAXIFS(ATTENDANCE_INPUT!W:W, ATTENDANCE_INPUT!A:A, A152)),
      0)),
  "")</f>
        <v>Phu Nguyen</v>
      </c>
      <c r="G152" s="109" t="str">
        <f t="array" ref="G152">IFERROR(
  INDEX(ATTENDANCE_INPUT!E:E,
    MATCH(1,
      (ATTENDANCE_INPUT!A:A=A152) *
      (ATTENDANCE_INPUT!W:W=MAXIFS(ATTENDANCE_INPUT!W:W, ATTENDANCE_INPUT!A:A, A152)),
      0)),
  "")</f>
        <v>Communication 1</v>
      </c>
      <c r="H152" s="110" t="str">
        <f t="array" ref="H152">IF(ISNA(MATCH(A152,sheet2!A:A,0)),"⏳ Chưa test",IFERROR(INDEX(LEVEL_HELPER!A:A,MATCH(INDEX(sheet2!N:N,MATCH(A152,sheet2!A:A,0)),LEVEL_HELPER!B:B,0)),"⏳ Chưa test"))</f>
        <v>Beginner</v>
      </c>
      <c r="I152" s="110" t="str">
        <f t="array" ref="I152">IF(ISNA(MATCH(A152,sheet2!A:A,0)),H152,IF(INDEX(sheet2!O:O,MATCH(A152,sheet2!A:A,0))&gt;0,IFERROR(INDEX(LEVEL_HELPER!A:A,MATCH(INDEX(sheet2!O:O,MATCH(A152,sheet2!A:A,0)),LEVEL_HELPER!B:B,0)),H152),H152))</f>
        <v>Beginner</v>
      </c>
      <c r="J152" s="110">
        <f>IFERROR(MAXIFS(ATTENDANCE_LOG!F:F, ATTENDANCE_LOG!C:C, A152&amp;"", ATTENDANCE_LOG!G:G, "Present"), "")</f>
        <v>45993.58333</v>
      </c>
      <c r="K152" s="111">
        <f t="shared" si="3"/>
        <v>219.4166667</v>
      </c>
      <c r="L152" s="112" t="str">
        <f t="shared" si="4"/>
        <v>❌ Dropped</v>
      </c>
      <c r="M152" s="113" t="s">
        <v>37</v>
      </c>
      <c r="N152" s="114" t="s">
        <v>34</v>
      </c>
      <c r="O152" s="129" t="s">
        <v>505</v>
      </c>
      <c r="P152" s="115">
        <f>IFERROR(__xludf.DUMMYFUNCTION("IFERROR(COUNTUNIQUEIFS(ATTENDANCE_LOG!B:B,ATTENDANCE_LOG!C:C,A152),0)"),1.0)</f>
        <v>1</v>
      </c>
      <c r="Q152" s="113" t="str">
        <f t="array" ref="Q152">IFERROR(INDEX(ATTENDANCE_LOG!A:A,MATCH(1,(ATTENDANCE_LOG!C:C=A152)*(ATTENDANCE_LOG!F:F=MAXIFS(ATTENDANCE_LOG!F:F,ATTENDANCE_LOG!C:C,A152)),0)),"")</f>
        <v>EL041</v>
      </c>
      <c r="R152" s="113" t="str">
        <f t="array" ref="R152">IFERROR(INDEX(ATTENDANCE_LOG!B:B,MATCH(1,(ATTENDANCE_LOG!C:C=A152)*(ATTENDANCE_LOG!F:F=MAXIFS(ATTENDANCE_LOG!F:F,ATTENDANCE_LOG!C:C,A152)),0)),"")</f>
        <v>Communication 1</v>
      </c>
      <c r="S152" s="113">
        <f>IFERROR(VLOOKUP(H152, LEVEL_HELPER!A:B, 2, 0), 0)</f>
        <v>1</v>
      </c>
      <c r="T152" s="113">
        <f>IFERROR(VLOOKUP(I152, LEVEL_HELPER!A:B, 2, 0), 0)</f>
        <v>1</v>
      </c>
      <c r="U152" s="113">
        <f t="shared" ref="U152:V152" si="156">IF(S152="",0,IF(S152&lt;=2,1,IF(S152&lt;=4,2,IF(S152&lt;=5.5,3,4))))
</f>
        <v>1</v>
      </c>
      <c r="V152" s="113">
        <f t="shared" si="156"/>
        <v>1</v>
      </c>
      <c r="W152" s="113" t="str">
        <f t="shared" si="6"/>
        <v>No Progress</v>
      </c>
      <c r="X152" s="113"/>
      <c r="Y152" s="113"/>
      <c r="Z152" s="113"/>
      <c r="AA152" s="113"/>
      <c r="AB152" s="116"/>
      <c r="AC152" s="116"/>
      <c r="AD152" s="117"/>
    </row>
    <row r="153" ht="15.75" customHeight="1">
      <c r="A153" s="104" t="s">
        <v>506</v>
      </c>
      <c r="B153" s="105" t="s">
        <v>507</v>
      </c>
      <c r="C153" s="106" t="str">
        <f>IFERROR(__xludf.DUMMYFUNCTION("arrayformula(VLOOKUP(to_Text(A153),to_Text(sheet2!$A$1:M1005),13,0))"),"POC")</f>
        <v>POC</v>
      </c>
      <c r="D153" s="107" t="str">
        <f>IFERROR(__xludf.DUMMYFUNCTION("arrayformula(VLOOKUP(to_Text(A153),to_Text(sheet2!$A$1:M1005),12,0))"),"GSD")</f>
        <v>GSD</v>
      </c>
      <c r="E153" s="108" t="str">
        <f t="shared" si="2"/>
        <v>Inactive</v>
      </c>
      <c r="F153" s="104" t="str">
        <f t="array" ref="F153">IFERROR(
  INDEX(ATTENDANCE_INPUT!D:D,
    MATCH(1,
      (ATTENDANCE_INPUT!A:A=A153) *
      (ATTENDANCE_INPUT!W:W=MAXIFS(ATTENDANCE_INPUT!W:W, ATTENDANCE_INPUT!A:A, A153)),
      0)),
  "")</f>
        <v>Phu Nguyen</v>
      </c>
      <c r="G153" s="109" t="str">
        <f t="array" ref="G153">IFERROR(
  INDEX(ATTENDANCE_INPUT!E:E,
    MATCH(1,
      (ATTENDANCE_INPUT!A:A=A153) *
      (ATTENDANCE_INPUT!W:W=MAXIFS(ATTENDANCE_INPUT!W:W, ATTENDANCE_INPUT!A:A, A153)),
      0)),
  "")</f>
        <v>Communication 1</v>
      </c>
      <c r="H153" s="110" t="str">
        <f t="array" ref="H153">IF(ISNA(MATCH(A153,sheet2!A:A,0)),"⏳ Chưa test",IFERROR(INDEX(LEVEL_HELPER!A:A,MATCH(INDEX(sheet2!N:N,MATCH(A153,sheet2!A:A,0)),LEVEL_HELPER!B:B,0)),"⏳ Chưa test"))</f>
        <v>Beginner</v>
      </c>
      <c r="I153" s="110" t="str">
        <f t="array" ref="I153">IF(ISNA(MATCH(A153,sheet2!A:A,0)),H153,IF(INDEX(sheet2!O:O,MATCH(A153,sheet2!A:A,0))&gt;0,IFERROR(INDEX(LEVEL_HELPER!A:A,MATCH(INDEX(sheet2!O:O,MATCH(A153,sheet2!A:A,0)),LEVEL_HELPER!B:B,0)),H153),H153))</f>
        <v>Beginner</v>
      </c>
      <c r="J153" s="110">
        <f>IFERROR(MAXIFS(ATTENDANCE_LOG!F:F, ATTENDANCE_LOG!C:C, A153&amp;"", ATTENDANCE_LOG!G:G, "Present"), "")</f>
        <v>45958.54167</v>
      </c>
      <c r="K153" s="111">
        <f t="shared" si="3"/>
        <v>254.4583333</v>
      </c>
      <c r="L153" s="112" t="str">
        <f t="shared" si="4"/>
        <v>❌ Dropped</v>
      </c>
      <c r="M153" s="113" t="s">
        <v>37</v>
      </c>
      <c r="N153" s="114" t="s">
        <v>34</v>
      </c>
      <c r="O153" s="113"/>
      <c r="P153" s="115">
        <f>IFERROR(__xludf.DUMMYFUNCTION("IFERROR(COUNTUNIQUEIFS(ATTENDANCE_LOG!B:B,ATTENDANCE_LOG!C:C,A153),0)"),1.0)</f>
        <v>1</v>
      </c>
      <c r="Q153" s="113" t="str">
        <f t="array" ref="Q153">IFERROR(INDEX(ATTENDANCE_LOG!A:A,MATCH(1,(ATTENDANCE_LOG!C:C=A153)*(ATTENDANCE_LOG!F:F=MAXIFS(ATTENDANCE_LOG!F:F,ATTENDANCE_LOG!C:C,A153)),0)),"")</f>
        <v>EL041</v>
      </c>
      <c r="R153" s="113" t="str">
        <f t="array" ref="R153">IFERROR(INDEX(ATTENDANCE_LOG!B:B,MATCH(1,(ATTENDANCE_LOG!C:C=A153)*(ATTENDANCE_LOG!F:F=MAXIFS(ATTENDANCE_LOG!F:F,ATTENDANCE_LOG!C:C,A153)),0)),"")</f>
        <v>Communication 1</v>
      </c>
      <c r="S153" s="113">
        <f>IFERROR(VLOOKUP(H153, LEVEL_HELPER!A:B, 2, 0), 0)</f>
        <v>1</v>
      </c>
      <c r="T153" s="113">
        <f>IFERROR(VLOOKUP(I153, LEVEL_HELPER!A:B, 2, 0), 0)</f>
        <v>1</v>
      </c>
      <c r="U153" s="113">
        <f t="shared" ref="U153:V153" si="157">IF(S153="",0,IF(S153&lt;=2,1,IF(S153&lt;=4,2,IF(S153&lt;=5.5,3,4))))
</f>
        <v>1</v>
      </c>
      <c r="V153" s="113">
        <f t="shared" si="157"/>
        <v>1</v>
      </c>
      <c r="W153" s="113" t="str">
        <f t="shared" si="6"/>
        <v>No Progress</v>
      </c>
      <c r="X153" s="113"/>
      <c r="Y153" s="113"/>
      <c r="Z153" s="113"/>
      <c r="AA153" s="113"/>
      <c r="AB153" s="116"/>
      <c r="AC153" s="116"/>
      <c r="AD153" s="117"/>
    </row>
    <row r="154" ht="15.75" customHeight="1">
      <c r="A154" s="104" t="s">
        <v>508</v>
      </c>
      <c r="B154" s="105" t="s">
        <v>509</v>
      </c>
      <c r="C154" s="106" t="str">
        <f>IFERROR(__xludf.DUMMYFUNCTION("arrayformula(VLOOKUP(to_Text(A154),to_Text(sheet2!$A$1:M1005),13,0))"),"POC")</f>
        <v>POC</v>
      </c>
      <c r="D154" s="107" t="str">
        <f>IFERROR(__xludf.DUMMYFUNCTION("arrayformula(VLOOKUP(to_Text(A154),to_Text(sheet2!$A$1:M1005),12,0))"),"GSD")</f>
        <v>GSD</v>
      </c>
      <c r="E154" s="108" t="str">
        <f t="shared" si="2"/>
        <v>Inactive</v>
      </c>
      <c r="F154" s="104" t="str">
        <f t="array" ref="F154">IFERROR(
  INDEX(ATTENDANCE_INPUT!D:D,
    MATCH(1,
      (ATTENDANCE_INPUT!A:A=A154) *
      (ATTENDANCE_INPUT!W:W=MAXIFS(ATTENDANCE_INPUT!W:W, ATTENDANCE_INPUT!A:A, A154)),
      0)),
  "")</f>
        <v>Phu Nguyen</v>
      </c>
      <c r="G154" s="109" t="str">
        <f t="array" ref="G154">IFERROR(
  INDEX(ATTENDANCE_INPUT!E:E,
    MATCH(1,
      (ATTENDANCE_INPUT!A:A=A154) *
      (ATTENDANCE_INPUT!W:W=MAXIFS(ATTENDANCE_INPUT!W:W, ATTENDANCE_INPUT!A:A, A154)),
      0)),
  "")</f>
        <v>Communication 1</v>
      </c>
      <c r="H154" s="110" t="str">
        <f t="array" ref="H154">IF(ISNA(MATCH(A154,sheet2!A:A,0)),"⏳ Chưa test",IFERROR(INDEX(LEVEL_HELPER!A:A,MATCH(INDEX(sheet2!N:N,MATCH(A154,sheet2!A:A,0)),LEVEL_HELPER!B:B,0)),"⏳ Chưa test"))</f>
        <v>Beginner</v>
      </c>
      <c r="I154" s="110" t="str">
        <f t="array" ref="I154">IF(ISNA(MATCH(A154,sheet2!A:A,0)),H154,IF(INDEX(sheet2!O:O,MATCH(A154,sheet2!A:A,0))&gt;0,IFERROR(INDEX(LEVEL_HELPER!A:A,MATCH(INDEX(sheet2!O:O,MATCH(A154,sheet2!A:A,0)),LEVEL_HELPER!B:B,0)),H154),H154))</f>
        <v>Beginner</v>
      </c>
      <c r="J154" s="110">
        <f>IFERROR(MAXIFS(ATTENDANCE_LOG!F:F, ATTENDANCE_LOG!C:C, A154&amp;"", ATTENDANCE_LOG!G:G, "Present"), "")</f>
        <v>45944.54167</v>
      </c>
      <c r="K154" s="111">
        <f t="shared" si="3"/>
        <v>268.4583333</v>
      </c>
      <c r="L154" s="112" t="str">
        <f t="shared" si="4"/>
        <v>❌ Dropped</v>
      </c>
      <c r="M154" s="113" t="s">
        <v>37</v>
      </c>
      <c r="N154" s="114" t="s">
        <v>34</v>
      </c>
      <c r="O154" s="113"/>
      <c r="P154" s="115">
        <f>IFERROR(__xludf.DUMMYFUNCTION("IFERROR(COUNTUNIQUEIFS(ATTENDANCE_LOG!B:B,ATTENDANCE_LOG!C:C,A154),0)"),1.0)</f>
        <v>1</v>
      </c>
      <c r="Q154" s="113" t="str">
        <f t="array" ref="Q154">IFERROR(INDEX(ATTENDANCE_LOG!A:A,MATCH(1,(ATTENDANCE_LOG!C:C=A154)*(ATTENDANCE_LOG!F:F=MAXIFS(ATTENDANCE_LOG!F:F,ATTENDANCE_LOG!C:C,A154)),0)),"")</f>
        <v>EL041</v>
      </c>
      <c r="R154" s="113" t="str">
        <f t="array" ref="R154">IFERROR(INDEX(ATTENDANCE_LOG!B:B,MATCH(1,(ATTENDANCE_LOG!C:C=A154)*(ATTENDANCE_LOG!F:F=MAXIFS(ATTENDANCE_LOG!F:F,ATTENDANCE_LOG!C:C,A154)),0)),"")</f>
        <v>Communication 1</v>
      </c>
      <c r="S154" s="113">
        <f>IFERROR(VLOOKUP(H154, LEVEL_HELPER!A:B, 2, 0), 0)</f>
        <v>1</v>
      </c>
      <c r="T154" s="113">
        <f>IFERROR(VLOOKUP(I154, LEVEL_HELPER!A:B, 2, 0), 0)</f>
        <v>1</v>
      </c>
      <c r="U154" s="113">
        <f t="shared" ref="U154:V154" si="158">IF(S154="",0,IF(S154&lt;=2,1,IF(S154&lt;=4,2,IF(S154&lt;=5.5,3,4))))
</f>
        <v>1</v>
      </c>
      <c r="V154" s="113">
        <f t="shared" si="158"/>
        <v>1</v>
      </c>
      <c r="W154" s="113" t="str">
        <f t="shared" si="6"/>
        <v>No Progress</v>
      </c>
      <c r="X154" s="113"/>
      <c r="Y154" s="113"/>
      <c r="Z154" s="113"/>
      <c r="AA154" s="113"/>
      <c r="AB154" s="116"/>
      <c r="AC154" s="116"/>
      <c r="AD154" s="117"/>
    </row>
    <row r="155" ht="15.75" customHeight="1">
      <c r="A155" s="104" t="s">
        <v>510</v>
      </c>
      <c r="B155" s="105" t="s">
        <v>511</v>
      </c>
      <c r="C155" s="106" t="str">
        <f>IFERROR(__xludf.DUMMYFUNCTION("arrayformula(VLOOKUP(to_Text(A155),to_Text(sheet2!$A$1:M1005),13,0))"),"TBU")</f>
        <v>TBU</v>
      </c>
      <c r="D155" s="107" t="str">
        <f>IFERROR(__xludf.DUMMYFUNCTION("arrayformula(VLOOKUP(to_Text(A155),to_Text(sheet2!$A$1:M1005),12,0))"),"GSD")</f>
        <v>GSD</v>
      </c>
      <c r="E155" s="108" t="str">
        <f t="shared" si="2"/>
        <v>Inactive</v>
      </c>
      <c r="F155" s="104" t="str">
        <f t="array" ref="F155">IFERROR(
  INDEX(ATTENDANCE_INPUT!D:D,
    MATCH(1,
      (ATTENDANCE_INPUT!A:A=A155) *
      (ATTENDANCE_INPUT!W:W=MAXIFS(ATTENDANCE_INPUT!W:W, ATTENDANCE_INPUT!A:A, A155)),
      0)),
  "")</f>
        <v>Phu Nguyen</v>
      </c>
      <c r="G155" s="109" t="str">
        <f t="array" ref="G155">IFERROR(
  INDEX(ATTENDANCE_INPUT!E:E,
    MATCH(1,
      (ATTENDANCE_INPUT!A:A=A155) *
      (ATTENDANCE_INPUT!W:W=MAXIFS(ATTENDANCE_INPUT!W:W, ATTENDANCE_INPUT!A:A, A155)),
      0)),
  "")</f>
        <v>Communication 1</v>
      </c>
      <c r="H155" s="110" t="str">
        <f t="array" ref="H155">IF(ISNA(MATCH(A155,sheet2!A:A,0)),"⏳ Chưa test",IFERROR(INDEX(LEVEL_HELPER!A:A,MATCH(INDEX(sheet2!N:N,MATCH(A155,sheet2!A:A,0)),LEVEL_HELPER!B:B,0)),"⏳ Chưa test"))</f>
        <v>Beginner</v>
      </c>
      <c r="I155" s="110" t="str">
        <f t="array" ref="I155">IF(ISNA(MATCH(A155,sheet2!A:A,0)),H155,IF(INDEX(sheet2!O:O,MATCH(A155,sheet2!A:A,0))&gt;0,IFERROR(INDEX(LEVEL_HELPER!A:A,MATCH(INDEX(sheet2!O:O,MATCH(A155,sheet2!A:A,0)),LEVEL_HELPER!B:B,0)),H155),H155))</f>
        <v>Beginner</v>
      </c>
      <c r="J155" s="110">
        <f>IFERROR(MAXIFS(ATTENDANCE_LOG!F:F, ATTENDANCE_LOG!C:C, A155&amp;"", ATTENDANCE_LOG!G:G, "Present"), "")</f>
        <v>45993.58333</v>
      </c>
      <c r="K155" s="111">
        <f t="shared" si="3"/>
        <v>219.4166667</v>
      </c>
      <c r="L155" s="112" t="str">
        <f t="shared" si="4"/>
        <v>❌ Dropped</v>
      </c>
      <c r="M155" s="113" t="s">
        <v>37</v>
      </c>
      <c r="N155" s="114" t="s">
        <v>34</v>
      </c>
      <c r="O155" s="113"/>
      <c r="P155" s="115">
        <f>IFERROR(__xludf.DUMMYFUNCTION("IFERROR(COUNTUNIQUEIFS(ATTENDANCE_LOG!B:B,ATTENDANCE_LOG!C:C,A155),0)"),1.0)</f>
        <v>1</v>
      </c>
      <c r="Q155" s="113" t="str">
        <f t="array" ref="Q155">IFERROR(INDEX(ATTENDANCE_LOG!A:A,MATCH(1,(ATTENDANCE_LOG!C:C=A155)*(ATTENDANCE_LOG!F:F=MAXIFS(ATTENDANCE_LOG!F:F,ATTENDANCE_LOG!C:C,A155)),0)),"")</f>
        <v>EL041</v>
      </c>
      <c r="R155" s="113" t="str">
        <f t="array" ref="R155">IFERROR(INDEX(ATTENDANCE_LOG!B:B,MATCH(1,(ATTENDANCE_LOG!C:C=A155)*(ATTENDANCE_LOG!F:F=MAXIFS(ATTENDANCE_LOG!F:F,ATTENDANCE_LOG!C:C,A155)),0)),"")</f>
        <v>Communication 1</v>
      </c>
      <c r="S155" s="113">
        <f>IFERROR(VLOOKUP(H155, LEVEL_HELPER!A:B, 2, 0), 0)</f>
        <v>1</v>
      </c>
      <c r="T155" s="113">
        <f>IFERROR(VLOOKUP(I155, LEVEL_HELPER!A:B, 2, 0), 0)</f>
        <v>1</v>
      </c>
      <c r="U155" s="113">
        <f t="shared" ref="U155:V155" si="159">IF(S155="",0,IF(S155&lt;=2,1,IF(S155&lt;=4,2,IF(S155&lt;=5.5,3,4))))
</f>
        <v>1</v>
      </c>
      <c r="V155" s="113">
        <f t="shared" si="159"/>
        <v>1</v>
      </c>
      <c r="W155" s="113" t="str">
        <f t="shared" si="6"/>
        <v>No Progress</v>
      </c>
      <c r="X155" s="113"/>
      <c r="Y155" s="113"/>
      <c r="Z155" s="113"/>
      <c r="AA155" s="113"/>
      <c r="AB155" s="116"/>
      <c r="AC155" s="116"/>
      <c r="AD155" s="117"/>
    </row>
    <row r="156" ht="15.75" customHeight="1">
      <c r="A156" s="122" t="s">
        <v>512</v>
      </c>
      <c r="B156" s="123" t="s">
        <v>513</v>
      </c>
      <c r="C156" s="106" t="str">
        <f>IFERROR(__xludf.DUMMYFUNCTION("arrayformula(VLOOKUP(to_Text(A156),to_Text(sheet2!$A$1:M1005),13,0))"),"MOC")</f>
        <v>MOC</v>
      </c>
      <c r="D156" s="107" t="str">
        <f>IFERROR(__xludf.DUMMYFUNCTION("arrayformula(VLOOKUP(to_Text(A156),to_Text(sheet2!$A$1:M1005),12,0))"),"DEV")</f>
        <v>DEV</v>
      </c>
      <c r="E156" s="108" t="str">
        <f t="shared" si="2"/>
        <v>Active</v>
      </c>
      <c r="F156" s="104" t="str">
        <f t="array" ref="F156">IFERROR(
  INDEX(ATTENDANCE_INPUT!D:D,
    MATCH(1,
      (ATTENDANCE_INPUT!A:A=A156) *
      (ATTENDANCE_INPUT!W:W=MAXIFS(ATTENDANCE_INPUT!W:W, ATTENDANCE_INPUT!A:A, A156)),
      0)),
  "")</f>
        <v>Phung Nguyen</v>
      </c>
      <c r="G156" s="109" t="str">
        <f t="array" ref="G156">IFERROR(
  INDEX(ATTENDANCE_INPUT!E:E,
    MATCH(1,
      (ATTENDANCE_INPUT!A:A=A156) *
      (ATTENDANCE_INPUT!W:W=MAXIFS(ATTENDANCE_INPUT!W:W, ATTENDANCE_INPUT!A:A, A156)),
      0)),
  "")</f>
        <v>Foundation</v>
      </c>
      <c r="H156" s="110" t="str">
        <f t="array" ref="H156">IF(ISNA(MATCH(A156,sheet2!A:A,0)),"⏳ Chưa test",IFERROR(INDEX(LEVEL_HELPER!A:A,MATCH(INDEX(sheet2!N:N,MATCH(A156,sheet2!A:A,0)),LEVEL_HELPER!B:B,0)),"⏳ Chưa test"))</f>
        <v>Foundation</v>
      </c>
      <c r="I156" s="110" t="str">
        <f t="array" ref="I156">IF(ISNA(MATCH(A156,sheet2!A:A,0)),H156,IF(INDEX(sheet2!O:O,MATCH(A156,sheet2!A:A,0))&gt;0,IFERROR(INDEX(LEVEL_HELPER!A:A,MATCH(INDEX(sheet2!O:O,MATCH(A156,sheet2!A:A,0)),LEVEL_HELPER!B:B,0)),H156),H156))</f>
        <v>Foundation</v>
      </c>
      <c r="J156" s="124">
        <f>IFERROR(MAXIFS(ATTENDANCE_LOG!F:F, ATTENDANCE_LOG!C:C, A156&amp;"", ATTENDANCE_LOG!G:G, "Present"), "")</f>
        <v>46211.45833</v>
      </c>
      <c r="K156" s="111">
        <f t="shared" si="3"/>
        <v>1.541666667</v>
      </c>
      <c r="L156" s="112" t="str">
        <f t="shared" si="4"/>
        <v/>
      </c>
      <c r="M156" s="121"/>
      <c r="N156" s="114"/>
      <c r="O156" s="113"/>
      <c r="P156" s="115">
        <f>IFERROR(__xludf.DUMMYFUNCTION("IFERROR(COUNTUNIQUEIFS(ATTENDANCE_LOG!B:B,ATTENDANCE_LOG!C:C,A156),0)"),1.0)</f>
        <v>1</v>
      </c>
      <c r="Q156" s="113" t="str">
        <f t="array" ref="Q156">IFERROR(INDEX(ATTENDANCE_LOG!A:A,MATCH(1,(ATTENDANCE_LOG!C:C=A156)*(ATTENDANCE_LOG!F:F=MAXIFS(ATTENDANCE_LOG!F:F,ATTENDANCE_LOG!C:C,A156)),0)),"")</f>
        <v>EL049</v>
      </c>
      <c r="R156" s="113" t="str">
        <f t="array" ref="R156">IFERROR(INDEX(ATTENDANCE_LOG!B:B,MATCH(1,(ATTENDANCE_LOG!C:C=A156)*(ATTENDANCE_LOG!F:F=MAXIFS(ATTENDANCE_LOG!F:F,ATTENDANCE_LOG!C:C,A156)),0)),"")</f>
        <v>Foundation</v>
      </c>
      <c r="S156" s="113">
        <f>IFERROR(VLOOKUP(H156, LEVEL_HELPER!A:B, 2, 0), 0)</f>
        <v>0.5</v>
      </c>
      <c r="T156" s="113">
        <f>IFERROR(VLOOKUP(I156, LEVEL_HELPER!A:B, 2, 0), 0)</f>
        <v>0.5</v>
      </c>
      <c r="U156" s="113">
        <f t="shared" ref="U156:V156" si="160">IF(S156="",0,IF(S156&lt;=2,1,IF(S156&lt;=4,2,IF(S156&lt;=5.5,3,4))))
</f>
        <v>1</v>
      </c>
      <c r="V156" s="113">
        <f t="shared" si="160"/>
        <v>1</v>
      </c>
      <c r="W156" s="113" t="str">
        <f t="shared" si="6"/>
        <v>No Progress</v>
      </c>
      <c r="X156" s="113"/>
      <c r="Y156" s="113"/>
      <c r="Z156" s="113"/>
      <c r="AA156" s="113"/>
      <c r="AB156" s="102"/>
      <c r="AC156" s="102"/>
      <c r="AD156" s="103"/>
    </row>
    <row r="157" ht="15.75" customHeight="1">
      <c r="A157" s="122" t="s">
        <v>514</v>
      </c>
      <c r="B157" s="123" t="s">
        <v>515</v>
      </c>
      <c r="C157" s="106" t="str">
        <f>IFERROR(__xludf.DUMMYFUNCTION("arrayformula(VLOOKUP(to_Text(A157),to_Text(sheet2!$A$1:M1005),13,0))"),"LBU")</f>
        <v>LBU</v>
      </c>
      <c r="D157" s="107" t="str">
        <f>IFERROR(__xludf.DUMMYFUNCTION("arrayformula(VLOOKUP(to_Text(A157),to_Text(sheet2!$A$1:M1005),12,0))"),"Designer")</f>
        <v>Designer</v>
      </c>
      <c r="E157" s="108" t="str">
        <f t="shared" si="2"/>
        <v>Active</v>
      </c>
      <c r="F157" s="104" t="str">
        <f t="array" ref="F157">IFERROR(
  INDEX(ATTENDANCE_INPUT!D:D,
    MATCH(1,
      (ATTENDANCE_INPUT!A:A=A157) *
      (ATTENDANCE_INPUT!W:W=MAXIFS(ATTENDANCE_INPUT!W:W, ATTENDANCE_INPUT!A:A, A157)),
      0)),
  "")</f>
        <v>Phung Nguyen</v>
      </c>
      <c r="G157" s="109" t="str">
        <f t="array" ref="G157">IFERROR(
  INDEX(ATTENDANCE_INPUT!E:E,
    MATCH(1,
      (ATTENDANCE_INPUT!A:A=A157) *
      (ATTENDANCE_INPUT!W:W=MAXIFS(ATTENDANCE_INPUT!W:W, ATTENDANCE_INPUT!A:A, A157)),
      0)),
  "")</f>
        <v>Foundation</v>
      </c>
      <c r="H157" s="110" t="str">
        <f t="array" ref="H157">IF(ISNA(MATCH(A157,sheet2!A:A,0)),"⏳ Chưa test",IFERROR(INDEX(LEVEL_HELPER!A:A,MATCH(INDEX(sheet2!N:N,MATCH(A157,sheet2!A:A,0)),LEVEL_HELPER!B:B,0)),"⏳ Chưa test"))</f>
        <v>Foundation</v>
      </c>
      <c r="I157" s="110" t="str">
        <f t="array" ref="I157">IF(ISNA(MATCH(A157,sheet2!A:A,0)),H157,IF(INDEX(sheet2!O:O,MATCH(A157,sheet2!A:A,0))&gt;0,IFERROR(INDEX(LEVEL_HELPER!A:A,MATCH(INDEX(sheet2!O:O,MATCH(A157,sheet2!A:A,0)),LEVEL_HELPER!B:B,0)),H157),H157))</f>
        <v>Foundation</v>
      </c>
      <c r="J157" s="124">
        <f>IFERROR(MAXIFS(ATTENDANCE_LOG!F:F, ATTENDANCE_LOG!C:C, A157&amp;"", ATTENDANCE_LOG!G:G, "Present"), "")</f>
        <v>46176.45833</v>
      </c>
      <c r="K157" s="111">
        <f t="shared" si="3"/>
        <v>36.54166667</v>
      </c>
      <c r="L157" s="112" t="str">
        <f t="shared" si="4"/>
        <v>⚠ Check</v>
      </c>
      <c r="M157" s="121"/>
      <c r="N157" s="114"/>
      <c r="O157" s="121"/>
      <c r="P157" s="115">
        <f>IFERROR(__xludf.DUMMYFUNCTION("IFERROR(COUNTUNIQUEIFS(ATTENDANCE_LOG!B:B,ATTENDANCE_LOG!C:C,A157),0)"),1.0)</f>
        <v>1</v>
      </c>
      <c r="Q157" s="113" t="str">
        <f t="array" ref="Q157">IFERROR(INDEX(ATTENDANCE_LOG!A:A,MATCH(1,(ATTENDANCE_LOG!C:C=A157)*(ATTENDANCE_LOG!F:F=MAXIFS(ATTENDANCE_LOG!F:F,ATTENDANCE_LOG!C:C,A157)),0)),"")</f>
        <v>EL049</v>
      </c>
      <c r="R157" s="113" t="str">
        <f t="array" ref="R157">IFERROR(INDEX(ATTENDANCE_LOG!B:B,MATCH(1,(ATTENDANCE_LOG!C:C=A157)*(ATTENDANCE_LOG!F:F=MAXIFS(ATTENDANCE_LOG!F:F,ATTENDANCE_LOG!C:C,A157)),0)),"")</f>
        <v>Foundation</v>
      </c>
      <c r="S157" s="113">
        <f>IFERROR(VLOOKUP(H157, LEVEL_HELPER!A:B, 2, 0), 0)</f>
        <v>0.5</v>
      </c>
      <c r="T157" s="113">
        <f>IFERROR(VLOOKUP(I157, LEVEL_HELPER!A:B, 2, 0), 0)</f>
        <v>0.5</v>
      </c>
      <c r="U157" s="113">
        <f t="shared" ref="U157:V157" si="161">IF(S157="",0,IF(S157&lt;=2,1,IF(S157&lt;=4,2,IF(S157&lt;=5.5,3,4))))
</f>
        <v>1</v>
      </c>
      <c r="V157" s="113">
        <f t="shared" si="161"/>
        <v>1</v>
      </c>
      <c r="W157" s="113" t="str">
        <f t="shared" si="6"/>
        <v>No Progress</v>
      </c>
      <c r="X157" s="121"/>
      <c r="Y157" s="121"/>
      <c r="Z157" s="121"/>
      <c r="AA157" s="121"/>
      <c r="AB157" s="102"/>
      <c r="AC157" s="102"/>
      <c r="AD157" s="103"/>
    </row>
    <row r="158" ht="15.75" customHeight="1">
      <c r="A158" s="104" t="s">
        <v>516</v>
      </c>
      <c r="B158" s="105" t="s">
        <v>517</v>
      </c>
      <c r="C158" s="106" t="str">
        <f>IFERROR(__xludf.DUMMYFUNCTION("arrayformula(VLOOKUP(to_Text(A158),to_Text(sheet2!$A$1:M1005),13,0))"),"CHORUS")</f>
        <v>CHORUS</v>
      </c>
      <c r="D158" s="107" t="str">
        <f>IFERROR(__xludf.DUMMYFUNCTION("arrayformula(VLOOKUP(to_Text(A158),to_Text(sheet2!$A$1:M1005),12,0))"),"DEV")</f>
        <v>DEV</v>
      </c>
      <c r="E158" s="108" t="str">
        <f t="shared" si="2"/>
        <v>Active</v>
      </c>
      <c r="F158" s="104" t="str">
        <f t="array" ref="F158">IFERROR(
  INDEX(ATTENDANCE_INPUT!D:D,
    MATCH(1,
      (ATTENDANCE_INPUT!A:A=A158) *
      (ATTENDANCE_INPUT!W:W=MAXIFS(ATTENDANCE_INPUT!W:W, ATTENDANCE_INPUT!A:A, A158)),
      0)),
  "")</f>
        <v>Phung Nguyen</v>
      </c>
      <c r="G158" s="109" t="str">
        <f t="array" ref="G158">IFERROR(
  INDEX(ATTENDANCE_INPUT!E:E,
    MATCH(1,
      (ATTENDANCE_INPUT!A:A=A158) *
      (ATTENDANCE_INPUT!W:W=MAXIFS(ATTENDANCE_INPUT!W:W, ATTENDANCE_INPUT!A:A, A158)),
      0)),
  "")</f>
        <v>Foundation</v>
      </c>
      <c r="H158" s="110" t="str">
        <f t="array" ref="H158">IF(ISNA(MATCH(A158,sheet2!A:A,0)),"⏳ Chưa test",IFERROR(INDEX(LEVEL_HELPER!A:A,MATCH(INDEX(sheet2!N:N,MATCH(A158,sheet2!A:A,0)),LEVEL_HELPER!B:B,0)),"⏳ Chưa test"))</f>
        <v>Foundation</v>
      </c>
      <c r="I158" s="110" t="str">
        <f t="array" ref="I158">IF(ISNA(MATCH(A158,sheet2!A:A,0)),H158,IF(INDEX(sheet2!O:O,MATCH(A158,sheet2!A:A,0))&gt;0,IFERROR(INDEX(LEVEL_HELPER!A:A,MATCH(INDEX(sheet2!O:O,MATCH(A158,sheet2!A:A,0)),LEVEL_HELPER!B:B,0)),H158),H158))</f>
        <v>Foundation</v>
      </c>
      <c r="J158" s="110">
        <f>IFERROR(MAXIFS(ATTENDANCE_LOG!F:F, ATTENDANCE_LOG!C:C, A158&amp;"", ATTENDANCE_LOG!G:G, "Present"), "")</f>
        <v>46211.45833</v>
      </c>
      <c r="K158" s="111">
        <f t="shared" si="3"/>
        <v>1.541666667</v>
      </c>
      <c r="L158" s="112" t="str">
        <f t="shared" si="4"/>
        <v/>
      </c>
      <c r="M158" s="113"/>
      <c r="N158" s="114"/>
      <c r="O158" s="113"/>
      <c r="P158" s="115">
        <f>IFERROR(__xludf.DUMMYFUNCTION("IFERROR(COUNTUNIQUEIFS(ATTENDANCE_LOG!B:B,ATTENDANCE_LOG!C:C,A158),0)"),1.0)</f>
        <v>1</v>
      </c>
      <c r="Q158" s="113" t="str">
        <f t="array" ref="Q158">IFERROR(INDEX(ATTENDANCE_LOG!A:A,MATCH(1,(ATTENDANCE_LOG!C:C=A158)*(ATTENDANCE_LOG!F:F=MAXIFS(ATTENDANCE_LOG!F:F,ATTENDANCE_LOG!C:C,A158)),0)),"")</f>
        <v>EL049</v>
      </c>
      <c r="R158" s="113" t="str">
        <f t="array" ref="R158">IFERROR(INDEX(ATTENDANCE_LOG!B:B,MATCH(1,(ATTENDANCE_LOG!C:C=A158)*(ATTENDANCE_LOG!F:F=MAXIFS(ATTENDANCE_LOG!F:F,ATTENDANCE_LOG!C:C,A158)),0)),"")</f>
        <v>Foundation</v>
      </c>
      <c r="S158" s="113">
        <f>IFERROR(VLOOKUP(H158, LEVEL_HELPER!A:B, 2, 0), 0)</f>
        <v>0.5</v>
      </c>
      <c r="T158" s="113">
        <f>IFERROR(VLOOKUP(I158, LEVEL_HELPER!A:B, 2, 0), 0)</f>
        <v>0.5</v>
      </c>
      <c r="U158" s="113">
        <f t="shared" ref="U158:V158" si="162">IF(S158="",0,IF(S158&lt;=2,1,IF(S158&lt;=4,2,IF(S158&lt;=5.5,3,4))))
</f>
        <v>1</v>
      </c>
      <c r="V158" s="113">
        <f t="shared" si="162"/>
        <v>1</v>
      </c>
      <c r="W158" s="113" t="str">
        <f t="shared" si="6"/>
        <v>No Progress</v>
      </c>
      <c r="X158" s="113"/>
      <c r="Y158" s="113"/>
      <c r="Z158" s="113"/>
      <c r="AA158" s="113"/>
      <c r="AB158" s="102"/>
      <c r="AC158" s="102"/>
      <c r="AD158" s="103"/>
    </row>
    <row r="159" ht="15.75" customHeight="1">
      <c r="A159" s="104" t="s">
        <v>518</v>
      </c>
      <c r="B159" s="105" t="s">
        <v>519</v>
      </c>
      <c r="C159" s="106" t="str">
        <f>IFERROR(__xludf.DUMMYFUNCTION("arrayformula(VLOOKUP(to_Text(A159),to_Text(sheet2!$A$1:M1005),13,0))"),"CHORUS")</f>
        <v>CHORUS</v>
      </c>
      <c r="D159" s="107" t="str">
        <f>IFERROR(__xludf.DUMMYFUNCTION("arrayformula(VLOOKUP(to_Text(A159),to_Text(sheet2!$A$1:M1005),12,0))"),"DEV")</f>
        <v>DEV</v>
      </c>
      <c r="E159" s="108" t="str">
        <f t="shared" si="2"/>
        <v>Active</v>
      </c>
      <c r="F159" s="104" t="str">
        <f t="array" ref="F159">IFERROR(
  INDEX(ATTENDANCE_INPUT!D:D,
    MATCH(1,
      (ATTENDANCE_INPUT!A:A=A159) *
      (ATTENDANCE_INPUT!W:W=MAXIFS(ATTENDANCE_INPUT!W:W, ATTENDANCE_INPUT!A:A, A159)),
      0)),
  "")</f>
        <v>Phung Nguyen</v>
      </c>
      <c r="G159" s="109" t="str">
        <f t="array" ref="G159">IFERROR(
  INDEX(ATTENDANCE_INPUT!E:E,
    MATCH(1,
      (ATTENDANCE_INPUT!A:A=A159) *
      (ATTENDANCE_INPUT!W:W=MAXIFS(ATTENDANCE_INPUT!W:W, ATTENDANCE_INPUT!A:A, A159)),
      0)),
  "")</f>
        <v>Foundation</v>
      </c>
      <c r="H159" s="110" t="str">
        <f t="array" ref="H159">IF(ISNA(MATCH(A159,sheet2!A:A,0)),"⏳ Chưa test",IFERROR(INDEX(LEVEL_HELPER!A:A,MATCH(INDEX(sheet2!N:N,MATCH(A159,sheet2!A:A,0)),LEVEL_HELPER!B:B,0)),"⏳ Chưa test"))</f>
        <v>Foundation</v>
      </c>
      <c r="I159" s="110" t="str">
        <f t="array" ref="I159">IF(ISNA(MATCH(A159,sheet2!A:A,0)),H159,IF(INDEX(sheet2!O:O,MATCH(A159,sheet2!A:A,0))&gt;0,IFERROR(INDEX(LEVEL_HELPER!A:A,MATCH(INDEX(sheet2!O:O,MATCH(A159,sheet2!A:A,0)),LEVEL_HELPER!B:B,0)),H159),H159))</f>
        <v>Foundation</v>
      </c>
      <c r="J159" s="110">
        <f>IFERROR(MAXIFS(ATTENDANCE_LOG!F:F, ATTENDANCE_LOG!C:C, A159&amp;"", ATTENDANCE_LOG!G:G, "Present"), "")</f>
        <v>46211.45833</v>
      </c>
      <c r="K159" s="111">
        <f t="shared" si="3"/>
        <v>1.541666667</v>
      </c>
      <c r="L159" s="112" t="str">
        <f t="shared" si="4"/>
        <v/>
      </c>
      <c r="M159" s="113"/>
      <c r="N159" s="114"/>
      <c r="O159" s="113"/>
      <c r="P159" s="115">
        <f>IFERROR(__xludf.DUMMYFUNCTION("IFERROR(COUNTUNIQUEIFS(ATTENDANCE_LOG!B:B,ATTENDANCE_LOG!C:C,A159),0)"),1.0)</f>
        <v>1</v>
      </c>
      <c r="Q159" s="113" t="str">
        <f t="array" ref="Q159">IFERROR(INDEX(ATTENDANCE_LOG!A:A,MATCH(1,(ATTENDANCE_LOG!C:C=A159)*(ATTENDANCE_LOG!F:F=MAXIFS(ATTENDANCE_LOG!F:F,ATTENDANCE_LOG!C:C,A159)),0)),"")</f>
        <v>EL049</v>
      </c>
      <c r="R159" s="113" t="str">
        <f t="array" ref="R159">IFERROR(INDEX(ATTENDANCE_LOG!B:B,MATCH(1,(ATTENDANCE_LOG!C:C=A159)*(ATTENDANCE_LOG!F:F=MAXIFS(ATTENDANCE_LOG!F:F,ATTENDANCE_LOG!C:C,A159)),0)),"")</f>
        <v>Foundation</v>
      </c>
      <c r="S159" s="113">
        <f>IFERROR(VLOOKUP(H159, LEVEL_HELPER!A:B, 2, 0), 0)</f>
        <v>0.5</v>
      </c>
      <c r="T159" s="113">
        <f>IFERROR(VLOOKUP(I159, LEVEL_HELPER!A:B, 2, 0), 0)</f>
        <v>0.5</v>
      </c>
      <c r="U159" s="113">
        <f t="shared" ref="U159:V159" si="163">IF(S159="",0,IF(S159&lt;=2,1,IF(S159&lt;=4,2,IF(S159&lt;=5.5,3,4))))
</f>
        <v>1</v>
      </c>
      <c r="V159" s="113">
        <f t="shared" si="163"/>
        <v>1</v>
      </c>
      <c r="W159" s="113" t="str">
        <f t="shared" si="6"/>
        <v>No Progress</v>
      </c>
      <c r="X159" s="113"/>
      <c r="Y159" s="113"/>
      <c r="Z159" s="113"/>
      <c r="AA159" s="113"/>
      <c r="AB159" s="116"/>
      <c r="AC159" s="116"/>
      <c r="AD159" s="117"/>
    </row>
    <row r="160" ht="15.75" customHeight="1">
      <c r="A160" s="104" t="s">
        <v>520</v>
      </c>
      <c r="B160" s="105" t="s">
        <v>521</v>
      </c>
      <c r="C160" s="106" t="str">
        <f>IFERROR(__xludf.DUMMYFUNCTION("arrayformula(VLOOKUP(to_Text(A160),to_Text(sheet2!$A$1:M1005),13,0))"),"CHORUS")</f>
        <v>CHORUS</v>
      </c>
      <c r="D160" s="107" t="str">
        <f>IFERROR(__xludf.DUMMYFUNCTION("arrayformula(VLOOKUP(to_Text(A160),to_Text(sheet2!$A$1:M1005),12,0))"),"DEV")</f>
        <v>DEV</v>
      </c>
      <c r="E160" s="108" t="str">
        <f t="shared" si="2"/>
        <v>Active</v>
      </c>
      <c r="F160" s="104" t="str">
        <f t="array" ref="F160">IFERROR(
  INDEX(ATTENDANCE_INPUT!D:D,
    MATCH(1,
      (ATTENDANCE_INPUT!A:A=A160) *
      (ATTENDANCE_INPUT!W:W=MAXIFS(ATTENDANCE_INPUT!W:W, ATTENDANCE_INPUT!A:A, A160)),
      0)),
  "")</f>
        <v>Phung Nguyen</v>
      </c>
      <c r="G160" s="109" t="str">
        <f t="array" ref="G160">IFERROR(
  INDEX(ATTENDANCE_INPUT!E:E,
    MATCH(1,
      (ATTENDANCE_INPUT!A:A=A160) *
      (ATTENDANCE_INPUT!W:W=MAXIFS(ATTENDANCE_INPUT!W:W, ATTENDANCE_INPUT!A:A, A160)),
      0)),
  "")</f>
        <v>Foundation</v>
      </c>
      <c r="H160" s="110" t="str">
        <f t="array" ref="H160">IF(ISNA(MATCH(A160,sheet2!A:A,0)),"⏳ Chưa test",IFERROR(INDEX(LEVEL_HELPER!A:A,MATCH(INDEX(sheet2!N:N,MATCH(A160,sheet2!A:A,0)),LEVEL_HELPER!B:B,0)),"⏳ Chưa test"))</f>
        <v>Foundation</v>
      </c>
      <c r="I160" s="110" t="str">
        <f t="array" ref="I160">IF(ISNA(MATCH(A160,sheet2!A:A,0)),H160,IF(INDEX(sheet2!O:O,MATCH(A160,sheet2!A:A,0))&gt;0,IFERROR(INDEX(LEVEL_HELPER!A:A,MATCH(INDEX(sheet2!O:O,MATCH(A160,sheet2!A:A,0)),LEVEL_HELPER!B:B,0)),H160),H160))</f>
        <v>Foundation</v>
      </c>
      <c r="J160" s="110">
        <f>IFERROR(MAXIFS(ATTENDANCE_LOG!F:F, ATTENDANCE_LOG!C:C, A160&amp;"", ATTENDANCE_LOG!G:G, "Present"), "")</f>
        <v>46211.45833</v>
      </c>
      <c r="K160" s="111">
        <f t="shared" si="3"/>
        <v>1.541666667</v>
      </c>
      <c r="L160" s="112" t="str">
        <f t="shared" si="4"/>
        <v/>
      </c>
      <c r="M160" s="113"/>
      <c r="N160" s="114"/>
      <c r="O160" s="113"/>
      <c r="P160" s="115">
        <f>IFERROR(__xludf.DUMMYFUNCTION("IFERROR(COUNTUNIQUEIFS(ATTENDANCE_LOG!B:B,ATTENDANCE_LOG!C:C,A160),0)"),1.0)</f>
        <v>1</v>
      </c>
      <c r="Q160" s="113" t="str">
        <f t="array" ref="Q160">IFERROR(INDEX(ATTENDANCE_LOG!A:A,MATCH(1,(ATTENDANCE_LOG!C:C=A160)*(ATTENDANCE_LOG!F:F=MAXIFS(ATTENDANCE_LOG!F:F,ATTENDANCE_LOG!C:C,A160)),0)),"")</f>
        <v>EL049</v>
      </c>
      <c r="R160" s="113" t="str">
        <f t="array" ref="R160">IFERROR(INDEX(ATTENDANCE_LOG!B:B,MATCH(1,(ATTENDANCE_LOG!C:C=A160)*(ATTENDANCE_LOG!F:F=MAXIFS(ATTENDANCE_LOG!F:F,ATTENDANCE_LOG!C:C,A160)),0)),"")</f>
        <v>Foundation</v>
      </c>
      <c r="S160" s="113">
        <f>IFERROR(VLOOKUP(H160, LEVEL_HELPER!A:B, 2, 0), 0)</f>
        <v>0.5</v>
      </c>
      <c r="T160" s="113">
        <f>IFERROR(VLOOKUP(I160, LEVEL_HELPER!A:B, 2, 0), 0)</f>
        <v>0.5</v>
      </c>
      <c r="U160" s="113">
        <f t="shared" ref="U160:V160" si="164">IF(S160="",0,IF(S160&lt;=2,1,IF(S160&lt;=4,2,IF(S160&lt;=5.5,3,4))))
</f>
        <v>1</v>
      </c>
      <c r="V160" s="113">
        <f t="shared" si="164"/>
        <v>1</v>
      </c>
      <c r="W160" s="113" t="str">
        <f t="shared" si="6"/>
        <v>No Progress</v>
      </c>
      <c r="X160" s="113"/>
      <c r="Y160" s="113"/>
      <c r="Z160" s="113"/>
      <c r="AA160" s="113"/>
      <c r="AB160" s="116"/>
      <c r="AC160" s="116"/>
      <c r="AD160" s="117"/>
    </row>
    <row r="161" ht="15.75" customHeight="1">
      <c r="A161" s="104" t="s">
        <v>522</v>
      </c>
      <c r="B161" s="105" t="s">
        <v>523</v>
      </c>
      <c r="C161" s="106" t="str">
        <f>IFERROR(__xludf.DUMMYFUNCTION("arrayformula(VLOOKUP(to_Text(A161),to_Text(sheet2!$A$1:M1005),13,0))"),"CHORUS")</f>
        <v>CHORUS</v>
      </c>
      <c r="D161" s="107" t="str">
        <f>IFERROR(__xludf.DUMMYFUNCTION("arrayformula(VLOOKUP(to_Text(A161),to_Text(sheet2!$A$1:M1005),12,0))"),"DEV")</f>
        <v>DEV</v>
      </c>
      <c r="E161" s="108" t="str">
        <f t="shared" si="2"/>
        <v>Active</v>
      </c>
      <c r="F161" s="104" t="str">
        <f t="array" ref="F161">IFERROR(
  INDEX(ATTENDANCE_INPUT!D:D,
    MATCH(1,
      (ATTENDANCE_INPUT!A:A=A161) *
      (ATTENDANCE_INPUT!W:W=MAXIFS(ATTENDANCE_INPUT!W:W, ATTENDANCE_INPUT!A:A, A161)),
      0)),
  "")</f>
        <v>Phung Nguyen</v>
      </c>
      <c r="G161" s="109" t="str">
        <f t="array" ref="G161">IFERROR(
  INDEX(ATTENDANCE_INPUT!E:E,
    MATCH(1,
      (ATTENDANCE_INPUT!A:A=A161) *
      (ATTENDANCE_INPUT!W:W=MAXIFS(ATTENDANCE_INPUT!W:W, ATTENDANCE_INPUT!A:A, A161)),
      0)),
  "")</f>
        <v>Foundation</v>
      </c>
      <c r="H161" s="110" t="str">
        <f t="array" ref="H161">IF(ISNA(MATCH(A161,sheet2!A:A,0)),"⏳ Chưa test",IFERROR(INDEX(LEVEL_HELPER!A:A,MATCH(INDEX(sheet2!N:N,MATCH(A161,sheet2!A:A,0)),LEVEL_HELPER!B:B,0)),"⏳ Chưa test"))</f>
        <v>Foundation</v>
      </c>
      <c r="I161" s="110" t="str">
        <f t="array" ref="I161">IF(ISNA(MATCH(A161,sheet2!A:A,0)),H161,IF(INDEX(sheet2!O:O,MATCH(A161,sheet2!A:A,0))&gt;0,IFERROR(INDEX(LEVEL_HELPER!A:A,MATCH(INDEX(sheet2!O:O,MATCH(A161,sheet2!A:A,0)),LEVEL_HELPER!B:B,0)),H161),H161))</f>
        <v>Foundation</v>
      </c>
      <c r="J161" s="110">
        <f>IFERROR(MAXIFS(ATTENDANCE_LOG!F:F, ATTENDANCE_LOG!C:C, A161&amp;"", ATTENDANCE_LOG!G:G, "Present"), "")</f>
        <v>46205.625</v>
      </c>
      <c r="K161" s="111">
        <f t="shared" si="3"/>
        <v>7.375</v>
      </c>
      <c r="L161" s="112" t="str">
        <f t="shared" si="4"/>
        <v/>
      </c>
      <c r="M161" s="113"/>
      <c r="N161" s="114"/>
      <c r="O161" s="113" t="s">
        <v>328</v>
      </c>
      <c r="P161" s="115">
        <f>IFERROR(__xludf.DUMMYFUNCTION("IFERROR(COUNTUNIQUEIFS(ATTENDANCE_LOG!B:B,ATTENDANCE_LOG!C:C,A161),0)"),1.0)</f>
        <v>1</v>
      </c>
      <c r="Q161" s="113" t="str">
        <f t="array" ref="Q161">IFERROR(INDEX(ATTENDANCE_LOG!A:A,MATCH(1,(ATTENDANCE_LOG!C:C=A161)*(ATTENDANCE_LOG!F:F=MAXIFS(ATTENDANCE_LOG!F:F,ATTENDANCE_LOG!C:C,A161)),0)),"")</f>
        <v>EL049</v>
      </c>
      <c r="R161" s="113" t="str">
        <f t="array" ref="R161">IFERROR(INDEX(ATTENDANCE_LOG!B:B,MATCH(1,(ATTENDANCE_LOG!C:C=A161)*(ATTENDANCE_LOG!F:F=MAXIFS(ATTENDANCE_LOG!F:F,ATTENDANCE_LOG!C:C,A161)),0)),"")</f>
        <v>Foundation</v>
      </c>
      <c r="S161" s="113">
        <f>IFERROR(VLOOKUP(H161, LEVEL_HELPER!A:B, 2, 0), 0)</f>
        <v>0.5</v>
      </c>
      <c r="T161" s="113">
        <f>IFERROR(VLOOKUP(I161, LEVEL_HELPER!A:B, 2, 0), 0)</f>
        <v>0.5</v>
      </c>
      <c r="U161" s="113">
        <f t="shared" ref="U161:V161" si="165">IF(S161="",0,IF(S161&lt;=2,1,IF(S161&lt;=4,2,IF(S161&lt;=5.5,3,4))))
</f>
        <v>1</v>
      </c>
      <c r="V161" s="113">
        <f t="shared" si="165"/>
        <v>1</v>
      </c>
      <c r="W161" s="113" t="str">
        <f t="shared" si="6"/>
        <v>No Progress</v>
      </c>
      <c r="X161" s="113"/>
      <c r="Y161" s="113"/>
      <c r="Z161" s="113"/>
      <c r="AA161" s="113"/>
      <c r="AB161" s="116"/>
      <c r="AC161" s="116"/>
      <c r="AD161" s="117"/>
    </row>
    <row r="162" ht="15.75" customHeight="1">
      <c r="A162" s="104" t="s">
        <v>524</v>
      </c>
      <c r="B162" s="105" t="s">
        <v>525</v>
      </c>
      <c r="C162" s="106" t="str">
        <f>IFERROR(__xludf.DUMMYFUNCTION("arrayformula(VLOOKUP(to_Text(A162),to_Text(sheet2!$A$1:M1005),13,0))"),"CHORUS")</f>
        <v>CHORUS</v>
      </c>
      <c r="D162" s="107" t="str">
        <f>IFERROR(__xludf.DUMMYFUNCTION("arrayformula(VLOOKUP(to_Text(A162),to_Text(sheet2!$A$1:M1005),12,0))"),"DEV")</f>
        <v>DEV</v>
      </c>
      <c r="E162" s="108" t="str">
        <f t="shared" si="2"/>
        <v>Active</v>
      </c>
      <c r="F162" s="104" t="str">
        <f t="array" ref="F162">IFERROR(
  INDEX(ATTENDANCE_INPUT!D:D,
    MATCH(1,
      (ATTENDANCE_INPUT!A:A=A162) *
      (ATTENDANCE_INPUT!W:W=MAXIFS(ATTENDANCE_INPUT!W:W, ATTENDANCE_INPUT!A:A, A162)),
      0)),
  "")</f>
        <v>Phung Nguyen</v>
      </c>
      <c r="G162" s="109" t="str">
        <f t="array" ref="G162">IFERROR(
  INDEX(ATTENDANCE_INPUT!E:E,
    MATCH(1,
      (ATTENDANCE_INPUT!A:A=A162) *
      (ATTENDANCE_INPUT!W:W=MAXIFS(ATTENDANCE_INPUT!W:W, ATTENDANCE_INPUT!A:A, A162)),
      0)),
  "")</f>
        <v>Foundation</v>
      </c>
      <c r="H162" s="110" t="str">
        <f t="array" ref="H162">IF(ISNA(MATCH(A162,sheet2!A:A,0)),"⏳ Chưa test",IFERROR(INDEX(LEVEL_HELPER!A:A,MATCH(INDEX(sheet2!N:N,MATCH(A162,sheet2!A:A,0)),LEVEL_HELPER!B:B,0)),"⏳ Chưa test"))</f>
        <v>Foundation</v>
      </c>
      <c r="I162" s="110" t="str">
        <f t="array" ref="I162">IF(ISNA(MATCH(A162,sheet2!A:A,0)),H162,IF(INDEX(sheet2!O:O,MATCH(A162,sheet2!A:A,0))&gt;0,IFERROR(INDEX(LEVEL_HELPER!A:A,MATCH(INDEX(sheet2!O:O,MATCH(A162,sheet2!A:A,0)),LEVEL_HELPER!B:B,0)),H162),H162))</f>
        <v>Foundation</v>
      </c>
      <c r="J162" s="110">
        <f>IFERROR(MAXIFS(ATTENDANCE_LOG!F:F, ATTENDANCE_LOG!C:C, A162&amp;"", ATTENDANCE_LOG!G:G, "Present"), "")</f>
        <v>46211.45833</v>
      </c>
      <c r="K162" s="111">
        <f t="shared" si="3"/>
        <v>1.541666667</v>
      </c>
      <c r="L162" s="112" t="str">
        <f t="shared" si="4"/>
        <v/>
      </c>
      <c r="M162" s="113"/>
      <c r="N162" s="114"/>
      <c r="O162" s="113"/>
      <c r="P162" s="115">
        <f>IFERROR(__xludf.DUMMYFUNCTION("IFERROR(COUNTUNIQUEIFS(ATTENDANCE_LOG!B:B,ATTENDANCE_LOG!C:C,A162),0)"),1.0)</f>
        <v>1</v>
      </c>
      <c r="Q162" s="113" t="str">
        <f t="array" ref="Q162">IFERROR(INDEX(ATTENDANCE_LOG!A:A,MATCH(1,(ATTENDANCE_LOG!C:C=A162)*(ATTENDANCE_LOG!F:F=MAXIFS(ATTENDANCE_LOG!F:F,ATTENDANCE_LOG!C:C,A162)),0)),"")</f>
        <v>EL049</v>
      </c>
      <c r="R162" s="113" t="str">
        <f t="array" ref="R162">IFERROR(INDEX(ATTENDANCE_LOG!B:B,MATCH(1,(ATTENDANCE_LOG!C:C=A162)*(ATTENDANCE_LOG!F:F=MAXIFS(ATTENDANCE_LOG!F:F,ATTENDANCE_LOG!C:C,A162)),0)),"")</f>
        <v>Foundation</v>
      </c>
      <c r="S162" s="113">
        <f>IFERROR(VLOOKUP(H162, LEVEL_HELPER!A:B, 2, 0), 0)</f>
        <v>0.5</v>
      </c>
      <c r="T162" s="113">
        <f>IFERROR(VLOOKUP(I162, LEVEL_HELPER!A:B, 2, 0), 0)</f>
        <v>0.5</v>
      </c>
      <c r="U162" s="113">
        <f t="shared" ref="U162:V162" si="166">IF(S162="",0,IF(S162&lt;=2,1,IF(S162&lt;=4,2,IF(S162&lt;=5.5,3,4))))
</f>
        <v>1</v>
      </c>
      <c r="V162" s="113">
        <f t="shared" si="166"/>
        <v>1</v>
      </c>
      <c r="W162" s="113" t="str">
        <f t="shared" si="6"/>
        <v>No Progress</v>
      </c>
      <c r="X162" s="113"/>
      <c r="Y162" s="113"/>
      <c r="Z162" s="113"/>
      <c r="AA162" s="113"/>
      <c r="AB162" s="116"/>
      <c r="AC162" s="116"/>
      <c r="AD162" s="117"/>
    </row>
    <row r="163" ht="15.75" customHeight="1">
      <c r="A163" s="104" t="s">
        <v>526</v>
      </c>
      <c r="B163" s="105" t="s">
        <v>527</v>
      </c>
      <c r="C163" s="106" t="str">
        <f>IFERROR(__xludf.DUMMYFUNCTION("arrayformula(VLOOKUP(to_Text(A163),to_Text(sheet2!$A$1:M1005),13,0))"),"CHORUS")</f>
        <v>CHORUS</v>
      </c>
      <c r="D163" s="107" t="str">
        <f>IFERROR(__xludf.DUMMYFUNCTION("arrayformula(VLOOKUP(to_Text(A163),to_Text(sheet2!$A$1:M1005),12,0))"),"QC")</f>
        <v>QC</v>
      </c>
      <c r="E163" s="108" t="str">
        <f t="shared" si="2"/>
        <v>Active</v>
      </c>
      <c r="F163" s="104" t="str">
        <f t="array" ref="F163">IFERROR(
  INDEX(ATTENDANCE_INPUT!D:D,
    MATCH(1,
      (ATTENDANCE_INPUT!A:A=A163) *
      (ATTENDANCE_INPUT!W:W=MAXIFS(ATTENDANCE_INPUT!W:W, ATTENDANCE_INPUT!A:A, A163)),
      0)),
  "")</f>
        <v>Phung Nguyen</v>
      </c>
      <c r="G163" s="109" t="str">
        <f t="array" ref="G163">IFERROR(
  INDEX(ATTENDANCE_INPUT!E:E,
    MATCH(1,
      (ATTENDANCE_INPUT!A:A=A163) *
      (ATTENDANCE_INPUT!W:W=MAXIFS(ATTENDANCE_INPUT!W:W, ATTENDANCE_INPUT!A:A, A163)),
      0)),
  "")</f>
        <v>Foundation</v>
      </c>
      <c r="H163" s="110" t="str">
        <f t="array" ref="H163">IF(ISNA(MATCH(A163,sheet2!A:A,0)),"⏳ Chưa test",IFERROR(INDEX(LEVEL_HELPER!A:A,MATCH(INDEX(sheet2!N:N,MATCH(A163,sheet2!A:A,0)),LEVEL_HELPER!B:B,0)),"⏳ Chưa test"))</f>
        <v>Foundation</v>
      </c>
      <c r="I163" s="110" t="str">
        <f t="array" ref="I163">IF(ISNA(MATCH(A163,sheet2!A:A,0)),H163,IF(INDEX(sheet2!O:O,MATCH(A163,sheet2!A:A,0))&gt;0,IFERROR(INDEX(LEVEL_HELPER!A:A,MATCH(INDEX(sheet2!O:O,MATCH(A163,sheet2!A:A,0)),LEVEL_HELPER!B:B,0)),H163),H163))</f>
        <v>Foundation</v>
      </c>
      <c r="J163" s="110">
        <f>IFERROR(MAXIFS(ATTENDANCE_LOG!F:F, ATTENDANCE_LOG!C:C, A163&amp;"", ATTENDANCE_LOG!G:G, "Present"), "")</f>
        <v>46211.45833</v>
      </c>
      <c r="K163" s="111">
        <f t="shared" si="3"/>
        <v>1.541666667</v>
      </c>
      <c r="L163" s="112" t="str">
        <f t="shared" si="4"/>
        <v/>
      </c>
      <c r="M163" s="113"/>
      <c r="N163" s="114"/>
      <c r="O163" s="113"/>
      <c r="P163" s="115">
        <f>IFERROR(__xludf.DUMMYFUNCTION("IFERROR(COUNTUNIQUEIFS(ATTENDANCE_LOG!B:B,ATTENDANCE_LOG!C:C,A163),0)"),1.0)</f>
        <v>1</v>
      </c>
      <c r="Q163" s="113" t="str">
        <f t="array" ref="Q163">IFERROR(INDEX(ATTENDANCE_LOG!A:A,MATCH(1,(ATTENDANCE_LOG!C:C=A163)*(ATTENDANCE_LOG!F:F=MAXIFS(ATTENDANCE_LOG!F:F,ATTENDANCE_LOG!C:C,A163)),0)),"")</f>
        <v>EL049</v>
      </c>
      <c r="R163" s="113" t="str">
        <f t="array" ref="R163">IFERROR(INDEX(ATTENDANCE_LOG!B:B,MATCH(1,(ATTENDANCE_LOG!C:C=A163)*(ATTENDANCE_LOG!F:F=MAXIFS(ATTENDANCE_LOG!F:F,ATTENDANCE_LOG!C:C,A163)),0)),"")</f>
        <v>Foundation</v>
      </c>
      <c r="S163" s="113">
        <f>IFERROR(VLOOKUP(H163, LEVEL_HELPER!A:B, 2, 0), 0)</f>
        <v>0.5</v>
      </c>
      <c r="T163" s="113">
        <f>IFERROR(VLOOKUP(I163, LEVEL_HELPER!A:B, 2, 0), 0)</f>
        <v>0.5</v>
      </c>
      <c r="U163" s="113">
        <f t="shared" ref="U163:V163" si="167">IF(S163="",0,IF(S163&lt;=2,1,IF(S163&lt;=4,2,IF(S163&lt;=5.5,3,4))))
</f>
        <v>1</v>
      </c>
      <c r="V163" s="113">
        <f t="shared" si="167"/>
        <v>1</v>
      </c>
      <c r="W163" s="113" t="str">
        <f t="shared" si="6"/>
        <v>No Progress</v>
      </c>
      <c r="X163" s="113"/>
      <c r="Y163" s="113"/>
      <c r="Z163" s="113"/>
      <c r="AA163" s="113"/>
      <c r="AB163" s="116"/>
      <c r="AC163" s="116"/>
      <c r="AD163" s="117"/>
    </row>
    <row r="164" ht="15.75" customHeight="1">
      <c r="A164" s="104" t="s">
        <v>528</v>
      </c>
      <c r="B164" s="105" t="s">
        <v>529</v>
      </c>
      <c r="C164" s="106" t="str">
        <f>IFERROR(__xludf.DUMMYFUNCTION("arrayformula(VLOOKUP(to_Text(A164),to_Text(sheet2!$A$1:M1005),13,0))"),"CHORUS")</f>
        <v>CHORUS</v>
      </c>
      <c r="D164" s="107" t="str">
        <f>IFERROR(__xludf.DUMMYFUNCTION("arrayformula(VLOOKUP(to_Text(A164),to_Text(sheet2!$A$1:M1005),12,0))"),"DEV")</f>
        <v>DEV</v>
      </c>
      <c r="E164" s="108" t="str">
        <f t="shared" si="2"/>
        <v>Active</v>
      </c>
      <c r="F164" s="104" t="str">
        <f t="array" ref="F164">IFERROR(
  INDEX(ATTENDANCE_INPUT!D:D,
    MATCH(1,
      (ATTENDANCE_INPUT!A:A=A164) *
      (ATTENDANCE_INPUT!W:W=MAXIFS(ATTENDANCE_INPUT!W:W, ATTENDANCE_INPUT!A:A, A164)),
      0)),
  "")</f>
        <v>Phung Nguyen</v>
      </c>
      <c r="G164" s="109" t="str">
        <f t="array" ref="G164">IFERROR(
  INDEX(ATTENDANCE_INPUT!E:E,
    MATCH(1,
      (ATTENDANCE_INPUT!A:A=A164) *
      (ATTENDANCE_INPUT!W:W=MAXIFS(ATTENDANCE_INPUT!W:W, ATTENDANCE_INPUT!A:A, A164)),
      0)),
  "")</f>
        <v>Foundation</v>
      </c>
      <c r="H164" s="110" t="str">
        <f t="array" ref="H164">IF(ISNA(MATCH(A164,sheet2!A:A,0)),"⏳ Chưa test",IFERROR(INDEX(LEVEL_HELPER!A:A,MATCH(INDEX(sheet2!N:N,MATCH(A164,sheet2!A:A,0)),LEVEL_HELPER!B:B,0)),"⏳ Chưa test"))</f>
        <v>Foundation</v>
      </c>
      <c r="I164" s="110" t="str">
        <f t="array" ref="I164">IF(ISNA(MATCH(A164,sheet2!A:A,0)),H164,IF(INDEX(sheet2!O:O,MATCH(A164,sheet2!A:A,0))&gt;0,IFERROR(INDEX(LEVEL_HELPER!A:A,MATCH(INDEX(sheet2!O:O,MATCH(A164,sheet2!A:A,0)),LEVEL_HELPER!B:B,0)),H164),H164))</f>
        <v>Foundation</v>
      </c>
      <c r="J164" s="110">
        <f>IFERROR(MAXIFS(ATTENDANCE_LOG!F:F, ATTENDANCE_LOG!C:C, A164&amp;"", ATTENDANCE_LOG!G:G, "Present"), "")</f>
        <v>46211.45833</v>
      </c>
      <c r="K164" s="111">
        <f t="shared" si="3"/>
        <v>1.541666667</v>
      </c>
      <c r="L164" s="112" t="str">
        <f t="shared" si="4"/>
        <v/>
      </c>
      <c r="M164" s="113"/>
      <c r="N164" s="114"/>
      <c r="O164" s="113"/>
      <c r="P164" s="115">
        <f>IFERROR(__xludf.DUMMYFUNCTION("IFERROR(COUNTUNIQUEIFS(ATTENDANCE_LOG!B:B,ATTENDANCE_LOG!C:C,A164),0)"),1.0)</f>
        <v>1</v>
      </c>
      <c r="Q164" s="113" t="str">
        <f t="array" ref="Q164">IFERROR(INDEX(ATTENDANCE_LOG!A:A,MATCH(1,(ATTENDANCE_LOG!C:C=A164)*(ATTENDANCE_LOG!F:F=MAXIFS(ATTENDANCE_LOG!F:F,ATTENDANCE_LOG!C:C,A164)),0)),"")</f>
        <v>EL049</v>
      </c>
      <c r="R164" s="113" t="str">
        <f t="array" ref="R164">IFERROR(INDEX(ATTENDANCE_LOG!B:B,MATCH(1,(ATTENDANCE_LOG!C:C=A164)*(ATTENDANCE_LOG!F:F=MAXIFS(ATTENDANCE_LOG!F:F,ATTENDANCE_LOG!C:C,A164)),0)),"")</f>
        <v>Foundation</v>
      </c>
      <c r="S164" s="113">
        <f>IFERROR(VLOOKUP(H164, LEVEL_HELPER!A:B, 2, 0), 0)</f>
        <v>0.5</v>
      </c>
      <c r="T164" s="113">
        <f>IFERROR(VLOOKUP(I164, LEVEL_HELPER!A:B, 2, 0), 0)</f>
        <v>0.5</v>
      </c>
      <c r="U164" s="113">
        <f t="shared" ref="U164:V164" si="168">IF(S164="",0,IF(S164&lt;=2,1,IF(S164&lt;=4,2,IF(S164&lt;=5.5,3,4))))
</f>
        <v>1</v>
      </c>
      <c r="V164" s="113">
        <f t="shared" si="168"/>
        <v>1</v>
      </c>
      <c r="W164" s="113" t="str">
        <f t="shared" si="6"/>
        <v>No Progress</v>
      </c>
      <c r="X164" s="113"/>
      <c r="Y164" s="113"/>
      <c r="Z164" s="113"/>
      <c r="AA164" s="113"/>
      <c r="AB164" s="116"/>
      <c r="AC164" s="116"/>
      <c r="AD164" s="117"/>
    </row>
    <row r="165" ht="15.75" customHeight="1">
      <c r="A165" s="104" t="s">
        <v>530</v>
      </c>
      <c r="B165" s="105" t="s">
        <v>531</v>
      </c>
      <c r="C165" s="106" t="str">
        <f>IFERROR(__xludf.DUMMYFUNCTION("arrayformula(VLOOKUP(to_Text(A165),to_Text(sheet2!$A$1:M1005),13,0))"),"ONC")</f>
        <v>ONC</v>
      </c>
      <c r="D165" s="107" t="str">
        <f>IFERROR(__xludf.DUMMYFUNCTION("arrayformula(VLOOKUP(to_Text(A165),to_Text(sheet2!$A$1:M1005),12,0))"),"QC")</f>
        <v>QC</v>
      </c>
      <c r="E165" s="108" t="str">
        <f t="shared" si="2"/>
        <v>Active</v>
      </c>
      <c r="F165" s="104" t="str">
        <f t="array" ref="F165">IFERROR(
  INDEX(ATTENDANCE_INPUT!D:D,
    MATCH(1,
      (ATTENDANCE_INPUT!A:A=A165) *
      (ATTENDANCE_INPUT!W:W=MAXIFS(ATTENDANCE_INPUT!W:W, ATTENDANCE_INPUT!A:A, A165)),
      0)),
  "")</f>
        <v>Phuoc Ta</v>
      </c>
      <c r="G165" s="109" t="str">
        <f t="array" ref="G165">IFERROR(
  INDEX(ATTENDANCE_INPUT!E:E,
    MATCH(1,
      (ATTENDANCE_INPUT!A:A=A165) *
      (ATTENDANCE_INPUT!W:W=MAXIFS(ATTENDANCE_INPUT!W:W, ATTENDANCE_INPUT!A:A, A165)),
      0)),
  "")</f>
        <v>Communication 1</v>
      </c>
      <c r="H165" s="110" t="str">
        <f t="array" ref="H165">IF(ISNA(MATCH(A165,sheet2!A:A,0)),"⏳ Chưa test",IFERROR(INDEX(LEVEL_HELPER!A:A,MATCH(INDEX(sheet2!N:N,MATCH(A165,sheet2!A:A,0)),LEVEL_HELPER!B:B,0)),"⏳ Chưa test"))</f>
        <v>Beginner</v>
      </c>
      <c r="I165" s="110" t="str">
        <f t="array" ref="I165">IF(ISNA(MATCH(A165,sheet2!A:A,0)),H165,IF(INDEX(sheet2!O:O,MATCH(A165,sheet2!A:A,0))&gt;0,IFERROR(INDEX(LEVEL_HELPER!A:A,MATCH(INDEX(sheet2!O:O,MATCH(A165,sheet2!A:A,0)),LEVEL_HELPER!B:B,0)),H165),H165))</f>
        <v>Pre-Intermediate</v>
      </c>
      <c r="J165" s="110">
        <f>IFERROR(MAXIFS(ATTENDANCE_LOG!F:F, ATTENDANCE_LOG!C:C, A165&amp;"", ATTENDANCE_LOG!G:G, "Present"), "")</f>
        <v>46210.45833</v>
      </c>
      <c r="K165" s="111">
        <f t="shared" si="3"/>
        <v>2.541666667</v>
      </c>
      <c r="L165" s="112" t="str">
        <f t="shared" si="4"/>
        <v/>
      </c>
      <c r="M165" s="113"/>
      <c r="N165" s="114"/>
      <c r="O165" s="121"/>
      <c r="P165" s="115">
        <f>IFERROR(__xludf.DUMMYFUNCTION("IFERROR(COUNTUNIQUEIFS(ATTENDANCE_LOG!B:B,ATTENDANCE_LOG!C:C,A165),0)"),1.0)</f>
        <v>1</v>
      </c>
      <c r="Q165" s="113" t="str">
        <f t="array" ref="Q165">IFERROR(INDEX(ATTENDANCE_LOG!A:A,MATCH(1,(ATTENDANCE_LOG!C:C=A165)*(ATTENDANCE_LOG!F:F=MAXIFS(ATTENDANCE_LOG!F:F,ATTENDANCE_LOG!C:C,A165)),0)),"")</f>
        <v>EL045</v>
      </c>
      <c r="R165" s="113" t="str">
        <f t="array" ref="R165">IFERROR(INDEX(ATTENDANCE_LOG!B:B,MATCH(1,(ATTENDANCE_LOG!C:C=A165)*(ATTENDANCE_LOG!F:F=MAXIFS(ATTENDANCE_LOG!F:F,ATTENDANCE_LOG!C:C,A165)),0)),"")</f>
        <v>Communication 1</v>
      </c>
      <c r="S165" s="113">
        <f>IFERROR(VLOOKUP(H165, LEVEL_HELPER!A:B, 2, 0), 0)</f>
        <v>1</v>
      </c>
      <c r="T165" s="113">
        <f>IFERROR(VLOOKUP(I165, LEVEL_HELPER!A:B, 2, 0), 0)</f>
        <v>2.5</v>
      </c>
      <c r="U165" s="113">
        <f t="shared" ref="U165:V165" si="169">IF(S165="",0,IF(S165&lt;=2,1,IF(S165&lt;=4,2,IF(S165&lt;=5.5,3,4))))
</f>
        <v>1</v>
      </c>
      <c r="V165" s="113">
        <f t="shared" si="169"/>
        <v>2</v>
      </c>
      <c r="W165" s="113" t="str">
        <f t="shared" si="6"/>
        <v>Lv1→Lv2</v>
      </c>
      <c r="X165" s="121"/>
      <c r="Y165" s="121"/>
      <c r="Z165" s="121"/>
      <c r="AA165" s="121"/>
      <c r="AB165" s="102"/>
      <c r="AC165" s="102"/>
      <c r="AD165" s="103"/>
    </row>
    <row r="166" ht="15.75" customHeight="1">
      <c r="A166" s="104" t="s">
        <v>532</v>
      </c>
      <c r="B166" s="105" t="s">
        <v>533</v>
      </c>
      <c r="C166" s="106" t="str">
        <f>IFERROR(__xludf.DUMMYFUNCTION("arrayformula(VLOOKUP(to_Text(A166),to_Text(sheet2!$A$1:M1005),13,0))"),"ONC")</f>
        <v>ONC</v>
      </c>
      <c r="D166" s="107" t="str">
        <f>IFERROR(__xludf.DUMMYFUNCTION("arrayformula(VLOOKUP(to_Text(A166),to_Text(sheet2!$A$1:M1005),12,0))"),"DEV")</f>
        <v>DEV</v>
      </c>
      <c r="E166" s="108" t="str">
        <f t="shared" si="2"/>
        <v>Active</v>
      </c>
      <c r="F166" s="104" t="str">
        <f t="array" ref="F166">IFERROR(
  INDEX(ATTENDANCE_INPUT!D:D,
    MATCH(1,
      (ATTENDANCE_INPUT!A:A=A166) *
      (ATTENDANCE_INPUT!W:W=MAXIFS(ATTENDANCE_INPUT!W:W, ATTENDANCE_INPUT!A:A, A166)),
      0)),
  "")</f>
        <v>Phuoc Ta</v>
      </c>
      <c r="G166" s="109" t="str">
        <f t="array" ref="G166">IFERROR(
  INDEX(ATTENDANCE_INPUT!E:E,
    MATCH(1,
      (ATTENDANCE_INPUT!A:A=A166) *
      (ATTENDANCE_INPUT!W:W=MAXIFS(ATTENDANCE_INPUT!W:W, ATTENDANCE_INPUT!A:A, A166)),
      0)),
  "")</f>
        <v>Communication 1</v>
      </c>
      <c r="H166" s="110" t="str">
        <f t="array" ref="H166">IF(ISNA(MATCH(A166,sheet2!A:A,0)),"⏳ Chưa test",IFERROR(INDEX(LEVEL_HELPER!A:A,MATCH(INDEX(sheet2!N:N,MATCH(A166,sheet2!A:A,0)),LEVEL_HELPER!B:B,0)),"⏳ Chưa test"))</f>
        <v>Beginner</v>
      </c>
      <c r="I166" s="110" t="str">
        <f t="array" ref="I166">IF(ISNA(MATCH(A166,sheet2!A:A,0)),H166,IF(INDEX(sheet2!O:O,MATCH(A166,sheet2!A:A,0))&gt;0,IFERROR(INDEX(LEVEL_HELPER!A:A,MATCH(INDEX(sheet2!O:O,MATCH(A166,sheet2!A:A,0)),LEVEL_HELPER!B:B,0)),H166),H166))</f>
        <v>Beginner</v>
      </c>
      <c r="J166" s="110">
        <f>IFERROR(MAXIFS(ATTENDANCE_LOG!F:F, ATTENDANCE_LOG!C:C, A166&amp;"", ATTENDANCE_LOG!G:G, "Present"), "")</f>
        <v>46210.45833</v>
      </c>
      <c r="K166" s="111">
        <f t="shared" si="3"/>
        <v>2.541666667</v>
      </c>
      <c r="L166" s="112" t="str">
        <f t="shared" si="4"/>
        <v/>
      </c>
      <c r="M166" s="113"/>
      <c r="N166" s="114"/>
      <c r="O166" s="113"/>
      <c r="P166" s="115">
        <f>IFERROR(__xludf.DUMMYFUNCTION("IFERROR(COUNTUNIQUEIFS(ATTENDANCE_LOG!B:B,ATTENDANCE_LOG!C:C,A166),0)"),1.0)</f>
        <v>1</v>
      </c>
      <c r="Q166" s="113" t="str">
        <f t="array" ref="Q166">IFERROR(INDEX(ATTENDANCE_LOG!A:A,MATCH(1,(ATTENDANCE_LOG!C:C=A166)*(ATTENDANCE_LOG!F:F=MAXIFS(ATTENDANCE_LOG!F:F,ATTENDANCE_LOG!C:C,A166)),0)),"")</f>
        <v>EL045</v>
      </c>
      <c r="R166" s="113" t="str">
        <f t="array" ref="R166">IFERROR(INDEX(ATTENDANCE_LOG!B:B,MATCH(1,(ATTENDANCE_LOG!C:C=A166)*(ATTENDANCE_LOG!F:F=MAXIFS(ATTENDANCE_LOG!F:F,ATTENDANCE_LOG!C:C,A166)),0)),"")</f>
        <v>Communication 1</v>
      </c>
      <c r="S166" s="113">
        <f>IFERROR(VLOOKUP(H166, LEVEL_HELPER!A:B, 2, 0), 0)</f>
        <v>1</v>
      </c>
      <c r="T166" s="113">
        <f>IFERROR(VLOOKUP(I166, LEVEL_HELPER!A:B, 2, 0), 0)</f>
        <v>1</v>
      </c>
      <c r="U166" s="113">
        <f t="shared" ref="U166:V166" si="170">IF(S166="",0,IF(S166&lt;=2,1,IF(S166&lt;=4,2,IF(S166&lt;=5.5,3,4))))
</f>
        <v>1</v>
      </c>
      <c r="V166" s="113">
        <f t="shared" si="170"/>
        <v>1</v>
      </c>
      <c r="W166" s="113" t="str">
        <f t="shared" si="6"/>
        <v>No Progress</v>
      </c>
      <c r="X166" s="113"/>
      <c r="Y166" s="113"/>
      <c r="Z166" s="113"/>
      <c r="AA166" s="113"/>
      <c r="AB166" s="116"/>
      <c r="AC166" s="116"/>
      <c r="AD166" s="117"/>
    </row>
    <row r="167" ht="15.75" customHeight="1">
      <c r="A167" s="104" t="s">
        <v>534</v>
      </c>
      <c r="B167" s="105" t="s">
        <v>535</v>
      </c>
      <c r="C167" s="106" t="str">
        <f>IFERROR(__xludf.DUMMYFUNCTION("arrayformula(VLOOKUP(to_Text(A167),to_Text(sheet2!$A$1:M1005),13,0))"),"ONC")</f>
        <v>ONC</v>
      </c>
      <c r="D167" s="107" t="str">
        <f>IFERROR(__xludf.DUMMYFUNCTION("arrayformula(VLOOKUP(to_Text(A167),to_Text(sheet2!$A$1:M1005),12,0))"),"DEV")</f>
        <v>DEV</v>
      </c>
      <c r="E167" s="108" t="str">
        <f t="shared" si="2"/>
        <v>Active</v>
      </c>
      <c r="F167" s="104" t="str">
        <f t="array" ref="F167">IFERROR(
  INDEX(ATTENDANCE_INPUT!D:D,
    MATCH(1,
      (ATTENDANCE_INPUT!A:A=A167) *
      (ATTENDANCE_INPUT!W:W=MAXIFS(ATTENDANCE_INPUT!W:W, ATTENDANCE_INPUT!A:A, A167)),
      0)),
  "")</f>
        <v>Phuoc Ta</v>
      </c>
      <c r="G167" s="109" t="str">
        <f t="array" ref="G167">IFERROR(
  INDEX(ATTENDANCE_INPUT!E:E,
    MATCH(1,
      (ATTENDANCE_INPUT!A:A=A167) *
      (ATTENDANCE_INPUT!W:W=MAXIFS(ATTENDANCE_INPUT!W:W, ATTENDANCE_INPUT!A:A, A167)),
      0)),
  "")</f>
        <v>Communication 1</v>
      </c>
      <c r="H167" s="110" t="str">
        <f t="array" ref="H167">IF(ISNA(MATCH(A167,sheet2!A:A,0)),"⏳ Chưa test",IFERROR(INDEX(LEVEL_HELPER!A:A,MATCH(INDEX(sheet2!N:N,MATCH(A167,sheet2!A:A,0)),LEVEL_HELPER!B:B,0)),"⏳ Chưa test"))</f>
        <v>Pre-Intermediate 1</v>
      </c>
      <c r="I167" s="110" t="str">
        <f t="array" ref="I167">IF(ISNA(MATCH(A167,sheet2!A:A,0)),H167,IF(INDEX(sheet2!O:O,MATCH(A167,sheet2!A:A,0))&gt;0,IFERROR(INDEX(LEVEL_HELPER!A:A,MATCH(INDEX(sheet2!O:O,MATCH(A167,sheet2!A:A,0)),LEVEL_HELPER!B:B,0)),H167),H167))</f>
        <v>Pre-Intermediate 1</v>
      </c>
      <c r="J167" s="110">
        <f>IFERROR(MAXIFS(ATTENDANCE_LOG!F:F, ATTENDANCE_LOG!C:C, A167&amp;"", ATTENDANCE_LOG!G:G, "Present"), "")</f>
        <v>46210.45833</v>
      </c>
      <c r="K167" s="111">
        <f t="shared" si="3"/>
        <v>2.541666667</v>
      </c>
      <c r="L167" s="112" t="str">
        <f t="shared" si="4"/>
        <v/>
      </c>
      <c r="M167" s="113"/>
      <c r="N167" s="114"/>
      <c r="O167" s="113"/>
      <c r="P167" s="115">
        <f>IFERROR(__xludf.DUMMYFUNCTION("IFERROR(COUNTUNIQUEIFS(ATTENDANCE_LOG!B:B,ATTENDANCE_LOG!C:C,A167),0)"),1.0)</f>
        <v>1</v>
      </c>
      <c r="Q167" s="113" t="str">
        <f t="array" ref="Q167">IFERROR(INDEX(ATTENDANCE_LOG!A:A,MATCH(1,(ATTENDANCE_LOG!C:C=A167)*(ATTENDANCE_LOG!F:F=MAXIFS(ATTENDANCE_LOG!F:F,ATTENDANCE_LOG!C:C,A167)),0)),"")</f>
        <v>EL045</v>
      </c>
      <c r="R167" s="113" t="str">
        <f t="array" ref="R167">IFERROR(INDEX(ATTENDANCE_LOG!B:B,MATCH(1,(ATTENDANCE_LOG!C:C=A167)*(ATTENDANCE_LOG!F:F=MAXIFS(ATTENDANCE_LOG!F:F,ATTENDANCE_LOG!C:C,A167)),0)),"")</f>
        <v>Communication 1</v>
      </c>
      <c r="S167" s="113">
        <f>IFERROR(VLOOKUP(H167, LEVEL_HELPER!A:B, 2, 0), 0)</f>
        <v>3</v>
      </c>
      <c r="T167" s="113">
        <f>IFERROR(VLOOKUP(I167, LEVEL_HELPER!A:B, 2, 0), 0)</f>
        <v>3</v>
      </c>
      <c r="U167" s="113">
        <f t="shared" ref="U167:V167" si="171">IF(S167="",0,IF(S167&lt;=2,1,IF(S167&lt;=4,2,IF(S167&lt;=5.5,3,4))))
</f>
        <v>2</v>
      </c>
      <c r="V167" s="113">
        <f t="shared" si="171"/>
        <v>2</v>
      </c>
      <c r="W167" s="113" t="str">
        <f t="shared" si="6"/>
        <v>No Progress</v>
      </c>
      <c r="X167" s="113"/>
      <c r="Y167" s="113"/>
      <c r="Z167" s="113"/>
      <c r="AA167" s="113"/>
      <c r="AB167" s="116"/>
      <c r="AC167" s="116"/>
      <c r="AD167" s="117"/>
    </row>
    <row r="168" ht="15.75" customHeight="1">
      <c r="A168" s="104" t="s">
        <v>536</v>
      </c>
      <c r="B168" s="105" t="s">
        <v>537</v>
      </c>
      <c r="C168" s="106" t="str">
        <f>IFERROR(__xludf.DUMMYFUNCTION("arrayformula(VLOOKUP(to_Text(A168),to_Text(sheet2!$A$1:M1005),13,0))"),"ONC")</f>
        <v>ONC</v>
      </c>
      <c r="D168" s="107" t="str">
        <f>IFERROR(__xludf.DUMMYFUNCTION("arrayformula(VLOOKUP(to_Text(A168),to_Text(sheet2!$A$1:M1005),12,0))"),"DEV")</f>
        <v>DEV</v>
      </c>
      <c r="E168" s="108" t="str">
        <f t="shared" si="2"/>
        <v>Active</v>
      </c>
      <c r="F168" s="104" t="str">
        <f t="array" ref="F168">IFERROR(
  INDEX(ATTENDANCE_INPUT!D:D,
    MATCH(1,
      (ATTENDANCE_INPUT!A:A=A168) *
      (ATTENDANCE_INPUT!W:W=MAXIFS(ATTENDANCE_INPUT!W:W, ATTENDANCE_INPUT!A:A, A168)),
      0)),
  "")</f>
        <v>Phuoc Ta</v>
      </c>
      <c r="G168" s="109" t="str">
        <f t="array" ref="G168">IFERROR(
  INDEX(ATTENDANCE_INPUT!E:E,
    MATCH(1,
      (ATTENDANCE_INPUT!A:A=A168) *
      (ATTENDANCE_INPUT!W:W=MAXIFS(ATTENDANCE_INPUT!W:W, ATTENDANCE_INPUT!A:A, A168)),
      0)),
  "")</f>
        <v>Communication 1</v>
      </c>
      <c r="H168" s="110" t="str">
        <f t="array" ref="H168">IF(ISNA(MATCH(A168,sheet2!A:A,0)),"⏳ Chưa test",IFERROR(INDEX(LEVEL_HELPER!A:A,MATCH(INDEX(sheet2!N:N,MATCH(A168,sheet2!A:A,0)),LEVEL_HELPER!B:B,0)),"⏳ Chưa test"))</f>
        <v>Pre-Intermediate 1</v>
      </c>
      <c r="I168" s="110" t="str">
        <f t="array" ref="I168">IF(ISNA(MATCH(A168,sheet2!A:A,0)),H168,IF(INDEX(sheet2!O:O,MATCH(A168,sheet2!A:A,0))&gt;0,IFERROR(INDEX(LEVEL_HELPER!A:A,MATCH(INDEX(sheet2!O:O,MATCH(A168,sheet2!A:A,0)),LEVEL_HELPER!B:B,0)),H168),H168))</f>
        <v>Pre-Intermediate 1</v>
      </c>
      <c r="J168" s="110">
        <f>IFERROR(MAXIFS(ATTENDANCE_LOG!F:F, ATTENDANCE_LOG!C:C, A168&amp;"", ATTENDANCE_LOG!G:G, "Present"), "")</f>
        <v>46210.45833</v>
      </c>
      <c r="K168" s="111">
        <f t="shared" si="3"/>
        <v>2.541666667</v>
      </c>
      <c r="L168" s="112" t="str">
        <f t="shared" si="4"/>
        <v/>
      </c>
      <c r="M168" s="113"/>
      <c r="N168" s="114"/>
      <c r="O168" s="113"/>
      <c r="P168" s="115">
        <f>IFERROR(__xludf.DUMMYFUNCTION("IFERROR(COUNTUNIQUEIFS(ATTENDANCE_LOG!B:B,ATTENDANCE_LOG!C:C,A168),0)"),1.0)</f>
        <v>1</v>
      </c>
      <c r="Q168" s="113" t="str">
        <f t="array" ref="Q168">IFERROR(INDEX(ATTENDANCE_LOG!A:A,MATCH(1,(ATTENDANCE_LOG!C:C=A168)*(ATTENDANCE_LOG!F:F=MAXIFS(ATTENDANCE_LOG!F:F,ATTENDANCE_LOG!C:C,A168)),0)),"")</f>
        <v>EL045</v>
      </c>
      <c r="R168" s="113" t="str">
        <f t="array" ref="R168">IFERROR(INDEX(ATTENDANCE_LOG!B:B,MATCH(1,(ATTENDANCE_LOG!C:C=A168)*(ATTENDANCE_LOG!F:F=MAXIFS(ATTENDANCE_LOG!F:F,ATTENDANCE_LOG!C:C,A168)),0)),"")</f>
        <v>Communication 1</v>
      </c>
      <c r="S168" s="113">
        <f>IFERROR(VLOOKUP(H168, LEVEL_HELPER!A:B, 2, 0), 0)</f>
        <v>3</v>
      </c>
      <c r="T168" s="113">
        <f>IFERROR(VLOOKUP(I168, LEVEL_HELPER!A:B, 2, 0), 0)</f>
        <v>3</v>
      </c>
      <c r="U168" s="113">
        <f t="shared" ref="U168:V168" si="172">IF(S168="",0,IF(S168&lt;=2,1,IF(S168&lt;=4,2,IF(S168&lt;=5.5,3,4))))
</f>
        <v>2</v>
      </c>
      <c r="V168" s="113">
        <f t="shared" si="172"/>
        <v>2</v>
      </c>
      <c r="W168" s="113" t="str">
        <f t="shared" si="6"/>
        <v>No Progress</v>
      </c>
      <c r="X168" s="113"/>
      <c r="Y168" s="113"/>
      <c r="Z168" s="113"/>
      <c r="AA168" s="113"/>
      <c r="AB168" s="116"/>
      <c r="AC168" s="116"/>
      <c r="AD168" s="117"/>
    </row>
    <row r="169" ht="15.75" customHeight="1">
      <c r="A169" s="104" t="s">
        <v>538</v>
      </c>
      <c r="B169" s="105" t="s">
        <v>539</v>
      </c>
      <c r="C169" s="106" t="str">
        <f>IFERROR(__xludf.DUMMYFUNCTION("arrayformula(VLOOKUP(to_Text(A169),to_Text(sheet2!$A$1:M1005),13,0))"),"ONC")</f>
        <v>ONC</v>
      </c>
      <c r="D169" s="107" t="str">
        <f>IFERROR(__xludf.DUMMYFUNCTION("arrayformula(VLOOKUP(to_Text(A169),to_Text(sheet2!$A$1:M1005),12,0))"),"DEV")</f>
        <v>DEV</v>
      </c>
      <c r="E169" s="108" t="str">
        <f t="shared" si="2"/>
        <v>Active</v>
      </c>
      <c r="F169" s="104" t="str">
        <f t="array" ref="F169">IFERROR(
  INDEX(ATTENDANCE_INPUT!D:D,
    MATCH(1,
      (ATTENDANCE_INPUT!A:A=A169) *
      (ATTENDANCE_INPUT!W:W=MAXIFS(ATTENDANCE_INPUT!W:W, ATTENDANCE_INPUT!A:A, A169)),
      0)),
  "")</f>
        <v>Phuoc Ta</v>
      </c>
      <c r="G169" s="109" t="str">
        <f t="array" ref="G169">IFERROR(
  INDEX(ATTENDANCE_INPUT!E:E,
    MATCH(1,
      (ATTENDANCE_INPUT!A:A=A169) *
      (ATTENDANCE_INPUT!W:W=MAXIFS(ATTENDANCE_INPUT!W:W, ATTENDANCE_INPUT!A:A, A169)),
      0)),
  "")</f>
        <v>Communication 1</v>
      </c>
      <c r="H169" s="110" t="str">
        <f t="array" ref="H169">IF(ISNA(MATCH(A169,sheet2!A:A,0)),"⏳ Chưa test",IFERROR(INDEX(LEVEL_HELPER!A:A,MATCH(INDEX(sheet2!N:N,MATCH(A169,sheet2!A:A,0)),LEVEL_HELPER!B:B,0)),"⏳ Chưa test"))</f>
        <v>Beginner</v>
      </c>
      <c r="I169" s="110" t="str">
        <f t="array" ref="I169">IF(ISNA(MATCH(A169,sheet2!A:A,0)),H169,IF(INDEX(sheet2!O:O,MATCH(A169,sheet2!A:A,0))&gt;0,IFERROR(INDEX(LEVEL_HELPER!A:A,MATCH(INDEX(sheet2!O:O,MATCH(A169,sheet2!A:A,0)),LEVEL_HELPER!B:B,0)),H169),H169))</f>
        <v>Beginner</v>
      </c>
      <c r="J169" s="110">
        <f>IFERROR(MAXIFS(ATTENDANCE_LOG!F:F, ATTENDANCE_LOG!C:C, A169&amp;"", ATTENDANCE_LOG!G:G, "Present"), "")</f>
        <v>46210.45833</v>
      </c>
      <c r="K169" s="111">
        <f t="shared" si="3"/>
        <v>2.541666667</v>
      </c>
      <c r="L169" s="112" t="str">
        <f t="shared" si="4"/>
        <v/>
      </c>
      <c r="M169" s="113"/>
      <c r="N169" s="114"/>
      <c r="O169" s="113"/>
      <c r="P169" s="115">
        <f>IFERROR(__xludf.DUMMYFUNCTION("IFERROR(COUNTUNIQUEIFS(ATTENDANCE_LOG!B:B,ATTENDANCE_LOG!C:C,A169),0)"),1.0)</f>
        <v>1</v>
      </c>
      <c r="Q169" s="113" t="str">
        <f t="array" ref="Q169">IFERROR(INDEX(ATTENDANCE_LOG!A:A,MATCH(1,(ATTENDANCE_LOG!C:C=A169)*(ATTENDANCE_LOG!F:F=MAXIFS(ATTENDANCE_LOG!F:F,ATTENDANCE_LOG!C:C,A169)),0)),"")</f>
        <v>EL045</v>
      </c>
      <c r="R169" s="113" t="str">
        <f t="array" ref="R169">IFERROR(INDEX(ATTENDANCE_LOG!B:B,MATCH(1,(ATTENDANCE_LOG!C:C=A169)*(ATTENDANCE_LOG!F:F=MAXIFS(ATTENDANCE_LOG!F:F,ATTENDANCE_LOG!C:C,A169)),0)),"")</f>
        <v>Communication 1</v>
      </c>
      <c r="S169" s="113">
        <f>IFERROR(VLOOKUP(H169, LEVEL_HELPER!A:B, 2, 0), 0)</f>
        <v>1</v>
      </c>
      <c r="T169" s="113">
        <f>IFERROR(VLOOKUP(I169, LEVEL_HELPER!A:B, 2, 0), 0)</f>
        <v>1</v>
      </c>
      <c r="U169" s="113">
        <f t="shared" ref="U169:V169" si="173">IF(S169="",0,IF(S169&lt;=2,1,IF(S169&lt;=4,2,IF(S169&lt;=5.5,3,4))))
</f>
        <v>1</v>
      </c>
      <c r="V169" s="113">
        <f t="shared" si="173"/>
        <v>1</v>
      </c>
      <c r="W169" s="113" t="str">
        <f t="shared" si="6"/>
        <v>No Progress</v>
      </c>
      <c r="X169" s="113"/>
      <c r="Y169" s="113"/>
      <c r="Z169" s="113"/>
      <c r="AA169" s="113"/>
      <c r="AB169" s="116"/>
      <c r="AC169" s="116"/>
      <c r="AD169" s="117"/>
    </row>
    <row r="170" ht="15.75" customHeight="1">
      <c r="A170" s="104" t="s">
        <v>540</v>
      </c>
      <c r="B170" s="105" t="s">
        <v>541</v>
      </c>
      <c r="C170" s="106" t="str">
        <f>IFERROR(__xludf.DUMMYFUNCTION("arrayformula(VLOOKUP(to_Text(A170),to_Text(sheet2!$A$1:M1005),13,0))"),"ONC")</f>
        <v>ONC</v>
      </c>
      <c r="D170" s="107" t="str">
        <f>IFERROR(__xludf.DUMMYFUNCTION("arrayformula(VLOOKUP(to_Text(A170),to_Text(sheet2!$A$1:M1005),12,0))"),"DEV")</f>
        <v>DEV</v>
      </c>
      <c r="E170" s="108" t="str">
        <f t="shared" si="2"/>
        <v>Active</v>
      </c>
      <c r="F170" s="104" t="str">
        <f t="array" ref="F170">IFERROR(
  INDEX(ATTENDANCE_INPUT!D:D,
    MATCH(1,
      (ATTENDANCE_INPUT!A:A=A170) *
      (ATTENDANCE_INPUT!W:W=MAXIFS(ATTENDANCE_INPUT!W:W, ATTENDANCE_INPUT!A:A, A170)),
      0)),
  "")</f>
        <v>Phuoc Ta</v>
      </c>
      <c r="G170" s="109" t="str">
        <f t="array" ref="G170">IFERROR(
  INDEX(ATTENDANCE_INPUT!E:E,
    MATCH(1,
      (ATTENDANCE_INPUT!A:A=A170) *
      (ATTENDANCE_INPUT!W:W=MAXIFS(ATTENDANCE_INPUT!W:W, ATTENDANCE_INPUT!A:A, A170)),
      0)),
  "")</f>
        <v>Communication 1</v>
      </c>
      <c r="H170" s="110" t="str">
        <f t="array" ref="H170">IF(ISNA(MATCH(A170,sheet2!A:A,0)),"⏳ Chưa test",IFERROR(INDEX(LEVEL_HELPER!A:A,MATCH(INDEX(sheet2!N:N,MATCH(A170,sheet2!A:A,0)),LEVEL_HELPER!B:B,0)),"⏳ Chưa test"))</f>
        <v>Beginner</v>
      </c>
      <c r="I170" s="110" t="str">
        <f t="array" ref="I170">IF(ISNA(MATCH(A170,sheet2!A:A,0)),H170,IF(INDEX(sheet2!O:O,MATCH(A170,sheet2!A:A,0))&gt;0,IFERROR(INDEX(LEVEL_HELPER!A:A,MATCH(INDEX(sheet2!O:O,MATCH(A170,sheet2!A:A,0)),LEVEL_HELPER!B:B,0)),H170),H170))</f>
        <v>Beginner</v>
      </c>
      <c r="J170" s="110">
        <f>IFERROR(MAXIFS(ATTENDANCE_LOG!F:F, ATTENDANCE_LOG!C:C, A170&amp;"", ATTENDANCE_LOG!G:G, "Present"), "")</f>
        <v>46210.45833</v>
      </c>
      <c r="K170" s="111">
        <f t="shared" si="3"/>
        <v>2.541666667</v>
      </c>
      <c r="L170" s="112" t="str">
        <f t="shared" si="4"/>
        <v/>
      </c>
      <c r="M170" s="113"/>
      <c r="N170" s="114"/>
      <c r="O170" s="113"/>
      <c r="P170" s="115">
        <f>IFERROR(__xludf.DUMMYFUNCTION("IFERROR(COUNTUNIQUEIFS(ATTENDANCE_LOG!B:B,ATTENDANCE_LOG!C:C,A170),0)"),1.0)</f>
        <v>1</v>
      </c>
      <c r="Q170" s="113" t="str">
        <f t="array" ref="Q170">IFERROR(INDEX(ATTENDANCE_LOG!A:A,MATCH(1,(ATTENDANCE_LOG!C:C=A170)*(ATTENDANCE_LOG!F:F=MAXIFS(ATTENDANCE_LOG!F:F,ATTENDANCE_LOG!C:C,A170)),0)),"")</f>
        <v>EL045</v>
      </c>
      <c r="R170" s="113" t="str">
        <f t="array" ref="R170">IFERROR(INDEX(ATTENDANCE_LOG!B:B,MATCH(1,(ATTENDANCE_LOG!C:C=A170)*(ATTENDANCE_LOG!F:F=MAXIFS(ATTENDANCE_LOG!F:F,ATTENDANCE_LOG!C:C,A170)),0)),"")</f>
        <v>Communication 1</v>
      </c>
      <c r="S170" s="113">
        <f>IFERROR(VLOOKUP(H170, LEVEL_HELPER!A:B, 2, 0), 0)</f>
        <v>1</v>
      </c>
      <c r="T170" s="113">
        <f>IFERROR(VLOOKUP(I170, LEVEL_HELPER!A:B, 2, 0), 0)</f>
        <v>1</v>
      </c>
      <c r="U170" s="113">
        <f t="shared" ref="U170:V170" si="174">IF(S170="",0,IF(S170&lt;=2,1,IF(S170&lt;=4,2,IF(S170&lt;=5.5,3,4))))
</f>
        <v>1</v>
      </c>
      <c r="V170" s="113">
        <f t="shared" si="174"/>
        <v>1</v>
      </c>
      <c r="W170" s="113" t="str">
        <f t="shared" si="6"/>
        <v>No Progress</v>
      </c>
      <c r="X170" s="113"/>
      <c r="Y170" s="113"/>
      <c r="Z170" s="113"/>
      <c r="AA170" s="113"/>
      <c r="AB170" s="116"/>
      <c r="AC170" s="116"/>
      <c r="AD170" s="117"/>
    </row>
    <row r="171" ht="15.75" customHeight="1">
      <c r="A171" s="104" t="s">
        <v>542</v>
      </c>
      <c r="B171" s="105" t="s">
        <v>543</v>
      </c>
      <c r="C171" s="106" t="str">
        <f>IFERROR(__xludf.DUMMYFUNCTION("arrayformula(VLOOKUP(to_Text(A171),to_Text(sheet2!$A$1:M1005),13,0))"),"ONC")</f>
        <v>ONC</v>
      </c>
      <c r="D171" s="107" t="str">
        <f>IFERROR(__xludf.DUMMYFUNCTION("arrayformula(VLOOKUP(to_Text(A171),to_Text(sheet2!$A$1:M1005),12,0))"),"DEV")</f>
        <v>DEV</v>
      </c>
      <c r="E171" s="108" t="str">
        <f t="shared" si="2"/>
        <v>Active</v>
      </c>
      <c r="F171" s="104" t="str">
        <f t="array" ref="F171">IFERROR(
  INDEX(ATTENDANCE_INPUT!D:D,
    MATCH(1,
      (ATTENDANCE_INPUT!A:A=A171) *
      (ATTENDANCE_INPUT!W:W=MAXIFS(ATTENDANCE_INPUT!W:W, ATTENDANCE_INPUT!A:A, A171)),
      0)),
  "")</f>
        <v>Phuoc Ta</v>
      </c>
      <c r="G171" s="109" t="str">
        <f t="array" ref="G171">IFERROR(
  INDEX(ATTENDANCE_INPUT!E:E,
    MATCH(1,
      (ATTENDANCE_INPUT!A:A=A171) *
      (ATTENDANCE_INPUT!W:W=MAXIFS(ATTENDANCE_INPUT!W:W, ATTENDANCE_INPUT!A:A, A171)),
      0)),
  "")</f>
        <v>Communication 1</v>
      </c>
      <c r="H171" s="110" t="str">
        <f t="array" ref="H171">IF(ISNA(MATCH(A171,sheet2!A:A,0)),"⏳ Chưa test",IFERROR(INDEX(LEVEL_HELPER!A:A,MATCH(INDEX(sheet2!N:N,MATCH(A171,sheet2!A:A,0)),LEVEL_HELPER!B:B,0)),"⏳ Chưa test"))</f>
        <v>Beginner</v>
      </c>
      <c r="I171" s="110" t="str">
        <f t="array" ref="I171">IF(ISNA(MATCH(A171,sheet2!A:A,0)),H171,IF(INDEX(sheet2!O:O,MATCH(A171,sheet2!A:A,0))&gt;0,IFERROR(INDEX(LEVEL_HELPER!A:A,MATCH(INDEX(sheet2!O:O,MATCH(A171,sheet2!A:A,0)),LEVEL_HELPER!B:B,0)),H171),H171))</f>
        <v>Beginner</v>
      </c>
      <c r="J171" s="110">
        <f>IFERROR(MAXIFS(ATTENDANCE_LOG!F:F, ATTENDANCE_LOG!C:C, A171&amp;"", ATTENDANCE_LOG!G:G, "Present"), "")</f>
        <v>46210.45833</v>
      </c>
      <c r="K171" s="111">
        <f t="shared" si="3"/>
        <v>2.541666667</v>
      </c>
      <c r="L171" s="112" t="str">
        <f t="shared" si="4"/>
        <v/>
      </c>
      <c r="M171" s="113"/>
      <c r="N171" s="114"/>
      <c r="O171" s="113"/>
      <c r="P171" s="115">
        <f>IFERROR(__xludf.DUMMYFUNCTION("IFERROR(COUNTUNIQUEIFS(ATTENDANCE_LOG!B:B,ATTENDANCE_LOG!C:C,A171),0)"),1.0)</f>
        <v>1</v>
      </c>
      <c r="Q171" s="113" t="str">
        <f t="array" ref="Q171">IFERROR(INDEX(ATTENDANCE_LOG!A:A,MATCH(1,(ATTENDANCE_LOG!C:C=A171)*(ATTENDANCE_LOG!F:F=MAXIFS(ATTENDANCE_LOG!F:F,ATTENDANCE_LOG!C:C,A171)),0)),"")</f>
        <v>EL045</v>
      </c>
      <c r="R171" s="113" t="str">
        <f t="array" ref="R171">IFERROR(INDEX(ATTENDANCE_LOG!B:B,MATCH(1,(ATTENDANCE_LOG!C:C=A171)*(ATTENDANCE_LOG!F:F=MAXIFS(ATTENDANCE_LOG!F:F,ATTENDANCE_LOG!C:C,A171)),0)),"")</f>
        <v>Communication 1</v>
      </c>
      <c r="S171" s="113">
        <f>IFERROR(VLOOKUP(H171, LEVEL_HELPER!A:B, 2, 0), 0)</f>
        <v>1</v>
      </c>
      <c r="T171" s="113">
        <f>IFERROR(VLOOKUP(I171, LEVEL_HELPER!A:B, 2, 0), 0)</f>
        <v>1</v>
      </c>
      <c r="U171" s="113">
        <f t="shared" ref="U171:V171" si="175">IF(S171="",0,IF(S171&lt;=2,1,IF(S171&lt;=4,2,IF(S171&lt;=5.5,3,4))))
</f>
        <v>1</v>
      </c>
      <c r="V171" s="113">
        <f t="shared" si="175"/>
        <v>1</v>
      </c>
      <c r="W171" s="113" t="str">
        <f t="shared" si="6"/>
        <v>No Progress</v>
      </c>
      <c r="X171" s="113"/>
      <c r="Y171" s="113"/>
      <c r="Z171" s="113"/>
      <c r="AA171" s="113"/>
      <c r="AB171" s="116"/>
      <c r="AC171" s="116"/>
      <c r="AD171" s="117"/>
    </row>
    <row r="172" ht="15.75" customHeight="1">
      <c r="A172" s="104" t="s">
        <v>544</v>
      </c>
      <c r="B172" s="105" t="s">
        <v>545</v>
      </c>
      <c r="C172" s="106" t="str">
        <f>IFERROR(__xludf.DUMMYFUNCTION("arrayformula(VLOOKUP(to_Text(A172),to_Text(sheet2!$A$1:M1005),13,0))"),"MOC")</f>
        <v>MOC</v>
      </c>
      <c r="D172" s="107" t="str">
        <f>IFERROR(__xludf.DUMMYFUNCTION("arrayformula(VLOOKUP(to_Text(A172),to_Text(sheet2!$A$1:M1005),12,0))"),"DEV")</f>
        <v>DEV</v>
      </c>
      <c r="E172" s="108" t="str">
        <f t="shared" si="2"/>
        <v>Active</v>
      </c>
      <c r="F172" s="104" t="str">
        <f t="array" ref="F172">IFERROR(
  INDEX(ATTENDANCE_INPUT!D:D,
    MATCH(1,
      (ATTENDANCE_INPUT!A:A=A172) *
      (ATTENDANCE_INPUT!W:W=MAXIFS(ATTENDANCE_INPUT!W:W, ATTENDANCE_INPUT!A:A, A172)),
      0)),
  "")</f>
        <v>Quan Nguyen</v>
      </c>
      <c r="G172" s="109" t="str">
        <f t="array" ref="G172">IFERROR(
  INDEX(ATTENDANCE_INPUT!E:E,
    MATCH(1,
      (ATTENDANCE_INPUT!A:A=A172) *
      (ATTENDANCE_INPUT!W:W=MAXIFS(ATTENDANCE_INPUT!W:W, ATTENDANCE_INPUT!A:A, A172)),
      0)),
  "")</f>
        <v>Communication 2</v>
      </c>
      <c r="H172" s="110" t="str">
        <f t="array" ref="H172">IF(ISNA(MATCH(A172,sheet2!A:A,0)),"⏳ Chưa test",IFERROR(INDEX(LEVEL_HELPER!A:A,MATCH(INDEX(sheet2!N:N,MATCH(A172,sheet2!A:A,0)),LEVEL_HELPER!B:B,0)),"⏳ Chưa test"))</f>
        <v>Foundation</v>
      </c>
      <c r="I172" s="110" t="str">
        <f t="array" ref="I172">IF(ISNA(MATCH(A172,sheet2!A:A,0)),H172,IF(INDEX(sheet2!O:O,MATCH(A172,sheet2!A:A,0))&gt;0,IFERROR(INDEX(LEVEL_HELPER!A:A,MATCH(INDEX(sheet2!O:O,MATCH(A172,sheet2!A:A,0)),LEVEL_HELPER!B:B,0)),H172),H172))</f>
        <v>Pre-Intermediate 1</v>
      </c>
      <c r="J172" s="110">
        <f>IFERROR(MAXIFS(ATTENDANCE_LOG!F:F, ATTENDANCE_LOG!C:C, A172&amp;"", ATTENDANCE_LOG!G:G, "Present"), "")</f>
        <v>46210.625</v>
      </c>
      <c r="K172" s="111">
        <f t="shared" si="3"/>
        <v>2.375</v>
      </c>
      <c r="L172" s="112" t="str">
        <f t="shared" si="4"/>
        <v/>
      </c>
      <c r="M172" s="113"/>
      <c r="N172" s="114"/>
      <c r="O172" s="113"/>
      <c r="P172" s="115">
        <f>IFERROR(__xludf.DUMMYFUNCTION("IFERROR(COUNTUNIQUEIFS(ATTENDANCE_LOG!B:B,ATTENDANCE_LOG!C:C,A172),0)"),3.0)</f>
        <v>3</v>
      </c>
      <c r="Q172" s="113" t="str">
        <f t="array" ref="Q172">IFERROR(INDEX(ATTENDANCE_LOG!A:A,MATCH(1,(ATTENDANCE_LOG!C:C=A172)*(ATTENDANCE_LOG!F:F=MAXIFS(ATTENDANCE_LOG!F:F,ATTENDANCE_LOG!C:C,A172)),0)),"")</f>
        <v>EL037</v>
      </c>
      <c r="R172" s="113" t="str">
        <f t="array" ref="R172">IFERROR(INDEX(ATTENDANCE_LOG!B:B,MATCH(1,(ATTENDANCE_LOG!C:C=A172)*(ATTENDANCE_LOG!F:F=MAXIFS(ATTENDANCE_LOG!F:F,ATTENDANCE_LOG!C:C,A172)),0)),"")</f>
        <v>Communication 2</v>
      </c>
      <c r="S172" s="113">
        <f>IFERROR(VLOOKUP(H172, LEVEL_HELPER!A:B, 2, 0), 0)</f>
        <v>0.5</v>
      </c>
      <c r="T172" s="113">
        <f>IFERROR(VLOOKUP(I172, LEVEL_HELPER!A:B, 2, 0), 0)</f>
        <v>3</v>
      </c>
      <c r="U172" s="113">
        <f t="shared" ref="U172:V172" si="176">IF(S172="",0,IF(S172&lt;=2,1,IF(S172&lt;=4,2,IF(S172&lt;=5.5,3,4))))
</f>
        <v>1</v>
      </c>
      <c r="V172" s="113">
        <f t="shared" si="176"/>
        <v>2</v>
      </c>
      <c r="W172" s="113" t="str">
        <f t="shared" si="6"/>
        <v>Lv1→Lv2</v>
      </c>
      <c r="X172" s="113"/>
      <c r="Y172" s="113"/>
      <c r="Z172" s="113"/>
      <c r="AA172" s="113"/>
      <c r="AB172" s="116"/>
      <c r="AC172" s="116"/>
      <c r="AD172" s="117"/>
    </row>
    <row r="173" ht="15.75" customHeight="1">
      <c r="A173" s="104" t="s">
        <v>546</v>
      </c>
      <c r="B173" s="105" t="s">
        <v>547</v>
      </c>
      <c r="C173" s="106" t="str">
        <f>IFERROR(__xludf.DUMMYFUNCTION("arrayformula(VLOOKUP(to_Text(A173),to_Text(sheet2!$A$1:M1005),13,0))"),"MOC")</f>
        <v>MOC</v>
      </c>
      <c r="D173" s="107" t="str">
        <f>IFERROR(__xludf.DUMMYFUNCTION("arrayformula(VLOOKUP(to_Text(A173),to_Text(sheet2!$A$1:M1005),12,0))"),"TA")</f>
        <v>TA</v>
      </c>
      <c r="E173" s="108" t="str">
        <f t="shared" si="2"/>
        <v>Active</v>
      </c>
      <c r="F173" s="104" t="str">
        <f t="array" ref="F173">IFERROR(
  INDEX(ATTENDANCE_INPUT!D:D,
    MATCH(1,
      (ATTENDANCE_INPUT!A:A=A173) *
      (ATTENDANCE_INPUT!W:W=MAXIFS(ATTENDANCE_INPUT!W:W, ATTENDANCE_INPUT!A:A, A173)),
      0)),
  "")</f>
        <v>Quan Nguyen</v>
      </c>
      <c r="G173" s="109" t="str">
        <f t="array" ref="G173">IFERROR(
  INDEX(ATTENDANCE_INPUT!E:E,
    MATCH(1,
      (ATTENDANCE_INPUT!A:A=A173) *
      (ATTENDANCE_INPUT!W:W=MAXIFS(ATTENDANCE_INPUT!W:W, ATTENDANCE_INPUT!A:A, A173)),
      0)),
  "")</f>
        <v>Communication 2</v>
      </c>
      <c r="H173" s="110" t="str">
        <f t="array" ref="H173">IF(ISNA(MATCH(A173,sheet2!A:A,0)),"⏳ Chưa test",IFERROR(INDEX(LEVEL_HELPER!A:A,MATCH(INDEX(sheet2!N:N,MATCH(A173,sheet2!A:A,0)),LEVEL_HELPER!B:B,0)),"⏳ Chưa test"))</f>
        <v>Foundation</v>
      </c>
      <c r="I173" s="110" t="str">
        <f t="array" ref="I173">IF(ISNA(MATCH(A173,sheet2!A:A,0)),H173,IF(INDEX(sheet2!O:O,MATCH(A173,sheet2!A:A,0))&gt;0,IFERROR(INDEX(LEVEL_HELPER!A:A,MATCH(INDEX(sheet2!O:O,MATCH(A173,sheet2!A:A,0)),LEVEL_HELPER!B:B,0)),H173),H173))</f>
        <v>Pre-Intermediate 1</v>
      </c>
      <c r="J173" s="110">
        <f>IFERROR(MAXIFS(ATTENDANCE_LOG!F:F, ATTENDANCE_LOG!C:C, A173&amp;"", ATTENDANCE_LOG!G:G, "Present"), "")</f>
        <v>46210.625</v>
      </c>
      <c r="K173" s="111">
        <f t="shared" si="3"/>
        <v>2.375</v>
      </c>
      <c r="L173" s="112" t="str">
        <f t="shared" si="4"/>
        <v/>
      </c>
      <c r="M173" s="113"/>
      <c r="N173" s="114"/>
      <c r="O173" s="113"/>
      <c r="P173" s="115">
        <f>IFERROR(__xludf.DUMMYFUNCTION("IFERROR(COUNTUNIQUEIFS(ATTENDANCE_LOG!B:B,ATTENDANCE_LOG!C:C,A173),0)"),3.0)</f>
        <v>3</v>
      </c>
      <c r="Q173" s="113" t="str">
        <f t="array" ref="Q173">IFERROR(INDEX(ATTENDANCE_LOG!A:A,MATCH(1,(ATTENDANCE_LOG!C:C=A173)*(ATTENDANCE_LOG!F:F=MAXIFS(ATTENDANCE_LOG!F:F,ATTENDANCE_LOG!C:C,A173)),0)),"")</f>
        <v>EL037</v>
      </c>
      <c r="R173" s="113" t="str">
        <f t="array" ref="R173">IFERROR(INDEX(ATTENDANCE_LOG!B:B,MATCH(1,(ATTENDANCE_LOG!C:C=A173)*(ATTENDANCE_LOG!F:F=MAXIFS(ATTENDANCE_LOG!F:F,ATTENDANCE_LOG!C:C,A173)),0)),"")</f>
        <v>Communication 2</v>
      </c>
      <c r="S173" s="113">
        <f>IFERROR(VLOOKUP(H173, LEVEL_HELPER!A:B, 2, 0), 0)</f>
        <v>0.5</v>
      </c>
      <c r="T173" s="113">
        <f>IFERROR(VLOOKUP(I173, LEVEL_HELPER!A:B, 2, 0), 0)</f>
        <v>3</v>
      </c>
      <c r="U173" s="113">
        <f t="shared" ref="U173:V173" si="177">IF(S173="",0,IF(S173&lt;=2,1,IF(S173&lt;=4,2,IF(S173&lt;=5.5,3,4))))
</f>
        <v>1</v>
      </c>
      <c r="V173" s="113">
        <f t="shared" si="177"/>
        <v>2</v>
      </c>
      <c r="W173" s="113" t="str">
        <f t="shared" si="6"/>
        <v>Lv1→Lv2</v>
      </c>
      <c r="X173" s="113"/>
      <c r="Y173" s="113"/>
      <c r="Z173" s="113"/>
      <c r="AA173" s="113"/>
      <c r="AB173" s="116"/>
      <c r="AC173" s="116"/>
      <c r="AD173" s="117"/>
    </row>
    <row r="174" ht="15.75" customHeight="1">
      <c r="A174" s="104" t="s">
        <v>548</v>
      </c>
      <c r="B174" s="105" t="s">
        <v>549</v>
      </c>
      <c r="C174" s="106" t="str">
        <f>IFERROR(__xludf.DUMMYFUNCTION("arrayformula(VLOOKUP(to_Text(A174),to_Text(sheet2!$A$1:M1005),13,0))"),"MOC")</f>
        <v>MOC</v>
      </c>
      <c r="D174" s="107" t="str">
        <f>IFERROR(__xludf.DUMMYFUNCTION("arrayformula(VLOOKUP(to_Text(A174),to_Text(sheet2!$A$1:M1005),12,0))"),"DEV")</f>
        <v>DEV</v>
      </c>
      <c r="E174" s="108" t="str">
        <f t="shared" si="2"/>
        <v>Active</v>
      </c>
      <c r="F174" s="104" t="str">
        <f t="array" ref="F174">IFERROR(
  INDEX(ATTENDANCE_INPUT!D:D,
    MATCH(1,
      (ATTENDANCE_INPUT!A:A=A174) *
      (ATTENDANCE_INPUT!W:W=MAXIFS(ATTENDANCE_INPUT!W:W, ATTENDANCE_INPUT!A:A, A174)),
      0)),
  "")</f>
        <v>Quan Nguyen</v>
      </c>
      <c r="G174" s="109" t="str">
        <f t="array" ref="G174">IFERROR(
  INDEX(ATTENDANCE_INPUT!E:E,
    MATCH(1,
      (ATTENDANCE_INPUT!A:A=A174) *
      (ATTENDANCE_INPUT!W:W=MAXIFS(ATTENDANCE_INPUT!W:W, ATTENDANCE_INPUT!A:A, A174)),
      0)),
  "")</f>
        <v>Communication 2</v>
      </c>
      <c r="H174" s="110" t="str">
        <f t="array" ref="H174">IF(ISNA(MATCH(A174,sheet2!A:A,0)),"⏳ Chưa test",IFERROR(INDEX(LEVEL_HELPER!A:A,MATCH(INDEX(sheet2!N:N,MATCH(A174,sheet2!A:A,0)),LEVEL_HELPER!B:B,0)),"⏳ Chưa test"))</f>
        <v>Foundation</v>
      </c>
      <c r="I174" s="110" t="str">
        <f t="array" ref="I174">IF(ISNA(MATCH(A174,sheet2!A:A,0)),H174,IF(INDEX(sheet2!O:O,MATCH(A174,sheet2!A:A,0))&gt;0,IFERROR(INDEX(LEVEL_HELPER!A:A,MATCH(INDEX(sheet2!O:O,MATCH(A174,sheet2!A:A,0)),LEVEL_HELPER!B:B,0)),H174),H174))</f>
        <v>Pre-Intermediate 1</v>
      </c>
      <c r="J174" s="110">
        <f>IFERROR(MAXIFS(ATTENDANCE_LOG!F:F, ATTENDANCE_LOG!C:C, A174&amp;"", ATTENDANCE_LOG!G:G, "Present"), "")</f>
        <v>46210.625</v>
      </c>
      <c r="K174" s="111">
        <f t="shared" si="3"/>
        <v>2.375</v>
      </c>
      <c r="L174" s="112" t="str">
        <f t="shared" si="4"/>
        <v/>
      </c>
      <c r="M174" s="113"/>
      <c r="N174" s="114"/>
      <c r="O174" s="113" t="s">
        <v>550</v>
      </c>
      <c r="P174" s="115">
        <f>IFERROR(__xludf.DUMMYFUNCTION("IFERROR(COUNTUNIQUEIFS(ATTENDANCE_LOG!B:B,ATTENDANCE_LOG!C:C,A174),0)"),3.0)</f>
        <v>3</v>
      </c>
      <c r="Q174" s="113" t="str">
        <f t="array" ref="Q174">IFERROR(INDEX(ATTENDANCE_LOG!A:A,MATCH(1,(ATTENDANCE_LOG!C:C=A174)*(ATTENDANCE_LOG!F:F=MAXIFS(ATTENDANCE_LOG!F:F,ATTENDANCE_LOG!C:C,A174)),0)),"")</f>
        <v>EL037</v>
      </c>
      <c r="R174" s="113" t="str">
        <f t="array" ref="R174">IFERROR(INDEX(ATTENDANCE_LOG!B:B,MATCH(1,(ATTENDANCE_LOG!C:C=A174)*(ATTENDANCE_LOG!F:F=MAXIFS(ATTENDANCE_LOG!F:F,ATTENDANCE_LOG!C:C,A174)),0)),"")</f>
        <v>Communication 2</v>
      </c>
      <c r="S174" s="113">
        <f>IFERROR(VLOOKUP(H174, LEVEL_HELPER!A:B, 2, 0), 0)</f>
        <v>0.5</v>
      </c>
      <c r="T174" s="113">
        <f>IFERROR(VLOOKUP(I174, LEVEL_HELPER!A:B, 2, 0), 0)</f>
        <v>3</v>
      </c>
      <c r="U174" s="113">
        <f t="shared" ref="U174:V174" si="178">IF(S174="",0,IF(S174&lt;=2,1,IF(S174&lt;=4,2,IF(S174&lt;=5.5,3,4))))
</f>
        <v>1</v>
      </c>
      <c r="V174" s="113">
        <f t="shared" si="178"/>
        <v>2</v>
      </c>
      <c r="W174" s="113" t="str">
        <f t="shared" si="6"/>
        <v>Lv1→Lv2</v>
      </c>
      <c r="X174" s="113"/>
      <c r="Y174" s="113"/>
      <c r="Z174" s="113"/>
      <c r="AA174" s="113"/>
      <c r="AB174" s="116"/>
      <c r="AC174" s="116"/>
      <c r="AD174" s="117"/>
    </row>
    <row r="175" ht="15.75" customHeight="1">
      <c r="A175" s="104" t="s">
        <v>551</v>
      </c>
      <c r="B175" s="105" t="s">
        <v>552</v>
      </c>
      <c r="C175" s="106" t="str">
        <f>IFERROR(__xludf.DUMMYFUNCTION("arrayformula(VLOOKUP(to_Text(A175),to_Text(sheet2!$A$1:M1005),13,0))"),"MOC")</f>
        <v>MOC</v>
      </c>
      <c r="D175" s="107" t="str">
        <f>IFERROR(__xludf.DUMMYFUNCTION("arrayformula(VLOOKUP(to_Text(A175),to_Text(sheet2!$A$1:M1005),12,0))"),"DEV")</f>
        <v>DEV</v>
      </c>
      <c r="E175" s="108" t="str">
        <f t="shared" si="2"/>
        <v>Active</v>
      </c>
      <c r="F175" s="104" t="str">
        <f t="array" ref="F175">IFERROR(
  INDEX(ATTENDANCE_INPUT!D:D,
    MATCH(1,
      (ATTENDANCE_INPUT!A:A=A175) *
      (ATTENDANCE_INPUT!W:W=MAXIFS(ATTENDANCE_INPUT!W:W, ATTENDANCE_INPUT!A:A, A175)),
      0)),
  "")</f>
        <v>Quan Nguyen</v>
      </c>
      <c r="G175" s="109" t="str">
        <f t="array" ref="G175">IFERROR(
  INDEX(ATTENDANCE_INPUT!E:E,
    MATCH(1,
      (ATTENDANCE_INPUT!A:A=A175) *
      (ATTENDANCE_INPUT!W:W=MAXIFS(ATTENDANCE_INPUT!W:W, ATTENDANCE_INPUT!A:A, A175)),
      0)),
  "")</f>
        <v>Communication 2</v>
      </c>
      <c r="H175" s="110" t="str">
        <f t="array" ref="H175">IF(ISNA(MATCH(A175,sheet2!A:A,0)),"⏳ Chưa test",IFERROR(INDEX(LEVEL_HELPER!A:A,MATCH(INDEX(sheet2!N:N,MATCH(A175,sheet2!A:A,0)),LEVEL_HELPER!B:B,0)),"⏳ Chưa test"))</f>
        <v>Foundation</v>
      </c>
      <c r="I175" s="110" t="str">
        <f t="array" ref="I175">IF(ISNA(MATCH(A175,sheet2!A:A,0)),H175,IF(INDEX(sheet2!O:O,MATCH(A175,sheet2!A:A,0))&gt;0,IFERROR(INDEX(LEVEL_HELPER!A:A,MATCH(INDEX(sheet2!O:O,MATCH(A175,sheet2!A:A,0)),LEVEL_HELPER!B:B,0)),H175),H175))</f>
        <v>Pre-Intermediate 2</v>
      </c>
      <c r="J175" s="110">
        <f>IFERROR(MAXIFS(ATTENDANCE_LOG!F:F, ATTENDANCE_LOG!C:C, A175&amp;"", ATTENDANCE_LOG!G:G, "Present"), "")</f>
        <v>46210.625</v>
      </c>
      <c r="K175" s="111">
        <f t="shared" si="3"/>
        <v>2.375</v>
      </c>
      <c r="L175" s="112" t="str">
        <f t="shared" si="4"/>
        <v/>
      </c>
      <c r="M175" s="113"/>
      <c r="N175" s="114"/>
      <c r="O175" s="113"/>
      <c r="P175" s="115">
        <f>IFERROR(__xludf.DUMMYFUNCTION("IFERROR(COUNTUNIQUEIFS(ATTENDANCE_LOG!B:B,ATTENDANCE_LOG!C:C,A175),0)"),3.0)</f>
        <v>3</v>
      </c>
      <c r="Q175" s="113" t="str">
        <f t="array" ref="Q175">IFERROR(INDEX(ATTENDANCE_LOG!A:A,MATCH(1,(ATTENDANCE_LOG!C:C=A175)*(ATTENDANCE_LOG!F:F=MAXIFS(ATTENDANCE_LOG!F:F,ATTENDANCE_LOG!C:C,A175)),0)),"")</f>
        <v>EL037</v>
      </c>
      <c r="R175" s="113" t="str">
        <f t="array" ref="R175">IFERROR(INDEX(ATTENDANCE_LOG!B:B,MATCH(1,(ATTENDANCE_LOG!C:C=A175)*(ATTENDANCE_LOG!F:F=MAXIFS(ATTENDANCE_LOG!F:F,ATTENDANCE_LOG!C:C,A175)),0)),"")</f>
        <v>Communication 2</v>
      </c>
      <c r="S175" s="113">
        <f>IFERROR(VLOOKUP(H175, LEVEL_HELPER!A:B, 2, 0), 0)</f>
        <v>0.5</v>
      </c>
      <c r="T175" s="113">
        <f>IFERROR(VLOOKUP(I175, LEVEL_HELPER!A:B, 2, 0), 0)</f>
        <v>3.5</v>
      </c>
      <c r="U175" s="113">
        <f t="shared" ref="U175:V175" si="179">IF(S175="",0,IF(S175&lt;=2,1,IF(S175&lt;=4,2,IF(S175&lt;=5.5,3,4))))
</f>
        <v>1</v>
      </c>
      <c r="V175" s="113">
        <f t="shared" si="179"/>
        <v>2</v>
      </c>
      <c r="W175" s="113" t="str">
        <f t="shared" si="6"/>
        <v>Lv1→Lv2</v>
      </c>
      <c r="X175" s="113"/>
      <c r="Y175" s="113"/>
      <c r="Z175" s="113"/>
      <c r="AA175" s="113"/>
      <c r="AB175" s="116"/>
      <c r="AC175" s="116"/>
      <c r="AD175" s="117"/>
    </row>
    <row r="176" ht="15.75" customHeight="1">
      <c r="A176" s="104" t="s">
        <v>553</v>
      </c>
      <c r="B176" s="105" t="s">
        <v>554</v>
      </c>
      <c r="C176" s="106" t="str">
        <f>IFERROR(__xludf.DUMMYFUNCTION("arrayformula(VLOOKUP(to_Text(A176),to_Text(sheet2!$A$1:M1005),13,0))"),"MOC")</f>
        <v>MOC</v>
      </c>
      <c r="D176" s="107" t="str">
        <f>IFERROR(__xludf.DUMMYFUNCTION("arrayformula(VLOOKUP(to_Text(A176),to_Text(sheet2!$A$1:M1005),12,0))"),"DEV")</f>
        <v>DEV</v>
      </c>
      <c r="E176" s="108" t="str">
        <f t="shared" si="2"/>
        <v>Inactive</v>
      </c>
      <c r="F176" s="104" t="str">
        <f t="array" ref="F176">IFERROR(
  INDEX(ATTENDANCE_INPUT!D:D,
    MATCH(1,
      (ATTENDANCE_INPUT!A:A=A176) *
      (ATTENDANCE_INPUT!W:W=MAXIFS(ATTENDANCE_INPUT!W:W, ATTENDANCE_INPUT!A:A, A176)),
      0)),
  "")</f>
        <v>Quan Nguyen</v>
      </c>
      <c r="G176" s="109" t="str">
        <f t="array" ref="G176">IFERROR(
  INDEX(ATTENDANCE_INPUT!E:E,
    MATCH(1,
      (ATTENDANCE_INPUT!A:A=A176) *
      (ATTENDANCE_INPUT!W:W=MAXIFS(ATTENDANCE_INPUT!W:W, ATTENDANCE_INPUT!A:A, A176)),
      0)),
  "")</f>
        <v>Communication 1</v>
      </c>
      <c r="H176" s="110" t="str">
        <f t="array" ref="H176">IF(ISNA(MATCH(A176,sheet2!A:A,0)),"⏳ Chưa test",IFERROR(INDEX(LEVEL_HELPER!A:A,MATCH(INDEX(sheet2!N:N,MATCH(A176,sheet2!A:A,0)),LEVEL_HELPER!B:B,0)),"⏳ Chưa test"))</f>
        <v>Foundation</v>
      </c>
      <c r="I176" s="110" t="str">
        <f t="array" ref="I176">IF(ISNA(MATCH(A176,sheet2!A:A,0)),H176,IF(INDEX(sheet2!O:O,MATCH(A176,sheet2!A:A,0))&gt;0,IFERROR(INDEX(LEVEL_HELPER!A:A,MATCH(INDEX(sheet2!O:O,MATCH(A176,sheet2!A:A,0)),LEVEL_HELPER!B:B,0)),H176),H176))</f>
        <v>Beginner 2</v>
      </c>
      <c r="J176" s="110">
        <f>IFERROR(MAXIFS(ATTENDANCE_LOG!F:F, ATTENDANCE_LOG!C:C, A176&amp;"", ATTENDANCE_LOG!G:G, "Present"), "")</f>
        <v>46000.625</v>
      </c>
      <c r="K176" s="111">
        <f t="shared" si="3"/>
        <v>212.375</v>
      </c>
      <c r="L176" s="112" t="str">
        <f t="shared" si="4"/>
        <v>✅ Completed</v>
      </c>
      <c r="M176" s="113" t="s">
        <v>35</v>
      </c>
      <c r="N176" s="114" t="s">
        <v>36</v>
      </c>
      <c r="O176" s="113"/>
      <c r="P176" s="115">
        <f>IFERROR(__xludf.DUMMYFUNCTION("IFERROR(COUNTUNIQUEIFS(ATTENDANCE_LOG!B:B,ATTENDANCE_LOG!C:C,A176),0)"),2.0)</f>
        <v>2</v>
      </c>
      <c r="Q176" s="113" t="str">
        <f t="array" ref="Q176">IFERROR(INDEX(ATTENDANCE_LOG!A:A,MATCH(1,(ATTENDANCE_LOG!C:C=A176)*(ATTENDANCE_LOG!F:F=MAXIFS(ATTENDANCE_LOG!F:F,ATTENDANCE_LOG!C:C,A176)),0)),"")</f>
        <v>EL037</v>
      </c>
      <c r="R176" s="113" t="str">
        <f t="array" ref="R176">IFERROR(INDEX(ATTENDANCE_LOG!B:B,MATCH(1,(ATTENDANCE_LOG!C:C=A176)*(ATTENDANCE_LOG!F:F=MAXIFS(ATTENDANCE_LOG!F:F,ATTENDANCE_LOG!C:C,A176)),0)),"")</f>
        <v>Communication 1</v>
      </c>
      <c r="S176" s="113">
        <f>IFERROR(VLOOKUP(H176, LEVEL_HELPER!A:B, 2, 0), 0)</f>
        <v>0.5</v>
      </c>
      <c r="T176" s="113">
        <f>IFERROR(VLOOKUP(I176, LEVEL_HELPER!A:B, 2, 0), 0)</f>
        <v>1.5</v>
      </c>
      <c r="U176" s="113">
        <f t="shared" ref="U176:V176" si="180">IF(S176="",0,IF(S176&lt;=2,1,IF(S176&lt;=4,2,IF(S176&lt;=5.5,3,4))))
</f>
        <v>1</v>
      </c>
      <c r="V176" s="113">
        <f t="shared" si="180"/>
        <v>1</v>
      </c>
      <c r="W176" s="113" t="str">
        <f t="shared" si="6"/>
        <v>Minor Improvement</v>
      </c>
      <c r="X176" s="113"/>
      <c r="Y176" s="113"/>
      <c r="Z176" s="113"/>
      <c r="AA176" s="113"/>
      <c r="AB176" s="116"/>
      <c r="AC176" s="116"/>
      <c r="AD176" s="117"/>
    </row>
    <row r="177" ht="15.75" customHeight="1">
      <c r="A177" s="104" t="s">
        <v>555</v>
      </c>
      <c r="B177" s="105" t="s">
        <v>556</v>
      </c>
      <c r="C177" s="106" t="str">
        <f>IFERROR(__xludf.DUMMYFUNCTION("arrayformula(VLOOKUP(to_Text(A177),to_Text(sheet2!$A$1:M1005),13,0))"),"MOC")</f>
        <v>MOC</v>
      </c>
      <c r="D177" s="107" t="str">
        <f>IFERROR(__xludf.DUMMYFUNCTION("arrayformula(VLOOKUP(to_Text(A177),to_Text(sheet2!$A$1:M1005),12,0))"),"DEV")</f>
        <v>DEV</v>
      </c>
      <c r="E177" s="108" t="str">
        <f t="shared" si="2"/>
        <v>Inactive</v>
      </c>
      <c r="F177" s="104" t="str">
        <f t="array" ref="F177">IFERROR(
  INDEX(ATTENDANCE_INPUT!D:D,
    MATCH(1,
      (ATTENDANCE_INPUT!A:A=A177) *
      (ATTENDANCE_INPUT!W:W=MAXIFS(ATTENDANCE_INPUT!W:W, ATTENDANCE_INPUT!A:A, A177)),
      0)),
  "")</f>
        <v>Quan Nguyen</v>
      </c>
      <c r="G177" s="109" t="str">
        <f t="array" ref="G177">IFERROR(
  INDEX(ATTENDANCE_INPUT!E:E,
    MATCH(1,
      (ATTENDANCE_INPUT!A:A=A177) *
      (ATTENDANCE_INPUT!W:W=MAXIFS(ATTENDANCE_INPUT!W:W, ATTENDANCE_INPUT!A:A, A177)),
      0)),
  "")</f>
        <v>Communication 1</v>
      </c>
      <c r="H177" s="110" t="str">
        <f t="array" ref="H177">IF(ISNA(MATCH(A177,sheet2!A:A,0)),"⏳ Chưa test",IFERROR(INDEX(LEVEL_HELPER!A:A,MATCH(INDEX(sheet2!N:N,MATCH(A177,sheet2!A:A,0)),LEVEL_HELPER!B:B,0)),"⏳ Chưa test"))</f>
        <v>Foundation</v>
      </c>
      <c r="I177" s="110" t="str">
        <f t="array" ref="I177">IF(ISNA(MATCH(A177,sheet2!A:A,0)),H177,IF(INDEX(sheet2!O:O,MATCH(A177,sheet2!A:A,0))&gt;0,IFERROR(INDEX(LEVEL_HELPER!A:A,MATCH(INDEX(sheet2!O:O,MATCH(A177,sheet2!A:A,0)),LEVEL_HELPER!B:B,0)),H177),H177))</f>
        <v>Foundation</v>
      </c>
      <c r="J177" s="110">
        <f>IFERROR(MAXIFS(ATTENDANCE_LOG!F:F, ATTENDANCE_LOG!C:C, A177&amp;"", ATTENDANCE_LOG!G:G, "Present"), "")</f>
        <v>45965.625</v>
      </c>
      <c r="K177" s="111">
        <f t="shared" si="3"/>
        <v>247.375</v>
      </c>
      <c r="L177" s="112" t="str">
        <f t="shared" si="4"/>
        <v>✅ Completed</v>
      </c>
      <c r="M177" s="113" t="s">
        <v>35</v>
      </c>
      <c r="N177" s="114" t="s">
        <v>36</v>
      </c>
      <c r="O177" s="113"/>
      <c r="P177" s="115">
        <f>IFERROR(__xludf.DUMMYFUNCTION("IFERROR(COUNTUNIQUEIFS(ATTENDANCE_LOG!B:B,ATTENDANCE_LOG!C:C,A177),0)"),2.0)</f>
        <v>2</v>
      </c>
      <c r="Q177" s="113" t="str">
        <f t="array" ref="Q177">IFERROR(INDEX(ATTENDANCE_LOG!A:A,MATCH(1,(ATTENDANCE_LOG!C:C=A177)*(ATTENDANCE_LOG!F:F=MAXIFS(ATTENDANCE_LOG!F:F,ATTENDANCE_LOG!C:C,A177)),0)),"")</f>
        <v>EL037</v>
      </c>
      <c r="R177" s="113" t="str">
        <f t="array" ref="R177">IFERROR(INDEX(ATTENDANCE_LOG!B:B,MATCH(1,(ATTENDANCE_LOG!C:C=A177)*(ATTENDANCE_LOG!F:F=MAXIFS(ATTENDANCE_LOG!F:F,ATTENDANCE_LOG!C:C,A177)),0)),"")</f>
        <v>Communication 1</v>
      </c>
      <c r="S177" s="113">
        <f>IFERROR(VLOOKUP(H177, LEVEL_HELPER!A:B, 2, 0), 0)</f>
        <v>0.5</v>
      </c>
      <c r="T177" s="113">
        <f>IFERROR(VLOOKUP(I177, LEVEL_HELPER!A:B, 2, 0), 0)</f>
        <v>0.5</v>
      </c>
      <c r="U177" s="113">
        <f t="shared" ref="U177:V177" si="181">IF(S177="",0,IF(S177&lt;=2,1,IF(S177&lt;=4,2,IF(S177&lt;=5.5,3,4))))
</f>
        <v>1</v>
      </c>
      <c r="V177" s="113">
        <f t="shared" si="181"/>
        <v>1</v>
      </c>
      <c r="W177" s="113" t="str">
        <f t="shared" si="6"/>
        <v>No Progress</v>
      </c>
      <c r="X177" s="113"/>
      <c r="Y177" s="113"/>
      <c r="Z177" s="113"/>
      <c r="AA177" s="113"/>
      <c r="AB177" s="116"/>
      <c r="AC177" s="116"/>
      <c r="AD177" s="117"/>
    </row>
    <row r="178" ht="15.75" customHeight="1">
      <c r="A178" s="104" t="s">
        <v>557</v>
      </c>
      <c r="B178" s="105" t="s">
        <v>558</v>
      </c>
      <c r="C178" s="106" t="str">
        <f>IFERROR(__xludf.DUMMYFUNCTION("arrayformula(VLOOKUP(to_Text(A178),to_Text(sheet2!$A$1:M1005),13,0))"),"MOC")</f>
        <v>MOC</v>
      </c>
      <c r="D178" s="107" t="str">
        <f>IFERROR(__xludf.DUMMYFUNCTION("arrayformula(VLOOKUP(to_Text(A178),to_Text(sheet2!$A$1:M1005),12,0))"),"DEV")</f>
        <v>DEV</v>
      </c>
      <c r="E178" s="108" t="str">
        <f t="shared" si="2"/>
        <v>Inactive</v>
      </c>
      <c r="F178" s="104" t="str">
        <f t="array" ref="F178">IFERROR(
  INDEX(ATTENDANCE_INPUT!D:D,
    MATCH(1,
      (ATTENDANCE_INPUT!A:A=A178) *
      (ATTENDANCE_INPUT!W:W=MAXIFS(ATTENDANCE_INPUT!W:W, ATTENDANCE_INPUT!A:A, A178)),
      0)),
  "")</f>
        <v>Quan Nguyen</v>
      </c>
      <c r="G178" s="109" t="str">
        <f t="array" ref="G178">IFERROR(
  INDEX(ATTENDANCE_INPUT!E:E,
    MATCH(1,
      (ATTENDANCE_INPUT!A:A=A178) *
      (ATTENDANCE_INPUT!W:W=MAXIFS(ATTENDANCE_INPUT!W:W, ATTENDANCE_INPUT!A:A, A178)),
      0)),
  "")</f>
        <v>Communication 1</v>
      </c>
      <c r="H178" s="110" t="str">
        <f t="array" ref="H178">IF(ISNA(MATCH(A178,sheet2!A:A,0)),"⏳ Chưa test",IFERROR(INDEX(LEVEL_HELPER!A:A,MATCH(INDEX(sheet2!N:N,MATCH(A178,sheet2!A:A,0)),LEVEL_HELPER!B:B,0)),"⏳ Chưa test"))</f>
        <v>Foundation</v>
      </c>
      <c r="I178" s="110" t="str">
        <f t="array" ref="I178">IF(ISNA(MATCH(A178,sheet2!A:A,0)),H178,IF(INDEX(sheet2!O:O,MATCH(A178,sheet2!A:A,0))&gt;0,IFERROR(INDEX(LEVEL_HELPER!A:A,MATCH(INDEX(sheet2!O:O,MATCH(A178,sheet2!A:A,0)),LEVEL_HELPER!B:B,0)),H178),H178))</f>
        <v>Foundation</v>
      </c>
      <c r="J178" s="110">
        <f>IFERROR(MAXIFS(ATTENDANCE_LOG!F:F, ATTENDANCE_LOG!C:C, A178&amp;"", ATTENDANCE_LOG!G:G, "Present"), "")</f>
        <v>45972.625</v>
      </c>
      <c r="K178" s="111">
        <f t="shared" si="3"/>
        <v>240.375</v>
      </c>
      <c r="L178" s="112" t="str">
        <f t="shared" si="4"/>
        <v>✅ Completed</v>
      </c>
      <c r="M178" s="113" t="s">
        <v>35</v>
      </c>
      <c r="N178" s="114" t="s">
        <v>36</v>
      </c>
      <c r="O178" s="113"/>
      <c r="P178" s="115">
        <f>IFERROR(__xludf.DUMMYFUNCTION("IFERROR(COUNTUNIQUEIFS(ATTENDANCE_LOG!B:B,ATTENDANCE_LOG!C:C,A178),0)"),2.0)</f>
        <v>2</v>
      </c>
      <c r="Q178" s="113" t="str">
        <f t="array" ref="Q178">IFERROR(INDEX(ATTENDANCE_LOG!A:A,MATCH(1,(ATTENDANCE_LOG!C:C=A178)*(ATTENDANCE_LOG!F:F=MAXIFS(ATTENDANCE_LOG!F:F,ATTENDANCE_LOG!C:C,A178)),0)),"")</f>
        <v>EL037</v>
      </c>
      <c r="R178" s="113" t="str">
        <f t="array" ref="R178">IFERROR(INDEX(ATTENDANCE_LOG!B:B,MATCH(1,(ATTENDANCE_LOG!C:C=A178)*(ATTENDANCE_LOG!F:F=MAXIFS(ATTENDANCE_LOG!F:F,ATTENDANCE_LOG!C:C,A178)),0)),"")</f>
        <v>Communication 1</v>
      </c>
      <c r="S178" s="113">
        <f>IFERROR(VLOOKUP(H178, LEVEL_HELPER!A:B, 2, 0), 0)</f>
        <v>0.5</v>
      </c>
      <c r="T178" s="113">
        <f>IFERROR(VLOOKUP(I178, LEVEL_HELPER!A:B, 2, 0), 0)</f>
        <v>0.5</v>
      </c>
      <c r="U178" s="113">
        <f t="shared" ref="U178:V178" si="182">IF(S178="",0,IF(S178&lt;=2,1,IF(S178&lt;=4,2,IF(S178&lt;=5.5,3,4))))
</f>
        <v>1</v>
      </c>
      <c r="V178" s="113">
        <f t="shared" si="182"/>
        <v>1</v>
      </c>
      <c r="W178" s="113" t="str">
        <f t="shared" si="6"/>
        <v>No Progress</v>
      </c>
      <c r="X178" s="113"/>
      <c r="Y178" s="113"/>
      <c r="Z178" s="113"/>
      <c r="AA178" s="113"/>
      <c r="AB178" s="116"/>
      <c r="AC178" s="116"/>
      <c r="AD178" s="117"/>
    </row>
    <row r="179" ht="15.75" customHeight="1">
      <c r="A179" s="104" t="s">
        <v>559</v>
      </c>
      <c r="B179" s="105" t="s">
        <v>560</v>
      </c>
      <c r="C179" s="106" t="str">
        <f>IFERROR(__xludf.DUMMYFUNCTION("arrayformula(VLOOKUP(to_Text(A179),to_Text(sheet2!$A$1:M1005),13,0))"),"MOC")</f>
        <v>MOC</v>
      </c>
      <c r="D179" s="107" t="str">
        <f>IFERROR(__xludf.DUMMYFUNCTION("arrayformula(VLOOKUP(to_Text(A179),to_Text(sheet2!$A$1:M1005),12,0))"),"DEV")</f>
        <v>DEV</v>
      </c>
      <c r="E179" s="108" t="str">
        <f t="shared" si="2"/>
        <v>Inactive</v>
      </c>
      <c r="F179" s="104" t="str">
        <f t="array" ref="F179">IFERROR(
  INDEX(ATTENDANCE_INPUT!D:D,
    MATCH(1,
      (ATTENDANCE_INPUT!A:A=A179) *
      (ATTENDANCE_INPUT!W:W=MAXIFS(ATTENDANCE_INPUT!W:W, ATTENDANCE_INPUT!A:A, A179)),
      0)),
  "")</f>
        <v>Quan Nguyen</v>
      </c>
      <c r="G179" s="109" t="str">
        <f t="array" ref="G179">IFERROR(
  INDEX(ATTENDANCE_INPUT!E:E,
    MATCH(1,
      (ATTENDANCE_INPUT!A:A=A179) *
      (ATTENDANCE_INPUT!W:W=MAXIFS(ATTENDANCE_INPUT!W:W, ATTENDANCE_INPUT!A:A, A179)),
      0)),
  "")</f>
        <v>Communication 1</v>
      </c>
      <c r="H179" s="110" t="str">
        <f t="array" ref="H179">IF(ISNA(MATCH(A179,sheet2!A:A,0)),"⏳ Chưa test",IFERROR(INDEX(LEVEL_HELPER!A:A,MATCH(INDEX(sheet2!N:N,MATCH(A179,sheet2!A:A,0)),LEVEL_HELPER!B:B,0)),"⏳ Chưa test"))</f>
        <v>Foundation</v>
      </c>
      <c r="I179" s="110" t="str">
        <f t="array" ref="I179">IF(ISNA(MATCH(A179,sheet2!A:A,0)),H179,IF(INDEX(sheet2!O:O,MATCH(A179,sheet2!A:A,0))&gt;0,IFERROR(INDEX(LEVEL_HELPER!A:A,MATCH(INDEX(sheet2!O:O,MATCH(A179,sheet2!A:A,0)),LEVEL_HELPER!B:B,0)),H179),H179))</f>
        <v>Pre-Intermediate 2</v>
      </c>
      <c r="J179" s="110">
        <f>IFERROR(MAXIFS(ATTENDANCE_LOG!F:F, ATTENDANCE_LOG!C:C, A179&amp;"", ATTENDANCE_LOG!G:G, "Present"), "")</f>
        <v>46000.625</v>
      </c>
      <c r="K179" s="111">
        <f t="shared" si="3"/>
        <v>212.375</v>
      </c>
      <c r="L179" s="112" t="str">
        <f t="shared" si="4"/>
        <v>✅ Completed</v>
      </c>
      <c r="M179" s="113" t="s">
        <v>35</v>
      </c>
      <c r="N179" s="114" t="s">
        <v>36</v>
      </c>
      <c r="O179" s="113"/>
      <c r="P179" s="115">
        <f>IFERROR(__xludf.DUMMYFUNCTION("IFERROR(COUNTUNIQUEIFS(ATTENDANCE_LOG!B:B,ATTENDANCE_LOG!C:C,A179),0)"),2.0)</f>
        <v>2</v>
      </c>
      <c r="Q179" s="113" t="str">
        <f t="array" ref="Q179">IFERROR(INDEX(ATTENDANCE_LOG!A:A,MATCH(1,(ATTENDANCE_LOG!C:C=A179)*(ATTENDANCE_LOG!F:F=MAXIFS(ATTENDANCE_LOG!F:F,ATTENDANCE_LOG!C:C,A179)),0)),"")</f>
        <v>EL037</v>
      </c>
      <c r="R179" s="113" t="str">
        <f t="array" ref="R179">IFERROR(INDEX(ATTENDANCE_LOG!B:B,MATCH(1,(ATTENDANCE_LOG!C:C=A179)*(ATTENDANCE_LOG!F:F=MAXIFS(ATTENDANCE_LOG!F:F,ATTENDANCE_LOG!C:C,A179)),0)),"")</f>
        <v>Communication 1</v>
      </c>
      <c r="S179" s="113">
        <f>IFERROR(VLOOKUP(H179, LEVEL_HELPER!A:B, 2, 0), 0)</f>
        <v>0.5</v>
      </c>
      <c r="T179" s="113">
        <f>IFERROR(VLOOKUP(I179, LEVEL_HELPER!A:B, 2, 0), 0)</f>
        <v>3.5</v>
      </c>
      <c r="U179" s="113">
        <f t="shared" ref="U179:V179" si="183">IF(S179="",0,IF(S179&lt;=2,1,IF(S179&lt;=4,2,IF(S179&lt;=5.5,3,4))))
</f>
        <v>1</v>
      </c>
      <c r="V179" s="113">
        <f t="shared" si="183"/>
        <v>2</v>
      </c>
      <c r="W179" s="113" t="str">
        <f t="shared" si="6"/>
        <v>Lv1→Lv2</v>
      </c>
      <c r="X179" s="113"/>
      <c r="Y179" s="113"/>
      <c r="Z179" s="113"/>
      <c r="AA179" s="113"/>
      <c r="AB179" s="116"/>
      <c r="AC179" s="116"/>
      <c r="AD179" s="117"/>
    </row>
    <row r="180" ht="15.75" customHeight="1">
      <c r="A180" s="104" t="s">
        <v>561</v>
      </c>
      <c r="B180" s="105" t="s">
        <v>562</v>
      </c>
      <c r="C180" s="106" t="str">
        <f>IFERROR(__xludf.DUMMYFUNCTION("arrayformula(VLOOKUP(to_Text(A180),to_Text(sheet2!$A$1:M1005),13,0))"),"LBU")</f>
        <v>LBU</v>
      </c>
      <c r="D180" s="107" t="str">
        <f>IFERROR(__xludf.DUMMYFUNCTION("arrayformula(VLOOKUP(to_Text(A180),to_Text(sheet2!$A$1:M1005),12,0))"),"DEV")</f>
        <v>DEV</v>
      </c>
      <c r="E180" s="108" t="str">
        <f t="shared" si="2"/>
        <v>Inactive</v>
      </c>
      <c r="F180" s="104" t="str">
        <f t="array" ref="F180">IFERROR(
  INDEX(ATTENDANCE_INPUT!D:D,
    MATCH(1,
      (ATTENDANCE_INPUT!A:A=A180) *
      (ATTENDANCE_INPUT!W:W=MAXIFS(ATTENDANCE_INPUT!W:W, ATTENDANCE_INPUT!A:A, A180)),
      0)),
  "")</f>
        <v>Qui Em</v>
      </c>
      <c r="G180" s="109" t="str">
        <f t="array" ref="G180">IFERROR(
  INDEX(ATTENDANCE_INPUT!E:E,
    MATCH(1,
      (ATTENDANCE_INPUT!A:A=A180) *
      (ATTENDANCE_INPUT!W:W=MAXIFS(ATTENDANCE_INPUT!W:W, ATTENDANCE_INPUT!A:A, A180)),
      0)),
  "")</f>
        <v>Communication 1</v>
      </c>
      <c r="H180" s="110" t="str">
        <f t="array" ref="H180">IF(ISNA(MATCH(A180,sheet2!A:A,0)),"⏳ Chưa test",IFERROR(INDEX(LEVEL_HELPER!A:A,MATCH(INDEX(sheet2!N:N,MATCH(A180,sheet2!A:A,0)),LEVEL_HELPER!B:B,0)),"⏳ Chưa test"))</f>
        <v>Beginner</v>
      </c>
      <c r="I180" s="110" t="str">
        <f t="array" ref="I180">IF(ISNA(MATCH(A180,sheet2!A:A,0)),H180,IF(INDEX(sheet2!O:O,MATCH(A180,sheet2!A:A,0))&gt;0,IFERROR(INDEX(LEVEL_HELPER!A:A,MATCH(INDEX(sheet2!O:O,MATCH(A180,sheet2!A:A,0)),LEVEL_HELPER!B:B,0)),H180),H180))</f>
        <v>Pre-Intermediate 1</v>
      </c>
      <c r="J180" s="110">
        <f>IFERROR(MAXIFS(ATTENDANCE_LOG!F:F, ATTENDANCE_LOG!C:C, A180&amp;"", ATTENDANCE_LOG!G:G, "Present"), "")</f>
        <v>45807.41667</v>
      </c>
      <c r="K180" s="111">
        <f t="shared" si="3"/>
        <v>405.5833333</v>
      </c>
      <c r="L180" s="112" t="str">
        <f t="shared" si="4"/>
        <v>✅ Completed</v>
      </c>
      <c r="M180" s="120" t="s">
        <v>35</v>
      </c>
      <c r="N180" s="114" t="s">
        <v>38</v>
      </c>
      <c r="O180" s="113"/>
      <c r="P180" s="115">
        <f>IFERROR(__xludf.DUMMYFUNCTION("IFERROR(COUNTUNIQUEIFS(ATTENDANCE_LOG!B:B,ATTENDANCE_LOG!C:C,A180),0)"),1.0)</f>
        <v>1</v>
      </c>
      <c r="Q180" s="113" t="str">
        <f t="array" ref="Q180">IFERROR(INDEX(ATTENDANCE_LOG!A:A,MATCH(1,(ATTENDANCE_LOG!C:C=A180)*(ATTENDANCE_LOG!F:F=MAXIFS(ATTENDANCE_LOG!F:F,ATTENDANCE_LOG!C:C,A180)),0)),"")</f>
        <v>EL020</v>
      </c>
      <c r="R180" s="113" t="str">
        <f t="array" ref="R180">IFERROR(INDEX(ATTENDANCE_LOG!B:B,MATCH(1,(ATTENDANCE_LOG!C:C=A180)*(ATTENDANCE_LOG!F:F=MAXIFS(ATTENDANCE_LOG!F:F,ATTENDANCE_LOG!C:C,A180)),0)),"")</f>
        <v>Communication 1</v>
      </c>
      <c r="S180" s="113">
        <f>IFERROR(VLOOKUP(H180, LEVEL_HELPER!A:B, 2, 0), 0)</f>
        <v>1</v>
      </c>
      <c r="T180" s="113">
        <f>IFERROR(VLOOKUP(I180, LEVEL_HELPER!A:B, 2, 0), 0)</f>
        <v>3</v>
      </c>
      <c r="U180" s="113">
        <f t="shared" ref="U180:V180" si="184">IF(S180="",0,IF(S180&lt;=2,1,IF(S180&lt;=4,2,IF(S180&lt;=5.5,3,4))))
</f>
        <v>1</v>
      </c>
      <c r="V180" s="113">
        <f t="shared" si="184"/>
        <v>2</v>
      </c>
      <c r="W180" s="113" t="str">
        <f t="shared" si="6"/>
        <v>Lv1→Lv2</v>
      </c>
      <c r="X180" s="113"/>
      <c r="Y180" s="113"/>
      <c r="Z180" s="113"/>
      <c r="AA180" s="113"/>
      <c r="AB180" s="116"/>
      <c r="AC180" s="116"/>
      <c r="AD180" s="117"/>
    </row>
    <row r="181" ht="15.75" customHeight="1">
      <c r="A181" s="104" t="s">
        <v>563</v>
      </c>
      <c r="B181" s="105" t="s">
        <v>564</v>
      </c>
      <c r="C181" s="106" t="str">
        <f>IFERROR(__xludf.DUMMYFUNCTION("arrayformula(VLOOKUP(to_Text(A181),to_Text(sheet2!$A$1:M1005),13,0))"),"TBU")</f>
        <v>TBU</v>
      </c>
      <c r="D181" s="107" t="str">
        <f>IFERROR(__xludf.DUMMYFUNCTION("arrayformula(VLOOKUP(to_Text(A181),to_Text(sheet2!$A$1:M1005),12,0))"),"DEV")</f>
        <v>DEV</v>
      </c>
      <c r="E181" s="108" t="str">
        <f t="shared" si="2"/>
        <v>Inactive</v>
      </c>
      <c r="F181" s="104" t="str">
        <f t="array" ref="F181">IFERROR(
  INDEX(ATTENDANCE_INPUT!D:D,
    MATCH(1,
      (ATTENDANCE_INPUT!A:A=A181) *
      (ATTENDANCE_INPUT!W:W=MAXIFS(ATTENDANCE_INPUT!W:W, ATTENDANCE_INPUT!A:A, A181)),
      0)),
  "")</f>
        <v>Qui Em</v>
      </c>
      <c r="G181" s="109" t="str">
        <f t="array" ref="G181">IFERROR(
  INDEX(ATTENDANCE_INPUT!E:E,
    MATCH(1,
      (ATTENDANCE_INPUT!A:A=A181) *
      (ATTENDANCE_INPUT!W:W=MAXIFS(ATTENDANCE_INPUT!W:W, ATTENDANCE_INPUT!A:A, A181)),
      0)),
  "")</f>
        <v>Communication 1</v>
      </c>
      <c r="H181" s="110" t="str">
        <f t="array" ref="H181">IF(ISNA(MATCH(A181,sheet2!A:A,0)),"⏳ Chưa test",IFERROR(INDEX(LEVEL_HELPER!A:A,MATCH(INDEX(sheet2!N:N,MATCH(A181,sheet2!A:A,0)),LEVEL_HELPER!B:B,0)),"⏳ Chưa test"))</f>
        <v>Intermediate</v>
      </c>
      <c r="I181" s="110" t="str">
        <f t="array" ref="I181">IF(ISNA(MATCH(A181,sheet2!A:A,0)),H181,IF(INDEX(sheet2!O:O,MATCH(A181,sheet2!A:A,0))&gt;0,IFERROR(INDEX(LEVEL_HELPER!A:A,MATCH(INDEX(sheet2!O:O,MATCH(A181,sheet2!A:A,0)),LEVEL_HELPER!B:B,0)),H181),H181))</f>
        <v>Intermediate</v>
      </c>
      <c r="J181" s="110">
        <f>IFERROR(MAXIFS(ATTENDANCE_LOG!F:F, ATTENDANCE_LOG!C:C, A181&amp;"", ATTENDANCE_LOG!G:G, "Present"), "")</f>
        <v>45807.41667</v>
      </c>
      <c r="K181" s="111">
        <f t="shared" si="3"/>
        <v>405.5833333</v>
      </c>
      <c r="L181" s="112" t="str">
        <f t="shared" si="4"/>
        <v>❌ Dropped</v>
      </c>
      <c r="M181" s="120" t="s">
        <v>37</v>
      </c>
      <c r="N181" s="114" t="s">
        <v>34</v>
      </c>
      <c r="O181" s="113"/>
      <c r="P181" s="115">
        <f>IFERROR(__xludf.DUMMYFUNCTION("IFERROR(COUNTUNIQUEIFS(ATTENDANCE_LOG!B:B,ATTENDANCE_LOG!C:C,A181),0)"),1.0)</f>
        <v>1</v>
      </c>
      <c r="Q181" s="113" t="str">
        <f t="array" ref="Q181">IFERROR(INDEX(ATTENDANCE_LOG!A:A,MATCH(1,(ATTENDANCE_LOG!C:C=A181)*(ATTENDANCE_LOG!F:F=MAXIFS(ATTENDANCE_LOG!F:F,ATTENDANCE_LOG!C:C,A181)),0)),"")</f>
        <v>EL020</v>
      </c>
      <c r="R181" s="113" t="str">
        <f t="array" ref="R181">IFERROR(INDEX(ATTENDANCE_LOG!B:B,MATCH(1,(ATTENDANCE_LOG!C:C=A181)*(ATTENDANCE_LOG!F:F=MAXIFS(ATTENDANCE_LOG!F:F,ATTENDANCE_LOG!C:C,A181)),0)),"")</f>
        <v>Communication 1</v>
      </c>
      <c r="S181" s="113">
        <f>IFERROR(VLOOKUP(H181, LEVEL_HELPER!A:B, 2, 0), 0)</f>
        <v>4.5</v>
      </c>
      <c r="T181" s="113">
        <f>IFERROR(VLOOKUP(I181, LEVEL_HELPER!A:B, 2, 0), 0)</f>
        <v>4.5</v>
      </c>
      <c r="U181" s="113">
        <f t="shared" ref="U181:V181" si="185">IF(S181="",0,IF(S181&lt;=2,1,IF(S181&lt;=4,2,IF(S181&lt;=5.5,3,4))))
</f>
        <v>3</v>
      </c>
      <c r="V181" s="113">
        <f t="shared" si="185"/>
        <v>3</v>
      </c>
      <c r="W181" s="113" t="str">
        <f t="shared" si="6"/>
        <v>No Progress</v>
      </c>
      <c r="X181" s="113"/>
      <c r="Y181" s="113"/>
      <c r="Z181" s="113"/>
      <c r="AA181" s="113"/>
      <c r="AB181" s="116"/>
      <c r="AC181" s="116"/>
      <c r="AD181" s="117"/>
    </row>
    <row r="182" ht="15.75" customHeight="1">
      <c r="A182" s="104" t="s">
        <v>565</v>
      </c>
      <c r="B182" s="105" t="s">
        <v>566</v>
      </c>
      <c r="C182" s="106" t="str">
        <f>IFERROR(__xludf.DUMMYFUNCTION("arrayformula(VLOOKUP(to_Text(A182),to_Text(sheet2!$A$1:M1005),13,0))"),"TBU")</f>
        <v>TBU</v>
      </c>
      <c r="D182" s="107" t="str">
        <f>IFERROR(__xludf.DUMMYFUNCTION("arrayformula(VLOOKUP(to_Text(A182),to_Text(sheet2!$A$1:M1005),12,0))"),"DEV")</f>
        <v>DEV</v>
      </c>
      <c r="E182" s="108" t="str">
        <f t="shared" si="2"/>
        <v>Inactive</v>
      </c>
      <c r="F182" s="104" t="str">
        <f t="array" ref="F182">IFERROR(
  INDEX(ATTENDANCE_INPUT!D:D,
    MATCH(1,
      (ATTENDANCE_INPUT!A:A=A182) *
      (ATTENDANCE_INPUT!W:W=MAXIFS(ATTENDANCE_INPUT!W:W, ATTENDANCE_INPUT!A:A, A182)),
      0)),
  "")</f>
        <v>Qui Em</v>
      </c>
      <c r="G182" s="109" t="str">
        <f t="array" ref="G182">IFERROR(
  INDEX(ATTENDANCE_INPUT!E:E,
    MATCH(1,
      (ATTENDANCE_INPUT!A:A=A182) *
      (ATTENDANCE_INPUT!W:W=MAXIFS(ATTENDANCE_INPUT!W:W, ATTENDANCE_INPUT!A:A, A182)),
      0)),
  "")</f>
        <v>Communication 2</v>
      </c>
      <c r="H182" s="110" t="str">
        <f t="array" ref="H182">IF(ISNA(MATCH(A182,sheet2!A:A,0)),"⏳ Chưa test",IFERROR(INDEX(LEVEL_HELPER!A:A,MATCH(INDEX(sheet2!N:N,MATCH(A182,sheet2!A:A,0)),LEVEL_HELPER!B:B,0)),"⏳ Chưa test"))</f>
        <v>Beginner</v>
      </c>
      <c r="I182" s="110" t="str">
        <f t="array" ref="I182">IF(ISNA(MATCH(A182,sheet2!A:A,0)),H182,IF(INDEX(sheet2!O:O,MATCH(A182,sheet2!A:A,0))&gt;0,IFERROR(INDEX(LEVEL_HELPER!A:A,MATCH(INDEX(sheet2!O:O,MATCH(A182,sheet2!A:A,0)),LEVEL_HELPER!B:B,0)),H182),H182))</f>
        <v>Pre-Intermediate 2</v>
      </c>
      <c r="J182" s="110">
        <f>IFERROR(MAXIFS(ATTENDANCE_LOG!F:F, ATTENDANCE_LOG!C:C, A182&amp;"", ATTENDANCE_LOG!G:G, "Present"), "")</f>
        <v>45924.625</v>
      </c>
      <c r="K182" s="111">
        <f t="shared" si="3"/>
        <v>288.375</v>
      </c>
      <c r="L182" s="112" t="str">
        <f t="shared" si="4"/>
        <v>❌ Dropped</v>
      </c>
      <c r="M182" s="113" t="s">
        <v>37</v>
      </c>
      <c r="N182" s="114" t="s">
        <v>34</v>
      </c>
      <c r="O182" s="113"/>
      <c r="P182" s="115">
        <f>IFERROR(__xludf.DUMMYFUNCTION("IFERROR(COUNTUNIQUEIFS(ATTENDANCE_LOG!B:B,ATTENDANCE_LOG!C:C,A182),0)"),2.0)</f>
        <v>2</v>
      </c>
      <c r="Q182" s="113" t="str">
        <f t="array" ref="Q182">IFERROR(INDEX(ATTENDANCE_LOG!A:A,MATCH(1,(ATTENDANCE_LOG!C:C=A182)*(ATTENDANCE_LOG!F:F=MAXIFS(ATTENDANCE_LOG!F:F,ATTENDANCE_LOG!C:C,A182)),0)),"")</f>
        <v>EL020</v>
      </c>
      <c r="R182" s="113" t="str">
        <f t="array" ref="R182">IFERROR(INDEX(ATTENDANCE_LOG!B:B,MATCH(1,(ATTENDANCE_LOG!C:C=A182)*(ATTENDANCE_LOG!F:F=MAXIFS(ATTENDANCE_LOG!F:F,ATTENDANCE_LOG!C:C,A182)),0)),"")</f>
        <v>Communication 2</v>
      </c>
      <c r="S182" s="113">
        <f>IFERROR(VLOOKUP(H182, LEVEL_HELPER!A:B, 2, 0), 0)</f>
        <v>1</v>
      </c>
      <c r="T182" s="113">
        <f>IFERROR(VLOOKUP(I182, LEVEL_HELPER!A:B, 2, 0), 0)</f>
        <v>3.5</v>
      </c>
      <c r="U182" s="113">
        <f t="shared" ref="U182:V182" si="186">IF(S182="",0,IF(S182&lt;=2,1,IF(S182&lt;=4,2,IF(S182&lt;=5.5,3,4))))
</f>
        <v>1</v>
      </c>
      <c r="V182" s="113">
        <f t="shared" si="186"/>
        <v>2</v>
      </c>
      <c r="W182" s="113" t="str">
        <f t="shared" si="6"/>
        <v>Lv1→Lv2</v>
      </c>
      <c r="X182" s="113"/>
      <c r="Y182" s="113"/>
      <c r="Z182" s="113"/>
      <c r="AA182" s="113"/>
      <c r="AB182" s="116"/>
      <c r="AC182" s="116"/>
      <c r="AD182" s="117"/>
    </row>
    <row r="183" ht="15.75" customHeight="1">
      <c r="A183" s="104" t="s">
        <v>567</v>
      </c>
      <c r="B183" s="105" t="s">
        <v>568</v>
      </c>
      <c r="C183" s="106" t="str">
        <f>IFERROR(__xludf.DUMMYFUNCTION("arrayformula(VLOOKUP(to_Text(A183),to_Text(sheet2!$A$1:M1005),13,0))"),"CHORUS")</f>
        <v>CHORUS</v>
      </c>
      <c r="D183" s="107" t="str">
        <f>IFERROR(__xludf.DUMMYFUNCTION("arrayformula(VLOOKUP(to_Text(A183),to_Text(sheet2!$A$1:M1005),12,0))"),"DEV")</f>
        <v>DEV</v>
      </c>
      <c r="E183" s="108" t="str">
        <f t="shared" si="2"/>
        <v>Waiting for class</v>
      </c>
      <c r="F183" s="104" t="str">
        <f t="array" ref="F183">IFERROR(
  INDEX(ATTENDANCE_INPUT!D:D,
    MATCH(1,
      (ATTENDANCE_INPUT!A:A=A183) *
      (ATTENDANCE_INPUT!W:W=MAXIFS(ATTENDANCE_INPUT!W:W, ATTENDANCE_INPUT!A:A, A183)),
      0)),
  "")</f>
        <v>Qui Em</v>
      </c>
      <c r="G183" s="109" t="str">
        <f t="array" ref="G183">IFERROR(
  INDEX(ATTENDANCE_INPUT!E:E,
    MATCH(1,
      (ATTENDANCE_INPUT!A:A=A183) *
      (ATTENDANCE_INPUT!W:W=MAXIFS(ATTENDANCE_INPUT!W:W, ATTENDANCE_INPUT!A:A, A183)),
      0)),
  "")</f>
        <v>Communication 1</v>
      </c>
      <c r="H183" s="110" t="str">
        <f t="array" ref="H183">IF(ISNA(MATCH(A183,sheet2!A:A,0)),"⏳ Chưa test",IFERROR(INDEX(LEVEL_HELPER!A:A,MATCH(INDEX(sheet2!N:N,MATCH(A183,sheet2!A:A,0)),LEVEL_HELPER!B:B,0)),"⏳ Chưa test"))</f>
        <v>Beginner</v>
      </c>
      <c r="I183" s="110" t="str">
        <f t="array" ref="I183">IF(ISNA(MATCH(A183,sheet2!A:A,0)),H183,IF(INDEX(sheet2!O:O,MATCH(A183,sheet2!A:A,0))&gt;0,IFERROR(INDEX(LEVEL_HELPER!A:A,MATCH(INDEX(sheet2!O:O,MATCH(A183,sheet2!A:A,0)),LEVEL_HELPER!B:B,0)),H183),H183))</f>
        <v>Pre-Intermediate 2</v>
      </c>
      <c r="J183" s="110">
        <f>IFERROR(MAXIFS(ATTENDANCE_LOG!F:F, ATTENDANCE_LOG!C:C, A183&amp;"", ATTENDANCE_LOG!G:G, "Present"), "")</f>
        <v>45807.41667</v>
      </c>
      <c r="K183" s="111">
        <f t="shared" si="3"/>
        <v>405.5833333</v>
      </c>
      <c r="L183" s="112" t="str">
        <f t="shared" si="4"/>
        <v>⚠ Check</v>
      </c>
      <c r="M183" s="125" t="s">
        <v>202</v>
      </c>
      <c r="N183" s="114"/>
      <c r="O183" s="120" t="s">
        <v>269</v>
      </c>
      <c r="P183" s="115">
        <f>IFERROR(__xludf.DUMMYFUNCTION("IFERROR(COUNTUNIQUEIFS(ATTENDANCE_LOG!B:B,ATTENDANCE_LOG!C:C,A183),0)"),1.0)</f>
        <v>1</v>
      </c>
      <c r="Q183" s="113" t="str">
        <f t="array" ref="Q183">IFERROR(INDEX(ATTENDANCE_LOG!A:A,MATCH(1,(ATTENDANCE_LOG!C:C=A183)*(ATTENDANCE_LOG!F:F=MAXIFS(ATTENDANCE_LOG!F:F,ATTENDANCE_LOG!C:C,A183)),0)),"")</f>
        <v>EL020</v>
      </c>
      <c r="R183" s="113" t="str">
        <f t="array" ref="R183">IFERROR(INDEX(ATTENDANCE_LOG!B:B,MATCH(1,(ATTENDANCE_LOG!C:C=A183)*(ATTENDANCE_LOG!F:F=MAXIFS(ATTENDANCE_LOG!F:F,ATTENDANCE_LOG!C:C,A183)),0)),"")</f>
        <v>Communication 1</v>
      </c>
      <c r="S183" s="113">
        <f>IFERROR(VLOOKUP(H183, LEVEL_HELPER!A:B, 2, 0), 0)</f>
        <v>1</v>
      </c>
      <c r="T183" s="113">
        <f>IFERROR(VLOOKUP(I183, LEVEL_HELPER!A:B, 2, 0), 0)</f>
        <v>3.5</v>
      </c>
      <c r="U183" s="113">
        <f t="shared" ref="U183:V183" si="187">IF(S183="",0,IF(S183&lt;=2,1,IF(S183&lt;=4,2,IF(S183&lt;=5.5,3,4))))
</f>
        <v>1</v>
      </c>
      <c r="V183" s="113">
        <f t="shared" si="187"/>
        <v>2</v>
      </c>
      <c r="W183" s="113" t="str">
        <f t="shared" si="6"/>
        <v>Lv1→Lv2</v>
      </c>
      <c r="X183" s="121"/>
      <c r="Y183" s="121"/>
      <c r="Z183" s="121"/>
      <c r="AA183" s="121"/>
      <c r="AB183" s="102"/>
      <c r="AC183" s="102"/>
      <c r="AD183" s="103"/>
    </row>
    <row r="184" ht="15.75" customHeight="1">
      <c r="A184" s="104" t="s">
        <v>569</v>
      </c>
      <c r="B184" s="105" t="s">
        <v>570</v>
      </c>
      <c r="C184" s="106" t="str">
        <f>IFERROR(__xludf.DUMMYFUNCTION("arrayformula(VLOOKUP(to_Text(A184),to_Text(sheet2!$A$1:M1005),13,0))"),"LBU")</f>
        <v>LBU</v>
      </c>
      <c r="D184" s="107" t="str">
        <f>IFERROR(__xludf.DUMMYFUNCTION("arrayformula(VLOOKUP(to_Text(A184),to_Text(sheet2!$A$1:M1005),12,0))"),"GSD")</f>
        <v>GSD</v>
      </c>
      <c r="E184" s="108" t="str">
        <f t="shared" si="2"/>
        <v>Inactive</v>
      </c>
      <c r="F184" s="104" t="str">
        <f t="array" ref="F184">IFERROR(
  INDEX(ATTENDANCE_INPUT!D:D,
    MATCH(1,
      (ATTENDANCE_INPUT!A:A=A184) *
      (ATTENDANCE_INPUT!W:W=MAXIFS(ATTENDANCE_INPUT!W:W, ATTENDANCE_INPUT!A:A, A184)),
      0)),
  "")</f>
        <v>Quyen Nguyen</v>
      </c>
      <c r="G184" s="109" t="str">
        <f t="array" ref="G184">IFERROR(
  INDEX(ATTENDANCE_INPUT!E:E,
    MATCH(1,
      (ATTENDANCE_INPUT!A:A=A184) *
      (ATTENDANCE_INPUT!W:W=MAXIFS(ATTENDANCE_INPUT!W:W, ATTENDANCE_INPUT!A:A, A184)),
      0)),
  "")</f>
        <v>Communication 1</v>
      </c>
      <c r="H184" s="110" t="str">
        <f t="array" ref="H184">IF(ISNA(MATCH(A184,sheet2!A:A,0)),"⏳ Chưa test",IFERROR(INDEX(LEVEL_HELPER!A:A,MATCH(INDEX(sheet2!N:N,MATCH(A184,sheet2!A:A,0)),LEVEL_HELPER!B:B,0)),"⏳ Chưa test"))</f>
        <v>Beginner</v>
      </c>
      <c r="I184" s="110" t="str">
        <f t="array" ref="I184">IF(ISNA(MATCH(A184,sheet2!A:A,0)),H184,IF(INDEX(sheet2!O:O,MATCH(A184,sheet2!A:A,0))&gt;0,IFERROR(INDEX(LEVEL_HELPER!A:A,MATCH(INDEX(sheet2!O:O,MATCH(A184,sheet2!A:A,0)),LEVEL_HELPER!B:B,0)),H184),H184))</f>
        <v>Beginner</v>
      </c>
      <c r="J184" s="110">
        <f>IFERROR(MAXIFS(ATTENDANCE_LOG!F:F, ATTENDANCE_LOG!C:C, A184&amp;"", ATTENDANCE_LOG!G:G, "Present"), "")</f>
        <v>46094.54167</v>
      </c>
      <c r="K184" s="111">
        <f t="shared" si="3"/>
        <v>118.4583333</v>
      </c>
      <c r="L184" s="112" t="str">
        <f t="shared" si="4"/>
        <v>❌ Dropped</v>
      </c>
      <c r="M184" s="113" t="s">
        <v>37</v>
      </c>
      <c r="N184" s="114" t="s">
        <v>34</v>
      </c>
      <c r="O184" s="113"/>
      <c r="P184" s="115">
        <f>IFERROR(__xludf.DUMMYFUNCTION("IFERROR(COUNTUNIQUEIFS(ATTENDANCE_LOG!B:B,ATTENDANCE_LOG!C:C,A184),0)"),1.0)</f>
        <v>1</v>
      </c>
      <c r="Q184" s="113" t="str">
        <f t="array" ref="Q184">IFERROR(INDEX(ATTENDANCE_LOG!A:A,MATCH(1,(ATTENDANCE_LOG!C:C=A184)*(ATTENDANCE_LOG!F:F=MAXIFS(ATTENDANCE_LOG!F:F,ATTENDANCE_LOG!C:C,A184)),0)),"")</f>
        <v>EL044</v>
      </c>
      <c r="R184" s="113" t="str">
        <f t="array" ref="R184">IFERROR(INDEX(ATTENDANCE_LOG!B:B,MATCH(1,(ATTENDANCE_LOG!C:C=A184)*(ATTENDANCE_LOG!F:F=MAXIFS(ATTENDANCE_LOG!F:F,ATTENDANCE_LOG!C:C,A184)),0)),"")</f>
        <v>Communication 1</v>
      </c>
      <c r="S184" s="113">
        <f>IFERROR(VLOOKUP(H184, LEVEL_HELPER!A:B, 2, 0), 0)</f>
        <v>1</v>
      </c>
      <c r="T184" s="113">
        <f>IFERROR(VLOOKUP(I184, LEVEL_HELPER!A:B, 2, 0), 0)</f>
        <v>1</v>
      </c>
      <c r="U184" s="113">
        <f t="shared" ref="U184:V184" si="188">IF(S184="",0,IF(S184&lt;=2,1,IF(S184&lt;=4,2,IF(S184&lt;=5.5,3,4))))
</f>
        <v>1</v>
      </c>
      <c r="V184" s="113">
        <f t="shared" si="188"/>
        <v>1</v>
      </c>
      <c r="W184" s="113" t="str">
        <f t="shared" si="6"/>
        <v>No Progress</v>
      </c>
      <c r="X184" s="113"/>
      <c r="Y184" s="113"/>
      <c r="Z184" s="113"/>
      <c r="AA184" s="113"/>
      <c r="AB184" s="116"/>
      <c r="AC184" s="116"/>
      <c r="AD184" s="117"/>
    </row>
    <row r="185" ht="15.75" customHeight="1">
      <c r="A185" s="104" t="s">
        <v>571</v>
      </c>
      <c r="B185" s="105" t="s">
        <v>572</v>
      </c>
      <c r="C185" s="106" t="str">
        <f>IFERROR(__xludf.DUMMYFUNCTION("arrayformula(VLOOKUP(to_Text(A185),to_Text(sheet2!$A$1:M1005),13,0))"),"LBU")</f>
        <v>LBU</v>
      </c>
      <c r="D185" s="107" t="str">
        <f>IFERROR(__xludf.DUMMYFUNCTION("arrayformula(VLOOKUP(to_Text(A185),to_Text(sheet2!$A$1:M1005),12,0))"),"GSD")</f>
        <v>GSD</v>
      </c>
      <c r="E185" s="108" t="str">
        <f t="shared" si="2"/>
        <v>Inactive</v>
      </c>
      <c r="F185" s="104" t="str">
        <f t="array" ref="F185">IFERROR(
  INDEX(ATTENDANCE_INPUT!D:D,
    MATCH(1,
      (ATTENDANCE_INPUT!A:A=A185) *
      (ATTENDANCE_INPUT!W:W=MAXIFS(ATTENDANCE_INPUT!W:W, ATTENDANCE_INPUT!A:A, A185)),
      0)),
  "")</f>
        <v>Quyen Nguyen</v>
      </c>
      <c r="G185" s="109" t="str">
        <f t="array" ref="G185">IFERROR(
  INDEX(ATTENDANCE_INPUT!E:E,
    MATCH(1,
      (ATTENDANCE_INPUT!A:A=A185) *
      (ATTENDANCE_INPUT!W:W=MAXIFS(ATTENDANCE_INPUT!W:W, ATTENDANCE_INPUT!A:A, A185)),
      0)),
  "")</f>
        <v>Communication 1</v>
      </c>
      <c r="H185" s="110" t="str">
        <f t="array" ref="H185">IF(ISNA(MATCH(A185,sheet2!A:A,0)),"⏳ Chưa test",IFERROR(INDEX(LEVEL_HELPER!A:A,MATCH(INDEX(sheet2!N:N,MATCH(A185,sheet2!A:A,0)),LEVEL_HELPER!B:B,0)),"⏳ Chưa test"))</f>
        <v>Pre-Intermediate 1</v>
      </c>
      <c r="I185" s="110" t="str">
        <f t="array" ref="I185">IF(ISNA(MATCH(A185,sheet2!A:A,0)),H185,IF(INDEX(sheet2!O:O,MATCH(A185,sheet2!A:A,0))&gt;0,IFERROR(INDEX(LEVEL_HELPER!A:A,MATCH(INDEX(sheet2!O:O,MATCH(A185,sheet2!A:A,0)),LEVEL_HELPER!B:B,0)),H185),H185))</f>
        <v>Pre-Intermediate 1</v>
      </c>
      <c r="J185" s="110">
        <f>IFERROR(MAXIFS(ATTENDANCE_LOG!F:F, ATTENDANCE_LOG!C:C, A185&amp;"", ATTENDANCE_LOG!G:G, "Present"), "")</f>
        <v>46094.54167</v>
      </c>
      <c r="K185" s="111">
        <f t="shared" si="3"/>
        <v>118.4583333</v>
      </c>
      <c r="L185" s="112" t="str">
        <f t="shared" si="4"/>
        <v>❌ Dropped</v>
      </c>
      <c r="M185" s="113" t="s">
        <v>37</v>
      </c>
      <c r="N185" s="114" t="s">
        <v>34</v>
      </c>
      <c r="O185" s="113"/>
      <c r="P185" s="115">
        <f>IFERROR(__xludf.DUMMYFUNCTION("IFERROR(COUNTUNIQUEIFS(ATTENDANCE_LOG!B:B,ATTENDANCE_LOG!C:C,A185),0)"),1.0)</f>
        <v>1</v>
      </c>
      <c r="Q185" s="113" t="str">
        <f t="array" ref="Q185">IFERROR(INDEX(ATTENDANCE_LOG!A:A,MATCH(1,(ATTENDANCE_LOG!C:C=A185)*(ATTENDANCE_LOG!F:F=MAXIFS(ATTENDANCE_LOG!F:F,ATTENDANCE_LOG!C:C,A185)),0)),"")</f>
        <v>EL044</v>
      </c>
      <c r="R185" s="113" t="str">
        <f t="array" ref="R185">IFERROR(INDEX(ATTENDANCE_LOG!B:B,MATCH(1,(ATTENDANCE_LOG!C:C=A185)*(ATTENDANCE_LOG!F:F=MAXIFS(ATTENDANCE_LOG!F:F,ATTENDANCE_LOG!C:C,A185)),0)),"")</f>
        <v>Communication 1</v>
      </c>
      <c r="S185" s="113">
        <f>IFERROR(VLOOKUP(H185, LEVEL_HELPER!A:B, 2, 0), 0)</f>
        <v>3</v>
      </c>
      <c r="T185" s="113">
        <f>IFERROR(VLOOKUP(I185, LEVEL_HELPER!A:B, 2, 0), 0)</f>
        <v>3</v>
      </c>
      <c r="U185" s="113">
        <f t="shared" ref="U185:V185" si="189">IF(S185="",0,IF(S185&lt;=2,1,IF(S185&lt;=4,2,IF(S185&lt;=5.5,3,4))))
</f>
        <v>2</v>
      </c>
      <c r="V185" s="113">
        <f t="shared" si="189"/>
        <v>2</v>
      </c>
      <c r="W185" s="113" t="str">
        <f t="shared" si="6"/>
        <v>No Progress</v>
      </c>
      <c r="X185" s="113"/>
      <c r="Y185" s="113"/>
      <c r="Z185" s="113"/>
      <c r="AA185" s="113"/>
      <c r="AB185" s="116"/>
      <c r="AC185" s="116"/>
      <c r="AD185" s="117"/>
    </row>
    <row r="186" ht="15.75" customHeight="1">
      <c r="A186" s="104" t="s">
        <v>573</v>
      </c>
      <c r="B186" s="105" t="s">
        <v>574</v>
      </c>
      <c r="C186" s="106" t="str">
        <f>IFERROR(__xludf.DUMMYFUNCTION("arrayformula(VLOOKUP(to_Text(A186),to_Text(sheet2!$A$1:M1005),13,0))"),"LBU")</f>
        <v>LBU</v>
      </c>
      <c r="D186" s="107" t="str">
        <f>IFERROR(__xludf.DUMMYFUNCTION("arrayformula(VLOOKUP(to_Text(A186),to_Text(sheet2!$A$1:M1005),12,0))"),"GSD")</f>
        <v>GSD</v>
      </c>
      <c r="E186" s="108" t="str">
        <f t="shared" si="2"/>
        <v>Inactive</v>
      </c>
      <c r="F186" s="104" t="str">
        <f t="array" ref="F186">IFERROR(
  INDEX(ATTENDANCE_INPUT!D:D,
    MATCH(1,
      (ATTENDANCE_INPUT!A:A=A186) *
      (ATTENDANCE_INPUT!W:W=MAXIFS(ATTENDANCE_INPUT!W:W, ATTENDANCE_INPUT!A:A, A186)),
      0)),
  "")</f>
        <v>Quyen Nguyen</v>
      </c>
      <c r="G186" s="109" t="str">
        <f t="array" ref="G186">IFERROR(
  INDEX(ATTENDANCE_INPUT!E:E,
    MATCH(1,
      (ATTENDANCE_INPUT!A:A=A186) *
      (ATTENDANCE_INPUT!W:W=MAXIFS(ATTENDANCE_INPUT!W:W, ATTENDANCE_INPUT!A:A, A186)),
      0)),
  "")</f>
        <v>Communication 1</v>
      </c>
      <c r="H186" s="110" t="str">
        <f t="array" ref="H186">IF(ISNA(MATCH(A186,sheet2!A:A,0)),"⏳ Chưa test",IFERROR(INDEX(LEVEL_HELPER!A:A,MATCH(INDEX(sheet2!N:N,MATCH(A186,sheet2!A:A,0)),LEVEL_HELPER!B:B,0)),"⏳ Chưa test"))</f>
        <v>Beginner</v>
      </c>
      <c r="I186" s="110" t="str">
        <f t="array" ref="I186">IF(ISNA(MATCH(A186,sheet2!A:A,0)),H186,IF(INDEX(sheet2!O:O,MATCH(A186,sheet2!A:A,0))&gt;0,IFERROR(INDEX(LEVEL_HELPER!A:A,MATCH(INDEX(sheet2!O:O,MATCH(A186,sheet2!A:A,0)),LEVEL_HELPER!B:B,0)),H186),H186))</f>
        <v>Beginner</v>
      </c>
      <c r="J186" s="110">
        <f>IFERROR(MAXIFS(ATTENDANCE_LOG!F:F, ATTENDANCE_LOG!C:C, A186&amp;"", ATTENDANCE_LOG!G:G, "Present"), "")</f>
        <v>46094.54167</v>
      </c>
      <c r="K186" s="111">
        <f t="shared" si="3"/>
        <v>118.4583333</v>
      </c>
      <c r="L186" s="112" t="str">
        <f t="shared" si="4"/>
        <v>❌ Dropped</v>
      </c>
      <c r="M186" s="113" t="s">
        <v>37</v>
      </c>
      <c r="N186" s="114" t="s">
        <v>34</v>
      </c>
      <c r="O186" s="113"/>
      <c r="P186" s="115">
        <f>IFERROR(__xludf.DUMMYFUNCTION("IFERROR(COUNTUNIQUEIFS(ATTENDANCE_LOG!B:B,ATTENDANCE_LOG!C:C,A186),0)"),1.0)</f>
        <v>1</v>
      </c>
      <c r="Q186" s="113" t="str">
        <f t="array" ref="Q186">IFERROR(INDEX(ATTENDANCE_LOG!A:A,MATCH(1,(ATTENDANCE_LOG!C:C=A186)*(ATTENDANCE_LOG!F:F=MAXIFS(ATTENDANCE_LOG!F:F,ATTENDANCE_LOG!C:C,A186)),0)),"")</f>
        <v>EL044</v>
      </c>
      <c r="R186" s="113" t="str">
        <f t="array" ref="R186">IFERROR(INDEX(ATTENDANCE_LOG!B:B,MATCH(1,(ATTENDANCE_LOG!C:C=A186)*(ATTENDANCE_LOG!F:F=MAXIFS(ATTENDANCE_LOG!F:F,ATTENDANCE_LOG!C:C,A186)),0)),"")</f>
        <v>Communication 1</v>
      </c>
      <c r="S186" s="113">
        <f>IFERROR(VLOOKUP(H186, LEVEL_HELPER!A:B, 2, 0), 0)</f>
        <v>1</v>
      </c>
      <c r="T186" s="113">
        <f>IFERROR(VLOOKUP(I186, LEVEL_HELPER!A:B, 2, 0), 0)</f>
        <v>1</v>
      </c>
      <c r="U186" s="113">
        <f t="shared" ref="U186:V186" si="190">IF(S186="",0,IF(S186&lt;=2,1,IF(S186&lt;=4,2,IF(S186&lt;=5.5,3,4))))
</f>
        <v>1</v>
      </c>
      <c r="V186" s="113">
        <f t="shared" si="190"/>
        <v>1</v>
      </c>
      <c r="W186" s="113" t="str">
        <f t="shared" si="6"/>
        <v>No Progress</v>
      </c>
      <c r="X186" s="113"/>
      <c r="Y186" s="113"/>
      <c r="Z186" s="113"/>
      <c r="AA186" s="113"/>
      <c r="AB186" s="116"/>
      <c r="AC186" s="116"/>
      <c r="AD186" s="117"/>
    </row>
    <row r="187" ht="15.75" customHeight="1">
      <c r="A187" s="104" t="s">
        <v>575</v>
      </c>
      <c r="B187" s="105" t="s">
        <v>576</v>
      </c>
      <c r="C187" s="106" t="str">
        <f>IFERROR(__xludf.DUMMYFUNCTION("arrayformula(VLOOKUP(to_Text(A187),to_Text(sheet2!$A$1:M1005),13,0))"),"LBU")</f>
        <v>LBU</v>
      </c>
      <c r="D187" s="107" t="str">
        <f>IFERROR(__xludf.DUMMYFUNCTION("arrayformula(VLOOKUP(to_Text(A187),to_Text(sheet2!$A$1:M1005),12,0))"),"BC")</f>
        <v>BC</v>
      </c>
      <c r="E187" s="108" t="str">
        <f t="shared" si="2"/>
        <v>Inactive</v>
      </c>
      <c r="F187" s="104" t="str">
        <f t="array" ref="F187">IFERROR(
  INDEX(ATTENDANCE_INPUT!D:D,
    MATCH(1,
      (ATTENDANCE_INPUT!A:A=A187) *
      (ATTENDANCE_INPUT!W:W=MAXIFS(ATTENDANCE_INPUT!W:W, ATTENDANCE_INPUT!A:A, A187)),
      0)),
  "")</f>
        <v>Quyen Nguyen</v>
      </c>
      <c r="G187" s="109" t="str">
        <f t="array" ref="G187">IFERROR(
  INDEX(ATTENDANCE_INPUT!E:E,
    MATCH(1,
      (ATTENDANCE_INPUT!A:A=A187) *
      (ATTENDANCE_INPUT!W:W=MAXIFS(ATTENDANCE_INPUT!W:W, ATTENDANCE_INPUT!A:A, A187)),
      0)),
  "")</f>
        <v>Communication 1</v>
      </c>
      <c r="H187" s="110" t="str">
        <f t="array" ref="H187">IF(ISNA(MATCH(A187,sheet2!A:A,0)),"⏳ Chưa test",IFERROR(INDEX(LEVEL_HELPER!A:A,MATCH(INDEX(sheet2!N:N,MATCH(A187,sheet2!A:A,0)),LEVEL_HELPER!B:B,0)),"⏳ Chưa test"))</f>
        <v>Beginner</v>
      </c>
      <c r="I187" s="110" t="str">
        <f t="array" ref="I187">IF(ISNA(MATCH(A187,sheet2!A:A,0)),H187,IF(INDEX(sheet2!O:O,MATCH(A187,sheet2!A:A,0))&gt;0,IFERROR(INDEX(LEVEL_HELPER!A:A,MATCH(INDEX(sheet2!O:O,MATCH(A187,sheet2!A:A,0)),LEVEL_HELPER!B:B,0)),H187),H187))</f>
        <v>Beginner</v>
      </c>
      <c r="J187" s="110">
        <f>IFERROR(MAXIFS(ATTENDANCE_LOG!F:F, ATTENDANCE_LOG!C:C, A187&amp;"", ATTENDANCE_LOG!G:G, "Present"), "")</f>
        <v>46006.54167</v>
      </c>
      <c r="K187" s="111">
        <f t="shared" si="3"/>
        <v>206.4583333</v>
      </c>
      <c r="L187" s="112" t="str">
        <f t="shared" si="4"/>
        <v>❌ Dropped</v>
      </c>
      <c r="M187" s="120" t="s">
        <v>37</v>
      </c>
      <c r="N187" s="114" t="s">
        <v>34</v>
      </c>
      <c r="O187" s="113"/>
      <c r="P187" s="115">
        <f>IFERROR(__xludf.DUMMYFUNCTION("IFERROR(COUNTUNIQUEIFS(ATTENDANCE_LOG!B:B,ATTENDANCE_LOG!C:C,A187),0)"),1.0)</f>
        <v>1</v>
      </c>
      <c r="Q187" s="113" t="str">
        <f t="array" ref="Q187">IFERROR(INDEX(ATTENDANCE_LOG!A:A,MATCH(1,(ATTENDANCE_LOG!C:C=A187)*(ATTENDANCE_LOG!F:F=MAXIFS(ATTENDANCE_LOG!F:F,ATTENDANCE_LOG!C:C,A187)),0)),"")</f>
        <v>EL044</v>
      </c>
      <c r="R187" s="113" t="str">
        <f t="array" ref="R187">IFERROR(INDEX(ATTENDANCE_LOG!B:B,MATCH(1,(ATTENDANCE_LOG!C:C=A187)*(ATTENDANCE_LOG!F:F=MAXIFS(ATTENDANCE_LOG!F:F,ATTENDANCE_LOG!C:C,A187)),0)),"")</f>
        <v>Communication 1</v>
      </c>
      <c r="S187" s="113">
        <f>IFERROR(VLOOKUP(H187, LEVEL_HELPER!A:B, 2, 0), 0)</f>
        <v>1</v>
      </c>
      <c r="T187" s="113">
        <f>IFERROR(VLOOKUP(I187, LEVEL_HELPER!A:B, 2, 0), 0)</f>
        <v>1</v>
      </c>
      <c r="U187" s="113">
        <f t="shared" ref="U187:V187" si="191">IF(S187="",0,IF(S187&lt;=2,1,IF(S187&lt;=4,2,IF(S187&lt;=5.5,3,4))))
</f>
        <v>1</v>
      </c>
      <c r="V187" s="113">
        <f t="shared" si="191"/>
        <v>1</v>
      </c>
      <c r="W187" s="113" t="str">
        <f t="shared" si="6"/>
        <v>No Progress</v>
      </c>
      <c r="X187" s="113"/>
      <c r="Y187" s="113"/>
      <c r="Z187" s="113"/>
      <c r="AA187" s="113"/>
      <c r="AB187" s="116"/>
      <c r="AC187" s="116"/>
      <c r="AD187" s="117"/>
    </row>
    <row r="188" ht="15.75" customHeight="1">
      <c r="A188" s="104" t="s">
        <v>577</v>
      </c>
      <c r="B188" s="105" t="s">
        <v>578</v>
      </c>
      <c r="C188" s="106" t="str">
        <f>IFERROR(__xludf.DUMMYFUNCTION("arrayformula(VLOOKUP(to_Text(A188),to_Text(sheet2!$A$1:M1005),13,0))"),"TBU")</f>
        <v>TBU</v>
      </c>
      <c r="D188" s="107" t="str">
        <f>IFERROR(__xludf.DUMMYFUNCTION("arrayformula(VLOOKUP(to_Text(A188),to_Text(sheet2!$A$1:M1005),12,0))"),"DEV")</f>
        <v>DEV</v>
      </c>
      <c r="E188" s="108" t="str">
        <f t="shared" si="2"/>
        <v>Inactive</v>
      </c>
      <c r="F188" s="104" t="str">
        <f t="array" ref="F188">IFERROR(
  INDEX(ATTENDANCE_INPUT!D:D,
    MATCH(1,
      (ATTENDANCE_INPUT!A:A=A188) *
      (ATTENDANCE_INPUT!W:W=MAXIFS(ATTENDANCE_INPUT!W:W, ATTENDANCE_INPUT!A:A, A188)),
      0)),
  "")</f>
        <v>Tai Pham</v>
      </c>
      <c r="G188" s="109" t="str">
        <f t="array" ref="G188">IFERROR(
  INDEX(ATTENDANCE_INPUT!E:E,
    MATCH(1,
      (ATTENDANCE_INPUT!A:A=A188) *
      (ATTENDANCE_INPUT!W:W=MAXIFS(ATTENDANCE_INPUT!W:W, ATTENDANCE_INPUT!A:A, A188)),
      0)),
  "")</f>
        <v>Communication 2</v>
      </c>
      <c r="H188" s="110" t="str">
        <f t="array" ref="H188">IF(ISNA(MATCH(A188,sheet2!A:A,0)),"⏳ Chưa test",IFERROR(INDEX(LEVEL_HELPER!A:A,MATCH(INDEX(sheet2!N:N,MATCH(A188,sheet2!A:A,0)),LEVEL_HELPER!B:B,0)),"⏳ Chưa test"))</f>
        <v>Beginner</v>
      </c>
      <c r="I188" s="110" t="str">
        <f t="array" ref="I188">IF(ISNA(MATCH(A188,sheet2!A:A,0)),H188,IF(INDEX(sheet2!O:O,MATCH(A188,sheet2!A:A,0))&gt;0,IFERROR(INDEX(LEVEL_HELPER!A:A,MATCH(INDEX(sheet2!O:O,MATCH(A188,sheet2!A:A,0)),LEVEL_HELPER!B:B,0)),H188),H188))</f>
        <v>Beginner</v>
      </c>
      <c r="J188" s="110">
        <f>IFERROR(MAXIFS(ATTENDANCE_LOG!F:F, ATTENDANCE_LOG!C:C, A188&amp;"", ATTENDANCE_LOG!G:G, "Present"), "")</f>
        <v>45994.41667</v>
      </c>
      <c r="K188" s="111">
        <f t="shared" si="3"/>
        <v>218.5833333</v>
      </c>
      <c r="L188" s="112" t="str">
        <f t="shared" si="4"/>
        <v>✅ Completed</v>
      </c>
      <c r="M188" s="113" t="s">
        <v>35</v>
      </c>
      <c r="N188" s="114" t="s">
        <v>34</v>
      </c>
      <c r="O188" s="113"/>
      <c r="P188" s="115">
        <f>IFERROR(__xludf.DUMMYFUNCTION("IFERROR(COUNTUNIQUEIFS(ATTENDANCE_LOG!B:B,ATTENDANCE_LOG!C:C,A188),0)"),2.0)</f>
        <v>2</v>
      </c>
      <c r="Q188" s="113" t="str">
        <f t="array" ref="Q188">IFERROR(INDEX(ATTENDANCE_LOG!A:A,MATCH(1,(ATTENDANCE_LOG!C:C=A188)*(ATTENDANCE_LOG!F:F=MAXIFS(ATTENDANCE_LOG!F:F,ATTENDANCE_LOG!C:C,A188)),0)),"")</f>
        <v>EL032</v>
      </c>
      <c r="R188" s="113" t="str">
        <f t="array" ref="R188">IFERROR(INDEX(ATTENDANCE_LOG!B:B,MATCH(1,(ATTENDANCE_LOG!C:C=A188)*(ATTENDANCE_LOG!F:F=MAXIFS(ATTENDANCE_LOG!F:F,ATTENDANCE_LOG!C:C,A188)),0)),"")</f>
        <v>Communication 2</v>
      </c>
      <c r="S188" s="113">
        <f>IFERROR(VLOOKUP(H188, LEVEL_HELPER!A:B, 2, 0), 0)</f>
        <v>1</v>
      </c>
      <c r="T188" s="113">
        <f>IFERROR(VLOOKUP(I188, LEVEL_HELPER!A:B, 2, 0), 0)</f>
        <v>1</v>
      </c>
      <c r="U188" s="113">
        <f t="shared" ref="U188:V188" si="192">IF(S188="",0,IF(S188&lt;=2,1,IF(S188&lt;=4,2,IF(S188&lt;=5.5,3,4))))
</f>
        <v>1</v>
      </c>
      <c r="V188" s="113">
        <f t="shared" si="192"/>
        <v>1</v>
      </c>
      <c r="W188" s="113" t="str">
        <f t="shared" si="6"/>
        <v>No Progress</v>
      </c>
      <c r="X188" s="113"/>
      <c r="Y188" s="113"/>
      <c r="Z188" s="113"/>
      <c r="AA188" s="113"/>
      <c r="AB188" s="116"/>
      <c r="AC188" s="116"/>
      <c r="AD188" s="117"/>
    </row>
    <row r="189" ht="15.75" customHeight="1">
      <c r="A189" s="104" t="s">
        <v>579</v>
      </c>
      <c r="B189" s="105" t="s">
        <v>580</v>
      </c>
      <c r="C189" s="106" t="str">
        <f>IFERROR(__xludf.DUMMYFUNCTION("arrayformula(VLOOKUP(to_Text(A189),to_Text(sheet2!$A$1:M1005),13,0))"),"MOC")</f>
        <v>MOC</v>
      </c>
      <c r="D189" s="107" t="str">
        <f>IFERROR(__xludf.DUMMYFUNCTION("arrayformula(VLOOKUP(to_Text(A189),to_Text(sheet2!$A$1:M1005),12,0))"),"DEV")</f>
        <v>DEV</v>
      </c>
      <c r="E189" s="108" t="str">
        <f t="shared" si="2"/>
        <v>Inactive</v>
      </c>
      <c r="F189" s="104" t="str">
        <f t="array" ref="F189">IFERROR(
  INDEX(ATTENDANCE_INPUT!D:D,
    MATCH(1,
      (ATTENDANCE_INPUT!A:A=A189) *
      (ATTENDANCE_INPUT!W:W=MAXIFS(ATTENDANCE_INPUT!W:W, ATTENDANCE_INPUT!A:A, A189)),
      0)),
  "")</f>
        <v>Quan Nguyen</v>
      </c>
      <c r="G189" s="109" t="str">
        <f t="array" ref="G189">IFERROR(
  INDEX(ATTENDANCE_INPUT!E:E,
    MATCH(1,
      (ATTENDANCE_INPUT!A:A=A189) *
      (ATTENDANCE_INPUT!W:W=MAXIFS(ATTENDANCE_INPUT!W:W, ATTENDANCE_INPUT!A:A, A189)),
      0)),
  "")</f>
        <v>Communication 2</v>
      </c>
      <c r="H189" s="110" t="str">
        <f t="array" ref="H189">IF(ISNA(MATCH(A189,sheet2!A:A,0)),"⏳ Chưa test",IFERROR(INDEX(LEVEL_HELPER!A:A,MATCH(INDEX(sheet2!N:N,MATCH(A189,sheet2!A:A,0)),LEVEL_HELPER!B:B,0)),"⏳ Chưa test"))</f>
        <v>Beginner</v>
      </c>
      <c r="I189" s="110" t="str">
        <f t="array" ref="I189">IF(ISNA(MATCH(A189,sheet2!A:A,0)),H189,IF(INDEX(sheet2!O:O,MATCH(A189,sheet2!A:A,0))&gt;0,IFERROR(INDEX(LEVEL_HELPER!A:A,MATCH(INDEX(sheet2!O:O,MATCH(A189,sheet2!A:A,0)),LEVEL_HELPER!B:B,0)),H189),H189))</f>
        <v>Pre-Intermediate 1</v>
      </c>
      <c r="J189" s="110">
        <f>IFERROR(MAXIFS(ATTENDANCE_LOG!F:F, ATTENDANCE_LOG!C:C, A189&amp;"", ATTENDANCE_LOG!G:G, "Present"), "")</f>
        <v>46210.625</v>
      </c>
      <c r="K189" s="111">
        <f t="shared" si="3"/>
        <v>2.375</v>
      </c>
      <c r="L189" s="112" t="str">
        <f t="shared" si="4"/>
        <v>✅ Completed</v>
      </c>
      <c r="M189" s="113" t="s">
        <v>35</v>
      </c>
      <c r="N189" s="114" t="s">
        <v>34</v>
      </c>
      <c r="O189" s="113"/>
      <c r="P189" s="115">
        <f>IFERROR(__xludf.DUMMYFUNCTION("IFERROR(COUNTUNIQUEIFS(ATTENDANCE_LOG!B:B,ATTENDANCE_LOG!C:C,A189),0)"),2.0)</f>
        <v>2</v>
      </c>
      <c r="Q189" s="113" t="str">
        <f t="array" ref="Q189">IFERROR(INDEX(ATTENDANCE_LOG!A:A,MATCH(1,(ATTENDANCE_LOG!C:C=A189)*(ATTENDANCE_LOG!F:F=MAXIFS(ATTENDANCE_LOG!F:F,ATTENDANCE_LOG!C:C,A189)),0)),"")</f>
        <v>EL037</v>
      </c>
      <c r="R189" s="113" t="str">
        <f t="array" ref="R189">IFERROR(INDEX(ATTENDANCE_LOG!B:B,MATCH(1,(ATTENDANCE_LOG!C:C=A189)*(ATTENDANCE_LOG!F:F=MAXIFS(ATTENDANCE_LOG!F:F,ATTENDANCE_LOG!C:C,A189)),0)),"")</f>
        <v>Communication 2</v>
      </c>
      <c r="S189" s="113">
        <f>IFERROR(VLOOKUP(H189, LEVEL_HELPER!A:B, 2, 0), 0)</f>
        <v>1</v>
      </c>
      <c r="T189" s="113">
        <f>IFERROR(VLOOKUP(I189, LEVEL_HELPER!A:B, 2, 0), 0)</f>
        <v>3</v>
      </c>
      <c r="U189" s="113">
        <f t="shared" ref="U189:V189" si="193">IF(S189="",0,IF(S189&lt;=2,1,IF(S189&lt;=4,2,IF(S189&lt;=5.5,3,4))))
</f>
        <v>1</v>
      </c>
      <c r="V189" s="113">
        <f t="shared" si="193"/>
        <v>2</v>
      </c>
      <c r="W189" s="113" t="str">
        <f t="shared" si="6"/>
        <v>Lv1→Lv2</v>
      </c>
      <c r="X189" s="113"/>
      <c r="Y189" s="113"/>
      <c r="Z189" s="113"/>
      <c r="AA189" s="113"/>
      <c r="AB189" s="116"/>
      <c r="AC189" s="116"/>
      <c r="AD189" s="117"/>
    </row>
    <row r="190" ht="15.75" customHeight="1">
      <c r="A190" s="104" t="s">
        <v>581</v>
      </c>
      <c r="B190" s="105" t="s">
        <v>582</v>
      </c>
      <c r="C190" s="106" t="str">
        <f>IFERROR(__xludf.DUMMYFUNCTION("arrayformula(VLOOKUP(to_Text(A190),to_Text(sheet2!$A$1:M1005),13,0))"),"MOC")</f>
        <v>MOC</v>
      </c>
      <c r="D190" s="107" t="str">
        <f>IFERROR(__xludf.DUMMYFUNCTION("arrayformula(VLOOKUP(to_Text(A190),to_Text(sheet2!$A$1:M1005),12,0))"),"DEV")</f>
        <v>DEV</v>
      </c>
      <c r="E190" s="108" t="str">
        <f t="shared" si="2"/>
        <v>Inactive</v>
      </c>
      <c r="F190" s="104" t="str">
        <f t="array" ref="F190">IFERROR(
  INDEX(ATTENDANCE_INPUT!D:D,
    MATCH(1,
      (ATTENDANCE_INPUT!A:A=A190) *
      (ATTENDANCE_INPUT!W:W=MAXIFS(ATTENDANCE_INPUT!W:W, ATTENDANCE_INPUT!A:A, A190)),
      0)),
  "")</f>
        <v>Tai Pham</v>
      </c>
      <c r="G190" s="109" t="str">
        <f t="array" ref="G190">IFERROR(
  INDEX(ATTENDANCE_INPUT!E:E,
    MATCH(1,
      (ATTENDANCE_INPUT!A:A=A190) *
      (ATTENDANCE_INPUT!W:W=MAXIFS(ATTENDANCE_INPUT!W:W, ATTENDANCE_INPUT!A:A, A190)),
      0)),
  "")</f>
        <v>Communication 2</v>
      </c>
      <c r="H190" s="110" t="str">
        <f t="array" ref="H190">IF(ISNA(MATCH(A190,sheet2!A:A,0)),"⏳ Chưa test",IFERROR(INDEX(LEVEL_HELPER!A:A,MATCH(INDEX(sheet2!N:N,MATCH(A190,sheet2!A:A,0)),LEVEL_HELPER!B:B,0)),"⏳ Chưa test"))</f>
        <v>Beginner</v>
      </c>
      <c r="I190" s="110" t="str">
        <f t="array" ref="I190">IF(ISNA(MATCH(A190,sheet2!A:A,0)),H190,IF(INDEX(sheet2!O:O,MATCH(A190,sheet2!A:A,0))&gt;0,IFERROR(INDEX(LEVEL_HELPER!A:A,MATCH(INDEX(sheet2!O:O,MATCH(A190,sheet2!A:A,0)),LEVEL_HELPER!B:B,0)),H190),H190))</f>
        <v>Intermediate 1</v>
      </c>
      <c r="J190" s="110">
        <f>IFERROR(MAXIFS(ATTENDANCE_LOG!F:F, ATTENDANCE_LOG!C:C, A190&amp;"", ATTENDANCE_LOG!G:G, "Present"), "")</f>
        <v>46035.41667</v>
      </c>
      <c r="K190" s="111">
        <f t="shared" si="3"/>
        <v>177.5833333</v>
      </c>
      <c r="L190" s="112" t="str">
        <f t="shared" si="4"/>
        <v>✅ Completed</v>
      </c>
      <c r="M190" s="113" t="s">
        <v>35</v>
      </c>
      <c r="N190" s="114" t="s">
        <v>38</v>
      </c>
      <c r="O190" s="113"/>
      <c r="P190" s="115">
        <f>IFERROR(__xludf.DUMMYFUNCTION("IFERROR(COUNTUNIQUEIFS(ATTENDANCE_LOG!B:B,ATTENDANCE_LOG!C:C,A190),0)"),2.0)</f>
        <v>2</v>
      </c>
      <c r="Q190" s="113" t="str">
        <f t="array" ref="Q190">IFERROR(INDEX(ATTENDANCE_LOG!A:A,MATCH(1,(ATTENDANCE_LOG!C:C=A190)*(ATTENDANCE_LOG!F:F=MAXIFS(ATTENDANCE_LOG!F:F,ATTENDANCE_LOG!C:C,A190)),0)),"")</f>
        <v>EL032</v>
      </c>
      <c r="R190" s="113" t="str">
        <f t="array" ref="R190">IFERROR(INDEX(ATTENDANCE_LOG!B:B,MATCH(1,(ATTENDANCE_LOG!C:C=A190)*(ATTENDANCE_LOG!F:F=MAXIFS(ATTENDANCE_LOG!F:F,ATTENDANCE_LOG!C:C,A190)),0)),"")</f>
        <v>Communication 2</v>
      </c>
      <c r="S190" s="113">
        <f>IFERROR(VLOOKUP(H190, LEVEL_HELPER!A:B, 2, 0), 0)</f>
        <v>1</v>
      </c>
      <c r="T190" s="113">
        <f>IFERROR(VLOOKUP(I190, LEVEL_HELPER!A:B, 2, 0), 0)</f>
        <v>5</v>
      </c>
      <c r="U190" s="113">
        <f t="shared" ref="U190:V190" si="194">IF(S190="",0,IF(S190&lt;=2,1,IF(S190&lt;=4,2,IF(S190&lt;=5.5,3,4))))
</f>
        <v>1</v>
      </c>
      <c r="V190" s="113">
        <f t="shared" si="194"/>
        <v>3</v>
      </c>
      <c r="W190" s="113" t="str">
        <f t="shared" si="6"/>
        <v>Lv1→Lv3 (multi)</v>
      </c>
      <c r="X190" s="113"/>
      <c r="Y190" s="113"/>
      <c r="Z190" s="113"/>
      <c r="AA190" s="113"/>
      <c r="AB190" s="116"/>
      <c r="AC190" s="116"/>
      <c r="AD190" s="117"/>
    </row>
    <row r="191" ht="15.75" customHeight="1">
      <c r="A191" s="104" t="s">
        <v>583</v>
      </c>
      <c r="B191" s="105" t="s">
        <v>584</v>
      </c>
      <c r="C191" s="106" t="str">
        <f>IFERROR(__xludf.DUMMYFUNCTION("arrayformula(VLOOKUP(to_Text(A191),to_Text(sheet2!$A$1:M1005),13,0))"),"MOC")</f>
        <v>MOC</v>
      </c>
      <c r="D191" s="107" t="str">
        <f>IFERROR(__xludf.DUMMYFUNCTION("arrayformula(VLOOKUP(to_Text(A191),to_Text(sheet2!$A$1:M1005),12,0))"),"DEV")</f>
        <v>DEV</v>
      </c>
      <c r="E191" s="108" t="str">
        <f t="shared" si="2"/>
        <v>Inactive</v>
      </c>
      <c r="F191" s="104" t="str">
        <f t="array" ref="F191">IFERROR(
  INDEX(ATTENDANCE_INPUT!D:D,
    MATCH(1,
      (ATTENDANCE_INPUT!A:A=A191) *
      (ATTENDANCE_INPUT!W:W=MAXIFS(ATTENDANCE_INPUT!W:W, ATTENDANCE_INPUT!A:A, A191)),
      0)),
  "")</f>
        <v>Tai Pham</v>
      </c>
      <c r="G191" s="109" t="str">
        <f t="array" ref="G191">IFERROR(
  INDEX(ATTENDANCE_INPUT!E:E,
    MATCH(1,
      (ATTENDANCE_INPUT!A:A=A191) *
      (ATTENDANCE_INPUT!W:W=MAXIFS(ATTENDANCE_INPUT!W:W, ATTENDANCE_INPUT!A:A, A191)),
      0)),
  "")</f>
        <v>Communication 1</v>
      </c>
      <c r="H191" s="110" t="str">
        <f t="array" ref="H191">IF(ISNA(MATCH(A191,sheet2!A:A,0)),"⏳ Chưa test",IFERROR(INDEX(LEVEL_HELPER!A:A,MATCH(INDEX(sheet2!N:N,MATCH(A191,sheet2!A:A,0)),LEVEL_HELPER!B:B,0)),"⏳ Chưa test"))</f>
        <v>Beginner</v>
      </c>
      <c r="I191" s="110" t="str">
        <f t="array" ref="I191">IF(ISNA(MATCH(A191,sheet2!A:A,0)),H191,IF(INDEX(sheet2!O:O,MATCH(A191,sheet2!A:A,0))&gt;0,IFERROR(INDEX(LEVEL_HELPER!A:A,MATCH(INDEX(sheet2!O:O,MATCH(A191,sheet2!A:A,0)),LEVEL_HELPER!B:B,0)),H191),H191))</f>
        <v>Beginner</v>
      </c>
      <c r="J191" s="110">
        <f>IFERROR(MAXIFS(ATTENDANCE_LOG!F:F, ATTENDANCE_LOG!C:C, A191&amp;"", ATTENDANCE_LOG!G:G, "Present"), "")</f>
        <v>45853.54167</v>
      </c>
      <c r="K191" s="111">
        <f t="shared" si="3"/>
        <v>359.4583333</v>
      </c>
      <c r="L191" s="112" t="str">
        <f t="shared" si="4"/>
        <v>✅ Completed</v>
      </c>
      <c r="M191" s="120" t="s">
        <v>35</v>
      </c>
      <c r="N191" s="114" t="s">
        <v>36</v>
      </c>
      <c r="O191" s="113"/>
      <c r="P191" s="115">
        <f>IFERROR(__xludf.DUMMYFUNCTION("IFERROR(COUNTUNIQUEIFS(ATTENDANCE_LOG!B:B,ATTENDANCE_LOG!C:C,A191),0)"),1.0)</f>
        <v>1</v>
      </c>
      <c r="Q191" s="113" t="str">
        <f t="array" ref="Q191">IFERROR(INDEX(ATTENDANCE_LOG!A:A,MATCH(1,(ATTENDANCE_LOG!C:C=A191)*(ATTENDANCE_LOG!F:F=MAXIFS(ATTENDANCE_LOG!F:F,ATTENDANCE_LOG!C:C,A191)),0)),"")</f>
        <v>EL032</v>
      </c>
      <c r="R191" s="113" t="str">
        <f t="array" ref="R191">IFERROR(INDEX(ATTENDANCE_LOG!B:B,MATCH(1,(ATTENDANCE_LOG!C:C=A191)*(ATTENDANCE_LOG!F:F=MAXIFS(ATTENDANCE_LOG!F:F,ATTENDANCE_LOG!C:C,A191)),0)),"")</f>
        <v>Communication 1</v>
      </c>
      <c r="S191" s="113">
        <f>IFERROR(VLOOKUP(H191, LEVEL_HELPER!A:B, 2, 0), 0)</f>
        <v>1</v>
      </c>
      <c r="T191" s="113">
        <f>IFERROR(VLOOKUP(I191, LEVEL_HELPER!A:B, 2, 0), 0)</f>
        <v>1</v>
      </c>
      <c r="U191" s="113">
        <f t="shared" ref="U191:V191" si="195">IF(S191="",0,IF(S191&lt;=2,1,IF(S191&lt;=4,2,IF(S191&lt;=5.5,3,4))))
</f>
        <v>1</v>
      </c>
      <c r="V191" s="113">
        <f t="shared" si="195"/>
        <v>1</v>
      </c>
      <c r="W191" s="113" t="str">
        <f t="shared" si="6"/>
        <v>No Progress</v>
      </c>
      <c r="X191" s="113"/>
      <c r="Y191" s="113"/>
      <c r="Z191" s="113"/>
      <c r="AA191" s="113"/>
      <c r="AB191" s="116"/>
      <c r="AC191" s="116"/>
      <c r="AD191" s="117"/>
    </row>
    <row r="192" ht="15.75" customHeight="1">
      <c r="A192" s="104" t="s">
        <v>585</v>
      </c>
      <c r="B192" s="105" t="s">
        <v>586</v>
      </c>
      <c r="C192" s="106" t="str">
        <f>IFERROR(__xludf.DUMMYFUNCTION("arrayformula(VLOOKUP(to_Text(A192),to_Text(sheet2!$A$1:M1005),13,0))"),"MOC")</f>
        <v>MOC</v>
      </c>
      <c r="D192" s="107" t="str">
        <f>IFERROR(__xludf.DUMMYFUNCTION("arrayformula(VLOOKUP(to_Text(A192),to_Text(sheet2!$A$1:M1005),12,0))"),"DEV")</f>
        <v>DEV</v>
      </c>
      <c r="E192" s="108" t="str">
        <f t="shared" si="2"/>
        <v>Inactive</v>
      </c>
      <c r="F192" s="104" t="str">
        <f t="array" ref="F192">IFERROR(
  INDEX(ATTENDANCE_INPUT!D:D,
    MATCH(1,
      (ATTENDANCE_INPUT!A:A=A192) *
      (ATTENDANCE_INPUT!W:W=MAXIFS(ATTENDANCE_INPUT!W:W, ATTENDANCE_INPUT!A:A, A192)),
      0)),
  "")</f>
        <v>Tai Pham</v>
      </c>
      <c r="G192" s="109" t="str">
        <f t="array" ref="G192">IFERROR(
  INDEX(ATTENDANCE_INPUT!E:E,
    MATCH(1,
      (ATTENDANCE_INPUT!A:A=A192) *
      (ATTENDANCE_INPUT!W:W=MAXIFS(ATTENDANCE_INPUT!W:W, ATTENDANCE_INPUT!A:A, A192)),
      0)),
  "")</f>
        <v>Communication 2</v>
      </c>
      <c r="H192" s="110" t="str">
        <f t="array" ref="H192">IF(ISNA(MATCH(A192,sheet2!A:A,0)),"⏳ Chưa test",IFERROR(INDEX(LEVEL_HELPER!A:A,MATCH(INDEX(sheet2!N:N,MATCH(A192,sheet2!A:A,0)),LEVEL_HELPER!B:B,0)),"⏳ Chưa test"))</f>
        <v>Beginner</v>
      </c>
      <c r="I192" s="110" t="str">
        <f t="array" ref="I192">IF(ISNA(MATCH(A192,sheet2!A:A,0)),H192,IF(INDEX(sheet2!O:O,MATCH(A192,sheet2!A:A,0))&gt;0,IFERROR(INDEX(LEVEL_HELPER!A:A,MATCH(INDEX(sheet2!O:O,MATCH(A192,sheet2!A:A,0)),LEVEL_HELPER!B:B,0)),H192),H192))</f>
        <v>Pre-Intermediate 1</v>
      </c>
      <c r="J192" s="110">
        <f>IFERROR(MAXIFS(ATTENDANCE_LOG!F:F, ATTENDANCE_LOG!C:C, A192&amp;"", ATTENDANCE_LOG!G:G, "Present"), "")</f>
        <v>46035.41667</v>
      </c>
      <c r="K192" s="111">
        <f t="shared" si="3"/>
        <v>177.5833333</v>
      </c>
      <c r="L192" s="112" t="str">
        <f t="shared" si="4"/>
        <v>✅ Completed</v>
      </c>
      <c r="M192" s="113" t="s">
        <v>35</v>
      </c>
      <c r="N192" s="114" t="s">
        <v>34</v>
      </c>
      <c r="O192" s="113"/>
      <c r="P192" s="115">
        <f>IFERROR(__xludf.DUMMYFUNCTION("IFERROR(COUNTUNIQUEIFS(ATTENDANCE_LOG!B:B,ATTENDANCE_LOG!C:C,A192),0)"),2.0)</f>
        <v>2</v>
      </c>
      <c r="Q192" s="113" t="str">
        <f t="array" ref="Q192">IFERROR(INDEX(ATTENDANCE_LOG!A:A,MATCH(1,(ATTENDANCE_LOG!C:C=A192)*(ATTENDANCE_LOG!F:F=MAXIFS(ATTENDANCE_LOG!F:F,ATTENDANCE_LOG!C:C,A192)),0)),"")</f>
        <v>EL032</v>
      </c>
      <c r="R192" s="113" t="str">
        <f t="array" ref="R192">IFERROR(INDEX(ATTENDANCE_LOG!B:B,MATCH(1,(ATTENDANCE_LOG!C:C=A192)*(ATTENDANCE_LOG!F:F=MAXIFS(ATTENDANCE_LOG!F:F,ATTENDANCE_LOG!C:C,A192)),0)),"")</f>
        <v>Communication 2</v>
      </c>
      <c r="S192" s="113">
        <f>IFERROR(VLOOKUP(H192, LEVEL_HELPER!A:B, 2, 0), 0)</f>
        <v>1</v>
      </c>
      <c r="T192" s="113">
        <f>IFERROR(VLOOKUP(I192, LEVEL_HELPER!A:B, 2, 0), 0)</f>
        <v>3</v>
      </c>
      <c r="U192" s="113">
        <f t="shared" ref="U192:V192" si="196">IF(S192="",0,IF(S192&lt;=2,1,IF(S192&lt;=4,2,IF(S192&lt;=5.5,3,4))))
</f>
        <v>1</v>
      </c>
      <c r="V192" s="113">
        <f t="shared" si="196"/>
        <v>2</v>
      </c>
      <c r="W192" s="113" t="str">
        <f t="shared" si="6"/>
        <v>Lv1→Lv2</v>
      </c>
      <c r="X192" s="113"/>
      <c r="Y192" s="113"/>
      <c r="Z192" s="113"/>
      <c r="AA192" s="113"/>
      <c r="AB192" s="116"/>
      <c r="AC192" s="116"/>
      <c r="AD192" s="117"/>
    </row>
    <row r="193" ht="15.75" customHeight="1">
      <c r="A193" s="104" t="s">
        <v>587</v>
      </c>
      <c r="B193" s="105" t="s">
        <v>588</v>
      </c>
      <c r="C193" s="106" t="str">
        <f>IFERROR(__xludf.DUMMYFUNCTION("arrayformula(VLOOKUP(to_Text(A193),to_Text(sheet2!$A$1:M1005),13,0))"),"MOC")</f>
        <v>MOC</v>
      </c>
      <c r="D193" s="107" t="str">
        <f>IFERROR(__xludf.DUMMYFUNCTION("arrayformula(VLOOKUP(to_Text(A193),to_Text(sheet2!$A$1:M1005),12,0))"),"DEV")</f>
        <v>DEV</v>
      </c>
      <c r="E193" s="108" t="str">
        <f t="shared" si="2"/>
        <v>Inactive</v>
      </c>
      <c r="F193" s="104" t="str">
        <f t="array" ref="F193">IFERROR(
  INDEX(ATTENDANCE_INPUT!D:D,
    MATCH(1,
      (ATTENDANCE_INPUT!A:A=A193) *
      (ATTENDANCE_INPUT!W:W=MAXIFS(ATTENDANCE_INPUT!W:W, ATTENDANCE_INPUT!A:A, A193)),
      0)),
  "")</f>
        <v>Tai Pham</v>
      </c>
      <c r="G193" s="109" t="str">
        <f t="array" ref="G193">IFERROR(
  INDEX(ATTENDANCE_INPUT!E:E,
    MATCH(1,
      (ATTENDANCE_INPUT!A:A=A193) *
      (ATTENDANCE_INPUT!W:W=MAXIFS(ATTENDANCE_INPUT!W:W, ATTENDANCE_INPUT!A:A, A193)),
      0)),
  "")</f>
        <v>Communication 2</v>
      </c>
      <c r="H193" s="110" t="str">
        <f t="array" ref="H193">IF(ISNA(MATCH(A193,sheet2!A:A,0)),"⏳ Chưa test",IFERROR(INDEX(LEVEL_HELPER!A:A,MATCH(INDEX(sheet2!N:N,MATCH(A193,sheet2!A:A,0)),LEVEL_HELPER!B:B,0)),"⏳ Chưa test"))</f>
        <v>Beginner</v>
      </c>
      <c r="I193" s="110" t="str">
        <f t="array" ref="I193">IF(ISNA(MATCH(A193,sheet2!A:A,0)),H193,IF(INDEX(sheet2!O:O,MATCH(A193,sheet2!A:A,0))&gt;0,IFERROR(INDEX(LEVEL_HELPER!A:A,MATCH(INDEX(sheet2!O:O,MATCH(A193,sheet2!A:A,0)),LEVEL_HELPER!B:B,0)),H193),H193))</f>
        <v>Pre-Intermediate 2</v>
      </c>
      <c r="J193" s="110">
        <f>IFERROR(MAXIFS(ATTENDANCE_LOG!F:F, ATTENDANCE_LOG!C:C, A193&amp;"", ATTENDANCE_LOG!G:G, "Present"), "")</f>
        <v>46035.41667</v>
      </c>
      <c r="K193" s="111">
        <f t="shared" si="3"/>
        <v>177.5833333</v>
      </c>
      <c r="L193" s="112" t="str">
        <f t="shared" si="4"/>
        <v>✅ Completed</v>
      </c>
      <c r="M193" s="113" t="s">
        <v>35</v>
      </c>
      <c r="N193" s="114" t="s">
        <v>38</v>
      </c>
      <c r="O193" s="113"/>
      <c r="P193" s="115">
        <f>IFERROR(__xludf.DUMMYFUNCTION("IFERROR(COUNTUNIQUEIFS(ATTENDANCE_LOG!B:B,ATTENDANCE_LOG!C:C,A193),0)"),2.0)</f>
        <v>2</v>
      </c>
      <c r="Q193" s="113" t="str">
        <f t="array" ref="Q193">IFERROR(INDEX(ATTENDANCE_LOG!A:A,MATCH(1,(ATTENDANCE_LOG!C:C=A193)*(ATTENDANCE_LOG!F:F=MAXIFS(ATTENDANCE_LOG!F:F,ATTENDANCE_LOG!C:C,A193)),0)),"")</f>
        <v>EL032</v>
      </c>
      <c r="R193" s="113" t="str">
        <f t="array" ref="R193">IFERROR(INDEX(ATTENDANCE_LOG!B:B,MATCH(1,(ATTENDANCE_LOG!C:C=A193)*(ATTENDANCE_LOG!F:F=MAXIFS(ATTENDANCE_LOG!F:F,ATTENDANCE_LOG!C:C,A193)),0)),"")</f>
        <v>Communication 2</v>
      </c>
      <c r="S193" s="113">
        <f>IFERROR(VLOOKUP(H193, LEVEL_HELPER!A:B, 2, 0), 0)</f>
        <v>1</v>
      </c>
      <c r="T193" s="113">
        <f>IFERROR(VLOOKUP(I193, LEVEL_HELPER!A:B, 2, 0), 0)</f>
        <v>3.5</v>
      </c>
      <c r="U193" s="113">
        <f t="shared" ref="U193:V193" si="197">IF(S193="",0,IF(S193&lt;=2,1,IF(S193&lt;=4,2,IF(S193&lt;=5.5,3,4))))
</f>
        <v>1</v>
      </c>
      <c r="V193" s="113">
        <f t="shared" si="197"/>
        <v>2</v>
      </c>
      <c r="W193" s="113" t="str">
        <f t="shared" si="6"/>
        <v>Lv1→Lv2</v>
      </c>
      <c r="X193" s="113"/>
      <c r="Y193" s="113"/>
      <c r="Z193" s="113"/>
      <c r="AA193" s="113"/>
      <c r="AB193" s="116"/>
      <c r="AC193" s="116"/>
      <c r="AD193" s="117"/>
    </row>
    <row r="194" ht="15.75" customHeight="1">
      <c r="A194" s="104" t="s">
        <v>589</v>
      </c>
      <c r="B194" s="105" t="s">
        <v>590</v>
      </c>
      <c r="C194" s="106" t="str">
        <f>IFERROR(__xludf.DUMMYFUNCTION("arrayformula(VLOOKUP(to_Text(A194),to_Text(sheet2!$A$1:M1005),13,0))"),"MOC")</f>
        <v>MOC</v>
      </c>
      <c r="D194" s="107" t="str">
        <f>IFERROR(__xludf.DUMMYFUNCTION("arrayformula(VLOOKUP(to_Text(A194),to_Text(sheet2!$A$1:M1005),12,0))"),"DEV")</f>
        <v>DEV</v>
      </c>
      <c r="E194" s="108" t="str">
        <f t="shared" si="2"/>
        <v>Inactive</v>
      </c>
      <c r="F194" s="104" t="str">
        <f t="array" ref="F194">IFERROR(
  INDEX(ATTENDANCE_INPUT!D:D,
    MATCH(1,
      (ATTENDANCE_INPUT!A:A=A194) *
      (ATTENDANCE_INPUT!W:W=MAXIFS(ATTENDANCE_INPUT!W:W, ATTENDANCE_INPUT!A:A, A194)),
      0)),
  "")</f>
        <v>Tai Pham</v>
      </c>
      <c r="G194" s="109" t="str">
        <f t="array" ref="G194">IFERROR(
  INDEX(ATTENDANCE_INPUT!E:E,
    MATCH(1,
      (ATTENDANCE_INPUT!A:A=A194) *
      (ATTENDANCE_INPUT!W:W=MAXIFS(ATTENDANCE_INPUT!W:W, ATTENDANCE_INPUT!A:A, A194)),
      0)),
  "")</f>
        <v>Communication 2</v>
      </c>
      <c r="H194" s="110" t="str">
        <f t="array" ref="H194">IF(ISNA(MATCH(A194,sheet2!A:A,0)),"⏳ Chưa test",IFERROR(INDEX(LEVEL_HELPER!A:A,MATCH(INDEX(sheet2!N:N,MATCH(A194,sheet2!A:A,0)),LEVEL_HELPER!B:B,0)),"⏳ Chưa test"))</f>
        <v>Beginner</v>
      </c>
      <c r="I194" s="110" t="str">
        <f t="array" ref="I194">IF(ISNA(MATCH(A194,sheet2!A:A,0)),H194,IF(INDEX(sheet2!O:O,MATCH(A194,sheet2!A:A,0))&gt;0,IFERROR(INDEX(LEVEL_HELPER!A:A,MATCH(INDEX(sheet2!O:O,MATCH(A194,sheet2!A:A,0)),LEVEL_HELPER!B:B,0)),H194),H194))</f>
        <v>Pre-Intermediate 2</v>
      </c>
      <c r="J194" s="110">
        <f>IFERROR(MAXIFS(ATTENDANCE_LOG!F:F, ATTENDANCE_LOG!C:C, A194&amp;"", ATTENDANCE_LOG!G:G, "Present"), "")</f>
        <v>46035.41667</v>
      </c>
      <c r="K194" s="111">
        <f t="shared" si="3"/>
        <v>177.5833333</v>
      </c>
      <c r="L194" s="112" t="str">
        <f t="shared" si="4"/>
        <v>✅ Completed</v>
      </c>
      <c r="M194" s="113" t="s">
        <v>35</v>
      </c>
      <c r="N194" s="114" t="s">
        <v>38</v>
      </c>
      <c r="O194" s="113"/>
      <c r="P194" s="115">
        <f>IFERROR(__xludf.DUMMYFUNCTION("IFERROR(COUNTUNIQUEIFS(ATTENDANCE_LOG!B:B,ATTENDANCE_LOG!C:C,A194),0)"),2.0)</f>
        <v>2</v>
      </c>
      <c r="Q194" s="113" t="str">
        <f t="array" ref="Q194">IFERROR(INDEX(ATTENDANCE_LOG!A:A,MATCH(1,(ATTENDANCE_LOG!C:C=A194)*(ATTENDANCE_LOG!F:F=MAXIFS(ATTENDANCE_LOG!F:F,ATTENDANCE_LOG!C:C,A194)),0)),"")</f>
        <v>EL032</v>
      </c>
      <c r="R194" s="113" t="str">
        <f t="array" ref="R194">IFERROR(INDEX(ATTENDANCE_LOG!B:B,MATCH(1,(ATTENDANCE_LOG!C:C=A194)*(ATTENDANCE_LOG!F:F=MAXIFS(ATTENDANCE_LOG!F:F,ATTENDANCE_LOG!C:C,A194)),0)),"")</f>
        <v>Communication 2</v>
      </c>
      <c r="S194" s="113">
        <f>IFERROR(VLOOKUP(H194, LEVEL_HELPER!A:B, 2, 0), 0)</f>
        <v>1</v>
      </c>
      <c r="T194" s="113">
        <f>IFERROR(VLOOKUP(I194, LEVEL_HELPER!A:B, 2, 0), 0)</f>
        <v>3.5</v>
      </c>
      <c r="U194" s="113">
        <f t="shared" ref="U194:V194" si="198">IF(S194="",0,IF(S194&lt;=2,1,IF(S194&lt;=4,2,IF(S194&lt;=5.5,3,4))))
</f>
        <v>1</v>
      </c>
      <c r="V194" s="113">
        <f t="shared" si="198"/>
        <v>2</v>
      </c>
      <c r="W194" s="113" t="str">
        <f t="shared" si="6"/>
        <v>Lv1→Lv2</v>
      </c>
      <c r="X194" s="113"/>
      <c r="Y194" s="113"/>
      <c r="Z194" s="113"/>
      <c r="AA194" s="113"/>
      <c r="AB194" s="116"/>
      <c r="AC194" s="116"/>
      <c r="AD194" s="117"/>
    </row>
    <row r="195" ht="15.75" customHeight="1">
      <c r="A195" s="104" t="s">
        <v>591</v>
      </c>
      <c r="B195" s="105" t="s">
        <v>592</v>
      </c>
      <c r="C195" s="106" t="str">
        <f>IFERROR(__xludf.DUMMYFUNCTION("arrayformula(VLOOKUP(to_Text(A195),to_Text(sheet2!$A$1:M1005),13,0))"),"LBU")</f>
        <v>LBU</v>
      </c>
      <c r="D195" s="107" t="str">
        <f>IFERROR(__xludf.DUMMYFUNCTION("arrayformula(VLOOKUP(to_Text(A195),to_Text(sheet2!$A$1:M1005),12,0))"),"Designer")</f>
        <v>Designer</v>
      </c>
      <c r="E195" s="108" t="str">
        <f t="shared" si="2"/>
        <v>Inactive</v>
      </c>
      <c r="F195" s="104" t="str">
        <f t="array" ref="F195">IFERROR(
  INDEX(ATTENDANCE_INPUT!D:D,
    MATCH(1,
      (ATTENDANCE_INPUT!A:A=A195) *
      (ATTENDANCE_INPUT!W:W=MAXIFS(ATTENDANCE_INPUT!W:W, ATTENDANCE_INPUT!A:A, A195)),
      0)),
  "")</f>
        <v>Tan Tran</v>
      </c>
      <c r="G195" s="109" t="str">
        <f t="array" ref="G195">IFERROR(
  INDEX(ATTENDANCE_INPUT!E:E,
    MATCH(1,
      (ATTENDANCE_INPUT!A:A=A195) *
      (ATTENDANCE_INPUT!W:W=MAXIFS(ATTENDANCE_INPUT!W:W, ATTENDANCE_INPUT!A:A, A195)),
      0)),
  "")</f>
        <v>Business English</v>
      </c>
      <c r="H195" s="110" t="str">
        <f t="array" ref="H195">IF(ISNA(MATCH(A195,sheet2!A:A,0)),"⏳ Chưa test",IFERROR(INDEX(LEVEL_HELPER!A:A,MATCH(INDEX(sheet2!N:N,MATCH(A195,sheet2!A:A,0)),LEVEL_HELPER!B:B,0)),"⏳ Chưa test"))</f>
        <v>Intermediate</v>
      </c>
      <c r="I195" s="110" t="str">
        <f t="array" ref="I195">IF(ISNA(MATCH(A195,sheet2!A:A,0)),H195,IF(INDEX(sheet2!O:O,MATCH(A195,sheet2!A:A,0))&gt;0,IFERROR(INDEX(LEVEL_HELPER!A:A,MATCH(INDEX(sheet2!O:O,MATCH(A195,sheet2!A:A,0)),LEVEL_HELPER!B:B,0)),H195),H195))</f>
        <v>Upper-Intermediate</v>
      </c>
      <c r="J195" s="110">
        <f>IFERROR(MAXIFS(ATTENDANCE_LOG!F:F, ATTENDANCE_LOG!C:C, A195&amp;"", ATTENDANCE_LOG!G:G, "Present"), "")</f>
        <v>46057.54167</v>
      </c>
      <c r="K195" s="111">
        <f t="shared" si="3"/>
        <v>155.4583333</v>
      </c>
      <c r="L195" s="112" t="str">
        <f t="shared" si="4"/>
        <v>✅ Completed</v>
      </c>
      <c r="M195" s="113" t="s">
        <v>35</v>
      </c>
      <c r="N195" s="114" t="s">
        <v>38</v>
      </c>
      <c r="O195" s="113"/>
      <c r="P195" s="115">
        <f>IFERROR(__xludf.DUMMYFUNCTION("IFERROR(COUNTUNIQUEIFS(ATTENDANCE_LOG!B:B,ATTENDANCE_LOG!C:C,A195),0)"),1.0)</f>
        <v>1</v>
      </c>
      <c r="Q195" s="113" t="str">
        <f t="array" ref="Q195">IFERROR(INDEX(ATTENDANCE_LOG!A:A,MATCH(1,(ATTENDANCE_LOG!C:C=A195)*(ATTENDANCE_LOG!F:F=MAXIFS(ATTENDANCE_LOG!F:F,ATTENDANCE_LOG!C:C,A195)),0)),"")</f>
        <v>EL021</v>
      </c>
      <c r="R195" s="113" t="str">
        <f t="array" ref="R195">IFERROR(INDEX(ATTENDANCE_LOG!B:B,MATCH(1,(ATTENDANCE_LOG!C:C=A195)*(ATTENDANCE_LOG!F:F=MAXIFS(ATTENDANCE_LOG!F:F,ATTENDANCE_LOG!C:C,A195)),0)),"")</f>
        <v>Business English</v>
      </c>
      <c r="S195" s="113">
        <f>IFERROR(VLOOKUP(H195, LEVEL_HELPER!A:B, 2, 0), 0)</f>
        <v>4.5</v>
      </c>
      <c r="T195" s="113">
        <f>IFERROR(VLOOKUP(I195, LEVEL_HELPER!A:B, 2, 0), 0)</f>
        <v>6</v>
      </c>
      <c r="U195" s="113">
        <f t="shared" ref="U195:V195" si="199">IF(S195="",0,IF(S195&lt;=2,1,IF(S195&lt;=4,2,IF(S195&lt;=5.5,3,4))))
</f>
        <v>3</v>
      </c>
      <c r="V195" s="113">
        <f t="shared" si="199"/>
        <v>4</v>
      </c>
      <c r="W195" s="113" t="str">
        <f t="shared" si="6"/>
        <v>Lv3→Lv4</v>
      </c>
      <c r="X195" s="113"/>
      <c r="Y195" s="113"/>
      <c r="Z195" s="113"/>
      <c r="AA195" s="113"/>
      <c r="AB195" s="116"/>
      <c r="AC195" s="116"/>
      <c r="AD195" s="117"/>
    </row>
    <row r="196" ht="15.75" customHeight="1">
      <c r="A196" s="104" t="s">
        <v>593</v>
      </c>
      <c r="B196" s="105" t="s">
        <v>594</v>
      </c>
      <c r="C196" s="106" t="str">
        <f>IFERROR(__xludf.DUMMYFUNCTION("arrayformula(VLOOKUP(to_Text(A196),to_Text(sheet2!$A$1:M1005),13,0))"),"BSG")</f>
        <v>BSG</v>
      </c>
      <c r="D196" s="107" t="str">
        <f>IFERROR(__xludf.DUMMYFUNCTION("arrayformula(VLOOKUP(to_Text(A196),to_Text(sheet2!$A$1:M1005),12,0))"),"HR")</f>
        <v>HR</v>
      </c>
      <c r="E196" s="108" t="str">
        <f t="shared" si="2"/>
        <v>Inactive</v>
      </c>
      <c r="F196" s="104" t="str">
        <f t="array" ref="F196">IFERROR(
  INDEX(ATTENDANCE_INPUT!D:D,
    MATCH(1,
      (ATTENDANCE_INPUT!A:A=A196) *
      (ATTENDANCE_INPUT!W:W=MAXIFS(ATTENDANCE_INPUT!W:W, ATTENDANCE_INPUT!A:A, A196)),
      0)),
  "")</f>
        <v>Tan Tran</v>
      </c>
      <c r="G196" s="109" t="str">
        <f t="array" ref="G196">IFERROR(
  INDEX(ATTENDANCE_INPUT!E:E,
    MATCH(1,
      (ATTENDANCE_INPUT!A:A=A196) *
      (ATTENDANCE_INPUT!W:W=MAXIFS(ATTENDANCE_INPUT!W:W, ATTENDANCE_INPUT!A:A, A196)),
      0)),
  "")</f>
        <v>Business English</v>
      </c>
      <c r="H196" s="110" t="str">
        <f t="array" ref="H196">IF(ISNA(MATCH(A196,sheet2!A:A,0)),"⏳ Chưa test",IFERROR(INDEX(LEVEL_HELPER!A:A,MATCH(INDEX(sheet2!N:N,MATCH(A196,sheet2!A:A,0)),LEVEL_HELPER!B:B,0)),"⏳ Chưa test"))</f>
        <v>Pre-Intermediate</v>
      </c>
      <c r="I196" s="110" t="str">
        <f t="array" ref="I196">IF(ISNA(MATCH(A196,sheet2!A:A,0)),H196,IF(INDEX(sheet2!O:O,MATCH(A196,sheet2!A:A,0))&gt;0,IFERROR(INDEX(LEVEL_HELPER!A:A,MATCH(INDEX(sheet2!O:O,MATCH(A196,sheet2!A:A,0)),LEVEL_HELPER!B:B,0)),H196),H196))</f>
        <v>Intermediate</v>
      </c>
      <c r="J196" s="110">
        <f>IFERROR(MAXIFS(ATTENDANCE_LOG!F:F, ATTENDANCE_LOG!C:C, A196&amp;"", ATTENDANCE_LOG!G:G, "Present"), "")</f>
        <v>46057.54167</v>
      </c>
      <c r="K196" s="111">
        <f t="shared" si="3"/>
        <v>155.4583333</v>
      </c>
      <c r="L196" s="112" t="str">
        <f t="shared" si="4"/>
        <v>✅ Completed</v>
      </c>
      <c r="M196" s="120" t="s">
        <v>35</v>
      </c>
      <c r="N196" s="126" t="s">
        <v>38</v>
      </c>
      <c r="O196" s="113"/>
      <c r="P196" s="115">
        <f>IFERROR(__xludf.DUMMYFUNCTION("IFERROR(COUNTUNIQUEIFS(ATTENDANCE_LOG!B:B,ATTENDANCE_LOG!C:C,A196),0)"),2.0)</f>
        <v>2</v>
      </c>
      <c r="Q196" s="113" t="str">
        <f t="array" ref="Q196">IFERROR(INDEX(ATTENDANCE_LOG!A:A,MATCH(1,(ATTENDANCE_LOG!C:C=A196)*(ATTENDANCE_LOG!F:F=MAXIFS(ATTENDANCE_LOG!F:F,ATTENDANCE_LOG!C:C,A196)),0)),"")</f>
        <v>EL021</v>
      </c>
      <c r="R196" s="113" t="str">
        <f t="array" ref="R196">IFERROR(INDEX(ATTENDANCE_LOG!B:B,MATCH(1,(ATTENDANCE_LOG!C:C=A196)*(ATTENDANCE_LOG!F:F=MAXIFS(ATTENDANCE_LOG!F:F,ATTENDANCE_LOG!C:C,A196)),0)),"")</f>
        <v>Business English</v>
      </c>
      <c r="S196" s="113">
        <f>IFERROR(VLOOKUP(H196, LEVEL_HELPER!A:B, 2, 0), 0)</f>
        <v>2.5</v>
      </c>
      <c r="T196" s="113">
        <f>IFERROR(VLOOKUP(I196, LEVEL_HELPER!A:B, 2, 0), 0)</f>
        <v>4.5</v>
      </c>
      <c r="U196" s="113">
        <f t="shared" ref="U196:V196" si="200">IF(S196="",0,IF(S196&lt;=2,1,IF(S196&lt;=4,2,IF(S196&lt;=5.5,3,4))))
</f>
        <v>2</v>
      </c>
      <c r="V196" s="113">
        <f t="shared" si="200"/>
        <v>3</v>
      </c>
      <c r="W196" s="113" t="str">
        <f t="shared" si="6"/>
        <v>Lv2→Lv3</v>
      </c>
      <c r="X196" s="113"/>
      <c r="Y196" s="113"/>
      <c r="Z196" s="113"/>
      <c r="AA196" s="113"/>
      <c r="AB196" s="116"/>
      <c r="AC196" s="116"/>
      <c r="AD196" s="117"/>
    </row>
    <row r="197" ht="15.75" customHeight="1">
      <c r="A197" s="104" t="s">
        <v>595</v>
      </c>
      <c r="B197" s="105" t="s">
        <v>596</v>
      </c>
      <c r="C197" s="106" t="str">
        <f>IFERROR(__xludf.DUMMYFUNCTION("arrayformula(VLOOKUP(to_Text(A197),to_Text(sheet2!$A$1:M1005),13,0))"),"CHORUS")</f>
        <v>CHORUS</v>
      </c>
      <c r="D197" s="107" t="str">
        <f>IFERROR(__xludf.DUMMYFUNCTION("arrayformula(VLOOKUP(to_Text(A197),to_Text(sheet2!$A$1:M1005),12,0))"),"Designer")</f>
        <v>Designer</v>
      </c>
      <c r="E197" s="108" t="str">
        <f t="shared" si="2"/>
        <v>Inactive</v>
      </c>
      <c r="F197" s="104" t="str">
        <f t="array" ref="F197">IFERROR(
  INDEX(ATTENDANCE_INPUT!D:D,
    MATCH(1,
      (ATTENDANCE_INPUT!A:A=A197) *
      (ATTENDANCE_INPUT!W:W=MAXIFS(ATTENDANCE_INPUT!W:W, ATTENDANCE_INPUT!A:A, A197)),
      0)),
  "")</f>
        <v>Tan Tran</v>
      </c>
      <c r="G197" s="109" t="str">
        <f t="array" ref="G197">IFERROR(
  INDEX(ATTENDANCE_INPUT!E:E,
    MATCH(1,
      (ATTENDANCE_INPUT!A:A=A197) *
      (ATTENDANCE_INPUT!W:W=MAXIFS(ATTENDANCE_INPUT!W:W, ATTENDANCE_INPUT!A:A, A197)),
      0)),
  "")</f>
        <v>Business English</v>
      </c>
      <c r="H197" s="110" t="str">
        <f t="array" ref="H197">IF(ISNA(MATCH(A197,sheet2!A:A,0)),"⏳ Chưa test",IFERROR(INDEX(LEVEL_HELPER!A:A,MATCH(INDEX(sheet2!N:N,MATCH(A197,sheet2!A:A,0)),LEVEL_HELPER!B:B,0)),"⏳ Chưa test"))</f>
        <v>Intermediate</v>
      </c>
      <c r="I197" s="110" t="str">
        <f t="array" ref="I197">IF(ISNA(MATCH(A197,sheet2!A:A,0)),H197,IF(INDEX(sheet2!O:O,MATCH(A197,sheet2!A:A,0))&gt;0,IFERROR(INDEX(LEVEL_HELPER!A:A,MATCH(INDEX(sheet2!O:O,MATCH(A197,sheet2!A:A,0)),LEVEL_HELPER!B:B,0)),H197),H197))</f>
        <v>Upper-Intermediate</v>
      </c>
      <c r="J197" s="110">
        <f>IFERROR(MAXIFS(ATTENDANCE_LOG!F:F, ATTENDANCE_LOG!C:C, A197&amp;"", ATTENDANCE_LOG!G:G, "Present"), "")</f>
        <v>46057.54167</v>
      </c>
      <c r="K197" s="111">
        <f t="shared" si="3"/>
        <v>155.4583333</v>
      </c>
      <c r="L197" s="112" t="str">
        <f t="shared" si="4"/>
        <v>✅ Completed</v>
      </c>
      <c r="M197" s="113" t="s">
        <v>35</v>
      </c>
      <c r="N197" s="114" t="s">
        <v>38</v>
      </c>
      <c r="O197" s="113"/>
      <c r="P197" s="115">
        <f>IFERROR(__xludf.DUMMYFUNCTION("IFERROR(COUNTUNIQUEIFS(ATTENDANCE_LOG!B:B,ATTENDANCE_LOG!C:C,A197),0)"),1.0)</f>
        <v>1</v>
      </c>
      <c r="Q197" s="113" t="str">
        <f t="array" ref="Q197">IFERROR(INDEX(ATTENDANCE_LOG!A:A,MATCH(1,(ATTENDANCE_LOG!C:C=A197)*(ATTENDANCE_LOG!F:F=MAXIFS(ATTENDANCE_LOG!F:F,ATTENDANCE_LOG!C:C,A197)),0)),"")</f>
        <v>EL021</v>
      </c>
      <c r="R197" s="113" t="str">
        <f t="array" ref="R197">IFERROR(INDEX(ATTENDANCE_LOG!B:B,MATCH(1,(ATTENDANCE_LOG!C:C=A197)*(ATTENDANCE_LOG!F:F=MAXIFS(ATTENDANCE_LOG!F:F,ATTENDANCE_LOG!C:C,A197)),0)),"")</f>
        <v>Business English</v>
      </c>
      <c r="S197" s="113">
        <f>IFERROR(VLOOKUP(H197, LEVEL_HELPER!A:B, 2, 0), 0)</f>
        <v>4.5</v>
      </c>
      <c r="T197" s="113">
        <f>IFERROR(VLOOKUP(I197, LEVEL_HELPER!A:B, 2, 0), 0)</f>
        <v>6</v>
      </c>
      <c r="U197" s="113">
        <f t="shared" ref="U197:V197" si="201">IF(S197="",0,IF(S197&lt;=2,1,IF(S197&lt;=4,2,IF(S197&lt;=5.5,3,4))))
</f>
        <v>3</v>
      </c>
      <c r="V197" s="113">
        <f t="shared" si="201"/>
        <v>4</v>
      </c>
      <c r="W197" s="113" t="str">
        <f t="shared" si="6"/>
        <v>Lv3→Lv4</v>
      </c>
      <c r="X197" s="113"/>
      <c r="Y197" s="113"/>
      <c r="Z197" s="113"/>
      <c r="AA197" s="113"/>
      <c r="AB197" s="116"/>
      <c r="AC197" s="116"/>
      <c r="AD197" s="117"/>
    </row>
    <row r="198" ht="15.75" customHeight="1">
      <c r="A198" s="104" t="s">
        <v>597</v>
      </c>
      <c r="B198" s="105" t="s">
        <v>598</v>
      </c>
      <c r="C198" s="106" t="str">
        <f>IFERROR(__xludf.DUMMYFUNCTION("arrayformula(VLOOKUP(to_Text(A198),to_Text(sheet2!$A$1:M1005),13,0))"),"LBU")</f>
        <v>LBU</v>
      </c>
      <c r="D198" s="107" t="str">
        <f>IFERROR(__xludf.DUMMYFUNCTION("arrayformula(VLOOKUP(to_Text(A198),to_Text(sheet2!$A$1:M1005),12,0))"),"Designer")</f>
        <v>Designer</v>
      </c>
      <c r="E198" s="108" t="str">
        <f t="shared" si="2"/>
        <v>Inactive</v>
      </c>
      <c r="F198" s="104" t="str">
        <f t="array" ref="F198">IFERROR(
  INDEX(ATTENDANCE_INPUT!D:D,
    MATCH(1,
      (ATTENDANCE_INPUT!A:A=A198) *
      (ATTENDANCE_INPUT!W:W=MAXIFS(ATTENDANCE_INPUT!W:W, ATTENDANCE_INPUT!A:A, A198)),
      0)),
  "")</f>
        <v>Tan Tran</v>
      </c>
      <c r="G198" s="109" t="str">
        <f t="array" ref="G198">IFERROR(
  INDEX(ATTENDANCE_INPUT!E:E,
    MATCH(1,
      (ATTENDANCE_INPUT!A:A=A198) *
      (ATTENDANCE_INPUT!W:W=MAXIFS(ATTENDANCE_INPUT!W:W, ATTENDANCE_INPUT!A:A, A198)),
      0)),
  "")</f>
        <v>Business English</v>
      </c>
      <c r="H198" s="110" t="str">
        <f t="array" ref="H198">IF(ISNA(MATCH(A198,sheet2!A:A,0)),"⏳ Chưa test",IFERROR(INDEX(LEVEL_HELPER!A:A,MATCH(INDEX(sheet2!N:N,MATCH(A198,sheet2!A:A,0)),LEVEL_HELPER!B:B,0)),"⏳ Chưa test"))</f>
        <v>Intermediate</v>
      </c>
      <c r="I198" s="110" t="str">
        <f t="array" ref="I198">IF(ISNA(MATCH(A198,sheet2!A:A,0)),H198,IF(INDEX(sheet2!O:O,MATCH(A198,sheet2!A:A,0))&gt;0,IFERROR(INDEX(LEVEL_HELPER!A:A,MATCH(INDEX(sheet2!O:O,MATCH(A198,sheet2!A:A,0)),LEVEL_HELPER!B:B,0)),H198),H198))</f>
        <v>Upper-Intermediate</v>
      </c>
      <c r="J198" s="110">
        <f>IFERROR(MAXIFS(ATTENDANCE_LOG!F:F, ATTENDANCE_LOG!C:C, A198&amp;"", ATTENDANCE_LOG!G:G, "Present"), "")</f>
        <v>46057.54167</v>
      </c>
      <c r="K198" s="111">
        <f t="shared" si="3"/>
        <v>155.4583333</v>
      </c>
      <c r="L198" s="112" t="str">
        <f t="shared" si="4"/>
        <v>✅ Completed</v>
      </c>
      <c r="M198" s="113" t="s">
        <v>35</v>
      </c>
      <c r="N198" s="114" t="s">
        <v>38</v>
      </c>
      <c r="O198" s="113"/>
      <c r="P198" s="115">
        <f>IFERROR(__xludf.DUMMYFUNCTION("IFERROR(COUNTUNIQUEIFS(ATTENDANCE_LOG!B:B,ATTENDANCE_LOG!C:C,A198),0)"),1.0)</f>
        <v>1</v>
      </c>
      <c r="Q198" s="113" t="str">
        <f t="array" ref="Q198">IFERROR(INDEX(ATTENDANCE_LOG!A:A,MATCH(1,(ATTENDANCE_LOG!C:C=A198)*(ATTENDANCE_LOG!F:F=MAXIFS(ATTENDANCE_LOG!F:F,ATTENDANCE_LOG!C:C,A198)),0)),"")</f>
        <v>EL021</v>
      </c>
      <c r="R198" s="113" t="str">
        <f t="array" ref="R198">IFERROR(INDEX(ATTENDANCE_LOG!B:B,MATCH(1,(ATTENDANCE_LOG!C:C=A198)*(ATTENDANCE_LOG!F:F=MAXIFS(ATTENDANCE_LOG!F:F,ATTENDANCE_LOG!C:C,A198)),0)),"")</f>
        <v>Business English</v>
      </c>
      <c r="S198" s="113">
        <f>IFERROR(VLOOKUP(H198, LEVEL_HELPER!A:B, 2, 0), 0)</f>
        <v>4.5</v>
      </c>
      <c r="T198" s="113">
        <f>IFERROR(VLOOKUP(I198, LEVEL_HELPER!A:B, 2, 0), 0)</f>
        <v>6</v>
      </c>
      <c r="U198" s="113">
        <f t="shared" ref="U198:V198" si="202">IF(S198="",0,IF(S198&lt;=2,1,IF(S198&lt;=4,2,IF(S198&lt;=5.5,3,4))))
</f>
        <v>3</v>
      </c>
      <c r="V198" s="113">
        <f t="shared" si="202"/>
        <v>4</v>
      </c>
      <c r="W198" s="113" t="str">
        <f t="shared" si="6"/>
        <v>Lv3→Lv4</v>
      </c>
      <c r="X198" s="113"/>
      <c r="Y198" s="113"/>
      <c r="Z198" s="113"/>
      <c r="AA198" s="113"/>
      <c r="AB198" s="116"/>
      <c r="AC198" s="116"/>
      <c r="AD198" s="117"/>
    </row>
    <row r="199" ht="15.75" customHeight="1">
      <c r="A199" s="104" t="s">
        <v>599</v>
      </c>
      <c r="B199" s="105" t="s">
        <v>600</v>
      </c>
      <c r="C199" s="106" t="str">
        <f>IFERROR(__xludf.DUMMYFUNCTION("arrayformula(VLOOKUP(to_Text(A199),to_Text(sheet2!$A$1:M1005),13,0))"),"LBU")</f>
        <v>LBU</v>
      </c>
      <c r="D199" s="107" t="str">
        <f>IFERROR(__xludf.DUMMYFUNCTION("arrayformula(VLOOKUP(to_Text(A199),to_Text(sheet2!$A$1:M1005),12,0))"),"Designer")</f>
        <v>Designer</v>
      </c>
      <c r="E199" s="108" t="str">
        <f t="shared" si="2"/>
        <v>Inactive</v>
      </c>
      <c r="F199" s="104" t="str">
        <f t="array" ref="F199">IFERROR(
  INDEX(ATTENDANCE_INPUT!D:D,
    MATCH(1,
      (ATTENDANCE_INPUT!A:A=A199) *
      (ATTENDANCE_INPUT!W:W=MAXIFS(ATTENDANCE_INPUT!W:W, ATTENDANCE_INPUT!A:A, A199)),
      0)),
  "")</f>
        <v>Tan Tran</v>
      </c>
      <c r="G199" s="109" t="str">
        <f t="array" ref="G199">IFERROR(
  INDEX(ATTENDANCE_INPUT!E:E,
    MATCH(1,
      (ATTENDANCE_INPUT!A:A=A199) *
      (ATTENDANCE_INPUT!W:W=MAXIFS(ATTENDANCE_INPUT!W:W, ATTENDANCE_INPUT!A:A, A199)),
      0)),
  "")</f>
        <v>Business English</v>
      </c>
      <c r="H199" s="110" t="str">
        <f t="array" ref="H199">IF(ISNA(MATCH(A199,sheet2!A:A,0)),"⏳ Chưa test",IFERROR(INDEX(LEVEL_HELPER!A:A,MATCH(INDEX(sheet2!N:N,MATCH(A199,sheet2!A:A,0)),LEVEL_HELPER!B:B,0)),"⏳ Chưa test"))</f>
        <v>Intermediate</v>
      </c>
      <c r="I199" s="110" t="str">
        <f t="array" ref="I199">IF(ISNA(MATCH(A199,sheet2!A:A,0)),H199,IF(INDEX(sheet2!O:O,MATCH(A199,sheet2!A:A,0))&gt;0,IFERROR(INDEX(LEVEL_HELPER!A:A,MATCH(INDEX(sheet2!O:O,MATCH(A199,sheet2!A:A,0)),LEVEL_HELPER!B:B,0)),H199),H199))</f>
        <v>Upper-Intermediate</v>
      </c>
      <c r="J199" s="110">
        <f>IFERROR(MAXIFS(ATTENDANCE_LOG!F:F, ATTENDANCE_LOG!C:C, A199&amp;"", ATTENDANCE_LOG!G:G, "Present"), "")</f>
        <v>46057.54167</v>
      </c>
      <c r="K199" s="111">
        <f t="shared" si="3"/>
        <v>155.4583333</v>
      </c>
      <c r="L199" s="112" t="str">
        <f t="shared" si="4"/>
        <v>✅ Completed</v>
      </c>
      <c r="M199" s="113" t="s">
        <v>35</v>
      </c>
      <c r="N199" s="114" t="s">
        <v>38</v>
      </c>
      <c r="O199" s="113"/>
      <c r="P199" s="115">
        <f>IFERROR(__xludf.DUMMYFUNCTION("IFERROR(COUNTUNIQUEIFS(ATTENDANCE_LOG!B:B,ATTENDANCE_LOG!C:C,A199),0)"),1.0)</f>
        <v>1</v>
      </c>
      <c r="Q199" s="113" t="str">
        <f t="array" ref="Q199">IFERROR(INDEX(ATTENDANCE_LOG!A:A,MATCH(1,(ATTENDANCE_LOG!C:C=A199)*(ATTENDANCE_LOG!F:F=MAXIFS(ATTENDANCE_LOG!F:F,ATTENDANCE_LOG!C:C,A199)),0)),"")</f>
        <v>EL021</v>
      </c>
      <c r="R199" s="113" t="str">
        <f t="array" ref="R199">IFERROR(INDEX(ATTENDANCE_LOG!B:B,MATCH(1,(ATTENDANCE_LOG!C:C=A199)*(ATTENDANCE_LOG!F:F=MAXIFS(ATTENDANCE_LOG!F:F,ATTENDANCE_LOG!C:C,A199)),0)),"")</f>
        <v>Business English</v>
      </c>
      <c r="S199" s="113">
        <f>IFERROR(VLOOKUP(H199, LEVEL_HELPER!A:B, 2, 0), 0)</f>
        <v>4.5</v>
      </c>
      <c r="T199" s="113">
        <f>IFERROR(VLOOKUP(I199, LEVEL_HELPER!A:B, 2, 0), 0)</f>
        <v>6</v>
      </c>
      <c r="U199" s="113">
        <f t="shared" ref="U199:V199" si="203">IF(S199="",0,IF(S199&lt;=2,1,IF(S199&lt;=4,2,IF(S199&lt;=5.5,3,4))))
</f>
        <v>3</v>
      </c>
      <c r="V199" s="113">
        <f t="shared" si="203"/>
        <v>4</v>
      </c>
      <c r="W199" s="113" t="str">
        <f t="shared" si="6"/>
        <v>Lv3→Lv4</v>
      </c>
      <c r="X199" s="113"/>
      <c r="Y199" s="113"/>
      <c r="Z199" s="113"/>
      <c r="AA199" s="113"/>
      <c r="AB199" s="116"/>
      <c r="AC199" s="116"/>
      <c r="AD199" s="117"/>
    </row>
    <row r="200" ht="15.75" customHeight="1">
      <c r="A200" s="104" t="s">
        <v>601</v>
      </c>
      <c r="B200" s="105" t="s">
        <v>602</v>
      </c>
      <c r="C200" s="106" t="str">
        <f>IFERROR(__xludf.DUMMYFUNCTION("arrayformula(VLOOKUP(to_Text(A200),to_Text(sheet2!$A$1:M1005),13,0))"),"LBU")</f>
        <v>LBU</v>
      </c>
      <c r="D200" s="107" t="str">
        <f>IFERROR(__xludf.DUMMYFUNCTION("arrayformula(VLOOKUP(to_Text(A200),to_Text(sheet2!$A$1:M1005),12,0))"),"QC")</f>
        <v>QC</v>
      </c>
      <c r="E200" s="108" t="str">
        <f t="shared" si="2"/>
        <v>Inactive</v>
      </c>
      <c r="F200" s="104" t="str">
        <f t="array" ref="F200">IFERROR(
  INDEX(ATTENDANCE_INPUT!D:D,
    MATCH(1,
      (ATTENDANCE_INPUT!A:A=A200) *
      (ATTENDANCE_INPUT!W:W=MAXIFS(ATTENDANCE_INPUT!W:W, ATTENDANCE_INPUT!A:A, A200)),
      0)),
  "")</f>
        <v>Tan Tran</v>
      </c>
      <c r="G200" s="109" t="str">
        <f t="array" ref="G200">IFERROR(
  INDEX(ATTENDANCE_INPUT!E:E,
    MATCH(1,
      (ATTENDANCE_INPUT!A:A=A200) *
      (ATTENDANCE_INPUT!W:W=MAXIFS(ATTENDANCE_INPUT!W:W, ATTENDANCE_INPUT!A:A, A200)),
      0)),
  "")</f>
        <v>Business English</v>
      </c>
      <c r="H200" s="110" t="str">
        <f t="array" ref="H200">IF(ISNA(MATCH(A200,sheet2!A:A,0)),"⏳ Chưa test",IFERROR(INDEX(LEVEL_HELPER!A:A,MATCH(INDEX(sheet2!N:N,MATCH(A200,sheet2!A:A,0)),LEVEL_HELPER!B:B,0)),"⏳ Chưa test"))</f>
        <v>Intermediate</v>
      </c>
      <c r="I200" s="110" t="str">
        <f t="array" ref="I200">IF(ISNA(MATCH(A200,sheet2!A:A,0)),H200,IF(INDEX(sheet2!O:O,MATCH(A200,sheet2!A:A,0))&gt;0,IFERROR(INDEX(LEVEL_HELPER!A:A,MATCH(INDEX(sheet2!O:O,MATCH(A200,sheet2!A:A,0)),LEVEL_HELPER!B:B,0)),H200),H200))</f>
        <v>Upper-Intermediate</v>
      </c>
      <c r="J200" s="110">
        <f>IFERROR(MAXIFS(ATTENDANCE_LOG!F:F, ATTENDANCE_LOG!C:C, A200&amp;"", ATTENDANCE_LOG!G:G, "Present"), "")</f>
        <v>46057.54167</v>
      </c>
      <c r="K200" s="111">
        <f t="shared" si="3"/>
        <v>155.4583333</v>
      </c>
      <c r="L200" s="112" t="str">
        <f t="shared" si="4"/>
        <v>✅ Completed</v>
      </c>
      <c r="M200" s="113" t="s">
        <v>35</v>
      </c>
      <c r="N200" s="114" t="s">
        <v>38</v>
      </c>
      <c r="O200" s="113"/>
      <c r="P200" s="115">
        <f>IFERROR(__xludf.DUMMYFUNCTION("IFERROR(COUNTUNIQUEIFS(ATTENDANCE_LOG!B:B,ATTENDANCE_LOG!C:C,A200),0)"),1.0)</f>
        <v>1</v>
      </c>
      <c r="Q200" s="113" t="str">
        <f t="array" ref="Q200">IFERROR(INDEX(ATTENDANCE_LOG!A:A,MATCH(1,(ATTENDANCE_LOG!C:C=A200)*(ATTENDANCE_LOG!F:F=MAXIFS(ATTENDANCE_LOG!F:F,ATTENDANCE_LOG!C:C,A200)),0)),"")</f>
        <v>EL021</v>
      </c>
      <c r="R200" s="113" t="str">
        <f t="array" ref="R200">IFERROR(INDEX(ATTENDANCE_LOG!B:B,MATCH(1,(ATTENDANCE_LOG!C:C=A200)*(ATTENDANCE_LOG!F:F=MAXIFS(ATTENDANCE_LOG!F:F,ATTENDANCE_LOG!C:C,A200)),0)),"")</f>
        <v>Business English</v>
      </c>
      <c r="S200" s="113">
        <f>IFERROR(VLOOKUP(H200, LEVEL_HELPER!A:B, 2, 0), 0)</f>
        <v>4.5</v>
      </c>
      <c r="T200" s="113">
        <f>IFERROR(VLOOKUP(I200, LEVEL_HELPER!A:B, 2, 0), 0)</f>
        <v>6</v>
      </c>
      <c r="U200" s="113">
        <f t="shared" ref="U200:V200" si="204">IF(S200="",0,IF(S200&lt;=2,1,IF(S200&lt;=4,2,IF(S200&lt;=5.5,3,4))))
</f>
        <v>3</v>
      </c>
      <c r="V200" s="113">
        <f t="shared" si="204"/>
        <v>4</v>
      </c>
      <c r="W200" s="113" t="str">
        <f t="shared" si="6"/>
        <v>Lv3→Lv4</v>
      </c>
      <c r="X200" s="113"/>
      <c r="Y200" s="113"/>
      <c r="Z200" s="113"/>
      <c r="AA200" s="113"/>
      <c r="AB200" s="116"/>
      <c r="AC200" s="116"/>
      <c r="AD200" s="117"/>
    </row>
    <row r="201" ht="15.75" customHeight="1">
      <c r="A201" s="104" t="s">
        <v>603</v>
      </c>
      <c r="B201" s="105" t="s">
        <v>604</v>
      </c>
      <c r="C201" s="106" t="str">
        <f>IFERROR(__xludf.DUMMYFUNCTION("arrayformula(VLOOKUP(to_Text(A201),to_Text(sheet2!$A$1:M1005),13,0))"),"CHORUS")</f>
        <v>CHORUS</v>
      </c>
      <c r="D201" s="107" t="str">
        <f>IFERROR(__xludf.DUMMYFUNCTION("arrayformula(VLOOKUP(to_Text(A201),to_Text(sheet2!$A$1:M1005),12,0))"),"UI/UX")</f>
        <v>UI/UX</v>
      </c>
      <c r="E201" s="108" t="str">
        <f t="shared" si="2"/>
        <v>Inactive</v>
      </c>
      <c r="F201" s="104" t="str">
        <f t="array" ref="F201">IFERROR(
  INDEX(ATTENDANCE_INPUT!D:D,
    MATCH(1,
      (ATTENDANCE_INPUT!A:A=A201) *
      (ATTENDANCE_INPUT!W:W=MAXIFS(ATTENDANCE_INPUT!W:W, ATTENDANCE_INPUT!A:A, A201)),
      0)),
  "")</f>
        <v>Tan Tran</v>
      </c>
      <c r="G201" s="109" t="str">
        <f t="array" ref="G201">IFERROR(
  INDEX(ATTENDANCE_INPUT!E:E,
    MATCH(1,
      (ATTENDANCE_INPUT!A:A=A201) *
      (ATTENDANCE_INPUT!W:W=MAXIFS(ATTENDANCE_INPUT!W:W, ATTENDANCE_INPUT!A:A, A201)),
      0)),
  "")</f>
        <v>Business English</v>
      </c>
      <c r="H201" s="110" t="str">
        <f t="array" ref="H201">IF(ISNA(MATCH(A201,sheet2!A:A,0)),"⏳ Chưa test",IFERROR(INDEX(LEVEL_HELPER!A:A,MATCH(INDEX(sheet2!N:N,MATCH(A201,sheet2!A:A,0)),LEVEL_HELPER!B:B,0)),"⏳ Chưa test"))</f>
        <v>Intermediate</v>
      </c>
      <c r="I201" s="110" t="str">
        <f t="array" ref="I201">IF(ISNA(MATCH(A201,sheet2!A:A,0)),H201,IF(INDEX(sheet2!O:O,MATCH(A201,sheet2!A:A,0))&gt;0,IFERROR(INDEX(LEVEL_HELPER!A:A,MATCH(INDEX(sheet2!O:O,MATCH(A201,sheet2!A:A,0)),LEVEL_HELPER!B:B,0)),H201),H201))</f>
        <v>Upper-Intermediate</v>
      </c>
      <c r="J201" s="110">
        <f>IFERROR(MAXIFS(ATTENDANCE_LOG!F:F, ATTENDANCE_LOG!C:C, A201&amp;"", ATTENDANCE_LOG!G:G, "Present"), "")</f>
        <v>46057.54167</v>
      </c>
      <c r="K201" s="111">
        <f t="shared" si="3"/>
        <v>155.4583333</v>
      </c>
      <c r="L201" s="112" t="str">
        <f t="shared" si="4"/>
        <v>✅ Completed</v>
      </c>
      <c r="M201" s="113" t="s">
        <v>35</v>
      </c>
      <c r="N201" s="114" t="s">
        <v>38</v>
      </c>
      <c r="O201" s="113"/>
      <c r="P201" s="115">
        <f>IFERROR(__xludf.DUMMYFUNCTION("IFERROR(COUNTUNIQUEIFS(ATTENDANCE_LOG!B:B,ATTENDANCE_LOG!C:C,A201),0)"),1.0)</f>
        <v>1</v>
      </c>
      <c r="Q201" s="113" t="str">
        <f t="array" ref="Q201">IFERROR(INDEX(ATTENDANCE_LOG!A:A,MATCH(1,(ATTENDANCE_LOG!C:C=A201)*(ATTENDANCE_LOG!F:F=MAXIFS(ATTENDANCE_LOG!F:F,ATTENDANCE_LOG!C:C,A201)),0)),"")</f>
        <v>EL021</v>
      </c>
      <c r="R201" s="113" t="str">
        <f t="array" ref="R201">IFERROR(INDEX(ATTENDANCE_LOG!B:B,MATCH(1,(ATTENDANCE_LOG!C:C=A201)*(ATTENDANCE_LOG!F:F=MAXIFS(ATTENDANCE_LOG!F:F,ATTENDANCE_LOG!C:C,A201)),0)),"")</f>
        <v>Business English</v>
      </c>
      <c r="S201" s="113">
        <f>IFERROR(VLOOKUP(H201, LEVEL_HELPER!A:B, 2, 0), 0)</f>
        <v>4.5</v>
      </c>
      <c r="T201" s="113">
        <f>IFERROR(VLOOKUP(I201, LEVEL_HELPER!A:B, 2, 0), 0)</f>
        <v>6</v>
      </c>
      <c r="U201" s="113">
        <f t="shared" ref="U201:V201" si="205">IF(S201="",0,IF(S201&lt;=2,1,IF(S201&lt;=4,2,IF(S201&lt;=5.5,3,4))))
</f>
        <v>3</v>
      </c>
      <c r="V201" s="113">
        <f t="shared" si="205"/>
        <v>4</v>
      </c>
      <c r="W201" s="113" t="str">
        <f t="shared" si="6"/>
        <v>Lv3→Lv4</v>
      </c>
      <c r="X201" s="113"/>
      <c r="Y201" s="113"/>
      <c r="Z201" s="113"/>
      <c r="AA201" s="113"/>
      <c r="AB201" s="116"/>
      <c r="AC201" s="116"/>
      <c r="AD201" s="117"/>
    </row>
    <row r="202" ht="15.75" customHeight="1">
      <c r="A202" s="104" t="s">
        <v>605</v>
      </c>
      <c r="B202" s="105" t="s">
        <v>606</v>
      </c>
      <c r="C202" s="106" t="str">
        <f>IFERROR(__xludf.DUMMYFUNCTION("arrayformula(VLOOKUP(to_Text(A202),to_Text(sheet2!$A$1:M1005),13,0))"),"ONC")</f>
        <v>ONC</v>
      </c>
      <c r="D202" s="107" t="str">
        <f>IFERROR(__xludf.DUMMYFUNCTION("arrayformula(VLOOKUP(to_Text(A202),to_Text(sheet2!$A$1:M1005),12,0))"),"QC")</f>
        <v>QC</v>
      </c>
      <c r="E202" s="108" t="str">
        <f t="shared" si="2"/>
        <v>Active</v>
      </c>
      <c r="F202" s="104" t="str">
        <f t="array" ref="F202">IFERROR(
  INDEX(ATTENDANCE_INPUT!D:D,
    MATCH(1,
      (ATTENDANCE_INPUT!A:A=A202) *
      (ATTENDANCE_INPUT!W:W=MAXIFS(ATTENDANCE_INPUT!W:W, ATTENDANCE_INPUT!A:A, A202)),
      0)),
  "")</f>
        <v>Thai Nguyen 1</v>
      </c>
      <c r="G202" s="109" t="str">
        <f t="array" ref="G202">IFERROR(
  INDEX(ATTENDANCE_INPUT!E:E,
    MATCH(1,
      (ATTENDANCE_INPUT!A:A=A202) *
      (ATTENDANCE_INPUT!W:W=MAXIFS(ATTENDANCE_INPUT!W:W, ATTENDANCE_INPUT!A:A, A202)),
      0)),
  "")</f>
        <v>Communication 1</v>
      </c>
      <c r="H202" s="110" t="str">
        <f t="array" ref="H202">IF(ISNA(MATCH(A202,sheet2!A:A,0)),"⏳ Chưa test",IFERROR(INDEX(LEVEL_HELPER!A:A,MATCH(INDEX(sheet2!N:N,MATCH(A202,sheet2!A:A,0)),LEVEL_HELPER!B:B,0)),"⏳ Chưa test"))</f>
        <v>Beginner 2</v>
      </c>
      <c r="I202" s="110" t="str">
        <f t="array" ref="I202">IF(ISNA(MATCH(A202,sheet2!A:A,0)),H202,IF(INDEX(sheet2!O:O,MATCH(A202,sheet2!A:A,0))&gt;0,IFERROR(INDEX(LEVEL_HELPER!A:A,MATCH(INDEX(sheet2!O:O,MATCH(A202,sheet2!A:A,0)),LEVEL_HELPER!B:B,0)),H202),H202))</f>
        <v>Beginner 2</v>
      </c>
      <c r="J202" s="110">
        <f>IFERROR(MAXIFS(ATTENDANCE_LOG!F:F, ATTENDANCE_LOG!C:C, A202&amp;"", ATTENDANCE_LOG!G:G, "Present"), "")</f>
        <v>46212.58333</v>
      </c>
      <c r="K202" s="111">
        <f t="shared" si="3"/>
        <v>0.4166666667</v>
      </c>
      <c r="L202" s="112" t="str">
        <f t="shared" si="4"/>
        <v/>
      </c>
      <c r="M202" s="113"/>
      <c r="N202" s="114"/>
      <c r="O202" s="113"/>
      <c r="P202" s="115">
        <f>IFERROR(__xludf.DUMMYFUNCTION("IFERROR(COUNTUNIQUEIFS(ATTENDANCE_LOG!B:B,ATTENDANCE_LOG!C:C,A202),0)"),1.0)</f>
        <v>1</v>
      </c>
      <c r="Q202" s="113" t="str">
        <f t="array" ref="Q202">IFERROR(INDEX(ATTENDANCE_LOG!A:A,MATCH(1,(ATTENDANCE_LOG!C:C=A202)*(ATTENDANCE_LOG!F:F=MAXIFS(ATTENDANCE_LOG!F:F,ATTENDANCE_LOG!C:C,A202)),0)),"")</f>
        <v>EL046</v>
      </c>
      <c r="R202" s="113" t="str">
        <f t="array" ref="R202">IFERROR(INDEX(ATTENDANCE_LOG!B:B,MATCH(1,(ATTENDANCE_LOG!C:C=A202)*(ATTENDANCE_LOG!F:F=MAXIFS(ATTENDANCE_LOG!F:F,ATTENDANCE_LOG!C:C,A202)),0)),"")</f>
        <v>Communication 1</v>
      </c>
      <c r="S202" s="113">
        <f>IFERROR(VLOOKUP(H202, LEVEL_HELPER!A:B, 2, 0), 0)</f>
        <v>1.5</v>
      </c>
      <c r="T202" s="113">
        <f>IFERROR(VLOOKUP(I202, LEVEL_HELPER!A:B, 2, 0), 0)</f>
        <v>1.5</v>
      </c>
      <c r="U202" s="113">
        <f t="shared" ref="U202:V202" si="206">IF(S202="",0,IF(S202&lt;=2,1,IF(S202&lt;=4,2,IF(S202&lt;=5.5,3,4))))
</f>
        <v>1</v>
      </c>
      <c r="V202" s="113">
        <f t="shared" si="206"/>
        <v>1</v>
      </c>
      <c r="W202" s="113" t="str">
        <f t="shared" si="6"/>
        <v>No Progress</v>
      </c>
      <c r="X202" s="113"/>
      <c r="Y202" s="113"/>
      <c r="Z202" s="113"/>
      <c r="AA202" s="113"/>
      <c r="AB202" s="102"/>
      <c r="AC202" s="102"/>
      <c r="AD202" s="103"/>
    </row>
    <row r="203" ht="15.75" customHeight="1">
      <c r="A203" s="104" t="s">
        <v>607</v>
      </c>
      <c r="B203" s="132" t="s">
        <v>608</v>
      </c>
      <c r="C203" s="106" t="str">
        <f>IFERROR(__xludf.DUMMYFUNCTION("arrayformula(VLOOKUP(to_Text(A203),to_Text(sheet2!$A$1:M1005),13,0))"),"ONC")</f>
        <v>ONC</v>
      </c>
      <c r="D203" s="107" t="str">
        <f>IFERROR(__xludf.DUMMYFUNCTION("arrayformula(VLOOKUP(to_Text(A203),to_Text(sheet2!$A$1:M1005),12,0))"),"DEV")</f>
        <v>DEV</v>
      </c>
      <c r="E203" s="108" t="str">
        <f t="shared" si="2"/>
        <v>Active</v>
      </c>
      <c r="F203" s="104" t="str">
        <f t="array" ref="F203">IFERROR(
  INDEX(ATTENDANCE_INPUT!D:D,
    MATCH(1,
      (ATTENDANCE_INPUT!A:A=A203) *
      (ATTENDANCE_INPUT!W:W=MAXIFS(ATTENDANCE_INPUT!W:W, ATTENDANCE_INPUT!A:A, A203)),
      0)),
  "")</f>
        <v>Thai Nguyen 1</v>
      </c>
      <c r="G203" s="109" t="str">
        <f t="array" ref="G203">IFERROR(
  INDEX(ATTENDANCE_INPUT!E:E,
    MATCH(1,
      (ATTENDANCE_INPUT!A:A=A203) *
      (ATTENDANCE_INPUT!W:W=MAXIFS(ATTENDANCE_INPUT!W:W, ATTENDANCE_INPUT!A:A, A203)),
      0)),
  "")</f>
        <v>Communication 1</v>
      </c>
      <c r="H203" s="110" t="str">
        <f t="array" ref="H203">IF(ISNA(MATCH(A203,sheet2!A:A,0)),"⏳ Chưa test",IFERROR(INDEX(LEVEL_HELPER!A:A,MATCH(INDEX(sheet2!N:N,MATCH(A203,sheet2!A:A,0)),LEVEL_HELPER!B:B,0)),"⏳ Chưa test"))</f>
        <v>Beginner</v>
      </c>
      <c r="I203" s="110" t="str">
        <f t="array" ref="I203">IF(ISNA(MATCH(A203,sheet2!A:A,0)),H203,IF(INDEX(sheet2!O:O,MATCH(A203,sheet2!A:A,0))&gt;0,IFERROR(INDEX(LEVEL_HELPER!A:A,MATCH(INDEX(sheet2!O:O,MATCH(A203,sheet2!A:A,0)),LEVEL_HELPER!B:B,0)),H203),H203))</f>
        <v>Beginner</v>
      </c>
      <c r="J203" s="110">
        <f>IFERROR(MAXIFS(ATTENDANCE_LOG!F:F, ATTENDANCE_LOG!C:C, A203&amp;"", ATTENDANCE_LOG!G:G, "Present"), "")</f>
        <v>46212.41667</v>
      </c>
      <c r="K203" s="111">
        <f t="shared" si="3"/>
        <v>0.5833333333</v>
      </c>
      <c r="L203" s="112" t="str">
        <f t="shared" si="4"/>
        <v/>
      </c>
      <c r="M203" s="113"/>
      <c r="N203" s="114"/>
      <c r="O203" s="133"/>
      <c r="P203" s="115">
        <f>IFERROR(__xludf.DUMMYFUNCTION("IFERROR(COUNTUNIQUEIFS(ATTENDANCE_LOG!B:B,ATTENDANCE_LOG!C:C,A203),0)"),1.0)</f>
        <v>1</v>
      </c>
      <c r="Q203" s="113" t="str">
        <f t="array" ref="Q203">IFERROR(INDEX(ATTENDANCE_LOG!A:A,MATCH(1,(ATTENDANCE_LOG!C:C=A203)*(ATTENDANCE_LOG!F:F=MAXIFS(ATTENDANCE_LOG!F:F,ATTENDANCE_LOG!C:C,A203)),0)),"")</f>
        <v>EL046</v>
      </c>
      <c r="R203" s="113" t="str">
        <f t="array" ref="R203">IFERROR(INDEX(ATTENDANCE_LOG!B:B,MATCH(1,(ATTENDANCE_LOG!C:C=A203)*(ATTENDANCE_LOG!F:F=MAXIFS(ATTENDANCE_LOG!F:F,ATTENDANCE_LOG!C:C,A203)),0)),"")</f>
        <v>Communication 1</v>
      </c>
      <c r="S203" s="113">
        <f>IFERROR(VLOOKUP(H203, LEVEL_HELPER!A:B, 2, 0), 0)</f>
        <v>1</v>
      </c>
      <c r="T203" s="113">
        <f>IFERROR(VLOOKUP(I203, LEVEL_HELPER!A:B, 2, 0), 0)</f>
        <v>1</v>
      </c>
      <c r="U203" s="113">
        <f t="shared" ref="U203:V203" si="207">IF(S203="",0,IF(S203&lt;=2,1,IF(S203&lt;=4,2,IF(S203&lt;=5.5,3,4))))
</f>
        <v>1</v>
      </c>
      <c r="V203" s="113">
        <f t="shared" si="207"/>
        <v>1</v>
      </c>
      <c r="W203" s="113" t="str">
        <f t="shared" si="6"/>
        <v>No Progress</v>
      </c>
      <c r="X203" s="133"/>
      <c r="Y203" s="133"/>
      <c r="Z203" s="133"/>
      <c r="AA203" s="133"/>
      <c r="AB203" s="102"/>
      <c r="AC203" s="102"/>
      <c r="AD203" s="103"/>
    </row>
    <row r="204" ht="15.75" customHeight="1">
      <c r="A204" s="134" t="s">
        <v>609</v>
      </c>
      <c r="B204" s="135" t="s">
        <v>610</v>
      </c>
      <c r="C204" s="106" t="str">
        <f>IFERROR(__xludf.DUMMYFUNCTION("arrayformula(VLOOKUP(to_Text(A204),to_Text(sheet2!$A$1:M1005),13,0))"),"ONC")</f>
        <v>ONC</v>
      </c>
      <c r="D204" s="107" t="str">
        <f>IFERROR(__xludf.DUMMYFUNCTION("arrayformula(VLOOKUP(to_Text(A204),to_Text(sheet2!$A$1:M1005),12,0))"),"DEV")</f>
        <v>DEV</v>
      </c>
      <c r="E204" s="108" t="str">
        <f t="shared" si="2"/>
        <v>Active</v>
      </c>
      <c r="F204" s="104" t="str">
        <f t="array" ref="F204">IFERROR(
  INDEX(ATTENDANCE_INPUT!D:D,
    MATCH(1,
      (ATTENDANCE_INPUT!A:A=A204) *
      (ATTENDANCE_INPUT!W:W=MAXIFS(ATTENDANCE_INPUT!W:W, ATTENDANCE_INPUT!A:A, A204)),
      0)),
  "")</f>
        <v>Thai Nguyen 1</v>
      </c>
      <c r="G204" s="109" t="str">
        <f t="array" ref="G204">IFERROR(
  INDEX(ATTENDANCE_INPUT!E:E,
    MATCH(1,
      (ATTENDANCE_INPUT!A:A=A204) *
      (ATTENDANCE_INPUT!W:W=MAXIFS(ATTENDANCE_INPUT!W:W, ATTENDANCE_INPUT!A:A, A204)),
      0)),
  "")</f>
        <v>Communication 1</v>
      </c>
      <c r="H204" s="110" t="str">
        <f t="array" ref="H204">IF(ISNA(MATCH(A204,sheet2!A:A,0)),"⏳ Chưa test",IFERROR(INDEX(LEVEL_HELPER!A:A,MATCH(INDEX(sheet2!N:N,MATCH(A204,sheet2!A:A,0)),LEVEL_HELPER!B:B,0)),"⏳ Chưa test"))</f>
        <v>Beginner</v>
      </c>
      <c r="I204" s="110" t="str">
        <f t="array" ref="I204">IF(ISNA(MATCH(A204,sheet2!A:A,0)),H204,IF(INDEX(sheet2!O:O,MATCH(A204,sheet2!A:A,0))&gt;0,IFERROR(INDEX(LEVEL_HELPER!A:A,MATCH(INDEX(sheet2!O:O,MATCH(A204,sheet2!A:A,0)),LEVEL_HELPER!B:B,0)),H204),H204))</f>
        <v>Beginner</v>
      </c>
      <c r="J204" s="110">
        <f>IFERROR(MAXIFS(ATTENDANCE_LOG!F:F, ATTENDANCE_LOG!C:C, A204&amp;"", ATTENDANCE_LOG!G:G, "Present"), "")</f>
        <v>46212.41667</v>
      </c>
      <c r="K204" s="111">
        <f t="shared" si="3"/>
        <v>0.5833333333</v>
      </c>
      <c r="L204" s="112" t="str">
        <f t="shared" si="4"/>
        <v/>
      </c>
      <c r="M204" s="113"/>
      <c r="N204" s="114"/>
      <c r="O204" s="136"/>
      <c r="P204" s="115">
        <f>IFERROR(__xludf.DUMMYFUNCTION("IFERROR(COUNTUNIQUEIFS(ATTENDANCE_LOG!B:B,ATTENDANCE_LOG!C:C,A204),0)"),1.0)</f>
        <v>1</v>
      </c>
      <c r="Q204" s="113" t="str">
        <f t="array" ref="Q204">IFERROR(INDEX(ATTENDANCE_LOG!A:A,MATCH(1,(ATTENDANCE_LOG!C:C=A204)*(ATTENDANCE_LOG!F:F=MAXIFS(ATTENDANCE_LOG!F:F,ATTENDANCE_LOG!C:C,A204)),0)),"")</f>
        <v>EL046</v>
      </c>
      <c r="R204" s="113" t="str">
        <f t="array" ref="R204">IFERROR(INDEX(ATTENDANCE_LOG!B:B,MATCH(1,(ATTENDANCE_LOG!C:C=A204)*(ATTENDANCE_LOG!F:F=MAXIFS(ATTENDANCE_LOG!F:F,ATTENDANCE_LOG!C:C,A204)),0)),"")</f>
        <v>Communication 1</v>
      </c>
      <c r="S204" s="113">
        <f>IFERROR(VLOOKUP(H204, LEVEL_HELPER!A:B, 2, 0), 0)</f>
        <v>1</v>
      </c>
      <c r="T204" s="113">
        <f>IFERROR(VLOOKUP(I204, LEVEL_HELPER!A:B, 2, 0), 0)</f>
        <v>1</v>
      </c>
      <c r="U204" s="113">
        <f t="shared" ref="U204:V204" si="208">IF(S204="",0,IF(S204&lt;=2,1,IF(S204&lt;=4,2,IF(S204&lt;=5.5,3,4))))
</f>
        <v>1</v>
      </c>
      <c r="V204" s="113">
        <f t="shared" si="208"/>
        <v>1</v>
      </c>
      <c r="W204" s="113" t="str">
        <f t="shared" si="6"/>
        <v>No Progress</v>
      </c>
      <c r="X204" s="136"/>
      <c r="Y204" s="136"/>
      <c r="Z204" s="136"/>
      <c r="AA204" s="136"/>
      <c r="AB204" s="102"/>
      <c r="AC204" s="102"/>
      <c r="AD204" s="103"/>
    </row>
    <row r="205" ht="15.75" customHeight="1">
      <c r="A205" s="137" t="s">
        <v>611</v>
      </c>
      <c r="B205" s="132" t="s">
        <v>612</v>
      </c>
      <c r="C205" s="106" t="str">
        <f>IFERROR(__xludf.DUMMYFUNCTION("arrayformula(VLOOKUP(to_Text(A205),to_Text(sheet2!$A$1:M1005),13,0))"),"ONC")</f>
        <v>ONC</v>
      </c>
      <c r="D205" s="107" t="str">
        <f>IFERROR(__xludf.DUMMYFUNCTION("arrayformula(VLOOKUP(to_Text(A205),to_Text(sheet2!$A$1:M1005),12,0))"),"DEV")</f>
        <v>DEV</v>
      </c>
      <c r="E205" s="108" t="str">
        <f t="shared" si="2"/>
        <v>Active</v>
      </c>
      <c r="F205" s="104" t="str">
        <f t="array" ref="F205">IFERROR(
  INDEX(ATTENDANCE_INPUT!D:D,
    MATCH(1,
      (ATTENDANCE_INPUT!A:A=A205) *
      (ATTENDANCE_INPUT!W:W=MAXIFS(ATTENDANCE_INPUT!W:W, ATTENDANCE_INPUT!A:A, A205)),
      0)),
  "")</f>
        <v>Thai Nguyen 1</v>
      </c>
      <c r="G205" s="109" t="str">
        <f t="array" ref="G205">IFERROR(
  INDEX(ATTENDANCE_INPUT!E:E,
    MATCH(1,
      (ATTENDANCE_INPUT!A:A=A205) *
      (ATTENDANCE_INPUT!W:W=MAXIFS(ATTENDANCE_INPUT!W:W, ATTENDANCE_INPUT!A:A, A205)),
      0)),
  "")</f>
        <v>Communication 1</v>
      </c>
      <c r="H205" s="110" t="str">
        <f t="array" ref="H205">IF(ISNA(MATCH(A205,sheet2!A:A,0)),"⏳ Chưa test",IFERROR(INDEX(LEVEL_HELPER!A:A,MATCH(INDEX(sheet2!N:N,MATCH(A205,sheet2!A:A,0)),LEVEL_HELPER!B:B,0)),"⏳ Chưa test"))</f>
        <v>Beginner</v>
      </c>
      <c r="I205" s="110" t="str">
        <f t="array" ref="I205">IF(ISNA(MATCH(A205,sheet2!A:A,0)),H205,IF(INDEX(sheet2!O:O,MATCH(A205,sheet2!A:A,0))&gt;0,IFERROR(INDEX(LEVEL_HELPER!A:A,MATCH(INDEX(sheet2!O:O,MATCH(A205,sheet2!A:A,0)),LEVEL_HELPER!B:B,0)),H205),H205))</f>
        <v>Beginner</v>
      </c>
      <c r="J205" s="110">
        <f>IFERROR(MAXIFS(ATTENDANCE_LOG!F:F, ATTENDANCE_LOG!C:C, A205&amp;"", ATTENDANCE_LOG!G:G, "Present"), "")</f>
        <v>46212.41667</v>
      </c>
      <c r="K205" s="111">
        <f t="shared" si="3"/>
        <v>0.5833333333</v>
      </c>
      <c r="L205" s="112" t="str">
        <f t="shared" si="4"/>
        <v/>
      </c>
      <c r="M205" s="113"/>
      <c r="N205" s="114"/>
      <c r="O205" s="133"/>
      <c r="P205" s="115">
        <f>IFERROR(__xludf.DUMMYFUNCTION("IFERROR(COUNTUNIQUEIFS(ATTENDANCE_LOG!B:B,ATTENDANCE_LOG!C:C,A205),0)"),1.0)</f>
        <v>1</v>
      </c>
      <c r="Q205" s="113" t="str">
        <f t="array" ref="Q205">IFERROR(INDEX(ATTENDANCE_LOG!A:A,MATCH(1,(ATTENDANCE_LOG!C:C=A205)*(ATTENDANCE_LOG!F:F=MAXIFS(ATTENDANCE_LOG!F:F,ATTENDANCE_LOG!C:C,A205)),0)),"")</f>
        <v>EL046</v>
      </c>
      <c r="R205" s="113" t="str">
        <f t="array" ref="R205">IFERROR(INDEX(ATTENDANCE_LOG!B:B,MATCH(1,(ATTENDANCE_LOG!C:C=A205)*(ATTENDANCE_LOG!F:F=MAXIFS(ATTENDANCE_LOG!F:F,ATTENDANCE_LOG!C:C,A205)),0)),"")</f>
        <v>Communication 1</v>
      </c>
      <c r="S205" s="113">
        <f>IFERROR(VLOOKUP(H205, LEVEL_HELPER!A:B, 2, 0), 0)</f>
        <v>1</v>
      </c>
      <c r="T205" s="113">
        <f>IFERROR(VLOOKUP(I205, LEVEL_HELPER!A:B, 2, 0), 0)</f>
        <v>1</v>
      </c>
      <c r="U205" s="113">
        <f t="shared" ref="U205:V205" si="209">IF(S205="",0,IF(S205&lt;=2,1,IF(S205&lt;=4,2,IF(S205&lt;=5.5,3,4))))
</f>
        <v>1</v>
      </c>
      <c r="V205" s="113">
        <f t="shared" si="209"/>
        <v>1</v>
      </c>
      <c r="W205" s="113" t="str">
        <f t="shared" si="6"/>
        <v>No Progress</v>
      </c>
      <c r="X205" s="133"/>
      <c r="Y205" s="133"/>
      <c r="Z205" s="133"/>
      <c r="AA205" s="133"/>
      <c r="AB205" s="102"/>
      <c r="AC205" s="102"/>
      <c r="AD205" s="103"/>
    </row>
    <row r="206" ht="15.75" customHeight="1">
      <c r="A206" s="134" t="s">
        <v>613</v>
      </c>
      <c r="B206" s="135" t="s">
        <v>614</v>
      </c>
      <c r="C206" s="106" t="str">
        <f>IFERROR(__xludf.DUMMYFUNCTION("arrayformula(VLOOKUP(to_Text(A206),to_Text(sheet2!$A$1:M1005),13,0))"),"ONC")</f>
        <v>ONC</v>
      </c>
      <c r="D206" s="107" t="str">
        <f>IFERROR(__xludf.DUMMYFUNCTION("arrayformula(VLOOKUP(to_Text(A206),to_Text(sheet2!$A$1:M1005),12,0))"),"DEV")</f>
        <v>DEV</v>
      </c>
      <c r="E206" s="108" t="str">
        <f t="shared" si="2"/>
        <v>Active</v>
      </c>
      <c r="F206" s="104" t="str">
        <f t="array" ref="F206">IFERROR(
  INDEX(ATTENDANCE_INPUT!D:D,
    MATCH(1,
      (ATTENDANCE_INPUT!A:A=A206) *
      (ATTENDANCE_INPUT!W:W=MAXIFS(ATTENDANCE_INPUT!W:W, ATTENDANCE_INPUT!A:A, A206)),
      0)),
  "")</f>
        <v>Thai Nguyen 1</v>
      </c>
      <c r="G206" s="109" t="str">
        <f t="array" ref="G206">IFERROR(
  INDEX(ATTENDANCE_INPUT!E:E,
    MATCH(1,
      (ATTENDANCE_INPUT!A:A=A206) *
      (ATTENDANCE_INPUT!W:W=MAXIFS(ATTENDANCE_INPUT!W:W, ATTENDANCE_INPUT!A:A, A206)),
      0)),
  "")</f>
        <v>Communication 1</v>
      </c>
      <c r="H206" s="110" t="str">
        <f t="array" ref="H206">IF(ISNA(MATCH(A206,sheet2!A:A,0)),"⏳ Chưa test",IFERROR(INDEX(LEVEL_HELPER!A:A,MATCH(INDEX(sheet2!N:N,MATCH(A206,sheet2!A:A,0)),LEVEL_HELPER!B:B,0)),"⏳ Chưa test"))</f>
        <v>Beginner</v>
      </c>
      <c r="I206" s="110" t="str">
        <f t="array" ref="I206">IF(ISNA(MATCH(A206,sheet2!A:A,0)),H206,IF(INDEX(sheet2!O:O,MATCH(A206,sheet2!A:A,0))&gt;0,IFERROR(INDEX(LEVEL_HELPER!A:A,MATCH(INDEX(sheet2!O:O,MATCH(A206,sheet2!A:A,0)),LEVEL_HELPER!B:B,0)),H206),H206))</f>
        <v>Beginner</v>
      </c>
      <c r="J206" s="110">
        <f>IFERROR(MAXIFS(ATTENDANCE_LOG!F:F, ATTENDANCE_LOG!C:C, A206&amp;"", ATTENDANCE_LOG!G:G, "Present"), "")</f>
        <v>46212.41667</v>
      </c>
      <c r="K206" s="111">
        <f t="shared" si="3"/>
        <v>0.5833333333</v>
      </c>
      <c r="L206" s="112" t="str">
        <f t="shared" si="4"/>
        <v/>
      </c>
      <c r="M206" s="113"/>
      <c r="N206" s="114"/>
      <c r="O206" s="136"/>
      <c r="P206" s="115">
        <f>IFERROR(__xludf.DUMMYFUNCTION("IFERROR(COUNTUNIQUEIFS(ATTENDANCE_LOG!B:B,ATTENDANCE_LOG!C:C,A206),0)"),1.0)</f>
        <v>1</v>
      </c>
      <c r="Q206" s="113" t="str">
        <f t="array" ref="Q206">IFERROR(INDEX(ATTENDANCE_LOG!A:A,MATCH(1,(ATTENDANCE_LOG!C:C=A206)*(ATTENDANCE_LOG!F:F=MAXIFS(ATTENDANCE_LOG!F:F,ATTENDANCE_LOG!C:C,A206)),0)),"")</f>
        <v>EL046</v>
      </c>
      <c r="R206" s="113" t="str">
        <f t="array" ref="R206">IFERROR(INDEX(ATTENDANCE_LOG!B:B,MATCH(1,(ATTENDANCE_LOG!C:C=A206)*(ATTENDANCE_LOG!F:F=MAXIFS(ATTENDANCE_LOG!F:F,ATTENDANCE_LOG!C:C,A206)),0)),"")</f>
        <v>Communication 1</v>
      </c>
      <c r="S206" s="113">
        <f>IFERROR(VLOOKUP(H206, LEVEL_HELPER!A:B, 2, 0), 0)</f>
        <v>1</v>
      </c>
      <c r="T206" s="113">
        <f>IFERROR(VLOOKUP(I206, LEVEL_HELPER!A:B, 2, 0), 0)</f>
        <v>1</v>
      </c>
      <c r="U206" s="113">
        <f t="shared" ref="U206:V206" si="210">IF(S206="",0,IF(S206&lt;=2,1,IF(S206&lt;=4,2,IF(S206&lt;=5.5,3,4))))
</f>
        <v>1</v>
      </c>
      <c r="V206" s="113">
        <f t="shared" si="210"/>
        <v>1</v>
      </c>
      <c r="W206" s="113" t="str">
        <f t="shared" si="6"/>
        <v>No Progress</v>
      </c>
      <c r="X206" s="136"/>
      <c r="Y206" s="136"/>
      <c r="Z206" s="136"/>
      <c r="AA206" s="136"/>
      <c r="AB206" s="102"/>
      <c r="AC206" s="102"/>
      <c r="AD206" s="103"/>
    </row>
    <row r="207" ht="15.75" customHeight="1">
      <c r="A207" s="137" t="s">
        <v>615</v>
      </c>
      <c r="B207" s="132" t="s">
        <v>616</v>
      </c>
      <c r="C207" s="106" t="str">
        <f>IFERROR(__xludf.DUMMYFUNCTION("arrayformula(VLOOKUP(to_Text(A207),to_Text(sheet2!$A$1:M1005),13,0))"),"ONC")</f>
        <v>ONC</v>
      </c>
      <c r="D207" s="107" t="str">
        <f>IFERROR(__xludf.DUMMYFUNCTION("arrayformula(VLOOKUP(to_Text(A207),to_Text(sheet2!$A$1:M1005),12,0))"),"DEV")</f>
        <v>DEV</v>
      </c>
      <c r="E207" s="108" t="str">
        <f t="shared" si="2"/>
        <v>Active</v>
      </c>
      <c r="F207" s="104" t="str">
        <f t="array" ref="F207">IFERROR(
  INDEX(ATTENDANCE_INPUT!D:D,
    MATCH(1,
      (ATTENDANCE_INPUT!A:A=A207) *
      (ATTENDANCE_INPUT!W:W=MAXIFS(ATTENDANCE_INPUT!W:W, ATTENDANCE_INPUT!A:A, A207)),
      0)),
  "")</f>
        <v>Thai Nguyen 1</v>
      </c>
      <c r="G207" s="109" t="str">
        <f t="array" ref="G207">IFERROR(
  INDEX(ATTENDANCE_INPUT!E:E,
    MATCH(1,
      (ATTENDANCE_INPUT!A:A=A207) *
      (ATTENDANCE_INPUT!W:W=MAXIFS(ATTENDANCE_INPUT!W:W, ATTENDANCE_INPUT!A:A, A207)),
      0)),
  "")</f>
        <v>Communication 1</v>
      </c>
      <c r="H207" s="110" t="str">
        <f t="array" ref="H207">IF(ISNA(MATCH(A207,sheet2!A:A,0)),"⏳ Chưa test",IFERROR(INDEX(LEVEL_HELPER!A:A,MATCH(INDEX(sheet2!N:N,MATCH(A207,sheet2!A:A,0)),LEVEL_HELPER!B:B,0)),"⏳ Chưa test"))</f>
        <v>Beginner</v>
      </c>
      <c r="I207" s="110" t="str">
        <f t="array" ref="I207">IF(ISNA(MATCH(A207,sheet2!A:A,0)),H207,IF(INDEX(sheet2!O:O,MATCH(A207,sheet2!A:A,0))&gt;0,IFERROR(INDEX(LEVEL_HELPER!A:A,MATCH(INDEX(sheet2!O:O,MATCH(A207,sheet2!A:A,0)),LEVEL_HELPER!B:B,0)),H207),H207))</f>
        <v>Beginner</v>
      </c>
      <c r="J207" s="110">
        <f>IFERROR(MAXIFS(ATTENDANCE_LOG!F:F, ATTENDANCE_LOG!C:C, A207&amp;"", ATTENDANCE_LOG!G:G, "Present"), "")</f>
        <v>46212.41667</v>
      </c>
      <c r="K207" s="111">
        <f t="shared" si="3"/>
        <v>0.5833333333</v>
      </c>
      <c r="L207" s="112" t="str">
        <f t="shared" si="4"/>
        <v/>
      </c>
      <c r="M207" s="113"/>
      <c r="N207" s="114"/>
      <c r="O207" s="133"/>
      <c r="P207" s="115">
        <f>IFERROR(__xludf.DUMMYFUNCTION("IFERROR(COUNTUNIQUEIFS(ATTENDANCE_LOG!B:B,ATTENDANCE_LOG!C:C,A207),0)"),1.0)</f>
        <v>1</v>
      </c>
      <c r="Q207" s="113" t="str">
        <f t="array" ref="Q207">IFERROR(INDEX(ATTENDANCE_LOG!A:A,MATCH(1,(ATTENDANCE_LOG!C:C=A207)*(ATTENDANCE_LOG!F:F=MAXIFS(ATTENDANCE_LOG!F:F,ATTENDANCE_LOG!C:C,A207)),0)),"")</f>
        <v>EL046</v>
      </c>
      <c r="R207" s="113" t="str">
        <f t="array" ref="R207">IFERROR(INDEX(ATTENDANCE_LOG!B:B,MATCH(1,(ATTENDANCE_LOG!C:C=A207)*(ATTENDANCE_LOG!F:F=MAXIFS(ATTENDANCE_LOG!F:F,ATTENDANCE_LOG!C:C,A207)),0)),"")</f>
        <v>Communication 1</v>
      </c>
      <c r="S207" s="113">
        <f>IFERROR(VLOOKUP(H207, LEVEL_HELPER!A:B, 2, 0), 0)</f>
        <v>1</v>
      </c>
      <c r="T207" s="113">
        <f>IFERROR(VLOOKUP(I207, LEVEL_HELPER!A:B, 2, 0), 0)</f>
        <v>1</v>
      </c>
      <c r="U207" s="113">
        <f t="shared" ref="U207:V207" si="211">IF(S207="",0,IF(S207&lt;=2,1,IF(S207&lt;=4,2,IF(S207&lt;=5.5,3,4))))
</f>
        <v>1</v>
      </c>
      <c r="V207" s="113">
        <f t="shared" si="211"/>
        <v>1</v>
      </c>
      <c r="W207" s="113" t="str">
        <f t="shared" si="6"/>
        <v>No Progress</v>
      </c>
      <c r="X207" s="133"/>
      <c r="Y207" s="133"/>
      <c r="Z207" s="133"/>
      <c r="AA207" s="133"/>
      <c r="AB207" s="102"/>
      <c r="AC207" s="102"/>
      <c r="AD207" s="103"/>
    </row>
    <row r="208" ht="15.75" customHeight="1">
      <c r="A208" s="134" t="s">
        <v>617</v>
      </c>
      <c r="B208" s="135" t="s">
        <v>618</v>
      </c>
      <c r="C208" s="106" t="str">
        <f>IFERROR(__xludf.DUMMYFUNCTION("arrayformula(VLOOKUP(to_Text(A208),to_Text(sheet2!$A$1:M1005),13,0))"),"ONC")</f>
        <v>ONC</v>
      </c>
      <c r="D208" s="107" t="str">
        <f>IFERROR(__xludf.DUMMYFUNCTION("arrayformula(VLOOKUP(to_Text(A208),to_Text(sheet2!$A$1:M1005),12,0))"),"DEV")</f>
        <v>DEV</v>
      </c>
      <c r="E208" s="108" t="str">
        <f t="shared" si="2"/>
        <v>Active</v>
      </c>
      <c r="F208" s="104" t="str">
        <f t="array" ref="F208">IFERROR(
  INDEX(ATTENDANCE_INPUT!D:D,
    MATCH(1,
      (ATTENDANCE_INPUT!A:A=A208) *
      (ATTENDANCE_INPUT!W:W=MAXIFS(ATTENDANCE_INPUT!W:W, ATTENDANCE_INPUT!A:A, A208)),
      0)),
  "")</f>
        <v>Thai Nguyen 1</v>
      </c>
      <c r="G208" s="109" t="str">
        <f t="array" ref="G208">IFERROR(
  INDEX(ATTENDANCE_INPUT!E:E,
    MATCH(1,
      (ATTENDANCE_INPUT!A:A=A208) *
      (ATTENDANCE_INPUT!W:W=MAXIFS(ATTENDANCE_INPUT!W:W, ATTENDANCE_INPUT!A:A, A208)),
      0)),
  "")</f>
        <v>Communication 1</v>
      </c>
      <c r="H208" s="110" t="str">
        <f t="array" ref="H208">IF(ISNA(MATCH(A208,sheet2!A:A,0)),"⏳ Chưa test",IFERROR(INDEX(LEVEL_HELPER!A:A,MATCH(INDEX(sheet2!N:N,MATCH(A208,sheet2!A:A,0)),LEVEL_HELPER!B:B,0)),"⏳ Chưa test"))</f>
        <v>Beginner</v>
      </c>
      <c r="I208" s="110" t="str">
        <f t="array" ref="I208">IF(ISNA(MATCH(A208,sheet2!A:A,0)),H208,IF(INDEX(sheet2!O:O,MATCH(A208,sheet2!A:A,0))&gt;0,IFERROR(INDEX(LEVEL_HELPER!A:A,MATCH(INDEX(sheet2!O:O,MATCH(A208,sheet2!A:A,0)),LEVEL_HELPER!B:B,0)),H208),H208))</f>
        <v>Beginner</v>
      </c>
      <c r="J208" s="110">
        <f>IFERROR(MAXIFS(ATTENDANCE_LOG!F:F, ATTENDANCE_LOG!C:C, A208&amp;"", ATTENDANCE_LOG!G:G, "Present"), "")</f>
        <v>46212.41667</v>
      </c>
      <c r="K208" s="111">
        <f t="shared" si="3"/>
        <v>0.5833333333</v>
      </c>
      <c r="L208" s="112" t="str">
        <f t="shared" si="4"/>
        <v/>
      </c>
      <c r="M208" s="113"/>
      <c r="N208" s="114"/>
      <c r="O208" s="136"/>
      <c r="P208" s="115">
        <f>IFERROR(__xludf.DUMMYFUNCTION("IFERROR(COUNTUNIQUEIFS(ATTENDANCE_LOG!B:B,ATTENDANCE_LOG!C:C,A208),0)"),1.0)</f>
        <v>1</v>
      </c>
      <c r="Q208" s="113" t="str">
        <f t="array" ref="Q208">IFERROR(INDEX(ATTENDANCE_LOG!A:A,MATCH(1,(ATTENDANCE_LOG!C:C=A208)*(ATTENDANCE_LOG!F:F=MAXIFS(ATTENDANCE_LOG!F:F,ATTENDANCE_LOG!C:C,A208)),0)),"")</f>
        <v>EL046</v>
      </c>
      <c r="R208" s="113" t="str">
        <f t="array" ref="R208">IFERROR(INDEX(ATTENDANCE_LOG!B:B,MATCH(1,(ATTENDANCE_LOG!C:C=A208)*(ATTENDANCE_LOG!F:F=MAXIFS(ATTENDANCE_LOG!F:F,ATTENDANCE_LOG!C:C,A208)),0)),"")</f>
        <v>Communication 1</v>
      </c>
      <c r="S208" s="113">
        <f>IFERROR(VLOOKUP(H208, LEVEL_HELPER!A:B, 2, 0), 0)</f>
        <v>1</v>
      </c>
      <c r="T208" s="113">
        <f>IFERROR(VLOOKUP(I208, LEVEL_HELPER!A:B, 2, 0), 0)</f>
        <v>1</v>
      </c>
      <c r="U208" s="113">
        <f t="shared" ref="U208:V208" si="212">IF(S208="",0,IF(S208&lt;=2,1,IF(S208&lt;=4,2,IF(S208&lt;=5.5,3,4))))
</f>
        <v>1</v>
      </c>
      <c r="V208" s="113">
        <f t="shared" si="212"/>
        <v>1</v>
      </c>
      <c r="W208" s="113" t="str">
        <f t="shared" si="6"/>
        <v>No Progress</v>
      </c>
      <c r="X208" s="136"/>
      <c r="Y208" s="136"/>
      <c r="Z208" s="136"/>
      <c r="AA208" s="136"/>
      <c r="AB208" s="102"/>
      <c r="AC208" s="102"/>
      <c r="AD208" s="103"/>
    </row>
    <row r="209" ht="15.75" customHeight="1">
      <c r="A209" s="137" t="s">
        <v>619</v>
      </c>
      <c r="B209" s="132" t="s">
        <v>620</v>
      </c>
      <c r="C209" s="106" t="str">
        <f>IFERROR(__xludf.DUMMYFUNCTION("arrayformula(VLOOKUP(to_Text(A209),to_Text(sheet2!$A$1:M1005),13,0))"),"ONC")</f>
        <v>ONC</v>
      </c>
      <c r="D209" s="107" t="str">
        <f>IFERROR(__xludf.DUMMYFUNCTION("arrayformula(VLOOKUP(to_Text(A209),to_Text(sheet2!$A$1:M1005),12,0))"),"DEV")</f>
        <v>DEV</v>
      </c>
      <c r="E209" s="108" t="str">
        <f t="shared" si="2"/>
        <v>Active</v>
      </c>
      <c r="F209" s="104" t="str">
        <f t="array" ref="F209">IFERROR(
  INDEX(ATTENDANCE_INPUT!D:D,
    MATCH(1,
      (ATTENDANCE_INPUT!A:A=A209) *
      (ATTENDANCE_INPUT!W:W=MAXIFS(ATTENDANCE_INPUT!W:W, ATTENDANCE_INPUT!A:A, A209)),
      0)),
  "")</f>
        <v>Thai Nguyen 2</v>
      </c>
      <c r="G209" s="109" t="str">
        <f t="array" ref="G209">IFERROR(
  INDEX(ATTENDANCE_INPUT!E:E,
    MATCH(1,
      (ATTENDANCE_INPUT!A:A=A209) *
      (ATTENDANCE_INPUT!W:W=MAXIFS(ATTENDANCE_INPUT!W:W, ATTENDANCE_INPUT!A:A, A209)),
      0)),
  "")</f>
        <v>Communication 1</v>
      </c>
      <c r="H209" s="110" t="str">
        <f t="array" ref="H209">IF(ISNA(MATCH(A209,sheet2!A:A,0)),"⏳ Chưa test",IFERROR(INDEX(LEVEL_HELPER!A:A,MATCH(INDEX(sheet2!N:N,MATCH(A209,sheet2!A:A,0)),LEVEL_HELPER!B:B,0)),"⏳ Chưa test"))</f>
        <v>Beginner</v>
      </c>
      <c r="I209" s="110" t="str">
        <f t="array" ref="I209">IF(ISNA(MATCH(A209,sheet2!A:A,0)),H209,IF(INDEX(sheet2!O:O,MATCH(A209,sheet2!A:A,0))&gt;0,IFERROR(INDEX(LEVEL_HELPER!A:A,MATCH(INDEX(sheet2!O:O,MATCH(A209,sheet2!A:A,0)),LEVEL_HELPER!B:B,0)),H209),H209))</f>
        <v>Beginner</v>
      </c>
      <c r="J209" s="110">
        <f>IFERROR(MAXIFS(ATTENDANCE_LOG!F:F, ATTENDANCE_LOG!C:C, A209&amp;"", ATTENDANCE_LOG!G:G, "Present"), "")</f>
        <v>46212.58333</v>
      </c>
      <c r="K209" s="111">
        <f t="shared" si="3"/>
        <v>0.4166666667</v>
      </c>
      <c r="L209" s="112" t="str">
        <f t="shared" si="4"/>
        <v/>
      </c>
      <c r="M209" s="113"/>
      <c r="N209" s="114"/>
      <c r="O209" s="133"/>
      <c r="P209" s="115">
        <f>IFERROR(__xludf.DUMMYFUNCTION("IFERROR(COUNTUNIQUEIFS(ATTENDANCE_LOG!B:B,ATTENDANCE_LOG!C:C,A209),0)"),1.0)</f>
        <v>1</v>
      </c>
      <c r="Q209" s="113" t="str">
        <f t="array" ref="Q209">IFERROR(INDEX(ATTENDANCE_LOG!A:A,MATCH(1,(ATTENDANCE_LOG!C:C=A209)*(ATTENDANCE_LOG!F:F=MAXIFS(ATTENDANCE_LOG!F:F,ATTENDANCE_LOG!C:C,A209)),0)),"")</f>
        <v>EL047</v>
      </c>
      <c r="R209" s="113" t="str">
        <f t="array" ref="R209">IFERROR(INDEX(ATTENDANCE_LOG!B:B,MATCH(1,(ATTENDANCE_LOG!C:C=A209)*(ATTENDANCE_LOG!F:F=MAXIFS(ATTENDANCE_LOG!F:F,ATTENDANCE_LOG!C:C,A209)),0)),"")</f>
        <v>Communication 1</v>
      </c>
      <c r="S209" s="113">
        <f>IFERROR(VLOOKUP(H209, LEVEL_HELPER!A:B, 2, 0), 0)</f>
        <v>1</v>
      </c>
      <c r="T209" s="113">
        <f>IFERROR(VLOOKUP(I209, LEVEL_HELPER!A:B, 2, 0), 0)</f>
        <v>1</v>
      </c>
      <c r="U209" s="113">
        <f t="shared" ref="U209:V209" si="213">IF(S209="",0,IF(S209&lt;=2,1,IF(S209&lt;=4,2,IF(S209&lt;=5.5,3,4))))
</f>
        <v>1</v>
      </c>
      <c r="V209" s="113">
        <f t="shared" si="213"/>
        <v>1</v>
      </c>
      <c r="W209" s="113" t="str">
        <f t="shared" si="6"/>
        <v>No Progress</v>
      </c>
      <c r="X209" s="133"/>
      <c r="Y209" s="133"/>
      <c r="Z209" s="133"/>
      <c r="AA209" s="133"/>
      <c r="AB209" s="102"/>
      <c r="AC209" s="102"/>
      <c r="AD209" s="103"/>
    </row>
    <row r="210" ht="15.75" customHeight="1">
      <c r="A210" s="134" t="s">
        <v>621</v>
      </c>
      <c r="B210" s="135" t="s">
        <v>622</v>
      </c>
      <c r="C210" s="106" t="str">
        <f>IFERROR(__xludf.DUMMYFUNCTION("arrayformula(VLOOKUP(to_Text(A210),to_Text(sheet2!$A$1:M1005),13,0))"),"ONC")</f>
        <v>ONC</v>
      </c>
      <c r="D210" s="107" t="str">
        <f>IFERROR(__xludf.DUMMYFUNCTION("arrayformula(VLOOKUP(to_Text(A210),to_Text(sheet2!$A$1:M1005),12,0))"),"DEV")</f>
        <v>DEV</v>
      </c>
      <c r="E210" s="108" t="str">
        <f t="shared" si="2"/>
        <v>Active</v>
      </c>
      <c r="F210" s="104" t="str">
        <f t="array" ref="F210">IFERROR(
  INDEX(ATTENDANCE_INPUT!D:D,
    MATCH(1,
      (ATTENDANCE_INPUT!A:A=A210) *
      (ATTENDANCE_INPUT!W:W=MAXIFS(ATTENDANCE_INPUT!W:W, ATTENDANCE_INPUT!A:A, A210)),
      0)),
  "")</f>
        <v>Thai Nguyen 2</v>
      </c>
      <c r="G210" s="109" t="str">
        <f t="array" ref="G210">IFERROR(
  INDEX(ATTENDANCE_INPUT!E:E,
    MATCH(1,
      (ATTENDANCE_INPUT!A:A=A210) *
      (ATTENDANCE_INPUT!W:W=MAXIFS(ATTENDANCE_INPUT!W:W, ATTENDANCE_INPUT!A:A, A210)),
      0)),
  "")</f>
        <v>Communication 1</v>
      </c>
      <c r="H210" s="110" t="str">
        <f t="array" ref="H210">IF(ISNA(MATCH(A210,sheet2!A:A,0)),"⏳ Chưa test",IFERROR(INDEX(LEVEL_HELPER!A:A,MATCH(INDEX(sheet2!N:N,MATCH(A210,sheet2!A:A,0)),LEVEL_HELPER!B:B,0)),"⏳ Chưa test"))</f>
        <v>Beginner</v>
      </c>
      <c r="I210" s="110" t="str">
        <f t="array" ref="I210">IF(ISNA(MATCH(A210,sheet2!A:A,0)),H210,IF(INDEX(sheet2!O:O,MATCH(A210,sheet2!A:A,0))&gt;0,IFERROR(INDEX(LEVEL_HELPER!A:A,MATCH(INDEX(sheet2!O:O,MATCH(A210,sheet2!A:A,0)),LEVEL_HELPER!B:B,0)),H210),H210))</f>
        <v>Beginner</v>
      </c>
      <c r="J210" s="110">
        <f>IFERROR(MAXIFS(ATTENDANCE_LOG!F:F, ATTENDANCE_LOG!C:C, A210&amp;"", ATTENDANCE_LOG!G:G, "Present"), "")</f>
        <v>46212.58333</v>
      </c>
      <c r="K210" s="111">
        <f t="shared" si="3"/>
        <v>0.4166666667</v>
      </c>
      <c r="L210" s="112" t="str">
        <f t="shared" si="4"/>
        <v/>
      </c>
      <c r="M210" s="113"/>
      <c r="N210" s="114"/>
      <c r="O210" s="136"/>
      <c r="P210" s="115">
        <f>IFERROR(__xludf.DUMMYFUNCTION("IFERROR(COUNTUNIQUEIFS(ATTENDANCE_LOG!B:B,ATTENDANCE_LOG!C:C,A210),0)"),1.0)</f>
        <v>1</v>
      </c>
      <c r="Q210" s="113" t="str">
        <f t="array" ref="Q210">IFERROR(INDEX(ATTENDANCE_LOG!A:A,MATCH(1,(ATTENDANCE_LOG!C:C=A210)*(ATTENDANCE_LOG!F:F=MAXIFS(ATTENDANCE_LOG!F:F,ATTENDANCE_LOG!C:C,A210)),0)),"")</f>
        <v>EL047</v>
      </c>
      <c r="R210" s="113" t="str">
        <f t="array" ref="R210">IFERROR(INDEX(ATTENDANCE_LOG!B:B,MATCH(1,(ATTENDANCE_LOG!C:C=A210)*(ATTENDANCE_LOG!F:F=MAXIFS(ATTENDANCE_LOG!F:F,ATTENDANCE_LOG!C:C,A210)),0)),"")</f>
        <v>Communication 1</v>
      </c>
      <c r="S210" s="113">
        <f>IFERROR(VLOOKUP(H210, LEVEL_HELPER!A:B, 2, 0), 0)</f>
        <v>1</v>
      </c>
      <c r="T210" s="113">
        <f>IFERROR(VLOOKUP(I210, LEVEL_HELPER!A:B, 2, 0), 0)</f>
        <v>1</v>
      </c>
      <c r="U210" s="113">
        <f t="shared" ref="U210:V210" si="214">IF(S210="",0,IF(S210&lt;=2,1,IF(S210&lt;=4,2,IF(S210&lt;=5.5,3,4))))
</f>
        <v>1</v>
      </c>
      <c r="V210" s="113">
        <f t="shared" si="214"/>
        <v>1</v>
      </c>
      <c r="W210" s="113" t="str">
        <f t="shared" si="6"/>
        <v>No Progress</v>
      </c>
      <c r="X210" s="136"/>
      <c r="Y210" s="136"/>
      <c r="Z210" s="136"/>
      <c r="AA210" s="136"/>
      <c r="AB210" s="102"/>
      <c r="AC210" s="102"/>
      <c r="AD210" s="103"/>
    </row>
    <row r="211" ht="15.75" customHeight="1">
      <c r="A211" s="137" t="s">
        <v>623</v>
      </c>
      <c r="B211" s="105" t="s">
        <v>624</v>
      </c>
      <c r="C211" s="106" t="str">
        <f>IFERROR(__xludf.DUMMYFUNCTION("arrayformula(VLOOKUP(to_Text(A211),to_Text(sheet2!$A$1:M1005),13,0))"),"ONC")</f>
        <v>ONC</v>
      </c>
      <c r="D211" s="107" t="str">
        <f>IFERROR(__xludf.DUMMYFUNCTION("arrayformula(VLOOKUP(to_Text(A211),to_Text(sheet2!$A$1:M1005),12,0))"),"DEV")</f>
        <v>DEV</v>
      </c>
      <c r="E211" s="108" t="str">
        <f t="shared" si="2"/>
        <v>Active</v>
      </c>
      <c r="F211" s="127" t="str">
        <f t="array" ref="F211">IFERROR(
  INDEX(ATTENDANCE_INPUT!D:D,
    MATCH(1,
      (ATTENDANCE_INPUT!A:A=A211) *
      (ATTENDANCE_INPUT!W:W=MAXIFS(ATTENDANCE_INPUT!W:W, ATTENDANCE_INPUT!A:A, A211)),
      0)),
  "")</f>
        <v>Thai Nguyen 2</v>
      </c>
      <c r="G211" s="109" t="str">
        <f t="array" ref="G211">IFERROR(
  INDEX(ATTENDANCE_INPUT!E:E,
    MATCH(1,
      (ATTENDANCE_INPUT!A:A=A211) *
      (ATTENDANCE_INPUT!W:W=MAXIFS(ATTENDANCE_INPUT!W:W, ATTENDANCE_INPUT!A:A, A211)),
      0)),
  "")</f>
        <v>Communication 1</v>
      </c>
      <c r="H211" s="110" t="str">
        <f t="array" ref="H211">IF(ISNA(MATCH(A211,sheet2!A:A,0)),"⏳ Chưa test",IFERROR(INDEX(LEVEL_HELPER!A:A,MATCH(INDEX(sheet2!N:N,MATCH(A211,sheet2!A:A,0)),LEVEL_HELPER!B:B,0)),"⏳ Chưa test"))</f>
        <v>Beginner</v>
      </c>
      <c r="I211" s="110" t="str">
        <f t="array" ref="I211">IF(ISNA(MATCH(A211,sheet2!A:A,0)),H211,IF(INDEX(sheet2!O:O,MATCH(A211,sheet2!A:A,0))&gt;0,IFERROR(INDEX(LEVEL_HELPER!A:A,MATCH(INDEX(sheet2!O:O,MATCH(A211,sheet2!A:A,0)),LEVEL_HELPER!B:B,0)),H211),H211))</f>
        <v>Beginner</v>
      </c>
      <c r="J211" s="110">
        <f>IFERROR(MAXIFS(ATTENDANCE_LOG!F:F, ATTENDANCE_LOG!C:C, A211&amp;"", ATTENDANCE_LOG!G:G, "Present"), "")</f>
        <v>46184.58333</v>
      </c>
      <c r="K211" s="111">
        <f t="shared" si="3"/>
        <v>28.41666667</v>
      </c>
      <c r="L211" s="112" t="str">
        <f t="shared" si="4"/>
        <v/>
      </c>
      <c r="M211" s="113"/>
      <c r="N211" s="114"/>
      <c r="O211" s="133"/>
      <c r="P211" s="115">
        <f>IFERROR(__xludf.DUMMYFUNCTION("IFERROR(COUNTUNIQUEIFS(ATTENDANCE_LOG!B:B,ATTENDANCE_LOG!C:C,A211),0)"),1.0)</f>
        <v>1</v>
      </c>
      <c r="Q211" s="113" t="str">
        <f t="array" ref="Q211">IFERROR(INDEX(ATTENDANCE_LOG!A:A,MATCH(1,(ATTENDANCE_LOG!C:C=A211)*(ATTENDANCE_LOG!F:F=MAXIFS(ATTENDANCE_LOG!F:F,ATTENDANCE_LOG!C:C,A211)),0)),"")</f>
        <v>EL047</v>
      </c>
      <c r="R211" s="113" t="str">
        <f t="array" ref="R211">IFERROR(INDEX(ATTENDANCE_LOG!B:B,MATCH(1,(ATTENDANCE_LOG!C:C=A211)*(ATTENDANCE_LOG!F:F=MAXIFS(ATTENDANCE_LOG!F:F,ATTENDANCE_LOG!C:C,A211)),0)),"")</f>
        <v>Communication 1</v>
      </c>
      <c r="S211" s="113">
        <f>IFERROR(VLOOKUP(H211, LEVEL_HELPER!A:B, 2, 0), 0)</f>
        <v>1</v>
      </c>
      <c r="T211" s="113">
        <f>IFERROR(VLOOKUP(I211, LEVEL_HELPER!A:B, 2, 0), 0)</f>
        <v>1</v>
      </c>
      <c r="U211" s="113">
        <f t="shared" ref="U211:V211" si="215">IF(S211="",0,IF(S211&lt;=2,1,IF(S211&lt;=4,2,IF(S211&lt;=5.5,3,4))))
</f>
        <v>1</v>
      </c>
      <c r="V211" s="113">
        <f t="shared" si="215"/>
        <v>1</v>
      </c>
      <c r="W211" s="113" t="str">
        <f t="shared" si="6"/>
        <v>No Progress</v>
      </c>
      <c r="X211" s="133"/>
      <c r="Y211" s="133"/>
      <c r="Z211" s="133"/>
      <c r="AA211" s="133"/>
      <c r="AB211" s="102"/>
      <c r="AC211" s="102"/>
      <c r="AD211" s="103"/>
    </row>
    <row r="212" ht="15.75" customHeight="1">
      <c r="A212" s="134" t="s">
        <v>625</v>
      </c>
      <c r="B212" s="135" t="s">
        <v>626</v>
      </c>
      <c r="C212" s="106" t="str">
        <f>IFERROR(__xludf.DUMMYFUNCTION("arrayformula(VLOOKUP(to_Text(A212),to_Text(sheet2!$A$1:M1005),13,0))"),"ONC")</f>
        <v>ONC</v>
      </c>
      <c r="D212" s="107" t="str">
        <f>IFERROR(__xludf.DUMMYFUNCTION("arrayformula(VLOOKUP(to_Text(A212),to_Text(sheet2!$A$1:M1005),12,0))"),"DEV")</f>
        <v>DEV</v>
      </c>
      <c r="E212" s="108" t="str">
        <f t="shared" si="2"/>
        <v>Active</v>
      </c>
      <c r="F212" s="104" t="str">
        <f t="array" ref="F212">IFERROR(
  INDEX(ATTENDANCE_INPUT!D:D,
    MATCH(1,
      (ATTENDANCE_INPUT!A:A=A212) *
      (ATTENDANCE_INPUT!W:W=MAXIFS(ATTENDANCE_INPUT!W:W, ATTENDANCE_INPUT!A:A, A212)),
      0)),
  "")</f>
        <v>Thai Nguyen 2</v>
      </c>
      <c r="G212" s="109" t="str">
        <f t="array" ref="G212">IFERROR(
  INDEX(ATTENDANCE_INPUT!E:E,
    MATCH(1,
      (ATTENDANCE_INPUT!A:A=A212) *
      (ATTENDANCE_INPUT!W:W=MAXIFS(ATTENDANCE_INPUT!W:W, ATTENDANCE_INPUT!A:A, A212)),
      0)),
  "")</f>
        <v>Communication 1</v>
      </c>
      <c r="H212" s="110" t="str">
        <f t="array" ref="H212">IF(ISNA(MATCH(A212,sheet2!A:A,0)),"⏳ Chưa test",IFERROR(INDEX(LEVEL_HELPER!A:A,MATCH(INDEX(sheet2!N:N,MATCH(A212,sheet2!A:A,0)),LEVEL_HELPER!B:B,0)),"⏳ Chưa test"))</f>
        <v>Beginner</v>
      </c>
      <c r="I212" s="110" t="str">
        <f t="array" ref="I212">IF(ISNA(MATCH(A212,sheet2!A:A,0)),H212,IF(INDEX(sheet2!O:O,MATCH(A212,sheet2!A:A,0))&gt;0,IFERROR(INDEX(LEVEL_HELPER!A:A,MATCH(INDEX(sheet2!O:O,MATCH(A212,sheet2!A:A,0)),LEVEL_HELPER!B:B,0)),H212),H212))</f>
        <v>Beginner</v>
      </c>
      <c r="J212" s="110">
        <f>IFERROR(MAXIFS(ATTENDANCE_LOG!F:F, ATTENDANCE_LOG!C:C, A212&amp;"", ATTENDANCE_LOG!G:G, "Present"), "")</f>
        <v>46212.58333</v>
      </c>
      <c r="K212" s="111">
        <f t="shared" si="3"/>
        <v>0.4166666667</v>
      </c>
      <c r="L212" s="112" t="str">
        <f t="shared" si="4"/>
        <v/>
      </c>
      <c r="M212" s="113"/>
      <c r="N212" s="114"/>
      <c r="O212" s="136"/>
      <c r="P212" s="115">
        <f>IFERROR(__xludf.DUMMYFUNCTION("IFERROR(COUNTUNIQUEIFS(ATTENDANCE_LOG!B:B,ATTENDANCE_LOG!C:C,A212),0)"),1.0)</f>
        <v>1</v>
      </c>
      <c r="Q212" s="113" t="str">
        <f t="array" ref="Q212">IFERROR(INDEX(ATTENDANCE_LOG!A:A,MATCH(1,(ATTENDANCE_LOG!C:C=A212)*(ATTENDANCE_LOG!F:F=MAXIFS(ATTENDANCE_LOG!F:F,ATTENDANCE_LOG!C:C,A212)),0)),"")</f>
        <v>EL047</v>
      </c>
      <c r="R212" s="113" t="str">
        <f t="array" ref="R212">IFERROR(INDEX(ATTENDANCE_LOG!B:B,MATCH(1,(ATTENDANCE_LOG!C:C=A212)*(ATTENDANCE_LOG!F:F=MAXIFS(ATTENDANCE_LOG!F:F,ATTENDANCE_LOG!C:C,A212)),0)),"")</f>
        <v>Communication 1</v>
      </c>
      <c r="S212" s="113">
        <f>IFERROR(VLOOKUP(H212, LEVEL_HELPER!A:B, 2, 0), 0)</f>
        <v>1</v>
      </c>
      <c r="T212" s="113">
        <f>IFERROR(VLOOKUP(I212, LEVEL_HELPER!A:B, 2, 0), 0)</f>
        <v>1</v>
      </c>
      <c r="U212" s="113">
        <f t="shared" ref="U212:V212" si="216">IF(S212="",0,IF(S212&lt;=2,1,IF(S212&lt;=4,2,IF(S212&lt;=5.5,3,4))))
</f>
        <v>1</v>
      </c>
      <c r="V212" s="113">
        <f t="shared" si="216"/>
        <v>1</v>
      </c>
      <c r="W212" s="113" t="str">
        <f t="shared" si="6"/>
        <v>No Progress</v>
      </c>
      <c r="X212" s="136"/>
      <c r="Y212" s="136"/>
      <c r="Z212" s="136"/>
      <c r="AA212" s="136"/>
      <c r="AB212" s="102"/>
      <c r="AC212" s="102"/>
      <c r="AD212" s="103"/>
    </row>
    <row r="213" ht="15.75" customHeight="1">
      <c r="A213" s="137" t="s">
        <v>627</v>
      </c>
      <c r="B213" s="132" t="s">
        <v>628</v>
      </c>
      <c r="C213" s="106" t="str">
        <f>IFERROR(__xludf.DUMMYFUNCTION("arrayformula(VLOOKUP(to_Text(A213),to_Text(sheet2!$A$1:M1005),13,0))"),"ONC")</f>
        <v>ONC</v>
      </c>
      <c r="D213" s="107" t="str">
        <f>IFERROR(__xludf.DUMMYFUNCTION("arrayformula(VLOOKUP(to_Text(A213),to_Text(sheet2!$A$1:M1005),12,0))"),"DEV")</f>
        <v>DEV</v>
      </c>
      <c r="E213" s="108" t="str">
        <f t="shared" si="2"/>
        <v>Active</v>
      </c>
      <c r="F213" s="104" t="str">
        <f t="array" ref="F213">IFERROR(
  INDEX(ATTENDANCE_INPUT!D:D,
    MATCH(1,
      (ATTENDANCE_INPUT!A:A=A213) *
      (ATTENDANCE_INPUT!W:W=MAXIFS(ATTENDANCE_INPUT!W:W, ATTENDANCE_INPUT!A:A, A213)),
      0)),
  "")</f>
        <v>Thai Nguyen 2</v>
      </c>
      <c r="G213" s="109" t="str">
        <f t="array" ref="G213">IFERROR(
  INDEX(ATTENDANCE_INPUT!E:E,
    MATCH(1,
      (ATTENDANCE_INPUT!A:A=A213) *
      (ATTENDANCE_INPUT!W:W=MAXIFS(ATTENDANCE_INPUT!W:W, ATTENDANCE_INPUT!A:A, A213)),
      0)),
  "")</f>
        <v>Communication 1</v>
      </c>
      <c r="H213" s="110" t="str">
        <f t="array" ref="H213">IF(ISNA(MATCH(A213,sheet2!A:A,0)),"⏳ Chưa test",IFERROR(INDEX(LEVEL_HELPER!A:A,MATCH(INDEX(sheet2!N:N,MATCH(A213,sheet2!A:A,0)),LEVEL_HELPER!B:B,0)),"⏳ Chưa test"))</f>
        <v>Beginner</v>
      </c>
      <c r="I213" s="110" t="str">
        <f t="array" ref="I213">IF(ISNA(MATCH(A213,sheet2!A:A,0)),H213,IF(INDEX(sheet2!O:O,MATCH(A213,sheet2!A:A,0))&gt;0,IFERROR(INDEX(LEVEL_HELPER!A:A,MATCH(INDEX(sheet2!O:O,MATCH(A213,sheet2!A:A,0)),LEVEL_HELPER!B:B,0)),H213),H213))</f>
        <v>Beginner</v>
      </c>
      <c r="J213" s="110">
        <f>IFERROR(MAXIFS(ATTENDANCE_LOG!F:F, ATTENDANCE_LOG!C:C, A213&amp;"", ATTENDANCE_LOG!G:G, "Present"), "")</f>
        <v>46212.58333</v>
      </c>
      <c r="K213" s="111">
        <f t="shared" si="3"/>
        <v>0.4166666667</v>
      </c>
      <c r="L213" s="112" t="str">
        <f t="shared" si="4"/>
        <v/>
      </c>
      <c r="M213" s="113"/>
      <c r="N213" s="114"/>
      <c r="O213" s="133"/>
      <c r="P213" s="115">
        <f>IFERROR(__xludf.DUMMYFUNCTION("IFERROR(COUNTUNIQUEIFS(ATTENDANCE_LOG!B:B,ATTENDANCE_LOG!C:C,A213),0)"),1.0)</f>
        <v>1</v>
      </c>
      <c r="Q213" s="113" t="str">
        <f t="array" ref="Q213">IFERROR(INDEX(ATTENDANCE_LOG!A:A,MATCH(1,(ATTENDANCE_LOG!C:C=A213)*(ATTENDANCE_LOG!F:F=MAXIFS(ATTENDANCE_LOG!F:F,ATTENDANCE_LOG!C:C,A213)),0)),"")</f>
        <v>EL047</v>
      </c>
      <c r="R213" s="113" t="str">
        <f t="array" ref="R213">IFERROR(INDEX(ATTENDANCE_LOG!B:B,MATCH(1,(ATTENDANCE_LOG!C:C=A213)*(ATTENDANCE_LOG!F:F=MAXIFS(ATTENDANCE_LOG!F:F,ATTENDANCE_LOG!C:C,A213)),0)),"")</f>
        <v>Communication 1</v>
      </c>
      <c r="S213" s="113">
        <f>IFERROR(VLOOKUP(H213, LEVEL_HELPER!A:B, 2, 0), 0)</f>
        <v>1</v>
      </c>
      <c r="T213" s="113">
        <f>IFERROR(VLOOKUP(I213, LEVEL_HELPER!A:B, 2, 0), 0)</f>
        <v>1</v>
      </c>
      <c r="U213" s="113">
        <f t="shared" ref="U213:V213" si="217">IF(S213="",0,IF(S213&lt;=2,1,IF(S213&lt;=4,2,IF(S213&lt;=5.5,3,4))))
</f>
        <v>1</v>
      </c>
      <c r="V213" s="113">
        <f t="shared" si="217"/>
        <v>1</v>
      </c>
      <c r="W213" s="113" t="str">
        <f t="shared" si="6"/>
        <v>No Progress</v>
      </c>
      <c r="X213" s="133"/>
      <c r="Y213" s="133"/>
      <c r="Z213" s="133"/>
      <c r="AA213" s="133"/>
      <c r="AB213" s="102"/>
      <c r="AC213" s="102"/>
      <c r="AD213" s="103"/>
    </row>
    <row r="214" ht="15.75" customHeight="1">
      <c r="A214" s="104" t="s">
        <v>629</v>
      </c>
      <c r="B214" s="105" t="s">
        <v>630</v>
      </c>
      <c r="C214" s="106" t="str">
        <f>IFERROR(__xludf.DUMMYFUNCTION("arrayformula(VLOOKUP(to_Text(A214),to_Text(sheet2!$A$1:M1005),13,0))"),"TBU")</f>
        <v>TBU</v>
      </c>
      <c r="D214" s="107" t="str">
        <f>IFERROR(__xludf.DUMMYFUNCTION("arrayformula(VLOOKUP(to_Text(A214),to_Text(sheet2!$A$1:M1005),12,0))"),"GSD")</f>
        <v>GSD</v>
      </c>
      <c r="E214" s="108" t="str">
        <f t="shared" si="2"/>
        <v>Inactive</v>
      </c>
      <c r="F214" s="104" t="str">
        <f t="array" ref="F214">IFERROR(
  INDEX(ATTENDANCE_INPUT!D:D,
    MATCH(1,
      (ATTENDANCE_INPUT!A:A=A214) *
      (ATTENDANCE_INPUT!W:W=MAXIFS(ATTENDANCE_INPUT!W:W, ATTENDANCE_INPUT!A:A, A214)),
      0)),
  "")</f>
        <v>Thai Nguyen 2</v>
      </c>
      <c r="G214" s="109" t="str">
        <f t="array" ref="G214">IFERROR(
  INDEX(ATTENDANCE_INPUT!E:E,
    MATCH(1,
      (ATTENDANCE_INPUT!A:A=A214) *
      (ATTENDANCE_INPUT!W:W=MAXIFS(ATTENDANCE_INPUT!W:W, ATTENDANCE_INPUT!A:A, A214)),
      0)),
  "")</f>
        <v>Communication 1</v>
      </c>
      <c r="H214" s="110" t="str">
        <f t="array" ref="H214">IF(ISNA(MATCH(A214,sheet2!A:A,0)),"⏳ Chưa test",IFERROR(INDEX(LEVEL_HELPER!A:A,MATCH(INDEX(sheet2!N:N,MATCH(A214,sheet2!A:A,0)),LEVEL_HELPER!B:B,0)),"⏳ Chưa test"))</f>
        <v>Beginner</v>
      </c>
      <c r="I214" s="110" t="str">
        <f t="array" ref="I214">IF(ISNA(MATCH(A214,sheet2!A:A,0)),H214,IF(INDEX(sheet2!O:O,MATCH(A214,sheet2!A:A,0))&gt;0,IFERROR(INDEX(LEVEL_HELPER!A:A,MATCH(INDEX(sheet2!O:O,MATCH(A214,sheet2!A:A,0)),LEVEL_HELPER!B:B,0)),H214),H214))</f>
        <v>Beginner</v>
      </c>
      <c r="J214" s="110">
        <f>IFERROR(MAXIFS(ATTENDANCE_LOG!F:F, ATTENDANCE_LOG!C:C, A214&amp;"", ATTENDANCE_LOG!G:G, "Present"), "")</f>
        <v>46212.58333</v>
      </c>
      <c r="K214" s="111">
        <f t="shared" si="3"/>
        <v>0.4166666667</v>
      </c>
      <c r="L214" s="112" t="str">
        <f t="shared" si="4"/>
        <v>❌ Dropped</v>
      </c>
      <c r="M214" s="113" t="s">
        <v>37</v>
      </c>
      <c r="N214" s="114" t="s">
        <v>34</v>
      </c>
      <c r="O214" s="113"/>
      <c r="P214" s="115">
        <f>IFERROR(__xludf.DUMMYFUNCTION("IFERROR(COUNTUNIQUEIFS(ATTENDANCE_LOG!B:B,ATTENDANCE_LOG!C:C,A214),0)"),1.0)</f>
        <v>1</v>
      </c>
      <c r="Q214" s="113" t="str">
        <f t="array" ref="Q214">IFERROR(INDEX(ATTENDANCE_LOG!A:A,MATCH(1,(ATTENDANCE_LOG!C:C=A214)*(ATTENDANCE_LOG!F:F=MAXIFS(ATTENDANCE_LOG!F:F,ATTENDANCE_LOG!C:C,A214)),0)),"")</f>
        <v>EL047</v>
      </c>
      <c r="R214" s="113" t="str">
        <f t="array" ref="R214">IFERROR(INDEX(ATTENDANCE_LOG!B:B,MATCH(1,(ATTENDANCE_LOG!C:C=A214)*(ATTENDANCE_LOG!F:F=MAXIFS(ATTENDANCE_LOG!F:F,ATTENDANCE_LOG!C:C,A214)),0)),"")</f>
        <v>Communication 1</v>
      </c>
      <c r="S214" s="113">
        <f>IFERROR(VLOOKUP(H214, LEVEL_HELPER!A:B, 2, 0), 0)</f>
        <v>1</v>
      </c>
      <c r="T214" s="113">
        <f>IFERROR(VLOOKUP(I214, LEVEL_HELPER!A:B, 2, 0), 0)</f>
        <v>1</v>
      </c>
      <c r="U214" s="113">
        <f t="shared" ref="U214:V214" si="218">IF(S214="",0,IF(S214&lt;=2,1,IF(S214&lt;=4,2,IF(S214&lt;=5.5,3,4))))
</f>
        <v>1</v>
      </c>
      <c r="V214" s="113">
        <f t="shared" si="218"/>
        <v>1</v>
      </c>
      <c r="W214" s="113" t="str">
        <f t="shared" si="6"/>
        <v>No Progress</v>
      </c>
      <c r="X214" s="113"/>
      <c r="Y214" s="113"/>
      <c r="Z214" s="113"/>
      <c r="AA214" s="113"/>
      <c r="AB214" s="116"/>
      <c r="AC214" s="116"/>
      <c r="AD214" s="117"/>
    </row>
    <row r="215" ht="15.75" customHeight="1">
      <c r="A215" s="104" t="s">
        <v>631</v>
      </c>
      <c r="B215" s="105" t="s">
        <v>632</v>
      </c>
      <c r="C215" s="106" t="str">
        <f>IFERROR(__xludf.DUMMYFUNCTION("arrayformula(VLOOKUP(to_Text(A215),to_Text(sheet2!$A$1:M1005),13,0))"),"POC")</f>
        <v>POC</v>
      </c>
      <c r="D215" s="107" t="str">
        <f>IFERROR(__xludf.DUMMYFUNCTION("arrayformula(VLOOKUP(to_Text(A215),to_Text(sheet2!$A$1:M1005),12,0))"),"GSD")</f>
        <v>GSD</v>
      </c>
      <c r="E215" s="108" t="str">
        <f t="shared" si="2"/>
        <v>Active</v>
      </c>
      <c r="F215" s="104" t="str">
        <f t="array" ref="F215">IFERROR(
  INDEX(ATTENDANCE_INPUT!D:D,
    MATCH(1,
      (ATTENDANCE_INPUT!A:A=A215) *
      (ATTENDANCE_INPUT!W:W=MAXIFS(ATTENDANCE_INPUT!W:W, ATTENDANCE_INPUT!A:A, A215)),
      0)),
  "")</f>
        <v>Thanh Phung</v>
      </c>
      <c r="G215" s="109" t="str">
        <f t="array" ref="G215">IFERROR(
  INDEX(ATTENDANCE_INPUT!E:E,
    MATCH(1,
      (ATTENDANCE_INPUT!A:A=A215) *
      (ATTENDANCE_INPUT!W:W=MAXIFS(ATTENDANCE_INPUT!W:W, ATTENDANCE_INPUT!A:A, A215)),
      0)),
  "")</f>
        <v>Extension of Foundation</v>
      </c>
      <c r="H215" s="110" t="str">
        <f t="array" ref="H215">IF(ISNA(MATCH(A215,sheet2!A:A,0)),"⏳ Chưa test",IFERROR(INDEX(LEVEL_HELPER!A:A,MATCH(INDEX(sheet2!N:N,MATCH(A215,sheet2!A:A,0)),LEVEL_HELPER!B:B,0)),"⏳ Chưa test"))</f>
        <v>Foundation</v>
      </c>
      <c r="I215" s="110" t="str">
        <f t="array" ref="I215">IF(ISNA(MATCH(A215,sheet2!A:A,0)),H215,IF(INDEX(sheet2!O:O,MATCH(A215,sheet2!A:A,0))&gt;0,IFERROR(INDEX(LEVEL_HELPER!A:A,MATCH(INDEX(sheet2!O:O,MATCH(A215,sheet2!A:A,0)),LEVEL_HELPER!B:B,0)),H215),H215))</f>
        <v>Foundation</v>
      </c>
      <c r="J215" s="110">
        <f>IFERROR(MAXIFS(ATTENDANCE_LOG!F:F, ATTENDANCE_LOG!C:C, A215&amp;"", ATTENDANCE_LOG!G:G, "Present"), "")</f>
        <v>46157.58333</v>
      </c>
      <c r="K215" s="111">
        <f t="shared" si="3"/>
        <v>55.41666667</v>
      </c>
      <c r="L215" s="112" t="str">
        <f t="shared" si="4"/>
        <v>⚠ Check</v>
      </c>
      <c r="M215" s="113"/>
      <c r="N215" s="114"/>
      <c r="O215" s="113"/>
      <c r="P215" s="115">
        <f>IFERROR(__xludf.DUMMYFUNCTION("IFERROR(COUNTUNIQUEIFS(ATTENDANCE_LOG!B:B,ATTENDANCE_LOG!C:C,A215),0)"),2.0)</f>
        <v>2</v>
      </c>
      <c r="Q215" s="113" t="str">
        <f t="array" ref="Q215">IFERROR(INDEX(ATTENDANCE_LOG!A:A,MATCH(1,(ATTENDANCE_LOG!C:C=A215)*(ATTENDANCE_LOG!F:F=MAXIFS(ATTENDANCE_LOG!F:F,ATTENDANCE_LOG!C:C,A215)),0)),"")</f>
        <v>EL040</v>
      </c>
      <c r="R215" s="113" t="str">
        <f t="array" ref="R215">IFERROR(INDEX(ATTENDANCE_LOG!B:B,MATCH(1,(ATTENDANCE_LOG!C:C=A215)*(ATTENDANCE_LOG!F:F=MAXIFS(ATTENDANCE_LOG!F:F,ATTENDANCE_LOG!C:C,A215)),0)),"")</f>
        <v>Extension of Foundation</v>
      </c>
      <c r="S215" s="113">
        <f>IFERROR(VLOOKUP(H215, LEVEL_HELPER!A:B, 2, 0), 0)</f>
        <v>0.5</v>
      </c>
      <c r="T215" s="113">
        <f>IFERROR(VLOOKUP(I215, LEVEL_HELPER!A:B, 2, 0), 0)</f>
        <v>0.5</v>
      </c>
      <c r="U215" s="113">
        <f t="shared" ref="U215:V215" si="219">IF(S215="",0,IF(S215&lt;=2,1,IF(S215&lt;=4,2,IF(S215&lt;=5.5,3,4))))
</f>
        <v>1</v>
      </c>
      <c r="V215" s="113">
        <f t="shared" si="219"/>
        <v>1</v>
      </c>
      <c r="W215" s="113" t="str">
        <f t="shared" si="6"/>
        <v>No Progress</v>
      </c>
      <c r="X215" s="113"/>
      <c r="Y215" s="113"/>
      <c r="Z215" s="113"/>
      <c r="AA215" s="113"/>
      <c r="AB215" s="116"/>
      <c r="AC215" s="116"/>
      <c r="AD215" s="117"/>
    </row>
    <row r="216" ht="15.75" customHeight="1">
      <c r="A216" s="104" t="s">
        <v>633</v>
      </c>
      <c r="B216" s="105" t="s">
        <v>634</v>
      </c>
      <c r="C216" s="106" t="str">
        <f>IFERROR(__xludf.DUMMYFUNCTION("arrayformula(VLOOKUP(to_Text(A216),to_Text(sheet2!$A$1:M1005),13,0))"),"POC")</f>
        <v>POC</v>
      </c>
      <c r="D216" s="107" t="str">
        <f>IFERROR(__xludf.DUMMYFUNCTION("arrayformula(VLOOKUP(to_Text(A216),to_Text(sheet2!$A$1:M1005),12,0))"),"GSD")</f>
        <v>GSD</v>
      </c>
      <c r="E216" s="108" t="str">
        <f t="shared" si="2"/>
        <v>Active</v>
      </c>
      <c r="F216" s="104" t="str">
        <f t="array" ref="F216">IFERROR(
  INDEX(ATTENDANCE_INPUT!D:D,
    MATCH(1,
      (ATTENDANCE_INPUT!A:A=A216) *
      (ATTENDANCE_INPUT!W:W=MAXIFS(ATTENDANCE_INPUT!W:W, ATTENDANCE_INPUT!A:A, A216)),
      0)),
  "")</f>
        <v>Thanh Phung</v>
      </c>
      <c r="G216" s="109" t="str">
        <f t="array" ref="G216">IFERROR(
  INDEX(ATTENDANCE_INPUT!E:E,
    MATCH(1,
      (ATTENDANCE_INPUT!A:A=A216) *
      (ATTENDANCE_INPUT!W:W=MAXIFS(ATTENDANCE_INPUT!W:W, ATTENDANCE_INPUT!A:A, A216)),
      0)),
  "")</f>
        <v>Extension of Foundation</v>
      </c>
      <c r="H216" s="110" t="str">
        <f t="array" ref="H216">IF(ISNA(MATCH(A216,sheet2!A:A,0)),"⏳ Chưa test",IFERROR(INDEX(LEVEL_HELPER!A:A,MATCH(INDEX(sheet2!N:N,MATCH(A216,sheet2!A:A,0)),LEVEL_HELPER!B:B,0)),"⏳ Chưa test"))</f>
        <v>Foundation</v>
      </c>
      <c r="I216" s="110" t="str">
        <f t="array" ref="I216">IF(ISNA(MATCH(A216,sheet2!A:A,0)),H216,IF(INDEX(sheet2!O:O,MATCH(A216,sheet2!A:A,0))&gt;0,IFERROR(INDEX(LEVEL_HELPER!A:A,MATCH(INDEX(sheet2!O:O,MATCH(A216,sheet2!A:A,0)),LEVEL_HELPER!B:B,0)),H216),H216))</f>
        <v>Foundation</v>
      </c>
      <c r="J216" s="110">
        <f>IFERROR(MAXIFS(ATTENDANCE_LOG!F:F, ATTENDANCE_LOG!C:C, A216&amp;"", ATTENDANCE_LOG!G:G, "Present"), "")</f>
        <v>46157.58333</v>
      </c>
      <c r="K216" s="111">
        <f t="shared" si="3"/>
        <v>55.41666667</v>
      </c>
      <c r="L216" s="112" t="str">
        <f t="shared" si="4"/>
        <v>⚠ Check</v>
      </c>
      <c r="M216" s="113"/>
      <c r="N216" s="114"/>
      <c r="O216" s="113"/>
      <c r="P216" s="115">
        <f>IFERROR(__xludf.DUMMYFUNCTION("IFERROR(COUNTUNIQUEIFS(ATTENDANCE_LOG!B:B,ATTENDANCE_LOG!C:C,A216),0)"),2.0)</f>
        <v>2</v>
      </c>
      <c r="Q216" s="113" t="str">
        <f t="array" ref="Q216">IFERROR(INDEX(ATTENDANCE_LOG!A:A,MATCH(1,(ATTENDANCE_LOG!C:C=A216)*(ATTENDANCE_LOG!F:F=MAXIFS(ATTENDANCE_LOG!F:F,ATTENDANCE_LOG!C:C,A216)),0)),"")</f>
        <v>EL040</v>
      </c>
      <c r="R216" s="113" t="str">
        <f t="array" ref="R216">IFERROR(INDEX(ATTENDANCE_LOG!B:B,MATCH(1,(ATTENDANCE_LOG!C:C=A216)*(ATTENDANCE_LOG!F:F=MAXIFS(ATTENDANCE_LOG!F:F,ATTENDANCE_LOG!C:C,A216)),0)),"")</f>
        <v>Extension of Foundation</v>
      </c>
      <c r="S216" s="113">
        <f>IFERROR(VLOOKUP(H216, LEVEL_HELPER!A:B, 2, 0), 0)</f>
        <v>0.5</v>
      </c>
      <c r="T216" s="113">
        <f>IFERROR(VLOOKUP(I216, LEVEL_HELPER!A:B, 2, 0), 0)</f>
        <v>0.5</v>
      </c>
      <c r="U216" s="113">
        <f t="shared" ref="U216:V216" si="220">IF(S216="",0,IF(S216&lt;=2,1,IF(S216&lt;=4,2,IF(S216&lt;=5.5,3,4))))
</f>
        <v>1</v>
      </c>
      <c r="V216" s="113">
        <f t="shared" si="220"/>
        <v>1</v>
      </c>
      <c r="W216" s="113" t="str">
        <f t="shared" si="6"/>
        <v>No Progress</v>
      </c>
      <c r="X216" s="113"/>
      <c r="Y216" s="113"/>
      <c r="Z216" s="113"/>
      <c r="AA216" s="113"/>
      <c r="AB216" s="116"/>
      <c r="AC216" s="116"/>
      <c r="AD216" s="117"/>
    </row>
    <row r="217" ht="15.75" customHeight="1">
      <c r="A217" s="104" t="s">
        <v>635</v>
      </c>
      <c r="B217" s="105" t="s">
        <v>636</v>
      </c>
      <c r="C217" s="106" t="str">
        <f>IFERROR(__xludf.DUMMYFUNCTION("arrayformula(VLOOKUP(to_Text(A217),to_Text(sheet2!$A$1:M1005),13,0))"),"TBU")</f>
        <v>TBU</v>
      </c>
      <c r="D217" s="107" t="str">
        <f>IFERROR(__xludf.DUMMYFUNCTION("arrayformula(VLOOKUP(to_Text(A217),to_Text(sheet2!$A$1:M1005),12,0))"),"GSD")</f>
        <v>GSD</v>
      </c>
      <c r="E217" s="108" t="str">
        <f t="shared" si="2"/>
        <v>Active</v>
      </c>
      <c r="F217" s="104" t="str">
        <f t="array" ref="F217">IFERROR(
  INDEX(ATTENDANCE_INPUT!D:D,
    MATCH(1,
      (ATTENDANCE_INPUT!A:A=A217) *
      (ATTENDANCE_INPUT!W:W=MAXIFS(ATTENDANCE_INPUT!W:W, ATTENDANCE_INPUT!A:A, A217)),
      0)),
  "")</f>
        <v>Thanh Phung</v>
      </c>
      <c r="G217" s="109" t="str">
        <f t="array" ref="G217">IFERROR(
  INDEX(ATTENDANCE_INPUT!E:E,
    MATCH(1,
      (ATTENDANCE_INPUT!A:A=A217) *
      (ATTENDANCE_INPUT!W:W=MAXIFS(ATTENDANCE_INPUT!W:W, ATTENDANCE_INPUT!A:A, A217)),
      0)),
  "")</f>
        <v>Extension of Foundation</v>
      </c>
      <c r="H217" s="110" t="str">
        <f t="array" ref="H217">IF(ISNA(MATCH(A217,sheet2!A:A,0)),"⏳ Chưa test",IFERROR(INDEX(LEVEL_HELPER!A:A,MATCH(INDEX(sheet2!N:N,MATCH(A217,sheet2!A:A,0)),LEVEL_HELPER!B:B,0)),"⏳ Chưa test"))</f>
        <v>Foundation</v>
      </c>
      <c r="I217" s="110" t="str">
        <f t="array" ref="I217">IF(ISNA(MATCH(A217,sheet2!A:A,0)),H217,IF(INDEX(sheet2!O:O,MATCH(A217,sheet2!A:A,0))&gt;0,IFERROR(INDEX(LEVEL_HELPER!A:A,MATCH(INDEX(sheet2!O:O,MATCH(A217,sheet2!A:A,0)),LEVEL_HELPER!B:B,0)),H217),H217))</f>
        <v>Foundation</v>
      </c>
      <c r="J217" s="110">
        <f>IFERROR(MAXIFS(ATTENDANCE_LOG!F:F, ATTENDANCE_LOG!C:C, A217&amp;"", ATTENDANCE_LOG!G:G, "Present"), "")</f>
        <v>46157.58333</v>
      </c>
      <c r="K217" s="111">
        <f t="shared" si="3"/>
        <v>55.41666667</v>
      </c>
      <c r="L217" s="112" t="str">
        <f t="shared" si="4"/>
        <v>⚠ Check</v>
      </c>
      <c r="M217" s="113"/>
      <c r="N217" s="114"/>
      <c r="O217" s="129"/>
      <c r="P217" s="115">
        <f>IFERROR(__xludf.DUMMYFUNCTION("IFERROR(COUNTUNIQUEIFS(ATTENDANCE_LOG!B:B,ATTENDANCE_LOG!C:C,A217),0)"),2.0)</f>
        <v>2</v>
      </c>
      <c r="Q217" s="113" t="str">
        <f t="array" ref="Q217">IFERROR(INDEX(ATTENDANCE_LOG!A:A,MATCH(1,(ATTENDANCE_LOG!C:C=A217)*(ATTENDANCE_LOG!F:F=MAXIFS(ATTENDANCE_LOG!F:F,ATTENDANCE_LOG!C:C,A217)),0)),"")</f>
        <v>EL040</v>
      </c>
      <c r="R217" s="113" t="str">
        <f t="array" ref="R217">IFERROR(INDEX(ATTENDANCE_LOG!B:B,MATCH(1,(ATTENDANCE_LOG!C:C=A217)*(ATTENDANCE_LOG!F:F=MAXIFS(ATTENDANCE_LOG!F:F,ATTENDANCE_LOG!C:C,A217)),0)),"")</f>
        <v>Extension of Foundation</v>
      </c>
      <c r="S217" s="113">
        <f>IFERROR(VLOOKUP(H217, LEVEL_HELPER!A:B, 2, 0), 0)</f>
        <v>0.5</v>
      </c>
      <c r="T217" s="113">
        <f>IFERROR(VLOOKUP(I217, LEVEL_HELPER!A:B, 2, 0), 0)</f>
        <v>0.5</v>
      </c>
      <c r="U217" s="113">
        <f t="shared" ref="U217:V217" si="221">IF(S217="",0,IF(S217&lt;=2,1,IF(S217&lt;=4,2,IF(S217&lt;=5.5,3,4))))
</f>
        <v>1</v>
      </c>
      <c r="V217" s="113">
        <f t="shared" si="221"/>
        <v>1</v>
      </c>
      <c r="W217" s="113" t="str">
        <f t="shared" si="6"/>
        <v>No Progress</v>
      </c>
      <c r="X217" s="113"/>
      <c r="Y217" s="113"/>
      <c r="Z217" s="113"/>
      <c r="AA217" s="113"/>
      <c r="AB217" s="116"/>
      <c r="AC217" s="116"/>
      <c r="AD217" s="117"/>
    </row>
    <row r="218" ht="15.75" customHeight="1">
      <c r="A218" s="104" t="s">
        <v>637</v>
      </c>
      <c r="B218" s="105" t="s">
        <v>638</v>
      </c>
      <c r="C218" s="106" t="str">
        <f>IFERROR(__xludf.DUMMYFUNCTION("arrayformula(VLOOKUP(to_Text(A218),to_Text(sheet2!$A$1:M1005),13,0))"),"CHORUS")</f>
        <v>CHORUS</v>
      </c>
      <c r="D218" s="107" t="str">
        <f>IFERROR(__xludf.DUMMYFUNCTION("arrayformula(VLOOKUP(to_Text(A218),to_Text(sheet2!$A$1:M1005),12,0))"),"GSD")</f>
        <v>GSD</v>
      </c>
      <c r="E218" s="108" t="str">
        <f t="shared" si="2"/>
        <v>Inactive</v>
      </c>
      <c r="F218" s="104" t="str">
        <f t="array" ref="F218">IFERROR(
  INDEX(ATTENDANCE_INPUT!D:D,
    MATCH(1,
      (ATTENDANCE_INPUT!A:A=A218) *
      (ATTENDANCE_INPUT!W:W=MAXIFS(ATTENDANCE_INPUT!W:W, ATTENDANCE_INPUT!A:A, A218)),
      0)),
  "")</f>
        <v>Thanh Phung</v>
      </c>
      <c r="G218" s="109" t="str">
        <f t="array" ref="G218">IFERROR(
  INDEX(ATTENDANCE_INPUT!E:E,
    MATCH(1,
      (ATTENDANCE_INPUT!A:A=A218) *
      (ATTENDANCE_INPUT!W:W=MAXIFS(ATTENDANCE_INPUT!W:W, ATTENDANCE_INPUT!A:A, A218)),
      0)),
  "")</f>
        <v>Foundation</v>
      </c>
      <c r="H218" s="110" t="str">
        <f t="array" ref="H218">IF(ISNA(MATCH(A218,sheet2!A:A,0)),"⏳ Chưa test",IFERROR(INDEX(LEVEL_HELPER!A:A,MATCH(INDEX(sheet2!N:N,MATCH(A218,sheet2!A:A,0)),LEVEL_HELPER!B:B,0)),"⏳ Chưa test"))</f>
        <v>Foundation</v>
      </c>
      <c r="I218" s="110" t="str">
        <f t="array" ref="I218">IF(ISNA(MATCH(A218,sheet2!A:A,0)),H218,IF(INDEX(sheet2!O:O,MATCH(A218,sheet2!A:A,0))&gt;0,IFERROR(INDEX(LEVEL_HELPER!A:A,MATCH(INDEX(sheet2!O:O,MATCH(A218,sheet2!A:A,0)),LEVEL_HELPER!B:B,0)),H218),H218))</f>
        <v>Foundation</v>
      </c>
      <c r="J218" s="110">
        <f>IFERROR(MAXIFS(ATTENDANCE_LOG!F:F, ATTENDANCE_LOG!C:C, A218&amp;"", ATTENDANCE_LOG!G:G, "Present"), "")</f>
        <v>46010.54167</v>
      </c>
      <c r="K218" s="111">
        <f t="shared" si="3"/>
        <v>202.4583333</v>
      </c>
      <c r="L218" s="112" t="str">
        <f t="shared" si="4"/>
        <v>❌ Dropped</v>
      </c>
      <c r="M218" s="120" t="s">
        <v>37</v>
      </c>
      <c r="N218" s="126" t="s">
        <v>43</v>
      </c>
      <c r="O218" s="113"/>
      <c r="P218" s="115">
        <f>IFERROR(__xludf.DUMMYFUNCTION("IFERROR(COUNTUNIQUEIFS(ATTENDANCE_LOG!B:B,ATTENDANCE_LOG!C:C,A218),0)"),1.0)</f>
        <v>1</v>
      </c>
      <c r="Q218" s="113" t="str">
        <f t="array" ref="Q218">IFERROR(INDEX(ATTENDANCE_LOG!A:A,MATCH(1,(ATTENDANCE_LOG!C:C=A218)*(ATTENDANCE_LOG!F:F=MAXIFS(ATTENDANCE_LOG!F:F,ATTENDANCE_LOG!C:C,A218)),0)),"")</f>
        <v>EL040</v>
      </c>
      <c r="R218" s="113" t="str">
        <f t="array" ref="R218">IFERROR(INDEX(ATTENDANCE_LOG!B:B,MATCH(1,(ATTENDANCE_LOG!C:C=A218)*(ATTENDANCE_LOG!F:F=MAXIFS(ATTENDANCE_LOG!F:F,ATTENDANCE_LOG!C:C,A218)),0)),"")</f>
        <v>Foundation</v>
      </c>
      <c r="S218" s="113">
        <f>IFERROR(VLOOKUP(H218, LEVEL_HELPER!A:B, 2, 0), 0)</f>
        <v>0.5</v>
      </c>
      <c r="T218" s="113">
        <f>IFERROR(VLOOKUP(I218, LEVEL_HELPER!A:B, 2, 0), 0)</f>
        <v>0.5</v>
      </c>
      <c r="U218" s="113">
        <f t="shared" ref="U218:V218" si="222">IF(S218="",0,IF(S218&lt;=2,1,IF(S218&lt;=4,2,IF(S218&lt;=5.5,3,4))))
</f>
        <v>1</v>
      </c>
      <c r="V218" s="113">
        <f t="shared" si="222"/>
        <v>1</v>
      </c>
      <c r="W218" s="113" t="str">
        <f t="shared" si="6"/>
        <v>No Progress</v>
      </c>
      <c r="X218" s="113"/>
      <c r="Y218" s="113"/>
      <c r="Z218" s="113"/>
      <c r="AA218" s="113"/>
      <c r="AB218" s="116"/>
      <c r="AC218" s="116"/>
      <c r="AD218" s="117"/>
    </row>
    <row r="219" ht="15.75" customHeight="1">
      <c r="A219" s="104" t="s">
        <v>639</v>
      </c>
      <c r="B219" s="105" t="s">
        <v>640</v>
      </c>
      <c r="C219" s="106" t="str">
        <f>IFERROR(__xludf.DUMMYFUNCTION("arrayformula(VLOOKUP(to_Text(A219),to_Text(sheet2!$A$1:M1005),13,0))"),"ONC")</f>
        <v>ONC</v>
      </c>
      <c r="D219" s="107" t="str">
        <f>IFERROR(__xludf.DUMMYFUNCTION("arrayformula(VLOOKUP(to_Text(A219),to_Text(sheet2!$A$1:M1005),12,0))"),"QC")</f>
        <v>QC</v>
      </c>
      <c r="E219" s="108" t="str">
        <f t="shared" si="2"/>
        <v>Inactive</v>
      </c>
      <c r="F219" s="104" t="str">
        <f t="array" ref="F219">IFERROR(
  INDEX(ATTENDANCE_INPUT!D:D,
    MATCH(1,
      (ATTENDANCE_INPUT!A:A=A219) *
      (ATTENDANCE_INPUT!W:W=MAXIFS(ATTENDANCE_INPUT!W:W, ATTENDANCE_INPUT!A:A, A219)),
      0)),
  "")</f>
        <v>Thao Vu 1</v>
      </c>
      <c r="G219" s="109" t="str">
        <f t="array" ref="G219">IFERROR(
  INDEX(ATTENDANCE_INPUT!E:E,
    MATCH(1,
      (ATTENDANCE_INPUT!A:A=A219) *
      (ATTENDANCE_INPUT!W:W=MAXIFS(ATTENDANCE_INPUT!W:W, ATTENDANCE_INPUT!A:A, A219)),
      0)),
  "")</f>
        <v>Communication 1</v>
      </c>
      <c r="H219" s="110" t="str">
        <f t="array" ref="H219">IF(ISNA(MATCH(A219,sheet2!A:A,0)),"⏳ Chưa test",IFERROR(INDEX(LEVEL_HELPER!A:A,MATCH(INDEX(sheet2!N:N,MATCH(A219,sheet2!A:A,0)),LEVEL_HELPER!B:B,0)),"⏳ Chưa test"))</f>
        <v>Beginner</v>
      </c>
      <c r="I219" s="110" t="str">
        <f t="array" ref="I219">IF(ISNA(MATCH(A219,sheet2!A:A,0)),H219,IF(INDEX(sheet2!O:O,MATCH(A219,sheet2!A:A,0))&gt;0,IFERROR(INDEX(LEVEL_HELPER!A:A,MATCH(INDEX(sheet2!O:O,MATCH(A219,sheet2!A:A,0)),LEVEL_HELPER!B:B,0)),H219),H219))</f>
        <v>Beginner</v>
      </c>
      <c r="J219" s="110">
        <f>IFERROR(MAXIFS(ATTENDANCE_LOG!F:F, ATTENDANCE_LOG!C:C, A219&amp;"", ATTENDANCE_LOG!G:G, "Present"), "")</f>
        <v>45801.41667</v>
      </c>
      <c r="K219" s="111">
        <f t="shared" si="3"/>
        <v>411.5833333</v>
      </c>
      <c r="L219" s="112" t="str">
        <f t="shared" si="4"/>
        <v>✅ Completed</v>
      </c>
      <c r="M219" s="120" t="s">
        <v>35</v>
      </c>
      <c r="N219" s="114" t="s">
        <v>34</v>
      </c>
      <c r="O219" s="113"/>
      <c r="P219" s="115">
        <f>IFERROR(__xludf.DUMMYFUNCTION("IFERROR(COUNTUNIQUEIFS(ATTENDANCE_LOG!B:B,ATTENDANCE_LOG!C:C,A219),0)"),1.0)</f>
        <v>1</v>
      </c>
      <c r="Q219" s="113" t="str">
        <f t="array" ref="Q219">IFERROR(INDEX(ATTENDANCE_LOG!A:A,MATCH(1,(ATTENDANCE_LOG!C:C=A219)*(ATTENDANCE_LOG!F:F=MAXIFS(ATTENDANCE_LOG!F:F,ATTENDANCE_LOG!C:C,A219)),0)),"")</f>
        <v>EL014</v>
      </c>
      <c r="R219" s="113" t="str">
        <f t="array" ref="R219">IFERROR(INDEX(ATTENDANCE_LOG!B:B,MATCH(1,(ATTENDANCE_LOG!C:C=A219)*(ATTENDANCE_LOG!F:F=MAXIFS(ATTENDANCE_LOG!F:F,ATTENDANCE_LOG!C:C,A219)),0)),"")</f>
        <v>Communication 1</v>
      </c>
      <c r="S219" s="113">
        <f>IFERROR(VLOOKUP(H219, LEVEL_HELPER!A:B, 2, 0), 0)</f>
        <v>1</v>
      </c>
      <c r="T219" s="113">
        <f>IFERROR(VLOOKUP(I219, LEVEL_HELPER!A:B, 2, 0), 0)</f>
        <v>1</v>
      </c>
      <c r="U219" s="113">
        <f t="shared" ref="U219:V219" si="223">IF(S219="",0,IF(S219&lt;=2,1,IF(S219&lt;=4,2,IF(S219&lt;=5.5,3,4))))
</f>
        <v>1</v>
      </c>
      <c r="V219" s="113">
        <f t="shared" si="223"/>
        <v>1</v>
      </c>
      <c r="W219" s="113" t="str">
        <f t="shared" si="6"/>
        <v>No Progress</v>
      </c>
      <c r="X219" s="113"/>
      <c r="Y219" s="113"/>
      <c r="Z219" s="113"/>
      <c r="AA219" s="113"/>
      <c r="AB219" s="116"/>
      <c r="AC219" s="116"/>
      <c r="AD219" s="117"/>
    </row>
    <row r="220" ht="15.75" customHeight="1">
      <c r="A220" s="104" t="s">
        <v>641</v>
      </c>
      <c r="B220" s="105" t="s">
        <v>642</v>
      </c>
      <c r="C220" s="106" t="str">
        <f>IFERROR(__xludf.DUMMYFUNCTION("arrayformula(VLOOKUP(to_Text(A220),to_Text(sheet2!$A$1:M1005),13,0))"),"MOC")</f>
        <v>MOC</v>
      </c>
      <c r="D220" s="107" t="str">
        <f>IFERROR(__xludf.DUMMYFUNCTION("arrayformula(VLOOKUP(to_Text(A220),to_Text(sheet2!$A$1:M1005),12,0))"),"QC")</f>
        <v>QC</v>
      </c>
      <c r="E220" s="108" t="str">
        <f t="shared" si="2"/>
        <v>Inactive</v>
      </c>
      <c r="F220" s="104" t="str">
        <f t="array" ref="F220">IFERROR(
  INDEX(ATTENDANCE_INPUT!D:D,
    MATCH(1,
      (ATTENDANCE_INPUT!A:A=A220) *
      (ATTENDANCE_INPUT!W:W=MAXIFS(ATTENDANCE_INPUT!W:W, ATTENDANCE_INPUT!A:A, A220)),
      0)),
  "")</f>
        <v>Thao Vu 1</v>
      </c>
      <c r="G220" s="109" t="str">
        <f t="array" ref="G220">IFERROR(
  INDEX(ATTENDANCE_INPUT!E:E,
    MATCH(1,
      (ATTENDANCE_INPUT!A:A=A220) *
      (ATTENDANCE_INPUT!W:W=MAXIFS(ATTENDANCE_INPUT!W:W, ATTENDANCE_INPUT!A:A, A220)),
      0)),
  "")</f>
        <v>Communication 1</v>
      </c>
      <c r="H220" s="110" t="str">
        <f t="array" ref="H220">IF(ISNA(MATCH(A220,sheet2!A:A,0)),"⏳ Chưa test",IFERROR(INDEX(LEVEL_HELPER!A:A,MATCH(INDEX(sheet2!N:N,MATCH(A220,sheet2!A:A,0)),LEVEL_HELPER!B:B,0)),"⏳ Chưa test"))</f>
        <v>Beginner</v>
      </c>
      <c r="I220" s="110" t="str">
        <f t="array" ref="I220">IF(ISNA(MATCH(A220,sheet2!A:A,0)),H220,IF(INDEX(sheet2!O:O,MATCH(A220,sheet2!A:A,0))&gt;0,IFERROR(INDEX(LEVEL_HELPER!A:A,MATCH(INDEX(sheet2!O:O,MATCH(A220,sheet2!A:A,0)),LEVEL_HELPER!B:B,0)),H220),H220))</f>
        <v>Beginner</v>
      </c>
      <c r="J220" s="110">
        <f>IFERROR(MAXIFS(ATTENDANCE_LOG!F:F, ATTENDANCE_LOG!C:C, A220&amp;"", ATTENDANCE_LOG!G:G, "Present"), "")</f>
        <v>45801.41667</v>
      </c>
      <c r="K220" s="111">
        <f t="shared" si="3"/>
        <v>411.5833333</v>
      </c>
      <c r="L220" s="112" t="str">
        <f t="shared" si="4"/>
        <v>✅ Completed</v>
      </c>
      <c r="M220" s="120" t="s">
        <v>35</v>
      </c>
      <c r="N220" s="114" t="s">
        <v>34</v>
      </c>
      <c r="O220" s="113"/>
      <c r="P220" s="115">
        <f>IFERROR(__xludf.DUMMYFUNCTION("IFERROR(COUNTUNIQUEIFS(ATTENDANCE_LOG!B:B,ATTENDANCE_LOG!C:C,A220),0)"),1.0)</f>
        <v>1</v>
      </c>
      <c r="Q220" s="113" t="str">
        <f t="array" ref="Q220">IFERROR(INDEX(ATTENDANCE_LOG!A:A,MATCH(1,(ATTENDANCE_LOG!C:C=A220)*(ATTENDANCE_LOG!F:F=MAXIFS(ATTENDANCE_LOG!F:F,ATTENDANCE_LOG!C:C,A220)),0)),"")</f>
        <v>EL014</v>
      </c>
      <c r="R220" s="113" t="str">
        <f t="array" ref="R220">IFERROR(INDEX(ATTENDANCE_LOG!B:B,MATCH(1,(ATTENDANCE_LOG!C:C=A220)*(ATTENDANCE_LOG!F:F=MAXIFS(ATTENDANCE_LOG!F:F,ATTENDANCE_LOG!C:C,A220)),0)),"")</f>
        <v>Communication 1</v>
      </c>
      <c r="S220" s="113">
        <f>IFERROR(VLOOKUP(H220, LEVEL_HELPER!A:B, 2, 0), 0)</f>
        <v>1</v>
      </c>
      <c r="T220" s="113">
        <f>IFERROR(VLOOKUP(I220, LEVEL_HELPER!A:B, 2, 0), 0)</f>
        <v>1</v>
      </c>
      <c r="U220" s="113">
        <f t="shared" ref="U220:V220" si="224">IF(S220="",0,IF(S220&lt;=2,1,IF(S220&lt;=4,2,IF(S220&lt;=5.5,3,4))))
</f>
        <v>1</v>
      </c>
      <c r="V220" s="113">
        <f t="shared" si="224"/>
        <v>1</v>
      </c>
      <c r="W220" s="113" t="str">
        <f t="shared" si="6"/>
        <v>No Progress</v>
      </c>
      <c r="X220" s="113"/>
      <c r="Y220" s="113"/>
      <c r="Z220" s="113"/>
      <c r="AA220" s="113"/>
      <c r="AB220" s="116"/>
      <c r="AC220" s="116"/>
      <c r="AD220" s="117"/>
    </row>
    <row r="221" ht="15.75" customHeight="1">
      <c r="A221" s="104" t="s">
        <v>643</v>
      </c>
      <c r="B221" s="105" t="s">
        <v>644</v>
      </c>
      <c r="C221" s="106" t="str">
        <f>IFERROR(__xludf.DUMMYFUNCTION("arrayformula(VLOOKUP(to_Text(A221),to_Text(sheet2!$A$1:M1005),13,0))"),"ONC")</f>
        <v>ONC</v>
      </c>
      <c r="D221" s="107" t="str">
        <f>IFERROR(__xludf.DUMMYFUNCTION("arrayformula(VLOOKUP(to_Text(A221),to_Text(sheet2!$A$1:M1005),12,0))"),"QC")</f>
        <v>QC</v>
      </c>
      <c r="E221" s="108" t="str">
        <f t="shared" si="2"/>
        <v>Inactive</v>
      </c>
      <c r="F221" s="104" t="str">
        <f t="array" ref="F221">IFERROR(
  INDEX(ATTENDANCE_INPUT!D:D,
    MATCH(1,
      (ATTENDANCE_INPUT!A:A=A221) *
      (ATTENDANCE_INPUT!W:W=MAXIFS(ATTENDANCE_INPUT!W:W, ATTENDANCE_INPUT!A:A, A221)),
      0)),
  "")</f>
        <v>Thao Vu 1</v>
      </c>
      <c r="G221" s="109" t="str">
        <f t="array" ref="G221">IFERROR(
  INDEX(ATTENDANCE_INPUT!E:E,
    MATCH(1,
      (ATTENDANCE_INPUT!A:A=A221) *
      (ATTENDANCE_INPUT!W:W=MAXIFS(ATTENDANCE_INPUT!W:W, ATTENDANCE_INPUT!A:A, A221)),
      0)),
  "")</f>
        <v>Communication 1</v>
      </c>
      <c r="H221" s="110" t="str">
        <f t="array" ref="H221">IF(ISNA(MATCH(A221,sheet2!A:A,0)),"⏳ Chưa test",IFERROR(INDEX(LEVEL_HELPER!A:A,MATCH(INDEX(sheet2!N:N,MATCH(A221,sheet2!A:A,0)),LEVEL_HELPER!B:B,0)),"⏳ Chưa test"))</f>
        <v>Intermediate</v>
      </c>
      <c r="I221" s="110" t="str">
        <f t="array" ref="I221">IF(ISNA(MATCH(A221,sheet2!A:A,0)),H221,IF(INDEX(sheet2!O:O,MATCH(A221,sheet2!A:A,0))&gt;0,IFERROR(INDEX(LEVEL_HELPER!A:A,MATCH(INDEX(sheet2!O:O,MATCH(A221,sheet2!A:A,0)),LEVEL_HELPER!B:B,0)),H221),H221))</f>
        <v>Pre-Intermediate</v>
      </c>
      <c r="J221" s="110">
        <f>IFERROR(MAXIFS(ATTENDANCE_LOG!F:F, ATTENDANCE_LOG!C:C, A221&amp;"", ATTENDANCE_LOG!G:G, "Present"), "")</f>
        <v>45801.41667</v>
      </c>
      <c r="K221" s="111">
        <f t="shared" si="3"/>
        <v>411.5833333</v>
      </c>
      <c r="L221" s="112" t="str">
        <f t="shared" si="4"/>
        <v>✅ Completed</v>
      </c>
      <c r="M221" s="120" t="s">
        <v>35</v>
      </c>
      <c r="N221" s="114" t="s">
        <v>34</v>
      </c>
      <c r="O221" s="113" t="s">
        <v>375</v>
      </c>
      <c r="P221" s="115">
        <f>IFERROR(__xludf.DUMMYFUNCTION("IFERROR(COUNTUNIQUEIFS(ATTENDANCE_LOG!B:B,ATTENDANCE_LOG!C:C,A221),0)"),1.0)</f>
        <v>1</v>
      </c>
      <c r="Q221" s="113" t="str">
        <f t="array" ref="Q221">IFERROR(INDEX(ATTENDANCE_LOG!A:A,MATCH(1,(ATTENDANCE_LOG!C:C=A221)*(ATTENDANCE_LOG!F:F=MAXIFS(ATTENDANCE_LOG!F:F,ATTENDANCE_LOG!C:C,A221)),0)),"")</f>
        <v>EL014</v>
      </c>
      <c r="R221" s="113" t="str">
        <f t="array" ref="R221">IFERROR(INDEX(ATTENDANCE_LOG!B:B,MATCH(1,(ATTENDANCE_LOG!C:C=A221)*(ATTENDANCE_LOG!F:F=MAXIFS(ATTENDANCE_LOG!F:F,ATTENDANCE_LOG!C:C,A221)),0)),"")</f>
        <v>Communication 1</v>
      </c>
      <c r="S221" s="113">
        <f>IFERROR(VLOOKUP(H221, LEVEL_HELPER!A:B, 2, 0), 0)</f>
        <v>4.5</v>
      </c>
      <c r="T221" s="113">
        <f>IFERROR(VLOOKUP(I221, LEVEL_HELPER!A:B, 2, 0), 0)</f>
        <v>2.5</v>
      </c>
      <c r="U221" s="113">
        <f t="shared" ref="U221:V221" si="225">IF(S221="",0,IF(S221&lt;=2,1,IF(S221&lt;=4,2,IF(S221&lt;=5.5,3,4))))
</f>
        <v>3</v>
      </c>
      <c r="V221" s="113">
        <f t="shared" si="225"/>
        <v>2</v>
      </c>
      <c r="W221" s="113" t="str">
        <f t="shared" si="6"/>
        <v>Regressed</v>
      </c>
      <c r="X221" s="113"/>
      <c r="Y221" s="113"/>
      <c r="Z221" s="113"/>
      <c r="AA221" s="113"/>
      <c r="AB221" s="116"/>
      <c r="AC221" s="116"/>
      <c r="AD221" s="117"/>
    </row>
    <row r="222" ht="15.75" customHeight="1">
      <c r="A222" s="104" t="s">
        <v>645</v>
      </c>
      <c r="B222" s="108" t="s">
        <v>646</v>
      </c>
      <c r="C222" s="106" t="str">
        <f>IFERROR(__xludf.DUMMYFUNCTION("arrayformula(VLOOKUP(to_Text(A222),to_Text(sheet2!$A$1:M1005),13,0))"),"LBU")</f>
        <v>LBU</v>
      </c>
      <c r="D222" s="107" t="str">
        <f>IFERROR(__xludf.DUMMYFUNCTION("arrayformula(VLOOKUP(to_Text(A222),to_Text(sheet2!$A$1:M1005),12,0))"),"QC")</f>
        <v>QC</v>
      </c>
      <c r="E222" s="108" t="str">
        <f t="shared" si="2"/>
        <v>Inactive</v>
      </c>
      <c r="F222" s="104" t="str">
        <f t="array" ref="F222">IFERROR(
  INDEX(ATTENDANCE_INPUT!D:D,
    MATCH(1,
      (ATTENDANCE_INPUT!A:A=A222) *
      (ATTENDANCE_INPUT!W:W=MAXIFS(ATTENDANCE_INPUT!W:W, ATTENDANCE_INPUT!A:A, A222)),
      0)),
  "")</f>
        <v>Thao Vu 1</v>
      </c>
      <c r="G222" s="109" t="str">
        <f t="array" ref="G222">IFERROR(
  INDEX(ATTENDANCE_INPUT!E:E,
    MATCH(1,
      (ATTENDANCE_INPUT!A:A=A222) *
      (ATTENDANCE_INPUT!W:W=MAXIFS(ATTENDANCE_INPUT!W:W, ATTENDANCE_INPUT!A:A, A222)),
      0)),
  "")</f>
        <v>Communication 1</v>
      </c>
      <c r="H222" s="110" t="str">
        <f t="array" ref="H222">IF(ISNA(MATCH(A222,sheet2!A:A,0)),"⏳ Chưa test",IFERROR(INDEX(LEVEL_HELPER!A:A,MATCH(INDEX(sheet2!N:N,MATCH(A222,sheet2!A:A,0)),LEVEL_HELPER!B:B,0)),"⏳ Chưa test"))</f>
        <v>Beginner</v>
      </c>
      <c r="I222" s="110" t="str">
        <f t="array" ref="I222">IF(ISNA(MATCH(A222,sheet2!A:A,0)),H222,IF(INDEX(sheet2!O:O,MATCH(A222,sheet2!A:A,0))&gt;0,IFERROR(INDEX(LEVEL_HELPER!A:A,MATCH(INDEX(sheet2!O:O,MATCH(A222,sheet2!A:A,0)),LEVEL_HELPER!B:B,0)),H222),H222))</f>
        <v>Beginner</v>
      </c>
      <c r="J222" s="110">
        <f>IFERROR(MAXIFS(ATTENDANCE_LOG!F:F, ATTENDANCE_LOG!C:C, A222&amp;"", ATTENDANCE_LOG!G:G, "Present"), "")</f>
        <v>45801.41667</v>
      </c>
      <c r="K222" s="111">
        <f t="shared" si="3"/>
        <v>411.5833333</v>
      </c>
      <c r="L222" s="112" t="str">
        <f t="shared" si="4"/>
        <v>✅ Completed</v>
      </c>
      <c r="M222" s="120" t="s">
        <v>35</v>
      </c>
      <c r="N222" s="114" t="s">
        <v>34</v>
      </c>
      <c r="O222" s="113"/>
      <c r="P222" s="115">
        <f>IFERROR(__xludf.DUMMYFUNCTION("IFERROR(COUNTUNIQUEIFS(ATTENDANCE_LOG!B:B,ATTENDANCE_LOG!C:C,A222),0)"),1.0)</f>
        <v>1</v>
      </c>
      <c r="Q222" s="113" t="str">
        <f t="array" ref="Q222">IFERROR(INDEX(ATTENDANCE_LOG!A:A,MATCH(1,(ATTENDANCE_LOG!C:C=A222)*(ATTENDANCE_LOG!F:F=MAXIFS(ATTENDANCE_LOG!F:F,ATTENDANCE_LOG!C:C,A222)),0)),"")</f>
        <v>EL014</v>
      </c>
      <c r="R222" s="113" t="str">
        <f t="array" ref="R222">IFERROR(INDEX(ATTENDANCE_LOG!B:B,MATCH(1,(ATTENDANCE_LOG!C:C=A222)*(ATTENDANCE_LOG!F:F=MAXIFS(ATTENDANCE_LOG!F:F,ATTENDANCE_LOG!C:C,A222)),0)),"")</f>
        <v>Communication 1</v>
      </c>
      <c r="S222" s="113">
        <f>IFERROR(VLOOKUP(H222, LEVEL_HELPER!A:B, 2, 0), 0)</f>
        <v>1</v>
      </c>
      <c r="T222" s="113">
        <f>IFERROR(VLOOKUP(I222, LEVEL_HELPER!A:B, 2, 0), 0)</f>
        <v>1</v>
      </c>
      <c r="U222" s="113">
        <f t="shared" ref="U222:V222" si="226">IF(S222="",0,IF(S222&lt;=2,1,IF(S222&lt;=4,2,IF(S222&lt;=5.5,3,4))))
</f>
        <v>1</v>
      </c>
      <c r="V222" s="113">
        <f t="shared" si="226"/>
        <v>1</v>
      </c>
      <c r="W222" s="113" t="str">
        <f t="shared" si="6"/>
        <v>No Progress</v>
      </c>
      <c r="X222" s="113"/>
      <c r="Y222" s="113"/>
      <c r="Z222" s="113"/>
      <c r="AA222" s="113"/>
      <c r="AB222" s="116"/>
      <c r="AC222" s="116"/>
      <c r="AD222" s="117"/>
    </row>
    <row r="223" ht="15.75" customHeight="1">
      <c r="A223" s="104" t="s">
        <v>647</v>
      </c>
      <c r="B223" s="105" t="s">
        <v>648</v>
      </c>
      <c r="C223" s="106" t="str">
        <f>IFERROR(__xludf.DUMMYFUNCTION("arrayformula(VLOOKUP(to_Text(A223),to_Text(sheet2!$A$1:M1005),13,0))"),"ONC")</f>
        <v>ONC</v>
      </c>
      <c r="D223" s="107" t="str">
        <f>IFERROR(__xludf.DUMMYFUNCTION("arrayformula(VLOOKUP(to_Text(A223),to_Text(sheet2!$A$1:M1005),12,0))"),"QC")</f>
        <v>QC</v>
      </c>
      <c r="E223" s="108" t="str">
        <f t="shared" si="2"/>
        <v>Inactive</v>
      </c>
      <c r="F223" s="104" t="str">
        <f t="array" ref="F223">IFERROR(
  INDEX(ATTENDANCE_INPUT!D:D,
    MATCH(1,
      (ATTENDANCE_INPUT!A:A=A223) *
      (ATTENDANCE_INPUT!W:W=MAXIFS(ATTENDANCE_INPUT!W:W, ATTENDANCE_INPUT!A:A, A223)),
      0)),
  "")</f>
        <v>Thao Vu 2</v>
      </c>
      <c r="G223" s="109" t="str">
        <f t="array" ref="G223">IFERROR(
  INDEX(ATTENDANCE_INPUT!E:E,
    MATCH(1,
      (ATTENDANCE_INPUT!A:A=A223) *
      (ATTENDANCE_INPUT!W:W=MAXIFS(ATTENDANCE_INPUT!W:W, ATTENDANCE_INPUT!A:A, A223)),
      0)),
  "")</f>
        <v>Communication 2</v>
      </c>
      <c r="H223" s="110" t="str">
        <f t="array" ref="H223">IF(ISNA(MATCH(A223,sheet2!A:A,0)),"⏳ Chưa test",IFERROR(INDEX(LEVEL_HELPER!A:A,MATCH(INDEX(sheet2!N:N,MATCH(A223,sheet2!A:A,0)),LEVEL_HELPER!B:B,0)),"⏳ Chưa test"))</f>
        <v>Beginner</v>
      </c>
      <c r="I223" s="110" t="str">
        <f t="array" ref="I223">IF(ISNA(MATCH(A223,sheet2!A:A,0)),H223,IF(INDEX(sheet2!O:O,MATCH(A223,sheet2!A:A,0))&gt;0,IFERROR(INDEX(LEVEL_HELPER!A:A,MATCH(INDEX(sheet2!O:O,MATCH(A223,sheet2!A:A,0)),LEVEL_HELPER!B:B,0)),H223),H223))</f>
        <v>Pre-Intermediate</v>
      </c>
      <c r="J223" s="110">
        <f>IFERROR(MAXIFS(ATTENDANCE_LOG!F:F, ATTENDANCE_LOG!C:C, A223&amp;"", ATTENDANCE_LOG!G:G, "Present"), "")</f>
        <v>45859.41667</v>
      </c>
      <c r="K223" s="111">
        <f t="shared" si="3"/>
        <v>353.5833333</v>
      </c>
      <c r="L223" s="112" t="str">
        <f t="shared" si="4"/>
        <v>❌ Dropped</v>
      </c>
      <c r="M223" s="120" t="s">
        <v>37</v>
      </c>
      <c r="N223" s="126" t="s">
        <v>43</v>
      </c>
      <c r="O223" s="113"/>
      <c r="P223" s="115">
        <f>IFERROR(__xludf.DUMMYFUNCTION("IFERROR(COUNTUNIQUEIFS(ATTENDANCE_LOG!B:B,ATTENDANCE_LOG!C:C,A223),0)"),2.0)</f>
        <v>2</v>
      </c>
      <c r="Q223" s="113" t="str">
        <f t="array" ref="Q223">IFERROR(INDEX(ATTENDANCE_LOG!A:A,MATCH(1,(ATTENDANCE_LOG!C:C=A223)*(ATTENDANCE_LOG!F:F=MAXIFS(ATTENDANCE_LOG!F:F,ATTENDANCE_LOG!C:C,A223)),0)),"")</f>
        <v>EL015</v>
      </c>
      <c r="R223" s="113" t="str">
        <f t="array" ref="R223">IFERROR(INDEX(ATTENDANCE_LOG!B:B,MATCH(1,(ATTENDANCE_LOG!C:C=A223)*(ATTENDANCE_LOG!F:F=MAXIFS(ATTENDANCE_LOG!F:F,ATTENDANCE_LOG!C:C,A223)),0)),"")</f>
        <v>Communication 2</v>
      </c>
      <c r="S223" s="113">
        <f>IFERROR(VLOOKUP(H223, LEVEL_HELPER!A:B, 2, 0), 0)</f>
        <v>1</v>
      </c>
      <c r="T223" s="113">
        <f>IFERROR(VLOOKUP(I223, LEVEL_HELPER!A:B, 2, 0), 0)</f>
        <v>2.5</v>
      </c>
      <c r="U223" s="113">
        <f t="shared" ref="U223:V223" si="227">IF(S223="",0,IF(S223&lt;=2,1,IF(S223&lt;=4,2,IF(S223&lt;=5.5,3,4))))
</f>
        <v>1</v>
      </c>
      <c r="V223" s="113">
        <f t="shared" si="227"/>
        <v>2</v>
      </c>
      <c r="W223" s="113" t="str">
        <f t="shared" si="6"/>
        <v>Lv1→Lv2</v>
      </c>
      <c r="X223" s="113"/>
      <c r="Y223" s="113"/>
      <c r="Z223" s="113"/>
      <c r="AA223" s="113"/>
      <c r="AB223" s="116"/>
      <c r="AC223" s="116"/>
      <c r="AD223" s="117"/>
    </row>
    <row r="224" ht="15.75" customHeight="1">
      <c r="A224" s="104" t="s">
        <v>649</v>
      </c>
      <c r="B224" s="105" t="s">
        <v>650</v>
      </c>
      <c r="C224" s="106" t="str">
        <f>IFERROR(__xludf.DUMMYFUNCTION("arrayformula(VLOOKUP(to_Text(A224),to_Text(sheet2!$A$1:M1005),13,0))"),"LBU")</f>
        <v>LBU</v>
      </c>
      <c r="D224" s="107" t="str">
        <f>IFERROR(__xludf.DUMMYFUNCTION("arrayformula(VLOOKUP(to_Text(A224),to_Text(sheet2!$A$1:M1005),12,0))"),"QC")</f>
        <v>QC</v>
      </c>
      <c r="E224" s="108" t="str">
        <f t="shared" si="2"/>
        <v>Inactive</v>
      </c>
      <c r="F224" s="104" t="str">
        <f t="array" ref="F224">IFERROR(
  INDEX(ATTENDANCE_INPUT!D:D,
    MATCH(1,
      (ATTENDANCE_INPUT!A:A=A224) *
      (ATTENDANCE_INPUT!W:W=MAXIFS(ATTENDANCE_INPUT!W:W, ATTENDANCE_INPUT!A:A, A224)),
      0)),
  "")</f>
        <v>Thao Vu 2</v>
      </c>
      <c r="G224" s="109" t="str">
        <f t="array" ref="G224">IFERROR(
  INDEX(ATTENDANCE_INPUT!E:E,
    MATCH(1,
      (ATTENDANCE_INPUT!A:A=A224) *
      (ATTENDANCE_INPUT!W:W=MAXIFS(ATTENDANCE_INPUT!W:W, ATTENDANCE_INPUT!A:A, A224)),
      0)),
  "")</f>
        <v>Communication 1</v>
      </c>
      <c r="H224" s="110" t="str">
        <f t="array" ref="H224">IF(ISNA(MATCH(A224,sheet2!A:A,0)),"⏳ Chưa test",IFERROR(INDEX(LEVEL_HELPER!A:A,MATCH(INDEX(sheet2!N:N,MATCH(A224,sheet2!A:A,0)),LEVEL_HELPER!B:B,0)),"⏳ Chưa test"))</f>
        <v>Intermediate</v>
      </c>
      <c r="I224" s="110" t="str">
        <f t="array" ref="I224">IF(ISNA(MATCH(A224,sheet2!A:A,0)),H224,IF(INDEX(sheet2!O:O,MATCH(A224,sheet2!A:A,0))&gt;0,IFERROR(INDEX(LEVEL_HELPER!A:A,MATCH(INDEX(sheet2!O:O,MATCH(A224,sheet2!A:A,0)),LEVEL_HELPER!B:B,0)),H224),H224))</f>
        <v>Intermediate</v>
      </c>
      <c r="J224" s="110">
        <f>IFERROR(MAXIFS(ATTENDANCE_LOG!F:F, ATTENDANCE_LOG!C:C, A224&amp;"", ATTENDANCE_LOG!G:G, "Present"), "")</f>
        <v>45801.41667</v>
      </c>
      <c r="K224" s="111">
        <f t="shared" si="3"/>
        <v>411.5833333</v>
      </c>
      <c r="L224" s="112" t="str">
        <f t="shared" si="4"/>
        <v>❌ Dropped</v>
      </c>
      <c r="M224" s="120" t="s">
        <v>37</v>
      </c>
      <c r="N224" s="126" t="s">
        <v>43</v>
      </c>
      <c r="O224" s="113"/>
      <c r="P224" s="115">
        <f>IFERROR(__xludf.DUMMYFUNCTION("IFERROR(COUNTUNIQUEIFS(ATTENDANCE_LOG!B:B,ATTENDANCE_LOG!C:C,A224),0)"),1.0)</f>
        <v>1</v>
      </c>
      <c r="Q224" s="113" t="str">
        <f t="array" ref="Q224">IFERROR(INDEX(ATTENDANCE_LOG!A:A,MATCH(1,(ATTENDANCE_LOG!C:C=A224)*(ATTENDANCE_LOG!F:F=MAXIFS(ATTENDANCE_LOG!F:F,ATTENDANCE_LOG!C:C,A224)),0)),"")</f>
        <v>EL015</v>
      </c>
      <c r="R224" s="113" t="str">
        <f t="array" ref="R224">IFERROR(INDEX(ATTENDANCE_LOG!B:B,MATCH(1,(ATTENDANCE_LOG!C:C=A224)*(ATTENDANCE_LOG!F:F=MAXIFS(ATTENDANCE_LOG!F:F,ATTENDANCE_LOG!C:C,A224)),0)),"")</f>
        <v>Communication 1</v>
      </c>
      <c r="S224" s="113">
        <f>IFERROR(VLOOKUP(H224, LEVEL_HELPER!A:B, 2, 0), 0)</f>
        <v>4.5</v>
      </c>
      <c r="T224" s="113">
        <f>IFERROR(VLOOKUP(I224, LEVEL_HELPER!A:B, 2, 0), 0)</f>
        <v>4.5</v>
      </c>
      <c r="U224" s="113">
        <f t="shared" ref="U224:V224" si="228">IF(S224="",0,IF(S224&lt;=2,1,IF(S224&lt;=4,2,IF(S224&lt;=5.5,3,4))))
</f>
        <v>3</v>
      </c>
      <c r="V224" s="113">
        <f t="shared" si="228"/>
        <v>3</v>
      </c>
      <c r="W224" s="113" t="str">
        <f t="shared" si="6"/>
        <v>No Progress</v>
      </c>
      <c r="X224" s="113"/>
      <c r="Y224" s="113"/>
      <c r="Z224" s="113"/>
      <c r="AA224" s="113"/>
      <c r="AB224" s="116"/>
      <c r="AC224" s="116"/>
      <c r="AD224" s="117"/>
    </row>
    <row r="225" ht="15.75" customHeight="1">
      <c r="A225" s="104" t="s">
        <v>651</v>
      </c>
      <c r="B225" s="105" t="s">
        <v>652</v>
      </c>
      <c r="C225" s="106" t="str">
        <f>IFERROR(__xludf.DUMMYFUNCTION("arrayformula(VLOOKUP(to_Text(A225),to_Text(sheet2!$A$1:M1005),13,0))"),"LBU")</f>
        <v>LBU</v>
      </c>
      <c r="D225" s="107" t="str">
        <f>IFERROR(__xludf.DUMMYFUNCTION("arrayformula(VLOOKUP(to_Text(A225),to_Text(sheet2!$A$1:M1005),12,0))"),"QC")</f>
        <v>QC</v>
      </c>
      <c r="E225" s="108" t="str">
        <f t="shared" si="2"/>
        <v>Inactive</v>
      </c>
      <c r="F225" s="104" t="str">
        <f t="array" ref="F225">IFERROR(
  INDEX(ATTENDANCE_INPUT!D:D,
    MATCH(1,
      (ATTENDANCE_INPUT!A:A=A225) *
      (ATTENDANCE_INPUT!W:W=MAXIFS(ATTENDANCE_INPUT!W:W, ATTENDANCE_INPUT!A:A, A225)),
      0)),
  "")</f>
        <v>Thao Vu 2</v>
      </c>
      <c r="G225" s="109" t="str">
        <f t="array" ref="G225">IFERROR(
  INDEX(ATTENDANCE_INPUT!E:E,
    MATCH(1,
      (ATTENDANCE_INPUT!A:A=A225) *
      (ATTENDANCE_INPUT!W:W=MAXIFS(ATTENDANCE_INPUT!W:W, ATTENDANCE_INPUT!A:A, A225)),
      0)),
  "")</f>
        <v>Communication 2</v>
      </c>
      <c r="H225" s="110" t="str">
        <f t="array" ref="H225">IF(ISNA(MATCH(A225,sheet2!A:A,0)),"⏳ Chưa test",IFERROR(INDEX(LEVEL_HELPER!A:A,MATCH(INDEX(sheet2!N:N,MATCH(A225,sheet2!A:A,0)),LEVEL_HELPER!B:B,0)),"⏳ Chưa test"))</f>
        <v>Pre-Intermediate</v>
      </c>
      <c r="I225" s="110" t="str">
        <f t="array" ref="I225">IF(ISNA(MATCH(A225,sheet2!A:A,0)),H225,IF(INDEX(sheet2!O:O,MATCH(A225,sheet2!A:A,0))&gt;0,IFERROR(INDEX(LEVEL_HELPER!A:A,MATCH(INDEX(sheet2!O:O,MATCH(A225,sheet2!A:A,0)),LEVEL_HELPER!B:B,0)),H225),H225))</f>
        <v>Intermediate</v>
      </c>
      <c r="J225" s="110">
        <f>IFERROR(MAXIFS(ATTENDANCE_LOG!F:F, ATTENDANCE_LOG!C:C, A225&amp;"", ATTENDANCE_LOG!G:G, "Present"), "")</f>
        <v>45859.41667</v>
      </c>
      <c r="K225" s="111">
        <f t="shared" si="3"/>
        <v>353.5833333</v>
      </c>
      <c r="L225" s="112" t="str">
        <f t="shared" si="4"/>
        <v>❌ Dropped</v>
      </c>
      <c r="M225" s="113" t="s">
        <v>37</v>
      </c>
      <c r="N225" s="114" t="s">
        <v>34</v>
      </c>
      <c r="O225" s="113"/>
      <c r="P225" s="115">
        <f>IFERROR(__xludf.DUMMYFUNCTION("IFERROR(COUNTUNIQUEIFS(ATTENDANCE_LOG!B:B,ATTENDANCE_LOG!C:C,A225),0)"),2.0)</f>
        <v>2</v>
      </c>
      <c r="Q225" s="113" t="str">
        <f t="array" ref="Q225">IFERROR(INDEX(ATTENDANCE_LOG!A:A,MATCH(1,(ATTENDANCE_LOG!C:C=A225)*(ATTENDANCE_LOG!F:F=MAXIFS(ATTENDANCE_LOG!F:F,ATTENDANCE_LOG!C:C,A225)),0)),"")</f>
        <v>EL015</v>
      </c>
      <c r="R225" s="113" t="str">
        <f t="array" ref="R225">IFERROR(INDEX(ATTENDANCE_LOG!B:B,MATCH(1,(ATTENDANCE_LOG!C:C=A225)*(ATTENDANCE_LOG!F:F=MAXIFS(ATTENDANCE_LOG!F:F,ATTENDANCE_LOG!C:C,A225)),0)),"")</f>
        <v>Communication 2</v>
      </c>
      <c r="S225" s="113">
        <f>IFERROR(VLOOKUP(H225, LEVEL_HELPER!A:B, 2, 0), 0)</f>
        <v>2.5</v>
      </c>
      <c r="T225" s="113">
        <f>IFERROR(VLOOKUP(I225, LEVEL_HELPER!A:B, 2, 0), 0)</f>
        <v>4.5</v>
      </c>
      <c r="U225" s="113">
        <f t="shared" ref="U225:V225" si="229">IF(S225="",0,IF(S225&lt;=2,1,IF(S225&lt;=4,2,IF(S225&lt;=5.5,3,4))))
</f>
        <v>2</v>
      </c>
      <c r="V225" s="113">
        <f t="shared" si="229"/>
        <v>3</v>
      </c>
      <c r="W225" s="113" t="str">
        <f t="shared" si="6"/>
        <v>Lv2→Lv3</v>
      </c>
      <c r="X225" s="113"/>
      <c r="Y225" s="113"/>
      <c r="Z225" s="113"/>
      <c r="AA225" s="113"/>
      <c r="AB225" s="116"/>
      <c r="AC225" s="116"/>
      <c r="AD225" s="117"/>
    </row>
    <row r="226" ht="15.75" customHeight="1">
      <c r="A226" s="104" t="s">
        <v>653</v>
      </c>
      <c r="B226" s="105" t="s">
        <v>654</v>
      </c>
      <c r="C226" s="106" t="str">
        <f>IFERROR(__xludf.DUMMYFUNCTION("arrayformula(VLOOKUP(to_Text(A226),to_Text(sheet2!$A$1:M1005),13,0))"),"POC")</f>
        <v>POC</v>
      </c>
      <c r="D226" s="107" t="str">
        <f>IFERROR(__xludf.DUMMYFUNCTION("arrayformula(VLOOKUP(to_Text(A226),to_Text(sheet2!$A$1:M1005),12,0))"),"DEV")</f>
        <v>DEV</v>
      </c>
      <c r="E226" s="108" t="str">
        <f t="shared" si="2"/>
        <v>Inactive</v>
      </c>
      <c r="F226" s="104" t="str">
        <f t="array" ref="F226">IFERROR(
  INDEX(ATTENDANCE_INPUT!D:D,
    MATCH(1,
      (ATTENDANCE_INPUT!A:A=A226) *
      (ATTENDANCE_INPUT!W:W=MAXIFS(ATTENDANCE_INPUT!W:W, ATTENDANCE_INPUT!A:A, A226)),
      0)),
  "")</f>
        <v>Thien Truong</v>
      </c>
      <c r="G226" s="109" t="str">
        <f t="array" ref="G226">IFERROR(
  INDEX(ATTENDANCE_INPUT!E:E,
    MATCH(1,
      (ATTENDANCE_INPUT!A:A=A226) *
      (ATTENDANCE_INPUT!W:W=MAXIFS(ATTENDANCE_INPUT!W:W, ATTENDANCE_INPUT!A:A, A226)),
      0)),
  "")</f>
        <v>Communication 3</v>
      </c>
      <c r="H226" s="110" t="str">
        <f t="array" ref="H226">IF(ISNA(MATCH(A226,sheet2!A:A,0)),"⏳ Chưa test",IFERROR(INDEX(LEVEL_HELPER!A:A,MATCH(INDEX(sheet2!N:N,MATCH(A226,sheet2!A:A,0)),LEVEL_HELPER!B:B,0)),"⏳ Chưa test"))</f>
        <v>Beginner</v>
      </c>
      <c r="I226" s="110" t="str">
        <f t="array" ref="I226">IF(ISNA(MATCH(A226,sheet2!A:A,0)),H226,IF(INDEX(sheet2!O:O,MATCH(A226,sheet2!A:A,0))&gt;0,IFERROR(INDEX(LEVEL_HELPER!A:A,MATCH(INDEX(sheet2!O:O,MATCH(A226,sheet2!A:A,0)),LEVEL_HELPER!B:B,0)),H226),H226))</f>
        <v>Pre-Intermediate 2</v>
      </c>
      <c r="J226" s="110">
        <f>IFERROR(MAXIFS(ATTENDANCE_LOG!F:F, ATTENDANCE_LOG!C:C, A226&amp;"", ATTENDANCE_LOG!G:G, "Present"), "")</f>
        <v>46169.45833</v>
      </c>
      <c r="K226" s="111">
        <f t="shared" si="3"/>
        <v>43.54166667</v>
      </c>
      <c r="L226" s="112" t="str">
        <f t="shared" si="4"/>
        <v>❌ Dropped</v>
      </c>
      <c r="M226" s="120" t="s">
        <v>37</v>
      </c>
      <c r="N226" s="126" t="s">
        <v>36</v>
      </c>
      <c r="O226" s="113"/>
      <c r="P226" s="115">
        <f>IFERROR(__xludf.DUMMYFUNCTION("IFERROR(COUNTUNIQUEIFS(ATTENDANCE_LOG!B:B,ATTENDANCE_LOG!C:C,A226),0)"),3.0)</f>
        <v>3</v>
      </c>
      <c r="Q226" s="113" t="str">
        <f t="array" ref="Q226">IFERROR(INDEX(ATTENDANCE_LOG!A:A,MATCH(1,(ATTENDANCE_LOG!C:C=A226)*(ATTENDANCE_LOG!F:F=MAXIFS(ATTENDANCE_LOG!F:F,ATTENDANCE_LOG!C:C,A226)),0)),"")</f>
        <v>EL022</v>
      </c>
      <c r="R226" s="113" t="str">
        <f t="array" ref="R226">IFERROR(INDEX(ATTENDANCE_LOG!B:B,MATCH(1,(ATTENDANCE_LOG!C:C=A226)*(ATTENDANCE_LOG!F:F=MAXIFS(ATTENDANCE_LOG!F:F,ATTENDANCE_LOG!C:C,A226)),0)),"")</f>
        <v>Communication 3</v>
      </c>
      <c r="S226" s="113">
        <f>IFERROR(VLOOKUP(H226, LEVEL_HELPER!A:B, 2, 0), 0)</f>
        <v>1</v>
      </c>
      <c r="T226" s="113">
        <f>IFERROR(VLOOKUP(I226, LEVEL_HELPER!A:B, 2, 0), 0)</f>
        <v>3.5</v>
      </c>
      <c r="U226" s="113">
        <f t="shared" ref="U226:V226" si="230">IF(S226="",0,IF(S226&lt;=2,1,IF(S226&lt;=4,2,IF(S226&lt;=5.5,3,4))))
</f>
        <v>1</v>
      </c>
      <c r="V226" s="113">
        <f t="shared" si="230"/>
        <v>2</v>
      </c>
      <c r="W226" s="113" t="str">
        <f t="shared" si="6"/>
        <v>Lv1→Lv2</v>
      </c>
      <c r="X226" s="113"/>
      <c r="Y226" s="113"/>
      <c r="Z226" s="113"/>
      <c r="AA226" s="113"/>
      <c r="AB226" s="116"/>
      <c r="AC226" s="116"/>
      <c r="AD226" s="117"/>
    </row>
    <row r="227" ht="15.75" customHeight="1">
      <c r="A227" s="104" t="s">
        <v>111</v>
      </c>
      <c r="B227" s="105" t="s">
        <v>655</v>
      </c>
      <c r="C227" s="106" t="str">
        <f>IFERROR(__xludf.DUMMYFUNCTION("arrayformula(VLOOKUP(to_Text(A227),to_Text(sheet2!$A$1:M1005),13,0))"),"POC")</f>
        <v>POC</v>
      </c>
      <c r="D227" s="107" t="str">
        <f>IFERROR(__xludf.DUMMYFUNCTION("arrayformula(VLOOKUP(to_Text(A227),to_Text(sheet2!$A$1:M1005),12,0))"),"DEV")</f>
        <v>DEV</v>
      </c>
      <c r="E227" s="108" t="str">
        <f t="shared" si="2"/>
        <v>Inactive</v>
      </c>
      <c r="F227" s="104" t="str">
        <f t="array" ref="F227">IFERROR(
  INDEX(ATTENDANCE_INPUT!D:D,
    MATCH(1,
      (ATTENDANCE_INPUT!A:A=A227) *
      (ATTENDANCE_INPUT!W:W=MAXIFS(ATTENDANCE_INPUT!W:W, ATTENDANCE_INPUT!A:A, A227)),
      0)),
  "")</f>
        <v>Thien Truong</v>
      </c>
      <c r="G227" s="109" t="str">
        <f t="array" ref="G227">IFERROR(
  INDEX(ATTENDANCE_INPUT!E:E,
    MATCH(1,
      (ATTENDANCE_INPUT!A:A=A227) *
      (ATTENDANCE_INPUT!W:W=MAXIFS(ATTENDANCE_INPUT!W:W, ATTENDANCE_INPUT!A:A, A227)),
      0)),
  "")</f>
        <v>Communication 3</v>
      </c>
      <c r="H227" s="110" t="str">
        <f t="array" ref="H227">IF(ISNA(MATCH(A227,sheet2!A:A,0)),"⏳ Chưa test",IFERROR(INDEX(LEVEL_HELPER!A:A,MATCH(INDEX(sheet2!N:N,MATCH(A227,sheet2!A:A,0)),LEVEL_HELPER!B:B,0)),"⏳ Chưa test"))</f>
        <v>Beginner</v>
      </c>
      <c r="I227" s="110" t="str">
        <f t="array" ref="I227">IF(ISNA(MATCH(A227,sheet2!A:A,0)),H227,IF(INDEX(sheet2!O:O,MATCH(A227,sheet2!A:A,0))&gt;0,IFERROR(INDEX(LEVEL_HELPER!A:A,MATCH(INDEX(sheet2!O:O,MATCH(A227,sheet2!A:A,0)),LEVEL_HELPER!B:B,0)),H227),H227))</f>
        <v>Pre-Intermediate 2</v>
      </c>
      <c r="J227" s="110">
        <f>IFERROR(MAXIFS(ATTENDANCE_LOG!F:F, ATTENDANCE_LOG!C:C, A227&amp;"", ATTENDANCE_LOG!G:G, "Present"), "")</f>
        <v>46169.45833</v>
      </c>
      <c r="K227" s="111">
        <f t="shared" si="3"/>
        <v>43.54166667</v>
      </c>
      <c r="L227" s="112" t="str">
        <f t="shared" si="4"/>
        <v>❌ Dropped</v>
      </c>
      <c r="M227" s="120" t="s">
        <v>37</v>
      </c>
      <c r="N227" s="126" t="s">
        <v>36</v>
      </c>
      <c r="O227" s="113"/>
      <c r="P227" s="115">
        <f>IFERROR(__xludf.DUMMYFUNCTION("IFERROR(COUNTUNIQUEIFS(ATTENDANCE_LOG!B:B,ATTENDANCE_LOG!C:C,A227),0)"),3.0)</f>
        <v>3</v>
      </c>
      <c r="Q227" s="113" t="str">
        <f t="array" ref="Q227">IFERROR(INDEX(ATTENDANCE_LOG!A:A,MATCH(1,(ATTENDANCE_LOG!C:C=A227)*(ATTENDANCE_LOG!F:F=MAXIFS(ATTENDANCE_LOG!F:F,ATTENDANCE_LOG!C:C,A227)),0)),"")</f>
        <v>EL022</v>
      </c>
      <c r="R227" s="113" t="str">
        <f t="array" ref="R227">IFERROR(INDEX(ATTENDANCE_LOG!B:B,MATCH(1,(ATTENDANCE_LOG!C:C=A227)*(ATTENDANCE_LOG!F:F=MAXIFS(ATTENDANCE_LOG!F:F,ATTENDANCE_LOG!C:C,A227)),0)),"")</f>
        <v>Communication 3</v>
      </c>
      <c r="S227" s="113">
        <f>IFERROR(VLOOKUP(H227, LEVEL_HELPER!A:B, 2, 0), 0)</f>
        <v>1</v>
      </c>
      <c r="T227" s="113">
        <f>IFERROR(VLOOKUP(I227, LEVEL_HELPER!A:B, 2, 0), 0)</f>
        <v>3.5</v>
      </c>
      <c r="U227" s="113">
        <f t="shared" ref="U227:V227" si="231">IF(S227="",0,IF(S227&lt;=2,1,IF(S227&lt;=4,2,IF(S227&lt;=5.5,3,4))))
</f>
        <v>1</v>
      </c>
      <c r="V227" s="113">
        <f t="shared" si="231"/>
        <v>2</v>
      </c>
      <c r="W227" s="113" t="str">
        <f t="shared" si="6"/>
        <v>Lv1→Lv2</v>
      </c>
      <c r="X227" s="113"/>
      <c r="Y227" s="113"/>
      <c r="Z227" s="113"/>
      <c r="AA227" s="113"/>
      <c r="AB227" s="116"/>
      <c r="AC227" s="116"/>
      <c r="AD227" s="117"/>
    </row>
    <row r="228" ht="15.75" customHeight="1">
      <c r="A228" s="104" t="s">
        <v>656</v>
      </c>
      <c r="B228" s="105" t="s">
        <v>657</v>
      </c>
      <c r="C228" s="106" t="str">
        <f>IFERROR(__xludf.DUMMYFUNCTION("arrayformula(VLOOKUP(to_Text(A228),to_Text(sheet2!$A$1:M1005),13,0))"),"POC")</f>
        <v>POC</v>
      </c>
      <c r="D228" s="107" t="str">
        <f>IFERROR(__xludf.DUMMYFUNCTION("arrayformula(VLOOKUP(to_Text(A228),to_Text(sheet2!$A$1:M1005),12,0))"),"QC")</f>
        <v>QC</v>
      </c>
      <c r="E228" s="108" t="str">
        <f t="shared" si="2"/>
        <v>Active</v>
      </c>
      <c r="F228" s="104" t="str">
        <f t="array" ref="F228">IFERROR(
  INDEX(ATTENDANCE_INPUT!D:D,
    MATCH(1,
      (ATTENDANCE_INPUT!A:A=A228) *
      (ATTENDANCE_INPUT!W:W=MAXIFS(ATTENDANCE_INPUT!W:W, ATTENDANCE_INPUT!A:A, A228)),
      0)),
  "")</f>
        <v>Thien Truong</v>
      </c>
      <c r="G228" s="109" t="str">
        <f t="array" ref="G228">IFERROR(
  INDEX(ATTENDANCE_INPUT!E:E,
    MATCH(1,
      (ATTENDANCE_INPUT!A:A=A228) *
      (ATTENDANCE_INPUT!W:W=MAXIFS(ATTENDANCE_INPUT!W:W, ATTENDANCE_INPUT!A:A, A228)),
      0)),
  "")</f>
        <v>Communication 3</v>
      </c>
      <c r="H228" s="110" t="str">
        <f t="array" ref="H228">IF(ISNA(MATCH(A228,sheet2!A:A,0)),"⏳ Chưa test",IFERROR(INDEX(LEVEL_HELPER!A:A,MATCH(INDEX(sheet2!N:N,MATCH(A228,sheet2!A:A,0)),LEVEL_HELPER!B:B,0)),"⏳ Chưa test"))</f>
        <v>Beginner</v>
      </c>
      <c r="I228" s="110" t="str">
        <f t="array" ref="I228">IF(ISNA(MATCH(A228,sheet2!A:A,0)),H228,IF(INDEX(sheet2!O:O,MATCH(A228,sheet2!A:A,0))&gt;0,IFERROR(INDEX(LEVEL_HELPER!A:A,MATCH(INDEX(sheet2!O:O,MATCH(A228,sheet2!A:A,0)),LEVEL_HELPER!B:B,0)),H228),H228))</f>
        <v>Pre-Intermediate 2</v>
      </c>
      <c r="J228" s="110">
        <f>IFERROR(MAXIFS(ATTENDANCE_LOG!F:F, ATTENDANCE_LOG!C:C, A228&amp;"", ATTENDANCE_LOG!G:G, "Present"), "")</f>
        <v>46211.54167</v>
      </c>
      <c r="K228" s="111">
        <f t="shared" si="3"/>
        <v>1.458333333</v>
      </c>
      <c r="L228" s="112" t="str">
        <f t="shared" si="4"/>
        <v/>
      </c>
      <c r="M228" s="113"/>
      <c r="N228" s="114"/>
      <c r="O228" s="113"/>
      <c r="P228" s="115">
        <f>IFERROR(__xludf.DUMMYFUNCTION("IFERROR(COUNTUNIQUEIFS(ATTENDANCE_LOG!B:B,ATTENDANCE_LOG!C:C,A228),0)"),3.0)</f>
        <v>3</v>
      </c>
      <c r="Q228" s="113" t="str">
        <f t="array" ref="Q228">IFERROR(INDEX(ATTENDANCE_LOG!A:A,MATCH(1,(ATTENDANCE_LOG!C:C=A228)*(ATTENDANCE_LOG!F:F=MAXIFS(ATTENDANCE_LOG!F:F,ATTENDANCE_LOG!C:C,A228)),0)),"")</f>
        <v>EL022</v>
      </c>
      <c r="R228" s="113" t="str">
        <f t="array" ref="R228">IFERROR(INDEX(ATTENDANCE_LOG!B:B,MATCH(1,(ATTENDANCE_LOG!C:C=A228)*(ATTENDANCE_LOG!F:F=MAXIFS(ATTENDANCE_LOG!F:F,ATTENDANCE_LOG!C:C,A228)),0)),"")</f>
        <v>Communication 3</v>
      </c>
      <c r="S228" s="113">
        <f>IFERROR(VLOOKUP(H228, LEVEL_HELPER!A:B, 2, 0), 0)</f>
        <v>1</v>
      </c>
      <c r="T228" s="113">
        <f>IFERROR(VLOOKUP(I228, LEVEL_HELPER!A:B, 2, 0), 0)</f>
        <v>3.5</v>
      </c>
      <c r="U228" s="113">
        <f t="shared" ref="U228:V228" si="232">IF(S228="",0,IF(S228&lt;=2,1,IF(S228&lt;=4,2,IF(S228&lt;=5.5,3,4))))
</f>
        <v>1</v>
      </c>
      <c r="V228" s="113">
        <f t="shared" si="232"/>
        <v>2</v>
      </c>
      <c r="W228" s="113" t="str">
        <f t="shared" si="6"/>
        <v>Lv1→Lv2</v>
      </c>
      <c r="X228" s="114"/>
      <c r="Y228" s="114">
        <v>247059.0</v>
      </c>
      <c r="Z228" s="114" t="s">
        <v>190</v>
      </c>
      <c r="AA228" s="114" t="s">
        <v>34</v>
      </c>
      <c r="AB228" s="116"/>
      <c r="AC228" s="116"/>
      <c r="AD228" s="117"/>
    </row>
    <row r="229" ht="15.75" customHeight="1">
      <c r="A229" s="104" t="s">
        <v>658</v>
      </c>
      <c r="B229" s="105" t="s">
        <v>659</v>
      </c>
      <c r="C229" s="106" t="str">
        <f>IFERROR(__xludf.DUMMYFUNCTION("arrayformula(VLOOKUP(to_Text(A229),to_Text(sheet2!$A$1:M1005),13,0))"),"TBU")</f>
        <v>TBU</v>
      </c>
      <c r="D229" s="107" t="str">
        <f>IFERROR(__xludf.DUMMYFUNCTION("arrayformula(VLOOKUP(to_Text(A229),to_Text(sheet2!$A$1:M1005),12,0))"),"DEV")</f>
        <v>DEV</v>
      </c>
      <c r="E229" s="108" t="str">
        <f t="shared" si="2"/>
        <v>Inactive</v>
      </c>
      <c r="F229" s="104" t="str">
        <f t="array" ref="F229">IFERROR(
  INDEX(ATTENDANCE_INPUT!D:D,
    MATCH(1,
      (ATTENDANCE_INPUT!A:A=A229) *
      (ATTENDANCE_INPUT!W:W=MAXIFS(ATTENDANCE_INPUT!W:W, ATTENDANCE_INPUT!A:A, A229)),
      0)),
  "")</f>
        <v>Thien Truong</v>
      </c>
      <c r="G229" s="109" t="str">
        <f t="array" ref="G229">IFERROR(
  INDEX(ATTENDANCE_INPUT!E:E,
    MATCH(1,
      (ATTENDANCE_INPUT!A:A=A229) *
      (ATTENDANCE_INPUT!W:W=MAXIFS(ATTENDANCE_INPUT!W:W, ATTENDANCE_INPUT!A:A, A229)),
      0)),
  "")</f>
        <v>Communication 3</v>
      </c>
      <c r="H229" s="110" t="str">
        <f t="array" ref="H229">IF(ISNA(MATCH(A229,sheet2!A:A,0)),"⏳ Chưa test",IFERROR(INDEX(LEVEL_HELPER!A:A,MATCH(INDEX(sheet2!N:N,MATCH(A229,sheet2!A:A,0)),LEVEL_HELPER!B:B,0)),"⏳ Chưa test"))</f>
        <v>Beginner</v>
      </c>
      <c r="I229" s="110" t="str">
        <f t="array" ref="I229">IF(ISNA(MATCH(A229,sheet2!A:A,0)),H229,IF(INDEX(sheet2!O:O,MATCH(A229,sheet2!A:A,0))&gt;0,IFERROR(INDEX(LEVEL_HELPER!A:A,MATCH(INDEX(sheet2!O:O,MATCH(A229,sheet2!A:A,0)),LEVEL_HELPER!B:B,0)),H229),H229))</f>
        <v>Beginner 2</v>
      </c>
      <c r="J229" s="110">
        <f>IFERROR(MAXIFS(ATTENDANCE_LOG!F:F, ATTENDANCE_LOG!C:C, A229&amp;"", ATTENDANCE_LOG!G:G, "Present"), "")</f>
        <v>46189.41667</v>
      </c>
      <c r="K229" s="111">
        <f t="shared" si="3"/>
        <v>23.58333333</v>
      </c>
      <c r="L229" s="112" t="str">
        <f t="shared" si="4"/>
        <v>❌ Dropped</v>
      </c>
      <c r="M229" s="120" t="s">
        <v>37</v>
      </c>
      <c r="N229" s="126" t="s">
        <v>36</v>
      </c>
      <c r="O229" s="113" t="s">
        <v>370</v>
      </c>
      <c r="P229" s="115">
        <f>IFERROR(__xludf.DUMMYFUNCTION("IFERROR(COUNTUNIQUEIFS(ATTENDANCE_LOG!B:B,ATTENDANCE_LOG!C:C,A229),0)"),3.0)</f>
        <v>3</v>
      </c>
      <c r="Q229" s="113" t="str">
        <f t="array" ref="Q229">IFERROR(INDEX(ATTENDANCE_LOG!A:A,MATCH(1,(ATTENDANCE_LOG!C:C=A229)*(ATTENDANCE_LOG!F:F=MAXIFS(ATTENDANCE_LOG!F:F,ATTENDANCE_LOG!C:C,A229)),0)),"")</f>
        <v>EL022</v>
      </c>
      <c r="R229" s="113" t="str">
        <f t="array" ref="R229">IFERROR(INDEX(ATTENDANCE_LOG!B:B,MATCH(1,(ATTENDANCE_LOG!C:C=A229)*(ATTENDANCE_LOG!F:F=MAXIFS(ATTENDANCE_LOG!F:F,ATTENDANCE_LOG!C:C,A229)),0)),"")</f>
        <v>Communication 3</v>
      </c>
      <c r="S229" s="113">
        <f>IFERROR(VLOOKUP(H229, LEVEL_HELPER!A:B, 2, 0), 0)</f>
        <v>1</v>
      </c>
      <c r="T229" s="113">
        <f>IFERROR(VLOOKUP(I229, LEVEL_HELPER!A:B, 2, 0), 0)</f>
        <v>1.5</v>
      </c>
      <c r="U229" s="113">
        <f t="shared" ref="U229:V229" si="233">IF(S229="",0,IF(S229&lt;=2,1,IF(S229&lt;=4,2,IF(S229&lt;=5.5,3,4))))
</f>
        <v>1</v>
      </c>
      <c r="V229" s="113">
        <f t="shared" si="233"/>
        <v>1</v>
      </c>
      <c r="W229" s="113" t="str">
        <f t="shared" si="6"/>
        <v>Minor Improvement</v>
      </c>
      <c r="X229" s="113"/>
      <c r="Y229" s="113"/>
      <c r="Z229" s="113"/>
      <c r="AA229" s="113"/>
      <c r="AB229" s="116"/>
      <c r="AC229" s="116"/>
      <c r="AD229" s="117"/>
    </row>
    <row r="230" ht="15.75" customHeight="1">
      <c r="A230" s="104" t="s">
        <v>660</v>
      </c>
      <c r="B230" s="105" t="s">
        <v>661</v>
      </c>
      <c r="C230" s="106" t="str">
        <f>IFERROR(__xludf.DUMMYFUNCTION("arrayformula(VLOOKUP(to_Text(A230),to_Text(sheet2!$A$1:M1005),13,0))"),"POC")</f>
        <v>POC</v>
      </c>
      <c r="D230" s="107" t="str">
        <f>IFERROR(__xludf.DUMMYFUNCTION("arrayformula(VLOOKUP(to_Text(A230),to_Text(sheet2!$A$1:M1005),12,0))"),"QC")</f>
        <v>QC</v>
      </c>
      <c r="E230" s="108" t="str">
        <f t="shared" si="2"/>
        <v>Active</v>
      </c>
      <c r="F230" s="104" t="str">
        <f t="array" ref="F230">IFERROR(
  INDEX(ATTENDANCE_INPUT!D:D,
    MATCH(1,
      (ATTENDANCE_INPUT!A:A=A230) *
      (ATTENDANCE_INPUT!W:W=MAXIFS(ATTENDANCE_INPUT!W:W, ATTENDANCE_INPUT!A:A, A230)),
      0)),
  "")</f>
        <v>Thien Truong</v>
      </c>
      <c r="G230" s="109" t="str">
        <f t="array" ref="G230">IFERROR(
  INDEX(ATTENDANCE_INPUT!E:E,
    MATCH(1,
      (ATTENDANCE_INPUT!A:A=A230) *
      (ATTENDANCE_INPUT!W:W=MAXIFS(ATTENDANCE_INPUT!W:W, ATTENDANCE_INPUT!A:A, A230)),
      0)),
  "")</f>
        <v>Communication 3</v>
      </c>
      <c r="H230" s="110" t="str">
        <f t="array" ref="H230">IF(ISNA(MATCH(A230,sheet2!A:A,0)),"⏳ Chưa test",IFERROR(INDEX(LEVEL_HELPER!A:A,MATCH(INDEX(sheet2!N:N,MATCH(A230,sheet2!A:A,0)),LEVEL_HELPER!B:B,0)),"⏳ Chưa test"))</f>
        <v>Beginner</v>
      </c>
      <c r="I230" s="110" t="str">
        <f t="array" ref="I230">IF(ISNA(MATCH(A230,sheet2!A:A,0)),H230,IF(INDEX(sheet2!O:O,MATCH(A230,sheet2!A:A,0))&gt;0,IFERROR(INDEX(LEVEL_HELPER!A:A,MATCH(INDEX(sheet2!O:O,MATCH(A230,sheet2!A:A,0)),LEVEL_HELPER!B:B,0)),H230),H230))</f>
        <v>Beginner 3</v>
      </c>
      <c r="J230" s="110">
        <f>IFERROR(MAXIFS(ATTENDANCE_LOG!F:F, ATTENDANCE_LOG!C:C, A230&amp;"", ATTENDANCE_LOG!G:G, "Present"), "")</f>
        <v>46211.54167</v>
      </c>
      <c r="K230" s="111">
        <f t="shared" si="3"/>
        <v>1.458333333</v>
      </c>
      <c r="L230" s="112" t="str">
        <f t="shared" si="4"/>
        <v/>
      </c>
      <c r="M230" s="138"/>
      <c r="N230" s="114"/>
      <c r="O230" s="113"/>
      <c r="P230" s="115">
        <f>IFERROR(__xludf.DUMMYFUNCTION("IFERROR(COUNTUNIQUEIFS(ATTENDANCE_LOG!B:B,ATTENDANCE_LOG!C:C,A230),0)"),3.0)</f>
        <v>3</v>
      </c>
      <c r="Q230" s="113" t="str">
        <f t="array" ref="Q230">IFERROR(INDEX(ATTENDANCE_LOG!A:A,MATCH(1,(ATTENDANCE_LOG!C:C=A230)*(ATTENDANCE_LOG!F:F=MAXIFS(ATTENDANCE_LOG!F:F,ATTENDANCE_LOG!C:C,A230)),0)),"")</f>
        <v>EL022</v>
      </c>
      <c r="R230" s="113" t="str">
        <f t="array" ref="R230">IFERROR(INDEX(ATTENDANCE_LOG!B:B,MATCH(1,(ATTENDANCE_LOG!C:C=A230)*(ATTENDANCE_LOG!F:F=MAXIFS(ATTENDANCE_LOG!F:F,ATTENDANCE_LOG!C:C,A230)),0)),"")</f>
        <v>Communication 3</v>
      </c>
      <c r="S230" s="113">
        <f>IFERROR(VLOOKUP(H230, LEVEL_HELPER!A:B, 2, 0), 0)</f>
        <v>1</v>
      </c>
      <c r="T230" s="113">
        <f>IFERROR(VLOOKUP(I230, LEVEL_HELPER!A:B, 2, 0), 0)</f>
        <v>2</v>
      </c>
      <c r="U230" s="113">
        <f t="shared" ref="U230:V230" si="234">IF(S230="",0,IF(S230&lt;=2,1,IF(S230&lt;=4,2,IF(S230&lt;=5.5,3,4))))
</f>
        <v>1</v>
      </c>
      <c r="V230" s="113">
        <f t="shared" si="234"/>
        <v>1</v>
      </c>
      <c r="W230" s="113" t="str">
        <f t="shared" si="6"/>
        <v>Minor Improvement</v>
      </c>
      <c r="X230" s="113"/>
      <c r="Y230" s="113">
        <v>173239.0</v>
      </c>
      <c r="Z230" s="113" t="s">
        <v>42</v>
      </c>
      <c r="AA230" s="113" t="s">
        <v>42</v>
      </c>
      <c r="AB230" s="116"/>
      <c r="AC230" s="116"/>
      <c r="AD230" s="117"/>
    </row>
    <row r="231" ht="15.75" customHeight="1">
      <c r="A231" s="104" t="s">
        <v>662</v>
      </c>
      <c r="B231" s="105" t="s">
        <v>663</v>
      </c>
      <c r="C231" s="106" t="str">
        <f>IFERROR(__xludf.DUMMYFUNCTION("arrayformula(VLOOKUP(to_Text(A231),to_Text(sheet2!$A$1:M1005),13,0))"),"POC")</f>
        <v>POC</v>
      </c>
      <c r="D231" s="107" t="str">
        <f>IFERROR(__xludf.DUMMYFUNCTION("arrayformula(VLOOKUP(to_Text(A231),to_Text(sheet2!$A$1:M1005),12,0))"),"DEV")</f>
        <v>DEV</v>
      </c>
      <c r="E231" s="108" t="str">
        <f t="shared" si="2"/>
        <v>Inactive</v>
      </c>
      <c r="F231" s="104" t="str">
        <f t="array" ref="F231">IFERROR(
  INDEX(ATTENDANCE_INPUT!D:D,
    MATCH(1,
      (ATTENDANCE_INPUT!A:A=A231) *
      (ATTENDANCE_INPUT!W:W=MAXIFS(ATTENDANCE_INPUT!W:W, ATTENDANCE_INPUT!A:A, A231)),
      0)),
  "")</f>
        <v>Thien Truong</v>
      </c>
      <c r="G231" s="109" t="str">
        <f t="array" ref="G231">IFERROR(
  INDEX(ATTENDANCE_INPUT!E:E,
    MATCH(1,
      (ATTENDANCE_INPUT!A:A=A231) *
      (ATTENDANCE_INPUT!W:W=MAXIFS(ATTENDANCE_INPUT!W:W, ATTENDANCE_INPUT!A:A, A231)),
      0)),
  "")</f>
        <v>Communication 3</v>
      </c>
      <c r="H231" s="110" t="str">
        <f t="array" ref="H231">IF(ISNA(MATCH(A231,sheet2!A:A,0)),"⏳ Chưa test",IFERROR(INDEX(LEVEL_HELPER!A:A,MATCH(INDEX(sheet2!N:N,MATCH(A231,sheet2!A:A,0)),LEVEL_HELPER!B:B,0)),"⏳ Chưa test"))</f>
        <v>Beginner</v>
      </c>
      <c r="I231" s="110" t="str">
        <f t="array" ref="I231">IF(ISNA(MATCH(A231,sheet2!A:A,0)),H231,IF(INDEX(sheet2!O:O,MATCH(A231,sheet2!A:A,0))&gt;0,IFERROR(INDEX(LEVEL_HELPER!A:A,MATCH(INDEX(sheet2!O:O,MATCH(A231,sheet2!A:A,0)),LEVEL_HELPER!B:B,0)),H231),H231))</f>
        <v>Pre-Intermediate 3</v>
      </c>
      <c r="J231" s="110">
        <f>IFERROR(MAXIFS(ATTENDANCE_LOG!F:F, ATTENDANCE_LOG!C:C, A231&amp;"", ATTENDANCE_LOG!G:G, "Present"), "")</f>
        <v>46169.45833</v>
      </c>
      <c r="K231" s="111">
        <f t="shared" si="3"/>
        <v>43.54166667</v>
      </c>
      <c r="L231" s="112" t="str">
        <f t="shared" si="4"/>
        <v>❌ Dropped</v>
      </c>
      <c r="M231" s="120" t="s">
        <v>37</v>
      </c>
      <c r="N231" s="126" t="s">
        <v>36</v>
      </c>
      <c r="O231" s="113"/>
      <c r="P231" s="115">
        <f>IFERROR(__xludf.DUMMYFUNCTION("IFERROR(COUNTUNIQUEIFS(ATTENDANCE_LOG!B:B,ATTENDANCE_LOG!C:C,A231),0)"),3.0)</f>
        <v>3</v>
      </c>
      <c r="Q231" s="113" t="str">
        <f t="array" ref="Q231">IFERROR(INDEX(ATTENDANCE_LOG!A:A,MATCH(1,(ATTENDANCE_LOG!C:C=A231)*(ATTENDANCE_LOG!F:F=MAXIFS(ATTENDANCE_LOG!F:F,ATTENDANCE_LOG!C:C,A231)),0)),"")</f>
        <v>EL022</v>
      </c>
      <c r="R231" s="113" t="str">
        <f t="array" ref="R231">IFERROR(INDEX(ATTENDANCE_LOG!B:B,MATCH(1,(ATTENDANCE_LOG!C:C=A231)*(ATTENDANCE_LOG!F:F=MAXIFS(ATTENDANCE_LOG!F:F,ATTENDANCE_LOG!C:C,A231)),0)),"")</f>
        <v>Communication 3</v>
      </c>
      <c r="S231" s="113">
        <f>IFERROR(VLOOKUP(H231, LEVEL_HELPER!A:B, 2, 0), 0)</f>
        <v>1</v>
      </c>
      <c r="T231" s="113">
        <f>IFERROR(VLOOKUP(I231, LEVEL_HELPER!A:B, 2, 0), 0)</f>
        <v>4</v>
      </c>
      <c r="U231" s="113">
        <f t="shared" ref="U231:V231" si="235">IF(S231="",0,IF(S231&lt;=2,1,IF(S231&lt;=4,2,IF(S231&lt;=5.5,3,4))))
</f>
        <v>1</v>
      </c>
      <c r="V231" s="113">
        <f t="shared" si="235"/>
        <v>2</v>
      </c>
      <c r="W231" s="113" t="str">
        <f t="shared" si="6"/>
        <v>Lv1→Lv2</v>
      </c>
      <c r="X231" s="113"/>
      <c r="Y231" s="113"/>
      <c r="Z231" s="113"/>
      <c r="AA231" s="113"/>
      <c r="AB231" s="116"/>
      <c r="AC231" s="116"/>
      <c r="AD231" s="117"/>
    </row>
    <row r="232" ht="15.75" customHeight="1">
      <c r="A232" s="104" t="s">
        <v>664</v>
      </c>
      <c r="B232" s="105" t="s">
        <v>665</v>
      </c>
      <c r="C232" s="106" t="str">
        <f>IFERROR(__xludf.DUMMYFUNCTION("arrayformula(VLOOKUP(to_Text(A232),to_Text(sheet2!$A$1:M1005),13,0))"),"POC")</f>
        <v>POC</v>
      </c>
      <c r="D232" s="107" t="str">
        <f>IFERROR(__xludf.DUMMYFUNCTION("arrayformula(VLOOKUP(to_Text(A232),to_Text(sheet2!$A$1:M1005),12,0))"),"QC")</f>
        <v>QC</v>
      </c>
      <c r="E232" s="108" t="str">
        <f t="shared" si="2"/>
        <v>Active</v>
      </c>
      <c r="F232" s="104" t="str">
        <f t="array" ref="F232">IFERROR(
  INDEX(ATTENDANCE_INPUT!D:D,
    MATCH(1,
      (ATTENDANCE_INPUT!A:A=A232) *
      (ATTENDANCE_INPUT!W:W=MAXIFS(ATTENDANCE_INPUT!W:W, ATTENDANCE_INPUT!A:A, A232)),
      0)),
  "")</f>
        <v>Thien Truong</v>
      </c>
      <c r="G232" s="109" t="str">
        <f t="array" ref="G232">IFERROR(
  INDEX(ATTENDANCE_INPUT!E:E,
    MATCH(1,
      (ATTENDANCE_INPUT!A:A=A232) *
      (ATTENDANCE_INPUT!W:W=MAXIFS(ATTENDANCE_INPUT!W:W, ATTENDANCE_INPUT!A:A, A232)),
      0)),
  "")</f>
        <v>Communication 3</v>
      </c>
      <c r="H232" s="110" t="str">
        <f t="array" ref="H232">IF(ISNA(MATCH(A232,sheet2!A:A,0)),"⏳ Chưa test",IFERROR(INDEX(LEVEL_HELPER!A:A,MATCH(INDEX(sheet2!N:N,MATCH(A232,sheet2!A:A,0)),LEVEL_HELPER!B:B,0)),"⏳ Chưa test"))</f>
        <v>Beginner</v>
      </c>
      <c r="I232" s="110" t="str">
        <f t="array" ref="I232">IF(ISNA(MATCH(A232,sheet2!A:A,0)),H232,IF(INDEX(sheet2!O:O,MATCH(A232,sheet2!A:A,0))&gt;0,IFERROR(INDEX(LEVEL_HELPER!A:A,MATCH(INDEX(sheet2!O:O,MATCH(A232,sheet2!A:A,0)),LEVEL_HELPER!B:B,0)),H232),H232))</f>
        <v>Pre-Intermediate 2</v>
      </c>
      <c r="J232" s="110">
        <f>IFERROR(MAXIFS(ATTENDANCE_LOG!F:F, ATTENDANCE_LOG!C:C, A232&amp;"", ATTENDANCE_LOG!G:G, "Present"), "")</f>
        <v>46211.54167</v>
      </c>
      <c r="K232" s="111">
        <f t="shared" si="3"/>
        <v>1.458333333</v>
      </c>
      <c r="L232" s="112" t="str">
        <f t="shared" si="4"/>
        <v/>
      </c>
      <c r="M232" s="113"/>
      <c r="N232" s="114"/>
      <c r="O232" s="113"/>
      <c r="P232" s="115">
        <f>IFERROR(__xludf.DUMMYFUNCTION("IFERROR(COUNTUNIQUEIFS(ATTENDANCE_LOG!B:B,ATTENDANCE_LOG!C:C,A232),0)"),3.0)</f>
        <v>3</v>
      </c>
      <c r="Q232" s="113" t="str">
        <f t="array" ref="Q232">IFERROR(INDEX(ATTENDANCE_LOG!A:A,MATCH(1,(ATTENDANCE_LOG!C:C=A232)*(ATTENDANCE_LOG!F:F=MAXIFS(ATTENDANCE_LOG!F:F,ATTENDANCE_LOG!C:C,A232)),0)),"")</f>
        <v>EL022</v>
      </c>
      <c r="R232" s="113" t="str">
        <f t="array" ref="R232">IFERROR(INDEX(ATTENDANCE_LOG!B:B,MATCH(1,(ATTENDANCE_LOG!C:C=A232)*(ATTENDANCE_LOG!F:F=MAXIFS(ATTENDANCE_LOG!F:F,ATTENDANCE_LOG!C:C,A232)),0)),"")</f>
        <v>Communication 3</v>
      </c>
      <c r="S232" s="113">
        <f>IFERROR(VLOOKUP(H232, LEVEL_HELPER!A:B, 2, 0), 0)</f>
        <v>1</v>
      </c>
      <c r="T232" s="113">
        <f>IFERROR(VLOOKUP(I232, LEVEL_HELPER!A:B, 2, 0), 0)</f>
        <v>3.5</v>
      </c>
      <c r="U232" s="113">
        <f t="shared" ref="U232:V232" si="236">IF(S232="",0,IF(S232&lt;=2,1,IF(S232&lt;=4,2,IF(S232&lt;=5.5,3,4))))
</f>
        <v>1</v>
      </c>
      <c r="V232" s="113">
        <f t="shared" si="236"/>
        <v>2</v>
      </c>
      <c r="W232" s="113" t="str">
        <f t="shared" si="6"/>
        <v>Lv1→Lv2</v>
      </c>
      <c r="X232" s="113"/>
      <c r="Y232" s="113">
        <v>247249.0</v>
      </c>
      <c r="Z232" s="113" t="s">
        <v>209</v>
      </c>
      <c r="AA232" s="113" t="s">
        <v>40</v>
      </c>
      <c r="AB232" s="116"/>
      <c r="AC232" s="116"/>
      <c r="AD232" s="117"/>
    </row>
    <row r="233" ht="15.75" customHeight="1">
      <c r="A233" s="104" t="s">
        <v>666</v>
      </c>
      <c r="B233" s="105" t="s">
        <v>667</v>
      </c>
      <c r="C233" s="106" t="str">
        <f>IFERROR(__xludf.DUMMYFUNCTION("arrayformula(VLOOKUP(to_Text(A233),to_Text(sheet2!$A$1:M1005),13,0))"),"POC")</f>
        <v>POC</v>
      </c>
      <c r="D233" s="107" t="str">
        <f>IFERROR(__xludf.DUMMYFUNCTION("arrayformula(VLOOKUP(to_Text(A233),to_Text(sheet2!$A$1:M1005),12,0))"),"DEV")</f>
        <v>DEV</v>
      </c>
      <c r="E233" s="108" t="str">
        <f t="shared" si="2"/>
        <v>Inactive</v>
      </c>
      <c r="F233" s="104" t="str">
        <f t="array" ref="F233">IFERROR(
  INDEX(ATTENDANCE_INPUT!D:D,
    MATCH(1,
      (ATTENDANCE_INPUT!A:A=A233) *
      (ATTENDANCE_INPUT!W:W=MAXIFS(ATTENDANCE_INPUT!W:W, ATTENDANCE_INPUT!A:A, A233)),
      0)),
  "")</f>
        <v>Thien Truong</v>
      </c>
      <c r="G233" s="109" t="str">
        <f t="array" ref="G233">IFERROR(
  INDEX(ATTENDANCE_INPUT!E:E,
    MATCH(1,
      (ATTENDANCE_INPUT!A:A=A233) *
      (ATTENDANCE_INPUT!W:W=MAXIFS(ATTENDANCE_INPUT!W:W, ATTENDANCE_INPUT!A:A, A233)),
      0)),
  "")</f>
        <v>Communication 3</v>
      </c>
      <c r="H233" s="110" t="str">
        <f t="array" ref="H233">IF(ISNA(MATCH(A233,sheet2!A:A,0)),"⏳ Chưa test",IFERROR(INDEX(LEVEL_HELPER!A:A,MATCH(INDEX(sheet2!N:N,MATCH(A233,sheet2!A:A,0)),LEVEL_HELPER!B:B,0)),"⏳ Chưa test"))</f>
        <v>Beginner</v>
      </c>
      <c r="I233" s="110" t="str">
        <f t="array" ref="I233">IF(ISNA(MATCH(A233,sheet2!A:A,0)),H233,IF(INDEX(sheet2!O:O,MATCH(A233,sheet2!A:A,0))&gt;0,IFERROR(INDEX(LEVEL_HELPER!A:A,MATCH(INDEX(sheet2!O:O,MATCH(A233,sheet2!A:A,0)),LEVEL_HELPER!B:B,0)),H233),H233))</f>
        <v>Pre-Intermediate 2</v>
      </c>
      <c r="J233" s="110">
        <f>IFERROR(MAXIFS(ATTENDANCE_LOG!F:F, ATTENDANCE_LOG!C:C, A233&amp;"", ATTENDANCE_LOG!G:G, "Present"), "")</f>
        <v>46169.45833</v>
      </c>
      <c r="K233" s="111">
        <f t="shared" si="3"/>
        <v>43.54166667</v>
      </c>
      <c r="L233" s="112" t="str">
        <f t="shared" si="4"/>
        <v>❌ Dropped</v>
      </c>
      <c r="M233" s="120" t="s">
        <v>37</v>
      </c>
      <c r="N233" s="126" t="s">
        <v>36</v>
      </c>
      <c r="O233" s="113"/>
      <c r="P233" s="115">
        <f>IFERROR(__xludf.DUMMYFUNCTION("IFERROR(COUNTUNIQUEIFS(ATTENDANCE_LOG!B:B,ATTENDANCE_LOG!C:C,A233),0)"),3.0)</f>
        <v>3</v>
      </c>
      <c r="Q233" s="113" t="str">
        <f t="array" ref="Q233">IFERROR(INDEX(ATTENDANCE_LOG!A:A,MATCH(1,(ATTENDANCE_LOG!C:C=A233)*(ATTENDANCE_LOG!F:F=MAXIFS(ATTENDANCE_LOG!F:F,ATTENDANCE_LOG!C:C,A233)),0)),"")</f>
        <v>EL022</v>
      </c>
      <c r="R233" s="113" t="str">
        <f t="array" ref="R233">IFERROR(INDEX(ATTENDANCE_LOG!B:B,MATCH(1,(ATTENDANCE_LOG!C:C=A233)*(ATTENDANCE_LOG!F:F=MAXIFS(ATTENDANCE_LOG!F:F,ATTENDANCE_LOG!C:C,A233)),0)),"")</f>
        <v>Communication 3</v>
      </c>
      <c r="S233" s="113">
        <f>IFERROR(VLOOKUP(H233, LEVEL_HELPER!A:B, 2, 0), 0)</f>
        <v>1</v>
      </c>
      <c r="T233" s="113">
        <f>IFERROR(VLOOKUP(I233, LEVEL_HELPER!A:B, 2, 0), 0)</f>
        <v>3.5</v>
      </c>
      <c r="U233" s="113">
        <f t="shared" ref="U233:V233" si="237">IF(S233="",0,IF(S233&lt;=2,1,IF(S233&lt;=4,2,IF(S233&lt;=5.5,3,4))))
</f>
        <v>1</v>
      </c>
      <c r="V233" s="113">
        <f t="shared" si="237"/>
        <v>2</v>
      </c>
      <c r="W233" s="113" t="str">
        <f t="shared" si="6"/>
        <v>Lv1→Lv2</v>
      </c>
      <c r="X233" s="113"/>
      <c r="Y233" s="113"/>
      <c r="Z233" s="113"/>
      <c r="AA233" s="113"/>
      <c r="AB233" s="116"/>
      <c r="AC233" s="116"/>
      <c r="AD233" s="117"/>
    </row>
    <row r="234" ht="15.75" customHeight="1">
      <c r="A234" s="104" t="s">
        <v>668</v>
      </c>
      <c r="B234" s="105" t="s">
        <v>669</v>
      </c>
      <c r="C234" s="106" t="str">
        <f>IFERROR(__xludf.DUMMYFUNCTION("arrayformula(VLOOKUP(to_Text(A234),to_Text(sheet2!$A$1:M1005),13,0))"),"POC")</f>
        <v>POC</v>
      </c>
      <c r="D234" s="107" t="str">
        <f>IFERROR(__xludf.DUMMYFUNCTION("arrayformula(VLOOKUP(to_Text(A234),to_Text(sheet2!$A$1:M1005),12,0))"),"DEV")</f>
        <v>DEV</v>
      </c>
      <c r="E234" s="108" t="str">
        <f t="shared" si="2"/>
        <v>Inactive</v>
      </c>
      <c r="F234" s="104" t="str">
        <f t="array" ref="F234">IFERROR(
  INDEX(ATTENDANCE_INPUT!D:D,
    MATCH(1,
      (ATTENDANCE_INPUT!A:A=A234) *
      (ATTENDANCE_INPUT!W:W=MAXIFS(ATTENDANCE_INPUT!W:W, ATTENDANCE_INPUT!A:A, A234)),
      0)),
  "")</f>
        <v>Thien Truong</v>
      </c>
      <c r="G234" s="109" t="str">
        <f t="array" ref="G234">IFERROR(
  INDEX(ATTENDANCE_INPUT!E:E,
    MATCH(1,
      (ATTENDANCE_INPUT!A:A=A234) *
      (ATTENDANCE_INPUT!W:W=MAXIFS(ATTENDANCE_INPUT!W:W, ATTENDANCE_INPUT!A:A, A234)),
      0)),
  "")</f>
        <v>Communication 2</v>
      </c>
      <c r="H234" s="110" t="str">
        <f t="array" ref="H234">IF(ISNA(MATCH(A234,sheet2!A:A,0)),"⏳ Chưa test",IFERROR(INDEX(LEVEL_HELPER!A:A,MATCH(INDEX(sheet2!N:N,MATCH(A234,sheet2!A:A,0)),LEVEL_HELPER!B:B,0)),"⏳ Chưa test"))</f>
        <v>Pre-Intermediate</v>
      </c>
      <c r="I234" s="110" t="str">
        <f t="array" ref="I234">IF(ISNA(MATCH(A234,sheet2!A:A,0)),H234,IF(INDEX(sheet2!O:O,MATCH(A234,sheet2!A:A,0))&gt;0,IFERROR(INDEX(LEVEL_HELPER!A:A,MATCH(INDEX(sheet2!O:O,MATCH(A234,sheet2!A:A,0)),LEVEL_HELPER!B:B,0)),H234),H234))</f>
        <v>Pre-Intermediate 2</v>
      </c>
      <c r="J234" s="110">
        <f>IFERROR(MAXIFS(ATTENDANCE_LOG!F:F, ATTENDANCE_LOG!C:C, A234&amp;"", ATTENDANCE_LOG!G:G, "Present"), "")</f>
        <v>46048.41667</v>
      </c>
      <c r="K234" s="111">
        <f t="shared" si="3"/>
        <v>164.5833333</v>
      </c>
      <c r="L234" s="112" t="str">
        <f t="shared" si="4"/>
        <v>✅ Completed</v>
      </c>
      <c r="M234" s="113" t="s">
        <v>35</v>
      </c>
      <c r="N234" s="114" t="s">
        <v>36</v>
      </c>
      <c r="O234" s="113" t="s">
        <v>670</v>
      </c>
      <c r="P234" s="115">
        <f>IFERROR(__xludf.DUMMYFUNCTION("IFERROR(COUNTUNIQUEIFS(ATTENDANCE_LOG!B:B,ATTENDANCE_LOG!C:C,A234),0)"),2.0)</f>
        <v>2</v>
      </c>
      <c r="Q234" s="113" t="str">
        <f t="array" ref="Q234">IFERROR(INDEX(ATTENDANCE_LOG!A:A,MATCH(1,(ATTENDANCE_LOG!C:C=A234)*(ATTENDANCE_LOG!F:F=MAXIFS(ATTENDANCE_LOG!F:F,ATTENDANCE_LOG!C:C,A234)),0)),"")</f>
        <v>EL022</v>
      </c>
      <c r="R234" s="113" t="str">
        <f t="array" ref="R234">IFERROR(INDEX(ATTENDANCE_LOG!B:B,MATCH(1,(ATTENDANCE_LOG!C:C=A234)*(ATTENDANCE_LOG!F:F=MAXIFS(ATTENDANCE_LOG!F:F,ATTENDANCE_LOG!C:C,A234)),0)),"")</f>
        <v>Communication 2</v>
      </c>
      <c r="S234" s="113">
        <f>IFERROR(VLOOKUP(H234, LEVEL_HELPER!A:B, 2, 0), 0)</f>
        <v>2.5</v>
      </c>
      <c r="T234" s="113">
        <f>IFERROR(VLOOKUP(I234, LEVEL_HELPER!A:B, 2, 0), 0)</f>
        <v>3.5</v>
      </c>
      <c r="U234" s="113">
        <f t="shared" ref="U234:V234" si="238">IF(S234="",0,IF(S234&lt;=2,1,IF(S234&lt;=4,2,IF(S234&lt;=5.5,3,4))))
</f>
        <v>2</v>
      </c>
      <c r="V234" s="113">
        <f t="shared" si="238"/>
        <v>2</v>
      </c>
      <c r="W234" s="113" t="str">
        <f t="shared" si="6"/>
        <v>Minor Improvement</v>
      </c>
      <c r="X234" s="113"/>
      <c r="Y234" s="113"/>
      <c r="Z234" s="113"/>
      <c r="AA234" s="113"/>
      <c r="AB234" s="116"/>
      <c r="AC234" s="116"/>
      <c r="AD234" s="117"/>
    </row>
    <row r="235" ht="15.75" customHeight="1">
      <c r="A235" s="104" t="s">
        <v>671</v>
      </c>
      <c r="B235" s="105" t="s">
        <v>672</v>
      </c>
      <c r="C235" s="106" t="str">
        <f>IFERROR(__xludf.DUMMYFUNCTION("arrayformula(VLOOKUP(to_Text(A235),to_Text(sheet2!$A$1:M1005),13,0))"),"TBU")</f>
        <v>TBU</v>
      </c>
      <c r="D235" s="107" t="str">
        <f>IFERROR(__xludf.DUMMYFUNCTION("arrayformula(VLOOKUP(to_Text(A235),to_Text(sheet2!$A$1:M1005),12,0))"),"DEV")</f>
        <v>DEV</v>
      </c>
      <c r="E235" s="108" t="str">
        <f t="shared" si="2"/>
        <v>Inactive</v>
      </c>
      <c r="F235" s="104" t="str">
        <f t="array" ref="F235">IFERROR(
  INDEX(ATTENDANCE_INPUT!D:D,
    MATCH(1,
      (ATTENDANCE_INPUT!A:A=A235) *
      (ATTENDANCE_INPUT!W:W=MAXIFS(ATTENDANCE_INPUT!W:W, ATTENDANCE_INPUT!A:A, A235)),
      0)),
  "")</f>
        <v>Thien Truong</v>
      </c>
      <c r="G235" s="109" t="str">
        <f t="array" ref="G235">IFERROR(
  INDEX(ATTENDANCE_INPUT!E:E,
    MATCH(1,
      (ATTENDANCE_INPUT!A:A=A235) *
      (ATTENDANCE_INPUT!W:W=MAXIFS(ATTENDANCE_INPUT!W:W, ATTENDANCE_INPUT!A:A, A235)),
      0)),
  "")</f>
        <v>Communication 2</v>
      </c>
      <c r="H235" s="110" t="str">
        <f t="array" ref="H235">IF(ISNA(MATCH(A235,sheet2!A:A,0)),"⏳ Chưa test",IFERROR(INDEX(LEVEL_HELPER!A:A,MATCH(INDEX(sheet2!N:N,MATCH(A235,sheet2!A:A,0)),LEVEL_HELPER!B:B,0)),"⏳ Chưa test"))</f>
        <v>Pre-Intermediate</v>
      </c>
      <c r="I235" s="110" t="str">
        <f t="array" ref="I235">IF(ISNA(MATCH(A235,sheet2!A:A,0)),H235,IF(INDEX(sheet2!O:O,MATCH(A235,sheet2!A:A,0))&gt;0,IFERROR(INDEX(LEVEL_HELPER!A:A,MATCH(INDEX(sheet2!O:O,MATCH(A235,sheet2!A:A,0)),LEVEL_HELPER!B:B,0)),H235),H235))</f>
        <v>Intermediate</v>
      </c>
      <c r="J235" s="110">
        <f>IFERROR(MAXIFS(ATTENDANCE_LOG!F:F, ATTENDANCE_LOG!C:C, A235&amp;"", ATTENDANCE_LOG!G:G, "Present"), "")</f>
        <v>46006.45833</v>
      </c>
      <c r="K235" s="111">
        <f t="shared" si="3"/>
        <v>206.5416667</v>
      </c>
      <c r="L235" s="112" t="str">
        <f t="shared" si="4"/>
        <v>❌ Dropped</v>
      </c>
      <c r="M235" s="120" t="s">
        <v>37</v>
      </c>
      <c r="N235" s="126" t="s">
        <v>43</v>
      </c>
      <c r="O235" s="113"/>
      <c r="P235" s="115">
        <f>IFERROR(__xludf.DUMMYFUNCTION("IFERROR(COUNTUNIQUEIFS(ATTENDANCE_LOG!B:B,ATTENDANCE_LOG!C:C,A235),0)"),2.0)</f>
        <v>2</v>
      </c>
      <c r="Q235" s="113" t="str">
        <f t="array" ref="Q235">IFERROR(INDEX(ATTENDANCE_LOG!A:A,MATCH(1,(ATTENDANCE_LOG!C:C=A235)*(ATTENDANCE_LOG!F:F=MAXIFS(ATTENDANCE_LOG!F:F,ATTENDANCE_LOG!C:C,A235)),0)),"")</f>
        <v>EL022</v>
      </c>
      <c r="R235" s="113" t="str">
        <f t="array" ref="R235">IFERROR(INDEX(ATTENDANCE_LOG!B:B,MATCH(1,(ATTENDANCE_LOG!C:C=A235)*(ATTENDANCE_LOG!F:F=MAXIFS(ATTENDANCE_LOG!F:F,ATTENDANCE_LOG!C:C,A235)),0)),"")</f>
        <v>Communication 2</v>
      </c>
      <c r="S235" s="113">
        <f>IFERROR(VLOOKUP(H235, LEVEL_HELPER!A:B, 2, 0), 0)</f>
        <v>2.5</v>
      </c>
      <c r="T235" s="113">
        <f>IFERROR(VLOOKUP(I235, LEVEL_HELPER!A:B, 2, 0), 0)</f>
        <v>4.5</v>
      </c>
      <c r="U235" s="113">
        <f t="shared" ref="U235:V235" si="239">IF(S235="",0,IF(S235&lt;=2,1,IF(S235&lt;=4,2,IF(S235&lt;=5.5,3,4))))
</f>
        <v>2</v>
      </c>
      <c r="V235" s="113">
        <f t="shared" si="239"/>
        <v>3</v>
      </c>
      <c r="W235" s="113" t="str">
        <f t="shared" si="6"/>
        <v>Lv2→Lv3</v>
      </c>
      <c r="X235" s="113"/>
      <c r="Y235" s="113"/>
      <c r="Z235" s="113"/>
      <c r="AA235" s="113"/>
      <c r="AB235" s="116"/>
      <c r="AC235" s="116"/>
      <c r="AD235" s="117"/>
    </row>
    <row r="236" ht="15.75" customHeight="1">
      <c r="A236" s="104" t="s">
        <v>673</v>
      </c>
      <c r="B236" s="105" t="s">
        <v>674</v>
      </c>
      <c r="C236" s="106" t="str">
        <f>IFERROR(__xludf.DUMMYFUNCTION("arrayformula(VLOOKUP(to_Text(A236),to_Text(sheet2!$A$1:M1005),13,0))"),"TBU")</f>
        <v>TBU</v>
      </c>
      <c r="D236" s="107" t="str">
        <f>IFERROR(__xludf.DUMMYFUNCTION("arrayformula(VLOOKUP(to_Text(A236),to_Text(sheet2!$A$1:M1005),12,0))"),"DEV")</f>
        <v>DEV</v>
      </c>
      <c r="E236" s="108" t="str">
        <f t="shared" si="2"/>
        <v>Inactive</v>
      </c>
      <c r="F236" s="104" t="str">
        <f t="array" ref="F236">IFERROR(
  INDEX(ATTENDANCE_INPUT!D:D,
    MATCH(1,
      (ATTENDANCE_INPUT!A:A=A236) *
      (ATTENDANCE_INPUT!W:W=MAXIFS(ATTENDANCE_INPUT!W:W, ATTENDANCE_INPUT!A:A, A236)),
      0)),
  "")</f>
        <v>Thien Truong</v>
      </c>
      <c r="G236" s="109" t="str">
        <f t="array" ref="G236">IFERROR(
  INDEX(ATTENDANCE_INPUT!E:E,
    MATCH(1,
      (ATTENDANCE_INPUT!A:A=A236) *
      (ATTENDANCE_INPUT!W:W=MAXIFS(ATTENDANCE_INPUT!W:W, ATTENDANCE_INPUT!A:A, A236)),
      0)),
  "")</f>
        <v>Communication 2</v>
      </c>
      <c r="H236" s="110" t="str">
        <f t="array" ref="H236">IF(ISNA(MATCH(A236,sheet2!A:A,0)),"⏳ Chưa test",IFERROR(INDEX(LEVEL_HELPER!A:A,MATCH(INDEX(sheet2!N:N,MATCH(A236,sheet2!A:A,0)),LEVEL_HELPER!B:B,0)),"⏳ Chưa test"))</f>
        <v>Beginner</v>
      </c>
      <c r="I236" s="110" t="str">
        <f t="array" ref="I236">IF(ISNA(MATCH(A236,sheet2!A:A,0)),H236,IF(INDEX(sheet2!O:O,MATCH(A236,sheet2!A:A,0))&gt;0,IFERROR(INDEX(LEVEL_HELPER!A:A,MATCH(INDEX(sheet2!O:O,MATCH(A236,sheet2!A:A,0)),LEVEL_HELPER!B:B,0)),H236),H236))</f>
        <v>Pre-Intermediate 1</v>
      </c>
      <c r="J236" s="110">
        <f>IFERROR(MAXIFS(ATTENDANCE_LOG!F:F, ATTENDANCE_LOG!C:C, A236&amp;"", ATTENDANCE_LOG!G:G, "Present"), "")</f>
        <v>46048.41667</v>
      </c>
      <c r="K236" s="111">
        <f t="shared" si="3"/>
        <v>164.5833333</v>
      </c>
      <c r="L236" s="112" t="str">
        <f t="shared" si="4"/>
        <v>❌ Dropped</v>
      </c>
      <c r="M236" s="120" t="s">
        <v>37</v>
      </c>
      <c r="N236" s="126" t="s">
        <v>43</v>
      </c>
      <c r="O236" s="113"/>
      <c r="P236" s="115">
        <f>IFERROR(__xludf.DUMMYFUNCTION("IFERROR(COUNTUNIQUEIFS(ATTENDANCE_LOG!B:B,ATTENDANCE_LOG!C:C,A236),0)"),2.0)</f>
        <v>2</v>
      </c>
      <c r="Q236" s="113" t="str">
        <f t="array" ref="Q236">IFERROR(INDEX(ATTENDANCE_LOG!A:A,MATCH(1,(ATTENDANCE_LOG!C:C=A236)*(ATTENDANCE_LOG!F:F=MAXIFS(ATTENDANCE_LOG!F:F,ATTENDANCE_LOG!C:C,A236)),0)),"")</f>
        <v>EL022</v>
      </c>
      <c r="R236" s="113" t="str">
        <f t="array" ref="R236">IFERROR(INDEX(ATTENDANCE_LOG!B:B,MATCH(1,(ATTENDANCE_LOG!C:C=A236)*(ATTENDANCE_LOG!F:F=MAXIFS(ATTENDANCE_LOG!F:F,ATTENDANCE_LOG!C:C,A236)),0)),"")</f>
        <v>Communication 2</v>
      </c>
      <c r="S236" s="113">
        <f>IFERROR(VLOOKUP(H236, LEVEL_HELPER!A:B, 2, 0), 0)</f>
        <v>1</v>
      </c>
      <c r="T236" s="113">
        <f>IFERROR(VLOOKUP(I236, LEVEL_HELPER!A:B, 2, 0), 0)</f>
        <v>3</v>
      </c>
      <c r="U236" s="113">
        <f t="shared" ref="U236:V236" si="240">IF(S236="",0,IF(S236&lt;=2,1,IF(S236&lt;=4,2,IF(S236&lt;=5.5,3,4))))
</f>
        <v>1</v>
      </c>
      <c r="V236" s="113">
        <f t="shared" si="240"/>
        <v>2</v>
      </c>
      <c r="W236" s="113" t="str">
        <f t="shared" si="6"/>
        <v>Lv1→Lv2</v>
      </c>
      <c r="X236" s="113"/>
      <c r="Y236" s="113"/>
      <c r="Z236" s="113"/>
      <c r="AA236" s="113"/>
      <c r="AB236" s="116"/>
      <c r="AC236" s="116"/>
      <c r="AD236" s="117"/>
    </row>
    <row r="237" ht="15.75" customHeight="1">
      <c r="A237" s="104" t="s">
        <v>675</v>
      </c>
      <c r="B237" s="105" t="s">
        <v>676</v>
      </c>
      <c r="C237" s="106" t="str">
        <f>IFERROR(__xludf.DUMMYFUNCTION("arrayformula(VLOOKUP(to_Text(A237),to_Text(sheet2!$A$1:M1005),13,0))"),"MOC")</f>
        <v>MOC</v>
      </c>
      <c r="D237" s="107" t="str">
        <f>IFERROR(__xludf.DUMMYFUNCTION("arrayformula(VLOOKUP(to_Text(A237),to_Text(sheet2!$A$1:M1005),12,0))"),"GSD")</f>
        <v>GSD</v>
      </c>
      <c r="E237" s="108" t="str">
        <f t="shared" si="2"/>
        <v>Active</v>
      </c>
      <c r="F237" s="104" t="str">
        <f t="array" ref="F237">IFERROR(
  INDEX(ATTENDANCE_INPUT!D:D,
    MATCH(1,
      (ATTENDANCE_INPUT!A:A=A237) *
      (ATTENDANCE_INPUT!W:W=MAXIFS(ATTENDANCE_INPUT!W:W, ATTENDANCE_INPUT!A:A, A237)),
      0)),
  "")</f>
        <v>Thuong Tran</v>
      </c>
      <c r="G237" s="109" t="str">
        <f t="array" ref="G237">IFERROR(
  INDEX(ATTENDANCE_INPUT!E:E,
    MATCH(1,
      (ATTENDANCE_INPUT!A:A=A237) *
      (ATTENDANCE_INPUT!W:W=MAXIFS(ATTENDANCE_INPUT!W:W, ATTENDANCE_INPUT!A:A, A237)),
      0)),
  "")</f>
        <v>Business English</v>
      </c>
      <c r="H237" s="110" t="str">
        <f t="array" ref="H237">IF(ISNA(MATCH(A237,sheet2!A:A,0)),"⏳ Chưa test",IFERROR(INDEX(LEVEL_HELPER!A:A,MATCH(INDEX(sheet2!N:N,MATCH(A237,sheet2!A:A,0)),LEVEL_HELPER!B:B,0)),"⏳ Chưa test"))</f>
        <v>Pre-Intermediate</v>
      </c>
      <c r="I237" s="110" t="str">
        <f t="array" ref="I237">IF(ISNA(MATCH(A237,sheet2!A:A,0)),H237,IF(INDEX(sheet2!O:O,MATCH(A237,sheet2!A:A,0))&gt;0,IFERROR(INDEX(LEVEL_HELPER!A:A,MATCH(INDEX(sheet2!O:O,MATCH(A237,sheet2!A:A,0)),LEVEL_HELPER!B:B,0)),H237),H237))</f>
        <v>Intermediate 2</v>
      </c>
      <c r="J237" s="110">
        <f>IFERROR(MAXIFS(ATTENDANCE_LOG!F:F, ATTENDANCE_LOG!C:C, A237&amp;"", ATTENDANCE_LOG!G:G, "Present"), "")</f>
        <v>46210.54167</v>
      </c>
      <c r="K237" s="111">
        <f t="shared" si="3"/>
        <v>2.458333333</v>
      </c>
      <c r="L237" s="112" t="str">
        <f t="shared" si="4"/>
        <v/>
      </c>
      <c r="M237" s="113"/>
      <c r="N237" s="114"/>
      <c r="O237" s="113"/>
      <c r="P237" s="115">
        <f>IFERROR(__xludf.DUMMYFUNCTION("IFERROR(COUNTUNIQUEIFS(ATTENDANCE_LOG!B:B,ATTENDANCE_LOG!C:C,A237),0)"),3.0)</f>
        <v>3</v>
      </c>
      <c r="Q237" s="113" t="str">
        <f t="array" ref="Q237">IFERROR(INDEX(ATTENDANCE_LOG!A:A,MATCH(1,(ATTENDANCE_LOG!C:C=A237)*(ATTENDANCE_LOG!F:F=MAXIFS(ATTENDANCE_LOG!F:F,ATTENDANCE_LOG!C:C,A237)),0)),"")</f>
        <v>EL034</v>
      </c>
      <c r="R237" s="113" t="str">
        <f t="array" ref="R237">IFERROR(INDEX(ATTENDANCE_LOG!B:B,MATCH(1,(ATTENDANCE_LOG!C:C=A237)*(ATTENDANCE_LOG!F:F=MAXIFS(ATTENDANCE_LOG!F:F,ATTENDANCE_LOG!C:C,A237)),0)),"")</f>
        <v>Business English</v>
      </c>
      <c r="S237" s="113">
        <f>IFERROR(VLOOKUP(H237, LEVEL_HELPER!A:B, 2, 0), 0)</f>
        <v>2.5</v>
      </c>
      <c r="T237" s="113">
        <f>IFERROR(VLOOKUP(I237, LEVEL_HELPER!A:B, 2, 0), 0)</f>
        <v>5.5</v>
      </c>
      <c r="U237" s="113">
        <f t="shared" ref="U237:V237" si="241">IF(S237="",0,IF(S237&lt;=2,1,IF(S237&lt;=4,2,IF(S237&lt;=5.5,3,4))))
</f>
        <v>2</v>
      </c>
      <c r="V237" s="113">
        <f t="shared" si="241"/>
        <v>3</v>
      </c>
      <c r="W237" s="113" t="str">
        <f t="shared" si="6"/>
        <v>Lv2→Lv3</v>
      </c>
      <c r="X237" s="113"/>
      <c r="Y237" s="113"/>
      <c r="Z237" s="113"/>
      <c r="AA237" s="113"/>
      <c r="AB237" s="116"/>
      <c r="AC237" s="116"/>
      <c r="AD237" s="117"/>
    </row>
    <row r="238" ht="15.75" customHeight="1">
      <c r="A238" s="104" t="s">
        <v>677</v>
      </c>
      <c r="B238" s="105" t="s">
        <v>678</v>
      </c>
      <c r="C238" s="106" t="str">
        <f>IFERROR(__xludf.DUMMYFUNCTION("arrayformula(VLOOKUP(to_Text(A238),to_Text(sheet2!$A$1:M1005),13,0))"),"MOC")</f>
        <v>MOC</v>
      </c>
      <c r="D238" s="107" t="str">
        <f>IFERROR(__xludf.DUMMYFUNCTION("arrayformula(VLOOKUP(to_Text(A238),to_Text(sheet2!$A$1:M1005),12,0))"),"GSD")</f>
        <v>GSD</v>
      </c>
      <c r="E238" s="108" t="str">
        <f t="shared" si="2"/>
        <v>Active</v>
      </c>
      <c r="F238" s="104" t="str">
        <f t="array" ref="F238">IFERROR(
  INDEX(ATTENDANCE_INPUT!D:D,
    MATCH(1,
      (ATTENDANCE_INPUT!A:A=A238) *
      (ATTENDANCE_INPUT!W:W=MAXIFS(ATTENDANCE_INPUT!W:W, ATTENDANCE_INPUT!A:A, A238)),
      0)),
  "")</f>
        <v>Thuong Tran</v>
      </c>
      <c r="G238" s="109" t="str">
        <f t="array" ref="G238">IFERROR(
  INDEX(ATTENDANCE_INPUT!E:E,
    MATCH(1,
      (ATTENDANCE_INPUT!A:A=A238) *
      (ATTENDANCE_INPUT!W:W=MAXIFS(ATTENDANCE_INPUT!W:W, ATTENDANCE_INPUT!A:A, A238)),
      0)),
  "")</f>
        <v>Business English</v>
      </c>
      <c r="H238" s="110" t="str">
        <f t="array" ref="H238">IF(ISNA(MATCH(A238,sheet2!A:A,0)),"⏳ Chưa test",IFERROR(INDEX(LEVEL_HELPER!A:A,MATCH(INDEX(sheet2!N:N,MATCH(A238,sheet2!A:A,0)),LEVEL_HELPER!B:B,0)),"⏳ Chưa test"))</f>
        <v>Beginner</v>
      </c>
      <c r="I238" s="110" t="str">
        <f t="array" ref="I238">IF(ISNA(MATCH(A238,sheet2!A:A,0)),H238,IF(INDEX(sheet2!O:O,MATCH(A238,sheet2!A:A,0))&gt;0,IFERROR(INDEX(LEVEL_HELPER!A:A,MATCH(INDEX(sheet2!O:O,MATCH(A238,sheet2!A:A,0)),LEVEL_HELPER!B:B,0)),H238),H238))</f>
        <v>Intermediate 1</v>
      </c>
      <c r="J238" s="110">
        <f>IFERROR(MAXIFS(ATTENDANCE_LOG!F:F, ATTENDANCE_LOG!C:C, A238&amp;"", ATTENDANCE_LOG!G:G, "Present"), "")</f>
        <v>46210.54167</v>
      </c>
      <c r="K238" s="111">
        <f t="shared" si="3"/>
        <v>2.458333333</v>
      </c>
      <c r="L238" s="112" t="str">
        <f t="shared" si="4"/>
        <v/>
      </c>
      <c r="M238" s="113"/>
      <c r="N238" s="114"/>
      <c r="O238" s="113"/>
      <c r="P238" s="115">
        <f>IFERROR(__xludf.DUMMYFUNCTION("IFERROR(COUNTUNIQUEIFS(ATTENDANCE_LOG!B:B,ATTENDANCE_LOG!C:C,A238),0)"),3.0)</f>
        <v>3</v>
      </c>
      <c r="Q238" s="113" t="str">
        <f t="array" ref="Q238">IFERROR(INDEX(ATTENDANCE_LOG!A:A,MATCH(1,(ATTENDANCE_LOG!C:C=A238)*(ATTENDANCE_LOG!F:F=MAXIFS(ATTENDANCE_LOG!F:F,ATTENDANCE_LOG!C:C,A238)),0)),"")</f>
        <v>EL034</v>
      </c>
      <c r="R238" s="113" t="str">
        <f t="array" ref="R238">IFERROR(INDEX(ATTENDANCE_LOG!B:B,MATCH(1,(ATTENDANCE_LOG!C:C=A238)*(ATTENDANCE_LOG!F:F=MAXIFS(ATTENDANCE_LOG!F:F,ATTENDANCE_LOG!C:C,A238)),0)),"")</f>
        <v>Business English</v>
      </c>
      <c r="S238" s="113">
        <f>IFERROR(VLOOKUP(H238, LEVEL_HELPER!A:B, 2, 0), 0)</f>
        <v>1</v>
      </c>
      <c r="T238" s="113">
        <f>IFERROR(VLOOKUP(I238, LEVEL_HELPER!A:B, 2, 0), 0)</f>
        <v>5</v>
      </c>
      <c r="U238" s="113">
        <f t="shared" ref="U238:V238" si="242">IF(S238="",0,IF(S238&lt;=2,1,IF(S238&lt;=4,2,IF(S238&lt;=5.5,3,4))))
</f>
        <v>1</v>
      </c>
      <c r="V238" s="113">
        <f t="shared" si="242"/>
        <v>3</v>
      </c>
      <c r="W238" s="113" t="str">
        <f t="shared" si="6"/>
        <v>Lv1→Lv3 (multi)</v>
      </c>
      <c r="X238" s="113"/>
      <c r="Y238" s="113"/>
      <c r="Z238" s="113"/>
      <c r="AA238" s="113"/>
      <c r="AB238" s="116"/>
      <c r="AC238" s="116"/>
      <c r="AD238" s="117"/>
    </row>
    <row r="239" ht="15.75" customHeight="1">
      <c r="A239" s="104" t="s">
        <v>679</v>
      </c>
      <c r="B239" s="105" t="s">
        <v>680</v>
      </c>
      <c r="C239" s="106" t="str">
        <f>IFERROR(__xludf.DUMMYFUNCTION("arrayformula(VLOOKUP(to_Text(A239),to_Text(sheet2!$A$1:M1005),13,0))"),"MOC")</f>
        <v>MOC</v>
      </c>
      <c r="D239" s="107" t="str">
        <f>IFERROR(__xludf.DUMMYFUNCTION("arrayformula(VLOOKUP(to_Text(A239),to_Text(sheet2!$A$1:M1005),12,0))"),"GSD")</f>
        <v>GSD</v>
      </c>
      <c r="E239" s="108" t="str">
        <f t="shared" si="2"/>
        <v>Active</v>
      </c>
      <c r="F239" s="104" t="str">
        <f t="array" ref="F239">IFERROR(
  INDEX(ATTENDANCE_INPUT!D:D,
    MATCH(1,
      (ATTENDANCE_INPUT!A:A=A239) *
      (ATTENDANCE_INPUT!W:W=MAXIFS(ATTENDANCE_INPUT!W:W, ATTENDANCE_INPUT!A:A, A239)),
      0)),
  "")</f>
        <v>Thuong Tran</v>
      </c>
      <c r="G239" s="109" t="str">
        <f t="array" ref="G239">IFERROR(
  INDEX(ATTENDANCE_INPUT!E:E,
    MATCH(1,
      (ATTENDANCE_INPUT!A:A=A239) *
      (ATTENDANCE_INPUT!W:W=MAXIFS(ATTENDANCE_INPUT!W:W, ATTENDANCE_INPUT!A:A, A239)),
      0)),
  "")</f>
        <v>Business English</v>
      </c>
      <c r="H239" s="110" t="str">
        <f t="array" ref="H239">IF(ISNA(MATCH(A239,sheet2!A:A,0)),"⏳ Chưa test",IFERROR(INDEX(LEVEL_HELPER!A:A,MATCH(INDEX(sheet2!N:N,MATCH(A239,sheet2!A:A,0)),LEVEL_HELPER!B:B,0)),"⏳ Chưa test"))</f>
        <v>Beginner</v>
      </c>
      <c r="I239" s="110" t="str">
        <f t="array" ref="I239">IF(ISNA(MATCH(A239,sheet2!A:A,0)),H239,IF(INDEX(sheet2!O:O,MATCH(A239,sheet2!A:A,0))&gt;0,IFERROR(INDEX(LEVEL_HELPER!A:A,MATCH(INDEX(sheet2!O:O,MATCH(A239,sheet2!A:A,0)),LEVEL_HELPER!B:B,0)),H239),H239))</f>
        <v>Intermediate 1</v>
      </c>
      <c r="J239" s="110">
        <f>IFERROR(MAXIFS(ATTENDANCE_LOG!F:F, ATTENDANCE_LOG!C:C, A239&amp;"", ATTENDANCE_LOG!G:G, "Present"), "")</f>
        <v>46210.54167</v>
      </c>
      <c r="K239" s="111">
        <f t="shared" si="3"/>
        <v>2.458333333</v>
      </c>
      <c r="L239" s="112" t="str">
        <f t="shared" si="4"/>
        <v/>
      </c>
      <c r="M239" s="113"/>
      <c r="N239" s="114"/>
      <c r="O239" s="113"/>
      <c r="P239" s="115">
        <f>IFERROR(__xludf.DUMMYFUNCTION("IFERROR(COUNTUNIQUEIFS(ATTENDANCE_LOG!B:B,ATTENDANCE_LOG!C:C,A239),0)"),3.0)</f>
        <v>3</v>
      </c>
      <c r="Q239" s="113" t="str">
        <f t="array" ref="Q239">IFERROR(INDEX(ATTENDANCE_LOG!A:A,MATCH(1,(ATTENDANCE_LOG!C:C=A239)*(ATTENDANCE_LOG!F:F=MAXIFS(ATTENDANCE_LOG!F:F,ATTENDANCE_LOG!C:C,A239)),0)),"")</f>
        <v>EL034</v>
      </c>
      <c r="R239" s="113" t="str">
        <f t="array" ref="R239">IFERROR(INDEX(ATTENDANCE_LOG!B:B,MATCH(1,(ATTENDANCE_LOG!C:C=A239)*(ATTENDANCE_LOG!F:F=MAXIFS(ATTENDANCE_LOG!F:F,ATTENDANCE_LOG!C:C,A239)),0)),"")</f>
        <v>Business English</v>
      </c>
      <c r="S239" s="113">
        <f>IFERROR(VLOOKUP(H239, LEVEL_HELPER!A:B, 2, 0), 0)</f>
        <v>1</v>
      </c>
      <c r="T239" s="113">
        <f>IFERROR(VLOOKUP(I239, LEVEL_HELPER!A:B, 2, 0), 0)</f>
        <v>5</v>
      </c>
      <c r="U239" s="113">
        <f t="shared" ref="U239:V239" si="243">IF(S239="",0,IF(S239&lt;=2,1,IF(S239&lt;=4,2,IF(S239&lt;=5.5,3,4))))
</f>
        <v>1</v>
      </c>
      <c r="V239" s="113">
        <f t="shared" si="243"/>
        <v>3</v>
      </c>
      <c r="W239" s="113" t="str">
        <f t="shared" si="6"/>
        <v>Lv1→Lv3 (multi)</v>
      </c>
      <c r="X239" s="113"/>
      <c r="Y239" s="113"/>
      <c r="Z239" s="113"/>
      <c r="AA239" s="113"/>
      <c r="AB239" s="116"/>
      <c r="AC239" s="116"/>
      <c r="AD239" s="117"/>
    </row>
    <row r="240" ht="15.75" customHeight="1">
      <c r="A240" s="104" t="s">
        <v>681</v>
      </c>
      <c r="B240" s="105" t="s">
        <v>682</v>
      </c>
      <c r="C240" s="106" t="str">
        <f>IFERROR(__xludf.DUMMYFUNCTION("arrayformula(VLOOKUP(to_Text(A240),to_Text(sheet2!$A$1:M1005),13,0))"),"MOC")</f>
        <v>MOC</v>
      </c>
      <c r="D240" s="107" t="str">
        <f>IFERROR(__xludf.DUMMYFUNCTION("arrayformula(VLOOKUP(to_Text(A240),to_Text(sheet2!$A$1:M1005),12,0))"),"GSD")</f>
        <v>GSD</v>
      </c>
      <c r="E240" s="108" t="str">
        <f t="shared" si="2"/>
        <v>Active</v>
      </c>
      <c r="F240" s="104" t="str">
        <f t="array" ref="F240">IFERROR(
  INDEX(ATTENDANCE_INPUT!D:D,
    MATCH(1,
      (ATTENDANCE_INPUT!A:A=A240) *
      (ATTENDANCE_INPUT!W:W=MAXIFS(ATTENDANCE_INPUT!W:W, ATTENDANCE_INPUT!A:A, A240)),
      0)),
  "")</f>
        <v>Thuong Tran</v>
      </c>
      <c r="G240" s="109" t="str">
        <f t="array" ref="G240">IFERROR(
  INDEX(ATTENDANCE_INPUT!E:E,
    MATCH(1,
      (ATTENDANCE_INPUT!A:A=A240) *
      (ATTENDANCE_INPUT!W:W=MAXIFS(ATTENDANCE_INPUT!W:W, ATTENDANCE_INPUT!A:A, A240)),
      0)),
  "")</f>
        <v>Business English</v>
      </c>
      <c r="H240" s="110" t="str">
        <f t="array" ref="H240">IF(ISNA(MATCH(A240,sheet2!A:A,0)),"⏳ Chưa test",IFERROR(INDEX(LEVEL_HELPER!A:A,MATCH(INDEX(sheet2!N:N,MATCH(A240,sheet2!A:A,0)),LEVEL_HELPER!B:B,0)),"⏳ Chưa test"))</f>
        <v>Beginner</v>
      </c>
      <c r="I240" s="110" t="str">
        <f t="array" ref="I240">IF(ISNA(MATCH(A240,sheet2!A:A,0)),H240,IF(INDEX(sheet2!O:O,MATCH(A240,sheet2!A:A,0))&gt;0,IFERROR(INDEX(LEVEL_HELPER!A:A,MATCH(INDEX(sheet2!O:O,MATCH(A240,sheet2!A:A,0)),LEVEL_HELPER!B:B,0)),H240),H240))</f>
        <v>Intermediate 1</v>
      </c>
      <c r="J240" s="110">
        <f>IFERROR(MAXIFS(ATTENDANCE_LOG!F:F, ATTENDANCE_LOG!C:C, A240&amp;"", ATTENDANCE_LOG!G:G, "Present"), "")</f>
        <v>46210.54167</v>
      </c>
      <c r="K240" s="111">
        <f t="shared" si="3"/>
        <v>2.458333333</v>
      </c>
      <c r="L240" s="112" t="str">
        <f t="shared" si="4"/>
        <v/>
      </c>
      <c r="M240" s="113"/>
      <c r="N240" s="114"/>
      <c r="O240" s="113"/>
      <c r="P240" s="115">
        <f>IFERROR(__xludf.DUMMYFUNCTION("IFERROR(COUNTUNIQUEIFS(ATTENDANCE_LOG!B:B,ATTENDANCE_LOG!C:C,A240),0)"),3.0)</f>
        <v>3</v>
      </c>
      <c r="Q240" s="113" t="str">
        <f t="array" ref="Q240">IFERROR(INDEX(ATTENDANCE_LOG!A:A,MATCH(1,(ATTENDANCE_LOG!C:C=A240)*(ATTENDANCE_LOG!F:F=MAXIFS(ATTENDANCE_LOG!F:F,ATTENDANCE_LOG!C:C,A240)),0)),"")</f>
        <v>EL034</v>
      </c>
      <c r="R240" s="113" t="str">
        <f t="array" ref="R240">IFERROR(INDEX(ATTENDANCE_LOG!B:B,MATCH(1,(ATTENDANCE_LOG!C:C=A240)*(ATTENDANCE_LOG!F:F=MAXIFS(ATTENDANCE_LOG!F:F,ATTENDANCE_LOG!C:C,A240)),0)),"")</f>
        <v>Business English</v>
      </c>
      <c r="S240" s="113">
        <f>IFERROR(VLOOKUP(H240, LEVEL_HELPER!A:B, 2, 0), 0)</f>
        <v>1</v>
      </c>
      <c r="T240" s="113">
        <f>IFERROR(VLOOKUP(I240, LEVEL_HELPER!A:B, 2, 0), 0)</f>
        <v>5</v>
      </c>
      <c r="U240" s="113">
        <f t="shared" ref="U240:V240" si="244">IF(S240="",0,IF(S240&lt;=2,1,IF(S240&lt;=4,2,IF(S240&lt;=5.5,3,4))))
</f>
        <v>1</v>
      </c>
      <c r="V240" s="113">
        <f t="shared" si="244"/>
        <v>3</v>
      </c>
      <c r="W240" s="113" t="str">
        <f t="shared" si="6"/>
        <v>Lv1→Lv3 (multi)</v>
      </c>
      <c r="X240" s="113"/>
      <c r="Y240" s="113"/>
      <c r="Z240" s="113"/>
      <c r="AA240" s="113"/>
      <c r="AB240" s="116"/>
      <c r="AC240" s="116"/>
      <c r="AD240" s="117"/>
    </row>
    <row r="241" ht="15.75" customHeight="1">
      <c r="A241" s="104" t="s">
        <v>683</v>
      </c>
      <c r="B241" s="105" t="s">
        <v>684</v>
      </c>
      <c r="C241" s="106" t="str">
        <f>IFERROR(__xludf.DUMMYFUNCTION("arrayformula(VLOOKUP(to_Text(A241),to_Text(sheet2!$A$1:M1005),13,0))"),"MOC")</f>
        <v>MOC</v>
      </c>
      <c r="D241" s="107" t="str">
        <f>IFERROR(__xludf.DUMMYFUNCTION("arrayformula(VLOOKUP(to_Text(A241),to_Text(sheet2!$A$1:M1005),12,0))"),"GSD")</f>
        <v>GSD</v>
      </c>
      <c r="E241" s="108" t="str">
        <f t="shared" si="2"/>
        <v>Active</v>
      </c>
      <c r="F241" s="104" t="str">
        <f t="array" ref="F241">IFERROR(
  INDEX(ATTENDANCE_INPUT!D:D,
    MATCH(1,
      (ATTENDANCE_INPUT!A:A=A241) *
      (ATTENDANCE_INPUT!W:W=MAXIFS(ATTENDANCE_INPUT!W:W, ATTENDANCE_INPUT!A:A, A241)),
      0)),
  "")</f>
        <v>Thuong Tran</v>
      </c>
      <c r="G241" s="109" t="str">
        <f t="array" ref="G241">IFERROR(
  INDEX(ATTENDANCE_INPUT!E:E,
    MATCH(1,
      (ATTENDANCE_INPUT!A:A=A241) *
      (ATTENDANCE_INPUT!W:W=MAXIFS(ATTENDANCE_INPUT!W:W, ATTENDANCE_INPUT!A:A, A241)),
      0)),
  "")</f>
        <v>Business English</v>
      </c>
      <c r="H241" s="110" t="str">
        <f t="array" ref="H241">IF(ISNA(MATCH(A241,sheet2!A:A,0)),"⏳ Chưa test",IFERROR(INDEX(LEVEL_HELPER!A:A,MATCH(INDEX(sheet2!N:N,MATCH(A241,sheet2!A:A,0)),LEVEL_HELPER!B:B,0)),"⏳ Chưa test"))</f>
        <v>Beginner</v>
      </c>
      <c r="I241" s="110" t="str">
        <f t="array" ref="I241">IF(ISNA(MATCH(A241,sheet2!A:A,0)),H241,IF(INDEX(sheet2!O:O,MATCH(A241,sheet2!A:A,0))&gt;0,IFERROR(INDEX(LEVEL_HELPER!A:A,MATCH(INDEX(sheet2!O:O,MATCH(A241,sheet2!A:A,0)),LEVEL_HELPER!B:B,0)),H241),H241))</f>
        <v>Intermediate 1</v>
      </c>
      <c r="J241" s="110">
        <f>IFERROR(MAXIFS(ATTENDANCE_LOG!F:F, ATTENDANCE_LOG!C:C, A241&amp;"", ATTENDANCE_LOG!G:G, "Present"), "")</f>
        <v>46210.54167</v>
      </c>
      <c r="K241" s="111">
        <f t="shared" si="3"/>
        <v>2.458333333</v>
      </c>
      <c r="L241" s="112" t="str">
        <f t="shared" si="4"/>
        <v/>
      </c>
      <c r="M241" s="113"/>
      <c r="N241" s="114"/>
      <c r="O241" s="113"/>
      <c r="P241" s="115">
        <f>IFERROR(__xludf.DUMMYFUNCTION("IFERROR(COUNTUNIQUEIFS(ATTENDANCE_LOG!B:B,ATTENDANCE_LOG!C:C,A241),0)"),3.0)</f>
        <v>3</v>
      </c>
      <c r="Q241" s="113" t="str">
        <f t="array" ref="Q241">IFERROR(INDEX(ATTENDANCE_LOG!A:A,MATCH(1,(ATTENDANCE_LOG!C:C=A241)*(ATTENDANCE_LOG!F:F=MAXIFS(ATTENDANCE_LOG!F:F,ATTENDANCE_LOG!C:C,A241)),0)),"")</f>
        <v>EL034</v>
      </c>
      <c r="R241" s="113" t="str">
        <f t="array" ref="R241">IFERROR(INDEX(ATTENDANCE_LOG!B:B,MATCH(1,(ATTENDANCE_LOG!C:C=A241)*(ATTENDANCE_LOG!F:F=MAXIFS(ATTENDANCE_LOG!F:F,ATTENDANCE_LOG!C:C,A241)),0)),"")</f>
        <v>Business English</v>
      </c>
      <c r="S241" s="113">
        <f>IFERROR(VLOOKUP(H241, LEVEL_HELPER!A:B, 2, 0), 0)</f>
        <v>1</v>
      </c>
      <c r="T241" s="113">
        <f>IFERROR(VLOOKUP(I241, LEVEL_HELPER!A:B, 2, 0), 0)</f>
        <v>5</v>
      </c>
      <c r="U241" s="113">
        <f t="shared" ref="U241:V241" si="245">IF(S241="",0,IF(S241&lt;=2,1,IF(S241&lt;=4,2,IF(S241&lt;=5.5,3,4))))
</f>
        <v>1</v>
      </c>
      <c r="V241" s="113">
        <f t="shared" si="245"/>
        <v>3</v>
      </c>
      <c r="W241" s="113" t="str">
        <f t="shared" si="6"/>
        <v>Lv1→Lv3 (multi)</v>
      </c>
      <c r="X241" s="113"/>
      <c r="Y241" s="113"/>
      <c r="Z241" s="113"/>
      <c r="AA241" s="113"/>
      <c r="AB241" s="116"/>
      <c r="AC241" s="116"/>
      <c r="AD241" s="117"/>
    </row>
    <row r="242" ht="15.75" customHeight="1">
      <c r="A242" s="104" t="s">
        <v>685</v>
      </c>
      <c r="B242" s="105" t="s">
        <v>686</v>
      </c>
      <c r="C242" s="106" t="str">
        <f>IFERROR(__xludf.DUMMYFUNCTION("arrayformula(VLOOKUP(to_Text(A242),to_Text(sheet2!$A$1:M1005),13,0))"),"LBU")</f>
        <v>LBU</v>
      </c>
      <c r="D242" s="107" t="str">
        <f>IFERROR(__xludf.DUMMYFUNCTION("arrayformula(VLOOKUP(to_Text(A242),to_Text(sheet2!$A$1:M1005),12,0))"),"QC")</f>
        <v>QC</v>
      </c>
      <c r="E242" s="108" t="str">
        <f t="shared" si="2"/>
        <v>Inactive</v>
      </c>
      <c r="F242" s="104" t="str">
        <f t="array" ref="F242">IFERROR(
  INDEX(ATTENDANCE_INPUT!D:D,
    MATCH(1,
      (ATTENDANCE_INPUT!A:A=A242) *
      (ATTENDANCE_INPUT!W:W=MAXIFS(ATTENDANCE_INPUT!W:W, ATTENDANCE_INPUT!A:A, A242)),
      0)),
  "")</f>
        <v>Thuong Tran</v>
      </c>
      <c r="G242" s="109" t="str">
        <f t="array" ref="G242">IFERROR(
  INDEX(ATTENDANCE_INPUT!E:E,
    MATCH(1,
      (ATTENDANCE_INPUT!A:A=A242) *
      (ATTENDANCE_INPUT!W:W=MAXIFS(ATTENDANCE_INPUT!W:W, ATTENDANCE_INPUT!A:A, A242)),
      0)),
  "")</f>
        <v>Communication 1</v>
      </c>
      <c r="H242" s="110" t="str">
        <f t="array" ref="H242">IF(ISNA(MATCH(A242,sheet2!A:A,0)),"⏳ Chưa test",IFERROR(INDEX(LEVEL_HELPER!A:A,MATCH(INDEX(sheet2!N:N,MATCH(A242,sheet2!A:A,0)),LEVEL_HELPER!B:B,0)),"⏳ Chưa test"))</f>
        <v>Beginner</v>
      </c>
      <c r="I242" s="110" t="str">
        <f t="array" ref="I242">IF(ISNA(MATCH(A242,sheet2!A:A,0)),H242,IF(INDEX(sheet2!O:O,MATCH(A242,sheet2!A:A,0))&gt;0,IFERROR(INDEX(LEVEL_HELPER!A:A,MATCH(INDEX(sheet2!O:O,MATCH(A242,sheet2!A:A,0)),LEVEL_HELPER!B:B,0)),H242),H242))</f>
        <v>Beginner</v>
      </c>
      <c r="J242" s="110">
        <f>IFERROR(MAXIFS(ATTENDANCE_LOG!F:F, ATTENDANCE_LOG!C:C, A242&amp;"", ATTENDANCE_LOG!G:G, "Present"), "")</f>
        <v>45827.54167</v>
      </c>
      <c r="K242" s="111">
        <f t="shared" si="3"/>
        <v>385.4583333</v>
      </c>
      <c r="L242" s="112" t="str">
        <f t="shared" si="4"/>
        <v>✅ Completed</v>
      </c>
      <c r="M242" s="120" t="s">
        <v>35</v>
      </c>
      <c r="N242" s="114" t="s">
        <v>34</v>
      </c>
      <c r="O242" s="113"/>
      <c r="P242" s="115">
        <f>IFERROR(__xludf.DUMMYFUNCTION("IFERROR(COUNTUNIQUEIFS(ATTENDANCE_LOG!B:B,ATTENDANCE_LOG!C:C,A242),0)"),1.0)</f>
        <v>1</v>
      </c>
      <c r="Q242" s="113" t="str">
        <f t="array" ref="Q242">IFERROR(INDEX(ATTENDANCE_LOG!A:A,MATCH(1,(ATTENDANCE_LOG!C:C=A242)*(ATTENDANCE_LOG!F:F=MAXIFS(ATTENDANCE_LOG!F:F,ATTENDANCE_LOG!C:C,A242)),0)),"")</f>
        <v>EL034</v>
      </c>
      <c r="R242" s="113" t="str">
        <f t="array" ref="R242">IFERROR(INDEX(ATTENDANCE_LOG!B:B,MATCH(1,(ATTENDANCE_LOG!C:C=A242)*(ATTENDANCE_LOG!F:F=MAXIFS(ATTENDANCE_LOG!F:F,ATTENDANCE_LOG!C:C,A242)),0)),"")</f>
        <v>Communication 1</v>
      </c>
      <c r="S242" s="113">
        <f>IFERROR(VLOOKUP(H242, LEVEL_HELPER!A:B, 2, 0), 0)</f>
        <v>1</v>
      </c>
      <c r="T242" s="113">
        <f>IFERROR(VLOOKUP(I242, LEVEL_HELPER!A:B, 2, 0), 0)</f>
        <v>1</v>
      </c>
      <c r="U242" s="113">
        <f t="shared" ref="U242:V242" si="246">IF(S242="",0,IF(S242&lt;=2,1,IF(S242&lt;=4,2,IF(S242&lt;=5.5,3,4))))
</f>
        <v>1</v>
      </c>
      <c r="V242" s="113">
        <f t="shared" si="246"/>
        <v>1</v>
      </c>
      <c r="W242" s="113" t="str">
        <f t="shared" si="6"/>
        <v>No Progress</v>
      </c>
      <c r="X242" s="113"/>
      <c r="Y242" s="113"/>
      <c r="Z242" s="113"/>
      <c r="AA242" s="113"/>
      <c r="AB242" s="116"/>
      <c r="AC242" s="116"/>
      <c r="AD242" s="117"/>
    </row>
    <row r="243" ht="15.75" customHeight="1">
      <c r="A243" s="104" t="s">
        <v>687</v>
      </c>
      <c r="B243" s="105" t="s">
        <v>688</v>
      </c>
      <c r="C243" s="106" t="str">
        <f>IFERROR(__xludf.DUMMYFUNCTION("arrayformula(VLOOKUP(to_Text(A243),to_Text(sheet2!$A$1:M1005),13,0))"),"MOC")</f>
        <v>MOC</v>
      </c>
      <c r="D243" s="107" t="str">
        <f>IFERROR(__xludf.DUMMYFUNCTION("arrayformula(VLOOKUP(to_Text(A243),to_Text(sheet2!$A$1:M1005),12,0))"),"GSD")</f>
        <v>GSD</v>
      </c>
      <c r="E243" s="108" t="str">
        <f t="shared" si="2"/>
        <v>Inactive</v>
      </c>
      <c r="F243" s="104" t="str">
        <f t="array" ref="F243">IFERROR(
  INDEX(ATTENDANCE_INPUT!D:D,
    MATCH(1,
      (ATTENDANCE_INPUT!A:A=A243) *
      (ATTENDANCE_INPUT!W:W=MAXIFS(ATTENDANCE_INPUT!W:W, ATTENDANCE_INPUT!A:A, A243)),
      0)),
  "")</f>
        <v>Thuong Tran</v>
      </c>
      <c r="G243" s="109" t="str">
        <f t="array" ref="G243">IFERROR(
  INDEX(ATTENDANCE_INPUT!E:E,
    MATCH(1,
      (ATTENDANCE_INPUT!A:A=A243) *
      (ATTENDANCE_INPUT!W:W=MAXIFS(ATTENDANCE_INPUT!W:W, ATTENDANCE_INPUT!A:A, A243)),
      0)),
  "")</f>
        <v>Business English</v>
      </c>
      <c r="H243" s="110" t="str">
        <f t="array" ref="H243">IF(ISNA(MATCH(A243,sheet2!A:A,0)),"⏳ Chưa test",IFERROR(INDEX(LEVEL_HELPER!A:A,MATCH(INDEX(sheet2!N:N,MATCH(A243,sheet2!A:A,0)),LEVEL_HELPER!B:B,0)),"⏳ Chưa test"))</f>
        <v>Beginner</v>
      </c>
      <c r="I243" s="110" t="str">
        <f t="array" ref="I243">IF(ISNA(MATCH(A243,sheet2!A:A,0)),H243,IF(INDEX(sheet2!O:O,MATCH(A243,sheet2!A:A,0))&gt;0,IFERROR(INDEX(LEVEL_HELPER!A:A,MATCH(INDEX(sheet2!O:O,MATCH(A243,sheet2!A:A,0)),LEVEL_HELPER!B:B,0)),H243),H243))</f>
        <v>Intermediate 2</v>
      </c>
      <c r="J243" s="110">
        <f>IFERROR(MAXIFS(ATTENDANCE_LOG!F:F, ATTENDANCE_LOG!C:C, A243&amp;"", ATTENDANCE_LOG!G:G, "Present"), "")</f>
        <v>46119.54167</v>
      </c>
      <c r="K243" s="111">
        <f t="shared" si="3"/>
        <v>93.45833333</v>
      </c>
      <c r="L243" s="112" t="str">
        <f t="shared" si="4"/>
        <v>❌ Dropped</v>
      </c>
      <c r="M243" s="120" t="s">
        <v>37</v>
      </c>
      <c r="N243" s="126" t="s">
        <v>43</v>
      </c>
      <c r="O243" s="113"/>
      <c r="P243" s="115">
        <f>IFERROR(__xludf.DUMMYFUNCTION("IFERROR(COUNTUNIQUEIFS(ATTENDANCE_LOG!B:B,ATTENDANCE_LOG!C:C,A243),0)"),3.0)</f>
        <v>3</v>
      </c>
      <c r="Q243" s="113" t="str">
        <f t="array" ref="Q243">IFERROR(INDEX(ATTENDANCE_LOG!A:A,MATCH(1,(ATTENDANCE_LOG!C:C=A243)*(ATTENDANCE_LOG!F:F=MAXIFS(ATTENDANCE_LOG!F:F,ATTENDANCE_LOG!C:C,A243)),0)),"")</f>
        <v>EL034</v>
      </c>
      <c r="R243" s="113" t="str">
        <f t="array" ref="R243">IFERROR(INDEX(ATTENDANCE_LOG!B:B,MATCH(1,(ATTENDANCE_LOG!C:C=A243)*(ATTENDANCE_LOG!F:F=MAXIFS(ATTENDANCE_LOG!F:F,ATTENDANCE_LOG!C:C,A243)),0)),"")</f>
        <v>Business English</v>
      </c>
      <c r="S243" s="113">
        <f>IFERROR(VLOOKUP(H243, LEVEL_HELPER!A:B, 2, 0), 0)</f>
        <v>1</v>
      </c>
      <c r="T243" s="113">
        <f>IFERROR(VLOOKUP(I243, LEVEL_HELPER!A:B, 2, 0), 0)</f>
        <v>5.5</v>
      </c>
      <c r="U243" s="113">
        <f t="shared" ref="U243:V243" si="247">IF(S243="",0,IF(S243&lt;=2,1,IF(S243&lt;=4,2,IF(S243&lt;=5.5,3,4))))
</f>
        <v>1</v>
      </c>
      <c r="V243" s="113">
        <f t="shared" si="247"/>
        <v>3</v>
      </c>
      <c r="W243" s="113" t="str">
        <f t="shared" si="6"/>
        <v>Lv1→Lv3 (multi)</v>
      </c>
      <c r="X243" s="113"/>
      <c r="Y243" s="113"/>
      <c r="Z243" s="113"/>
      <c r="AA243" s="113"/>
      <c r="AB243" s="116"/>
      <c r="AC243" s="116"/>
      <c r="AD243" s="117"/>
    </row>
    <row r="244" ht="15.75" customHeight="1">
      <c r="A244" s="104" t="s">
        <v>689</v>
      </c>
      <c r="B244" s="105" t="s">
        <v>690</v>
      </c>
      <c r="C244" s="106" t="str">
        <f>IFERROR(__xludf.DUMMYFUNCTION("arrayformula(VLOOKUP(to_Text(A244),to_Text(sheet2!$A$1:M1005),13,0))"),"MOC")</f>
        <v>MOC</v>
      </c>
      <c r="D244" s="107" t="str">
        <f>IFERROR(__xludf.DUMMYFUNCTION("arrayformula(VLOOKUP(to_Text(A244),to_Text(sheet2!$A$1:M1005),12,0))"),"GSD")</f>
        <v>GSD</v>
      </c>
      <c r="E244" s="108" t="str">
        <f t="shared" si="2"/>
        <v>Inactive</v>
      </c>
      <c r="F244" s="104" t="str">
        <f t="array" ref="F244">IFERROR(
  INDEX(ATTENDANCE_INPUT!D:D,
    MATCH(1,
      (ATTENDANCE_INPUT!A:A=A244) *
      (ATTENDANCE_INPUT!W:W=MAXIFS(ATTENDANCE_INPUT!W:W, ATTENDANCE_INPUT!A:A, A244)),
      0)),
  "")</f>
        <v>Thuong Tran</v>
      </c>
      <c r="G244" s="109" t="str">
        <f t="array" ref="G244">IFERROR(
  INDEX(ATTENDANCE_INPUT!E:E,
    MATCH(1,
      (ATTENDANCE_INPUT!A:A=A244) *
      (ATTENDANCE_INPUT!W:W=MAXIFS(ATTENDANCE_INPUT!W:W, ATTENDANCE_INPUT!A:A, A244)),
      0)),
  "")</f>
        <v>Business English</v>
      </c>
      <c r="H244" s="110" t="str">
        <f t="array" ref="H244">IF(ISNA(MATCH(A244,sheet2!A:A,0)),"⏳ Chưa test",IFERROR(INDEX(LEVEL_HELPER!A:A,MATCH(INDEX(sheet2!N:N,MATCH(A244,sheet2!A:A,0)),LEVEL_HELPER!B:B,0)),"⏳ Chưa test"))</f>
        <v>Beginner</v>
      </c>
      <c r="I244" s="110" t="str">
        <f t="array" ref="I244">IF(ISNA(MATCH(A244,sheet2!A:A,0)),H244,IF(INDEX(sheet2!O:O,MATCH(A244,sheet2!A:A,0))&gt;0,IFERROR(INDEX(LEVEL_HELPER!A:A,MATCH(INDEX(sheet2!O:O,MATCH(A244,sheet2!A:A,0)),LEVEL_HELPER!B:B,0)),H244),H244))</f>
        <v>Pre-Intermediate 1</v>
      </c>
      <c r="J244" s="110">
        <f>IFERROR(MAXIFS(ATTENDANCE_LOG!F:F, ATTENDANCE_LOG!C:C, A244&amp;"", ATTENDANCE_LOG!G:G, "Present"), "")</f>
        <v>46098.54167</v>
      </c>
      <c r="K244" s="111">
        <f t="shared" si="3"/>
        <v>114.4583333</v>
      </c>
      <c r="L244" s="112" t="str">
        <f t="shared" si="4"/>
        <v>❌ Dropped</v>
      </c>
      <c r="M244" s="113" t="s">
        <v>37</v>
      </c>
      <c r="N244" s="114" t="s">
        <v>34</v>
      </c>
      <c r="O244" s="113"/>
      <c r="P244" s="115">
        <f>IFERROR(__xludf.DUMMYFUNCTION("IFERROR(COUNTUNIQUEIFS(ATTENDANCE_LOG!B:B,ATTENDANCE_LOG!C:C,A244),0)"),3.0)</f>
        <v>3</v>
      </c>
      <c r="Q244" s="113" t="str">
        <f t="array" ref="Q244">IFERROR(INDEX(ATTENDANCE_LOG!A:A,MATCH(1,(ATTENDANCE_LOG!C:C=A244)*(ATTENDANCE_LOG!F:F=MAXIFS(ATTENDANCE_LOG!F:F,ATTENDANCE_LOG!C:C,A244)),0)),"")</f>
        <v>EL034</v>
      </c>
      <c r="R244" s="113" t="str">
        <f t="array" ref="R244">IFERROR(INDEX(ATTENDANCE_LOG!B:B,MATCH(1,(ATTENDANCE_LOG!C:C=A244)*(ATTENDANCE_LOG!F:F=MAXIFS(ATTENDANCE_LOG!F:F,ATTENDANCE_LOG!C:C,A244)),0)),"")</f>
        <v>Business English</v>
      </c>
      <c r="S244" s="113">
        <f>IFERROR(VLOOKUP(H244, LEVEL_HELPER!A:B, 2, 0), 0)</f>
        <v>1</v>
      </c>
      <c r="T244" s="113">
        <f>IFERROR(VLOOKUP(I244, LEVEL_HELPER!A:B, 2, 0), 0)</f>
        <v>3</v>
      </c>
      <c r="U244" s="113">
        <f t="shared" ref="U244:V244" si="248">IF(S244="",0,IF(S244&lt;=2,1,IF(S244&lt;=4,2,IF(S244&lt;=5.5,3,4))))
</f>
        <v>1</v>
      </c>
      <c r="V244" s="113">
        <f t="shared" si="248"/>
        <v>2</v>
      </c>
      <c r="W244" s="113" t="str">
        <f t="shared" si="6"/>
        <v>Lv1→Lv2</v>
      </c>
      <c r="X244" s="113"/>
      <c r="Y244" s="113"/>
      <c r="Z244" s="113"/>
      <c r="AA244" s="113"/>
      <c r="AB244" s="116"/>
      <c r="AC244" s="116"/>
      <c r="AD244" s="117"/>
    </row>
    <row r="245" ht="15.75" customHeight="1">
      <c r="A245" s="134" t="s">
        <v>691</v>
      </c>
      <c r="B245" s="135" t="s">
        <v>692</v>
      </c>
      <c r="C245" s="106" t="str">
        <f>IFERROR(__xludf.DUMMYFUNCTION("arrayformula(VLOOKUP(to_Text(A245),to_Text(sheet2!$A$1:M1005),13,0))"),"CHORUS")</f>
        <v>CHORUS</v>
      </c>
      <c r="D245" s="107" t="str">
        <f>IFERROR(__xludf.DUMMYFUNCTION("arrayformula(VLOOKUP(to_Text(A245),to_Text(sheet2!$A$1:M1005),12,0))"),"IM")</f>
        <v>IM</v>
      </c>
      <c r="E245" s="108" t="str">
        <f t="shared" si="2"/>
        <v>Active</v>
      </c>
      <c r="F245" s="104" t="str">
        <f t="array" ref="F245">IFERROR(
  INDEX(ATTENDANCE_INPUT!D:D,
    MATCH(1,
      (ATTENDANCE_INPUT!A:A=A245) *
      (ATTENDANCE_INPUT!W:W=MAXIFS(ATTENDANCE_INPUT!W:W, ATTENDANCE_INPUT!A:A, A245)),
      0)),
  "")</f>
        <v>Trang Ngo</v>
      </c>
      <c r="G245" s="109" t="str">
        <f t="array" ref="G245">IFERROR(
  INDEX(ATTENDANCE_INPUT!E:E,
    MATCH(1,
      (ATTENDANCE_INPUT!A:A=A245) *
      (ATTENDANCE_INPUT!W:W=MAXIFS(ATTENDANCE_INPUT!W:W, ATTENDANCE_INPUT!A:A, A245)),
      0)),
  "")</f>
        <v>Communication 1</v>
      </c>
      <c r="H245" s="110" t="str">
        <f t="array" ref="H245">IF(ISNA(MATCH(A245,sheet2!A:A,0)),"⏳ Chưa test",IFERROR(INDEX(LEVEL_HELPER!A:A,MATCH(INDEX(sheet2!N:N,MATCH(A245,sheet2!A:A,0)),LEVEL_HELPER!B:B,0)),"⏳ Chưa test"))</f>
        <v>Pre-Intermediate 2</v>
      </c>
      <c r="I245" s="110" t="str">
        <f t="array" ref="I245">IF(ISNA(MATCH(A245,sheet2!A:A,0)),H245,IF(INDEX(sheet2!O:O,MATCH(A245,sheet2!A:A,0))&gt;0,IFERROR(INDEX(LEVEL_HELPER!A:A,MATCH(INDEX(sheet2!O:O,MATCH(A245,sheet2!A:A,0)),LEVEL_HELPER!B:B,0)),H245),H245))</f>
        <v>Pre-Intermediate 2</v>
      </c>
      <c r="J245" s="110">
        <f>IFERROR(MAXIFS(ATTENDANCE_LOG!F:F, ATTENDANCE_LOG!C:C, A245&amp;"", ATTENDANCE_LOG!G:G, "Present"), "")</f>
        <v>46212.54167</v>
      </c>
      <c r="K245" s="111">
        <f t="shared" si="3"/>
        <v>0.4583333333</v>
      </c>
      <c r="L245" s="112" t="str">
        <f t="shared" si="4"/>
        <v/>
      </c>
      <c r="M245" s="113"/>
      <c r="N245" s="114"/>
      <c r="O245" s="136"/>
      <c r="P245" s="115">
        <f>IFERROR(__xludf.DUMMYFUNCTION("IFERROR(COUNTUNIQUEIFS(ATTENDANCE_LOG!B:B,ATTENDANCE_LOG!C:C,A245),0)"),1.0)</f>
        <v>1</v>
      </c>
      <c r="Q245" s="113" t="str">
        <f t="array" ref="Q245">IFERROR(INDEX(ATTENDANCE_LOG!A:A,MATCH(1,(ATTENDANCE_LOG!C:C=A245)*(ATTENDANCE_LOG!F:F=MAXIFS(ATTENDANCE_LOG!F:F,ATTENDANCE_LOG!C:C,A245)),0)),"")</f>
        <v>EL048</v>
      </c>
      <c r="R245" s="113" t="str">
        <f t="array" ref="R245">IFERROR(INDEX(ATTENDANCE_LOG!B:B,MATCH(1,(ATTENDANCE_LOG!C:C=A245)*(ATTENDANCE_LOG!F:F=MAXIFS(ATTENDANCE_LOG!F:F,ATTENDANCE_LOG!C:C,A245)),0)),"")</f>
        <v>Communication 1</v>
      </c>
      <c r="S245" s="113">
        <f>IFERROR(VLOOKUP(H245, LEVEL_HELPER!A:B, 2, 0), 0)</f>
        <v>3.5</v>
      </c>
      <c r="T245" s="113">
        <f>IFERROR(VLOOKUP(I245, LEVEL_HELPER!A:B, 2, 0), 0)</f>
        <v>3.5</v>
      </c>
      <c r="U245" s="113">
        <f t="shared" ref="U245:V245" si="249">IF(S245="",0,IF(S245&lt;=2,1,IF(S245&lt;=4,2,IF(S245&lt;=5.5,3,4))))
</f>
        <v>2</v>
      </c>
      <c r="V245" s="113">
        <f t="shared" si="249"/>
        <v>2</v>
      </c>
      <c r="W245" s="113" t="str">
        <f t="shared" si="6"/>
        <v>No Progress</v>
      </c>
      <c r="X245" s="136"/>
      <c r="Y245" s="136"/>
      <c r="Z245" s="136"/>
      <c r="AA245" s="136"/>
      <c r="AB245" s="102"/>
      <c r="AC245" s="102"/>
      <c r="AD245" s="103"/>
    </row>
    <row r="246" ht="15.75" customHeight="1">
      <c r="A246" s="137" t="s">
        <v>693</v>
      </c>
      <c r="B246" s="132" t="s">
        <v>694</v>
      </c>
      <c r="C246" s="106" t="str">
        <f>IFERROR(__xludf.DUMMYFUNCTION("arrayformula(VLOOKUP(to_Text(A246),to_Text(sheet2!$A$1:M1005),13,0))"),"LBU")</f>
        <v>LBU</v>
      </c>
      <c r="D246" s="107" t="str">
        <f>IFERROR(__xludf.DUMMYFUNCTION("arrayformula(VLOOKUP(to_Text(A246),to_Text(sheet2!$A$1:M1005),12,0))"),"DEV")</f>
        <v>DEV</v>
      </c>
      <c r="E246" s="108" t="str">
        <f t="shared" si="2"/>
        <v>Active</v>
      </c>
      <c r="F246" s="104" t="str">
        <f t="array" ref="F246">IFERROR(
  INDEX(ATTENDANCE_INPUT!D:D,
    MATCH(1,
      (ATTENDANCE_INPUT!A:A=A246) *
      (ATTENDANCE_INPUT!W:W=MAXIFS(ATTENDANCE_INPUT!W:W, ATTENDANCE_INPUT!A:A, A246)),
      0)),
  "")</f>
        <v>Trang Ngo</v>
      </c>
      <c r="G246" s="109" t="str">
        <f t="array" ref="G246">IFERROR(
  INDEX(ATTENDANCE_INPUT!E:E,
    MATCH(1,
      (ATTENDANCE_INPUT!A:A=A246) *
      (ATTENDANCE_INPUT!W:W=MAXIFS(ATTENDANCE_INPUT!W:W, ATTENDANCE_INPUT!A:A, A246)),
      0)),
  "")</f>
        <v>Communication 1</v>
      </c>
      <c r="H246" s="110" t="str">
        <f t="array" ref="H246">IF(ISNA(MATCH(A246,sheet2!A:A,0)),"⏳ Chưa test",IFERROR(INDEX(LEVEL_HELPER!A:A,MATCH(INDEX(sheet2!N:N,MATCH(A246,sheet2!A:A,0)),LEVEL_HELPER!B:B,0)),"⏳ Chưa test"))</f>
        <v>Beginner</v>
      </c>
      <c r="I246" s="110" t="str">
        <f t="array" ref="I246">IF(ISNA(MATCH(A246,sheet2!A:A,0)),H246,IF(INDEX(sheet2!O:O,MATCH(A246,sheet2!A:A,0))&gt;0,IFERROR(INDEX(LEVEL_HELPER!A:A,MATCH(INDEX(sheet2!O:O,MATCH(A246,sheet2!A:A,0)),LEVEL_HELPER!B:B,0)),H246),H246))</f>
        <v>Beginner</v>
      </c>
      <c r="J246" s="110">
        <f>IFERROR(MAXIFS(ATTENDANCE_LOG!F:F, ATTENDANCE_LOG!C:C, A246&amp;"", ATTENDANCE_LOG!G:G, "Present"), "")</f>
        <v>46212.54167</v>
      </c>
      <c r="K246" s="111">
        <f t="shared" si="3"/>
        <v>0.4583333333</v>
      </c>
      <c r="L246" s="112" t="str">
        <f t="shared" si="4"/>
        <v/>
      </c>
      <c r="M246" s="113"/>
      <c r="N246" s="114"/>
      <c r="O246" s="133"/>
      <c r="P246" s="115">
        <f>IFERROR(__xludf.DUMMYFUNCTION("IFERROR(COUNTUNIQUEIFS(ATTENDANCE_LOG!B:B,ATTENDANCE_LOG!C:C,A246),0)"),1.0)</f>
        <v>1</v>
      </c>
      <c r="Q246" s="113" t="str">
        <f t="array" ref="Q246">IFERROR(INDEX(ATTENDANCE_LOG!A:A,MATCH(1,(ATTENDANCE_LOG!C:C=A246)*(ATTENDANCE_LOG!F:F=MAXIFS(ATTENDANCE_LOG!F:F,ATTENDANCE_LOG!C:C,A246)),0)),"")</f>
        <v>EL048</v>
      </c>
      <c r="R246" s="113" t="str">
        <f t="array" ref="R246">IFERROR(INDEX(ATTENDANCE_LOG!B:B,MATCH(1,(ATTENDANCE_LOG!C:C=A246)*(ATTENDANCE_LOG!F:F=MAXIFS(ATTENDANCE_LOG!F:F,ATTENDANCE_LOG!C:C,A246)),0)),"")</f>
        <v>Communication 1</v>
      </c>
      <c r="S246" s="113">
        <f>IFERROR(VLOOKUP(H246, LEVEL_HELPER!A:B, 2, 0), 0)</f>
        <v>1</v>
      </c>
      <c r="T246" s="113">
        <f>IFERROR(VLOOKUP(I246, LEVEL_HELPER!A:B, 2, 0), 0)</f>
        <v>1</v>
      </c>
      <c r="U246" s="113">
        <f t="shared" ref="U246:V246" si="250">IF(S246="",0,IF(S246&lt;=2,1,IF(S246&lt;=4,2,IF(S246&lt;=5.5,3,4))))
</f>
        <v>1</v>
      </c>
      <c r="V246" s="113">
        <f t="shared" si="250"/>
        <v>1</v>
      </c>
      <c r="W246" s="113" t="str">
        <f t="shared" si="6"/>
        <v>No Progress</v>
      </c>
      <c r="X246" s="133"/>
      <c r="Y246" s="133"/>
      <c r="Z246" s="133"/>
      <c r="AA246" s="133"/>
      <c r="AB246" s="102"/>
      <c r="AC246" s="102"/>
      <c r="AD246" s="103"/>
    </row>
    <row r="247" ht="15.75" customHeight="1">
      <c r="A247" s="134" t="s">
        <v>695</v>
      </c>
      <c r="B247" s="135" t="s">
        <v>696</v>
      </c>
      <c r="C247" s="106" t="str">
        <f>IFERROR(__xludf.DUMMYFUNCTION("arrayformula(VLOOKUP(to_Text(A247),to_Text(sheet2!$A$1:M1005),13,0))"),"LBU")</f>
        <v>LBU</v>
      </c>
      <c r="D247" s="107" t="str">
        <f>IFERROR(__xludf.DUMMYFUNCTION("arrayformula(VLOOKUP(to_Text(A247),to_Text(sheet2!$A$1:M1005),12,0))"),"BA")</f>
        <v>BA</v>
      </c>
      <c r="E247" s="108" t="str">
        <f t="shared" si="2"/>
        <v>Active</v>
      </c>
      <c r="F247" s="104" t="str">
        <f t="array" ref="F247">IFERROR(
  INDEX(ATTENDANCE_INPUT!D:D,
    MATCH(1,
      (ATTENDANCE_INPUT!A:A=A247) *
      (ATTENDANCE_INPUT!W:W=MAXIFS(ATTENDANCE_INPUT!W:W, ATTENDANCE_INPUT!A:A, A247)),
      0)),
  "")</f>
        <v>Trang Ngo</v>
      </c>
      <c r="G247" s="109" t="str">
        <f t="array" ref="G247">IFERROR(
  INDEX(ATTENDANCE_INPUT!E:E,
    MATCH(1,
      (ATTENDANCE_INPUT!A:A=A247) *
      (ATTENDANCE_INPUT!W:W=MAXIFS(ATTENDANCE_INPUT!W:W, ATTENDANCE_INPUT!A:A, A247)),
      0)),
  "")</f>
        <v>Communication 1</v>
      </c>
      <c r="H247" s="110" t="str">
        <f t="array" ref="H247">IF(ISNA(MATCH(A247,sheet2!A:A,0)),"⏳ Chưa test",IFERROR(INDEX(LEVEL_HELPER!A:A,MATCH(INDEX(sheet2!N:N,MATCH(A247,sheet2!A:A,0)),LEVEL_HELPER!B:B,0)),"⏳ Chưa test"))</f>
        <v>Pre-Intermediate 2</v>
      </c>
      <c r="I247" s="110" t="str">
        <f t="array" ref="I247">IF(ISNA(MATCH(A247,sheet2!A:A,0)),H247,IF(INDEX(sheet2!O:O,MATCH(A247,sheet2!A:A,0))&gt;0,IFERROR(INDEX(LEVEL_HELPER!A:A,MATCH(INDEX(sheet2!O:O,MATCH(A247,sheet2!A:A,0)),LEVEL_HELPER!B:B,0)),H247),H247))</f>
        <v>Pre-Intermediate 2</v>
      </c>
      <c r="J247" s="110">
        <f>IFERROR(MAXIFS(ATTENDANCE_LOG!F:F, ATTENDANCE_LOG!C:C, A247&amp;"", ATTENDANCE_LOG!G:G, "Present"), "")</f>
        <v>46212.54167</v>
      </c>
      <c r="K247" s="111">
        <f t="shared" si="3"/>
        <v>0.4583333333</v>
      </c>
      <c r="L247" s="112" t="str">
        <f t="shared" si="4"/>
        <v/>
      </c>
      <c r="M247" s="113"/>
      <c r="N247" s="114"/>
      <c r="O247" s="136"/>
      <c r="P247" s="115">
        <f>IFERROR(__xludf.DUMMYFUNCTION("IFERROR(COUNTUNIQUEIFS(ATTENDANCE_LOG!B:B,ATTENDANCE_LOG!C:C,A247),0)"),1.0)</f>
        <v>1</v>
      </c>
      <c r="Q247" s="113" t="str">
        <f t="array" ref="Q247">IFERROR(INDEX(ATTENDANCE_LOG!A:A,MATCH(1,(ATTENDANCE_LOG!C:C=A247)*(ATTENDANCE_LOG!F:F=MAXIFS(ATTENDANCE_LOG!F:F,ATTENDANCE_LOG!C:C,A247)),0)),"")</f>
        <v>EL048</v>
      </c>
      <c r="R247" s="113" t="str">
        <f t="array" ref="R247">IFERROR(INDEX(ATTENDANCE_LOG!B:B,MATCH(1,(ATTENDANCE_LOG!C:C=A247)*(ATTENDANCE_LOG!F:F=MAXIFS(ATTENDANCE_LOG!F:F,ATTENDANCE_LOG!C:C,A247)),0)),"")</f>
        <v>Communication 1</v>
      </c>
      <c r="S247" s="113">
        <f>IFERROR(VLOOKUP(H247, LEVEL_HELPER!A:B, 2, 0), 0)</f>
        <v>3.5</v>
      </c>
      <c r="T247" s="113">
        <f>IFERROR(VLOOKUP(I247, LEVEL_HELPER!A:B, 2, 0), 0)</f>
        <v>3.5</v>
      </c>
      <c r="U247" s="113">
        <f t="shared" ref="U247:V247" si="251">IF(S247="",0,IF(S247&lt;=2,1,IF(S247&lt;=4,2,IF(S247&lt;=5.5,3,4))))
</f>
        <v>2</v>
      </c>
      <c r="V247" s="113">
        <f t="shared" si="251"/>
        <v>2</v>
      </c>
      <c r="W247" s="113" t="str">
        <f t="shared" si="6"/>
        <v>No Progress</v>
      </c>
      <c r="X247" s="136"/>
      <c r="Y247" s="136"/>
      <c r="Z247" s="136"/>
      <c r="AA247" s="136"/>
      <c r="AB247" s="102"/>
      <c r="AC247" s="102"/>
      <c r="AD247" s="103"/>
    </row>
    <row r="248" ht="15.75" customHeight="1">
      <c r="A248" s="137" t="s">
        <v>697</v>
      </c>
      <c r="B248" s="132" t="s">
        <v>698</v>
      </c>
      <c r="C248" s="106" t="str">
        <f>IFERROR(__xludf.DUMMYFUNCTION("arrayformula(VLOOKUP(to_Text(A248),to_Text(sheet2!$A$1:M1005),13,0))"),"POC")</f>
        <v>POC</v>
      </c>
      <c r="D248" s="107" t="str">
        <f>IFERROR(__xludf.DUMMYFUNCTION("arrayformula(VLOOKUP(to_Text(A248),to_Text(sheet2!$A$1:M1005),12,0))"),"GSD")</f>
        <v>GSD</v>
      </c>
      <c r="E248" s="108" t="str">
        <f t="shared" si="2"/>
        <v>Active</v>
      </c>
      <c r="F248" s="104" t="str">
        <f t="array" ref="F248">IFERROR(
  INDEX(ATTENDANCE_INPUT!D:D,
    MATCH(1,
      (ATTENDANCE_INPUT!A:A=A248) *
      (ATTENDANCE_INPUT!W:W=MAXIFS(ATTENDANCE_INPUT!W:W, ATTENDANCE_INPUT!A:A, A248)),
      0)),
  "")</f>
        <v>Trang Ngo</v>
      </c>
      <c r="G248" s="109" t="str">
        <f t="array" ref="G248">IFERROR(
  INDEX(ATTENDANCE_INPUT!E:E,
    MATCH(1,
      (ATTENDANCE_INPUT!A:A=A248) *
      (ATTENDANCE_INPUT!W:W=MAXIFS(ATTENDANCE_INPUT!W:W, ATTENDANCE_INPUT!A:A, A248)),
      0)),
  "")</f>
        <v>Communication 1</v>
      </c>
      <c r="H248" s="110" t="str">
        <f t="array" ref="H248">IF(ISNA(MATCH(A248,sheet2!A:A,0)),"⏳ Chưa test",IFERROR(INDEX(LEVEL_HELPER!A:A,MATCH(INDEX(sheet2!N:N,MATCH(A248,sheet2!A:A,0)),LEVEL_HELPER!B:B,0)),"⏳ Chưa test"))</f>
        <v>Beginner 2</v>
      </c>
      <c r="I248" s="110" t="str">
        <f t="array" ref="I248">IF(ISNA(MATCH(A248,sheet2!A:A,0)),H248,IF(INDEX(sheet2!O:O,MATCH(A248,sheet2!A:A,0))&gt;0,IFERROR(INDEX(LEVEL_HELPER!A:A,MATCH(INDEX(sheet2!O:O,MATCH(A248,sheet2!A:A,0)),LEVEL_HELPER!B:B,0)),H248),H248))</f>
        <v>Beginner 2</v>
      </c>
      <c r="J248" s="110">
        <f>IFERROR(MAXIFS(ATTENDANCE_LOG!F:F, ATTENDANCE_LOG!C:C, A248&amp;"", ATTENDANCE_LOG!G:G, "Present"), "")</f>
        <v>46212.54167</v>
      </c>
      <c r="K248" s="111">
        <f t="shared" si="3"/>
        <v>0.4583333333</v>
      </c>
      <c r="L248" s="112" t="str">
        <f t="shared" si="4"/>
        <v/>
      </c>
      <c r="M248" s="113"/>
      <c r="N248" s="114"/>
      <c r="O248" s="133"/>
      <c r="P248" s="115">
        <f>IFERROR(__xludf.DUMMYFUNCTION("IFERROR(COUNTUNIQUEIFS(ATTENDANCE_LOG!B:B,ATTENDANCE_LOG!C:C,A248),0)"),1.0)</f>
        <v>1</v>
      </c>
      <c r="Q248" s="113" t="str">
        <f t="array" ref="Q248">IFERROR(INDEX(ATTENDANCE_LOG!A:A,MATCH(1,(ATTENDANCE_LOG!C:C=A248)*(ATTENDANCE_LOG!F:F=MAXIFS(ATTENDANCE_LOG!F:F,ATTENDANCE_LOG!C:C,A248)),0)),"")</f>
        <v>EL048</v>
      </c>
      <c r="R248" s="113" t="str">
        <f t="array" ref="R248">IFERROR(INDEX(ATTENDANCE_LOG!B:B,MATCH(1,(ATTENDANCE_LOG!C:C=A248)*(ATTENDANCE_LOG!F:F=MAXIFS(ATTENDANCE_LOG!F:F,ATTENDANCE_LOG!C:C,A248)),0)),"")</f>
        <v>Communication 1</v>
      </c>
      <c r="S248" s="113">
        <f>IFERROR(VLOOKUP(H248, LEVEL_HELPER!A:B, 2, 0), 0)</f>
        <v>1.5</v>
      </c>
      <c r="T248" s="113">
        <f>IFERROR(VLOOKUP(I248, LEVEL_HELPER!A:B, 2, 0), 0)</f>
        <v>1.5</v>
      </c>
      <c r="U248" s="113">
        <f t="shared" ref="U248:V248" si="252">IF(S248="",0,IF(S248&lt;=2,1,IF(S248&lt;=4,2,IF(S248&lt;=5.5,3,4))))
</f>
        <v>1</v>
      </c>
      <c r="V248" s="113">
        <f t="shared" si="252"/>
        <v>1</v>
      </c>
      <c r="W248" s="113" t="str">
        <f t="shared" si="6"/>
        <v>No Progress</v>
      </c>
      <c r="X248" s="133"/>
      <c r="Y248" s="133"/>
      <c r="Z248" s="133"/>
      <c r="AA248" s="133"/>
      <c r="AB248" s="102"/>
      <c r="AC248" s="102"/>
      <c r="AD248" s="103"/>
    </row>
    <row r="249" ht="15.75" customHeight="1">
      <c r="A249" s="134" t="s">
        <v>699</v>
      </c>
      <c r="B249" s="135" t="s">
        <v>700</v>
      </c>
      <c r="C249" s="106" t="str">
        <f>IFERROR(__xludf.DUMMYFUNCTION("arrayformula(VLOOKUP(to_Text(A249),to_Text(sheet2!$A$1:M1005),13,0))"),"LBU")</f>
        <v>LBU</v>
      </c>
      <c r="D249" s="107" t="str">
        <f>IFERROR(__xludf.DUMMYFUNCTION("arrayformula(VLOOKUP(to_Text(A249),to_Text(sheet2!$A$1:M1005),12,0))"),"Designer")</f>
        <v>Designer</v>
      </c>
      <c r="E249" s="108" t="str">
        <f t="shared" si="2"/>
        <v>Active</v>
      </c>
      <c r="F249" s="104" t="str">
        <f t="array" ref="F249">IFERROR(
  INDEX(ATTENDANCE_INPUT!D:D,
    MATCH(1,
      (ATTENDANCE_INPUT!A:A=A249) *
      (ATTENDANCE_INPUT!W:W=MAXIFS(ATTENDANCE_INPUT!W:W, ATTENDANCE_INPUT!A:A, A249)),
      0)),
  "")</f>
        <v>Trang Ngo</v>
      </c>
      <c r="G249" s="109" t="str">
        <f t="array" ref="G249">IFERROR(
  INDEX(ATTENDANCE_INPUT!E:E,
    MATCH(1,
      (ATTENDANCE_INPUT!A:A=A249) *
      (ATTENDANCE_INPUT!W:W=MAXIFS(ATTENDANCE_INPUT!W:W, ATTENDANCE_INPUT!A:A, A249)),
      0)),
  "")</f>
        <v>Communication 1</v>
      </c>
      <c r="H249" s="110" t="str">
        <f t="array" ref="H249">IF(ISNA(MATCH(A249,sheet2!A:A,0)),"⏳ Chưa test",IFERROR(INDEX(LEVEL_HELPER!A:A,MATCH(INDEX(sheet2!N:N,MATCH(A249,sheet2!A:A,0)),LEVEL_HELPER!B:B,0)),"⏳ Chưa test"))</f>
        <v>Beginner</v>
      </c>
      <c r="I249" s="110" t="str">
        <f t="array" ref="I249">IF(ISNA(MATCH(A249,sheet2!A:A,0)),H249,IF(INDEX(sheet2!O:O,MATCH(A249,sheet2!A:A,0))&gt;0,IFERROR(INDEX(LEVEL_HELPER!A:A,MATCH(INDEX(sheet2!O:O,MATCH(A249,sheet2!A:A,0)),LEVEL_HELPER!B:B,0)),H249),H249))</f>
        <v>Beginner</v>
      </c>
      <c r="J249" s="110">
        <f>IFERROR(MAXIFS(ATTENDANCE_LOG!F:F, ATTENDANCE_LOG!C:C, A249&amp;"", ATTENDANCE_LOG!G:G, "Present"), "")</f>
        <v>46212.54167</v>
      </c>
      <c r="K249" s="111">
        <f t="shared" si="3"/>
        <v>0.4583333333</v>
      </c>
      <c r="L249" s="112" t="str">
        <f t="shared" si="4"/>
        <v/>
      </c>
      <c r="M249" s="113"/>
      <c r="N249" s="114"/>
      <c r="O249" s="136"/>
      <c r="P249" s="115">
        <f>IFERROR(__xludf.DUMMYFUNCTION("IFERROR(COUNTUNIQUEIFS(ATTENDANCE_LOG!B:B,ATTENDANCE_LOG!C:C,A249),0)"),1.0)</f>
        <v>1</v>
      </c>
      <c r="Q249" s="113" t="str">
        <f t="array" ref="Q249">IFERROR(INDEX(ATTENDANCE_LOG!A:A,MATCH(1,(ATTENDANCE_LOG!C:C=A249)*(ATTENDANCE_LOG!F:F=MAXIFS(ATTENDANCE_LOG!F:F,ATTENDANCE_LOG!C:C,A249)),0)),"")</f>
        <v>EL048</v>
      </c>
      <c r="R249" s="113" t="str">
        <f t="array" ref="R249">IFERROR(INDEX(ATTENDANCE_LOG!B:B,MATCH(1,(ATTENDANCE_LOG!C:C=A249)*(ATTENDANCE_LOG!F:F=MAXIFS(ATTENDANCE_LOG!F:F,ATTENDANCE_LOG!C:C,A249)),0)),"")</f>
        <v>Communication 1</v>
      </c>
      <c r="S249" s="113">
        <f>IFERROR(VLOOKUP(H249, LEVEL_HELPER!A:B, 2, 0), 0)</f>
        <v>1</v>
      </c>
      <c r="T249" s="113">
        <f>IFERROR(VLOOKUP(I249, LEVEL_HELPER!A:B, 2, 0), 0)</f>
        <v>1</v>
      </c>
      <c r="U249" s="113">
        <f t="shared" ref="U249:V249" si="253">IF(S249="",0,IF(S249&lt;=2,1,IF(S249&lt;=4,2,IF(S249&lt;=5.5,3,4))))
</f>
        <v>1</v>
      </c>
      <c r="V249" s="113">
        <f t="shared" si="253"/>
        <v>1</v>
      </c>
      <c r="W249" s="113" t="str">
        <f t="shared" si="6"/>
        <v>No Progress</v>
      </c>
      <c r="X249" s="136"/>
      <c r="Y249" s="136"/>
      <c r="Z249" s="136"/>
      <c r="AA249" s="136"/>
      <c r="AB249" s="102"/>
      <c r="AC249" s="102"/>
      <c r="AD249" s="103"/>
    </row>
    <row r="250" ht="15.75" customHeight="1">
      <c r="A250" s="137" t="s">
        <v>701</v>
      </c>
      <c r="B250" s="132" t="s">
        <v>702</v>
      </c>
      <c r="C250" s="106" t="str">
        <f>IFERROR(__xludf.DUMMYFUNCTION("arrayformula(VLOOKUP(to_Text(A250),to_Text(sheet2!$A$1:M1005),13,0))"),"LBU")</f>
        <v>LBU</v>
      </c>
      <c r="D250" s="107" t="str">
        <f>IFERROR(__xludf.DUMMYFUNCTION("arrayformula(VLOOKUP(to_Text(A250),to_Text(sheet2!$A$1:M1005),12,0))"),"Designer")</f>
        <v>Designer</v>
      </c>
      <c r="E250" s="108" t="str">
        <f t="shared" si="2"/>
        <v>Active</v>
      </c>
      <c r="F250" s="104" t="str">
        <f t="array" ref="F250">IFERROR(
  INDEX(ATTENDANCE_INPUT!D:D,
    MATCH(1,
      (ATTENDANCE_INPUT!A:A=A250) *
      (ATTENDANCE_INPUT!W:W=MAXIFS(ATTENDANCE_INPUT!W:W, ATTENDANCE_INPUT!A:A, A250)),
      0)),
  "")</f>
        <v>Trang Ngo</v>
      </c>
      <c r="G250" s="109" t="str">
        <f t="array" ref="G250">IFERROR(
  INDEX(ATTENDANCE_INPUT!E:E,
    MATCH(1,
      (ATTENDANCE_INPUT!A:A=A250) *
      (ATTENDANCE_INPUT!W:W=MAXIFS(ATTENDANCE_INPUT!W:W, ATTENDANCE_INPUT!A:A, A250)),
      0)),
  "")</f>
        <v>Communication 1</v>
      </c>
      <c r="H250" s="110" t="str">
        <f t="array" ref="H250">IF(ISNA(MATCH(A250,sheet2!A:A,0)),"⏳ Chưa test",IFERROR(INDEX(LEVEL_HELPER!A:A,MATCH(INDEX(sheet2!N:N,MATCH(A250,sheet2!A:A,0)),LEVEL_HELPER!B:B,0)),"⏳ Chưa test"))</f>
        <v>Beginner</v>
      </c>
      <c r="I250" s="110" t="str">
        <f t="array" ref="I250">IF(ISNA(MATCH(A250,sheet2!A:A,0)),H250,IF(INDEX(sheet2!O:O,MATCH(A250,sheet2!A:A,0))&gt;0,IFERROR(INDEX(LEVEL_HELPER!A:A,MATCH(INDEX(sheet2!O:O,MATCH(A250,sheet2!A:A,0)),LEVEL_HELPER!B:B,0)),H250),H250))</f>
        <v>Beginner</v>
      </c>
      <c r="J250" s="110">
        <f>IFERROR(MAXIFS(ATTENDANCE_LOG!F:F, ATTENDANCE_LOG!C:C, A250&amp;"", ATTENDANCE_LOG!G:G, "Present"), "")</f>
        <v>46212.54167</v>
      </c>
      <c r="K250" s="111">
        <f t="shared" si="3"/>
        <v>0.4583333333</v>
      </c>
      <c r="L250" s="112" t="str">
        <f t="shared" si="4"/>
        <v/>
      </c>
      <c r="M250" s="113"/>
      <c r="N250" s="114"/>
      <c r="O250" s="133"/>
      <c r="P250" s="115">
        <f>IFERROR(__xludf.DUMMYFUNCTION("IFERROR(COUNTUNIQUEIFS(ATTENDANCE_LOG!B:B,ATTENDANCE_LOG!C:C,A250),0)"),1.0)</f>
        <v>1</v>
      </c>
      <c r="Q250" s="113" t="str">
        <f t="array" ref="Q250">IFERROR(INDEX(ATTENDANCE_LOG!A:A,MATCH(1,(ATTENDANCE_LOG!C:C=A250)*(ATTENDANCE_LOG!F:F=MAXIFS(ATTENDANCE_LOG!F:F,ATTENDANCE_LOG!C:C,A250)),0)),"")</f>
        <v>EL048</v>
      </c>
      <c r="R250" s="113" t="str">
        <f t="array" ref="R250">IFERROR(INDEX(ATTENDANCE_LOG!B:B,MATCH(1,(ATTENDANCE_LOG!C:C=A250)*(ATTENDANCE_LOG!F:F=MAXIFS(ATTENDANCE_LOG!F:F,ATTENDANCE_LOG!C:C,A250)),0)),"")</f>
        <v>Communication 1</v>
      </c>
      <c r="S250" s="113">
        <f>IFERROR(VLOOKUP(H250, LEVEL_HELPER!A:B, 2, 0), 0)</f>
        <v>1</v>
      </c>
      <c r="T250" s="113">
        <f>IFERROR(VLOOKUP(I250, LEVEL_HELPER!A:B, 2, 0), 0)</f>
        <v>1</v>
      </c>
      <c r="U250" s="113">
        <f t="shared" ref="U250:V250" si="254">IF(S250="",0,IF(S250&lt;=2,1,IF(S250&lt;=4,2,IF(S250&lt;=5.5,3,4))))
</f>
        <v>1</v>
      </c>
      <c r="V250" s="113">
        <f t="shared" si="254"/>
        <v>1</v>
      </c>
      <c r="W250" s="113" t="str">
        <f t="shared" si="6"/>
        <v>No Progress</v>
      </c>
      <c r="X250" s="133"/>
      <c r="Y250" s="133"/>
      <c r="Z250" s="133"/>
      <c r="AA250" s="133"/>
      <c r="AB250" s="102"/>
      <c r="AC250" s="102"/>
      <c r="AD250" s="103"/>
    </row>
    <row r="251" ht="15.75" customHeight="1">
      <c r="A251" s="104" t="s">
        <v>703</v>
      </c>
      <c r="B251" s="105" t="s">
        <v>704</v>
      </c>
      <c r="C251" s="106" t="str">
        <f>IFERROR(__xludf.DUMMYFUNCTION("arrayformula(VLOOKUP(to_Text(A251),to_Text(sheet2!$A$1:M1005),13,0))"),"CHORUS")</f>
        <v>CHORUS</v>
      </c>
      <c r="D251" s="107" t="str">
        <f>IFERROR(__xludf.DUMMYFUNCTION("arrayformula(VLOOKUP(to_Text(A251),to_Text(sheet2!$A$1:M1005),12,0))"),"UI/UX")</f>
        <v>UI/UX</v>
      </c>
      <c r="E251" s="108" t="str">
        <f t="shared" si="2"/>
        <v>Active</v>
      </c>
      <c r="F251" s="104" t="str">
        <f t="array" ref="F251">IFERROR(
  INDEX(ATTENDANCE_INPUT!D:D,
    MATCH(1,
      (ATTENDANCE_INPUT!A:A=A251) *
      (ATTENDANCE_INPUT!W:W=MAXIFS(ATTENDANCE_INPUT!W:W, ATTENDANCE_INPUT!A:A, A251)),
      0)),
  "")</f>
        <v>Trang Ngo</v>
      </c>
      <c r="G251" s="109" t="str">
        <f t="array" ref="G251">IFERROR(
  INDEX(ATTENDANCE_INPUT!E:E,
    MATCH(1,
      (ATTENDANCE_INPUT!A:A=A251) *
      (ATTENDANCE_INPUT!W:W=MAXIFS(ATTENDANCE_INPUT!W:W, ATTENDANCE_INPUT!A:A, A251)),
      0)),
  "")</f>
        <v>Communication 1</v>
      </c>
      <c r="H251" s="110" t="str">
        <f t="array" ref="H251">IF(ISNA(MATCH(A251,sheet2!A:A,0)),"⏳ Chưa test",IFERROR(INDEX(LEVEL_HELPER!A:A,MATCH(INDEX(sheet2!N:N,MATCH(A251,sheet2!A:A,0)),LEVEL_HELPER!B:B,0)),"⏳ Chưa test"))</f>
        <v>Foundation</v>
      </c>
      <c r="I251" s="110" t="str">
        <f t="array" ref="I251">IF(ISNA(MATCH(A251,sheet2!A:A,0)),H251,IF(INDEX(sheet2!O:O,MATCH(A251,sheet2!A:A,0))&gt;0,IFERROR(INDEX(LEVEL_HELPER!A:A,MATCH(INDEX(sheet2!O:O,MATCH(A251,sheet2!A:A,0)),LEVEL_HELPER!B:B,0)),H251),H251))</f>
        <v>Foundation</v>
      </c>
      <c r="J251" s="110">
        <f>IFERROR(MAXIFS(ATTENDANCE_LOG!F:F, ATTENDANCE_LOG!C:C, A251&amp;"", ATTENDANCE_LOG!G:G, "Present"), "")</f>
        <v>46212.54167</v>
      </c>
      <c r="K251" s="111">
        <f t="shared" si="3"/>
        <v>0.4583333333</v>
      </c>
      <c r="L251" s="112" t="str">
        <f t="shared" si="4"/>
        <v/>
      </c>
      <c r="M251" s="113"/>
      <c r="N251" s="114"/>
      <c r="O251" s="113" t="s">
        <v>370</v>
      </c>
      <c r="P251" s="115">
        <f>IFERROR(__xludf.DUMMYFUNCTION("IFERROR(COUNTUNIQUEIFS(ATTENDANCE_LOG!B:B,ATTENDANCE_LOG!C:C,A251),0)"),2.0)</f>
        <v>2</v>
      </c>
      <c r="Q251" s="113" t="str">
        <f t="array" ref="Q251">IFERROR(INDEX(ATTENDANCE_LOG!A:A,MATCH(1,(ATTENDANCE_LOG!C:C=A251)*(ATTENDANCE_LOG!F:F=MAXIFS(ATTENDANCE_LOG!F:F,ATTENDANCE_LOG!C:C,A251)),0)),"")</f>
        <v>EL048</v>
      </c>
      <c r="R251" s="113" t="str">
        <f t="array" ref="R251">IFERROR(INDEX(ATTENDANCE_LOG!B:B,MATCH(1,(ATTENDANCE_LOG!C:C=A251)*(ATTENDANCE_LOG!F:F=MAXIFS(ATTENDANCE_LOG!F:F,ATTENDANCE_LOG!C:C,A251)),0)),"")</f>
        <v>Communication 1</v>
      </c>
      <c r="S251" s="113">
        <f>IFERROR(VLOOKUP(H251, LEVEL_HELPER!A:B, 2, 0), 0)</f>
        <v>0.5</v>
      </c>
      <c r="T251" s="113">
        <f>IFERROR(VLOOKUP(I251, LEVEL_HELPER!A:B, 2, 0), 0)</f>
        <v>0.5</v>
      </c>
      <c r="U251" s="113">
        <f t="shared" ref="U251:V251" si="255">IF(S251="",0,IF(S251&lt;=2,1,IF(S251&lt;=4,2,IF(S251&lt;=5.5,3,4))))
</f>
        <v>1</v>
      </c>
      <c r="V251" s="113">
        <f t="shared" si="255"/>
        <v>1</v>
      </c>
      <c r="W251" s="113" t="str">
        <f t="shared" si="6"/>
        <v>No Progress</v>
      </c>
      <c r="X251" s="113"/>
      <c r="Y251" s="113"/>
      <c r="Z251" s="113"/>
      <c r="AA251" s="113"/>
      <c r="AB251" s="116"/>
      <c r="AC251" s="116"/>
      <c r="AD251" s="117"/>
    </row>
    <row r="252" ht="15.75" customHeight="1">
      <c r="A252" s="104" t="s">
        <v>705</v>
      </c>
      <c r="B252" s="105" t="s">
        <v>706</v>
      </c>
      <c r="C252" s="106" t="str">
        <f>IFERROR(__xludf.DUMMYFUNCTION("arrayformula(VLOOKUP(to_Text(A252),to_Text(sheet2!$A$1:M1005),13,0))"),"MOC")</f>
        <v>MOC</v>
      </c>
      <c r="D252" s="107" t="str">
        <f>IFERROR(__xludf.DUMMYFUNCTION("arrayformula(VLOOKUP(to_Text(A252),to_Text(sheet2!$A$1:M1005),12,0))"),"DEV")</f>
        <v>DEV</v>
      </c>
      <c r="E252" s="108" t="str">
        <f t="shared" si="2"/>
        <v>Active</v>
      </c>
      <c r="F252" s="104" t="str">
        <f t="array" ref="F252">IFERROR(
  INDEX(ATTENDANCE_INPUT!D:D,
    MATCH(1,
      (ATTENDANCE_INPUT!A:A=A252) *
      (ATTENDANCE_INPUT!W:W=MAXIFS(ATTENDANCE_INPUT!W:W, ATTENDANCE_INPUT!A:A, A252)),
      0)),
  "")</f>
        <v>Trang Nguyen</v>
      </c>
      <c r="G252" s="109" t="str">
        <f t="array" ref="G252">IFERROR(
  INDEX(ATTENDANCE_INPUT!E:E,
    MATCH(1,
      (ATTENDANCE_INPUT!A:A=A252) *
      (ATTENDANCE_INPUT!W:W=MAXIFS(ATTENDANCE_INPUT!W:W, ATTENDANCE_INPUT!A:A, A252)),
      0)),
  "")</f>
        <v>Communication 1</v>
      </c>
      <c r="H252" s="110" t="str">
        <f t="array" ref="H252">IF(ISNA(MATCH(A252,sheet2!A:A,0)),"⏳ Chưa test",IFERROR(INDEX(LEVEL_HELPER!A:A,MATCH(INDEX(sheet2!N:N,MATCH(A252,sheet2!A:A,0)),LEVEL_HELPER!B:B,0)),"⏳ Chưa test"))</f>
        <v>Foundation</v>
      </c>
      <c r="I252" s="110" t="str">
        <f t="array" ref="I252">IF(ISNA(MATCH(A252,sheet2!A:A,0)),H252,IF(INDEX(sheet2!O:O,MATCH(A252,sheet2!A:A,0))&gt;0,IFERROR(INDEX(LEVEL_HELPER!A:A,MATCH(INDEX(sheet2!O:O,MATCH(A252,sheet2!A:A,0)),LEVEL_HELPER!B:B,0)),H252),H252))</f>
        <v>Foundation</v>
      </c>
      <c r="J252" s="110">
        <f>IFERROR(MAXIFS(ATTENDANCE_LOG!F:F, ATTENDANCE_LOG!C:C, A252&amp;"", ATTENDANCE_LOG!G:G, "Present"), "")</f>
        <v>46210.58333</v>
      </c>
      <c r="K252" s="111">
        <f t="shared" si="3"/>
        <v>2.416666667</v>
      </c>
      <c r="L252" s="112" t="str">
        <f t="shared" si="4"/>
        <v/>
      </c>
      <c r="M252" s="113"/>
      <c r="N252" s="114"/>
      <c r="O252" s="121"/>
      <c r="P252" s="115">
        <f>IFERROR(__xludf.DUMMYFUNCTION("IFERROR(COUNTUNIQUEIFS(ATTENDANCE_LOG!B:B,ATTENDANCE_LOG!C:C,A252),0)"),2.0)</f>
        <v>2</v>
      </c>
      <c r="Q252" s="113" t="str">
        <f t="array" ref="Q252">IFERROR(INDEX(ATTENDANCE_LOG!A:A,MATCH(1,(ATTENDANCE_LOG!C:C=A252)*(ATTENDANCE_LOG!F:F=MAXIFS(ATTENDANCE_LOG!F:F,ATTENDANCE_LOG!C:C,A252)),0)),"")</f>
        <v>EL051</v>
      </c>
      <c r="R252" s="113" t="str">
        <f t="array" ref="R252">IFERROR(INDEX(ATTENDANCE_LOG!B:B,MATCH(1,(ATTENDANCE_LOG!C:C=A252)*(ATTENDANCE_LOG!F:F=MAXIFS(ATTENDANCE_LOG!F:F,ATTENDANCE_LOG!C:C,A252)),0)),"")</f>
        <v>Communication 1</v>
      </c>
      <c r="S252" s="113">
        <f>IFERROR(VLOOKUP(H252, LEVEL_HELPER!A:B, 2, 0), 0)</f>
        <v>0.5</v>
      </c>
      <c r="T252" s="113">
        <f>IFERROR(VLOOKUP(I252, LEVEL_HELPER!A:B, 2, 0), 0)</f>
        <v>0.5</v>
      </c>
      <c r="U252" s="113">
        <f t="shared" ref="U252:V252" si="256">IF(S252="",0,IF(S252&lt;=2,1,IF(S252&lt;=4,2,IF(S252&lt;=5.5,3,4))))
</f>
        <v>1</v>
      </c>
      <c r="V252" s="113">
        <f t="shared" si="256"/>
        <v>1</v>
      </c>
      <c r="W252" s="113" t="str">
        <f t="shared" si="6"/>
        <v>No Progress</v>
      </c>
      <c r="X252" s="121"/>
      <c r="Y252" s="121"/>
      <c r="Z252" s="121"/>
      <c r="AA252" s="121"/>
      <c r="AB252" s="102"/>
      <c r="AC252" s="102"/>
      <c r="AD252" s="103"/>
    </row>
    <row r="253" ht="15.75" customHeight="1">
      <c r="A253" s="104" t="s">
        <v>707</v>
      </c>
      <c r="B253" s="105" t="s">
        <v>708</v>
      </c>
      <c r="C253" s="106" t="str">
        <f>IFERROR(__xludf.DUMMYFUNCTION("arrayformula(VLOOKUP(to_Text(A253),to_Text(sheet2!$A$1:M1005),13,0))"),"MOC")</f>
        <v>MOC</v>
      </c>
      <c r="D253" s="107" t="str">
        <f>IFERROR(__xludf.DUMMYFUNCTION("arrayformula(VLOOKUP(to_Text(A253),to_Text(sheet2!$A$1:M1005),12,0))"),"DEV")</f>
        <v>DEV</v>
      </c>
      <c r="E253" s="108" t="str">
        <f t="shared" si="2"/>
        <v>Active</v>
      </c>
      <c r="F253" s="104" t="str">
        <f t="array" ref="F253">IFERROR(
  INDEX(ATTENDANCE_INPUT!D:D,
    MATCH(1,
      (ATTENDANCE_INPUT!A:A=A253) *
      (ATTENDANCE_INPUT!W:W=MAXIFS(ATTENDANCE_INPUT!W:W, ATTENDANCE_INPUT!A:A, A253)),
      0)),
  "")</f>
        <v>Trang Nguyen</v>
      </c>
      <c r="G253" s="109" t="str">
        <f t="array" ref="G253">IFERROR(
  INDEX(ATTENDANCE_INPUT!E:E,
    MATCH(1,
      (ATTENDANCE_INPUT!A:A=A253) *
      (ATTENDANCE_INPUT!W:W=MAXIFS(ATTENDANCE_INPUT!W:W, ATTENDANCE_INPUT!A:A, A253)),
      0)),
  "")</f>
        <v>Communication 1</v>
      </c>
      <c r="H253" s="110" t="str">
        <f t="array" ref="H253">IF(ISNA(MATCH(A253,sheet2!A:A,0)),"⏳ Chưa test",IFERROR(INDEX(LEVEL_HELPER!A:A,MATCH(INDEX(sheet2!N:N,MATCH(A253,sheet2!A:A,0)),LEVEL_HELPER!B:B,0)),"⏳ Chưa test"))</f>
        <v>Foundation</v>
      </c>
      <c r="I253" s="110" t="str">
        <f t="array" ref="I253">IF(ISNA(MATCH(A253,sheet2!A:A,0)),H253,IF(INDEX(sheet2!O:O,MATCH(A253,sheet2!A:A,0))&gt;0,IFERROR(INDEX(LEVEL_HELPER!A:A,MATCH(INDEX(sheet2!O:O,MATCH(A253,sheet2!A:A,0)),LEVEL_HELPER!B:B,0)),H253),H253))</f>
        <v>Beginner</v>
      </c>
      <c r="J253" s="110">
        <f>IFERROR(MAXIFS(ATTENDANCE_LOG!F:F, ATTENDANCE_LOG!C:C, A253&amp;"", ATTENDANCE_LOG!G:G, "Present"), "")</f>
        <v>46203.58333</v>
      </c>
      <c r="K253" s="111">
        <f t="shared" si="3"/>
        <v>9.416666667</v>
      </c>
      <c r="L253" s="112" t="str">
        <f t="shared" si="4"/>
        <v/>
      </c>
      <c r="M253" s="113"/>
      <c r="N253" s="114"/>
      <c r="O253" s="113"/>
      <c r="P253" s="115">
        <f>IFERROR(__xludf.DUMMYFUNCTION("IFERROR(COUNTUNIQUEIFS(ATTENDANCE_LOG!B:B,ATTENDANCE_LOG!C:C,A253),0)"),2.0)</f>
        <v>2</v>
      </c>
      <c r="Q253" s="113" t="str">
        <f t="array" ref="Q253">IFERROR(INDEX(ATTENDANCE_LOG!A:A,MATCH(1,(ATTENDANCE_LOG!C:C=A253)*(ATTENDANCE_LOG!F:F=MAXIFS(ATTENDANCE_LOG!F:F,ATTENDANCE_LOG!C:C,A253)),0)),"")</f>
        <v>EL051</v>
      </c>
      <c r="R253" s="113" t="str">
        <f t="array" ref="R253">IFERROR(INDEX(ATTENDANCE_LOG!B:B,MATCH(1,(ATTENDANCE_LOG!C:C=A253)*(ATTENDANCE_LOG!F:F=MAXIFS(ATTENDANCE_LOG!F:F,ATTENDANCE_LOG!C:C,A253)),0)),"")</f>
        <v>Communication 1</v>
      </c>
      <c r="S253" s="113">
        <f>IFERROR(VLOOKUP(H253, LEVEL_HELPER!A:B, 2, 0), 0)</f>
        <v>0.5</v>
      </c>
      <c r="T253" s="113">
        <f>IFERROR(VLOOKUP(I253, LEVEL_HELPER!A:B, 2, 0), 0)</f>
        <v>1</v>
      </c>
      <c r="U253" s="113">
        <f t="shared" ref="U253:V253" si="257">IF(S253="",0,IF(S253&lt;=2,1,IF(S253&lt;=4,2,IF(S253&lt;=5.5,3,4))))
</f>
        <v>1</v>
      </c>
      <c r="V253" s="113">
        <f t="shared" si="257"/>
        <v>1</v>
      </c>
      <c r="W253" s="113" t="str">
        <f t="shared" si="6"/>
        <v>Minor Improvement</v>
      </c>
      <c r="X253" s="113"/>
      <c r="Y253" s="113">
        <v>227008.0</v>
      </c>
      <c r="Z253" s="113"/>
      <c r="AA253" s="113"/>
      <c r="AB253" s="116"/>
      <c r="AC253" s="116"/>
      <c r="AD253" s="117"/>
    </row>
    <row r="254" ht="15.75" customHeight="1">
      <c r="A254" s="104" t="s">
        <v>709</v>
      </c>
      <c r="B254" s="105" t="s">
        <v>710</v>
      </c>
      <c r="C254" s="106" t="str">
        <f>IFERROR(__xludf.DUMMYFUNCTION("arrayformula(VLOOKUP(to_Text(A254),to_Text(sheet2!$A$1:M1005),13,0))"),"POC")</f>
        <v>POC</v>
      </c>
      <c r="D254" s="107" t="str">
        <f>IFERROR(__xludf.DUMMYFUNCTION("arrayformula(VLOOKUP(to_Text(A254),to_Text(sheet2!$A$1:M1005),12,0))"),"GSD")</f>
        <v>GSD</v>
      </c>
      <c r="E254" s="108" t="str">
        <f t="shared" si="2"/>
        <v>Active</v>
      </c>
      <c r="F254" s="104" t="str">
        <f t="array" ref="F254">IFERROR(
  INDEX(ATTENDANCE_INPUT!D:D,
    MATCH(1,
      (ATTENDANCE_INPUT!A:A=A254) *
      (ATTENDANCE_INPUT!W:W=MAXIFS(ATTENDANCE_INPUT!W:W, ATTENDANCE_INPUT!A:A, A254)),
      0)),
  "")</f>
        <v>Trang Nguyen</v>
      </c>
      <c r="G254" s="109" t="str">
        <f t="array" ref="G254">IFERROR(
  INDEX(ATTENDANCE_INPUT!E:E,
    MATCH(1,
      (ATTENDANCE_INPUT!A:A=A254) *
      (ATTENDANCE_INPUT!W:W=MAXIFS(ATTENDANCE_INPUT!W:W, ATTENDANCE_INPUT!A:A, A254)),
      0)),
  "")</f>
        <v>Communication 1</v>
      </c>
      <c r="H254" s="110" t="str">
        <f t="array" ref="H254">IF(ISNA(MATCH(A254,sheet2!A:A,0)),"⏳ Chưa test",IFERROR(INDEX(LEVEL_HELPER!A:A,MATCH(INDEX(sheet2!N:N,MATCH(A254,sheet2!A:A,0)),LEVEL_HELPER!B:B,0)),"⏳ Chưa test"))</f>
        <v>Foundation</v>
      </c>
      <c r="I254" s="110" t="str">
        <f t="array" ref="I254">IF(ISNA(MATCH(A254,sheet2!A:A,0)),H254,IF(INDEX(sheet2!O:O,MATCH(A254,sheet2!A:A,0))&gt;0,IFERROR(INDEX(LEVEL_HELPER!A:A,MATCH(INDEX(sheet2!O:O,MATCH(A254,sheet2!A:A,0)),LEVEL_HELPER!B:B,0)),H254),H254))</f>
        <v>Foundation</v>
      </c>
      <c r="J254" s="110">
        <f>IFERROR(MAXIFS(ATTENDANCE_LOG!F:F, ATTENDANCE_LOG!C:C, A254&amp;"", ATTENDANCE_LOG!G:G, "Present"), "")</f>
        <v>46210.58333</v>
      </c>
      <c r="K254" s="111">
        <f t="shared" si="3"/>
        <v>2.416666667</v>
      </c>
      <c r="L254" s="112" t="str">
        <f t="shared" si="4"/>
        <v/>
      </c>
      <c r="M254" s="113"/>
      <c r="N254" s="114"/>
      <c r="O254" s="113"/>
      <c r="P254" s="115">
        <f>IFERROR(__xludf.DUMMYFUNCTION("IFERROR(COUNTUNIQUEIFS(ATTENDANCE_LOG!B:B,ATTENDANCE_LOG!C:C,A254),0)"),2.0)</f>
        <v>2</v>
      </c>
      <c r="Q254" s="113" t="str">
        <f t="array" ref="Q254">IFERROR(INDEX(ATTENDANCE_LOG!A:A,MATCH(1,(ATTENDANCE_LOG!C:C=A254)*(ATTENDANCE_LOG!F:F=MAXIFS(ATTENDANCE_LOG!F:F,ATTENDANCE_LOG!C:C,A254)),0)),"")</f>
        <v>EL051</v>
      </c>
      <c r="R254" s="113" t="str">
        <f t="array" ref="R254">IFERROR(INDEX(ATTENDANCE_LOG!B:B,MATCH(1,(ATTENDANCE_LOG!C:C=A254)*(ATTENDANCE_LOG!F:F=MAXIFS(ATTENDANCE_LOG!F:F,ATTENDANCE_LOG!C:C,A254)),0)),"")</f>
        <v>Communication 1</v>
      </c>
      <c r="S254" s="113">
        <f>IFERROR(VLOOKUP(H254, LEVEL_HELPER!A:B, 2, 0), 0)</f>
        <v>0.5</v>
      </c>
      <c r="T254" s="113">
        <f>IFERROR(VLOOKUP(I254, LEVEL_HELPER!A:B, 2, 0), 0)</f>
        <v>0.5</v>
      </c>
      <c r="U254" s="113">
        <f t="shared" ref="U254:V254" si="258">IF(S254="",0,IF(S254&lt;=2,1,IF(S254&lt;=4,2,IF(S254&lt;=5.5,3,4))))
</f>
        <v>1</v>
      </c>
      <c r="V254" s="113">
        <f t="shared" si="258"/>
        <v>1</v>
      </c>
      <c r="W254" s="113" t="str">
        <f t="shared" si="6"/>
        <v>No Progress</v>
      </c>
      <c r="X254" s="113"/>
      <c r="Y254" s="113"/>
      <c r="Z254" s="113"/>
      <c r="AA254" s="113"/>
      <c r="AB254" s="116"/>
      <c r="AC254" s="116"/>
      <c r="AD254" s="117"/>
    </row>
    <row r="255" ht="15.75" customHeight="1">
      <c r="A255" s="104" t="s">
        <v>711</v>
      </c>
      <c r="B255" s="105" t="s">
        <v>712</v>
      </c>
      <c r="C255" s="106" t="str">
        <f>IFERROR(__xludf.DUMMYFUNCTION("arrayformula(VLOOKUP(to_Text(A255),to_Text(sheet2!$A$1:M1005),13,0))"),"POC")</f>
        <v>POC</v>
      </c>
      <c r="D255" s="107" t="str">
        <f>IFERROR(__xludf.DUMMYFUNCTION("arrayformula(VLOOKUP(to_Text(A255),to_Text(sheet2!$A$1:M1005),12,0))"),"GSD")</f>
        <v>GSD</v>
      </c>
      <c r="E255" s="108" t="str">
        <f t="shared" si="2"/>
        <v>Active</v>
      </c>
      <c r="F255" s="104" t="str">
        <f t="array" ref="F255">IFERROR(
  INDEX(ATTENDANCE_INPUT!D:D,
    MATCH(1,
      (ATTENDANCE_INPUT!A:A=A255) *
      (ATTENDANCE_INPUT!W:W=MAXIFS(ATTENDANCE_INPUT!W:W, ATTENDANCE_INPUT!A:A, A255)),
      0)),
  "")</f>
        <v>Trang Nguyen</v>
      </c>
      <c r="G255" s="109" t="str">
        <f t="array" ref="G255">IFERROR(
  INDEX(ATTENDANCE_INPUT!E:E,
    MATCH(1,
      (ATTENDANCE_INPUT!A:A=A255) *
      (ATTENDANCE_INPUT!W:W=MAXIFS(ATTENDANCE_INPUT!W:W, ATTENDANCE_INPUT!A:A, A255)),
      0)),
  "")</f>
        <v>Communication 1</v>
      </c>
      <c r="H255" s="110" t="str">
        <f t="array" ref="H255">IF(ISNA(MATCH(A255,sheet2!A:A,0)),"⏳ Chưa test",IFERROR(INDEX(LEVEL_HELPER!A:A,MATCH(INDEX(sheet2!N:N,MATCH(A255,sheet2!A:A,0)),LEVEL_HELPER!B:B,0)),"⏳ Chưa test"))</f>
        <v>Foundation</v>
      </c>
      <c r="I255" s="110" t="str">
        <f t="array" ref="I255">IF(ISNA(MATCH(A255,sheet2!A:A,0)),H255,IF(INDEX(sheet2!O:O,MATCH(A255,sheet2!A:A,0))&gt;0,IFERROR(INDEX(LEVEL_HELPER!A:A,MATCH(INDEX(sheet2!O:O,MATCH(A255,sheet2!A:A,0)),LEVEL_HELPER!B:B,0)),H255),H255))</f>
        <v>Foundation</v>
      </c>
      <c r="J255" s="110">
        <f>IFERROR(MAXIFS(ATTENDANCE_LOG!F:F, ATTENDANCE_LOG!C:C, A255&amp;"", ATTENDANCE_LOG!G:G, "Present"), "")</f>
        <v>46210.58333</v>
      </c>
      <c r="K255" s="111">
        <f t="shared" si="3"/>
        <v>2.416666667</v>
      </c>
      <c r="L255" s="112" t="str">
        <f t="shared" si="4"/>
        <v/>
      </c>
      <c r="M255" s="113"/>
      <c r="N255" s="114"/>
      <c r="O255" s="113"/>
      <c r="P255" s="115">
        <f>IFERROR(__xludf.DUMMYFUNCTION("IFERROR(COUNTUNIQUEIFS(ATTENDANCE_LOG!B:B,ATTENDANCE_LOG!C:C,A255),0)"),2.0)</f>
        <v>2</v>
      </c>
      <c r="Q255" s="113" t="str">
        <f t="array" ref="Q255">IFERROR(INDEX(ATTENDANCE_LOG!A:A,MATCH(1,(ATTENDANCE_LOG!C:C=A255)*(ATTENDANCE_LOG!F:F=MAXIFS(ATTENDANCE_LOG!F:F,ATTENDANCE_LOG!C:C,A255)),0)),"")</f>
        <v>EL051</v>
      </c>
      <c r="R255" s="113" t="str">
        <f t="array" ref="R255">IFERROR(INDEX(ATTENDANCE_LOG!B:B,MATCH(1,(ATTENDANCE_LOG!C:C=A255)*(ATTENDANCE_LOG!F:F=MAXIFS(ATTENDANCE_LOG!F:F,ATTENDANCE_LOG!C:C,A255)),0)),"")</f>
        <v>Communication 1</v>
      </c>
      <c r="S255" s="113">
        <f>IFERROR(VLOOKUP(H255, LEVEL_HELPER!A:B, 2, 0), 0)</f>
        <v>0.5</v>
      </c>
      <c r="T255" s="113">
        <f>IFERROR(VLOOKUP(I255, LEVEL_HELPER!A:B, 2, 0), 0)</f>
        <v>0.5</v>
      </c>
      <c r="U255" s="113">
        <f t="shared" ref="U255:V255" si="259">IF(S255="",0,IF(S255&lt;=2,1,IF(S255&lt;=4,2,IF(S255&lt;=5.5,3,4))))
</f>
        <v>1</v>
      </c>
      <c r="V255" s="113">
        <f t="shared" si="259"/>
        <v>1</v>
      </c>
      <c r="W255" s="113" t="str">
        <f t="shared" si="6"/>
        <v>No Progress</v>
      </c>
      <c r="X255" s="113"/>
      <c r="Y255" s="113"/>
      <c r="Z255" s="113"/>
      <c r="AA255" s="113"/>
      <c r="AB255" s="116"/>
      <c r="AC255" s="116"/>
      <c r="AD255" s="117"/>
    </row>
    <row r="256" ht="15.75" customHeight="1">
      <c r="A256" s="104" t="s">
        <v>713</v>
      </c>
      <c r="B256" s="105" t="s">
        <v>714</v>
      </c>
      <c r="C256" s="106" t="str">
        <f>IFERROR(__xludf.DUMMYFUNCTION("arrayformula(VLOOKUP(to_Text(A256),to_Text(sheet2!$A$1:M1005),13,0))"),"TBU")</f>
        <v>TBU</v>
      </c>
      <c r="D256" s="107" t="str">
        <f>IFERROR(__xludf.DUMMYFUNCTION("arrayformula(VLOOKUP(to_Text(A256),to_Text(sheet2!$A$1:M1005),12,0))"),"GSD")</f>
        <v>GSD</v>
      </c>
      <c r="E256" s="108" t="str">
        <f t="shared" si="2"/>
        <v>Active</v>
      </c>
      <c r="F256" s="104" t="str">
        <f t="array" ref="F256">IFERROR(
  INDEX(ATTENDANCE_INPUT!D:D,
    MATCH(1,
      (ATTENDANCE_INPUT!A:A=A256) *
      (ATTENDANCE_INPUT!W:W=MAXIFS(ATTENDANCE_INPUT!W:W, ATTENDANCE_INPUT!A:A, A256)),
      0)),
  "")</f>
        <v>Trang Nguyen</v>
      </c>
      <c r="G256" s="109" t="str">
        <f t="array" ref="G256">IFERROR(
  INDEX(ATTENDANCE_INPUT!E:E,
    MATCH(1,
      (ATTENDANCE_INPUT!A:A=A256) *
      (ATTENDANCE_INPUT!W:W=MAXIFS(ATTENDANCE_INPUT!W:W, ATTENDANCE_INPUT!A:A, A256)),
      0)),
  "")</f>
        <v>Communication 1</v>
      </c>
      <c r="H256" s="110" t="str">
        <f t="array" ref="H256">IF(ISNA(MATCH(A256,sheet2!A:A,0)),"⏳ Chưa test",IFERROR(INDEX(LEVEL_HELPER!A:A,MATCH(INDEX(sheet2!N:N,MATCH(A256,sheet2!A:A,0)),LEVEL_HELPER!B:B,0)),"⏳ Chưa test"))</f>
        <v>Foundation</v>
      </c>
      <c r="I256" s="110" t="str">
        <f t="array" ref="I256">IF(ISNA(MATCH(A256,sheet2!A:A,0)),H256,IF(INDEX(sheet2!O:O,MATCH(A256,sheet2!A:A,0))&gt;0,IFERROR(INDEX(LEVEL_HELPER!A:A,MATCH(INDEX(sheet2!O:O,MATCH(A256,sheet2!A:A,0)),LEVEL_HELPER!B:B,0)),H256),H256))</f>
        <v>Beginner</v>
      </c>
      <c r="J256" s="110">
        <f>IFERROR(MAXIFS(ATTENDANCE_LOG!F:F, ATTENDANCE_LOG!C:C, A256&amp;"", ATTENDANCE_LOG!G:G, "Present"), "")</f>
        <v>46203.58333</v>
      </c>
      <c r="K256" s="111">
        <f t="shared" si="3"/>
        <v>9.416666667</v>
      </c>
      <c r="L256" s="112" t="str">
        <f t="shared" si="4"/>
        <v/>
      </c>
      <c r="M256" s="113"/>
      <c r="N256" s="114"/>
      <c r="O256" s="113"/>
      <c r="P256" s="115">
        <f>IFERROR(__xludf.DUMMYFUNCTION("IFERROR(COUNTUNIQUEIFS(ATTENDANCE_LOG!B:B,ATTENDANCE_LOG!C:C,A256),0)"),2.0)</f>
        <v>2</v>
      </c>
      <c r="Q256" s="113" t="str">
        <f t="array" ref="Q256">IFERROR(INDEX(ATTENDANCE_LOG!A:A,MATCH(1,(ATTENDANCE_LOG!C:C=A256)*(ATTENDANCE_LOG!F:F=MAXIFS(ATTENDANCE_LOG!F:F,ATTENDANCE_LOG!C:C,A256)),0)),"")</f>
        <v>EL051</v>
      </c>
      <c r="R256" s="113" t="str">
        <f t="array" ref="R256">IFERROR(INDEX(ATTENDANCE_LOG!B:B,MATCH(1,(ATTENDANCE_LOG!C:C=A256)*(ATTENDANCE_LOG!F:F=MAXIFS(ATTENDANCE_LOG!F:F,ATTENDANCE_LOG!C:C,A256)),0)),"")</f>
        <v>Communication 1</v>
      </c>
      <c r="S256" s="113">
        <f>IFERROR(VLOOKUP(H256, LEVEL_HELPER!A:B, 2, 0), 0)</f>
        <v>0.5</v>
      </c>
      <c r="T256" s="113">
        <f>IFERROR(VLOOKUP(I256, LEVEL_HELPER!A:B, 2, 0), 0)</f>
        <v>1</v>
      </c>
      <c r="U256" s="113">
        <f t="shared" ref="U256:V256" si="260">IF(S256="",0,IF(S256&lt;=2,1,IF(S256&lt;=4,2,IF(S256&lt;=5.5,3,4))))
</f>
        <v>1</v>
      </c>
      <c r="V256" s="113">
        <f t="shared" si="260"/>
        <v>1</v>
      </c>
      <c r="W256" s="113" t="str">
        <f t="shared" si="6"/>
        <v>Minor Improvement</v>
      </c>
      <c r="X256" s="113"/>
      <c r="Y256" s="113"/>
      <c r="Z256" s="113"/>
      <c r="AA256" s="113"/>
      <c r="AB256" s="116"/>
      <c r="AC256" s="116"/>
      <c r="AD256" s="117"/>
    </row>
    <row r="257" ht="15.75" customHeight="1">
      <c r="A257" s="104" t="s">
        <v>715</v>
      </c>
      <c r="B257" s="105" t="s">
        <v>716</v>
      </c>
      <c r="C257" s="106" t="str">
        <f>IFERROR(__xludf.DUMMYFUNCTION("arrayformula(VLOOKUP(to_Text(A257),to_Text(sheet2!$A$1:M1005),13,0))"),"POC")</f>
        <v>POC</v>
      </c>
      <c r="D257" s="107" t="str">
        <f>IFERROR(__xludf.DUMMYFUNCTION("arrayformula(VLOOKUP(to_Text(A257),to_Text(sheet2!$A$1:M1005),12,0))"),"GSD")</f>
        <v>GSD</v>
      </c>
      <c r="E257" s="108" t="str">
        <f t="shared" si="2"/>
        <v>Active</v>
      </c>
      <c r="F257" s="104" t="str">
        <f t="array" ref="F257">IFERROR(
  INDEX(ATTENDANCE_INPUT!D:D,
    MATCH(1,
      (ATTENDANCE_INPUT!A:A=A257) *
      (ATTENDANCE_INPUT!W:W=MAXIFS(ATTENDANCE_INPUT!W:W, ATTENDANCE_INPUT!A:A, A257)),
      0)),
  "")</f>
        <v>Trang Nguyen</v>
      </c>
      <c r="G257" s="109" t="str">
        <f t="array" ref="G257">IFERROR(
  INDEX(ATTENDANCE_INPUT!E:E,
    MATCH(1,
      (ATTENDANCE_INPUT!A:A=A257) *
      (ATTENDANCE_INPUT!W:W=MAXIFS(ATTENDANCE_INPUT!W:W, ATTENDANCE_INPUT!A:A, A257)),
      0)),
  "")</f>
        <v>Communication 1</v>
      </c>
      <c r="H257" s="110" t="str">
        <f t="array" ref="H257">IF(ISNA(MATCH(A257,sheet2!A:A,0)),"⏳ Chưa test",IFERROR(INDEX(LEVEL_HELPER!A:A,MATCH(INDEX(sheet2!N:N,MATCH(A257,sheet2!A:A,0)),LEVEL_HELPER!B:B,0)),"⏳ Chưa test"))</f>
        <v>Foundation</v>
      </c>
      <c r="I257" s="110" t="str">
        <f t="array" ref="I257">IF(ISNA(MATCH(A257,sheet2!A:A,0)),H257,IF(INDEX(sheet2!O:O,MATCH(A257,sheet2!A:A,0))&gt;0,IFERROR(INDEX(LEVEL_HELPER!A:A,MATCH(INDEX(sheet2!O:O,MATCH(A257,sheet2!A:A,0)),LEVEL_HELPER!B:B,0)),H257),H257))</f>
        <v>Foundation</v>
      </c>
      <c r="J257" s="110">
        <f>IFERROR(MAXIFS(ATTENDANCE_LOG!F:F, ATTENDANCE_LOG!C:C, A257&amp;"", ATTENDANCE_LOG!G:G, "Present"), "")</f>
        <v>46189.58333</v>
      </c>
      <c r="K257" s="111">
        <f t="shared" si="3"/>
        <v>23.41666667</v>
      </c>
      <c r="L257" s="112" t="str">
        <f t="shared" si="4"/>
        <v/>
      </c>
      <c r="M257" s="113"/>
      <c r="N257" s="114"/>
      <c r="O257" s="113"/>
      <c r="P257" s="115">
        <f>IFERROR(__xludf.DUMMYFUNCTION("IFERROR(COUNTUNIQUEIFS(ATTENDANCE_LOG!B:B,ATTENDANCE_LOG!C:C,A257),0)"),2.0)</f>
        <v>2</v>
      </c>
      <c r="Q257" s="113" t="str">
        <f t="array" ref="Q257">IFERROR(INDEX(ATTENDANCE_LOG!A:A,MATCH(1,(ATTENDANCE_LOG!C:C=A257)*(ATTENDANCE_LOG!F:F=MAXIFS(ATTENDANCE_LOG!F:F,ATTENDANCE_LOG!C:C,A257)),0)),"")</f>
        <v>EL051</v>
      </c>
      <c r="R257" s="113" t="str">
        <f t="array" ref="R257">IFERROR(INDEX(ATTENDANCE_LOG!B:B,MATCH(1,(ATTENDANCE_LOG!C:C=A257)*(ATTENDANCE_LOG!F:F=MAXIFS(ATTENDANCE_LOG!F:F,ATTENDANCE_LOG!C:C,A257)),0)),"")</f>
        <v>Communication 1</v>
      </c>
      <c r="S257" s="113">
        <f>IFERROR(VLOOKUP(H257, LEVEL_HELPER!A:B, 2, 0), 0)</f>
        <v>0.5</v>
      </c>
      <c r="T257" s="113">
        <f>IFERROR(VLOOKUP(I257, LEVEL_HELPER!A:B, 2, 0), 0)</f>
        <v>0.5</v>
      </c>
      <c r="U257" s="113">
        <f t="shared" ref="U257:V257" si="261">IF(S257="",0,IF(S257&lt;=2,1,IF(S257&lt;=4,2,IF(S257&lt;=5.5,3,4))))
</f>
        <v>1</v>
      </c>
      <c r="V257" s="113">
        <f t="shared" si="261"/>
        <v>1</v>
      </c>
      <c r="W257" s="113" t="str">
        <f t="shared" si="6"/>
        <v>No Progress</v>
      </c>
      <c r="X257" s="113"/>
      <c r="Y257" s="113"/>
      <c r="Z257" s="113"/>
      <c r="AA257" s="113"/>
      <c r="AB257" s="116"/>
      <c r="AC257" s="116"/>
      <c r="AD257" s="117"/>
    </row>
    <row r="258" ht="15.75" customHeight="1">
      <c r="A258" s="104" t="s">
        <v>717</v>
      </c>
      <c r="B258" s="105" t="s">
        <v>718</v>
      </c>
      <c r="C258" s="106" t="str">
        <f>IFERROR(__xludf.DUMMYFUNCTION("arrayformula(VLOOKUP(to_Text(A258),to_Text(sheet2!$A$1:M1005),13,0))"),"MOC")</f>
        <v>MOC</v>
      </c>
      <c r="D258" s="107" t="str">
        <f>IFERROR(__xludf.DUMMYFUNCTION("arrayformula(VLOOKUP(to_Text(A258),to_Text(sheet2!$A$1:M1005),12,0))"),"DEV")</f>
        <v>DEV</v>
      </c>
      <c r="E258" s="108" t="str">
        <f t="shared" si="2"/>
        <v>Active</v>
      </c>
      <c r="F258" s="104" t="str">
        <f t="array" ref="F258">IFERROR(
  INDEX(ATTENDANCE_INPUT!D:D,
    MATCH(1,
      (ATTENDANCE_INPUT!A:A=A258) *
      (ATTENDANCE_INPUT!W:W=MAXIFS(ATTENDANCE_INPUT!W:W, ATTENDANCE_INPUT!A:A, A258)),
      0)),
  "")</f>
        <v>Van Nguyen</v>
      </c>
      <c r="G258" s="109" t="str">
        <f t="array" ref="G258">IFERROR(
  INDEX(ATTENDANCE_INPUT!E:E,
    MATCH(1,
      (ATTENDANCE_INPUT!A:A=A258) *
      (ATTENDANCE_INPUT!W:W=MAXIFS(ATTENDANCE_INPUT!W:W, ATTENDANCE_INPUT!A:A, A258)),
      0)),
  "")</f>
        <v>Business English</v>
      </c>
      <c r="H258" s="110" t="str">
        <f t="array" ref="H258">IF(ISNA(MATCH(A258,sheet2!A:A,0)),"⏳ Chưa test",IFERROR(INDEX(LEVEL_HELPER!A:A,MATCH(INDEX(sheet2!N:N,MATCH(A258,sheet2!A:A,0)),LEVEL_HELPER!B:B,0)),"⏳ Chưa test"))</f>
        <v>Beginner</v>
      </c>
      <c r="I258" s="110" t="str">
        <f t="array" ref="I258">IF(ISNA(MATCH(A258,sheet2!A:A,0)),H258,IF(INDEX(sheet2!O:O,MATCH(A258,sheet2!A:A,0))&gt;0,IFERROR(INDEX(LEVEL_HELPER!A:A,MATCH(INDEX(sheet2!O:O,MATCH(A258,sheet2!A:A,0)),LEVEL_HELPER!B:B,0)),H258),H258))</f>
        <v>Intermediate 1</v>
      </c>
      <c r="J258" s="110">
        <f>IFERROR(MAXIFS(ATTENDANCE_LOG!F:F, ATTENDANCE_LOG!C:C, A258&amp;"", ATTENDANCE_LOG!G:G, "Present"), "")</f>
        <v>46211.625</v>
      </c>
      <c r="K258" s="111">
        <f t="shared" si="3"/>
        <v>1.375</v>
      </c>
      <c r="L258" s="112" t="str">
        <f t="shared" si="4"/>
        <v/>
      </c>
      <c r="M258" s="113"/>
      <c r="N258" s="114"/>
      <c r="O258" s="139"/>
      <c r="P258" s="115">
        <f>IFERROR(__xludf.DUMMYFUNCTION("IFERROR(COUNTUNIQUEIFS(ATTENDANCE_LOG!B:B,ATTENDANCE_LOG!C:C,A258),0)"),3.0)</f>
        <v>3</v>
      </c>
      <c r="Q258" s="113" t="str">
        <f t="array" ref="Q258">IFERROR(INDEX(ATTENDANCE_LOG!A:A,MATCH(1,(ATTENDANCE_LOG!C:C=A258)*(ATTENDANCE_LOG!F:F=MAXIFS(ATTENDANCE_LOG!F:F,ATTENDANCE_LOG!C:C,A258)),0)),"")</f>
        <v>EL035</v>
      </c>
      <c r="R258" s="113" t="str">
        <f t="array" ref="R258">IFERROR(INDEX(ATTENDANCE_LOG!B:B,MATCH(1,(ATTENDANCE_LOG!C:C=A258)*(ATTENDANCE_LOG!F:F=MAXIFS(ATTENDANCE_LOG!F:F,ATTENDANCE_LOG!C:C,A258)),0)),"")</f>
        <v>Business English</v>
      </c>
      <c r="S258" s="113">
        <f>IFERROR(VLOOKUP(H258, LEVEL_HELPER!A:B, 2, 0), 0)</f>
        <v>1</v>
      </c>
      <c r="T258" s="113">
        <f>IFERROR(VLOOKUP(I258, LEVEL_HELPER!A:B, 2, 0), 0)</f>
        <v>5</v>
      </c>
      <c r="U258" s="113">
        <f t="shared" ref="U258:V258" si="262">IF(S258="",0,IF(S258&lt;=2,1,IF(S258&lt;=4,2,IF(S258&lt;=5.5,3,4))))
</f>
        <v>1</v>
      </c>
      <c r="V258" s="113">
        <f t="shared" si="262"/>
        <v>3</v>
      </c>
      <c r="W258" s="113" t="str">
        <f t="shared" si="6"/>
        <v>Lv1→Lv3 (multi)</v>
      </c>
      <c r="X258" s="139"/>
      <c r="Y258" s="139"/>
      <c r="Z258" s="139"/>
      <c r="AA258" s="139"/>
      <c r="AB258" s="102"/>
      <c r="AC258" s="102"/>
      <c r="AD258" s="103"/>
    </row>
    <row r="259" ht="15.75" customHeight="1">
      <c r="A259" s="104" t="s">
        <v>719</v>
      </c>
      <c r="B259" s="105" t="s">
        <v>720</v>
      </c>
      <c r="C259" s="106" t="str">
        <f>IFERROR(__xludf.DUMMYFUNCTION("arrayformula(VLOOKUP(to_Text(A259),to_Text(sheet2!$A$1:M1005),13,0))"),"MOC")</f>
        <v>MOC</v>
      </c>
      <c r="D259" s="107" t="str">
        <f>IFERROR(__xludf.DUMMYFUNCTION("arrayformula(VLOOKUP(to_Text(A259),to_Text(sheet2!$A$1:M1005),12,0))"),"DEV")</f>
        <v>DEV</v>
      </c>
      <c r="E259" s="108" t="str">
        <f t="shared" si="2"/>
        <v>Inactive</v>
      </c>
      <c r="F259" s="104" t="str">
        <f t="array" ref="F259">IFERROR(
  INDEX(ATTENDANCE_INPUT!D:D,
    MATCH(1,
      (ATTENDANCE_INPUT!A:A=A259) *
      (ATTENDANCE_INPUT!W:W=MAXIFS(ATTENDANCE_INPUT!W:W, ATTENDANCE_INPUT!A:A, A259)),
      0)),
  "")</f>
        <v>Van Nguyen</v>
      </c>
      <c r="G259" s="109" t="str">
        <f t="array" ref="G259">IFERROR(
  INDEX(ATTENDANCE_INPUT!E:E,
    MATCH(1,
      (ATTENDANCE_INPUT!A:A=A259) *
      (ATTENDANCE_INPUT!W:W=MAXIFS(ATTENDANCE_INPUT!W:W, ATTENDANCE_INPUT!A:A, A259)),
      0)),
  "")</f>
        <v>Business English</v>
      </c>
      <c r="H259" s="110" t="str">
        <f t="array" ref="H259">IF(ISNA(MATCH(A259,sheet2!A:A,0)),"⏳ Chưa test",IFERROR(INDEX(LEVEL_HELPER!A:A,MATCH(INDEX(sheet2!N:N,MATCH(A259,sheet2!A:A,0)),LEVEL_HELPER!B:B,0)),"⏳ Chưa test"))</f>
        <v>Beginner</v>
      </c>
      <c r="I259" s="110" t="str">
        <f t="array" ref="I259">IF(ISNA(MATCH(A259,sheet2!A:A,0)),H259,IF(INDEX(sheet2!O:O,MATCH(A259,sheet2!A:A,0))&gt;0,IFERROR(INDEX(LEVEL_HELPER!A:A,MATCH(INDEX(sheet2!O:O,MATCH(A259,sheet2!A:A,0)),LEVEL_HELPER!B:B,0)),H259),H259))</f>
        <v>Intermediate 1</v>
      </c>
      <c r="J259" s="110">
        <f>IFERROR(MAXIFS(ATTENDANCE_LOG!F:F, ATTENDANCE_LOG!C:C, A259&amp;"", ATTENDANCE_LOG!G:G, "Present"), "")</f>
        <v>46127.625</v>
      </c>
      <c r="K259" s="111">
        <f t="shared" si="3"/>
        <v>85.375</v>
      </c>
      <c r="L259" s="112" t="str">
        <f t="shared" si="4"/>
        <v>❌ Dropped</v>
      </c>
      <c r="M259" s="120" t="s">
        <v>37</v>
      </c>
      <c r="N259" s="126" t="s">
        <v>34</v>
      </c>
      <c r="O259" s="113"/>
      <c r="P259" s="115">
        <f>IFERROR(__xludf.DUMMYFUNCTION("IFERROR(COUNTUNIQUEIFS(ATTENDANCE_LOG!B:B,ATTENDANCE_LOG!C:C,A259),0)"),3.0)</f>
        <v>3</v>
      </c>
      <c r="Q259" s="113" t="str">
        <f t="array" ref="Q259">IFERROR(INDEX(ATTENDANCE_LOG!A:A,MATCH(1,(ATTENDANCE_LOG!C:C=A259)*(ATTENDANCE_LOG!F:F=MAXIFS(ATTENDANCE_LOG!F:F,ATTENDANCE_LOG!C:C,A259)),0)),"")</f>
        <v>EL035</v>
      </c>
      <c r="R259" s="113" t="str">
        <f t="array" ref="R259">IFERROR(INDEX(ATTENDANCE_LOG!B:B,MATCH(1,(ATTENDANCE_LOG!C:C=A259)*(ATTENDANCE_LOG!F:F=MAXIFS(ATTENDANCE_LOG!F:F,ATTENDANCE_LOG!C:C,A259)),0)),"")</f>
        <v>Business English</v>
      </c>
      <c r="S259" s="113">
        <f>IFERROR(VLOOKUP(H259, LEVEL_HELPER!A:B, 2, 0), 0)</f>
        <v>1</v>
      </c>
      <c r="T259" s="113">
        <f>IFERROR(VLOOKUP(I259, LEVEL_HELPER!A:B, 2, 0), 0)</f>
        <v>5</v>
      </c>
      <c r="U259" s="113">
        <f t="shared" ref="U259:V259" si="263">IF(S259="",0,IF(S259&lt;=2,1,IF(S259&lt;=4,2,IF(S259&lt;=5.5,3,4))))
</f>
        <v>1</v>
      </c>
      <c r="V259" s="113">
        <f t="shared" si="263"/>
        <v>3</v>
      </c>
      <c r="W259" s="113" t="str">
        <f t="shared" si="6"/>
        <v>Lv1→Lv3 (multi)</v>
      </c>
      <c r="X259" s="113"/>
      <c r="Y259" s="113"/>
      <c r="Z259" s="113"/>
      <c r="AA259" s="113"/>
      <c r="AB259" s="116"/>
      <c r="AC259" s="116"/>
      <c r="AD259" s="117"/>
    </row>
    <row r="260" ht="15.75" customHeight="1">
      <c r="A260" s="104" t="s">
        <v>721</v>
      </c>
      <c r="B260" s="105" t="s">
        <v>722</v>
      </c>
      <c r="C260" s="106" t="str">
        <f>IFERROR(__xludf.DUMMYFUNCTION("arrayformula(VLOOKUP(to_Text(A260),to_Text(sheet2!$A$1:M1005),13,0))"),"MOC")</f>
        <v>MOC</v>
      </c>
      <c r="D260" s="107" t="str">
        <f>IFERROR(__xludf.DUMMYFUNCTION("arrayformula(VLOOKUP(to_Text(A260),to_Text(sheet2!$A$1:M1005),12,0))"),"DEV")</f>
        <v>DEV</v>
      </c>
      <c r="E260" s="108" t="str">
        <f t="shared" si="2"/>
        <v>Active</v>
      </c>
      <c r="F260" s="104" t="str">
        <f t="array" ref="F260">IFERROR(
  INDEX(ATTENDANCE_INPUT!D:D,
    MATCH(1,
      (ATTENDANCE_INPUT!A:A=A260) *
      (ATTENDANCE_INPUT!W:W=MAXIFS(ATTENDANCE_INPUT!W:W, ATTENDANCE_INPUT!A:A, A260)),
      0)),
  "")</f>
        <v>Van Nguyen</v>
      </c>
      <c r="G260" s="109" t="str">
        <f t="array" ref="G260">IFERROR(
  INDEX(ATTENDANCE_INPUT!E:E,
    MATCH(1,
      (ATTENDANCE_INPUT!A:A=A260) *
      (ATTENDANCE_INPUT!W:W=MAXIFS(ATTENDANCE_INPUT!W:W, ATTENDANCE_INPUT!A:A, A260)),
      0)),
  "")</f>
        <v>Business English</v>
      </c>
      <c r="H260" s="110" t="str">
        <f t="array" ref="H260">IF(ISNA(MATCH(A260,sheet2!A:A,0)),"⏳ Chưa test",IFERROR(INDEX(LEVEL_HELPER!A:A,MATCH(INDEX(sheet2!N:N,MATCH(A260,sheet2!A:A,0)),LEVEL_HELPER!B:B,0)),"⏳ Chưa test"))</f>
        <v>Beginner</v>
      </c>
      <c r="I260" s="110" t="str">
        <f t="array" ref="I260">IF(ISNA(MATCH(A260,sheet2!A:A,0)),H260,IF(INDEX(sheet2!O:O,MATCH(A260,sheet2!A:A,0))&gt;0,IFERROR(INDEX(LEVEL_HELPER!A:A,MATCH(INDEX(sheet2!O:O,MATCH(A260,sheet2!A:A,0)),LEVEL_HELPER!B:B,0)),H260),H260))</f>
        <v>Intermediate 1</v>
      </c>
      <c r="J260" s="110">
        <f>IFERROR(MAXIFS(ATTENDANCE_LOG!F:F, ATTENDANCE_LOG!C:C, A260&amp;"", ATTENDANCE_LOG!G:G, "Present"), "")</f>
        <v>46211.625</v>
      </c>
      <c r="K260" s="111">
        <f t="shared" si="3"/>
        <v>1.375</v>
      </c>
      <c r="L260" s="112" t="str">
        <f t="shared" si="4"/>
        <v/>
      </c>
      <c r="M260" s="113"/>
      <c r="N260" s="114"/>
      <c r="O260" s="113"/>
      <c r="P260" s="115">
        <f>IFERROR(__xludf.DUMMYFUNCTION("IFERROR(COUNTUNIQUEIFS(ATTENDANCE_LOG!B:B,ATTENDANCE_LOG!C:C,A260),0)"),3.0)</f>
        <v>3</v>
      </c>
      <c r="Q260" s="113" t="str">
        <f t="array" ref="Q260">IFERROR(INDEX(ATTENDANCE_LOG!A:A,MATCH(1,(ATTENDANCE_LOG!C:C=A260)*(ATTENDANCE_LOG!F:F=MAXIFS(ATTENDANCE_LOG!F:F,ATTENDANCE_LOG!C:C,A260)),0)),"")</f>
        <v>EL035</v>
      </c>
      <c r="R260" s="113" t="str">
        <f t="array" ref="R260">IFERROR(INDEX(ATTENDANCE_LOG!B:B,MATCH(1,(ATTENDANCE_LOG!C:C=A260)*(ATTENDANCE_LOG!F:F=MAXIFS(ATTENDANCE_LOG!F:F,ATTENDANCE_LOG!C:C,A260)),0)),"")</f>
        <v>Business English</v>
      </c>
      <c r="S260" s="113">
        <f>IFERROR(VLOOKUP(H260, LEVEL_HELPER!A:B, 2, 0), 0)</f>
        <v>1</v>
      </c>
      <c r="T260" s="113">
        <f>IFERROR(VLOOKUP(I260, LEVEL_HELPER!A:B, 2, 0), 0)</f>
        <v>5</v>
      </c>
      <c r="U260" s="113">
        <f t="shared" ref="U260:V260" si="264">IF(S260="",0,IF(S260&lt;=2,1,IF(S260&lt;=4,2,IF(S260&lt;=5.5,3,4))))
</f>
        <v>1</v>
      </c>
      <c r="V260" s="113">
        <f t="shared" si="264"/>
        <v>3</v>
      </c>
      <c r="W260" s="113" t="str">
        <f t="shared" si="6"/>
        <v>Lv1→Lv3 (multi)</v>
      </c>
      <c r="X260" s="113"/>
      <c r="Y260" s="113"/>
      <c r="Z260" s="113"/>
      <c r="AA260" s="113"/>
      <c r="AB260" s="116"/>
      <c r="AC260" s="116"/>
      <c r="AD260" s="117"/>
    </row>
    <row r="261" ht="15.75" customHeight="1">
      <c r="A261" s="104" t="s">
        <v>723</v>
      </c>
      <c r="B261" s="105" t="s">
        <v>724</v>
      </c>
      <c r="C261" s="106" t="str">
        <f>IFERROR(__xludf.DUMMYFUNCTION("arrayformula(VLOOKUP(to_Text(A261),to_Text(sheet2!$A$1:M1005),13,0))"),"MOC")</f>
        <v>MOC</v>
      </c>
      <c r="D261" s="107" t="str">
        <f>IFERROR(__xludf.DUMMYFUNCTION("arrayformula(VLOOKUP(to_Text(A261),to_Text(sheet2!$A$1:M1005),12,0))"),"DEV")</f>
        <v>DEV</v>
      </c>
      <c r="E261" s="108" t="str">
        <f t="shared" si="2"/>
        <v>Active</v>
      </c>
      <c r="F261" s="104" t="str">
        <f t="array" ref="F261">IFERROR(
  INDEX(ATTENDANCE_INPUT!D:D,
    MATCH(1,
      (ATTENDANCE_INPUT!A:A=A261) *
      (ATTENDANCE_INPUT!W:W=MAXIFS(ATTENDANCE_INPUT!W:W, ATTENDANCE_INPUT!A:A, A261)),
      0)),
  "")</f>
        <v>Van Nguyen</v>
      </c>
      <c r="G261" s="109" t="str">
        <f t="array" ref="G261">IFERROR(
  INDEX(ATTENDANCE_INPUT!E:E,
    MATCH(1,
      (ATTENDANCE_INPUT!A:A=A261) *
      (ATTENDANCE_INPUT!W:W=MAXIFS(ATTENDANCE_INPUT!W:W, ATTENDANCE_INPUT!A:A, A261)),
      0)),
  "")</f>
        <v>Business English</v>
      </c>
      <c r="H261" s="110" t="str">
        <f t="array" ref="H261">IF(ISNA(MATCH(A261,sheet2!A:A,0)),"⏳ Chưa test",IFERROR(INDEX(LEVEL_HELPER!A:A,MATCH(INDEX(sheet2!N:N,MATCH(A261,sheet2!A:A,0)),LEVEL_HELPER!B:B,0)),"⏳ Chưa test"))</f>
        <v>Beginner</v>
      </c>
      <c r="I261" s="110" t="str">
        <f t="array" ref="I261">IF(ISNA(MATCH(A261,sheet2!A:A,0)),H261,IF(INDEX(sheet2!O:O,MATCH(A261,sheet2!A:A,0))&gt;0,IFERROR(INDEX(LEVEL_HELPER!A:A,MATCH(INDEX(sheet2!O:O,MATCH(A261,sheet2!A:A,0)),LEVEL_HELPER!B:B,0)),H261),H261))</f>
        <v>Intermediate 1</v>
      </c>
      <c r="J261" s="110">
        <f>IFERROR(MAXIFS(ATTENDANCE_LOG!F:F, ATTENDANCE_LOG!C:C, A261&amp;"", ATTENDANCE_LOG!G:G, "Present"), "")</f>
        <v>46204.625</v>
      </c>
      <c r="K261" s="111">
        <f t="shared" si="3"/>
        <v>8.375</v>
      </c>
      <c r="L261" s="112" t="str">
        <f t="shared" si="4"/>
        <v/>
      </c>
      <c r="M261" s="113"/>
      <c r="N261" s="114"/>
      <c r="O261" s="113"/>
      <c r="P261" s="115">
        <f>IFERROR(__xludf.DUMMYFUNCTION("IFERROR(COUNTUNIQUEIFS(ATTENDANCE_LOG!B:B,ATTENDANCE_LOG!C:C,A261),0)"),3.0)</f>
        <v>3</v>
      </c>
      <c r="Q261" s="113" t="str">
        <f t="array" ref="Q261">IFERROR(INDEX(ATTENDANCE_LOG!A:A,MATCH(1,(ATTENDANCE_LOG!C:C=A261)*(ATTENDANCE_LOG!F:F=MAXIFS(ATTENDANCE_LOG!F:F,ATTENDANCE_LOG!C:C,A261)),0)),"")</f>
        <v>EL035</v>
      </c>
      <c r="R261" s="113" t="str">
        <f t="array" ref="R261">IFERROR(INDEX(ATTENDANCE_LOG!B:B,MATCH(1,(ATTENDANCE_LOG!C:C=A261)*(ATTENDANCE_LOG!F:F=MAXIFS(ATTENDANCE_LOG!F:F,ATTENDANCE_LOG!C:C,A261)),0)),"")</f>
        <v>Business English</v>
      </c>
      <c r="S261" s="113">
        <f>IFERROR(VLOOKUP(H261, LEVEL_HELPER!A:B, 2, 0), 0)</f>
        <v>1</v>
      </c>
      <c r="T261" s="113">
        <f>IFERROR(VLOOKUP(I261, LEVEL_HELPER!A:B, 2, 0), 0)</f>
        <v>5</v>
      </c>
      <c r="U261" s="113">
        <f t="shared" ref="U261:V261" si="265">IF(S261="",0,IF(S261&lt;=2,1,IF(S261&lt;=4,2,IF(S261&lt;=5.5,3,4))))
</f>
        <v>1</v>
      </c>
      <c r="V261" s="113">
        <f t="shared" si="265"/>
        <v>3</v>
      </c>
      <c r="W261" s="113" t="str">
        <f t="shared" si="6"/>
        <v>Lv1→Lv3 (multi)</v>
      </c>
      <c r="X261" s="113"/>
      <c r="Y261" s="113"/>
      <c r="Z261" s="113"/>
      <c r="AA261" s="113"/>
      <c r="AB261" s="116"/>
      <c r="AC261" s="116"/>
      <c r="AD261" s="117"/>
    </row>
    <row r="262" ht="15.75" customHeight="1">
      <c r="A262" s="104" t="s">
        <v>725</v>
      </c>
      <c r="B262" s="105" t="s">
        <v>726</v>
      </c>
      <c r="C262" s="106" t="str">
        <f>IFERROR(__xludf.DUMMYFUNCTION("arrayformula(VLOOKUP(to_Text(A262),to_Text(sheet2!$A$1:M1005),13,0))"),"MOC")</f>
        <v>MOC</v>
      </c>
      <c r="D262" s="107" t="str">
        <f>IFERROR(__xludf.DUMMYFUNCTION("arrayformula(VLOOKUP(to_Text(A262),to_Text(sheet2!$A$1:M1005),12,0))"),"DEV")</f>
        <v>DEV</v>
      </c>
      <c r="E262" s="108" t="str">
        <f t="shared" si="2"/>
        <v>Active</v>
      </c>
      <c r="F262" s="104" t="str">
        <f t="array" ref="F262">IFERROR(
  INDEX(ATTENDANCE_INPUT!D:D,
    MATCH(1,
      (ATTENDANCE_INPUT!A:A=A262) *
      (ATTENDANCE_INPUT!W:W=MAXIFS(ATTENDANCE_INPUT!W:W, ATTENDANCE_INPUT!A:A, A262)),
      0)),
  "")</f>
        <v>Van Nguyen</v>
      </c>
      <c r="G262" s="109" t="str">
        <f t="array" ref="G262">IFERROR(
  INDEX(ATTENDANCE_INPUT!E:E,
    MATCH(1,
      (ATTENDANCE_INPUT!A:A=A262) *
      (ATTENDANCE_INPUT!W:W=MAXIFS(ATTENDANCE_INPUT!W:W, ATTENDANCE_INPUT!A:A, A262)),
      0)),
  "")</f>
        <v>Business English</v>
      </c>
      <c r="H262" s="110" t="str">
        <f t="array" ref="H262">IF(ISNA(MATCH(A262,sheet2!A:A,0)),"⏳ Chưa test",IFERROR(INDEX(LEVEL_HELPER!A:A,MATCH(INDEX(sheet2!N:N,MATCH(A262,sheet2!A:A,0)),LEVEL_HELPER!B:B,0)),"⏳ Chưa test"))</f>
        <v>Beginner</v>
      </c>
      <c r="I262" s="110" t="str">
        <f t="array" ref="I262">IF(ISNA(MATCH(A262,sheet2!A:A,0)),H262,IF(INDEX(sheet2!O:O,MATCH(A262,sheet2!A:A,0))&gt;0,IFERROR(INDEX(LEVEL_HELPER!A:A,MATCH(INDEX(sheet2!O:O,MATCH(A262,sheet2!A:A,0)),LEVEL_HELPER!B:B,0)),H262),H262))</f>
        <v>Intermediate 1</v>
      </c>
      <c r="J262" s="110">
        <f>IFERROR(MAXIFS(ATTENDANCE_LOG!F:F, ATTENDANCE_LOG!C:C, A262&amp;"", ATTENDANCE_LOG!G:G, "Present"), "")</f>
        <v>46211.625</v>
      </c>
      <c r="K262" s="111">
        <f t="shared" si="3"/>
        <v>1.375</v>
      </c>
      <c r="L262" s="112" t="str">
        <f t="shared" si="4"/>
        <v/>
      </c>
      <c r="M262" s="113"/>
      <c r="N262" s="114"/>
      <c r="O262" s="113"/>
      <c r="P262" s="115">
        <f>IFERROR(__xludf.DUMMYFUNCTION("IFERROR(COUNTUNIQUEIFS(ATTENDANCE_LOG!B:B,ATTENDANCE_LOG!C:C,A262),0)"),3.0)</f>
        <v>3</v>
      </c>
      <c r="Q262" s="113" t="str">
        <f t="array" ref="Q262">IFERROR(INDEX(ATTENDANCE_LOG!A:A,MATCH(1,(ATTENDANCE_LOG!C:C=A262)*(ATTENDANCE_LOG!F:F=MAXIFS(ATTENDANCE_LOG!F:F,ATTENDANCE_LOG!C:C,A262)),0)),"")</f>
        <v>EL035</v>
      </c>
      <c r="R262" s="113" t="str">
        <f t="array" ref="R262">IFERROR(INDEX(ATTENDANCE_LOG!B:B,MATCH(1,(ATTENDANCE_LOG!C:C=A262)*(ATTENDANCE_LOG!F:F=MAXIFS(ATTENDANCE_LOG!F:F,ATTENDANCE_LOG!C:C,A262)),0)),"")</f>
        <v>Business English</v>
      </c>
      <c r="S262" s="113">
        <f>IFERROR(VLOOKUP(H262, LEVEL_HELPER!A:B, 2, 0), 0)</f>
        <v>1</v>
      </c>
      <c r="T262" s="113">
        <f>IFERROR(VLOOKUP(I262, LEVEL_HELPER!A:B, 2, 0), 0)</f>
        <v>5</v>
      </c>
      <c r="U262" s="113">
        <f t="shared" ref="U262:V262" si="266">IF(S262="",0,IF(S262&lt;=2,1,IF(S262&lt;=4,2,IF(S262&lt;=5.5,3,4))))
</f>
        <v>1</v>
      </c>
      <c r="V262" s="113">
        <f t="shared" si="266"/>
        <v>3</v>
      </c>
      <c r="W262" s="113" t="str">
        <f t="shared" si="6"/>
        <v>Lv1→Lv3 (multi)</v>
      </c>
      <c r="X262" s="113"/>
      <c r="Y262" s="113"/>
      <c r="Z262" s="113"/>
      <c r="AA262" s="113"/>
      <c r="AB262" s="116"/>
      <c r="AC262" s="116"/>
      <c r="AD262" s="117"/>
    </row>
    <row r="263" ht="15.75" customHeight="1">
      <c r="A263" s="104" t="s">
        <v>727</v>
      </c>
      <c r="B263" s="105" t="s">
        <v>728</v>
      </c>
      <c r="C263" s="106" t="str">
        <f>IFERROR(__xludf.DUMMYFUNCTION("arrayformula(VLOOKUP(to_Text(A263),to_Text(sheet2!$A$1:M1005),13,0))"),"MOC")</f>
        <v>MOC</v>
      </c>
      <c r="D263" s="107" t="str">
        <f>IFERROR(__xludf.DUMMYFUNCTION("arrayformula(VLOOKUP(to_Text(A263),to_Text(sheet2!$A$1:M1005),12,0))"),"DEV")</f>
        <v>DEV</v>
      </c>
      <c r="E263" s="108" t="str">
        <f t="shared" si="2"/>
        <v>Inactive</v>
      </c>
      <c r="F263" s="104" t="str">
        <f t="array" ref="F263">IFERROR(
  INDEX(ATTENDANCE_INPUT!D:D,
    MATCH(1,
      (ATTENDANCE_INPUT!A:A=A263) *
      (ATTENDANCE_INPUT!W:W=MAXIFS(ATTENDANCE_INPUT!W:W, ATTENDANCE_INPUT!A:A, A263)),
      0)),
  "")</f>
        <v>Van Nguyen</v>
      </c>
      <c r="G263" s="109" t="str">
        <f t="array" ref="G263">IFERROR(
  INDEX(ATTENDANCE_INPUT!E:E,
    MATCH(1,
      (ATTENDANCE_INPUT!A:A=A263) *
      (ATTENDANCE_INPUT!W:W=MAXIFS(ATTENDANCE_INPUT!W:W, ATTENDANCE_INPUT!A:A, A263)),
      0)),
  "")</f>
        <v>Business English</v>
      </c>
      <c r="H263" s="110" t="str">
        <f t="array" ref="H263">IF(ISNA(MATCH(A263,sheet2!A:A,0)),"⏳ Chưa test",IFERROR(INDEX(LEVEL_HELPER!A:A,MATCH(INDEX(sheet2!N:N,MATCH(A263,sheet2!A:A,0)),LEVEL_HELPER!B:B,0)),"⏳ Chưa test"))</f>
        <v>Not Placement</v>
      </c>
      <c r="I263" s="110" t="str">
        <f t="array" ref="I263">IF(ISNA(MATCH(A263,sheet2!A:A,0)),H263,IF(INDEX(sheet2!O:O,MATCH(A263,sheet2!A:A,0))&gt;0,IFERROR(INDEX(LEVEL_HELPER!A:A,MATCH(INDEX(sheet2!O:O,MATCH(A263,sheet2!A:A,0)),LEVEL_HELPER!B:B,0)),H263),H263))</f>
        <v>Intermediate 1</v>
      </c>
      <c r="J263" s="110">
        <f>IFERROR(MAXIFS(ATTENDANCE_LOG!F:F, ATTENDANCE_LOG!C:C, A263&amp;"", ATTENDANCE_LOG!G:G, "Present"), "")</f>
        <v>46086.45833</v>
      </c>
      <c r="K263" s="111">
        <f t="shared" si="3"/>
        <v>126.5416667</v>
      </c>
      <c r="L263" s="112" t="str">
        <f t="shared" si="4"/>
        <v>✅ Completed</v>
      </c>
      <c r="M263" s="113" t="s">
        <v>35</v>
      </c>
      <c r="N263" s="126" t="s">
        <v>34</v>
      </c>
      <c r="O263" s="113"/>
      <c r="P263" s="115">
        <f>IFERROR(__xludf.DUMMYFUNCTION("IFERROR(COUNTUNIQUEIFS(ATTENDANCE_LOG!B:B,ATTENDANCE_LOG!C:C,A263),0)"),3.0)</f>
        <v>3</v>
      </c>
      <c r="Q263" s="113" t="str">
        <f t="array" ref="Q263">IFERROR(INDEX(ATTENDANCE_LOG!A:A,MATCH(1,(ATTENDANCE_LOG!C:C=A263)*(ATTENDANCE_LOG!F:F=MAXIFS(ATTENDANCE_LOG!F:F,ATTENDANCE_LOG!C:C,A263)),0)),"")</f>
        <v>EL035</v>
      </c>
      <c r="R263" s="113" t="str">
        <f t="array" ref="R263">IFERROR(INDEX(ATTENDANCE_LOG!B:B,MATCH(1,(ATTENDANCE_LOG!C:C=A263)*(ATTENDANCE_LOG!F:F=MAXIFS(ATTENDANCE_LOG!F:F,ATTENDANCE_LOG!C:C,A263)),0)),"")</f>
        <v>Business English</v>
      </c>
      <c r="S263" s="113">
        <f>IFERROR(VLOOKUP(H263, LEVEL_HELPER!A:B, 2, 0), 0)</f>
        <v>0</v>
      </c>
      <c r="T263" s="113">
        <f>IFERROR(VLOOKUP(I263, LEVEL_HELPER!A:B, 2, 0), 0)</f>
        <v>5</v>
      </c>
      <c r="U263" s="113">
        <f t="shared" ref="U263:V263" si="267">IF(S263="",0,IF(S263&lt;=2,1,IF(S263&lt;=4,2,IF(S263&lt;=5.5,3,4))))
</f>
        <v>1</v>
      </c>
      <c r="V263" s="113">
        <f t="shared" si="267"/>
        <v>3</v>
      </c>
      <c r="W263" s="113" t="str">
        <f t="shared" si="6"/>
        <v>Not tested yet</v>
      </c>
      <c r="X263" s="113"/>
      <c r="Y263" s="113"/>
      <c r="Z263" s="113"/>
      <c r="AA263" s="113"/>
      <c r="AB263" s="102"/>
      <c r="AC263" s="102"/>
      <c r="AD263" s="103"/>
    </row>
    <row r="264" ht="15.75" customHeight="1">
      <c r="A264" s="104" t="s">
        <v>729</v>
      </c>
      <c r="B264" s="105" t="s">
        <v>730</v>
      </c>
      <c r="C264" s="106" t="str">
        <f>IFERROR(__xludf.DUMMYFUNCTION("arrayformula(VLOOKUP(to_Text(A264),to_Text(sheet2!$A$1:M1005),13,0))"),"MOC")</f>
        <v>MOC</v>
      </c>
      <c r="D264" s="107" t="str">
        <f>IFERROR(__xludf.DUMMYFUNCTION("arrayformula(VLOOKUP(to_Text(A264),to_Text(sheet2!$A$1:M1005),12,0))"),"DEV")</f>
        <v>DEV</v>
      </c>
      <c r="E264" s="108" t="str">
        <f t="shared" si="2"/>
        <v>Inactive</v>
      </c>
      <c r="F264" s="104" t="str">
        <f t="array" ref="F264">IFERROR(
  INDEX(ATTENDANCE_INPUT!D:D,
    MATCH(1,
      (ATTENDANCE_INPUT!A:A=A264) *
      (ATTENDANCE_INPUT!W:W=MAXIFS(ATTENDANCE_INPUT!W:W, ATTENDANCE_INPUT!A:A, A264)),
      0)),
  "")</f>
        <v>Van Nguyen</v>
      </c>
      <c r="G264" s="109" t="str">
        <f t="array" ref="G264">IFERROR(
  INDEX(ATTENDANCE_INPUT!E:E,
    MATCH(1,
      (ATTENDANCE_INPUT!A:A=A264) *
      (ATTENDANCE_INPUT!W:W=MAXIFS(ATTENDANCE_INPUT!W:W, ATTENDANCE_INPUT!A:A, A264)),
      0)),
  "")</f>
        <v>Communication 2</v>
      </c>
      <c r="H264" s="110" t="str">
        <f t="array" ref="H264">IF(ISNA(MATCH(A264,sheet2!A:A,0)),"⏳ Chưa test",IFERROR(INDEX(LEVEL_HELPER!A:A,MATCH(INDEX(sheet2!N:N,MATCH(A264,sheet2!A:A,0)),LEVEL_HELPER!B:B,0)),"⏳ Chưa test"))</f>
        <v>Beginner</v>
      </c>
      <c r="I264" s="110" t="str">
        <f t="array" ref="I264">IF(ISNA(MATCH(A264,sheet2!A:A,0)),H264,IF(INDEX(sheet2!O:O,MATCH(A264,sheet2!A:A,0))&gt;0,IFERROR(INDEX(LEVEL_HELPER!A:A,MATCH(INDEX(sheet2!O:O,MATCH(A264,sheet2!A:A,0)),LEVEL_HELPER!B:B,0)),H264),H264))</f>
        <v>Pre-Intermediate</v>
      </c>
      <c r="J264" s="110">
        <f>IFERROR(MAXIFS(ATTENDANCE_LOG!F:F, ATTENDANCE_LOG!C:C, A264&amp;"", ATTENDANCE_LOG!G:G, "Present"), "")</f>
        <v>45974.45833</v>
      </c>
      <c r="K264" s="111">
        <f t="shared" si="3"/>
        <v>238.5416667</v>
      </c>
      <c r="L264" s="112" t="str">
        <f t="shared" si="4"/>
        <v>✅ Completed</v>
      </c>
      <c r="M264" s="113" t="s">
        <v>35</v>
      </c>
      <c r="N264" s="114" t="s">
        <v>34</v>
      </c>
      <c r="O264" s="113"/>
      <c r="P264" s="115">
        <f>IFERROR(__xludf.DUMMYFUNCTION("IFERROR(COUNTUNIQUEIFS(ATTENDANCE_LOG!B:B,ATTENDANCE_LOG!C:C,A264),0)"),2.0)</f>
        <v>2</v>
      </c>
      <c r="Q264" s="113" t="str">
        <f t="array" ref="Q264">IFERROR(INDEX(ATTENDANCE_LOG!A:A,MATCH(1,(ATTENDANCE_LOG!C:C=A264)*(ATTENDANCE_LOG!F:F=MAXIFS(ATTENDANCE_LOG!F:F,ATTENDANCE_LOG!C:C,A264)),0)),"")</f>
        <v>EL035</v>
      </c>
      <c r="R264" s="113" t="str">
        <f t="array" ref="R264">IFERROR(INDEX(ATTENDANCE_LOG!B:B,MATCH(1,(ATTENDANCE_LOG!C:C=A264)*(ATTENDANCE_LOG!F:F=MAXIFS(ATTENDANCE_LOG!F:F,ATTENDANCE_LOG!C:C,A264)),0)),"")</f>
        <v>Communication 2</v>
      </c>
      <c r="S264" s="113">
        <f>IFERROR(VLOOKUP(H264, LEVEL_HELPER!A:B, 2, 0), 0)</f>
        <v>1</v>
      </c>
      <c r="T264" s="113">
        <f>IFERROR(VLOOKUP(I264, LEVEL_HELPER!A:B, 2, 0), 0)</f>
        <v>2.5</v>
      </c>
      <c r="U264" s="113">
        <f t="shared" ref="U264:V264" si="268">IF(S264="",0,IF(S264&lt;=2,1,IF(S264&lt;=4,2,IF(S264&lt;=5.5,3,4))))
</f>
        <v>1</v>
      </c>
      <c r="V264" s="113">
        <f t="shared" si="268"/>
        <v>2</v>
      </c>
      <c r="W264" s="113" t="str">
        <f t="shared" si="6"/>
        <v>Lv1→Lv2</v>
      </c>
      <c r="X264" s="113"/>
      <c r="Y264" s="113"/>
      <c r="Z264" s="113"/>
      <c r="AA264" s="113"/>
      <c r="AB264" s="116"/>
      <c r="AC264" s="116"/>
      <c r="AD264" s="117"/>
    </row>
    <row r="265" ht="15.75" customHeight="1">
      <c r="A265" s="104" t="s">
        <v>731</v>
      </c>
      <c r="B265" s="105" t="s">
        <v>732</v>
      </c>
      <c r="C265" s="106" t="str">
        <f>IFERROR(__xludf.DUMMYFUNCTION("arrayformula(VLOOKUP(to_Text(A265),to_Text(sheet2!$A$1:M1005),13,0))"),"MOC")</f>
        <v>MOC</v>
      </c>
      <c r="D265" s="107" t="str">
        <f>IFERROR(__xludf.DUMMYFUNCTION("arrayformula(VLOOKUP(to_Text(A265),to_Text(sheet2!$A$1:M1005),12,0))"),"DEV")</f>
        <v>DEV</v>
      </c>
      <c r="E265" s="108" t="str">
        <f t="shared" si="2"/>
        <v>Inactive</v>
      </c>
      <c r="F265" s="104" t="str">
        <f t="array" ref="F265">IFERROR(
  INDEX(ATTENDANCE_INPUT!D:D,
    MATCH(1,
      (ATTENDANCE_INPUT!A:A=A265) *
      (ATTENDANCE_INPUT!W:W=MAXIFS(ATTENDANCE_INPUT!W:W, ATTENDANCE_INPUT!A:A, A265)),
      0)),
  "")</f>
        <v>Van Nguyen</v>
      </c>
      <c r="G265" s="109" t="str">
        <f t="array" ref="G265">IFERROR(
  INDEX(ATTENDANCE_INPUT!E:E,
    MATCH(1,
      (ATTENDANCE_INPUT!A:A=A265) *
      (ATTENDANCE_INPUT!W:W=MAXIFS(ATTENDANCE_INPUT!W:W, ATTENDANCE_INPUT!A:A, A265)),
      0)),
  "")</f>
        <v>Communication 2</v>
      </c>
      <c r="H265" s="110" t="str">
        <f t="array" ref="H265">IF(ISNA(MATCH(A265,sheet2!A:A,0)),"⏳ Chưa test",IFERROR(INDEX(LEVEL_HELPER!A:A,MATCH(INDEX(sheet2!N:N,MATCH(A265,sheet2!A:A,0)),LEVEL_HELPER!B:B,0)),"⏳ Chưa test"))</f>
        <v>Foundation</v>
      </c>
      <c r="I265" s="110" t="str">
        <f t="array" ref="I265">IF(ISNA(MATCH(A265,sheet2!A:A,0)),H265,IF(INDEX(sheet2!O:O,MATCH(A265,sheet2!A:A,0))&gt;0,IFERROR(INDEX(LEVEL_HELPER!A:A,MATCH(INDEX(sheet2!O:O,MATCH(A265,sheet2!A:A,0)),LEVEL_HELPER!B:B,0)),H265),H265))</f>
        <v>Pre-Intermediate 2</v>
      </c>
      <c r="J265" s="110">
        <f>IFERROR(MAXIFS(ATTENDANCE_LOG!F:F, ATTENDANCE_LOG!C:C, A265&amp;"", ATTENDANCE_LOG!G:G, "Present"), "")</f>
        <v>46051.41667</v>
      </c>
      <c r="K265" s="111">
        <f t="shared" si="3"/>
        <v>161.5833333</v>
      </c>
      <c r="L265" s="112" t="str">
        <f t="shared" si="4"/>
        <v>✅ Completed</v>
      </c>
      <c r="M265" s="113" t="s">
        <v>35</v>
      </c>
      <c r="N265" s="114" t="s">
        <v>34</v>
      </c>
      <c r="O265" s="113"/>
      <c r="P265" s="115">
        <f>IFERROR(__xludf.DUMMYFUNCTION("IFERROR(COUNTUNIQUEIFS(ATTENDANCE_LOG!B:B,ATTENDANCE_LOG!C:C,A265),0)"),2.0)</f>
        <v>2</v>
      </c>
      <c r="Q265" s="113" t="str">
        <f t="array" ref="Q265">IFERROR(INDEX(ATTENDANCE_LOG!A:A,MATCH(1,(ATTENDANCE_LOG!C:C=A265)*(ATTENDANCE_LOG!F:F=MAXIFS(ATTENDANCE_LOG!F:F,ATTENDANCE_LOG!C:C,A265)),0)),"")</f>
        <v>EL035</v>
      </c>
      <c r="R265" s="113" t="str">
        <f t="array" ref="R265">IFERROR(INDEX(ATTENDANCE_LOG!B:B,MATCH(1,(ATTENDANCE_LOG!C:C=A265)*(ATTENDANCE_LOG!F:F=MAXIFS(ATTENDANCE_LOG!F:F,ATTENDANCE_LOG!C:C,A265)),0)),"")</f>
        <v>Communication 2</v>
      </c>
      <c r="S265" s="113">
        <f>IFERROR(VLOOKUP(H265, LEVEL_HELPER!A:B, 2, 0), 0)</f>
        <v>0.5</v>
      </c>
      <c r="T265" s="113">
        <f>IFERROR(VLOOKUP(I265, LEVEL_HELPER!A:B, 2, 0), 0)</f>
        <v>3.5</v>
      </c>
      <c r="U265" s="113">
        <f t="shared" ref="U265:V265" si="269">IF(S265="",0,IF(S265&lt;=2,1,IF(S265&lt;=4,2,IF(S265&lt;=5.5,3,4))))
</f>
        <v>1</v>
      </c>
      <c r="V265" s="113">
        <f t="shared" si="269"/>
        <v>2</v>
      </c>
      <c r="W265" s="113" t="str">
        <f t="shared" si="6"/>
        <v>Lv1→Lv2</v>
      </c>
      <c r="X265" s="113"/>
      <c r="Y265" s="113"/>
      <c r="Z265" s="113"/>
      <c r="AA265" s="113"/>
      <c r="AB265" s="116"/>
      <c r="AC265" s="116"/>
      <c r="AD265" s="117"/>
    </row>
    <row r="266" ht="15.75" customHeight="1">
      <c r="A266" s="104" t="s">
        <v>733</v>
      </c>
      <c r="B266" s="105" t="s">
        <v>734</v>
      </c>
      <c r="C266" s="106" t="str">
        <f>IFERROR(__xludf.DUMMYFUNCTION("arrayformula(VLOOKUP(to_Text(A266),to_Text(sheet2!$A$1:M1005),13,0))"),"MOC")</f>
        <v>MOC</v>
      </c>
      <c r="D266" s="107" t="str">
        <f>IFERROR(__xludf.DUMMYFUNCTION("arrayformula(VLOOKUP(to_Text(A266),to_Text(sheet2!$A$1:M1005),12,0))"),"DEV")</f>
        <v>DEV</v>
      </c>
      <c r="E266" s="108" t="str">
        <f t="shared" si="2"/>
        <v>Inactive</v>
      </c>
      <c r="F266" s="104" t="str">
        <f t="array" ref="F266">IFERROR(
  INDEX(ATTENDANCE_INPUT!D:D,
    MATCH(1,
      (ATTENDANCE_INPUT!A:A=A266) *
      (ATTENDANCE_INPUT!W:W=MAXIFS(ATTENDANCE_INPUT!W:W, ATTENDANCE_INPUT!A:A, A266)),
      0)),
  "")</f>
        <v>Van Nguyen</v>
      </c>
      <c r="G266" s="109" t="str">
        <f t="array" ref="G266">IFERROR(
  INDEX(ATTENDANCE_INPUT!E:E,
    MATCH(1,
      (ATTENDANCE_INPUT!A:A=A266) *
      (ATTENDANCE_INPUT!W:W=MAXIFS(ATTENDANCE_INPUT!W:W, ATTENDANCE_INPUT!A:A, A266)),
      0)),
  "")</f>
        <v>Communication 2</v>
      </c>
      <c r="H266" s="110" t="str">
        <f t="array" ref="H266">IF(ISNA(MATCH(A266,sheet2!A:A,0)),"⏳ Chưa test",IFERROR(INDEX(LEVEL_HELPER!A:A,MATCH(INDEX(sheet2!N:N,MATCH(A266,sheet2!A:A,0)),LEVEL_HELPER!B:B,0)),"⏳ Chưa test"))</f>
        <v>Beginner</v>
      </c>
      <c r="I266" s="110" t="str">
        <f t="array" ref="I266">IF(ISNA(MATCH(A266,sheet2!A:A,0)),H266,IF(INDEX(sheet2!O:O,MATCH(A266,sheet2!A:A,0))&gt;0,IFERROR(INDEX(LEVEL_HELPER!A:A,MATCH(INDEX(sheet2!O:O,MATCH(A266,sheet2!A:A,0)),LEVEL_HELPER!B:B,0)),H266),H266))</f>
        <v>Pre-Intermediate 1</v>
      </c>
      <c r="J266" s="110">
        <f>IFERROR(MAXIFS(ATTENDANCE_LOG!F:F, ATTENDANCE_LOG!C:C, A266&amp;"", ATTENDANCE_LOG!G:G, "Present"), "")</f>
        <v>45967.45833</v>
      </c>
      <c r="K266" s="111">
        <f t="shared" si="3"/>
        <v>245.5416667</v>
      </c>
      <c r="L266" s="112" t="str">
        <f t="shared" si="4"/>
        <v>❌ Dropped</v>
      </c>
      <c r="M266" s="113" t="s">
        <v>37</v>
      </c>
      <c r="N266" s="114" t="s">
        <v>34</v>
      </c>
      <c r="O266" s="113"/>
      <c r="P266" s="115">
        <f>IFERROR(__xludf.DUMMYFUNCTION("IFERROR(COUNTUNIQUEIFS(ATTENDANCE_LOG!B:B,ATTENDANCE_LOG!C:C,A266),0)"),2.0)</f>
        <v>2</v>
      </c>
      <c r="Q266" s="113" t="str">
        <f t="array" ref="Q266">IFERROR(INDEX(ATTENDANCE_LOG!A:A,MATCH(1,(ATTENDANCE_LOG!C:C=A266)*(ATTENDANCE_LOG!F:F=MAXIFS(ATTENDANCE_LOG!F:F,ATTENDANCE_LOG!C:C,A266)),0)),"")</f>
        <v>EL035</v>
      </c>
      <c r="R266" s="113" t="str">
        <f t="array" ref="R266">IFERROR(INDEX(ATTENDANCE_LOG!B:B,MATCH(1,(ATTENDANCE_LOG!C:C=A266)*(ATTENDANCE_LOG!F:F=MAXIFS(ATTENDANCE_LOG!F:F,ATTENDANCE_LOG!C:C,A266)),0)),"")</f>
        <v>Communication 2</v>
      </c>
      <c r="S266" s="113">
        <f>IFERROR(VLOOKUP(H266, LEVEL_HELPER!A:B, 2, 0), 0)</f>
        <v>1</v>
      </c>
      <c r="T266" s="113">
        <f>IFERROR(VLOOKUP(I266, LEVEL_HELPER!A:B, 2, 0), 0)</f>
        <v>3</v>
      </c>
      <c r="U266" s="113">
        <f t="shared" ref="U266:V266" si="270">IF(S266="",0,IF(S266&lt;=2,1,IF(S266&lt;=4,2,IF(S266&lt;=5.5,3,4))))
</f>
        <v>1</v>
      </c>
      <c r="V266" s="113">
        <f t="shared" si="270"/>
        <v>2</v>
      </c>
      <c r="W266" s="113" t="str">
        <f t="shared" si="6"/>
        <v>Lv1→Lv2</v>
      </c>
      <c r="X266" s="113"/>
      <c r="Y266" s="113"/>
      <c r="Z266" s="113"/>
      <c r="AA266" s="113"/>
      <c r="AB266" s="116"/>
      <c r="AC266" s="116"/>
      <c r="AD266" s="117"/>
    </row>
    <row r="267" ht="15.75" customHeight="1">
      <c r="A267" s="104" t="s">
        <v>735</v>
      </c>
      <c r="B267" s="105" t="s">
        <v>736</v>
      </c>
      <c r="C267" s="106" t="str">
        <f>IFERROR(__xludf.DUMMYFUNCTION("arrayformula(VLOOKUP(to_Text(A267),to_Text(sheet2!$A$1:M1005),13,0))"),"MOC")</f>
        <v>MOC</v>
      </c>
      <c r="D267" s="107" t="str">
        <f>IFERROR(__xludf.DUMMYFUNCTION("arrayformula(VLOOKUP(to_Text(A267),to_Text(sheet2!$A$1:M1005),12,0))"),"DEV")</f>
        <v>DEV</v>
      </c>
      <c r="E267" s="108" t="str">
        <f t="shared" si="2"/>
        <v>Inactive</v>
      </c>
      <c r="F267" s="104" t="str">
        <f t="array" ref="F267">IFERROR(
  INDEX(ATTENDANCE_INPUT!D:D,
    MATCH(1,
      (ATTENDANCE_INPUT!A:A=A267) *
      (ATTENDANCE_INPUT!W:W=MAXIFS(ATTENDANCE_INPUT!W:W, ATTENDANCE_INPUT!A:A, A267)),
      0)),
  "")</f>
        <v>Van Nguyen</v>
      </c>
      <c r="G267" s="109" t="str">
        <f t="array" ref="G267">IFERROR(
  INDEX(ATTENDANCE_INPUT!E:E,
    MATCH(1,
      (ATTENDANCE_INPUT!A:A=A267) *
      (ATTENDANCE_INPUT!W:W=MAXIFS(ATTENDANCE_INPUT!W:W, ATTENDANCE_INPUT!A:A, A267)),
      0)),
  "")</f>
        <v>Communication 1</v>
      </c>
      <c r="H267" s="110" t="str">
        <f t="array" ref="H267">IF(ISNA(MATCH(A267,sheet2!A:A,0)),"⏳ Chưa test",IFERROR(INDEX(LEVEL_HELPER!A:A,MATCH(INDEX(sheet2!N:N,MATCH(A267,sheet2!A:A,0)),LEVEL_HELPER!B:B,0)),"⏳ Chưa test"))</f>
        <v>Beginner</v>
      </c>
      <c r="I267" s="110" t="str">
        <f t="array" ref="I267">IF(ISNA(MATCH(A267,sheet2!A:A,0)),H267,IF(INDEX(sheet2!O:O,MATCH(A267,sheet2!A:A,0))&gt;0,IFERROR(INDEX(LEVEL_HELPER!A:A,MATCH(INDEX(sheet2!O:O,MATCH(A267,sheet2!A:A,0)),LEVEL_HELPER!B:B,0)),H267),H267))</f>
        <v>Pre-Intermediate 1</v>
      </c>
      <c r="J267" s="110">
        <f>IFERROR(MAXIFS(ATTENDANCE_LOG!F:F, ATTENDANCE_LOG!C:C, A267&amp;"", ATTENDANCE_LOG!G:G, "Present"), "")</f>
        <v>45868.54167</v>
      </c>
      <c r="K267" s="111">
        <f t="shared" si="3"/>
        <v>344.4583333</v>
      </c>
      <c r="L267" s="112" t="str">
        <f t="shared" si="4"/>
        <v>❌ Dropped</v>
      </c>
      <c r="M267" s="113" t="s">
        <v>37</v>
      </c>
      <c r="N267" s="114" t="s">
        <v>34</v>
      </c>
      <c r="O267" s="113"/>
      <c r="P267" s="115">
        <f>IFERROR(__xludf.DUMMYFUNCTION("IFERROR(COUNTUNIQUEIFS(ATTENDANCE_LOG!B:B,ATTENDANCE_LOG!C:C,A267),0)"),2.0)</f>
        <v>2</v>
      </c>
      <c r="Q267" s="113" t="str">
        <f t="array" ref="Q267">IFERROR(INDEX(ATTENDANCE_LOG!A:A,MATCH(1,(ATTENDANCE_LOG!C:C=A267)*(ATTENDANCE_LOG!F:F=MAXIFS(ATTENDANCE_LOG!F:F,ATTENDANCE_LOG!C:C,A267)),0)),"")</f>
        <v>EL035</v>
      </c>
      <c r="R267" s="113" t="str">
        <f t="array" ref="R267">IFERROR(INDEX(ATTENDANCE_LOG!B:B,MATCH(1,(ATTENDANCE_LOG!C:C=A267)*(ATTENDANCE_LOG!F:F=MAXIFS(ATTENDANCE_LOG!F:F,ATTENDANCE_LOG!C:C,A267)),0)),"")</f>
        <v>Communication 2</v>
      </c>
      <c r="S267" s="113">
        <f>IFERROR(VLOOKUP(H267, LEVEL_HELPER!A:B, 2, 0), 0)</f>
        <v>1</v>
      </c>
      <c r="T267" s="113">
        <f>IFERROR(VLOOKUP(I267, LEVEL_HELPER!A:B, 2, 0), 0)</f>
        <v>3</v>
      </c>
      <c r="U267" s="113">
        <f t="shared" ref="U267:V267" si="271">IF(S267="",0,IF(S267&lt;=2,1,IF(S267&lt;=4,2,IF(S267&lt;=5.5,3,4))))
</f>
        <v>1</v>
      </c>
      <c r="V267" s="113">
        <f t="shared" si="271"/>
        <v>2</v>
      </c>
      <c r="W267" s="113" t="str">
        <f t="shared" si="6"/>
        <v>Lv1→Lv2</v>
      </c>
      <c r="X267" s="113"/>
      <c r="Y267" s="113"/>
      <c r="Z267" s="113"/>
      <c r="AA267" s="113"/>
      <c r="AB267" s="116"/>
      <c r="AC267" s="116"/>
      <c r="AD267" s="117"/>
    </row>
    <row r="268" ht="15.75" customHeight="1">
      <c r="A268" s="104" t="s">
        <v>737</v>
      </c>
      <c r="B268" s="105" t="s">
        <v>738</v>
      </c>
      <c r="C268" s="106" t="str">
        <f>IFERROR(__xludf.DUMMYFUNCTION("arrayformula(VLOOKUP(to_Text(A268),to_Text(sheet2!$A$1:M1005),13,0))"),"MOC")</f>
        <v>MOC</v>
      </c>
      <c r="D268" s="107" t="str">
        <f>IFERROR(__xludf.DUMMYFUNCTION("arrayformula(VLOOKUP(to_Text(A268),to_Text(sheet2!$A$1:M1005),12,0))"),"BC")</f>
        <v>BC</v>
      </c>
      <c r="E268" s="108" t="str">
        <f t="shared" si="2"/>
        <v>Inactive</v>
      </c>
      <c r="F268" s="104" t="str">
        <f t="array" ref="F268">IFERROR(
  INDEX(ATTENDANCE_INPUT!D:D,
    MATCH(1,
      (ATTENDANCE_INPUT!A:A=A268) *
      (ATTENDANCE_INPUT!W:W=MAXIFS(ATTENDANCE_INPUT!W:W, ATTENDANCE_INPUT!A:A, A268)),
      0)),
  "")</f>
        <v>Van Nguyen</v>
      </c>
      <c r="G268" s="109" t="str">
        <f t="array" ref="G268">IFERROR(
  INDEX(ATTENDANCE_INPUT!E:E,
    MATCH(1,
      (ATTENDANCE_INPUT!A:A=A268) *
      (ATTENDANCE_INPUT!W:W=MAXIFS(ATTENDANCE_INPUT!W:W, ATTENDANCE_INPUT!A:A, A268)),
      0)),
  "")</f>
        <v>Business English</v>
      </c>
      <c r="H268" s="110" t="str">
        <f t="array" ref="H268">IF(ISNA(MATCH(A268,sheet2!A:A,0)),"⏳ Chưa test",IFERROR(INDEX(LEVEL_HELPER!A:A,MATCH(INDEX(sheet2!N:N,MATCH(A268,sheet2!A:A,0)),LEVEL_HELPER!B:B,0)),"⏳ Chưa test"))</f>
        <v>Beginner</v>
      </c>
      <c r="I268" s="110" t="str">
        <f t="array" ref="I268">IF(ISNA(MATCH(A268,sheet2!A:A,0)),H268,IF(INDEX(sheet2!O:O,MATCH(A268,sheet2!A:A,0))&gt;0,IFERROR(INDEX(LEVEL_HELPER!A:A,MATCH(INDEX(sheet2!O:O,MATCH(A268,sheet2!A:A,0)),LEVEL_HELPER!B:B,0)),H268),H268))</f>
        <v>Intermediate 1</v>
      </c>
      <c r="J268" s="110">
        <f>IFERROR(MAXIFS(ATTENDANCE_LOG!F:F, ATTENDANCE_LOG!C:C, A268&amp;"", ATTENDANCE_LOG!G:G, "Present"), "")</f>
        <v>46211.625</v>
      </c>
      <c r="K268" s="111">
        <f t="shared" si="3"/>
        <v>1.375</v>
      </c>
      <c r="L268" s="112" t="str">
        <f t="shared" si="4"/>
        <v>❌ Dropped</v>
      </c>
      <c r="M268" s="120" t="s">
        <v>37</v>
      </c>
      <c r="N268" s="126" t="s">
        <v>43</v>
      </c>
      <c r="O268" s="113"/>
      <c r="P268" s="115">
        <f>IFERROR(__xludf.DUMMYFUNCTION("IFERROR(COUNTUNIQUEIFS(ATTENDANCE_LOG!B:B,ATTENDANCE_LOG!C:C,A268),0)"),3.0)</f>
        <v>3</v>
      </c>
      <c r="Q268" s="113" t="str">
        <f t="array" ref="Q268">IFERROR(INDEX(ATTENDANCE_LOG!A:A,MATCH(1,(ATTENDANCE_LOG!C:C=A268)*(ATTENDANCE_LOG!F:F=MAXIFS(ATTENDANCE_LOG!F:F,ATTENDANCE_LOG!C:C,A268)),0)),"")</f>
        <v>EL035</v>
      </c>
      <c r="R268" s="113" t="str">
        <f t="array" ref="R268">IFERROR(INDEX(ATTENDANCE_LOG!B:B,MATCH(1,(ATTENDANCE_LOG!C:C=A268)*(ATTENDANCE_LOG!F:F=MAXIFS(ATTENDANCE_LOG!F:F,ATTENDANCE_LOG!C:C,A268)),0)),"")</f>
        <v>Business English</v>
      </c>
      <c r="S268" s="113">
        <f>IFERROR(VLOOKUP(H268, LEVEL_HELPER!A:B, 2, 0), 0)</f>
        <v>1</v>
      </c>
      <c r="T268" s="113">
        <f>IFERROR(VLOOKUP(I268, LEVEL_HELPER!A:B, 2, 0), 0)</f>
        <v>5</v>
      </c>
      <c r="U268" s="113">
        <f t="shared" ref="U268:V268" si="272">IF(S268="",0,IF(S268&lt;=2,1,IF(S268&lt;=4,2,IF(S268&lt;=5.5,3,4))))
</f>
        <v>1</v>
      </c>
      <c r="V268" s="113">
        <f t="shared" si="272"/>
        <v>3</v>
      </c>
      <c r="W268" s="113" t="str">
        <f t="shared" si="6"/>
        <v>Lv1→Lv3 (multi)</v>
      </c>
      <c r="X268" s="113"/>
      <c r="Y268" s="113"/>
      <c r="Z268" s="113"/>
      <c r="AA268" s="113"/>
      <c r="AB268" s="116"/>
      <c r="AC268" s="116"/>
      <c r="AD268" s="117"/>
    </row>
    <row r="269" ht="15.75" customHeight="1">
      <c r="A269" s="104" t="s">
        <v>739</v>
      </c>
      <c r="B269" s="105" t="s">
        <v>740</v>
      </c>
      <c r="C269" s="106" t="str">
        <f>IFERROR(__xludf.DUMMYFUNCTION("arrayformula(VLOOKUP(to_Text(A269),to_Text(sheet2!$A$1:M1005),13,0))"),"MOC")</f>
        <v>MOC</v>
      </c>
      <c r="D269" s="107" t="str">
        <f>IFERROR(__xludf.DUMMYFUNCTION("arrayformula(VLOOKUP(to_Text(A269),to_Text(sheet2!$A$1:M1005),12,0))"),"BC")</f>
        <v>BC</v>
      </c>
      <c r="E269" s="108" t="str">
        <f t="shared" si="2"/>
        <v>Inactive</v>
      </c>
      <c r="F269" s="104" t="str">
        <f t="array" ref="F269">IFERROR(
  INDEX(ATTENDANCE_INPUT!D:D,
    MATCH(1,
      (ATTENDANCE_INPUT!A:A=A269) *
      (ATTENDANCE_INPUT!W:W=MAXIFS(ATTENDANCE_INPUT!W:W, ATTENDANCE_INPUT!A:A, A269)),
      0)),
  "")</f>
        <v>Van Nguyen</v>
      </c>
      <c r="G269" s="109" t="str">
        <f t="array" ref="G269">IFERROR(
  INDEX(ATTENDANCE_INPUT!E:E,
    MATCH(1,
      (ATTENDANCE_INPUT!A:A=A269) *
      (ATTENDANCE_INPUT!W:W=MAXIFS(ATTENDANCE_INPUT!W:W, ATTENDANCE_INPUT!A:A, A269)),
      0)),
  "")</f>
        <v>Communication 2</v>
      </c>
      <c r="H269" s="110" t="str">
        <f t="array" ref="H269">IF(ISNA(MATCH(A269,sheet2!A:A,0)),"⏳ Chưa test",IFERROR(INDEX(LEVEL_HELPER!A:A,MATCH(INDEX(sheet2!N:N,MATCH(A269,sheet2!A:A,0)),LEVEL_HELPER!B:B,0)),"⏳ Chưa test"))</f>
        <v>Not Placement</v>
      </c>
      <c r="I269" s="110" t="str">
        <f t="array" ref="I269">IF(ISNA(MATCH(A269,sheet2!A:A,0)),H269,IF(INDEX(sheet2!O:O,MATCH(A269,sheet2!A:A,0))&gt;0,IFERROR(INDEX(LEVEL_HELPER!A:A,MATCH(INDEX(sheet2!O:O,MATCH(A269,sheet2!A:A,0)),LEVEL_HELPER!B:B,0)),H269),H269))</f>
        <v>Intermediate 1</v>
      </c>
      <c r="J269" s="110">
        <f>IFERROR(MAXIFS(ATTENDANCE_LOG!F:F, ATTENDANCE_LOG!C:C, A269&amp;"", ATTENDANCE_LOG!G:G, "Present"), "")</f>
        <v>46051.41667</v>
      </c>
      <c r="K269" s="111">
        <f t="shared" si="3"/>
        <v>161.5833333</v>
      </c>
      <c r="L269" s="112" t="str">
        <f t="shared" si="4"/>
        <v>❌ Dropped</v>
      </c>
      <c r="M269" s="113" t="s">
        <v>37</v>
      </c>
      <c r="N269" s="114" t="s">
        <v>34</v>
      </c>
      <c r="O269" s="113"/>
      <c r="P269" s="115">
        <f>IFERROR(__xludf.DUMMYFUNCTION("IFERROR(COUNTUNIQUEIFS(ATTENDANCE_LOG!B:B,ATTENDANCE_LOG!C:C,A269),0)"),2.0)</f>
        <v>2</v>
      </c>
      <c r="Q269" s="113" t="str">
        <f t="array" ref="Q269">IFERROR(INDEX(ATTENDANCE_LOG!A:A,MATCH(1,(ATTENDANCE_LOG!C:C=A269)*(ATTENDANCE_LOG!F:F=MAXIFS(ATTENDANCE_LOG!F:F,ATTENDANCE_LOG!C:C,A269)),0)),"")</f>
        <v>EL035</v>
      </c>
      <c r="R269" s="113" t="str">
        <f t="array" ref="R269">IFERROR(INDEX(ATTENDANCE_LOG!B:B,MATCH(1,(ATTENDANCE_LOG!C:C=A269)*(ATTENDANCE_LOG!F:F=MAXIFS(ATTENDANCE_LOG!F:F,ATTENDANCE_LOG!C:C,A269)),0)),"")</f>
        <v>Communication 2</v>
      </c>
      <c r="S269" s="113">
        <f>IFERROR(VLOOKUP(H269, LEVEL_HELPER!A:B, 2, 0), 0)</f>
        <v>0</v>
      </c>
      <c r="T269" s="113">
        <f>IFERROR(VLOOKUP(I269, LEVEL_HELPER!A:B, 2, 0), 0)</f>
        <v>5</v>
      </c>
      <c r="U269" s="113">
        <f t="shared" ref="U269:V269" si="273">IF(S269="",0,IF(S269&lt;=2,1,IF(S269&lt;=4,2,IF(S269&lt;=5.5,3,4))))
</f>
        <v>1</v>
      </c>
      <c r="V269" s="113">
        <f t="shared" si="273"/>
        <v>3</v>
      </c>
      <c r="W269" s="113" t="str">
        <f t="shared" si="6"/>
        <v>Not tested yet</v>
      </c>
      <c r="X269" s="113"/>
      <c r="Y269" s="113"/>
      <c r="Z269" s="113"/>
      <c r="AA269" s="113"/>
      <c r="AB269" s="116"/>
      <c r="AC269" s="116"/>
      <c r="AD269" s="117"/>
    </row>
    <row r="270" ht="15.75" customHeight="1">
      <c r="A270" s="122" t="s">
        <v>741</v>
      </c>
      <c r="B270" s="123" t="s">
        <v>742</v>
      </c>
      <c r="C270" s="106" t="str">
        <f>IFERROR(__xludf.DUMMYFUNCTION("arrayformula(VLOOKUP(to_Text(A270),to_Text(sheet2!$A$1:M1005),13,0))"),"LBU")</f>
        <v>LBU</v>
      </c>
      <c r="D270" s="107" t="str">
        <f>IFERROR(__xludf.DUMMYFUNCTION("arrayformula(VLOOKUP(to_Text(A270),to_Text(sheet2!$A$1:M1005),12,0))"),"GSD")</f>
        <v>GSD</v>
      </c>
      <c r="E270" s="108" t="str">
        <f t="shared" si="2"/>
        <v>Inactive</v>
      </c>
      <c r="F270" s="104" t="str">
        <f t="array" ref="F270">IFERROR(
  INDEX(ATTENDANCE_INPUT!D:D,
    MATCH(1,
      (ATTENDANCE_INPUT!A:A=A270) *
      (ATTENDANCE_INPUT!W:W=MAXIFS(ATTENDANCE_INPUT!W:W, ATTENDANCE_INPUT!A:A, A270)),
      0)),
  "")</f>
        <v>Vinh Nguyen</v>
      </c>
      <c r="G270" s="109" t="str">
        <f t="array" ref="G270">IFERROR(
  INDEX(ATTENDANCE_INPUT!E:E,
    MATCH(1,
      (ATTENDANCE_INPUT!A:A=A270) *
      (ATTENDANCE_INPUT!W:W=MAXIFS(ATTENDANCE_INPUT!W:W, ATTENDANCE_INPUT!A:A, A270)),
      0)),
  "")</f>
        <v>Communication 3</v>
      </c>
      <c r="H270" s="110" t="str">
        <f t="array" ref="H270">IF(ISNA(MATCH(A270,sheet2!A:A,0)),"⏳ Chưa test",IFERROR(INDEX(LEVEL_HELPER!A:A,MATCH(INDEX(sheet2!N:N,MATCH(A270,sheet2!A:A,0)),LEVEL_HELPER!B:B,0)),"⏳ Chưa test"))</f>
        <v>Beginner</v>
      </c>
      <c r="I270" s="110" t="str">
        <f t="array" ref="I270">IF(ISNA(MATCH(A270,sheet2!A:A,0)),H270,IF(INDEX(sheet2!O:O,MATCH(A270,sheet2!A:A,0))&gt;0,IFERROR(INDEX(LEVEL_HELPER!A:A,MATCH(INDEX(sheet2!O:O,MATCH(A270,sheet2!A:A,0)),LEVEL_HELPER!B:B,0)),H270),H270))</f>
        <v>Pre-Intermediate 2</v>
      </c>
      <c r="J270" s="124">
        <f>IFERROR(MAXIFS(ATTENDANCE_LOG!F:F, ATTENDANCE_LOG!C:C, A270&amp;"", ATTENDANCE_LOG!G:G, "Present"), "")</f>
        <v>46191.54167</v>
      </c>
      <c r="K270" s="111">
        <f t="shared" si="3"/>
        <v>21.45833333</v>
      </c>
      <c r="L270" s="112" t="str">
        <f t="shared" si="4"/>
        <v>✅ Completed</v>
      </c>
      <c r="M270" s="125" t="s">
        <v>35</v>
      </c>
      <c r="N270" s="114"/>
      <c r="O270" s="140"/>
      <c r="P270" s="115">
        <f>IFERROR(__xludf.DUMMYFUNCTION("IFERROR(COUNTUNIQUEIFS(ATTENDANCE_LOG!B:B,ATTENDANCE_LOG!C:C,A270),0)"),3.0)</f>
        <v>3</v>
      </c>
      <c r="Q270" s="113" t="str">
        <f t="array" ref="Q270">IFERROR(INDEX(ATTENDANCE_LOG!A:A,MATCH(1,(ATTENDANCE_LOG!C:C=A270)*(ATTENDANCE_LOG!F:F=MAXIFS(ATTENDANCE_LOG!F:F,ATTENDANCE_LOG!C:C,A270)),0)),"")</f>
        <v>EL027</v>
      </c>
      <c r="R270" s="113" t="str">
        <f t="array" ref="R270">IFERROR(INDEX(ATTENDANCE_LOG!B:B,MATCH(1,(ATTENDANCE_LOG!C:C=A270)*(ATTENDANCE_LOG!F:F=MAXIFS(ATTENDANCE_LOG!F:F,ATTENDANCE_LOG!C:C,A270)),0)),"")</f>
        <v>Communication 3</v>
      </c>
      <c r="S270" s="113">
        <f>IFERROR(VLOOKUP(H270, LEVEL_HELPER!A:B, 2, 0), 0)</f>
        <v>1</v>
      </c>
      <c r="T270" s="113">
        <f>IFERROR(VLOOKUP(I270, LEVEL_HELPER!A:B, 2, 0), 0)</f>
        <v>3.5</v>
      </c>
      <c r="U270" s="113">
        <f t="shared" ref="U270:V270" si="274">IF(S270="",0,IF(S270&lt;=2,1,IF(S270&lt;=4,2,IF(S270&lt;=5.5,3,4))))
</f>
        <v>1</v>
      </c>
      <c r="V270" s="113">
        <f t="shared" si="274"/>
        <v>2</v>
      </c>
      <c r="W270" s="113" t="str">
        <f t="shared" si="6"/>
        <v>Lv1→Lv2</v>
      </c>
      <c r="X270" s="121"/>
      <c r="Y270" s="121"/>
      <c r="Z270" s="121"/>
      <c r="AA270" s="121"/>
      <c r="AB270" s="102"/>
      <c r="AC270" s="102"/>
      <c r="AD270" s="103"/>
    </row>
    <row r="271" ht="15.75" customHeight="1">
      <c r="A271" s="104" t="s">
        <v>743</v>
      </c>
      <c r="B271" s="105" t="s">
        <v>744</v>
      </c>
      <c r="C271" s="106" t="str">
        <f>IFERROR(__xludf.DUMMYFUNCTION("arrayformula(VLOOKUP(to_Text(A271),to_Text(sheet2!$A$1:M1005),13,0))"),"LBU")</f>
        <v>LBU</v>
      </c>
      <c r="D271" s="107" t="str">
        <f>IFERROR(__xludf.DUMMYFUNCTION("arrayformula(VLOOKUP(to_Text(A271),to_Text(sheet2!$A$1:M1005),12,0))"),"GSD")</f>
        <v>GSD</v>
      </c>
      <c r="E271" s="108" t="str">
        <f t="shared" si="2"/>
        <v>Active</v>
      </c>
      <c r="F271" s="104" t="str">
        <f t="array" ref="F271">IFERROR(
  INDEX(ATTENDANCE_INPUT!D:D,
    MATCH(1,
      (ATTENDANCE_INPUT!A:A=A271) *
      (ATTENDANCE_INPUT!W:W=MAXIFS(ATTENDANCE_INPUT!W:W, ATTENDANCE_INPUT!A:A, A271)),
      0)),
  "")</f>
        <v>Vinh Nguyen</v>
      </c>
      <c r="G271" s="109" t="str">
        <f t="array" ref="G271">IFERROR(
  INDEX(ATTENDANCE_INPUT!E:E,
    MATCH(1,
      (ATTENDANCE_INPUT!A:A=A271) *
      (ATTENDANCE_INPUT!W:W=MAXIFS(ATTENDANCE_INPUT!W:W, ATTENDANCE_INPUT!A:A, A271)),
      0)),
  "")</f>
        <v>Communication 3</v>
      </c>
      <c r="H271" s="110" t="str">
        <f t="array" ref="H271">IF(ISNA(MATCH(A271,sheet2!A:A,0)),"⏳ Chưa test",IFERROR(INDEX(LEVEL_HELPER!A:A,MATCH(INDEX(sheet2!N:N,MATCH(A271,sheet2!A:A,0)),LEVEL_HELPER!B:B,0)),"⏳ Chưa test"))</f>
        <v>Beginner</v>
      </c>
      <c r="I271" s="110" t="str">
        <f t="array" ref="I271">IF(ISNA(MATCH(A271,sheet2!A:A,0)),H271,IF(INDEX(sheet2!O:O,MATCH(A271,sheet2!A:A,0))&gt;0,IFERROR(INDEX(LEVEL_HELPER!A:A,MATCH(INDEX(sheet2!O:O,MATCH(A271,sheet2!A:A,0)),LEVEL_HELPER!B:B,0)),H271),H271))</f>
        <v>Pre-Intermediate 2</v>
      </c>
      <c r="J271" s="110">
        <f>IFERROR(MAXIFS(ATTENDANCE_LOG!F:F, ATTENDANCE_LOG!C:C, A271&amp;"", ATTENDANCE_LOG!G:G, "Present"), "")</f>
        <v>46191.54167</v>
      </c>
      <c r="K271" s="111">
        <f t="shared" si="3"/>
        <v>21.45833333</v>
      </c>
      <c r="L271" s="112" t="str">
        <f t="shared" si="4"/>
        <v/>
      </c>
      <c r="M271" s="113"/>
      <c r="N271" s="114"/>
      <c r="O271" s="113"/>
      <c r="P271" s="115">
        <f>IFERROR(__xludf.DUMMYFUNCTION("IFERROR(COUNTUNIQUEIFS(ATTENDANCE_LOG!B:B,ATTENDANCE_LOG!C:C,A271),0)"),3.0)</f>
        <v>3</v>
      </c>
      <c r="Q271" s="113" t="str">
        <f t="array" ref="Q271">IFERROR(INDEX(ATTENDANCE_LOG!A:A,MATCH(1,(ATTENDANCE_LOG!C:C=A271)*(ATTENDANCE_LOG!F:F=MAXIFS(ATTENDANCE_LOG!F:F,ATTENDANCE_LOG!C:C,A271)),0)),"")</f>
        <v>EL027</v>
      </c>
      <c r="R271" s="113" t="str">
        <f t="array" ref="R271">IFERROR(INDEX(ATTENDANCE_LOG!B:B,MATCH(1,(ATTENDANCE_LOG!C:C=A271)*(ATTENDANCE_LOG!F:F=MAXIFS(ATTENDANCE_LOG!F:F,ATTENDANCE_LOG!C:C,A271)),0)),"")</f>
        <v>Communication 3</v>
      </c>
      <c r="S271" s="113">
        <f>IFERROR(VLOOKUP(H271, LEVEL_HELPER!A:B, 2, 0), 0)</f>
        <v>1</v>
      </c>
      <c r="T271" s="113">
        <f>IFERROR(VLOOKUP(I271, LEVEL_HELPER!A:B, 2, 0), 0)</f>
        <v>3.5</v>
      </c>
      <c r="U271" s="113">
        <f t="shared" ref="U271:V271" si="275">IF(S271="",0,IF(S271&lt;=2,1,IF(S271&lt;=4,2,IF(S271&lt;=5.5,3,4))))
</f>
        <v>1</v>
      </c>
      <c r="V271" s="113">
        <f t="shared" si="275"/>
        <v>2</v>
      </c>
      <c r="W271" s="113" t="str">
        <f t="shared" si="6"/>
        <v>Lv1→Lv2</v>
      </c>
      <c r="X271" s="113"/>
      <c r="Y271" s="113"/>
      <c r="Z271" s="113"/>
      <c r="AA271" s="113"/>
      <c r="AB271" s="116"/>
      <c r="AC271" s="116"/>
      <c r="AD271" s="117"/>
    </row>
    <row r="272" ht="15.75" customHeight="1">
      <c r="A272" s="104" t="s">
        <v>745</v>
      </c>
      <c r="B272" s="105" t="s">
        <v>746</v>
      </c>
      <c r="C272" s="106" t="str">
        <f>IFERROR(__xludf.DUMMYFUNCTION("arrayformula(VLOOKUP(to_Text(A272),to_Text(sheet2!$A$1:M1005),13,0))"),"LBU")</f>
        <v>LBU</v>
      </c>
      <c r="D272" s="107" t="str">
        <f>IFERROR(__xludf.DUMMYFUNCTION("arrayformula(VLOOKUP(to_Text(A272),to_Text(sheet2!$A$1:M1005),12,0))"),"GSD")</f>
        <v>GSD</v>
      </c>
      <c r="E272" s="108" t="str">
        <f t="shared" si="2"/>
        <v>Active</v>
      </c>
      <c r="F272" s="104" t="str">
        <f t="array" ref="F272">IFERROR(
  INDEX(ATTENDANCE_INPUT!D:D,
    MATCH(1,
      (ATTENDANCE_INPUT!A:A=A272) *
      (ATTENDANCE_INPUT!W:W=MAXIFS(ATTENDANCE_INPUT!W:W, ATTENDANCE_INPUT!A:A, A272)),
      0)),
  "")</f>
        <v>Vinh Nguyen</v>
      </c>
      <c r="G272" s="109" t="str">
        <f t="array" ref="G272">IFERROR(
  INDEX(ATTENDANCE_INPUT!E:E,
    MATCH(1,
      (ATTENDANCE_INPUT!A:A=A272) *
      (ATTENDANCE_INPUT!W:W=MAXIFS(ATTENDANCE_INPUT!W:W, ATTENDANCE_INPUT!A:A, A272)),
      0)),
  "")</f>
        <v>Communication 3</v>
      </c>
      <c r="H272" s="110" t="str">
        <f t="array" ref="H272">IF(ISNA(MATCH(A272,sheet2!A:A,0)),"⏳ Chưa test",IFERROR(INDEX(LEVEL_HELPER!A:A,MATCH(INDEX(sheet2!N:N,MATCH(A272,sheet2!A:A,0)),LEVEL_HELPER!B:B,0)),"⏳ Chưa test"))</f>
        <v>Beginner</v>
      </c>
      <c r="I272" s="110" t="str">
        <f t="array" ref="I272">IF(ISNA(MATCH(A272,sheet2!A:A,0)),H272,IF(INDEX(sheet2!O:O,MATCH(A272,sheet2!A:A,0))&gt;0,IFERROR(INDEX(LEVEL_HELPER!A:A,MATCH(INDEX(sheet2!O:O,MATCH(A272,sheet2!A:A,0)),LEVEL_HELPER!B:B,0)),H272),H272))</f>
        <v>Pre-Intermediate 2</v>
      </c>
      <c r="J272" s="110">
        <f>IFERROR(MAXIFS(ATTENDANCE_LOG!F:F, ATTENDANCE_LOG!C:C, A272&amp;"", ATTENDANCE_LOG!G:G, "Present"), "")</f>
        <v>46184.54167</v>
      </c>
      <c r="K272" s="111">
        <f t="shared" si="3"/>
        <v>28.45833333</v>
      </c>
      <c r="L272" s="112" t="str">
        <f t="shared" si="4"/>
        <v/>
      </c>
      <c r="M272" s="113"/>
      <c r="N272" s="114"/>
      <c r="O272" s="113"/>
      <c r="P272" s="115">
        <f>IFERROR(__xludf.DUMMYFUNCTION("IFERROR(COUNTUNIQUEIFS(ATTENDANCE_LOG!B:B,ATTENDANCE_LOG!C:C,A272),0)"),3.0)</f>
        <v>3</v>
      </c>
      <c r="Q272" s="113" t="str">
        <f t="array" ref="Q272">IFERROR(INDEX(ATTENDANCE_LOG!A:A,MATCH(1,(ATTENDANCE_LOG!C:C=A272)*(ATTENDANCE_LOG!F:F=MAXIFS(ATTENDANCE_LOG!F:F,ATTENDANCE_LOG!C:C,A272)),0)),"")</f>
        <v>EL027</v>
      </c>
      <c r="R272" s="113" t="str">
        <f t="array" ref="R272">IFERROR(INDEX(ATTENDANCE_LOG!B:B,MATCH(1,(ATTENDANCE_LOG!C:C=A272)*(ATTENDANCE_LOG!F:F=MAXIFS(ATTENDANCE_LOG!F:F,ATTENDANCE_LOG!C:C,A272)),0)),"")</f>
        <v>Communication 3</v>
      </c>
      <c r="S272" s="113">
        <f>IFERROR(VLOOKUP(H272, LEVEL_HELPER!A:B, 2, 0), 0)</f>
        <v>1</v>
      </c>
      <c r="T272" s="113">
        <f>IFERROR(VLOOKUP(I272, LEVEL_HELPER!A:B, 2, 0), 0)</f>
        <v>3.5</v>
      </c>
      <c r="U272" s="113">
        <f t="shared" ref="U272:V272" si="276">IF(S272="",0,IF(S272&lt;=2,1,IF(S272&lt;=4,2,IF(S272&lt;=5.5,3,4))))
</f>
        <v>1</v>
      </c>
      <c r="V272" s="113">
        <f t="shared" si="276"/>
        <v>2</v>
      </c>
      <c r="W272" s="113" t="str">
        <f t="shared" si="6"/>
        <v>Lv1→Lv2</v>
      </c>
      <c r="X272" s="113"/>
      <c r="Y272" s="113"/>
      <c r="Z272" s="113"/>
      <c r="AA272" s="113"/>
      <c r="AB272" s="116"/>
      <c r="AC272" s="116"/>
      <c r="AD272" s="117"/>
    </row>
    <row r="273" ht="15.75" customHeight="1">
      <c r="A273" s="104" t="s">
        <v>747</v>
      </c>
      <c r="B273" s="105" t="s">
        <v>283</v>
      </c>
      <c r="C273" s="106" t="str">
        <f>IFERROR(__xludf.DUMMYFUNCTION("arrayformula(VLOOKUP(to_Text(A273),to_Text(sheet2!$A$1:M1005),13,0))"),"LBU")</f>
        <v>LBU</v>
      </c>
      <c r="D273" s="107" t="str">
        <f>IFERROR(__xludf.DUMMYFUNCTION("arrayformula(VLOOKUP(to_Text(A273),to_Text(sheet2!$A$1:M1005),12,0))"),"GSD")</f>
        <v>GSD</v>
      </c>
      <c r="E273" s="108" t="str">
        <f t="shared" si="2"/>
        <v>Active</v>
      </c>
      <c r="F273" s="104" t="str">
        <f t="array" ref="F273">IFERROR(
  INDEX(ATTENDANCE_INPUT!D:D,
    MATCH(1,
      (ATTENDANCE_INPUT!A:A=A273) *
      (ATTENDANCE_INPUT!W:W=MAXIFS(ATTENDANCE_INPUT!W:W, ATTENDANCE_INPUT!A:A, A273)),
      0)),
  "")</f>
        <v>Vinh Nguyen</v>
      </c>
      <c r="G273" s="109" t="str">
        <f t="array" ref="G273">IFERROR(
  INDEX(ATTENDANCE_INPUT!E:E,
    MATCH(1,
      (ATTENDANCE_INPUT!A:A=A273) *
      (ATTENDANCE_INPUT!W:W=MAXIFS(ATTENDANCE_INPUT!W:W, ATTENDANCE_INPUT!A:A, A273)),
      0)),
  "")</f>
        <v>Communication 3</v>
      </c>
      <c r="H273" s="110" t="str">
        <f t="array" ref="H273">IF(ISNA(MATCH(A273,sheet2!A:A,0)),"⏳ Chưa test",IFERROR(INDEX(LEVEL_HELPER!A:A,MATCH(INDEX(sheet2!N:N,MATCH(A273,sheet2!A:A,0)),LEVEL_HELPER!B:B,0)),"⏳ Chưa test"))</f>
        <v>Pre-Intermediate</v>
      </c>
      <c r="I273" s="110" t="str">
        <f t="array" ref="I273">IF(ISNA(MATCH(A273,sheet2!A:A,0)),H273,IF(INDEX(sheet2!O:O,MATCH(A273,sheet2!A:A,0))&gt;0,IFERROR(INDEX(LEVEL_HELPER!A:A,MATCH(INDEX(sheet2!O:O,MATCH(A273,sheet2!A:A,0)),LEVEL_HELPER!B:B,0)),H273),H273))</f>
        <v>Pre-Intermediate 2</v>
      </c>
      <c r="J273" s="110">
        <f>IFERROR(MAXIFS(ATTENDANCE_LOG!F:F, ATTENDANCE_LOG!C:C, A273&amp;"", ATTENDANCE_LOG!G:G, "Present"), "")</f>
        <v>46191.54167</v>
      </c>
      <c r="K273" s="111">
        <f t="shared" si="3"/>
        <v>21.45833333</v>
      </c>
      <c r="L273" s="112" t="str">
        <f t="shared" si="4"/>
        <v/>
      </c>
      <c r="M273" s="113"/>
      <c r="N273" s="114"/>
      <c r="O273" s="113"/>
      <c r="P273" s="115">
        <f>IFERROR(__xludf.DUMMYFUNCTION("IFERROR(COUNTUNIQUEIFS(ATTENDANCE_LOG!B:B,ATTENDANCE_LOG!C:C,A273),0)"),3.0)</f>
        <v>3</v>
      </c>
      <c r="Q273" s="113" t="str">
        <f t="array" ref="Q273">IFERROR(INDEX(ATTENDANCE_LOG!A:A,MATCH(1,(ATTENDANCE_LOG!C:C=A273)*(ATTENDANCE_LOG!F:F=MAXIFS(ATTENDANCE_LOG!F:F,ATTENDANCE_LOG!C:C,A273)),0)),"")</f>
        <v>EL027</v>
      </c>
      <c r="R273" s="113" t="str">
        <f t="array" ref="R273">IFERROR(INDEX(ATTENDANCE_LOG!B:B,MATCH(1,(ATTENDANCE_LOG!C:C=A273)*(ATTENDANCE_LOG!F:F=MAXIFS(ATTENDANCE_LOG!F:F,ATTENDANCE_LOG!C:C,A273)),0)),"")</f>
        <v>Communication 3</v>
      </c>
      <c r="S273" s="113">
        <f>IFERROR(VLOOKUP(H273, LEVEL_HELPER!A:B, 2, 0), 0)</f>
        <v>2.5</v>
      </c>
      <c r="T273" s="113">
        <f>IFERROR(VLOOKUP(I273, LEVEL_HELPER!A:B, 2, 0), 0)</f>
        <v>3.5</v>
      </c>
      <c r="U273" s="113">
        <f t="shared" ref="U273:V273" si="277">IF(S273="",0,IF(S273&lt;=2,1,IF(S273&lt;=4,2,IF(S273&lt;=5.5,3,4))))
</f>
        <v>2</v>
      </c>
      <c r="V273" s="113">
        <f t="shared" si="277"/>
        <v>2</v>
      </c>
      <c r="W273" s="113" t="str">
        <f t="shared" si="6"/>
        <v>Minor Improvement</v>
      </c>
      <c r="X273" s="113"/>
      <c r="Y273" s="113"/>
      <c r="Z273" s="113"/>
      <c r="AA273" s="113"/>
      <c r="AB273" s="116"/>
      <c r="AC273" s="116"/>
      <c r="AD273" s="117"/>
    </row>
    <row r="274" ht="15.75" customHeight="1">
      <c r="A274" s="104" t="s">
        <v>748</v>
      </c>
      <c r="B274" s="105" t="s">
        <v>749</v>
      </c>
      <c r="C274" s="106" t="str">
        <f>IFERROR(__xludf.DUMMYFUNCTION("arrayformula(VLOOKUP(to_Text(A274),to_Text(sheet2!$A$1:M1005),13,0))"),"LBU")</f>
        <v>LBU</v>
      </c>
      <c r="D274" s="107" t="str">
        <f>IFERROR(__xludf.DUMMYFUNCTION("arrayformula(VLOOKUP(to_Text(A274),to_Text(sheet2!$A$1:M1005),12,0))"),"GSD")</f>
        <v>GSD</v>
      </c>
      <c r="E274" s="108" t="str">
        <f t="shared" si="2"/>
        <v>Active</v>
      </c>
      <c r="F274" s="104" t="str">
        <f t="array" ref="F274">IFERROR(
  INDEX(ATTENDANCE_INPUT!D:D,
    MATCH(1,
      (ATTENDANCE_INPUT!A:A=A274) *
      (ATTENDANCE_INPUT!W:W=MAXIFS(ATTENDANCE_INPUT!W:W, ATTENDANCE_INPUT!A:A, A274)),
      0)),
  "")</f>
        <v>Vinh Nguyen</v>
      </c>
      <c r="G274" s="109" t="str">
        <f t="array" ref="G274">IFERROR(
  INDEX(ATTENDANCE_INPUT!E:E,
    MATCH(1,
      (ATTENDANCE_INPUT!A:A=A274) *
      (ATTENDANCE_INPUT!W:W=MAXIFS(ATTENDANCE_INPUT!W:W, ATTENDANCE_INPUT!A:A, A274)),
      0)),
  "")</f>
        <v>Communication 3</v>
      </c>
      <c r="H274" s="110" t="str">
        <f t="array" ref="H274">IF(ISNA(MATCH(A274,sheet2!A:A,0)),"⏳ Chưa test",IFERROR(INDEX(LEVEL_HELPER!A:A,MATCH(INDEX(sheet2!N:N,MATCH(A274,sheet2!A:A,0)),LEVEL_HELPER!B:B,0)),"⏳ Chưa test"))</f>
        <v>Beginner</v>
      </c>
      <c r="I274" s="110" t="str">
        <f t="array" ref="I274">IF(ISNA(MATCH(A274,sheet2!A:A,0)),H274,IF(INDEX(sheet2!O:O,MATCH(A274,sheet2!A:A,0))&gt;0,IFERROR(INDEX(LEVEL_HELPER!A:A,MATCH(INDEX(sheet2!O:O,MATCH(A274,sheet2!A:A,0)),LEVEL_HELPER!B:B,0)),H274),H274))</f>
        <v>Pre-Intermediate 2</v>
      </c>
      <c r="J274" s="110">
        <f>IFERROR(MAXIFS(ATTENDANCE_LOG!F:F, ATTENDANCE_LOG!C:C, A274&amp;"", ATTENDANCE_LOG!G:G, "Present"), "")</f>
        <v>46191.54167</v>
      </c>
      <c r="K274" s="111">
        <f t="shared" si="3"/>
        <v>21.45833333</v>
      </c>
      <c r="L274" s="112" t="str">
        <f t="shared" si="4"/>
        <v/>
      </c>
      <c r="M274" s="113"/>
      <c r="N274" s="114"/>
      <c r="O274" s="113"/>
      <c r="P274" s="115">
        <f>IFERROR(__xludf.DUMMYFUNCTION("IFERROR(COUNTUNIQUEIFS(ATTENDANCE_LOG!B:B,ATTENDANCE_LOG!C:C,A274),0)"),3.0)</f>
        <v>3</v>
      </c>
      <c r="Q274" s="113" t="str">
        <f t="array" ref="Q274">IFERROR(INDEX(ATTENDANCE_LOG!A:A,MATCH(1,(ATTENDANCE_LOG!C:C=A274)*(ATTENDANCE_LOG!F:F=MAXIFS(ATTENDANCE_LOG!F:F,ATTENDANCE_LOG!C:C,A274)),0)),"")</f>
        <v>EL027</v>
      </c>
      <c r="R274" s="113" t="str">
        <f t="array" ref="R274">IFERROR(INDEX(ATTENDANCE_LOG!B:B,MATCH(1,(ATTENDANCE_LOG!C:C=A274)*(ATTENDANCE_LOG!F:F=MAXIFS(ATTENDANCE_LOG!F:F,ATTENDANCE_LOG!C:C,A274)),0)),"")</f>
        <v>Communication 3</v>
      </c>
      <c r="S274" s="113">
        <f>IFERROR(VLOOKUP(H274, LEVEL_HELPER!A:B, 2, 0), 0)</f>
        <v>1</v>
      </c>
      <c r="T274" s="113">
        <f>IFERROR(VLOOKUP(I274, LEVEL_HELPER!A:B, 2, 0), 0)</f>
        <v>3.5</v>
      </c>
      <c r="U274" s="113">
        <f t="shared" ref="U274:V274" si="278">IF(S274="",0,IF(S274&lt;=2,1,IF(S274&lt;=4,2,IF(S274&lt;=5.5,3,4))))
</f>
        <v>1</v>
      </c>
      <c r="V274" s="113">
        <f t="shared" si="278"/>
        <v>2</v>
      </c>
      <c r="W274" s="113" t="str">
        <f t="shared" si="6"/>
        <v>Lv1→Lv2</v>
      </c>
      <c r="X274" s="113"/>
      <c r="Y274" s="113"/>
      <c r="Z274" s="113"/>
      <c r="AA274" s="113"/>
      <c r="AB274" s="116"/>
      <c r="AC274" s="116"/>
      <c r="AD274" s="117"/>
    </row>
    <row r="275" ht="15.75" customHeight="1">
      <c r="A275" s="104" t="s">
        <v>750</v>
      </c>
      <c r="B275" s="105" t="s">
        <v>751</v>
      </c>
      <c r="C275" s="106" t="str">
        <f>IFERROR(__xludf.DUMMYFUNCTION("arrayformula(VLOOKUP(to_Text(A275),to_Text(sheet2!$A$1:M1005),13,0))"),"LBU")</f>
        <v>LBU</v>
      </c>
      <c r="D275" s="107" t="str">
        <f>IFERROR(__xludf.DUMMYFUNCTION("arrayformula(VLOOKUP(to_Text(A275),to_Text(sheet2!$A$1:M1005),12,0))"),"GSD")</f>
        <v>GSD</v>
      </c>
      <c r="E275" s="108" t="str">
        <f t="shared" si="2"/>
        <v>Active</v>
      </c>
      <c r="F275" s="104" t="str">
        <f t="array" ref="F275">IFERROR(
  INDEX(ATTENDANCE_INPUT!D:D,
    MATCH(1,
      (ATTENDANCE_INPUT!A:A=A275) *
      (ATTENDANCE_INPUT!W:W=MAXIFS(ATTENDANCE_INPUT!W:W, ATTENDANCE_INPUT!A:A, A275)),
      0)),
  "")</f>
        <v>Vinh Nguyen</v>
      </c>
      <c r="G275" s="109" t="str">
        <f t="array" ref="G275">IFERROR(
  INDEX(ATTENDANCE_INPUT!E:E,
    MATCH(1,
      (ATTENDANCE_INPUT!A:A=A275) *
      (ATTENDANCE_INPUT!W:W=MAXIFS(ATTENDANCE_INPUT!W:W, ATTENDANCE_INPUT!A:A, A275)),
      0)),
  "")</f>
        <v>Communication 3</v>
      </c>
      <c r="H275" s="110" t="str">
        <f t="array" ref="H275">IF(ISNA(MATCH(A275,sheet2!A:A,0)),"⏳ Chưa test",IFERROR(INDEX(LEVEL_HELPER!A:A,MATCH(INDEX(sheet2!N:N,MATCH(A275,sheet2!A:A,0)),LEVEL_HELPER!B:B,0)),"⏳ Chưa test"))</f>
        <v>Beginner</v>
      </c>
      <c r="I275" s="110" t="str">
        <f t="array" ref="I275">IF(ISNA(MATCH(A275,sheet2!A:A,0)),H275,IF(INDEX(sheet2!O:O,MATCH(A275,sheet2!A:A,0))&gt;0,IFERROR(INDEX(LEVEL_HELPER!A:A,MATCH(INDEX(sheet2!O:O,MATCH(A275,sheet2!A:A,0)),LEVEL_HELPER!B:B,0)),H275),H275))</f>
        <v>Pre-Intermediate 1</v>
      </c>
      <c r="J275" s="110">
        <f>IFERROR(MAXIFS(ATTENDANCE_LOG!F:F, ATTENDANCE_LOG!C:C, A275&amp;"", ATTENDANCE_LOG!G:G, "Present"), "")</f>
        <v>46191.54167</v>
      </c>
      <c r="K275" s="111">
        <f t="shared" si="3"/>
        <v>21.45833333</v>
      </c>
      <c r="L275" s="112" t="str">
        <f t="shared" si="4"/>
        <v/>
      </c>
      <c r="M275" s="113"/>
      <c r="N275" s="114"/>
      <c r="O275" s="113"/>
      <c r="P275" s="115">
        <f>IFERROR(__xludf.DUMMYFUNCTION("IFERROR(COUNTUNIQUEIFS(ATTENDANCE_LOG!B:B,ATTENDANCE_LOG!C:C,A275),0)"),3.0)</f>
        <v>3</v>
      </c>
      <c r="Q275" s="113" t="str">
        <f t="array" ref="Q275">IFERROR(INDEX(ATTENDANCE_LOG!A:A,MATCH(1,(ATTENDANCE_LOG!C:C=A275)*(ATTENDANCE_LOG!F:F=MAXIFS(ATTENDANCE_LOG!F:F,ATTENDANCE_LOG!C:C,A275)),0)),"")</f>
        <v>EL027</v>
      </c>
      <c r="R275" s="113" t="str">
        <f t="array" ref="R275">IFERROR(INDEX(ATTENDANCE_LOG!B:B,MATCH(1,(ATTENDANCE_LOG!C:C=A275)*(ATTENDANCE_LOG!F:F=MAXIFS(ATTENDANCE_LOG!F:F,ATTENDANCE_LOG!C:C,A275)),0)),"")</f>
        <v>Communication 3</v>
      </c>
      <c r="S275" s="113">
        <f>IFERROR(VLOOKUP(H275, LEVEL_HELPER!A:B, 2, 0), 0)</f>
        <v>1</v>
      </c>
      <c r="T275" s="113">
        <f>IFERROR(VLOOKUP(I275, LEVEL_HELPER!A:B, 2, 0), 0)</f>
        <v>3</v>
      </c>
      <c r="U275" s="113">
        <f t="shared" ref="U275:V275" si="279">IF(S275="",0,IF(S275&lt;=2,1,IF(S275&lt;=4,2,IF(S275&lt;=5.5,3,4))))
</f>
        <v>1</v>
      </c>
      <c r="V275" s="113">
        <f t="shared" si="279"/>
        <v>2</v>
      </c>
      <c r="W275" s="113" t="str">
        <f t="shared" si="6"/>
        <v>Lv1→Lv2</v>
      </c>
      <c r="X275" s="113"/>
      <c r="Y275" s="113"/>
      <c r="Z275" s="113"/>
      <c r="AA275" s="113"/>
      <c r="AB275" s="116"/>
      <c r="AC275" s="116"/>
      <c r="AD275" s="117"/>
    </row>
    <row r="276" ht="15.75" customHeight="1">
      <c r="A276" s="122" t="s">
        <v>752</v>
      </c>
      <c r="B276" s="123" t="s">
        <v>753</v>
      </c>
      <c r="C276" s="106" t="str">
        <f>IFERROR(__xludf.DUMMYFUNCTION("arrayformula(VLOOKUP(to_Text(A276),to_Text(sheet2!$A$1:M1005),13,0))"),"LBU")</f>
        <v>LBU</v>
      </c>
      <c r="D276" s="107" t="str">
        <f>IFERROR(__xludf.DUMMYFUNCTION("arrayformula(VLOOKUP(to_Text(A276),to_Text(sheet2!$A$1:M1005),12,0))"),"GSD")</f>
        <v>GSD</v>
      </c>
      <c r="E276" s="108" t="str">
        <f t="shared" si="2"/>
        <v>Inactive</v>
      </c>
      <c r="F276" s="104" t="str">
        <f t="array" ref="F276">IFERROR(
  INDEX(ATTENDANCE_INPUT!D:D,
    MATCH(1,
      (ATTENDANCE_INPUT!A:A=A276) *
      (ATTENDANCE_INPUT!W:W=MAXIFS(ATTENDANCE_INPUT!W:W, ATTENDANCE_INPUT!A:A, A276)),
      0)),
  "")</f>
        <v>Vinh Nguyen</v>
      </c>
      <c r="G276" s="109" t="str">
        <f t="array" ref="G276">IFERROR(
  INDEX(ATTENDANCE_INPUT!E:E,
    MATCH(1,
      (ATTENDANCE_INPUT!A:A=A276) *
      (ATTENDANCE_INPUT!W:W=MAXIFS(ATTENDANCE_INPUT!W:W, ATTENDANCE_INPUT!A:A, A276)),
      0)),
  "")</f>
        <v>Communication 3</v>
      </c>
      <c r="H276" s="110" t="str">
        <f t="array" ref="H276">IF(ISNA(MATCH(A276,sheet2!A:A,0)),"⏳ Chưa test",IFERROR(INDEX(LEVEL_HELPER!A:A,MATCH(INDEX(sheet2!N:N,MATCH(A276,sheet2!A:A,0)),LEVEL_HELPER!B:B,0)),"⏳ Chưa test"))</f>
        <v>Beginner</v>
      </c>
      <c r="I276" s="110" t="str">
        <f t="array" ref="I276">IF(ISNA(MATCH(A276,sheet2!A:A,0)),H276,IF(INDEX(sheet2!O:O,MATCH(A276,sheet2!A:A,0))&gt;0,IFERROR(INDEX(LEVEL_HELPER!A:A,MATCH(INDEX(sheet2!O:O,MATCH(A276,sheet2!A:A,0)),LEVEL_HELPER!B:B,0)),H276),H276))</f>
        <v>Pre-Intermediate 1</v>
      </c>
      <c r="J276" s="124">
        <f>IFERROR(MAXIFS(ATTENDANCE_LOG!F:F, ATTENDANCE_LOG!C:C, A276&amp;"", ATTENDANCE_LOG!G:G, "Present"), "")</f>
        <v>46114.58333</v>
      </c>
      <c r="K276" s="111">
        <f t="shared" si="3"/>
        <v>98.41666667</v>
      </c>
      <c r="L276" s="112" t="str">
        <f t="shared" si="4"/>
        <v>✅ Completed</v>
      </c>
      <c r="M276" s="125" t="s">
        <v>35</v>
      </c>
      <c r="N276" s="126" t="s">
        <v>38</v>
      </c>
      <c r="O276" s="113"/>
      <c r="P276" s="115">
        <f>IFERROR(__xludf.DUMMYFUNCTION("IFERROR(COUNTUNIQUEIFS(ATTENDANCE_LOG!B:B,ATTENDANCE_LOG!C:C,A276),0)"),3.0)</f>
        <v>3</v>
      </c>
      <c r="Q276" s="113" t="str">
        <f t="array" ref="Q276">IFERROR(INDEX(ATTENDANCE_LOG!A:A,MATCH(1,(ATTENDANCE_LOG!C:C=A276)*(ATTENDANCE_LOG!F:F=MAXIFS(ATTENDANCE_LOG!F:F,ATTENDANCE_LOG!C:C,A276)),0)),"")</f>
        <v>EL027</v>
      </c>
      <c r="R276" s="113" t="str">
        <f t="array" ref="R276">IFERROR(INDEX(ATTENDANCE_LOG!B:B,MATCH(1,(ATTENDANCE_LOG!C:C=A276)*(ATTENDANCE_LOG!F:F=MAXIFS(ATTENDANCE_LOG!F:F,ATTENDANCE_LOG!C:C,A276)),0)),"")</f>
        <v>Communication 3</v>
      </c>
      <c r="S276" s="113">
        <f>IFERROR(VLOOKUP(H276, LEVEL_HELPER!A:B, 2, 0), 0)</f>
        <v>1</v>
      </c>
      <c r="T276" s="113">
        <f>IFERROR(VLOOKUP(I276, LEVEL_HELPER!A:B, 2, 0), 0)</f>
        <v>3</v>
      </c>
      <c r="U276" s="113">
        <f t="shared" ref="U276:V276" si="280">IF(S276="",0,IF(S276&lt;=2,1,IF(S276&lt;=4,2,IF(S276&lt;=5.5,3,4))))
</f>
        <v>1</v>
      </c>
      <c r="V276" s="113">
        <f t="shared" si="280"/>
        <v>2</v>
      </c>
      <c r="W276" s="113" t="str">
        <f t="shared" si="6"/>
        <v>Lv1→Lv2</v>
      </c>
      <c r="X276" s="130"/>
      <c r="Y276" s="130"/>
      <c r="Z276" s="130"/>
      <c r="AA276" s="130"/>
      <c r="AB276" s="102"/>
      <c r="AC276" s="102"/>
      <c r="AD276" s="103"/>
    </row>
    <row r="277" ht="15.75" customHeight="1">
      <c r="A277" s="104" t="s">
        <v>754</v>
      </c>
      <c r="B277" s="105" t="s">
        <v>755</v>
      </c>
      <c r="C277" s="106" t="str">
        <f>IFERROR(__xludf.DUMMYFUNCTION("arrayformula(VLOOKUP(to_Text(A277),to_Text(sheet2!$A$1:M1005),13,0))"),"LBU")</f>
        <v>LBU</v>
      </c>
      <c r="D277" s="107" t="str">
        <f>IFERROR(__xludf.DUMMYFUNCTION("arrayformula(VLOOKUP(to_Text(A277),to_Text(sheet2!$A$1:M1005),12,0))"),"BA")</f>
        <v>BA</v>
      </c>
      <c r="E277" s="108" t="str">
        <f t="shared" si="2"/>
        <v>Inactive</v>
      </c>
      <c r="F277" s="104" t="str">
        <f t="array" ref="F277">IFERROR(
  INDEX(ATTENDANCE_INPUT!D:D,
    MATCH(1,
      (ATTENDANCE_INPUT!A:A=A277) *
      (ATTENDANCE_INPUT!W:W=MAXIFS(ATTENDANCE_INPUT!W:W, ATTENDANCE_INPUT!A:A, A277)),
      0)),
  "")</f>
        <v>Vinh Nguyen</v>
      </c>
      <c r="G277" s="109" t="str">
        <f t="array" ref="G277">IFERROR(
  INDEX(ATTENDANCE_INPUT!E:E,
    MATCH(1,
      (ATTENDANCE_INPUT!A:A=A277) *
      (ATTENDANCE_INPUT!W:W=MAXIFS(ATTENDANCE_INPUT!W:W, ATTENDANCE_INPUT!A:A, A277)),
      0)),
  "")</f>
        <v>Communication 2</v>
      </c>
      <c r="H277" s="110" t="str">
        <f t="array" ref="H277">IF(ISNA(MATCH(A277,sheet2!A:A,0)),"⏳ Chưa test",IFERROR(INDEX(LEVEL_HELPER!A:A,MATCH(INDEX(sheet2!N:N,MATCH(A277,sheet2!A:A,0)),LEVEL_HELPER!B:B,0)),"⏳ Chưa test"))</f>
        <v>Beginner</v>
      </c>
      <c r="I277" s="110" t="str">
        <f t="array" ref="I277">IF(ISNA(MATCH(A277,sheet2!A:A,0)),H277,IF(INDEX(sheet2!O:O,MATCH(A277,sheet2!A:A,0))&gt;0,IFERROR(INDEX(LEVEL_HELPER!A:A,MATCH(INDEX(sheet2!O:O,MATCH(A277,sheet2!A:A,0)),LEVEL_HELPER!B:B,0)),H277),H277))</f>
        <v>Beginner 2</v>
      </c>
      <c r="J277" s="110">
        <f>IFERROR(MAXIFS(ATTENDANCE_LOG!F:F, ATTENDANCE_LOG!C:C, A277&amp;"", ATTENDANCE_LOG!G:G, "Present"), "")</f>
        <v>45897.58333</v>
      </c>
      <c r="K277" s="111">
        <f t="shared" si="3"/>
        <v>315.4166667</v>
      </c>
      <c r="L277" s="112" t="str">
        <f t="shared" si="4"/>
        <v>❌ Dropped</v>
      </c>
      <c r="M277" s="113" t="s">
        <v>37</v>
      </c>
      <c r="N277" s="114" t="s">
        <v>34</v>
      </c>
      <c r="O277" s="113"/>
      <c r="P277" s="115">
        <f>IFERROR(__xludf.DUMMYFUNCTION("IFERROR(COUNTUNIQUEIFS(ATTENDANCE_LOG!B:B,ATTENDANCE_LOG!C:C,A277),0)"),2.0)</f>
        <v>2</v>
      </c>
      <c r="Q277" s="113" t="str">
        <f t="array" ref="Q277">IFERROR(INDEX(ATTENDANCE_LOG!A:A,MATCH(1,(ATTENDANCE_LOG!C:C=A277)*(ATTENDANCE_LOG!F:F=MAXIFS(ATTENDANCE_LOG!F:F,ATTENDANCE_LOG!C:C,A277)),0)),"")</f>
        <v>EL027</v>
      </c>
      <c r="R277" s="113" t="str">
        <f t="array" ref="R277">IFERROR(INDEX(ATTENDANCE_LOG!B:B,MATCH(1,(ATTENDANCE_LOG!C:C=A277)*(ATTENDANCE_LOG!F:F=MAXIFS(ATTENDANCE_LOG!F:F,ATTENDANCE_LOG!C:C,A277)),0)),"")</f>
        <v>Communication 2</v>
      </c>
      <c r="S277" s="113">
        <f>IFERROR(VLOOKUP(H277, LEVEL_HELPER!A:B, 2, 0), 0)</f>
        <v>1</v>
      </c>
      <c r="T277" s="113">
        <f>IFERROR(VLOOKUP(I277, LEVEL_HELPER!A:B, 2, 0), 0)</f>
        <v>1.5</v>
      </c>
      <c r="U277" s="113">
        <f t="shared" ref="U277:V277" si="281">IF(S277="",0,IF(S277&lt;=2,1,IF(S277&lt;=4,2,IF(S277&lt;=5.5,3,4))))
</f>
        <v>1</v>
      </c>
      <c r="V277" s="113">
        <f t="shared" si="281"/>
        <v>1</v>
      </c>
      <c r="W277" s="113" t="str">
        <f t="shared" si="6"/>
        <v>Minor Improvement</v>
      </c>
      <c r="X277" s="113"/>
      <c r="Y277" s="113"/>
      <c r="Z277" s="113"/>
      <c r="AA277" s="113"/>
      <c r="AB277" s="116"/>
      <c r="AC277" s="116"/>
      <c r="AD277" s="117"/>
    </row>
    <row r="278" ht="15.75" customHeight="1">
      <c r="A278" s="122" t="s">
        <v>756</v>
      </c>
      <c r="B278" s="123" t="s">
        <v>757</v>
      </c>
      <c r="C278" s="106" t="str">
        <f>IFERROR(__xludf.DUMMYFUNCTION("arrayformula(VLOOKUP(to_Text(A278),to_Text(sheet2!$A$1:M1005),13,0))"),"POC")</f>
        <v>POC</v>
      </c>
      <c r="D278" s="107" t="str">
        <f>IFERROR(__xludf.DUMMYFUNCTION("arrayformula(VLOOKUP(to_Text(A278),to_Text(sheet2!$A$1:M1005),12,0))"),"GSD")</f>
        <v>GSD</v>
      </c>
      <c r="E278" s="108" t="str">
        <f t="shared" si="2"/>
        <v>Active</v>
      </c>
      <c r="F278" s="104" t="str">
        <f t="array" ref="F278">IFERROR(
  INDEX(ATTENDANCE_INPUT!D:D,
    MATCH(1,
      (ATTENDANCE_INPUT!A:A=A278) *
      (ATTENDANCE_INPUT!W:W=MAXIFS(ATTENDANCE_INPUT!W:W, ATTENDANCE_INPUT!A:A, A278)),
      0)),
  "")</f>
        <v>Vinh Tran</v>
      </c>
      <c r="G278" s="109" t="str">
        <f t="array" ref="G278">IFERROR(
  INDEX(ATTENDANCE_INPUT!E:E,
    MATCH(1,
      (ATTENDANCE_INPUT!A:A=A278) *
      (ATTENDANCE_INPUT!W:W=MAXIFS(ATTENDANCE_INPUT!W:W, ATTENDANCE_INPUT!A:A, A278)),
      0)),
  "")</f>
        <v>Communication 2</v>
      </c>
      <c r="H278" s="110" t="str">
        <f t="array" ref="H278">IF(ISNA(MATCH(A278,sheet2!A:A,0)),"⏳ Chưa test",IFERROR(INDEX(LEVEL_HELPER!A:A,MATCH(INDEX(sheet2!N:N,MATCH(A278,sheet2!A:A,0)),LEVEL_HELPER!B:B,0)),"⏳ Chưa test"))</f>
        <v>Beginner</v>
      </c>
      <c r="I278" s="110" t="str">
        <f t="array" ref="I278">IF(ISNA(MATCH(A278,sheet2!A:A,0)),H278,IF(INDEX(sheet2!O:O,MATCH(A278,sheet2!A:A,0))&gt;0,IFERROR(INDEX(LEVEL_HELPER!A:A,MATCH(INDEX(sheet2!O:O,MATCH(A278,sheet2!A:A,0)),LEVEL_HELPER!B:B,0)),H278),H278))</f>
        <v>Pre-Intermediate 1</v>
      </c>
      <c r="J278" s="124">
        <f>IFERROR(MAXIFS(ATTENDANCE_LOG!F:F, ATTENDANCE_LOG!C:C, A278&amp;"", ATTENDANCE_LOG!G:G, "Present"), "")</f>
        <v>46198.54167</v>
      </c>
      <c r="K278" s="111">
        <f t="shared" si="3"/>
        <v>14.45833333</v>
      </c>
      <c r="L278" s="112" t="str">
        <f t="shared" si="4"/>
        <v/>
      </c>
      <c r="M278" s="121"/>
      <c r="N278" s="114"/>
      <c r="O278" s="141"/>
      <c r="P278" s="115">
        <f>IFERROR(__xludf.DUMMYFUNCTION("IFERROR(COUNTUNIQUEIFS(ATTENDANCE_LOG!B:B,ATTENDANCE_LOG!C:C,A278),0)"),2.0)</f>
        <v>2</v>
      </c>
      <c r="Q278" s="113" t="str">
        <f t="array" ref="Q278">IFERROR(INDEX(ATTENDANCE_LOG!A:A,MATCH(1,(ATTENDANCE_LOG!C:C=A278)*(ATTENDANCE_LOG!F:F=MAXIFS(ATTENDANCE_LOG!F:F,ATTENDANCE_LOG!C:C,A278)),0)),"")</f>
        <v>EL042</v>
      </c>
      <c r="R278" s="113" t="str">
        <f t="array" ref="R278">IFERROR(INDEX(ATTENDANCE_LOG!B:B,MATCH(1,(ATTENDANCE_LOG!C:C=A278)*(ATTENDANCE_LOG!F:F=MAXIFS(ATTENDANCE_LOG!F:F,ATTENDANCE_LOG!C:C,A278)),0)),"")</f>
        <v>Communication 2</v>
      </c>
      <c r="S278" s="113">
        <f>IFERROR(VLOOKUP(H278, LEVEL_HELPER!A:B, 2, 0), 0)</f>
        <v>1</v>
      </c>
      <c r="T278" s="113">
        <f>IFERROR(VLOOKUP(I278, LEVEL_HELPER!A:B, 2, 0), 0)</f>
        <v>3</v>
      </c>
      <c r="U278" s="113">
        <f t="shared" ref="U278:V278" si="282">IF(S278="",0,IF(S278&lt;=2,1,IF(S278&lt;=4,2,IF(S278&lt;=5.5,3,4))))
</f>
        <v>1</v>
      </c>
      <c r="V278" s="113">
        <f t="shared" si="282"/>
        <v>2</v>
      </c>
      <c r="W278" s="113" t="str">
        <f t="shared" si="6"/>
        <v>Lv1→Lv2</v>
      </c>
      <c r="X278" s="141"/>
      <c r="Y278" s="141"/>
      <c r="Z278" s="141"/>
      <c r="AA278" s="141"/>
      <c r="AB278" s="102"/>
      <c r="AC278" s="102"/>
      <c r="AD278" s="103"/>
    </row>
    <row r="279" ht="15.75" customHeight="1">
      <c r="A279" s="104" t="s">
        <v>758</v>
      </c>
      <c r="B279" s="105" t="s">
        <v>759</v>
      </c>
      <c r="C279" s="106" t="str">
        <f>IFERROR(__xludf.DUMMYFUNCTION("arrayformula(VLOOKUP(to_Text(A279),to_Text(sheet2!$A$1:M1005),13,0))"),"POC")</f>
        <v>POC</v>
      </c>
      <c r="D279" s="107" t="str">
        <f>IFERROR(__xludf.DUMMYFUNCTION("arrayformula(VLOOKUP(to_Text(A279),to_Text(sheet2!$A$1:M1005),12,0))"),"GSD")</f>
        <v>GSD</v>
      </c>
      <c r="E279" s="108" t="str">
        <f t="shared" si="2"/>
        <v>Active</v>
      </c>
      <c r="F279" s="104" t="str">
        <f t="array" ref="F279">IFERROR(
  INDEX(ATTENDANCE_INPUT!D:D,
    MATCH(1,
      (ATTENDANCE_INPUT!A:A=A279) *
      (ATTENDANCE_INPUT!W:W=MAXIFS(ATTENDANCE_INPUT!W:W, ATTENDANCE_INPUT!A:A, A279)),
      0)),
  "")</f>
        <v>Vinh Tran</v>
      </c>
      <c r="G279" s="109" t="str">
        <f t="array" ref="G279">IFERROR(
  INDEX(ATTENDANCE_INPUT!E:E,
    MATCH(1,
      (ATTENDANCE_INPUT!A:A=A279) *
      (ATTENDANCE_INPUT!W:W=MAXIFS(ATTENDANCE_INPUT!W:W, ATTENDANCE_INPUT!A:A, A279)),
      0)),
  "")</f>
        <v>Communication 2</v>
      </c>
      <c r="H279" s="110" t="str">
        <f t="array" ref="H279">IF(ISNA(MATCH(A279,sheet2!A:A,0)),"⏳ Chưa test",IFERROR(INDEX(LEVEL_HELPER!A:A,MATCH(INDEX(sheet2!N:N,MATCH(A279,sheet2!A:A,0)),LEVEL_HELPER!B:B,0)),"⏳ Chưa test"))</f>
        <v>Beginner</v>
      </c>
      <c r="I279" s="110" t="str">
        <f t="array" ref="I279">IF(ISNA(MATCH(A279,sheet2!A:A,0)),H279,IF(INDEX(sheet2!O:O,MATCH(A279,sheet2!A:A,0))&gt;0,IFERROR(INDEX(LEVEL_HELPER!A:A,MATCH(INDEX(sheet2!O:O,MATCH(A279,sheet2!A:A,0)),LEVEL_HELPER!B:B,0)),H279),H279))</f>
        <v>Pre-Intermediate 1</v>
      </c>
      <c r="J279" s="110">
        <f>IFERROR(MAXIFS(ATTENDANCE_LOG!F:F, ATTENDANCE_LOG!C:C, A279&amp;"", ATTENDANCE_LOG!G:G, "Present"), "")</f>
        <v>46198.54167</v>
      </c>
      <c r="K279" s="111">
        <f t="shared" si="3"/>
        <v>14.45833333</v>
      </c>
      <c r="L279" s="112" t="str">
        <f t="shared" si="4"/>
        <v/>
      </c>
      <c r="M279" s="113"/>
      <c r="N279" s="114"/>
      <c r="O279" s="113"/>
      <c r="P279" s="115">
        <f>IFERROR(__xludf.DUMMYFUNCTION("IFERROR(COUNTUNIQUEIFS(ATTENDANCE_LOG!B:B,ATTENDANCE_LOG!C:C,A279),0)"),2.0)</f>
        <v>2</v>
      </c>
      <c r="Q279" s="113" t="str">
        <f t="array" ref="Q279">IFERROR(INDEX(ATTENDANCE_LOG!A:A,MATCH(1,(ATTENDANCE_LOG!C:C=A279)*(ATTENDANCE_LOG!F:F=MAXIFS(ATTENDANCE_LOG!F:F,ATTENDANCE_LOG!C:C,A279)),0)),"")</f>
        <v>EL042</v>
      </c>
      <c r="R279" s="113" t="str">
        <f t="array" ref="R279">IFERROR(INDEX(ATTENDANCE_LOG!B:B,MATCH(1,(ATTENDANCE_LOG!C:C=A279)*(ATTENDANCE_LOG!F:F=MAXIFS(ATTENDANCE_LOG!F:F,ATTENDANCE_LOG!C:C,A279)),0)),"")</f>
        <v>Communication 2</v>
      </c>
      <c r="S279" s="113">
        <f>IFERROR(VLOOKUP(H279, LEVEL_HELPER!A:B, 2, 0), 0)</f>
        <v>1</v>
      </c>
      <c r="T279" s="113">
        <f>IFERROR(VLOOKUP(I279, LEVEL_HELPER!A:B, 2, 0), 0)</f>
        <v>3</v>
      </c>
      <c r="U279" s="113">
        <f t="shared" ref="U279:V279" si="283">IF(S279="",0,IF(S279&lt;=2,1,IF(S279&lt;=4,2,IF(S279&lt;=5.5,3,4))))
</f>
        <v>1</v>
      </c>
      <c r="V279" s="113">
        <f t="shared" si="283"/>
        <v>2</v>
      </c>
      <c r="W279" s="113" t="str">
        <f t="shared" si="6"/>
        <v>Lv1→Lv2</v>
      </c>
      <c r="X279" s="113"/>
      <c r="Y279" s="113"/>
      <c r="Z279" s="113"/>
      <c r="AA279" s="113"/>
      <c r="AB279" s="116"/>
      <c r="AC279" s="116"/>
      <c r="AD279" s="117"/>
    </row>
    <row r="280" ht="15.75" customHeight="1">
      <c r="A280" s="104" t="s">
        <v>760</v>
      </c>
      <c r="B280" s="105" t="s">
        <v>761</v>
      </c>
      <c r="C280" s="106" t="str">
        <f>IFERROR(__xludf.DUMMYFUNCTION("arrayformula(VLOOKUP(to_Text(A280),to_Text(sheet2!$A$1:M1005),13,0))"),"POC")</f>
        <v>POC</v>
      </c>
      <c r="D280" s="107" t="str">
        <f>IFERROR(__xludf.DUMMYFUNCTION("arrayformula(VLOOKUP(to_Text(A280),to_Text(sheet2!$A$1:M1005),12,0))"),"GSD")</f>
        <v>GSD</v>
      </c>
      <c r="E280" s="108" t="str">
        <f t="shared" si="2"/>
        <v>Active</v>
      </c>
      <c r="F280" s="104" t="str">
        <f t="array" ref="F280">IFERROR(
  INDEX(ATTENDANCE_INPUT!D:D,
    MATCH(1,
      (ATTENDANCE_INPUT!A:A=A280) *
      (ATTENDANCE_INPUT!W:W=MAXIFS(ATTENDANCE_INPUT!W:W, ATTENDANCE_INPUT!A:A, A280)),
      0)),
  "")</f>
        <v>Vinh Tran</v>
      </c>
      <c r="G280" s="109" t="str">
        <f t="array" ref="G280">IFERROR(
  INDEX(ATTENDANCE_INPUT!E:E,
    MATCH(1,
      (ATTENDANCE_INPUT!A:A=A280) *
      (ATTENDANCE_INPUT!W:W=MAXIFS(ATTENDANCE_INPUT!W:W, ATTENDANCE_INPUT!A:A, A280)),
      0)),
  "")</f>
        <v>Communication 2</v>
      </c>
      <c r="H280" s="110" t="str">
        <f t="array" ref="H280">IF(ISNA(MATCH(A280,sheet2!A:A,0)),"⏳ Chưa test",IFERROR(INDEX(LEVEL_HELPER!A:A,MATCH(INDEX(sheet2!N:N,MATCH(A280,sheet2!A:A,0)),LEVEL_HELPER!B:B,0)),"⏳ Chưa test"))</f>
        <v>Beginner</v>
      </c>
      <c r="I280" s="110" t="str">
        <f t="array" ref="I280">IF(ISNA(MATCH(A280,sheet2!A:A,0)),H280,IF(INDEX(sheet2!O:O,MATCH(A280,sheet2!A:A,0))&gt;0,IFERROR(INDEX(LEVEL_HELPER!A:A,MATCH(INDEX(sheet2!O:O,MATCH(A280,sheet2!A:A,0)),LEVEL_HELPER!B:B,0)),H280),H280))</f>
        <v>Pre-Intermediate 2</v>
      </c>
      <c r="J280" s="110">
        <f>IFERROR(MAXIFS(ATTENDANCE_LOG!F:F, ATTENDANCE_LOG!C:C, A280&amp;"", ATTENDANCE_LOG!G:G, "Present"), "")</f>
        <v>46198.54167</v>
      </c>
      <c r="K280" s="111">
        <f t="shared" si="3"/>
        <v>14.45833333</v>
      </c>
      <c r="L280" s="112" t="str">
        <f t="shared" si="4"/>
        <v/>
      </c>
      <c r="M280" s="113"/>
      <c r="N280" s="114"/>
      <c r="O280" s="113"/>
      <c r="P280" s="115">
        <f>IFERROR(__xludf.DUMMYFUNCTION("IFERROR(COUNTUNIQUEIFS(ATTENDANCE_LOG!B:B,ATTENDANCE_LOG!C:C,A280),0)"),2.0)</f>
        <v>2</v>
      </c>
      <c r="Q280" s="113" t="str">
        <f t="array" ref="Q280">IFERROR(INDEX(ATTENDANCE_LOG!A:A,MATCH(1,(ATTENDANCE_LOG!C:C=A280)*(ATTENDANCE_LOG!F:F=MAXIFS(ATTENDANCE_LOG!F:F,ATTENDANCE_LOG!C:C,A280)),0)),"")</f>
        <v>EL042</v>
      </c>
      <c r="R280" s="113" t="str">
        <f t="array" ref="R280">IFERROR(INDEX(ATTENDANCE_LOG!B:B,MATCH(1,(ATTENDANCE_LOG!C:C=A280)*(ATTENDANCE_LOG!F:F=MAXIFS(ATTENDANCE_LOG!F:F,ATTENDANCE_LOG!C:C,A280)),0)),"")</f>
        <v>Communication 2</v>
      </c>
      <c r="S280" s="113">
        <f>IFERROR(VLOOKUP(H280, LEVEL_HELPER!A:B, 2, 0), 0)</f>
        <v>1</v>
      </c>
      <c r="T280" s="113">
        <f>IFERROR(VLOOKUP(I280, LEVEL_HELPER!A:B, 2, 0), 0)</f>
        <v>3.5</v>
      </c>
      <c r="U280" s="113">
        <f t="shared" ref="U280:V280" si="284">IF(S280="",0,IF(S280&lt;=2,1,IF(S280&lt;=4,2,IF(S280&lt;=5.5,3,4))))
</f>
        <v>1</v>
      </c>
      <c r="V280" s="113">
        <f t="shared" si="284"/>
        <v>2</v>
      </c>
      <c r="W280" s="113" t="str">
        <f t="shared" si="6"/>
        <v>Lv1→Lv2</v>
      </c>
      <c r="X280" s="113"/>
      <c r="Y280" s="113"/>
      <c r="Z280" s="113"/>
      <c r="AA280" s="113"/>
      <c r="AB280" s="116"/>
      <c r="AC280" s="116"/>
      <c r="AD280" s="117"/>
    </row>
    <row r="281" ht="15.75" customHeight="1">
      <c r="A281" s="104" t="s">
        <v>762</v>
      </c>
      <c r="B281" s="105" t="s">
        <v>763</v>
      </c>
      <c r="C281" s="106" t="str">
        <f>IFERROR(__xludf.DUMMYFUNCTION("arrayformula(VLOOKUP(to_Text(A281),to_Text(sheet2!$A$1:M1005),13,0))"),"POC")</f>
        <v>POC</v>
      </c>
      <c r="D281" s="107" t="str">
        <f>IFERROR(__xludf.DUMMYFUNCTION("arrayformula(VLOOKUP(to_Text(A281),to_Text(sheet2!$A$1:M1005),12,0))"),"GSD")</f>
        <v>GSD</v>
      </c>
      <c r="E281" s="108" t="str">
        <f t="shared" si="2"/>
        <v>Active</v>
      </c>
      <c r="F281" s="104" t="str">
        <f t="array" ref="F281">IFERROR(
  INDEX(ATTENDANCE_INPUT!D:D,
    MATCH(1,
      (ATTENDANCE_INPUT!A:A=A281) *
      (ATTENDANCE_INPUT!W:W=MAXIFS(ATTENDANCE_INPUT!W:W, ATTENDANCE_INPUT!A:A, A281)),
      0)),
  "")</f>
        <v>Vinh Tran</v>
      </c>
      <c r="G281" s="109" t="str">
        <f t="array" ref="G281">IFERROR(
  INDEX(ATTENDANCE_INPUT!E:E,
    MATCH(1,
      (ATTENDANCE_INPUT!A:A=A281) *
      (ATTENDANCE_INPUT!W:W=MAXIFS(ATTENDANCE_INPUT!W:W, ATTENDANCE_INPUT!A:A, A281)),
      0)),
  "")</f>
        <v>Communication 2</v>
      </c>
      <c r="H281" s="110" t="str">
        <f t="array" ref="H281">IF(ISNA(MATCH(A281,sheet2!A:A,0)),"⏳ Chưa test",IFERROR(INDEX(LEVEL_HELPER!A:A,MATCH(INDEX(sheet2!N:N,MATCH(A281,sheet2!A:A,0)),LEVEL_HELPER!B:B,0)),"⏳ Chưa test"))</f>
        <v>Beginner</v>
      </c>
      <c r="I281" s="110" t="str">
        <f t="array" ref="I281">IF(ISNA(MATCH(A281,sheet2!A:A,0)),H281,IF(INDEX(sheet2!O:O,MATCH(A281,sheet2!A:A,0))&gt;0,IFERROR(INDEX(LEVEL_HELPER!A:A,MATCH(INDEX(sheet2!O:O,MATCH(A281,sheet2!A:A,0)),LEVEL_HELPER!B:B,0)),H281),H281))</f>
        <v>Pre-Intermediate 2</v>
      </c>
      <c r="J281" s="110">
        <f>IFERROR(MAXIFS(ATTENDANCE_LOG!F:F, ATTENDANCE_LOG!C:C, A281&amp;"", ATTENDANCE_LOG!G:G, "Present"), "")</f>
        <v>46198.54167</v>
      </c>
      <c r="K281" s="111">
        <f t="shared" si="3"/>
        <v>14.45833333</v>
      </c>
      <c r="L281" s="112" t="str">
        <f t="shared" si="4"/>
        <v/>
      </c>
      <c r="M281" s="113"/>
      <c r="N281" s="114"/>
      <c r="O281" s="113"/>
      <c r="P281" s="115">
        <f>IFERROR(__xludf.DUMMYFUNCTION("IFERROR(COUNTUNIQUEIFS(ATTENDANCE_LOG!B:B,ATTENDANCE_LOG!C:C,A281),0)"),2.0)</f>
        <v>2</v>
      </c>
      <c r="Q281" s="113" t="str">
        <f t="array" ref="Q281">IFERROR(INDEX(ATTENDANCE_LOG!A:A,MATCH(1,(ATTENDANCE_LOG!C:C=A281)*(ATTENDANCE_LOG!F:F=MAXIFS(ATTENDANCE_LOG!F:F,ATTENDANCE_LOG!C:C,A281)),0)),"")</f>
        <v>EL042</v>
      </c>
      <c r="R281" s="113" t="str">
        <f t="array" ref="R281">IFERROR(INDEX(ATTENDANCE_LOG!B:B,MATCH(1,(ATTENDANCE_LOG!C:C=A281)*(ATTENDANCE_LOG!F:F=MAXIFS(ATTENDANCE_LOG!F:F,ATTENDANCE_LOG!C:C,A281)),0)),"")</f>
        <v>Communication 2</v>
      </c>
      <c r="S281" s="113">
        <f>IFERROR(VLOOKUP(H281, LEVEL_HELPER!A:B, 2, 0), 0)</f>
        <v>1</v>
      </c>
      <c r="T281" s="113">
        <f>IFERROR(VLOOKUP(I281, LEVEL_HELPER!A:B, 2, 0), 0)</f>
        <v>3.5</v>
      </c>
      <c r="U281" s="113">
        <f t="shared" ref="U281:V281" si="285">IF(S281="",0,IF(S281&lt;=2,1,IF(S281&lt;=4,2,IF(S281&lt;=5.5,3,4))))
</f>
        <v>1</v>
      </c>
      <c r="V281" s="113">
        <f t="shared" si="285"/>
        <v>2</v>
      </c>
      <c r="W281" s="113" t="str">
        <f t="shared" si="6"/>
        <v>Lv1→Lv2</v>
      </c>
      <c r="X281" s="113"/>
      <c r="Y281" s="113"/>
      <c r="Z281" s="113"/>
      <c r="AA281" s="113"/>
      <c r="AB281" s="116"/>
      <c r="AC281" s="116"/>
      <c r="AD281" s="117"/>
    </row>
    <row r="282" ht="15.75" customHeight="1">
      <c r="A282" s="104" t="s">
        <v>764</v>
      </c>
      <c r="B282" s="105" t="s">
        <v>765</v>
      </c>
      <c r="C282" s="106" t="str">
        <f>IFERROR(__xludf.DUMMYFUNCTION("arrayformula(VLOOKUP(to_Text(A282),to_Text(sheet2!$A$1:M1005),13,0))"),"POC")</f>
        <v>POC</v>
      </c>
      <c r="D282" s="107" t="str">
        <f>IFERROR(__xludf.DUMMYFUNCTION("arrayformula(VLOOKUP(to_Text(A282),to_Text(sheet2!$A$1:M1005),12,0))"),"GSD")</f>
        <v>GSD</v>
      </c>
      <c r="E282" s="108" t="str">
        <f t="shared" si="2"/>
        <v>Active</v>
      </c>
      <c r="F282" s="104" t="str">
        <f t="array" ref="F282">IFERROR(
  INDEX(ATTENDANCE_INPUT!D:D,
    MATCH(1,
      (ATTENDANCE_INPUT!A:A=A282) *
      (ATTENDANCE_INPUT!W:W=MAXIFS(ATTENDANCE_INPUT!W:W, ATTENDANCE_INPUT!A:A, A282)),
      0)),
  "")</f>
        <v>Vinh Tran</v>
      </c>
      <c r="G282" s="109" t="str">
        <f t="array" ref="G282">IFERROR(
  INDEX(ATTENDANCE_INPUT!E:E,
    MATCH(1,
      (ATTENDANCE_INPUT!A:A=A282) *
      (ATTENDANCE_INPUT!W:W=MAXIFS(ATTENDANCE_INPUT!W:W, ATTENDANCE_INPUT!A:A, A282)),
      0)),
  "")</f>
        <v>Communication 2</v>
      </c>
      <c r="H282" s="110" t="str">
        <f t="array" ref="H282">IF(ISNA(MATCH(A282,sheet2!A:A,0)),"⏳ Chưa test",IFERROR(INDEX(LEVEL_HELPER!A:A,MATCH(INDEX(sheet2!N:N,MATCH(A282,sheet2!A:A,0)),LEVEL_HELPER!B:B,0)),"⏳ Chưa test"))</f>
        <v>Beginner</v>
      </c>
      <c r="I282" s="110" t="str">
        <f t="array" ref="I282">IF(ISNA(MATCH(A282,sheet2!A:A,0)),H282,IF(INDEX(sheet2!O:O,MATCH(A282,sheet2!A:A,0))&gt;0,IFERROR(INDEX(LEVEL_HELPER!A:A,MATCH(INDEX(sheet2!O:O,MATCH(A282,sheet2!A:A,0)),LEVEL_HELPER!B:B,0)),H282),H282))</f>
        <v>Pre-Intermediate 2</v>
      </c>
      <c r="J282" s="110">
        <f>IFERROR(MAXIFS(ATTENDANCE_LOG!F:F, ATTENDANCE_LOG!C:C, A282&amp;"", ATTENDANCE_LOG!G:G, "Present"), "")</f>
        <v>46198.54167</v>
      </c>
      <c r="K282" s="111">
        <f t="shared" si="3"/>
        <v>14.45833333</v>
      </c>
      <c r="L282" s="112" t="str">
        <f t="shared" si="4"/>
        <v/>
      </c>
      <c r="M282" s="113"/>
      <c r="N282" s="114"/>
      <c r="O282" s="113"/>
      <c r="P282" s="115">
        <f>IFERROR(__xludf.DUMMYFUNCTION("IFERROR(COUNTUNIQUEIFS(ATTENDANCE_LOG!B:B,ATTENDANCE_LOG!C:C,A282),0)"),2.0)</f>
        <v>2</v>
      </c>
      <c r="Q282" s="113" t="str">
        <f t="array" ref="Q282">IFERROR(INDEX(ATTENDANCE_LOG!A:A,MATCH(1,(ATTENDANCE_LOG!C:C=A282)*(ATTENDANCE_LOG!F:F=MAXIFS(ATTENDANCE_LOG!F:F,ATTENDANCE_LOG!C:C,A282)),0)),"")</f>
        <v>EL042</v>
      </c>
      <c r="R282" s="113" t="str">
        <f t="array" ref="R282">IFERROR(INDEX(ATTENDANCE_LOG!B:B,MATCH(1,(ATTENDANCE_LOG!C:C=A282)*(ATTENDANCE_LOG!F:F=MAXIFS(ATTENDANCE_LOG!F:F,ATTENDANCE_LOG!C:C,A282)),0)),"")</f>
        <v>Communication 2</v>
      </c>
      <c r="S282" s="113">
        <f>IFERROR(VLOOKUP(H282, LEVEL_HELPER!A:B, 2, 0), 0)</f>
        <v>1</v>
      </c>
      <c r="T282" s="113">
        <f>IFERROR(VLOOKUP(I282, LEVEL_HELPER!A:B, 2, 0), 0)</f>
        <v>3.5</v>
      </c>
      <c r="U282" s="113">
        <f t="shared" ref="U282:V282" si="286">IF(S282="",0,IF(S282&lt;=2,1,IF(S282&lt;=4,2,IF(S282&lt;=5.5,3,4))))
</f>
        <v>1</v>
      </c>
      <c r="V282" s="113">
        <f t="shared" si="286"/>
        <v>2</v>
      </c>
      <c r="W282" s="113" t="str">
        <f t="shared" si="6"/>
        <v>Lv1→Lv2</v>
      </c>
      <c r="X282" s="113"/>
      <c r="Y282" s="113"/>
      <c r="Z282" s="113"/>
      <c r="AA282" s="113"/>
      <c r="AB282" s="116"/>
      <c r="AC282" s="116"/>
      <c r="AD282" s="117"/>
    </row>
    <row r="283" ht="15.75" customHeight="1">
      <c r="A283" s="104" t="s">
        <v>766</v>
      </c>
      <c r="B283" s="105" t="s">
        <v>767</v>
      </c>
      <c r="C283" s="106" t="str">
        <f>IFERROR(__xludf.DUMMYFUNCTION("arrayformula(VLOOKUP(to_Text(A283),to_Text(sheet2!$A$1:M1005),13,0))"),"LBU")</f>
        <v>LBU</v>
      </c>
      <c r="D283" s="107" t="str">
        <f>IFERROR(__xludf.DUMMYFUNCTION("arrayformula(VLOOKUP(to_Text(A283),to_Text(sheet2!$A$1:M1005),12,0))"),"DEV")</f>
        <v>DEV</v>
      </c>
      <c r="E283" s="108" t="str">
        <f t="shared" si="2"/>
        <v>Inactive</v>
      </c>
      <c r="F283" s="104" t="str">
        <f t="array" ref="F283">IFERROR(
  INDEX(ATTENDANCE_INPUT!D:D,
    MATCH(1,
      (ATTENDANCE_INPUT!A:A=A283) *
      (ATTENDANCE_INPUT!W:W=MAXIFS(ATTENDANCE_INPUT!W:W, ATTENDANCE_INPUT!A:A, A283)),
      0)),
  "")</f>
        <v>Vinh Tran</v>
      </c>
      <c r="G283" s="109" t="str">
        <f t="array" ref="G283">IFERROR(
  INDEX(ATTENDANCE_INPUT!E:E,
    MATCH(1,
      (ATTENDANCE_INPUT!A:A=A283) *
      (ATTENDANCE_INPUT!W:W=MAXIFS(ATTENDANCE_INPUT!W:W, ATTENDANCE_INPUT!A:A, A283)),
      0)),
  "")</f>
        <v>Communication 2</v>
      </c>
      <c r="H283" s="110" t="str">
        <f t="array" ref="H283">IF(ISNA(MATCH(A283,sheet2!A:A,0)),"⏳ Chưa test",IFERROR(INDEX(LEVEL_HELPER!A:A,MATCH(INDEX(sheet2!N:N,MATCH(A283,sheet2!A:A,0)),LEVEL_HELPER!B:B,0)),"⏳ Chưa test"))</f>
        <v>Beginner</v>
      </c>
      <c r="I283" s="110" t="str">
        <f t="array" ref="I283">IF(ISNA(MATCH(A283,sheet2!A:A,0)),H283,IF(INDEX(sheet2!O:O,MATCH(A283,sheet2!A:A,0))&gt;0,IFERROR(INDEX(LEVEL_HELPER!A:A,MATCH(INDEX(sheet2!O:O,MATCH(A283,sheet2!A:A,0)),LEVEL_HELPER!B:B,0)),H283),H283))</f>
        <v>Pre-Intermediate 1</v>
      </c>
      <c r="J283" s="110">
        <f>IFERROR(MAXIFS(ATTENDANCE_LOG!F:F, ATTENDANCE_LOG!C:C, A283&amp;"", ATTENDANCE_LOG!G:G, "Present"), "")</f>
        <v>46107.54167</v>
      </c>
      <c r="K283" s="111">
        <f t="shared" si="3"/>
        <v>105.4583333</v>
      </c>
      <c r="L283" s="112" t="str">
        <f t="shared" si="4"/>
        <v>❌ Dropped</v>
      </c>
      <c r="M283" s="120" t="s">
        <v>37</v>
      </c>
      <c r="N283" s="126" t="s">
        <v>768</v>
      </c>
      <c r="O283" s="113"/>
      <c r="P283" s="115">
        <f>IFERROR(__xludf.DUMMYFUNCTION("IFERROR(COUNTUNIQUEIFS(ATTENDANCE_LOG!B:B,ATTENDANCE_LOG!C:C,A283),0)"),2.0)</f>
        <v>2</v>
      </c>
      <c r="Q283" s="113" t="str">
        <f t="array" ref="Q283">IFERROR(INDEX(ATTENDANCE_LOG!A:A,MATCH(1,(ATTENDANCE_LOG!C:C=A283)*(ATTENDANCE_LOG!F:F=MAXIFS(ATTENDANCE_LOG!F:F,ATTENDANCE_LOG!C:C,A283)),0)),"")</f>
        <v>EL042</v>
      </c>
      <c r="R283" s="113" t="str">
        <f t="array" ref="R283">IFERROR(INDEX(ATTENDANCE_LOG!B:B,MATCH(1,(ATTENDANCE_LOG!C:C=A283)*(ATTENDANCE_LOG!F:F=MAXIFS(ATTENDANCE_LOG!F:F,ATTENDANCE_LOG!C:C,A283)),0)),"")</f>
        <v>Communication 2</v>
      </c>
      <c r="S283" s="113">
        <f>IFERROR(VLOOKUP(H283, LEVEL_HELPER!A:B, 2, 0), 0)</f>
        <v>1</v>
      </c>
      <c r="T283" s="113">
        <f>IFERROR(VLOOKUP(I283, LEVEL_HELPER!A:B, 2, 0), 0)</f>
        <v>3</v>
      </c>
      <c r="U283" s="113">
        <f t="shared" ref="U283:V283" si="287">IF(S283="",0,IF(S283&lt;=2,1,IF(S283&lt;=4,2,IF(S283&lt;=5.5,3,4))))
</f>
        <v>1</v>
      </c>
      <c r="V283" s="113">
        <f t="shared" si="287"/>
        <v>2</v>
      </c>
      <c r="W283" s="113" t="str">
        <f t="shared" si="6"/>
        <v>Lv1→Lv2</v>
      </c>
      <c r="X283" s="113"/>
      <c r="Y283" s="113"/>
      <c r="Z283" s="113"/>
      <c r="AA283" s="113"/>
      <c r="AB283" s="116"/>
      <c r="AC283" s="116"/>
      <c r="AD283" s="117"/>
    </row>
    <row r="284" ht="15.75" customHeight="1">
      <c r="A284" s="104" t="s">
        <v>769</v>
      </c>
      <c r="B284" s="105" t="s">
        <v>770</v>
      </c>
      <c r="C284" s="106" t="str">
        <f>IFERROR(__xludf.DUMMYFUNCTION("arrayformula(VLOOKUP(to_Text(A284),to_Text(sheet2!$A$1:M1005),13,0))"),"CHORUS")</f>
        <v>CHORUS</v>
      </c>
      <c r="D284" s="107" t="str">
        <f>IFERROR(__xludf.DUMMYFUNCTION("arrayformula(VLOOKUP(to_Text(A284),to_Text(sheet2!$A$1:M1005),12,0))"),"QC")</f>
        <v>QC</v>
      </c>
      <c r="E284" s="108" t="str">
        <f t="shared" si="2"/>
        <v>Inactive</v>
      </c>
      <c r="F284" s="104" t="str">
        <f t="array" ref="F284">IFERROR(
  INDEX(ATTENDANCE_INPUT!D:D,
    MATCH(1,
      (ATTENDANCE_INPUT!A:A=A284) *
      (ATTENDANCE_INPUT!W:W=MAXIFS(ATTENDANCE_INPUT!W:W, ATTENDANCE_INPUT!A:A, A284)),
      0)),
  "")</f>
        <v>Yen Tran 1</v>
      </c>
      <c r="G284" s="109" t="str">
        <f t="array" ref="G284">IFERROR(
  INDEX(ATTENDANCE_INPUT!E:E,
    MATCH(1,
      (ATTENDANCE_INPUT!A:A=A284) *
      (ATTENDANCE_INPUT!W:W=MAXIFS(ATTENDANCE_INPUT!W:W, ATTENDANCE_INPUT!A:A, A284)),
      0)),
  "")</f>
        <v>Communication 1</v>
      </c>
      <c r="H284" s="110" t="str">
        <f t="array" ref="H284">IF(ISNA(MATCH(A284,sheet2!A:A,0)),"⏳ Chưa test",IFERROR(INDEX(LEVEL_HELPER!A:A,MATCH(INDEX(sheet2!N:N,MATCH(A284,sheet2!A:A,0)),LEVEL_HELPER!B:B,0)),"⏳ Chưa test"))</f>
        <v>Beginner</v>
      </c>
      <c r="I284" s="110" t="str">
        <f t="array" ref="I284">IF(ISNA(MATCH(A284,sheet2!A:A,0)),H284,IF(INDEX(sheet2!O:O,MATCH(A284,sheet2!A:A,0))&gt;0,IFERROR(INDEX(LEVEL_HELPER!A:A,MATCH(INDEX(sheet2!O:O,MATCH(A284,sheet2!A:A,0)),LEVEL_HELPER!B:B,0)),H284),H284))</f>
        <v>Beginner</v>
      </c>
      <c r="J284" s="110">
        <f>IFERROR(MAXIFS(ATTENDANCE_LOG!F:F, ATTENDANCE_LOG!C:C, A284&amp;"", ATTENDANCE_LOG!G:G, "Present"), "")</f>
        <v>45887.54167</v>
      </c>
      <c r="K284" s="111">
        <f t="shared" si="3"/>
        <v>325.4583333</v>
      </c>
      <c r="L284" s="112" t="str">
        <f t="shared" si="4"/>
        <v>✅ Completed</v>
      </c>
      <c r="M284" s="113" t="s">
        <v>35</v>
      </c>
      <c r="N284" s="126" t="s">
        <v>34</v>
      </c>
      <c r="O284" s="113"/>
      <c r="P284" s="115">
        <f>IFERROR(__xludf.DUMMYFUNCTION("IFERROR(COUNTUNIQUEIFS(ATTENDANCE_LOG!B:B,ATTENDANCE_LOG!C:C,A284),0)"),1.0)</f>
        <v>1</v>
      </c>
      <c r="Q284" s="113" t="str">
        <f t="array" ref="Q284">IFERROR(INDEX(ATTENDANCE_LOG!A:A,MATCH(1,(ATTENDANCE_LOG!C:C=A284)*(ATTENDANCE_LOG!F:F=MAXIFS(ATTENDANCE_LOG!F:F,ATTENDANCE_LOG!C:C,A284)),0)),"")</f>
        <v>EL028</v>
      </c>
      <c r="R284" s="113" t="str">
        <f t="array" ref="R284">IFERROR(INDEX(ATTENDANCE_LOG!B:B,MATCH(1,(ATTENDANCE_LOG!C:C=A284)*(ATTENDANCE_LOG!F:F=MAXIFS(ATTENDANCE_LOG!F:F,ATTENDANCE_LOG!C:C,A284)),0)),"")</f>
        <v>Communication 1</v>
      </c>
      <c r="S284" s="113">
        <f>IFERROR(VLOOKUP(H284, LEVEL_HELPER!A:B, 2, 0), 0)</f>
        <v>1</v>
      </c>
      <c r="T284" s="113">
        <f>IFERROR(VLOOKUP(I284, LEVEL_HELPER!A:B, 2, 0), 0)</f>
        <v>1</v>
      </c>
      <c r="U284" s="113">
        <f t="shared" ref="U284:V284" si="288">IF(S284="",0,IF(S284&lt;=2,1,IF(S284&lt;=4,2,IF(S284&lt;=5.5,3,4))))
</f>
        <v>1</v>
      </c>
      <c r="V284" s="113">
        <f t="shared" si="288"/>
        <v>1</v>
      </c>
      <c r="W284" s="113" t="str">
        <f t="shared" si="6"/>
        <v>No Progress</v>
      </c>
      <c r="X284" s="113"/>
      <c r="Y284" s="113"/>
      <c r="Z284" s="113"/>
      <c r="AA284" s="113"/>
      <c r="AB284" s="116"/>
      <c r="AC284" s="116"/>
      <c r="AD284" s="117"/>
    </row>
    <row r="285" ht="15.75" customHeight="1">
      <c r="A285" s="104" t="s">
        <v>771</v>
      </c>
      <c r="B285" s="105" t="s">
        <v>772</v>
      </c>
      <c r="C285" s="106" t="str">
        <f>IFERROR(__xludf.DUMMYFUNCTION("arrayformula(VLOOKUP(to_Text(A285),to_Text(sheet2!$A$1:M1005),13,0))"),"CHORUS")</f>
        <v>CHORUS</v>
      </c>
      <c r="D285" s="107" t="str">
        <f>IFERROR(__xludf.DUMMYFUNCTION("arrayformula(VLOOKUP(to_Text(A285),to_Text(sheet2!$A$1:M1005),12,0))"),"UI/UX")</f>
        <v>UI/UX</v>
      </c>
      <c r="E285" s="108" t="str">
        <f t="shared" si="2"/>
        <v>Inactive</v>
      </c>
      <c r="F285" s="104" t="str">
        <f t="array" ref="F285">IFERROR(
  INDEX(ATTENDANCE_INPUT!D:D,
    MATCH(1,
      (ATTENDANCE_INPUT!A:A=A285) *
      (ATTENDANCE_INPUT!W:W=MAXIFS(ATTENDANCE_INPUT!W:W, ATTENDANCE_INPUT!A:A, A285)),
      0)),
  "")</f>
        <v>Yen Tran 1</v>
      </c>
      <c r="G285" s="109" t="str">
        <f t="array" ref="G285">IFERROR(
  INDEX(ATTENDANCE_INPUT!E:E,
    MATCH(1,
      (ATTENDANCE_INPUT!A:A=A285) *
      (ATTENDANCE_INPUT!W:W=MAXIFS(ATTENDANCE_INPUT!W:W, ATTENDANCE_INPUT!A:A, A285)),
      0)),
  "")</f>
        <v>Communication 1</v>
      </c>
      <c r="H285" s="110" t="str">
        <f t="array" ref="H285">IF(ISNA(MATCH(A285,sheet2!A:A,0)),"⏳ Chưa test",IFERROR(INDEX(LEVEL_HELPER!A:A,MATCH(INDEX(sheet2!N:N,MATCH(A285,sheet2!A:A,0)),LEVEL_HELPER!B:B,0)),"⏳ Chưa test"))</f>
        <v>Beginner</v>
      </c>
      <c r="I285" s="110" t="str">
        <f t="array" ref="I285">IF(ISNA(MATCH(A285,sheet2!A:A,0)),H285,IF(INDEX(sheet2!O:O,MATCH(A285,sheet2!A:A,0))&gt;0,IFERROR(INDEX(LEVEL_HELPER!A:A,MATCH(INDEX(sheet2!O:O,MATCH(A285,sheet2!A:A,0)),LEVEL_HELPER!B:B,0)),H285),H285))</f>
        <v>Beginner</v>
      </c>
      <c r="J285" s="110">
        <f>IFERROR(MAXIFS(ATTENDANCE_LOG!F:F, ATTENDANCE_LOG!C:C, A285&amp;"", ATTENDANCE_LOG!G:G, "Present"), "")</f>
        <v>45887.54167</v>
      </c>
      <c r="K285" s="111">
        <f t="shared" si="3"/>
        <v>325.4583333</v>
      </c>
      <c r="L285" s="112" t="str">
        <f t="shared" si="4"/>
        <v>✅ Completed</v>
      </c>
      <c r="M285" s="113" t="s">
        <v>35</v>
      </c>
      <c r="N285" s="126" t="s">
        <v>34</v>
      </c>
      <c r="O285" s="113"/>
      <c r="P285" s="115">
        <f>IFERROR(__xludf.DUMMYFUNCTION("IFERROR(COUNTUNIQUEIFS(ATTENDANCE_LOG!B:B,ATTENDANCE_LOG!C:C,A285),0)"),1.0)</f>
        <v>1</v>
      </c>
      <c r="Q285" s="113" t="str">
        <f t="array" ref="Q285">IFERROR(INDEX(ATTENDANCE_LOG!A:A,MATCH(1,(ATTENDANCE_LOG!C:C=A285)*(ATTENDANCE_LOG!F:F=MAXIFS(ATTENDANCE_LOG!F:F,ATTENDANCE_LOG!C:C,A285)),0)),"")</f>
        <v>EL028</v>
      </c>
      <c r="R285" s="113" t="str">
        <f t="array" ref="R285">IFERROR(INDEX(ATTENDANCE_LOG!B:B,MATCH(1,(ATTENDANCE_LOG!C:C=A285)*(ATTENDANCE_LOG!F:F=MAXIFS(ATTENDANCE_LOG!F:F,ATTENDANCE_LOG!C:C,A285)),0)),"")</f>
        <v>Communication 1</v>
      </c>
      <c r="S285" s="113">
        <f>IFERROR(VLOOKUP(H285, LEVEL_HELPER!A:B, 2, 0), 0)</f>
        <v>1</v>
      </c>
      <c r="T285" s="113">
        <f>IFERROR(VLOOKUP(I285, LEVEL_HELPER!A:B, 2, 0), 0)</f>
        <v>1</v>
      </c>
      <c r="U285" s="113">
        <f t="shared" ref="U285:V285" si="289">IF(S285="",0,IF(S285&lt;=2,1,IF(S285&lt;=4,2,IF(S285&lt;=5.5,3,4))))
</f>
        <v>1</v>
      </c>
      <c r="V285" s="113">
        <f t="shared" si="289"/>
        <v>1</v>
      </c>
      <c r="W285" s="113" t="str">
        <f t="shared" si="6"/>
        <v>No Progress</v>
      </c>
      <c r="X285" s="113"/>
      <c r="Y285" s="113"/>
      <c r="Z285" s="113"/>
      <c r="AA285" s="113"/>
      <c r="AB285" s="116"/>
      <c r="AC285" s="116"/>
      <c r="AD285" s="117"/>
    </row>
    <row r="286" ht="15.75" customHeight="1">
      <c r="A286" s="104" t="s">
        <v>773</v>
      </c>
      <c r="B286" s="105" t="s">
        <v>774</v>
      </c>
      <c r="C286" s="106" t="str">
        <f>IFERROR(__xludf.DUMMYFUNCTION("arrayformula(VLOOKUP(to_Text(A286),to_Text(sheet2!$A$1:M1005),13,0))"),"CHORUS")</f>
        <v>CHORUS</v>
      </c>
      <c r="D286" s="107" t="str">
        <f>IFERROR(__xludf.DUMMYFUNCTION("arrayformula(VLOOKUP(to_Text(A286),to_Text(sheet2!$A$1:M1005),12,0))"),"DEV")</f>
        <v>DEV</v>
      </c>
      <c r="E286" s="108" t="str">
        <f t="shared" si="2"/>
        <v>Inactive</v>
      </c>
      <c r="F286" s="104" t="str">
        <f t="array" ref="F286">IFERROR(
  INDEX(ATTENDANCE_INPUT!D:D,
    MATCH(1,
      (ATTENDANCE_INPUT!A:A=A286) *
      (ATTENDANCE_INPUT!W:W=MAXIFS(ATTENDANCE_INPUT!W:W, ATTENDANCE_INPUT!A:A, A286)),
      0)),
  "")</f>
        <v>Yen Tran 1</v>
      </c>
      <c r="G286" s="109" t="str">
        <f t="array" ref="G286">IFERROR(
  INDEX(ATTENDANCE_INPUT!E:E,
    MATCH(1,
      (ATTENDANCE_INPUT!A:A=A286) *
      (ATTENDANCE_INPUT!W:W=MAXIFS(ATTENDANCE_INPUT!W:W, ATTENDANCE_INPUT!A:A, A286)),
      0)),
  "")</f>
        <v>Communication 1</v>
      </c>
      <c r="H286" s="110" t="str">
        <f t="array" ref="H286">IF(ISNA(MATCH(A286,sheet2!A:A,0)),"⏳ Chưa test",IFERROR(INDEX(LEVEL_HELPER!A:A,MATCH(INDEX(sheet2!N:N,MATCH(A286,sheet2!A:A,0)),LEVEL_HELPER!B:B,0)),"⏳ Chưa test"))</f>
        <v>Beginner</v>
      </c>
      <c r="I286" s="110" t="str">
        <f t="array" ref="I286">IF(ISNA(MATCH(A286,sheet2!A:A,0)),H286,IF(INDEX(sheet2!O:O,MATCH(A286,sheet2!A:A,0))&gt;0,IFERROR(INDEX(LEVEL_HELPER!A:A,MATCH(INDEX(sheet2!O:O,MATCH(A286,sheet2!A:A,0)),LEVEL_HELPER!B:B,0)),H286),H286))</f>
        <v>Pre-Intermediate 1</v>
      </c>
      <c r="J286" s="110">
        <f>IFERROR(MAXIFS(ATTENDANCE_LOG!F:F, ATTENDANCE_LOG!C:C, A286&amp;"", ATTENDANCE_LOG!G:G, "Present"), "")</f>
        <v>45887.54167</v>
      </c>
      <c r="K286" s="111">
        <f t="shared" si="3"/>
        <v>325.4583333</v>
      </c>
      <c r="L286" s="112" t="str">
        <f t="shared" si="4"/>
        <v>✅ Completed</v>
      </c>
      <c r="M286" s="113" t="s">
        <v>35</v>
      </c>
      <c r="N286" s="126" t="s">
        <v>34</v>
      </c>
      <c r="O286" s="113"/>
      <c r="P286" s="115">
        <f>IFERROR(__xludf.DUMMYFUNCTION("IFERROR(COUNTUNIQUEIFS(ATTENDANCE_LOG!B:B,ATTENDANCE_LOG!C:C,A286),0)"),1.0)</f>
        <v>1</v>
      </c>
      <c r="Q286" s="113" t="str">
        <f t="array" ref="Q286">IFERROR(INDEX(ATTENDANCE_LOG!A:A,MATCH(1,(ATTENDANCE_LOG!C:C=A286)*(ATTENDANCE_LOG!F:F=MAXIFS(ATTENDANCE_LOG!F:F,ATTENDANCE_LOG!C:C,A286)),0)),"")</f>
        <v>EL028</v>
      </c>
      <c r="R286" s="113" t="str">
        <f t="array" ref="R286">IFERROR(INDEX(ATTENDANCE_LOG!B:B,MATCH(1,(ATTENDANCE_LOG!C:C=A286)*(ATTENDANCE_LOG!F:F=MAXIFS(ATTENDANCE_LOG!F:F,ATTENDANCE_LOG!C:C,A286)),0)),"")</f>
        <v>Communication 1</v>
      </c>
      <c r="S286" s="113">
        <f>IFERROR(VLOOKUP(H286, LEVEL_HELPER!A:B, 2, 0), 0)</f>
        <v>1</v>
      </c>
      <c r="T286" s="113">
        <f>IFERROR(VLOOKUP(I286, LEVEL_HELPER!A:B, 2, 0), 0)</f>
        <v>3</v>
      </c>
      <c r="U286" s="113">
        <f t="shared" ref="U286:V286" si="290">IF(S286="",0,IF(S286&lt;=2,1,IF(S286&lt;=4,2,IF(S286&lt;=5.5,3,4))))
</f>
        <v>1</v>
      </c>
      <c r="V286" s="113">
        <f t="shared" si="290"/>
        <v>2</v>
      </c>
      <c r="W286" s="113" t="str">
        <f t="shared" si="6"/>
        <v>Lv1→Lv2</v>
      </c>
      <c r="X286" s="113"/>
      <c r="Y286" s="113"/>
      <c r="Z286" s="113"/>
      <c r="AA286" s="113"/>
      <c r="AB286" s="116"/>
      <c r="AC286" s="116"/>
      <c r="AD286" s="117"/>
    </row>
    <row r="287" ht="15.75" customHeight="1">
      <c r="A287" s="104" t="s">
        <v>775</v>
      </c>
      <c r="B287" s="105" t="s">
        <v>776</v>
      </c>
      <c r="C287" s="106" t="str">
        <f>IFERROR(__xludf.DUMMYFUNCTION("arrayformula(VLOOKUP(to_Text(A287),to_Text(sheet2!$A$1:M1005),13,0))"),"CHORUS")</f>
        <v>CHORUS</v>
      </c>
      <c r="D287" s="107" t="str">
        <f>IFERROR(__xludf.DUMMYFUNCTION("arrayformula(VLOOKUP(to_Text(A287),to_Text(sheet2!$A$1:M1005),12,0))"),"PPO")</f>
        <v>PPO</v>
      </c>
      <c r="E287" s="108" t="str">
        <f t="shared" si="2"/>
        <v>Inactive</v>
      </c>
      <c r="F287" s="104" t="str">
        <f t="array" ref="F287">IFERROR(
  INDEX(ATTENDANCE_INPUT!D:D,
    MATCH(1,
      (ATTENDANCE_INPUT!A:A=A287) *
      (ATTENDANCE_INPUT!W:W=MAXIFS(ATTENDANCE_INPUT!W:W, ATTENDANCE_INPUT!A:A, A287)),
      0)),
  "")</f>
        <v>Yen Tran 1</v>
      </c>
      <c r="G287" s="109" t="str">
        <f t="array" ref="G287">IFERROR(
  INDEX(ATTENDANCE_INPUT!E:E,
    MATCH(1,
      (ATTENDANCE_INPUT!A:A=A287) *
      (ATTENDANCE_INPUT!W:W=MAXIFS(ATTENDANCE_INPUT!W:W, ATTENDANCE_INPUT!A:A, A287)),
      0)),
  "")</f>
        <v>Communication 1</v>
      </c>
      <c r="H287" s="110" t="str">
        <f t="array" ref="H287">IF(ISNA(MATCH(A287,sheet2!A:A,0)),"⏳ Chưa test",IFERROR(INDEX(LEVEL_HELPER!A:A,MATCH(INDEX(sheet2!N:N,MATCH(A287,sheet2!A:A,0)),LEVEL_HELPER!B:B,0)),"⏳ Chưa test"))</f>
        <v>Pre-Intermediate</v>
      </c>
      <c r="I287" s="110" t="str">
        <f t="array" ref="I287">IF(ISNA(MATCH(A287,sheet2!A:A,0)),H287,IF(INDEX(sheet2!O:O,MATCH(A287,sheet2!A:A,0))&gt;0,IFERROR(INDEX(LEVEL_HELPER!A:A,MATCH(INDEX(sheet2!O:O,MATCH(A287,sheet2!A:A,0)),LEVEL_HELPER!B:B,0)),H287),H287))</f>
        <v>Intermediate</v>
      </c>
      <c r="J287" s="110">
        <f>IFERROR(MAXIFS(ATTENDANCE_LOG!F:F, ATTENDANCE_LOG!C:C, A287&amp;"", ATTENDANCE_LOG!G:G, "Present"), "")</f>
        <v>45887.54167</v>
      </c>
      <c r="K287" s="111">
        <f t="shared" si="3"/>
        <v>325.4583333</v>
      </c>
      <c r="L287" s="112" t="str">
        <f t="shared" si="4"/>
        <v>✅ Completed</v>
      </c>
      <c r="M287" s="113" t="s">
        <v>35</v>
      </c>
      <c r="N287" s="126" t="s">
        <v>34</v>
      </c>
      <c r="O287" s="113"/>
      <c r="P287" s="115">
        <f>IFERROR(__xludf.DUMMYFUNCTION("IFERROR(COUNTUNIQUEIFS(ATTENDANCE_LOG!B:B,ATTENDANCE_LOG!C:C,A287),0)"),1.0)</f>
        <v>1</v>
      </c>
      <c r="Q287" s="113" t="str">
        <f t="array" ref="Q287">IFERROR(INDEX(ATTENDANCE_LOG!A:A,MATCH(1,(ATTENDANCE_LOG!C:C=A287)*(ATTENDANCE_LOG!F:F=MAXIFS(ATTENDANCE_LOG!F:F,ATTENDANCE_LOG!C:C,A287)),0)),"")</f>
        <v>EL028</v>
      </c>
      <c r="R287" s="113" t="str">
        <f t="array" ref="R287">IFERROR(INDEX(ATTENDANCE_LOG!B:B,MATCH(1,(ATTENDANCE_LOG!C:C=A287)*(ATTENDANCE_LOG!F:F=MAXIFS(ATTENDANCE_LOG!F:F,ATTENDANCE_LOG!C:C,A287)),0)),"")</f>
        <v>Communication 1</v>
      </c>
      <c r="S287" s="113">
        <f>IFERROR(VLOOKUP(H287, LEVEL_HELPER!A:B, 2, 0), 0)</f>
        <v>2.5</v>
      </c>
      <c r="T287" s="113">
        <f>IFERROR(VLOOKUP(I287, LEVEL_HELPER!A:B, 2, 0), 0)</f>
        <v>4.5</v>
      </c>
      <c r="U287" s="113">
        <f t="shared" ref="U287:V287" si="291">IF(S287="",0,IF(S287&lt;=2,1,IF(S287&lt;=4,2,IF(S287&lt;=5.5,3,4))))
</f>
        <v>2</v>
      </c>
      <c r="V287" s="113">
        <f t="shared" si="291"/>
        <v>3</v>
      </c>
      <c r="W287" s="113" t="str">
        <f t="shared" si="6"/>
        <v>Lv2→Lv3</v>
      </c>
      <c r="X287" s="113"/>
      <c r="Y287" s="113"/>
      <c r="Z287" s="113"/>
      <c r="AA287" s="113"/>
      <c r="AB287" s="116"/>
      <c r="AC287" s="116"/>
      <c r="AD287" s="117"/>
    </row>
    <row r="288" ht="15.75" customHeight="1">
      <c r="A288" s="104" t="s">
        <v>777</v>
      </c>
      <c r="B288" s="105" t="s">
        <v>778</v>
      </c>
      <c r="C288" s="106" t="str">
        <f>IFERROR(__xludf.DUMMYFUNCTION("arrayformula(VLOOKUP(to_Text(A288),to_Text(sheet2!$A$1:M1005),13,0))"),"CHORUS")</f>
        <v>CHORUS</v>
      </c>
      <c r="D288" s="107" t="str">
        <f>IFERROR(__xludf.DUMMYFUNCTION("arrayformula(VLOOKUP(to_Text(A288),to_Text(sheet2!$A$1:M1005),12,0))"),"Management")</f>
        <v>Management</v>
      </c>
      <c r="E288" s="108" t="str">
        <f t="shared" si="2"/>
        <v>Inactive</v>
      </c>
      <c r="F288" s="104" t="str">
        <f t="array" ref="F288">IFERROR(
  INDEX(ATTENDANCE_INPUT!D:D,
    MATCH(1,
      (ATTENDANCE_INPUT!A:A=A288) *
      (ATTENDANCE_INPUT!W:W=MAXIFS(ATTENDANCE_INPUT!W:W, ATTENDANCE_INPUT!A:A, A288)),
      0)),
  "")</f>
        <v>Yen Tran 1</v>
      </c>
      <c r="G288" s="109" t="str">
        <f t="array" ref="G288">IFERROR(
  INDEX(ATTENDANCE_INPUT!E:E,
    MATCH(1,
      (ATTENDANCE_INPUT!A:A=A288) *
      (ATTENDANCE_INPUT!W:W=MAXIFS(ATTENDANCE_INPUT!W:W, ATTENDANCE_INPUT!A:A, A288)),
      0)),
  "")</f>
        <v>Communication 1</v>
      </c>
      <c r="H288" s="110" t="str">
        <f t="array" ref="H288">IF(ISNA(MATCH(A288,sheet2!A:A,0)),"⏳ Chưa test",IFERROR(INDEX(LEVEL_HELPER!A:A,MATCH(INDEX(sheet2!N:N,MATCH(A288,sheet2!A:A,0)),LEVEL_HELPER!B:B,0)),"⏳ Chưa test"))</f>
        <v>Intermediate</v>
      </c>
      <c r="I288" s="110" t="str">
        <f t="array" ref="I288">IF(ISNA(MATCH(A288,sheet2!A:A,0)),H288,IF(INDEX(sheet2!O:O,MATCH(A288,sheet2!A:A,0))&gt;0,IFERROR(INDEX(LEVEL_HELPER!A:A,MATCH(INDEX(sheet2!O:O,MATCH(A288,sheet2!A:A,0)),LEVEL_HELPER!B:B,0)),H288),H288))</f>
        <v>Intermediate</v>
      </c>
      <c r="J288" s="110">
        <f>IFERROR(MAXIFS(ATTENDANCE_LOG!F:F, ATTENDANCE_LOG!C:C, A288&amp;"", ATTENDANCE_LOG!G:G, "Present"), "")</f>
        <v>45817.54167</v>
      </c>
      <c r="K288" s="111">
        <f t="shared" si="3"/>
        <v>395.4583333</v>
      </c>
      <c r="L288" s="112" t="str">
        <f t="shared" si="4"/>
        <v>❌ Dropped</v>
      </c>
      <c r="M288" s="113" t="s">
        <v>37</v>
      </c>
      <c r="N288" s="114" t="s">
        <v>34</v>
      </c>
      <c r="O288" s="113"/>
      <c r="P288" s="115">
        <f>IFERROR(__xludf.DUMMYFUNCTION("IFERROR(COUNTUNIQUEIFS(ATTENDANCE_LOG!B:B,ATTENDANCE_LOG!C:C,A288),0)"),1.0)</f>
        <v>1</v>
      </c>
      <c r="Q288" s="113" t="str">
        <f t="array" ref="Q288">IFERROR(INDEX(ATTENDANCE_LOG!A:A,MATCH(1,(ATTENDANCE_LOG!C:C=A288)*(ATTENDANCE_LOG!F:F=MAXIFS(ATTENDANCE_LOG!F:F,ATTENDANCE_LOG!C:C,A288)),0)),"")</f>
        <v>EL028</v>
      </c>
      <c r="R288" s="113" t="str">
        <f t="array" ref="R288">IFERROR(INDEX(ATTENDANCE_LOG!B:B,MATCH(1,(ATTENDANCE_LOG!C:C=A288)*(ATTENDANCE_LOG!F:F=MAXIFS(ATTENDANCE_LOG!F:F,ATTENDANCE_LOG!C:C,A288)),0)),"")</f>
        <v>Communication 1</v>
      </c>
      <c r="S288" s="113">
        <f>IFERROR(VLOOKUP(H288, LEVEL_HELPER!A:B, 2, 0), 0)</f>
        <v>4.5</v>
      </c>
      <c r="T288" s="113">
        <f>IFERROR(VLOOKUP(I288, LEVEL_HELPER!A:B, 2, 0), 0)</f>
        <v>4.5</v>
      </c>
      <c r="U288" s="113">
        <f t="shared" ref="U288:V288" si="292">IF(S288="",0,IF(S288&lt;=2,1,IF(S288&lt;=4,2,IF(S288&lt;=5.5,3,4))))
</f>
        <v>3</v>
      </c>
      <c r="V288" s="113">
        <f t="shared" si="292"/>
        <v>3</v>
      </c>
      <c r="W288" s="113" t="str">
        <f t="shared" si="6"/>
        <v>No Progress</v>
      </c>
      <c r="X288" s="113"/>
      <c r="Y288" s="113"/>
      <c r="Z288" s="113"/>
      <c r="AA288" s="113"/>
      <c r="AB288" s="116"/>
      <c r="AC288" s="116"/>
      <c r="AD288" s="117"/>
    </row>
    <row r="289" ht="15.75" customHeight="1">
      <c r="A289" s="104" t="s">
        <v>779</v>
      </c>
      <c r="B289" s="105" t="s">
        <v>780</v>
      </c>
      <c r="C289" s="106" t="str">
        <f>IFERROR(__xludf.DUMMYFUNCTION("arrayformula(VLOOKUP(to_Text(A289),to_Text(sheet2!$A$1:M1005),13,0))"),"CHORUS")</f>
        <v>CHORUS</v>
      </c>
      <c r="D289" s="107" t="str">
        <f>IFERROR(__xludf.DUMMYFUNCTION("arrayformula(VLOOKUP(to_Text(A289),to_Text(sheet2!$A$1:M1005),12,0))"),"DEV")</f>
        <v>DEV</v>
      </c>
      <c r="E289" s="108" t="str">
        <f t="shared" si="2"/>
        <v>Inactive</v>
      </c>
      <c r="F289" s="104" t="str">
        <f t="array" ref="F289">IFERROR(
  INDEX(ATTENDANCE_INPUT!D:D,
    MATCH(1,
      (ATTENDANCE_INPUT!A:A=A289) *
      (ATTENDANCE_INPUT!W:W=MAXIFS(ATTENDANCE_INPUT!W:W, ATTENDANCE_INPUT!A:A, A289)),
      0)),
  "")</f>
        <v>Yen Tran 1</v>
      </c>
      <c r="G289" s="109" t="str">
        <f t="array" ref="G289">IFERROR(
  INDEX(ATTENDANCE_INPUT!E:E,
    MATCH(1,
      (ATTENDANCE_INPUT!A:A=A289) *
      (ATTENDANCE_INPUT!W:W=MAXIFS(ATTENDANCE_INPUT!W:W, ATTENDANCE_INPUT!A:A, A289)),
      0)),
  "")</f>
        <v>Communication 1</v>
      </c>
      <c r="H289" s="110" t="str">
        <f t="array" ref="H289">IF(ISNA(MATCH(A289,sheet2!A:A,0)),"⏳ Chưa test",IFERROR(INDEX(LEVEL_HELPER!A:A,MATCH(INDEX(sheet2!N:N,MATCH(A289,sheet2!A:A,0)),LEVEL_HELPER!B:B,0)),"⏳ Chưa test"))</f>
        <v>Beginner</v>
      </c>
      <c r="I289" s="110" t="str">
        <f t="array" ref="I289">IF(ISNA(MATCH(A289,sheet2!A:A,0)),H289,IF(INDEX(sheet2!O:O,MATCH(A289,sheet2!A:A,0))&gt;0,IFERROR(INDEX(LEVEL_HELPER!A:A,MATCH(INDEX(sheet2!O:O,MATCH(A289,sheet2!A:A,0)),LEVEL_HELPER!B:B,0)),H289),H289))</f>
        <v>Beginner</v>
      </c>
      <c r="J289" s="110">
        <f>IFERROR(MAXIFS(ATTENDANCE_LOG!F:F, ATTENDANCE_LOG!C:C, A289&amp;"", ATTENDANCE_LOG!G:G, "Present"), "")</f>
        <v>45817.54167</v>
      </c>
      <c r="K289" s="111">
        <f t="shared" si="3"/>
        <v>395.4583333</v>
      </c>
      <c r="L289" s="112" t="str">
        <f t="shared" si="4"/>
        <v>❌ Dropped</v>
      </c>
      <c r="M289" s="113" t="s">
        <v>37</v>
      </c>
      <c r="N289" s="114" t="s">
        <v>34</v>
      </c>
      <c r="O289" s="113"/>
      <c r="P289" s="115">
        <f>IFERROR(__xludf.DUMMYFUNCTION("IFERROR(COUNTUNIQUEIFS(ATTENDANCE_LOG!B:B,ATTENDANCE_LOG!C:C,A289),0)"),1.0)</f>
        <v>1</v>
      </c>
      <c r="Q289" s="113" t="str">
        <f t="array" ref="Q289">IFERROR(INDEX(ATTENDANCE_LOG!A:A,MATCH(1,(ATTENDANCE_LOG!C:C=A289)*(ATTENDANCE_LOG!F:F=MAXIFS(ATTENDANCE_LOG!F:F,ATTENDANCE_LOG!C:C,A289)),0)),"")</f>
        <v>EL028</v>
      </c>
      <c r="R289" s="113" t="str">
        <f t="array" ref="R289">IFERROR(INDEX(ATTENDANCE_LOG!B:B,MATCH(1,(ATTENDANCE_LOG!C:C=A289)*(ATTENDANCE_LOG!F:F=MAXIFS(ATTENDANCE_LOG!F:F,ATTENDANCE_LOG!C:C,A289)),0)),"")</f>
        <v>Communication 1</v>
      </c>
      <c r="S289" s="113">
        <f>IFERROR(VLOOKUP(H289, LEVEL_HELPER!A:B, 2, 0), 0)</f>
        <v>1</v>
      </c>
      <c r="T289" s="113">
        <f>IFERROR(VLOOKUP(I289, LEVEL_HELPER!A:B, 2, 0), 0)</f>
        <v>1</v>
      </c>
      <c r="U289" s="113">
        <f t="shared" ref="U289:V289" si="293">IF(S289="",0,IF(S289&lt;=2,1,IF(S289&lt;=4,2,IF(S289&lt;=5.5,3,4))))
</f>
        <v>1</v>
      </c>
      <c r="V289" s="113">
        <f t="shared" si="293"/>
        <v>1</v>
      </c>
      <c r="W289" s="113" t="str">
        <f t="shared" si="6"/>
        <v>No Progress</v>
      </c>
      <c r="X289" s="113"/>
      <c r="Y289" s="113"/>
      <c r="Z289" s="113"/>
      <c r="AA289" s="113"/>
      <c r="AB289" s="116"/>
      <c r="AC289" s="116"/>
      <c r="AD289" s="117"/>
    </row>
    <row r="290" ht="15.75" customHeight="1">
      <c r="A290" s="104" t="s">
        <v>781</v>
      </c>
      <c r="B290" s="105" t="s">
        <v>782</v>
      </c>
      <c r="C290" s="106" t="str">
        <f>IFERROR(__xludf.DUMMYFUNCTION("arrayformula(VLOOKUP(to_Text(A290),to_Text(sheet2!$A$1:M1005),13,0))"),"CHORUS")</f>
        <v>CHORUS</v>
      </c>
      <c r="D290" s="107" t="str">
        <f>IFERROR(__xludf.DUMMYFUNCTION("arrayformula(VLOOKUP(to_Text(A290),to_Text(sheet2!$A$1:M1005),12,0))"),"DEV")</f>
        <v>DEV</v>
      </c>
      <c r="E290" s="108" t="str">
        <f t="shared" si="2"/>
        <v>Inactive</v>
      </c>
      <c r="F290" s="104" t="str">
        <f t="array" ref="F290">IFERROR(
  INDEX(ATTENDANCE_INPUT!D:D,
    MATCH(1,
      (ATTENDANCE_INPUT!A:A=A290) *
      (ATTENDANCE_INPUT!W:W=MAXIFS(ATTENDANCE_INPUT!W:W, ATTENDANCE_INPUT!A:A, A290)),
      0)),
  "")</f>
        <v>Yen Tran 2</v>
      </c>
      <c r="G290" s="109" t="str">
        <f t="array" ref="G290">IFERROR(
  INDEX(ATTENDANCE_INPUT!E:E,
    MATCH(1,
      (ATTENDANCE_INPUT!A:A=A290) *
      (ATTENDANCE_INPUT!W:W=MAXIFS(ATTENDANCE_INPUT!W:W, ATTENDANCE_INPUT!A:A, A290)),
      0)),
  "")</f>
        <v>Communication 1</v>
      </c>
      <c r="H290" s="110" t="str">
        <f t="array" ref="H290">IF(ISNA(MATCH(A290,sheet2!A:A,0)),"⏳ Chưa test",IFERROR(INDEX(LEVEL_HELPER!A:A,MATCH(INDEX(sheet2!N:N,MATCH(A290,sheet2!A:A,0)),LEVEL_HELPER!B:B,0)),"⏳ Chưa test"))</f>
        <v>Pre-Intermediate</v>
      </c>
      <c r="I290" s="110" t="str">
        <f t="array" ref="I290">IF(ISNA(MATCH(A290,sheet2!A:A,0)),H290,IF(INDEX(sheet2!O:O,MATCH(A290,sheet2!A:A,0))&gt;0,IFERROR(INDEX(LEVEL_HELPER!A:A,MATCH(INDEX(sheet2!O:O,MATCH(A290,sheet2!A:A,0)),LEVEL_HELPER!B:B,0)),H290),H290))</f>
        <v>Intermediate</v>
      </c>
      <c r="J290" s="110">
        <f>IFERROR(MAXIFS(ATTENDANCE_LOG!F:F, ATTENDANCE_LOG!C:C, A290&amp;"", ATTENDANCE_LOG!G:G, "Present"), "")</f>
        <v>45859.54167</v>
      </c>
      <c r="K290" s="111">
        <f t="shared" si="3"/>
        <v>353.4583333</v>
      </c>
      <c r="L290" s="112" t="str">
        <f t="shared" si="4"/>
        <v>✅ Completed</v>
      </c>
      <c r="M290" s="113" t="s">
        <v>35</v>
      </c>
      <c r="N290" s="126" t="s">
        <v>38</v>
      </c>
      <c r="O290" s="113"/>
      <c r="P290" s="115">
        <f>IFERROR(__xludf.DUMMYFUNCTION("IFERROR(COUNTUNIQUEIFS(ATTENDANCE_LOG!B:B,ATTENDANCE_LOG!C:C,A290),0)"),1.0)</f>
        <v>1</v>
      </c>
      <c r="Q290" s="113" t="str">
        <f t="array" ref="Q290">IFERROR(INDEX(ATTENDANCE_LOG!A:A,MATCH(1,(ATTENDANCE_LOG!C:C=A290)*(ATTENDANCE_LOG!F:F=MAXIFS(ATTENDANCE_LOG!F:F,ATTENDANCE_LOG!C:C,A290)),0)),"")</f>
        <v>EL029</v>
      </c>
      <c r="R290" s="113" t="str">
        <f t="array" ref="R290">IFERROR(INDEX(ATTENDANCE_LOG!B:B,MATCH(1,(ATTENDANCE_LOG!C:C=A290)*(ATTENDANCE_LOG!F:F=MAXIFS(ATTENDANCE_LOG!F:F,ATTENDANCE_LOG!C:C,A290)),0)),"")</f>
        <v>Communication 1</v>
      </c>
      <c r="S290" s="113">
        <f>IFERROR(VLOOKUP(H290, LEVEL_HELPER!A:B, 2, 0), 0)</f>
        <v>2.5</v>
      </c>
      <c r="T290" s="113">
        <f>IFERROR(VLOOKUP(I290, LEVEL_HELPER!A:B, 2, 0), 0)</f>
        <v>4.5</v>
      </c>
      <c r="U290" s="113">
        <f t="shared" ref="U290:V290" si="294">IF(S290="",0,IF(S290&lt;=2,1,IF(S290&lt;=4,2,IF(S290&lt;=5.5,3,4))))
</f>
        <v>2</v>
      </c>
      <c r="V290" s="113">
        <f t="shared" si="294"/>
        <v>3</v>
      </c>
      <c r="W290" s="113" t="str">
        <f t="shared" si="6"/>
        <v>Lv2→Lv3</v>
      </c>
      <c r="X290" s="113"/>
      <c r="Y290" s="113"/>
      <c r="Z290" s="113"/>
      <c r="AA290" s="113"/>
      <c r="AB290" s="116"/>
      <c r="AC290" s="116"/>
      <c r="AD290" s="117"/>
    </row>
    <row r="291" ht="15.75" customHeight="1">
      <c r="A291" s="104" t="s">
        <v>783</v>
      </c>
      <c r="B291" s="105" t="s">
        <v>784</v>
      </c>
      <c r="C291" s="106" t="str">
        <f>IFERROR(__xludf.DUMMYFUNCTION("arrayformula(VLOOKUP(to_Text(A291),to_Text(sheet2!$A$1:M1005),13,0))"),"CHORUS")</f>
        <v>CHORUS</v>
      </c>
      <c r="D291" s="107" t="str">
        <f>IFERROR(__xludf.DUMMYFUNCTION("arrayformula(VLOOKUP(to_Text(A291),to_Text(sheet2!$A$1:M1005),12,0))"),"DEV")</f>
        <v>DEV</v>
      </c>
      <c r="E291" s="108" t="str">
        <f t="shared" si="2"/>
        <v>Inactive</v>
      </c>
      <c r="F291" s="104" t="str">
        <f t="array" ref="F291">IFERROR(
  INDEX(ATTENDANCE_INPUT!D:D,
    MATCH(1,
      (ATTENDANCE_INPUT!A:A=A291) *
      (ATTENDANCE_INPUT!W:W=MAXIFS(ATTENDANCE_INPUT!W:W, ATTENDANCE_INPUT!A:A, A291)),
      0)),
  "")</f>
        <v>Yen Tran 2</v>
      </c>
      <c r="G291" s="109" t="str">
        <f t="array" ref="G291">IFERROR(
  INDEX(ATTENDANCE_INPUT!E:E,
    MATCH(1,
      (ATTENDANCE_INPUT!A:A=A291) *
      (ATTENDANCE_INPUT!W:W=MAXIFS(ATTENDANCE_INPUT!W:W, ATTENDANCE_INPUT!A:A, A291)),
      0)),
  "")</f>
        <v>Communication 1</v>
      </c>
      <c r="H291" s="110" t="str">
        <f t="array" ref="H291">IF(ISNA(MATCH(A291,sheet2!A:A,0)),"⏳ Chưa test",IFERROR(INDEX(LEVEL_HELPER!A:A,MATCH(INDEX(sheet2!N:N,MATCH(A291,sheet2!A:A,0)),LEVEL_HELPER!B:B,0)),"⏳ Chưa test"))</f>
        <v>Beginner</v>
      </c>
      <c r="I291" s="110" t="str">
        <f t="array" ref="I291">IF(ISNA(MATCH(A291,sheet2!A:A,0)),H291,IF(INDEX(sheet2!O:O,MATCH(A291,sheet2!A:A,0))&gt;0,IFERROR(INDEX(LEVEL_HELPER!A:A,MATCH(INDEX(sheet2!O:O,MATCH(A291,sheet2!A:A,0)),LEVEL_HELPER!B:B,0)),H291),H291))</f>
        <v>Beginner 2</v>
      </c>
      <c r="J291" s="110">
        <f>IFERROR(MAXIFS(ATTENDANCE_LOG!F:F, ATTENDANCE_LOG!C:C, A291&amp;"", ATTENDANCE_LOG!G:G, "Present"), "")</f>
        <v>45859.54167</v>
      </c>
      <c r="K291" s="111">
        <f t="shared" si="3"/>
        <v>353.4583333</v>
      </c>
      <c r="L291" s="112" t="str">
        <f t="shared" si="4"/>
        <v>✅ Completed</v>
      </c>
      <c r="M291" s="113" t="s">
        <v>35</v>
      </c>
      <c r="N291" s="126" t="s">
        <v>38</v>
      </c>
      <c r="O291" s="113"/>
      <c r="P291" s="115">
        <f>IFERROR(__xludf.DUMMYFUNCTION("IFERROR(COUNTUNIQUEIFS(ATTENDANCE_LOG!B:B,ATTENDANCE_LOG!C:C,A291),0)"),1.0)</f>
        <v>1</v>
      </c>
      <c r="Q291" s="113" t="str">
        <f t="array" ref="Q291">IFERROR(INDEX(ATTENDANCE_LOG!A:A,MATCH(1,(ATTENDANCE_LOG!C:C=A291)*(ATTENDANCE_LOG!F:F=MAXIFS(ATTENDANCE_LOG!F:F,ATTENDANCE_LOG!C:C,A291)),0)),"")</f>
        <v>EL029</v>
      </c>
      <c r="R291" s="113" t="str">
        <f t="array" ref="R291">IFERROR(INDEX(ATTENDANCE_LOG!B:B,MATCH(1,(ATTENDANCE_LOG!C:C=A291)*(ATTENDANCE_LOG!F:F=MAXIFS(ATTENDANCE_LOG!F:F,ATTENDANCE_LOG!C:C,A291)),0)),"")</f>
        <v>Communication 1</v>
      </c>
      <c r="S291" s="113">
        <f>IFERROR(VLOOKUP(H291, LEVEL_HELPER!A:B, 2, 0), 0)</f>
        <v>1</v>
      </c>
      <c r="T291" s="113">
        <f>IFERROR(VLOOKUP(I291, LEVEL_HELPER!A:B, 2, 0), 0)</f>
        <v>1.5</v>
      </c>
      <c r="U291" s="113">
        <f t="shared" ref="U291:V291" si="295">IF(S291="",0,IF(S291&lt;=2,1,IF(S291&lt;=4,2,IF(S291&lt;=5.5,3,4))))
</f>
        <v>1</v>
      </c>
      <c r="V291" s="113">
        <f t="shared" si="295"/>
        <v>1</v>
      </c>
      <c r="W291" s="113" t="str">
        <f t="shared" si="6"/>
        <v>Minor Improvement</v>
      </c>
      <c r="X291" s="113"/>
      <c r="Y291" s="113"/>
      <c r="Z291" s="113"/>
      <c r="AA291" s="113"/>
      <c r="AB291" s="116"/>
      <c r="AC291" s="116"/>
      <c r="AD291" s="117"/>
    </row>
    <row r="292" ht="15.75" customHeight="1">
      <c r="A292" s="104" t="s">
        <v>785</v>
      </c>
      <c r="B292" s="105" t="s">
        <v>786</v>
      </c>
      <c r="C292" s="106" t="str">
        <f>IFERROR(__xludf.DUMMYFUNCTION("arrayformula(VLOOKUP(to_Text(A292),to_Text(sheet2!$A$1:M1005),13,0))"),"CHORUS")</f>
        <v>CHORUS</v>
      </c>
      <c r="D292" s="107" t="str">
        <f>IFERROR(__xludf.DUMMYFUNCTION("arrayformula(VLOOKUP(to_Text(A292),to_Text(sheet2!$A$1:M1005),12,0))"),"DEV")</f>
        <v>DEV</v>
      </c>
      <c r="E292" s="108" t="str">
        <f t="shared" si="2"/>
        <v>Inactive</v>
      </c>
      <c r="F292" s="104" t="str">
        <f t="array" ref="F292">IFERROR(
  INDEX(ATTENDANCE_INPUT!D:D,
    MATCH(1,
      (ATTENDANCE_INPUT!A:A=A292) *
      (ATTENDANCE_INPUT!W:W=MAXIFS(ATTENDANCE_INPUT!W:W, ATTENDANCE_INPUT!A:A, A292)),
      0)),
  "")</f>
        <v>Yen Tran 2</v>
      </c>
      <c r="G292" s="109" t="str">
        <f t="array" ref="G292">IFERROR(
  INDEX(ATTENDANCE_INPUT!E:E,
    MATCH(1,
      (ATTENDANCE_INPUT!A:A=A292) *
      (ATTENDANCE_INPUT!W:W=MAXIFS(ATTENDANCE_INPUT!W:W, ATTENDANCE_INPUT!A:A, A292)),
      0)),
  "")</f>
        <v>Communication 1</v>
      </c>
      <c r="H292" s="110" t="str">
        <f t="array" ref="H292">IF(ISNA(MATCH(A292,sheet2!A:A,0)),"⏳ Chưa test",IFERROR(INDEX(LEVEL_HELPER!A:A,MATCH(INDEX(sheet2!N:N,MATCH(A292,sheet2!A:A,0)),LEVEL_HELPER!B:B,0)),"⏳ Chưa test"))</f>
        <v>Beginner</v>
      </c>
      <c r="I292" s="110" t="str">
        <f t="array" ref="I292">IF(ISNA(MATCH(A292,sheet2!A:A,0)),H292,IF(INDEX(sheet2!O:O,MATCH(A292,sheet2!A:A,0))&gt;0,IFERROR(INDEX(LEVEL_HELPER!A:A,MATCH(INDEX(sheet2!O:O,MATCH(A292,sheet2!A:A,0)),LEVEL_HELPER!B:B,0)),H292),H292))</f>
        <v>Pre-Intermediate 2</v>
      </c>
      <c r="J292" s="110">
        <f>IFERROR(MAXIFS(ATTENDANCE_LOG!F:F, ATTENDANCE_LOG!C:C, A292&amp;"", ATTENDANCE_LOG!G:G, "Present"), "")</f>
        <v>45859.54167</v>
      </c>
      <c r="K292" s="111">
        <f t="shared" si="3"/>
        <v>353.4583333</v>
      </c>
      <c r="L292" s="112" t="str">
        <f t="shared" si="4"/>
        <v>✅ Completed</v>
      </c>
      <c r="M292" s="113" t="s">
        <v>35</v>
      </c>
      <c r="N292" s="126" t="s">
        <v>38</v>
      </c>
      <c r="O292" s="113"/>
      <c r="P292" s="115">
        <f>IFERROR(__xludf.DUMMYFUNCTION("IFERROR(COUNTUNIQUEIFS(ATTENDANCE_LOG!B:B,ATTENDANCE_LOG!C:C,A292),0)"),1.0)</f>
        <v>1</v>
      </c>
      <c r="Q292" s="113" t="str">
        <f t="array" ref="Q292">IFERROR(INDEX(ATTENDANCE_LOG!A:A,MATCH(1,(ATTENDANCE_LOG!C:C=A292)*(ATTENDANCE_LOG!F:F=MAXIFS(ATTENDANCE_LOG!F:F,ATTENDANCE_LOG!C:C,A292)),0)),"")</f>
        <v>EL029</v>
      </c>
      <c r="R292" s="113" t="str">
        <f t="array" ref="R292">IFERROR(INDEX(ATTENDANCE_LOG!B:B,MATCH(1,(ATTENDANCE_LOG!C:C=A292)*(ATTENDANCE_LOG!F:F=MAXIFS(ATTENDANCE_LOG!F:F,ATTENDANCE_LOG!C:C,A292)),0)),"")</f>
        <v>Communication 1</v>
      </c>
      <c r="S292" s="113">
        <f>IFERROR(VLOOKUP(H292, LEVEL_HELPER!A:B, 2, 0), 0)</f>
        <v>1</v>
      </c>
      <c r="T292" s="113">
        <f>IFERROR(VLOOKUP(I292, LEVEL_HELPER!A:B, 2, 0), 0)</f>
        <v>3.5</v>
      </c>
      <c r="U292" s="113">
        <f t="shared" ref="U292:V292" si="296">IF(S292="",0,IF(S292&lt;=2,1,IF(S292&lt;=4,2,IF(S292&lt;=5.5,3,4))))
</f>
        <v>1</v>
      </c>
      <c r="V292" s="113">
        <f t="shared" si="296"/>
        <v>2</v>
      </c>
      <c r="W292" s="113" t="str">
        <f t="shared" si="6"/>
        <v>Lv1→Lv2</v>
      </c>
      <c r="X292" s="113"/>
      <c r="Y292" s="113"/>
      <c r="Z292" s="113"/>
      <c r="AA292" s="113"/>
      <c r="AB292" s="116"/>
      <c r="AC292" s="116"/>
      <c r="AD292" s="117"/>
    </row>
    <row r="293" ht="15.75" customHeight="1">
      <c r="A293" s="104" t="s">
        <v>787</v>
      </c>
      <c r="B293" s="105" t="s">
        <v>788</v>
      </c>
      <c r="C293" s="106" t="str">
        <f>IFERROR(__xludf.DUMMYFUNCTION("arrayformula(VLOOKUP(to_Text(A293),to_Text(sheet2!$A$1:M1005),13,0))"),"CHORUS")</f>
        <v>CHORUS</v>
      </c>
      <c r="D293" s="107" t="str">
        <f>IFERROR(__xludf.DUMMYFUNCTION("arrayformula(VLOOKUP(to_Text(A293),to_Text(sheet2!$A$1:M1005),12,0))"),"DEV")</f>
        <v>DEV</v>
      </c>
      <c r="E293" s="108" t="str">
        <f t="shared" si="2"/>
        <v>Inactive</v>
      </c>
      <c r="F293" s="104" t="str">
        <f t="array" ref="F293">IFERROR(
  INDEX(ATTENDANCE_INPUT!D:D,
    MATCH(1,
      (ATTENDANCE_INPUT!A:A=A293) *
      (ATTENDANCE_INPUT!W:W=MAXIFS(ATTENDANCE_INPUT!W:W, ATTENDANCE_INPUT!A:A, A293)),
      0)),
  "")</f>
        <v>Yen Tran 2</v>
      </c>
      <c r="G293" s="109" t="str">
        <f t="array" ref="G293">IFERROR(
  INDEX(ATTENDANCE_INPUT!E:E,
    MATCH(1,
      (ATTENDANCE_INPUT!A:A=A293) *
      (ATTENDANCE_INPUT!W:W=MAXIFS(ATTENDANCE_INPUT!W:W, ATTENDANCE_INPUT!A:A, A293)),
      0)),
  "")</f>
        <v>Communication 1</v>
      </c>
      <c r="H293" s="110" t="str">
        <f t="array" ref="H293">IF(ISNA(MATCH(A293,sheet2!A:A,0)),"⏳ Chưa test",IFERROR(INDEX(LEVEL_HELPER!A:A,MATCH(INDEX(sheet2!N:N,MATCH(A293,sheet2!A:A,0)),LEVEL_HELPER!B:B,0)),"⏳ Chưa test"))</f>
        <v>Beginner</v>
      </c>
      <c r="I293" s="110" t="str">
        <f t="array" ref="I293">IF(ISNA(MATCH(A293,sheet2!A:A,0)),H293,IF(INDEX(sheet2!O:O,MATCH(A293,sheet2!A:A,0))&gt;0,IFERROR(INDEX(LEVEL_HELPER!A:A,MATCH(INDEX(sheet2!O:O,MATCH(A293,sheet2!A:A,0)),LEVEL_HELPER!B:B,0)),H293),H293))</f>
        <v>Beginner</v>
      </c>
      <c r="J293" s="110">
        <f>IFERROR(MAXIFS(ATTENDANCE_LOG!F:F, ATTENDANCE_LOG!C:C, A293&amp;"", ATTENDANCE_LOG!G:G, "Present"), "")</f>
        <v>45859.54167</v>
      </c>
      <c r="K293" s="111">
        <f t="shared" si="3"/>
        <v>353.4583333</v>
      </c>
      <c r="L293" s="112" t="str">
        <f t="shared" si="4"/>
        <v>✅ Completed</v>
      </c>
      <c r="M293" s="113" t="s">
        <v>35</v>
      </c>
      <c r="N293" s="126" t="s">
        <v>38</v>
      </c>
      <c r="O293" s="113"/>
      <c r="P293" s="115">
        <f>IFERROR(__xludf.DUMMYFUNCTION("IFERROR(COUNTUNIQUEIFS(ATTENDANCE_LOG!B:B,ATTENDANCE_LOG!C:C,A293),0)"),1.0)</f>
        <v>1</v>
      </c>
      <c r="Q293" s="113" t="str">
        <f t="array" ref="Q293">IFERROR(INDEX(ATTENDANCE_LOG!A:A,MATCH(1,(ATTENDANCE_LOG!C:C=A293)*(ATTENDANCE_LOG!F:F=MAXIFS(ATTENDANCE_LOG!F:F,ATTENDANCE_LOG!C:C,A293)),0)),"")</f>
        <v>EL029</v>
      </c>
      <c r="R293" s="113" t="str">
        <f t="array" ref="R293">IFERROR(INDEX(ATTENDANCE_LOG!B:B,MATCH(1,(ATTENDANCE_LOG!C:C=A293)*(ATTENDANCE_LOG!F:F=MAXIFS(ATTENDANCE_LOG!F:F,ATTENDANCE_LOG!C:C,A293)),0)),"")</f>
        <v>Communication 1</v>
      </c>
      <c r="S293" s="113">
        <f>IFERROR(VLOOKUP(H293, LEVEL_HELPER!A:B, 2, 0), 0)</f>
        <v>1</v>
      </c>
      <c r="T293" s="113">
        <f>IFERROR(VLOOKUP(I293, LEVEL_HELPER!A:B, 2, 0), 0)</f>
        <v>1</v>
      </c>
      <c r="U293" s="113">
        <f t="shared" ref="U293:V293" si="297">IF(S293="",0,IF(S293&lt;=2,1,IF(S293&lt;=4,2,IF(S293&lt;=5.5,3,4))))
</f>
        <v>1</v>
      </c>
      <c r="V293" s="113">
        <f t="shared" si="297"/>
        <v>1</v>
      </c>
      <c r="W293" s="113" t="str">
        <f t="shared" si="6"/>
        <v>No Progress</v>
      </c>
      <c r="X293" s="113"/>
      <c r="Y293" s="113"/>
      <c r="Z293" s="113"/>
      <c r="AA293" s="113"/>
      <c r="AB293" s="116"/>
      <c r="AC293" s="116"/>
      <c r="AD293" s="117"/>
    </row>
    <row r="294" ht="15.75" customHeight="1">
      <c r="A294" s="104" t="s">
        <v>789</v>
      </c>
      <c r="B294" s="105" t="s">
        <v>790</v>
      </c>
      <c r="C294" s="106" t="str">
        <f>IFERROR(__xludf.DUMMYFUNCTION("arrayformula(VLOOKUP(to_Text(A294),to_Text(sheet2!$A$1:M1005),13,0))"),"CHORUS")</f>
        <v>CHORUS</v>
      </c>
      <c r="D294" s="107" t="str">
        <f>IFERROR(__xludf.DUMMYFUNCTION("arrayformula(VLOOKUP(to_Text(A294),to_Text(sheet2!$A$1:M1005),12,0))"),"QC")</f>
        <v>QC</v>
      </c>
      <c r="E294" s="108" t="str">
        <f t="shared" si="2"/>
        <v>Inactive</v>
      </c>
      <c r="F294" s="104" t="str">
        <f t="array" ref="F294">IFERROR(
  INDEX(ATTENDANCE_INPUT!D:D,
    MATCH(1,
      (ATTENDANCE_INPUT!A:A=A294) *
      (ATTENDANCE_INPUT!W:W=MAXIFS(ATTENDANCE_INPUT!W:W, ATTENDANCE_INPUT!A:A, A294)),
      0)),
  "")</f>
        <v>Yen Tran 2</v>
      </c>
      <c r="G294" s="109" t="str">
        <f t="array" ref="G294">IFERROR(
  INDEX(ATTENDANCE_INPUT!E:E,
    MATCH(1,
      (ATTENDANCE_INPUT!A:A=A294) *
      (ATTENDANCE_INPUT!W:W=MAXIFS(ATTENDANCE_INPUT!W:W, ATTENDANCE_INPUT!A:A, A294)),
      0)),
  "")</f>
        <v>Communication 1</v>
      </c>
      <c r="H294" s="110" t="str">
        <f t="array" ref="H294">IF(ISNA(MATCH(A294,sheet2!A:A,0)),"⏳ Chưa test",IFERROR(INDEX(LEVEL_HELPER!A:A,MATCH(INDEX(sheet2!N:N,MATCH(A294,sheet2!A:A,0)),LEVEL_HELPER!B:B,0)),"⏳ Chưa test"))</f>
        <v>Pre-Intermediate</v>
      </c>
      <c r="I294" s="110" t="str">
        <f t="array" ref="I294">IF(ISNA(MATCH(A294,sheet2!A:A,0)),H294,IF(INDEX(sheet2!O:O,MATCH(A294,sheet2!A:A,0))&gt;0,IFERROR(INDEX(LEVEL_HELPER!A:A,MATCH(INDEX(sheet2!O:O,MATCH(A294,sheet2!A:A,0)),LEVEL_HELPER!B:B,0)),H294),H294))</f>
        <v>Beginner 2</v>
      </c>
      <c r="J294" s="110">
        <f>IFERROR(MAXIFS(ATTENDANCE_LOG!F:F, ATTENDANCE_LOG!C:C, A294&amp;"", ATTENDANCE_LOG!G:G, "Present"), "")</f>
        <v>45859.54167</v>
      </c>
      <c r="K294" s="111">
        <f t="shared" si="3"/>
        <v>353.4583333</v>
      </c>
      <c r="L294" s="112" t="str">
        <f t="shared" si="4"/>
        <v>✅ Completed</v>
      </c>
      <c r="M294" s="113" t="s">
        <v>35</v>
      </c>
      <c r="N294" s="126" t="s">
        <v>38</v>
      </c>
      <c r="O294" s="113"/>
      <c r="P294" s="115">
        <f>IFERROR(__xludf.DUMMYFUNCTION("IFERROR(COUNTUNIQUEIFS(ATTENDANCE_LOG!B:B,ATTENDANCE_LOG!C:C,A294),0)"),1.0)</f>
        <v>1</v>
      </c>
      <c r="Q294" s="113" t="str">
        <f t="array" ref="Q294">IFERROR(INDEX(ATTENDANCE_LOG!A:A,MATCH(1,(ATTENDANCE_LOG!C:C=A294)*(ATTENDANCE_LOG!F:F=MAXIFS(ATTENDANCE_LOG!F:F,ATTENDANCE_LOG!C:C,A294)),0)),"")</f>
        <v>EL029</v>
      </c>
      <c r="R294" s="113" t="str">
        <f t="array" ref="R294">IFERROR(INDEX(ATTENDANCE_LOG!B:B,MATCH(1,(ATTENDANCE_LOG!C:C=A294)*(ATTENDANCE_LOG!F:F=MAXIFS(ATTENDANCE_LOG!F:F,ATTENDANCE_LOG!C:C,A294)),0)),"")</f>
        <v>Communication 1</v>
      </c>
      <c r="S294" s="113">
        <f>IFERROR(VLOOKUP(H294, LEVEL_HELPER!A:B, 2, 0), 0)</f>
        <v>2.5</v>
      </c>
      <c r="T294" s="113">
        <f>IFERROR(VLOOKUP(I294, LEVEL_HELPER!A:B, 2, 0), 0)</f>
        <v>1.5</v>
      </c>
      <c r="U294" s="113">
        <f t="shared" ref="U294:V294" si="298">IF(S294="",0,IF(S294&lt;=2,1,IF(S294&lt;=4,2,IF(S294&lt;=5.5,3,4))))
</f>
        <v>2</v>
      </c>
      <c r="V294" s="113">
        <f t="shared" si="298"/>
        <v>1</v>
      </c>
      <c r="W294" s="113" t="str">
        <f t="shared" si="6"/>
        <v>Regressed</v>
      </c>
      <c r="X294" s="113"/>
      <c r="Y294" s="113"/>
      <c r="Z294" s="113"/>
      <c r="AA294" s="113"/>
      <c r="AB294" s="116"/>
      <c r="AC294" s="116"/>
      <c r="AD294" s="117"/>
    </row>
    <row r="295" ht="15.75" customHeight="1">
      <c r="A295" s="104" t="s">
        <v>791</v>
      </c>
      <c r="B295" s="105" t="s">
        <v>792</v>
      </c>
      <c r="C295" s="106" t="str">
        <f>IFERROR(__xludf.DUMMYFUNCTION("arrayformula(VLOOKUP(to_Text(A295),to_Text(sheet2!$A$1:M1005),13,0))"),"")</f>
        <v/>
      </c>
      <c r="D295" s="107" t="str">
        <f>IFERROR(__xludf.DUMMYFUNCTION("arrayformula(VLOOKUP(to_Text(A295),to_Text(sheet2!$A$1:M1005),12,0))"),"")</f>
        <v/>
      </c>
      <c r="E295" s="108" t="s">
        <v>16</v>
      </c>
      <c r="F295" s="104" t="str">
        <f t="array" ref="F295">IFERROR(
  INDEX(ATTENDANCE_INPUT!D:D,
    MATCH(1,
      (ATTENDANCE_INPUT!A:A=A295) *
      (ATTENDANCE_INPUT!W:W=MAXIFS(ATTENDANCE_INPUT!W:W, ATTENDANCE_INPUT!A:A, A295)),
      0)),
  "")</f>
        <v>Trang Nguyen</v>
      </c>
      <c r="G295" s="109" t="str">
        <f t="array" ref="G295">IFERROR(
  INDEX(ATTENDANCE_INPUT!E:E,
    MATCH(1,
      (ATTENDANCE_INPUT!A:A=A295) *
      (ATTENDANCE_INPUT!W:W=MAXIFS(ATTENDANCE_INPUT!W:W, ATTENDANCE_INPUT!A:A, A295)),
      0)),
  "")</f>
        <v>Communication 1</v>
      </c>
      <c r="H295" s="110" t="str">
        <f t="array" ref="H295">IF(ISNA(MATCH(A295,sheet2!A:A,0)),"⏳ Chưa test",IFERROR(INDEX(LEVEL_HELPER!A:A,MATCH(INDEX(sheet2!N:N,MATCH(A295,sheet2!A:A,0)),LEVEL_HELPER!B:B,0)),"⏳ Chưa test"))</f>
        <v>Not Placement</v>
      </c>
      <c r="I295" s="110" t="str">
        <f t="array" ref="I295">IF(ISNA(MATCH(A295,sheet2!A:A,0)),H295,IF(INDEX(sheet2!O:O,MATCH(A295,sheet2!A:A,0))&gt;0,IFERROR(INDEX(LEVEL_HELPER!A:A,MATCH(INDEX(sheet2!O:O,MATCH(A295,sheet2!A:A,0)),LEVEL_HELPER!B:B,0)),H295),H295))</f>
        <v>Not Placement</v>
      </c>
      <c r="J295" s="110">
        <f>IFERROR(MAXIFS(ATTENDANCE_LOG!F:F, ATTENDANCE_LOG!C:C, A295&amp;"", ATTENDANCE_LOG!G:G, "Present"), "")</f>
        <v>46210.58333</v>
      </c>
      <c r="K295" s="111">
        <f t="shared" si="3"/>
        <v>2.416666667</v>
      </c>
      <c r="L295" s="112"/>
      <c r="M295" s="113"/>
      <c r="N295" s="126"/>
      <c r="O295" s="113"/>
      <c r="P295" s="115"/>
      <c r="Q295" s="113"/>
      <c r="R295" s="113"/>
      <c r="S295" s="113"/>
      <c r="T295" s="113"/>
      <c r="U295" s="113"/>
      <c r="V295" s="113"/>
      <c r="W295" s="113"/>
      <c r="X295" s="113"/>
      <c r="Y295" s="113"/>
      <c r="Z295" s="113"/>
      <c r="AA295" s="113"/>
      <c r="AB295" s="116"/>
      <c r="AC295" s="116"/>
      <c r="AD295" s="117"/>
    </row>
    <row r="296" ht="15.75" customHeight="1">
      <c r="A296" s="104" t="s">
        <v>793</v>
      </c>
      <c r="B296" s="105" t="s">
        <v>794</v>
      </c>
      <c r="C296" s="106" t="str">
        <f>IFERROR(__xludf.DUMMYFUNCTION("arrayformula(VLOOKUP(to_Text(A296),to_Text(sheet2!$A$1:M1005),13,0))"),"")</f>
        <v/>
      </c>
      <c r="D296" s="107" t="str">
        <f>IFERROR(__xludf.DUMMYFUNCTION("arrayformula(VLOOKUP(to_Text(A296),to_Text(sheet2!$A$1:M1005),12,0))"),"")</f>
        <v/>
      </c>
      <c r="E296" s="108" t="s">
        <v>16</v>
      </c>
      <c r="F296" s="104" t="str">
        <f t="array" ref="F296">IFERROR(
  INDEX(ATTENDANCE_INPUT!D:D,
    MATCH(1,
      (ATTENDANCE_INPUT!A:A=A296) *
      (ATTENDANCE_INPUT!W:W=MAXIFS(ATTENDANCE_INPUT!W:W, ATTENDANCE_INPUT!A:A, A296)),
      0)),
  "")</f>
        <v>Duong Pham</v>
      </c>
      <c r="G296" s="109" t="str">
        <f t="array" ref="G296">IFERROR(
  INDEX(ATTENDANCE_INPUT!E:E,
    MATCH(1,
      (ATTENDANCE_INPUT!A:A=A296) *
      (ATTENDANCE_INPUT!W:W=MAXIFS(ATTENDANCE_INPUT!W:W, ATTENDANCE_INPUT!A:A, A296)),
      0)),
  "")</f>
        <v>Foundation</v>
      </c>
      <c r="H296" s="110" t="str">
        <f t="array" ref="H296">IF(ISNA(MATCH(A296,sheet2!A:A,0)),"⏳ Chưa test",IFERROR(INDEX(LEVEL_HELPER!A:A,MATCH(INDEX(sheet2!N:N,MATCH(A296,sheet2!A:A,0)),LEVEL_HELPER!B:B,0)),"⏳ Chưa test"))</f>
        <v>Not Placement</v>
      </c>
      <c r="I296" s="110" t="str">
        <f t="array" ref="I296">IF(ISNA(MATCH(A296,sheet2!A:A,0)),H296,IF(INDEX(sheet2!O:O,MATCH(A296,sheet2!A:A,0))&gt;0,IFERROR(INDEX(LEVEL_HELPER!A:A,MATCH(INDEX(sheet2!O:O,MATCH(A296,sheet2!A:A,0)),LEVEL_HELPER!B:B,0)),H296),H296))</f>
        <v>Not Placement</v>
      </c>
      <c r="J296" s="110">
        <f>IFERROR(MAXIFS(ATTENDANCE_LOG!F:F, ATTENDANCE_LOG!C:C, A296&amp;"", ATTENDANCE_LOG!G:G, "Present"), "")</f>
        <v>46204.58333</v>
      </c>
      <c r="K296" s="111">
        <f t="shared" si="3"/>
        <v>8.416666667</v>
      </c>
      <c r="L296" s="112"/>
      <c r="M296" s="113"/>
      <c r="N296" s="126"/>
      <c r="O296" s="113"/>
      <c r="P296" s="115"/>
      <c r="Q296" s="113"/>
      <c r="R296" s="113"/>
      <c r="S296" s="113"/>
      <c r="T296" s="113"/>
      <c r="U296" s="113"/>
      <c r="V296" s="113"/>
      <c r="W296" s="113"/>
      <c r="X296" s="113"/>
      <c r="Y296" s="113"/>
      <c r="Z296" s="113"/>
      <c r="AA296" s="113"/>
      <c r="AB296" s="116"/>
      <c r="AC296" s="116"/>
      <c r="AD296" s="117"/>
    </row>
    <row r="297" ht="15.75" customHeight="1">
      <c r="A297" s="104" t="s">
        <v>795</v>
      </c>
      <c r="B297" s="105" t="s">
        <v>796</v>
      </c>
      <c r="C297" s="106" t="str">
        <f>IFERROR(__xludf.DUMMYFUNCTION("arrayformula(VLOOKUP(to_Text(A297),to_Text(sheet2!$A$1:M1005),13,0))"),"")</f>
        <v/>
      </c>
      <c r="D297" s="107" t="str">
        <f>IFERROR(__xludf.DUMMYFUNCTION("arrayformula(VLOOKUP(to_Text(A297),to_Text(sheet2!$A$1:M1005),12,0))"),"")</f>
        <v/>
      </c>
      <c r="E297" s="108" t="s">
        <v>16</v>
      </c>
      <c r="F297" s="104" t="str">
        <f t="array" ref="F297">IFERROR(
  INDEX(ATTENDANCE_INPUT!D:D,
    MATCH(1,
      (ATTENDANCE_INPUT!A:A=A297) *
      (ATTENDANCE_INPUT!W:W=MAXIFS(ATTENDANCE_INPUT!W:W, ATTENDANCE_INPUT!A:A, A297)),
      0)),
  "")</f>
        <v>Duong Pham</v>
      </c>
      <c r="G297" s="109" t="str">
        <f t="array" ref="G297">IFERROR(
  INDEX(ATTENDANCE_INPUT!E:E,
    MATCH(1,
      (ATTENDANCE_INPUT!A:A=A297) *
      (ATTENDANCE_INPUT!W:W=MAXIFS(ATTENDANCE_INPUT!W:W, ATTENDANCE_INPUT!A:A, A297)),
      0)),
  "")</f>
        <v>Foundation</v>
      </c>
      <c r="H297" s="110" t="str">
        <f t="array" ref="H297">IF(ISNA(MATCH(A297,sheet2!A:A,0)),"⏳ Chưa test",IFERROR(INDEX(LEVEL_HELPER!A:A,MATCH(INDEX(sheet2!N:N,MATCH(A297,sheet2!A:A,0)),LEVEL_HELPER!B:B,0)),"⏳ Chưa test"))</f>
        <v>Not Placement</v>
      </c>
      <c r="I297" s="110" t="str">
        <f t="array" ref="I297">IF(ISNA(MATCH(A297,sheet2!A:A,0)),H297,IF(INDEX(sheet2!O:O,MATCH(A297,sheet2!A:A,0))&gt;0,IFERROR(INDEX(LEVEL_HELPER!A:A,MATCH(INDEX(sheet2!O:O,MATCH(A297,sheet2!A:A,0)),LEVEL_HELPER!B:B,0)),H297),H297))</f>
        <v>Not Placement</v>
      </c>
      <c r="J297" s="110">
        <f>IFERROR(MAXIFS(ATTENDANCE_LOG!F:F, ATTENDANCE_LOG!C:C, A297&amp;"", ATTENDANCE_LOG!G:G, "Present"), "")</f>
        <v>46196.41667</v>
      </c>
      <c r="K297" s="111">
        <f t="shared" si="3"/>
        <v>16.58333333</v>
      </c>
      <c r="L297" s="112"/>
      <c r="M297" s="113"/>
      <c r="N297" s="126"/>
      <c r="O297" s="113"/>
      <c r="P297" s="115"/>
      <c r="Q297" s="113"/>
      <c r="R297" s="113"/>
      <c r="S297" s="113"/>
      <c r="T297" s="113"/>
      <c r="U297" s="113"/>
      <c r="V297" s="113"/>
      <c r="W297" s="113"/>
      <c r="X297" s="113"/>
      <c r="Y297" s="113"/>
      <c r="Z297" s="113"/>
      <c r="AA297" s="113"/>
      <c r="AB297" s="116"/>
      <c r="AC297" s="116"/>
      <c r="AD297" s="117"/>
    </row>
    <row r="298" ht="15.75" customHeight="1">
      <c r="A298" s="104" t="s">
        <v>797</v>
      </c>
      <c r="B298" s="105" t="s">
        <v>798</v>
      </c>
      <c r="C298" s="106" t="str">
        <f>IFERROR(__xludf.DUMMYFUNCTION("arrayformula(VLOOKUP(to_Text(A298),to_Text(sheet2!$A$1:M1005),13,0))"),"")</f>
        <v/>
      </c>
      <c r="D298" s="107" t="str">
        <f>IFERROR(__xludf.DUMMYFUNCTION("arrayformula(VLOOKUP(to_Text(A298),to_Text(sheet2!$A$1:M1005),12,0))"),"")</f>
        <v/>
      </c>
      <c r="E298" s="108" t="s">
        <v>16</v>
      </c>
      <c r="F298" s="104" t="str">
        <f t="array" ref="F298">IFERROR(
  INDEX(ATTENDANCE_INPUT!D:D,
    MATCH(1,
      (ATTENDANCE_INPUT!A:A=A298) *
      (ATTENDANCE_INPUT!W:W=MAXIFS(ATTENDANCE_INPUT!W:W, ATTENDANCE_INPUT!A:A, A298)),
      0)),
  "")</f>
        <v>Duong Pham</v>
      </c>
      <c r="G298" s="109" t="str">
        <f t="array" ref="G298">IFERROR(
  INDEX(ATTENDANCE_INPUT!E:E,
    MATCH(1,
      (ATTENDANCE_INPUT!A:A=A298) *
      (ATTENDANCE_INPUT!W:W=MAXIFS(ATTENDANCE_INPUT!W:W, ATTENDANCE_INPUT!A:A, A298)),
      0)),
  "")</f>
        <v>Foundation</v>
      </c>
      <c r="H298" s="110" t="str">
        <f t="array" ref="H298">IF(ISNA(MATCH(A298,sheet2!A:A,0)),"⏳ Chưa test",IFERROR(INDEX(LEVEL_HELPER!A:A,MATCH(INDEX(sheet2!N:N,MATCH(A298,sheet2!A:A,0)),LEVEL_HELPER!B:B,0)),"⏳ Chưa test"))</f>
        <v>Not Placement</v>
      </c>
      <c r="I298" s="110" t="str">
        <f t="array" ref="I298">IF(ISNA(MATCH(A298,sheet2!A:A,0)),H298,IF(INDEX(sheet2!O:O,MATCH(A298,sheet2!A:A,0))&gt;0,IFERROR(INDEX(LEVEL_HELPER!A:A,MATCH(INDEX(sheet2!O:O,MATCH(A298,sheet2!A:A,0)),LEVEL_HELPER!B:B,0)),H298),H298))</f>
        <v>Not Placement</v>
      </c>
      <c r="J298" s="110">
        <f>IFERROR(MAXIFS(ATTENDANCE_LOG!F:F, ATTENDANCE_LOG!C:C, A298&amp;"", ATTENDANCE_LOG!G:G, "Present"), "")</f>
        <v>46204.58333</v>
      </c>
      <c r="K298" s="111">
        <f t="shared" si="3"/>
        <v>8.416666667</v>
      </c>
      <c r="L298" s="112"/>
      <c r="M298" s="113"/>
      <c r="N298" s="126"/>
      <c r="O298" s="113"/>
      <c r="P298" s="115"/>
      <c r="Q298" s="113"/>
      <c r="R298" s="113"/>
      <c r="S298" s="113"/>
      <c r="T298" s="113"/>
      <c r="U298" s="113"/>
      <c r="V298" s="113"/>
      <c r="W298" s="113"/>
      <c r="X298" s="113"/>
      <c r="Y298" s="113"/>
      <c r="Z298" s="113"/>
      <c r="AA298" s="113"/>
      <c r="AB298" s="116"/>
      <c r="AC298" s="116"/>
      <c r="AD298" s="117"/>
    </row>
    <row r="299" ht="15.75" customHeight="1">
      <c r="A299" s="104" t="s">
        <v>799</v>
      </c>
      <c r="B299" s="105" t="s">
        <v>800</v>
      </c>
      <c r="C299" s="106" t="str">
        <f>IFERROR(__xludf.DUMMYFUNCTION("arrayformula(VLOOKUP(to_Text(A299),to_Text(sheet2!$A$1:M1005),13,0))"),"")</f>
        <v/>
      </c>
      <c r="D299" s="107" t="str">
        <f>IFERROR(__xludf.DUMMYFUNCTION("arrayformula(VLOOKUP(to_Text(A299),to_Text(sheet2!$A$1:M1005),12,0))"),"")</f>
        <v/>
      </c>
      <c r="E299" s="108" t="s">
        <v>16</v>
      </c>
      <c r="F299" s="104" t="str">
        <f t="array" ref="F299">IFERROR(
  INDEX(ATTENDANCE_INPUT!D:D,
    MATCH(1,
      (ATTENDANCE_INPUT!A:A=A299) *
      (ATTENDANCE_INPUT!W:W=MAXIFS(ATTENDANCE_INPUT!W:W, ATTENDANCE_INPUT!A:A, A299)),
      0)),
  "")</f>
        <v>Duong Pham</v>
      </c>
      <c r="G299" s="109" t="str">
        <f t="array" ref="G299">IFERROR(
  INDEX(ATTENDANCE_INPUT!E:E,
    MATCH(1,
      (ATTENDANCE_INPUT!A:A=A299) *
      (ATTENDANCE_INPUT!W:W=MAXIFS(ATTENDANCE_INPUT!W:W, ATTENDANCE_INPUT!A:A, A299)),
      0)),
  "")</f>
        <v>Foundation</v>
      </c>
      <c r="H299" s="110" t="str">
        <f t="array" ref="H299">IF(ISNA(MATCH(A299,sheet2!A:A,0)),"⏳ Chưa test",IFERROR(INDEX(LEVEL_HELPER!A:A,MATCH(INDEX(sheet2!N:N,MATCH(A299,sheet2!A:A,0)),LEVEL_HELPER!B:B,0)),"⏳ Chưa test"))</f>
        <v>Not Placement</v>
      </c>
      <c r="I299" s="110" t="str">
        <f t="array" ref="I299">IF(ISNA(MATCH(A299,sheet2!A:A,0)),H299,IF(INDEX(sheet2!O:O,MATCH(A299,sheet2!A:A,0))&gt;0,IFERROR(INDEX(LEVEL_HELPER!A:A,MATCH(INDEX(sheet2!O:O,MATCH(A299,sheet2!A:A,0)),LEVEL_HELPER!B:B,0)),H299),H299))</f>
        <v>Not Placement</v>
      </c>
      <c r="J299" s="110">
        <f>IFERROR(MAXIFS(ATTENDANCE_LOG!F:F, ATTENDANCE_LOG!C:C, A299&amp;"", ATTENDANCE_LOG!G:G, "Present"), "")</f>
        <v>46204.58333</v>
      </c>
      <c r="K299" s="111">
        <f t="shared" si="3"/>
        <v>8.416666667</v>
      </c>
      <c r="L299" s="112"/>
      <c r="M299" s="113"/>
      <c r="N299" s="126"/>
      <c r="O299" s="113"/>
      <c r="P299" s="115"/>
      <c r="Q299" s="113"/>
      <c r="R299" s="113"/>
      <c r="S299" s="113"/>
      <c r="T299" s="113"/>
      <c r="U299" s="113"/>
      <c r="V299" s="113"/>
      <c r="W299" s="113"/>
      <c r="X299" s="113"/>
      <c r="Y299" s="113"/>
      <c r="Z299" s="113"/>
      <c r="AA299" s="113"/>
      <c r="AB299" s="116"/>
      <c r="AC299" s="116"/>
      <c r="AD299" s="117"/>
    </row>
    <row r="300" ht="15.75" customHeight="1">
      <c r="A300" s="104" t="s">
        <v>801</v>
      </c>
      <c r="B300" s="105" t="s">
        <v>802</v>
      </c>
      <c r="C300" s="106" t="str">
        <f>IFERROR(__xludf.DUMMYFUNCTION("arrayformula(VLOOKUP(to_Text(A300),to_Text(sheet2!$A$1:M1005),13,0))"),"")</f>
        <v/>
      </c>
      <c r="D300" s="107" t="str">
        <f>IFERROR(__xludf.DUMMYFUNCTION("arrayformula(VLOOKUP(to_Text(A300),to_Text(sheet2!$A$1:M1005),12,0))"),"")</f>
        <v/>
      </c>
      <c r="E300" s="108" t="s">
        <v>16</v>
      </c>
      <c r="F300" s="104" t="str">
        <f t="array" ref="F300">IFERROR(
  INDEX(ATTENDANCE_INPUT!D:D,
    MATCH(1,
      (ATTENDANCE_INPUT!A:A=A300) *
      (ATTENDANCE_INPUT!W:W=MAXIFS(ATTENDANCE_INPUT!W:W, ATTENDANCE_INPUT!A:A, A300)),
      0)),
  "")</f>
        <v>Duong Pham</v>
      </c>
      <c r="G300" s="109" t="str">
        <f t="array" ref="G300">IFERROR(
  INDEX(ATTENDANCE_INPUT!E:E,
    MATCH(1,
      (ATTENDANCE_INPUT!A:A=A300) *
      (ATTENDANCE_INPUT!W:W=MAXIFS(ATTENDANCE_INPUT!W:W, ATTENDANCE_INPUT!A:A, A300)),
      0)),
  "")</f>
        <v>Foundation</v>
      </c>
      <c r="H300" s="110" t="str">
        <f t="array" ref="H300">IF(ISNA(MATCH(A300,sheet2!A:A,0)),"⏳ Chưa test",IFERROR(INDEX(LEVEL_HELPER!A:A,MATCH(INDEX(sheet2!N:N,MATCH(A300,sheet2!A:A,0)),LEVEL_HELPER!B:B,0)),"⏳ Chưa test"))</f>
        <v>Not Placement</v>
      </c>
      <c r="I300" s="110" t="str">
        <f t="array" ref="I300">IF(ISNA(MATCH(A300,sheet2!A:A,0)),H300,IF(INDEX(sheet2!O:O,MATCH(A300,sheet2!A:A,0))&gt;0,IFERROR(INDEX(LEVEL_HELPER!A:A,MATCH(INDEX(sheet2!O:O,MATCH(A300,sheet2!A:A,0)),LEVEL_HELPER!B:B,0)),H300),H300))</f>
        <v>Not Placement</v>
      </c>
      <c r="J300" s="110">
        <f>IFERROR(MAXIFS(ATTENDANCE_LOG!F:F, ATTENDANCE_LOG!C:C, A300&amp;"", ATTENDANCE_LOG!G:G, "Present"), "")</f>
        <v>46204.58333</v>
      </c>
      <c r="K300" s="111">
        <f t="shared" si="3"/>
        <v>8.416666667</v>
      </c>
      <c r="L300" s="112"/>
      <c r="M300" s="113"/>
      <c r="N300" s="126"/>
      <c r="O300" s="113"/>
      <c r="P300" s="115"/>
      <c r="Q300" s="113"/>
      <c r="R300" s="113"/>
      <c r="S300" s="113"/>
      <c r="T300" s="113"/>
      <c r="U300" s="113"/>
      <c r="V300" s="113"/>
      <c r="W300" s="113"/>
      <c r="X300" s="113"/>
      <c r="Y300" s="113"/>
      <c r="Z300" s="113"/>
      <c r="AA300" s="113"/>
      <c r="AB300" s="116"/>
      <c r="AC300" s="116"/>
      <c r="AD300" s="117"/>
    </row>
    <row r="301" ht="15.75" customHeight="1">
      <c r="A301" s="104" t="s">
        <v>803</v>
      </c>
      <c r="B301" s="105" t="s">
        <v>804</v>
      </c>
      <c r="C301" s="106" t="str">
        <f>IFERROR(__xludf.DUMMYFUNCTION("arrayformula(VLOOKUP(to_Text(A301),to_Text(sheet2!$A$1:M1005),13,0))"),"")</f>
        <v/>
      </c>
      <c r="D301" s="107" t="str">
        <f>IFERROR(__xludf.DUMMYFUNCTION("arrayformula(VLOOKUP(to_Text(A301),to_Text(sheet2!$A$1:M1005),12,0))"),"")</f>
        <v/>
      </c>
      <c r="E301" s="108" t="s">
        <v>16</v>
      </c>
      <c r="F301" s="104" t="str">
        <f t="array" ref="F301">IFERROR(
  INDEX(ATTENDANCE_INPUT!D:D,
    MATCH(1,
      (ATTENDANCE_INPUT!A:A=A301) *
      (ATTENDANCE_INPUT!W:W=MAXIFS(ATTENDANCE_INPUT!W:W, ATTENDANCE_INPUT!A:A, A301)),
      0)),
  "")</f>
        <v>Duong Pham</v>
      </c>
      <c r="G301" s="109" t="str">
        <f t="array" ref="G301">IFERROR(
  INDEX(ATTENDANCE_INPUT!E:E,
    MATCH(1,
      (ATTENDANCE_INPUT!A:A=A301) *
      (ATTENDANCE_INPUT!W:W=MAXIFS(ATTENDANCE_INPUT!W:W, ATTENDANCE_INPUT!A:A, A301)),
      0)),
  "")</f>
        <v>Foundation</v>
      </c>
      <c r="H301" s="110" t="str">
        <f t="array" ref="H301">IF(ISNA(MATCH(A301,sheet2!A:A,0)),"⏳ Chưa test",IFERROR(INDEX(LEVEL_HELPER!A:A,MATCH(INDEX(sheet2!N:N,MATCH(A301,sheet2!A:A,0)),LEVEL_HELPER!B:B,0)),"⏳ Chưa test"))</f>
        <v>Not Placement</v>
      </c>
      <c r="I301" s="110" t="str">
        <f t="array" ref="I301">IF(ISNA(MATCH(A301,sheet2!A:A,0)),H301,IF(INDEX(sheet2!O:O,MATCH(A301,sheet2!A:A,0))&gt;0,IFERROR(INDEX(LEVEL_HELPER!A:A,MATCH(INDEX(sheet2!O:O,MATCH(A301,sheet2!A:A,0)),LEVEL_HELPER!B:B,0)),H301),H301))</f>
        <v>Not Placement</v>
      </c>
      <c r="J301" s="110">
        <f>IFERROR(MAXIFS(ATTENDANCE_LOG!F:F, ATTENDANCE_LOG!C:C, A301&amp;"", ATTENDANCE_LOG!G:G, "Present"), "")</f>
        <v>46204.58333</v>
      </c>
      <c r="K301" s="111">
        <f t="shared" si="3"/>
        <v>8.416666667</v>
      </c>
      <c r="L301" s="112"/>
      <c r="M301" s="113"/>
      <c r="N301" s="126"/>
      <c r="O301" s="113"/>
      <c r="P301" s="115"/>
      <c r="Q301" s="113"/>
      <c r="R301" s="113"/>
      <c r="S301" s="113"/>
      <c r="T301" s="113"/>
      <c r="U301" s="113"/>
      <c r="V301" s="113"/>
      <c r="W301" s="113"/>
      <c r="X301" s="113"/>
      <c r="Y301" s="113"/>
      <c r="Z301" s="113"/>
      <c r="AA301" s="113"/>
      <c r="AB301" s="116"/>
      <c r="AC301" s="116"/>
      <c r="AD301" s="117"/>
    </row>
    <row r="302" ht="15.75" customHeight="1">
      <c r="A302" s="104" t="s">
        <v>805</v>
      </c>
      <c r="B302" s="105" t="s">
        <v>806</v>
      </c>
      <c r="C302" s="106" t="str">
        <f>IFERROR(__xludf.DUMMYFUNCTION("arrayformula(VLOOKUP(to_Text(A302),to_Text(sheet2!$A$1:M1005),13,0))"),"CHORUS")</f>
        <v>CHORUS</v>
      </c>
      <c r="D302" s="107" t="str">
        <f>IFERROR(__xludf.DUMMYFUNCTION("arrayformula(VLOOKUP(to_Text(A302),to_Text(sheet2!$A$1:M1005),12,0))"),"DEV")</f>
        <v>DEV</v>
      </c>
      <c r="E302" s="108" t="str">
        <f t="shared" ref="E302:E309" si="300">IF(OR(L302="✅ Completed",L302="❌ Dropped"),"Inactive",IF(M302="Waiting for class","Waiting for class","Active"))</f>
        <v>Inactive</v>
      </c>
      <c r="F302" s="104" t="str">
        <f t="array" ref="F302">IFERROR(
  INDEX(ATTENDANCE_INPUT!D:D,
    MATCH(1,
      (ATTENDANCE_INPUT!A:A=A302) *
      (ATTENDANCE_INPUT!W:W=MAXIFS(ATTENDANCE_INPUT!W:W, ATTENDANCE_INPUT!A:A, A302)),
      0)),
  "")</f>
        <v>Yen Tran 2</v>
      </c>
      <c r="G302" s="109" t="str">
        <f t="array" ref="G302">IFERROR(
  INDEX(ATTENDANCE_INPUT!E:E,
    MATCH(1,
      (ATTENDANCE_INPUT!A:A=A302) *
      (ATTENDANCE_INPUT!W:W=MAXIFS(ATTENDANCE_INPUT!W:W, ATTENDANCE_INPUT!A:A, A302)),
      0)),
  "")</f>
        <v>Communication 1</v>
      </c>
      <c r="H302" s="110" t="str">
        <f t="array" ref="H302">IF(ISNA(MATCH(A302,sheet2!A:A,0)),"⏳ Chưa test",IFERROR(INDEX(LEVEL_HELPER!A:A,MATCH(INDEX(sheet2!N:N,MATCH(A302,sheet2!A:A,0)),LEVEL_HELPER!B:B,0)),"⏳ Chưa test"))</f>
        <v>Pre-Intermediate</v>
      </c>
      <c r="I302" s="110" t="str">
        <f t="array" ref="I302">IF(ISNA(MATCH(A302,sheet2!A:A,0)),H302,IF(INDEX(sheet2!O:O,MATCH(A302,sheet2!A:A,0))&gt;0,IFERROR(INDEX(LEVEL_HELPER!A:A,MATCH(INDEX(sheet2!O:O,MATCH(A302,sheet2!A:A,0)),LEVEL_HELPER!B:B,0)),H302),H302))</f>
        <v>Pre-Intermediate 1</v>
      </c>
      <c r="J302" s="110">
        <f>IFERROR(MAXIFS(ATTENDANCE_LOG!F:F, ATTENDANCE_LOG!C:C, A302&amp;"", ATTENDANCE_LOG!G:G, "Present"), "")</f>
        <v>45859.54167</v>
      </c>
      <c r="K302" s="111">
        <f t="shared" si="3"/>
        <v>353.4583333</v>
      </c>
      <c r="L302" s="112" t="str">
        <f t="shared" ref="L302:L309" si="301">IF(M302="Completed (no continuation)","✅ Completed",IF(M302="Discontinued mid-course","❌ Dropped",IF(AND(ISNUMBER(K302),K302&gt;=30),"⚠ Check","")))</f>
        <v>✅ Completed</v>
      </c>
      <c r="M302" s="113" t="s">
        <v>35</v>
      </c>
      <c r="N302" s="126" t="s">
        <v>38</v>
      </c>
      <c r="O302" s="113"/>
      <c r="P302" s="115">
        <f>IFERROR(__xludf.DUMMYFUNCTION("IFERROR(COUNTUNIQUEIFS(ATTENDANCE_LOG!B:B,ATTENDANCE_LOG!C:C,A302),0)"),1.0)</f>
        <v>1</v>
      </c>
      <c r="Q302" s="113" t="str">
        <f t="array" ref="Q302">IFERROR(INDEX(ATTENDANCE_LOG!A:A,MATCH(1,(ATTENDANCE_LOG!C:C=A302)*(ATTENDANCE_LOG!F:F=MAXIFS(ATTENDANCE_LOG!F:F,ATTENDANCE_LOG!C:C,A302)),0)),"")</f>
        <v>EL029</v>
      </c>
      <c r="R302" s="113" t="str">
        <f t="array" ref="R302">IFERROR(INDEX(ATTENDANCE_LOG!B:B,MATCH(1,(ATTENDANCE_LOG!C:C=A302)*(ATTENDANCE_LOG!F:F=MAXIFS(ATTENDANCE_LOG!F:F,ATTENDANCE_LOG!C:C,A302)),0)),"")</f>
        <v>Communication 1</v>
      </c>
      <c r="S302" s="113">
        <f>IFERROR(VLOOKUP(H302, LEVEL_HELPER!A:B, 2, 0), 0)</f>
        <v>2.5</v>
      </c>
      <c r="T302" s="113">
        <f>IFERROR(VLOOKUP(I302, LEVEL_HELPER!A:B, 2, 0), 0)</f>
        <v>3</v>
      </c>
      <c r="U302" s="113">
        <f t="shared" ref="U302:V302" si="299">IF(S302="",0,IF(S302&lt;=2,1,IF(S302&lt;=4,2,IF(S302&lt;=5.5,3,4))))
</f>
        <v>2</v>
      </c>
      <c r="V302" s="113">
        <f t="shared" si="299"/>
        <v>2</v>
      </c>
      <c r="W302" s="113" t="str">
        <f t="shared" ref="W302:W309" si="303">IF(OR(H302="", H302="Not Placement"), "Not tested yet",
  IF(V302&lt;U302, "Regressed",
   IF(V302=U302, IF(T302&gt;S302, "Minor Improvement", "No Progress"),
    IF(V302-U302=1, "Lv"&amp;U302&amp;"→Lv"&amp;V302,
     "Lv"&amp;U302&amp;"→Lv"&amp;V302&amp;" (multi)"))))</f>
        <v>Minor Improvement</v>
      </c>
      <c r="X302" s="113"/>
      <c r="Y302" s="113"/>
      <c r="Z302" s="113"/>
      <c r="AA302" s="113"/>
      <c r="AB302" s="116"/>
      <c r="AC302" s="116"/>
      <c r="AD302" s="117"/>
    </row>
    <row r="303" ht="15.75" customHeight="1">
      <c r="A303" s="104" t="s">
        <v>807</v>
      </c>
      <c r="B303" s="105" t="s">
        <v>808</v>
      </c>
      <c r="C303" s="106" t="str">
        <f>IFERROR(__xludf.DUMMYFUNCTION("arrayformula(VLOOKUP(to_Text(A303),to_Text(sheet2!$A$1:M1005),13,0))"),"CHORUS")</f>
        <v>CHORUS</v>
      </c>
      <c r="D303" s="107" t="str">
        <f>IFERROR(__xludf.DUMMYFUNCTION("arrayformula(VLOOKUP(to_Text(A303),to_Text(sheet2!$A$1:M1005),12,0))"),"QC")</f>
        <v>QC</v>
      </c>
      <c r="E303" s="108" t="str">
        <f t="shared" si="300"/>
        <v>Inactive</v>
      </c>
      <c r="F303" s="104" t="str">
        <f t="array" ref="F303">IFERROR(
  INDEX(ATTENDANCE_INPUT!D:D,
    MATCH(1,
      (ATTENDANCE_INPUT!A:A=A303) *
      (ATTENDANCE_INPUT!W:W=MAXIFS(ATTENDANCE_INPUT!W:W, ATTENDANCE_INPUT!A:A, A303)),
      0)),
  "")</f>
        <v>Yen Tran 3</v>
      </c>
      <c r="G303" s="109" t="str">
        <f t="array" ref="G303">IFERROR(
  INDEX(ATTENDANCE_INPUT!E:E,
    MATCH(1,
      (ATTENDANCE_INPUT!A:A=A303) *
      (ATTENDANCE_INPUT!W:W=MAXIFS(ATTENDANCE_INPUT!W:W, ATTENDANCE_INPUT!A:A, A303)),
      0)),
  "")</f>
        <v>Communication 1</v>
      </c>
      <c r="H303" s="110" t="str">
        <f t="array" ref="H303">IF(ISNA(MATCH(A303,sheet2!A:A,0)),"⏳ Chưa test",IFERROR(INDEX(LEVEL_HELPER!A:A,MATCH(INDEX(sheet2!N:N,MATCH(A303,sheet2!A:A,0)),LEVEL_HELPER!B:B,0)),"⏳ Chưa test"))</f>
        <v>Pre-Intermediate</v>
      </c>
      <c r="I303" s="110" t="str">
        <f t="array" ref="I303">IF(ISNA(MATCH(A303,sheet2!A:A,0)),H303,IF(INDEX(sheet2!O:O,MATCH(A303,sheet2!A:A,0))&gt;0,IFERROR(INDEX(LEVEL_HELPER!A:A,MATCH(INDEX(sheet2!O:O,MATCH(A303,sheet2!A:A,0)),LEVEL_HELPER!B:B,0)),H303),H303))</f>
        <v>Pre-Intermediate</v>
      </c>
      <c r="J303" s="110">
        <f>IFERROR(MAXIFS(ATTENDANCE_LOG!F:F, ATTENDANCE_LOG!C:C, A303&amp;"", ATTENDANCE_LOG!G:G, "Present"), "")</f>
        <v>45853.45833</v>
      </c>
      <c r="K303" s="111">
        <f t="shared" si="3"/>
        <v>359.5416667</v>
      </c>
      <c r="L303" s="112" t="str">
        <f t="shared" si="301"/>
        <v>✅ Completed</v>
      </c>
      <c r="M303" s="113" t="s">
        <v>35</v>
      </c>
      <c r="N303" s="114" t="s">
        <v>34</v>
      </c>
      <c r="O303" s="113"/>
      <c r="P303" s="115">
        <f>IFERROR(__xludf.DUMMYFUNCTION("IFERROR(COUNTUNIQUEIFS(ATTENDANCE_LOG!B:B,ATTENDANCE_LOG!C:C,A303),0)"),1.0)</f>
        <v>1</v>
      </c>
      <c r="Q303" s="113" t="str">
        <f t="array" ref="Q303">IFERROR(INDEX(ATTENDANCE_LOG!A:A,MATCH(1,(ATTENDANCE_LOG!C:C=A303)*(ATTENDANCE_LOG!F:F=MAXIFS(ATTENDANCE_LOG!F:F,ATTENDANCE_LOG!C:C,A303)),0)),"")</f>
        <v>EL030</v>
      </c>
      <c r="R303" s="113" t="str">
        <f t="array" ref="R303">IFERROR(INDEX(ATTENDANCE_LOG!B:B,MATCH(1,(ATTENDANCE_LOG!C:C=A303)*(ATTENDANCE_LOG!F:F=MAXIFS(ATTENDANCE_LOG!F:F,ATTENDANCE_LOG!C:C,A303)),0)),"")</f>
        <v>Communication 1</v>
      </c>
      <c r="S303" s="113">
        <f>IFERROR(VLOOKUP(H303, LEVEL_HELPER!A:B, 2, 0), 0)</f>
        <v>2.5</v>
      </c>
      <c r="T303" s="113">
        <f>IFERROR(VLOOKUP(I303, LEVEL_HELPER!A:B, 2, 0), 0)</f>
        <v>2.5</v>
      </c>
      <c r="U303" s="113">
        <f t="shared" ref="U303:V303" si="302">IF(S303="",0,IF(S303&lt;=2,1,IF(S303&lt;=4,2,IF(S303&lt;=5.5,3,4))))
</f>
        <v>2</v>
      </c>
      <c r="V303" s="113">
        <f t="shared" si="302"/>
        <v>2</v>
      </c>
      <c r="W303" s="113" t="str">
        <f t="shared" si="303"/>
        <v>No Progress</v>
      </c>
      <c r="X303" s="113"/>
      <c r="Y303" s="113"/>
      <c r="Z303" s="113"/>
      <c r="AA303" s="113"/>
      <c r="AB303" s="116"/>
      <c r="AC303" s="116"/>
      <c r="AD303" s="117"/>
    </row>
    <row r="304" ht="15.75" customHeight="1">
      <c r="A304" s="104" t="s">
        <v>809</v>
      </c>
      <c r="B304" s="105" t="s">
        <v>810</v>
      </c>
      <c r="C304" s="106" t="str">
        <f>IFERROR(__xludf.DUMMYFUNCTION("arrayformula(VLOOKUP(to_Text(A304),to_Text(sheet2!$A$1:M1005),13,0))"),"CHORUS")</f>
        <v>CHORUS</v>
      </c>
      <c r="D304" s="107" t="str">
        <f>IFERROR(__xludf.DUMMYFUNCTION("arrayformula(VLOOKUP(to_Text(A304),to_Text(sheet2!$A$1:M1005),12,0))"),"SM")</f>
        <v>SM</v>
      </c>
      <c r="E304" s="108" t="str">
        <f t="shared" si="300"/>
        <v>Inactive</v>
      </c>
      <c r="F304" s="104" t="str">
        <f t="array" ref="F304">IFERROR(
  INDEX(ATTENDANCE_INPUT!D:D,
    MATCH(1,
      (ATTENDANCE_INPUT!A:A=A304) *
      (ATTENDANCE_INPUT!W:W=MAXIFS(ATTENDANCE_INPUT!W:W, ATTENDANCE_INPUT!A:A, A304)),
      0)),
  "")</f>
        <v>Yen Tran 3</v>
      </c>
      <c r="G304" s="109" t="str">
        <f t="array" ref="G304">IFERROR(
  INDEX(ATTENDANCE_INPUT!E:E,
    MATCH(1,
      (ATTENDANCE_INPUT!A:A=A304) *
      (ATTENDANCE_INPUT!W:W=MAXIFS(ATTENDANCE_INPUT!W:W, ATTENDANCE_INPUT!A:A, A304)),
      0)),
  "")</f>
        <v>Communication 1</v>
      </c>
      <c r="H304" s="110" t="str">
        <f t="array" ref="H304">IF(ISNA(MATCH(A304,sheet2!A:A,0)),"⏳ Chưa test",IFERROR(INDEX(LEVEL_HELPER!A:A,MATCH(INDEX(sheet2!N:N,MATCH(A304,sheet2!A:A,0)),LEVEL_HELPER!B:B,0)),"⏳ Chưa test"))</f>
        <v>Pre-Intermediate</v>
      </c>
      <c r="I304" s="110" t="str">
        <f t="array" ref="I304">IF(ISNA(MATCH(A304,sheet2!A:A,0)),H304,IF(INDEX(sheet2!O:O,MATCH(A304,sheet2!A:A,0))&gt;0,IFERROR(INDEX(LEVEL_HELPER!A:A,MATCH(INDEX(sheet2!O:O,MATCH(A304,sheet2!A:A,0)),LEVEL_HELPER!B:B,0)),H304),H304))</f>
        <v>Pre-Intermediate</v>
      </c>
      <c r="J304" s="110">
        <f>IFERROR(MAXIFS(ATTENDANCE_LOG!F:F, ATTENDANCE_LOG!C:C, A304&amp;"", ATTENDANCE_LOG!G:G, "Present"), "")</f>
        <v>45853.45833</v>
      </c>
      <c r="K304" s="111">
        <f t="shared" si="3"/>
        <v>359.5416667</v>
      </c>
      <c r="L304" s="112" t="str">
        <f t="shared" si="301"/>
        <v>✅ Completed</v>
      </c>
      <c r="M304" s="113" t="s">
        <v>35</v>
      </c>
      <c r="N304" s="114" t="s">
        <v>42</v>
      </c>
      <c r="O304" s="129"/>
      <c r="P304" s="115">
        <f>IFERROR(__xludf.DUMMYFUNCTION("IFERROR(COUNTUNIQUEIFS(ATTENDANCE_LOG!B:B,ATTENDANCE_LOG!C:C,A304),0)"),1.0)</f>
        <v>1</v>
      </c>
      <c r="Q304" s="113" t="str">
        <f t="array" ref="Q304">IFERROR(INDEX(ATTENDANCE_LOG!A:A,MATCH(1,(ATTENDANCE_LOG!C:C=A304)*(ATTENDANCE_LOG!F:F=MAXIFS(ATTENDANCE_LOG!F:F,ATTENDANCE_LOG!C:C,A304)),0)),"")</f>
        <v>EL030</v>
      </c>
      <c r="R304" s="113" t="str">
        <f t="array" ref="R304">IFERROR(INDEX(ATTENDANCE_LOG!B:B,MATCH(1,(ATTENDANCE_LOG!C:C=A304)*(ATTENDANCE_LOG!F:F=MAXIFS(ATTENDANCE_LOG!F:F,ATTENDANCE_LOG!C:C,A304)),0)),"")</f>
        <v>Communication 1</v>
      </c>
      <c r="S304" s="113">
        <f>IFERROR(VLOOKUP(H304, LEVEL_HELPER!A:B, 2, 0), 0)</f>
        <v>2.5</v>
      </c>
      <c r="T304" s="113">
        <f>IFERROR(VLOOKUP(I304, LEVEL_HELPER!A:B, 2, 0), 0)</f>
        <v>2.5</v>
      </c>
      <c r="U304" s="113">
        <f t="shared" ref="U304:V304" si="304">IF(S304="",0,IF(S304&lt;=2,1,IF(S304&lt;=4,2,IF(S304&lt;=5.5,3,4))))
</f>
        <v>2</v>
      </c>
      <c r="V304" s="113">
        <f t="shared" si="304"/>
        <v>2</v>
      </c>
      <c r="W304" s="113" t="str">
        <f t="shared" si="303"/>
        <v>No Progress</v>
      </c>
      <c r="X304" s="113"/>
      <c r="Y304" s="113"/>
      <c r="Z304" s="113"/>
      <c r="AA304" s="113"/>
      <c r="AB304" s="116"/>
      <c r="AC304" s="116"/>
      <c r="AD304" s="117"/>
    </row>
    <row r="305" ht="15.75" customHeight="1">
      <c r="A305" s="104" t="s">
        <v>811</v>
      </c>
      <c r="B305" s="105" t="s">
        <v>812</v>
      </c>
      <c r="C305" s="106" t="str">
        <f>IFERROR(__xludf.DUMMYFUNCTION("arrayformula(VLOOKUP(to_Text(A305),to_Text(sheet2!$A$1:M1005),13,0))"),"CHORUS")</f>
        <v>CHORUS</v>
      </c>
      <c r="D305" s="107" t="str">
        <f>IFERROR(__xludf.DUMMYFUNCTION("arrayformula(VLOOKUP(to_Text(A305),to_Text(sheet2!$A$1:M1005),12,0))"),"SM")</f>
        <v>SM</v>
      </c>
      <c r="E305" s="108" t="str">
        <f t="shared" si="300"/>
        <v>Inactive</v>
      </c>
      <c r="F305" s="104" t="str">
        <f t="array" ref="F305">IFERROR(
  INDEX(ATTENDANCE_INPUT!D:D,
    MATCH(1,
      (ATTENDANCE_INPUT!A:A=A305) *
      (ATTENDANCE_INPUT!W:W=MAXIFS(ATTENDANCE_INPUT!W:W, ATTENDANCE_INPUT!A:A, A305)),
      0)),
  "")</f>
        <v>Yen Tran 3</v>
      </c>
      <c r="G305" s="109" t="str">
        <f t="array" ref="G305">IFERROR(
  INDEX(ATTENDANCE_INPUT!E:E,
    MATCH(1,
      (ATTENDANCE_INPUT!A:A=A305) *
      (ATTENDANCE_INPUT!W:W=MAXIFS(ATTENDANCE_INPUT!W:W, ATTENDANCE_INPUT!A:A, A305)),
      0)),
  "")</f>
        <v>Communication 1</v>
      </c>
      <c r="H305" s="110" t="str">
        <f t="array" ref="H305">IF(ISNA(MATCH(A305,sheet2!A:A,0)),"⏳ Chưa test",IFERROR(INDEX(LEVEL_HELPER!A:A,MATCH(INDEX(sheet2!N:N,MATCH(A305,sheet2!A:A,0)),LEVEL_HELPER!B:B,0)),"⏳ Chưa test"))</f>
        <v>Beginner</v>
      </c>
      <c r="I305" s="110" t="str">
        <f t="array" ref="I305">IF(ISNA(MATCH(A305,sheet2!A:A,0)),H305,IF(INDEX(sheet2!O:O,MATCH(A305,sheet2!A:A,0))&gt;0,IFERROR(INDEX(LEVEL_HELPER!A:A,MATCH(INDEX(sheet2!O:O,MATCH(A305,sheet2!A:A,0)),LEVEL_HELPER!B:B,0)),H305),H305))</f>
        <v>Beginner</v>
      </c>
      <c r="J305" s="110">
        <f>IFERROR(MAXIFS(ATTENDANCE_LOG!F:F, ATTENDANCE_LOG!C:C, A305&amp;"", ATTENDANCE_LOG!G:G, "Present"), "")</f>
        <v>45853.45833</v>
      </c>
      <c r="K305" s="111">
        <f t="shared" si="3"/>
        <v>359.5416667</v>
      </c>
      <c r="L305" s="112" t="str">
        <f t="shared" si="301"/>
        <v>✅ Completed</v>
      </c>
      <c r="M305" s="113" t="s">
        <v>35</v>
      </c>
      <c r="N305" s="114" t="s">
        <v>34</v>
      </c>
      <c r="O305" s="113"/>
      <c r="P305" s="115">
        <f>IFERROR(__xludf.DUMMYFUNCTION("IFERROR(COUNTUNIQUEIFS(ATTENDANCE_LOG!B:B,ATTENDANCE_LOG!C:C,A305),0)"),1.0)</f>
        <v>1</v>
      </c>
      <c r="Q305" s="113" t="str">
        <f t="array" ref="Q305">IFERROR(INDEX(ATTENDANCE_LOG!A:A,MATCH(1,(ATTENDANCE_LOG!C:C=A305)*(ATTENDANCE_LOG!F:F=MAXIFS(ATTENDANCE_LOG!F:F,ATTENDANCE_LOG!C:C,A305)),0)),"")</f>
        <v>EL030</v>
      </c>
      <c r="R305" s="113" t="str">
        <f t="array" ref="R305">IFERROR(INDEX(ATTENDANCE_LOG!B:B,MATCH(1,(ATTENDANCE_LOG!C:C=A305)*(ATTENDANCE_LOG!F:F=MAXIFS(ATTENDANCE_LOG!F:F,ATTENDANCE_LOG!C:C,A305)),0)),"")</f>
        <v>Communication 1</v>
      </c>
      <c r="S305" s="113">
        <f>IFERROR(VLOOKUP(H305, LEVEL_HELPER!A:B, 2, 0), 0)</f>
        <v>1</v>
      </c>
      <c r="T305" s="113">
        <f>IFERROR(VLOOKUP(I305, LEVEL_HELPER!A:B, 2, 0), 0)</f>
        <v>1</v>
      </c>
      <c r="U305" s="113">
        <f t="shared" ref="U305:V305" si="305">IF(S305="",0,IF(S305&lt;=2,1,IF(S305&lt;=4,2,IF(S305&lt;=5.5,3,4))))
</f>
        <v>1</v>
      </c>
      <c r="V305" s="113">
        <f t="shared" si="305"/>
        <v>1</v>
      </c>
      <c r="W305" s="113" t="str">
        <f t="shared" si="303"/>
        <v>No Progress</v>
      </c>
      <c r="X305" s="113"/>
      <c r="Y305" s="113"/>
      <c r="Z305" s="113"/>
      <c r="AA305" s="113"/>
      <c r="AB305" s="116"/>
      <c r="AC305" s="116"/>
      <c r="AD305" s="117"/>
    </row>
    <row r="306" ht="15.75" customHeight="1">
      <c r="A306" s="104" t="s">
        <v>813</v>
      </c>
      <c r="B306" s="105" t="s">
        <v>814</v>
      </c>
      <c r="C306" s="106" t="str">
        <f>IFERROR(__xludf.DUMMYFUNCTION("arrayformula(VLOOKUP(to_Text(A306),to_Text(sheet2!$A$1:M1005),13,0))"),"CHORUS")</f>
        <v>CHORUS</v>
      </c>
      <c r="D306" s="107" t="str">
        <f>IFERROR(__xludf.DUMMYFUNCTION("arrayformula(VLOOKUP(to_Text(A306),to_Text(sheet2!$A$1:M1005),12,0))"),"QC")</f>
        <v>QC</v>
      </c>
      <c r="E306" s="108" t="str">
        <f t="shared" si="300"/>
        <v>Inactive</v>
      </c>
      <c r="F306" s="104" t="str">
        <f t="array" ref="F306">IFERROR(
  INDEX(ATTENDANCE_INPUT!D:D,
    MATCH(1,
      (ATTENDANCE_INPUT!A:A=A306) *
      (ATTENDANCE_INPUT!W:W=MAXIFS(ATTENDANCE_INPUT!W:W, ATTENDANCE_INPUT!A:A, A306)),
      0)),
  "")</f>
        <v>Yen Tran 3</v>
      </c>
      <c r="G306" s="109" t="str">
        <f t="array" ref="G306">IFERROR(
  INDEX(ATTENDANCE_INPUT!E:E,
    MATCH(1,
      (ATTENDANCE_INPUT!A:A=A306) *
      (ATTENDANCE_INPUT!W:W=MAXIFS(ATTENDANCE_INPUT!W:W, ATTENDANCE_INPUT!A:A, A306)),
      0)),
  "")</f>
        <v>Communication 1</v>
      </c>
      <c r="H306" s="110" t="str">
        <f t="array" ref="H306">IF(ISNA(MATCH(A306,sheet2!A:A,0)),"⏳ Chưa test",IFERROR(INDEX(LEVEL_HELPER!A:A,MATCH(INDEX(sheet2!N:N,MATCH(A306,sheet2!A:A,0)),LEVEL_HELPER!B:B,0)),"⏳ Chưa test"))</f>
        <v>Beginner</v>
      </c>
      <c r="I306" s="110" t="str">
        <f t="array" ref="I306">IF(ISNA(MATCH(A306,sheet2!A:A,0)),H306,IF(INDEX(sheet2!O:O,MATCH(A306,sheet2!A:A,0))&gt;0,IFERROR(INDEX(LEVEL_HELPER!A:A,MATCH(INDEX(sheet2!O:O,MATCH(A306,sheet2!A:A,0)),LEVEL_HELPER!B:B,0)),H306),H306))</f>
        <v>Beginner</v>
      </c>
      <c r="J306" s="110">
        <f>IFERROR(MAXIFS(ATTENDANCE_LOG!F:F, ATTENDANCE_LOG!C:C, A306&amp;"", ATTENDANCE_LOG!G:G, "Present"), "")</f>
        <v>45853.45833</v>
      </c>
      <c r="K306" s="111">
        <f t="shared" si="3"/>
        <v>359.5416667</v>
      </c>
      <c r="L306" s="112" t="str">
        <f t="shared" si="301"/>
        <v>❌ Dropped</v>
      </c>
      <c r="M306" s="113" t="s">
        <v>37</v>
      </c>
      <c r="N306" s="114" t="s">
        <v>40</v>
      </c>
      <c r="O306" s="113"/>
      <c r="P306" s="115">
        <f>IFERROR(__xludf.DUMMYFUNCTION("IFERROR(COUNTUNIQUEIFS(ATTENDANCE_LOG!B:B,ATTENDANCE_LOG!C:C,A306),0)"),1.0)</f>
        <v>1</v>
      </c>
      <c r="Q306" s="113" t="str">
        <f t="array" ref="Q306">IFERROR(INDEX(ATTENDANCE_LOG!A:A,MATCH(1,(ATTENDANCE_LOG!C:C=A306)*(ATTENDANCE_LOG!F:F=MAXIFS(ATTENDANCE_LOG!F:F,ATTENDANCE_LOG!C:C,A306)),0)),"")</f>
        <v>EL030</v>
      </c>
      <c r="R306" s="113" t="str">
        <f t="array" ref="R306">IFERROR(INDEX(ATTENDANCE_LOG!B:B,MATCH(1,(ATTENDANCE_LOG!C:C=A306)*(ATTENDANCE_LOG!F:F=MAXIFS(ATTENDANCE_LOG!F:F,ATTENDANCE_LOG!C:C,A306)),0)),"")</f>
        <v>Communication 1</v>
      </c>
      <c r="S306" s="113">
        <f>IFERROR(VLOOKUP(H306, LEVEL_HELPER!A:B, 2, 0), 0)</f>
        <v>1</v>
      </c>
      <c r="T306" s="113">
        <f>IFERROR(VLOOKUP(I306, LEVEL_HELPER!A:B, 2, 0), 0)</f>
        <v>1</v>
      </c>
      <c r="U306" s="113">
        <f t="shared" ref="U306:V306" si="306">IF(S306="",0,IF(S306&lt;=2,1,IF(S306&lt;=4,2,IF(S306&lt;=5.5,3,4))))
</f>
        <v>1</v>
      </c>
      <c r="V306" s="113">
        <f t="shared" si="306"/>
        <v>1</v>
      </c>
      <c r="W306" s="113" t="str">
        <f t="shared" si="303"/>
        <v>No Progress</v>
      </c>
      <c r="X306" s="113"/>
      <c r="Y306" s="113"/>
      <c r="Z306" s="113"/>
      <c r="AA306" s="113"/>
      <c r="AB306" s="116"/>
      <c r="AC306" s="116"/>
      <c r="AD306" s="117"/>
    </row>
    <row r="307" ht="15.75" customHeight="1">
      <c r="A307" s="104" t="s">
        <v>815</v>
      </c>
      <c r="B307" s="105" t="s">
        <v>816</v>
      </c>
      <c r="C307" s="106" t="str">
        <f>IFERROR(__xludf.DUMMYFUNCTION("arrayformula(VLOOKUP(to_Text(A307),to_Text(sheet2!$A$1:M1005),13,0))"),"CHORUS")</f>
        <v>CHORUS</v>
      </c>
      <c r="D307" s="107" t="str">
        <f>IFERROR(__xludf.DUMMYFUNCTION("arrayformula(VLOOKUP(to_Text(A307),to_Text(sheet2!$A$1:M1005),12,0))"),"DEV")</f>
        <v>DEV</v>
      </c>
      <c r="E307" s="108" t="str">
        <f t="shared" si="300"/>
        <v>Inactive</v>
      </c>
      <c r="F307" s="104" t="str">
        <f t="array" ref="F307">IFERROR(
  INDEX(ATTENDANCE_INPUT!D:D,
    MATCH(1,
      (ATTENDANCE_INPUT!A:A=A307) *
      (ATTENDANCE_INPUT!W:W=MAXIFS(ATTENDANCE_INPUT!W:W, ATTENDANCE_INPUT!A:A, A307)),
      0)),
  "")</f>
        <v>Yen Tran 3</v>
      </c>
      <c r="G307" s="109" t="str">
        <f t="array" ref="G307">IFERROR(
  INDEX(ATTENDANCE_INPUT!E:E,
    MATCH(1,
      (ATTENDANCE_INPUT!A:A=A307) *
      (ATTENDANCE_INPUT!W:W=MAXIFS(ATTENDANCE_INPUT!W:W, ATTENDANCE_INPUT!A:A, A307)),
      0)),
  "")</f>
        <v>Communication 1</v>
      </c>
      <c r="H307" s="110" t="str">
        <f t="array" ref="H307">IF(ISNA(MATCH(A307,sheet2!A:A,0)),"⏳ Chưa test",IFERROR(INDEX(LEVEL_HELPER!A:A,MATCH(INDEX(sheet2!N:N,MATCH(A307,sheet2!A:A,0)),LEVEL_HELPER!B:B,0)),"⏳ Chưa test"))</f>
        <v>Beginner</v>
      </c>
      <c r="I307" s="110" t="str">
        <f t="array" ref="I307">IF(ISNA(MATCH(A307,sheet2!A:A,0)),H307,IF(INDEX(sheet2!O:O,MATCH(A307,sheet2!A:A,0))&gt;0,IFERROR(INDEX(LEVEL_HELPER!A:A,MATCH(INDEX(sheet2!O:O,MATCH(A307,sheet2!A:A,0)),LEVEL_HELPER!B:B,0)),H307),H307))</f>
        <v>Beginner</v>
      </c>
      <c r="J307" s="110">
        <f>IFERROR(MAXIFS(ATTENDANCE_LOG!F:F, ATTENDANCE_LOG!C:C, A307&amp;"", ATTENDANCE_LOG!G:G, "Present"), "")</f>
        <v>45853.45833</v>
      </c>
      <c r="K307" s="111">
        <f t="shared" si="3"/>
        <v>359.5416667</v>
      </c>
      <c r="L307" s="112" t="str">
        <f t="shared" si="301"/>
        <v>❌ Dropped</v>
      </c>
      <c r="M307" s="113" t="s">
        <v>37</v>
      </c>
      <c r="N307" s="114" t="s">
        <v>40</v>
      </c>
      <c r="O307" s="113"/>
      <c r="P307" s="115">
        <f>IFERROR(__xludf.DUMMYFUNCTION("IFERROR(COUNTUNIQUEIFS(ATTENDANCE_LOG!B:B,ATTENDANCE_LOG!C:C,A307),0)"),1.0)</f>
        <v>1</v>
      </c>
      <c r="Q307" s="113" t="str">
        <f t="array" ref="Q307">IFERROR(INDEX(ATTENDANCE_LOG!A:A,MATCH(1,(ATTENDANCE_LOG!C:C=A307)*(ATTENDANCE_LOG!F:F=MAXIFS(ATTENDANCE_LOG!F:F,ATTENDANCE_LOG!C:C,A307)),0)),"")</f>
        <v>EL030</v>
      </c>
      <c r="R307" s="113" t="str">
        <f t="array" ref="R307">IFERROR(INDEX(ATTENDANCE_LOG!B:B,MATCH(1,(ATTENDANCE_LOG!C:C=A307)*(ATTENDANCE_LOG!F:F=MAXIFS(ATTENDANCE_LOG!F:F,ATTENDANCE_LOG!C:C,A307)),0)),"")</f>
        <v>Communication 1</v>
      </c>
      <c r="S307" s="113">
        <f>IFERROR(VLOOKUP(H307, LEVEL_HELPER!A:B, 2, 0), 0)</f>
        <v>1</v>
      </c>
      <c r="T307" s="113">
        <f>IFERROR(VLOOKUP(I307, LEVEL_HELPER!A:B, 2, 0), 0)</f>
        <v>1</v>
      </c>
      <c r="U307" s="113">
        <f t="shared" ref="U307:V307" si="307">IF(S307="",0,IF(S307&lt;=2,1,IF(S307&lt;=4,2,IF(S307&lt;=5.5,3,4))))
</f>
        <v>1</v>
      </c>
      <c r="V307" s="113">
        <f t="shared" si="307"/>
        <v>1</v>
      </c>
      <c r="W307" s="113" t="str">
        <f t="shared" si="303"/>
        <v>No Progress</v>
      </c>
      <c r="X307" s="113"/>
      <c r="Y307" s="113"/>
      <c r="Z307" s="113"/>
      <c r="AA307" s="113"/>
      <c r="AB307" s="116"/>
      <c r="AC307" s="116"/>
      <c r="AD307" s="117"/>
    </row>
    <row r="308" ht="15.75" customHeight="1">
      <c r="A308" s="104" t="s">
        <v>817</v>
      </c>
      <c r="B308" s="105" t="s">
        <v>818</v>
      </c>
      <c r="C308" s="106" t="str">
        <f>IFERROR(__xludf.DUMMYFUNCTION("arrayformula(VLOOKUP(to_Text(A308),to_Text(sheet2!$A$1:M1005),13,0))"),"CHORUS")</f>
        <v>CHORUS</v>
      </c>
      <c r="D308" s="107" t="str">
        <f>IFERROR(__xludf.DUMMYFUNCTION("arrayformula(VLOOKUP(to_Text(A308),to_Text(sheet2!$A$1:M1005),12,0))"),"SM")</f>
        <v>SM</v>
      </c>
      <c r="E308" s="108" t="str">
        <f t="shared" si="300"/>
        <v>Inactive</v>
      </c>
      <c r="F308" s="104" t="str">
        <f t="array" ref="F308">IFERROR(
  INDEX(ATTENDANCE_INPUT!D:D,
    MATCH(1,
      (ATTENDANCE_INPUT!A:A=A308) *
      (ATTENDANCE_INPUT!W:W=MAXIFS(ATTENDANCE_INPUT!W:W, ATTENDANCE_INPUT!A:A, A308)),
      0)),
  "")</f>
        <v>Yen Tran 3</v>
      </c>
      <c r="G308" s="109" t="str">
        <f t="array" ref="G308">IFERROR(
  INDEX(ATTENDANCE_INPUT!E:E,
    MATCH(1,
      (ATTENDANCE_INPUT!A:A=A308) *
      (ATTENDANCE_INPUT!W:W=MAXIFS(ATTENDANCE_INPUT!W:W, ATTENDANCE_INPUT!A:A, A308)),
      0)),
  "")</f>
        <v>Communication 1</v>
      </c>
      <c r="H308" s="110" t="str">
        <f t="array" ref="H308">IF(ISNA(MATCH(A308,sheet2!A:A,0)),"⏳ Chưa test",IFERROR(INDEX(LEVEL_HELPER!A:A,MATCH(INDEX(sheet2!N:N,MATCH(A308,sheet2!A:A,0)),LEVEL_HELPER!B:B,0)),"⏳ Chưa test"))</f>
        <v>Beginner</v>
      </c>
      <c r="I308" s="110" t="str">
        <f t="array" ref="I308">IF(ISNA(MATCH(A308,sheet2!A:A,0)),H308,IF(INDEX(sheet2!O:O,MATCH(A308,sheet2!A:A,0))&gt;0,IFERROR(INDEX(LEVEL_HELPER!A:A,MATCH(INDEX(sheet2!O:O,MATCH(A308,sheet2!A:A,0)),LEVEL_HELPER!B:B,0)),H308),H308))</f>
        <v>Beginner</v>
      </c>
      <c r="J308" s="110">
        <f>IFERROR(MAXIFS(ATTENDANCE_LOG!F:F, ATTENDANCE_LOG!C:C, A308&amp;"", ATTENDANCE_LOG!G:G, "Present"), "")</f>
        <v>45853.45833</v>
      </c>
      <c r="K308" s="111">
        <f t="shared" si="3"/>
        <v>359.5416667</v>
      </c>
      <c r="L308" s="112" t="str">
        <f t="shared" si="301"/>
        <v>❌ Dropped</v>
      </c>
      <c r="M308" s="113" t="s">
        <v>37</v>
      </c>
      <c r="N308" s="114" t="s">
        <v>38</v>
      </c>
      <c r="O308" s="113"/>
      <c r="P308" s="115">
        <f>IFERROR(__xludf.DUMMYFUNCTION("IFERROR(COUNTUNIQUEIFS(ATTENDANCE_LOG!B:B,ATTENDANCE_LOG!C:C,A308),0)"),1.0)</f>
        <v>1</v>
      </c>
      <c r="Q308" s="113" t="str">
        <f t="array" ref="Q308">IFERROR(INDEX(ATTENDANCE_LOG!A:A,MATCH(1,(ATTENDANCE_LOG!C:C=A308)*(ATTENDANCE_LOG!F:F=MAXIFS(ATTENDANCE_LOG!F:F,ATTENDANCE_LOG!C:C,A308)),0)),"")</f>
        <v>EL030</v>
      </c>
      <c r="R308" s="113" t="str">
        <f t="array" ref="R308">IFERROR(INDEX(ATTENDANCE_LOG!B:B,MATCH(1,(ATTENDANCE_LOG!C:C=A308)*(ATTENDANCE_LOG!F:F=MAXIFS(ATTENDANCE_LOG!F:F,ATTENDANCE_LOG!C:C,A308)),0)),"")</f>
        <v>Communication 1</v>
      </c>
      <c r="S308" s="113">
        <f>IFERROR(VLOOKUP(H308, LEVEL_HELPER!A:B, 2, 0), 0)</f>
        <v>1</v>
      </c>
      <c r="T308" s="113">
        <f>IFERROR(VLOOKUP(I308, LEVEL_HELPER!A:B, 2, 0), 0)</f>
        <v>1</v>
      </c>
      <c r="U308" s="113">
        <f t="shared" ref="U308:V308" si="308">IF(S308="",0,IF(S308&lt;=2,1,IF(S308&lt;=4,2,IF(S308&lt;=5.5,3,4))))
</f>
        <v>1</v>
      </c>
      <c r="V308" s="113">
        <f t="shared" si="308"/>
        <v>1</v>
      </c>
      <c r="W308" s="113" t="str">
        <f t="shared" si="303"/>
        <v>No Progress</v>
      </c>
      <c r="X308" s="113"/>
      <c r="Y308" s="113"/>
      <c r="Z308" s="113"/>
      <c r="AA308" s="113"/>
      <c r="AB308" s="116"/>
      <c r="AC308" s="116"/>
      <c r="AD308" s="117"/>
    </row>
    <row r="309" ht="15.75" customHeight="1">
      <c r="A309" s="104" t="s">
        <v>819</v>
      </c>
      <c r="B309" s="105" t="s">
        <v>820</v>
      </c>
      <c r="C309" s="106" t="str">
        <f>IFERROR(__xludf.DUMMYFUNCTION("arrayformula(VLOOKUP(to_Text(A309),to_Text(sheet2!$A$1:M1005),13,0))"),"CHORUS")</f>
        <v>CHORUS</v>
      </c>
      <c r="D309" s="107" t="str">
        <f>IFERROR(__xludf.DUMMYFUNCTION("arrayformula(VLOOKUP(to_Text(A309),to_Text(sheet2!$A$1:M1005),12,0))"),"DEV")</f>
        <v>DEV</v>
      </c>
      <c r="E309" s="108" t="str">
        <f t="shared" si="300"/>
        <v>Inactive</v>
      </c>
      <c r="F309" s="104" t="str">
        <f t="array" ref="F309">IFERROR(
  INDEX(ATTENDANCE_INPUT!D:D,
    MATCH(1,
      (ATTENDANCE_INPUT!A:A=A309) *
      (ATTENDANCE_INPUT!W:W=MAXIFS(ATTENDANCE_INPUT!W:W, ATTENDANCE_INPUT!A:A, A309)),
      0)),
  "")</f>
        <v>Yen Tran 3</v>
      </c>
      <c r="G309" s="109" t="str">
        <f t="array" ref="G309">IFERROR(
  INDEX(ATTENDANCE_INPUT!E:E,
    MATCH(1,
      (ATTENDANCE_INPUT!A:A=A309) *
      (ATTENDANCE_INPUT!W:W=MAXIFS(ATTENDANCE_INPUT!W:W, ATTENDANCE_INPUT!A:A, A309)),
      0)),
  "")</f>
        <v>Communication 1</v>
      </c>
      <c r="H309" s="110" t="str">
        <f t="array" ref="H309">IF(ISNA(MATCH(A309,sheet2!A:A,0)),"⏳ Chưa test",IFERROR(INDEX(LEVEL_HELPER!A:A,MATCH(INDEX(sheet2!N:N,MATCH(A309,sheet2!A:A,0)),LEVEL_HELPER!B:B,0)),"⏳ Chưa test"))</f>
        <v>Beginner</v>
      </c>
      <c r="I309" s="110" t="str">
        <f t="array" ref="I309">IF(ISNA(MATCH(A309,sheet2!A:A,0)),H309,IF(INDEX(sheet2!O:O,MATCH(A309,sheet2!A:A,0))&gt;0,IFERROR(INDEX(LEVEL_HELPER!A:A,MATCH(INDEX(sheet2!O:O,MATCH(A309,sheet2!A:A,0)),LEVEL_HELPER!B:B,0)),H309),H309))</f>
        <v>Beginner</v>
      </c>
      <c r="J309" s="110">
        <f>IFERROR(MAXIFS(ATTENDANCE_LOG!F:F, ATTENDANCE_LOG!C:C, A309&amp;"", ATTENDANCE_LOG!G:G, "Present"), "")</f>
        <v>45853.45833</v>
      </c>
      <c r="K309" s="111">
        <f t="shared" si="3"/>
        <v>359.5416667</v>
      </c>
      <c r="L309" s="112" t="str">
        <f t="shared" si="301"/>
        <v>❌ Dropped</v>
      </c>
      <c r="M309" s="113" t="s">
        <v>37</v>
      </c>
      <c r="N309" s="114" t="s">
        <v>40</v>
      </c>
      <c r="O309" s="113"/>
      <c r="P309" s="115">
        <f>IFERROR(__xludf.DUMMYFUNCTION("IFERROR(COUNTUNIQUEIFS(ATTENDANCE_LOG!B:B,ATTENDANCE_LOG!C:C,A309),0)"),1.0)</f>
        <v>1</v>
      </c>
      <c r="Q309" s="113" t="str">
        <f t="array" ref="Q309">IFERROR(INDEX(ATTENDANCE_LOG!A:A,MATCH(1,(ATTENDANCE_LOG!C:C=A309)*(ATTENDANCE_LOG!F:F=MAXIFS(ATTENDANCE_LOG!F:F,ATTENDANCE_LOG!C:C,A309)),0)),"")</f>
        <v>EL030</v>
      </c>
      <c r="R309" s="113" t="str">
        <f t="array" ref="R309">IFERROR(INDEX(ATTENDANCE_LOG!B:B,MATCH(1,(ATTENDANCE_LOG!C:C=A309)*(ATTENDANCE_LOG!F:F=MAXIFS(ATTENDANCE_LOG!F:F,ATTENDANCE_LOG!C:C,A309)),0)),"")</f>
        <v>Communication 1</v>
      </c>
      <c r="S309" s="113">
        <f>IFERROR(VLOOKUP(H309, LEVEL_HELPER!A:B, 2, 0), 0)</f>
        <v>1</v>
      </c>
      <c r="T309" s="113">
        <f>IFERROR(VLOOKUP(I309, LEVEL_HELPER!A:B, 2, 0), 0)</f>
        <v>1</v>
      </c>
      <c r="U309" s="113">
        <f t="shared" ref="U309:V309" si="309">IF(S309="",0,IF(S309&lt;=2,1,IF(S309&lt;=4,2,IF(S309&lt;=5.5,3,4))))
</f>
        <v>1</v>
      </c>
      <c r="V309" s="113">
        <f t="shared" si="309"/>
        <v>1</v>
      </c>
      <c r="W309" s="113" t="str">
        <f t="shared" si="303"/>
        <v>No Progress</v>
      </c>
      <c r="X309" s="113"/>
      <c r="Y309" s="113"/>
      <c r="Z309" s="113"/>
      <c r="AA309" s="113"/>
      <c r="AB309" s="116"/>
      <c r="AC309" s="116"/>
      <c r="AD309" s="117"/>
    </row>
    <row r="310" ht="15.75" customHeight="1">
      <c r="A310" s="142"/>
      <c r="B310" s="143"/>
      <c r="C310" s="136"/>
      <c r="D310" s="136"/>
      <c r="E310" s="136"/>
      <c r="F310" s="144"/>
      <c r="G310" s="143"/>
      <c r="H310" s="136"/>
      <c r="I310" s="136"/>
      <c r="J310" s="136"/>
      <c r="K310" s="145"/>
      <c r="L310" s="146"/>
      <c r="M310" s="136"/>
      <c r="N310" s="114"/>
      <c r="O310" s="136"/>
      <c r="P310" s="136"/>
      <c r="Q310" s="136"/>
      <c r="R310" s="136"/>
      <c r="S310" s="136"/>
      <c r="T310" s="136"/>
      <c r="U310" s="136"/>
      <c r="V310" s="136"/>
      <c r="W310" s="136"/>
      <c r="X310" s="136"/>
      <c r="Y310" s="136"/>
      <c r="Z310" s="136"/>
      <c r="AA310" s="136"/>
      <c r="AB310" s="102"/>
      <c r="AC310" s="102"/>
      <c r="AD310" s="103"/>
    </row>
    <row r="311" ht="15.75" customHeight="1">
      <c r="A311" s="147"/>
      <c r="B311" s="148"/>
      <c r="C311" s="133"/>
      <c r="D311" s="133"/>
      <c r="E311" s="133"/>
      <c r="F311" s="149"/>
      <c r="G311" s="148"/>
      <c r="H311" s="133"/>
      <c r="I311" s="133"/>
      <c r="J311" s="133"/>
      <c r="K311" s="150"/>
      <c r="L311" s="151"/>
      <c r="M311" s="133"/>
      <c r="N311" s="114"/>
      <c r="O311" s="133"/>
      <c r="P311" s="133"/>
      <c r="Q311" s="133"/>
      <c r="R311" s="133"/>
      <c r="S311" s="133"/>
      <c r="T311" s="133"/>
      <c r="U311" s="133"/>
      <c r="V311" s="133"/>
      <c r="W311" s="133"/>
      <c r="X311" s="133"/>
      <c r="Y311" s="133"/>
      <c r="Z311" s="133"/>
      <c r="AA311" s="133"/>
      <c r="AB311" s="102"/>
      <c r="AC311" s="102"/>
      <c r="AD311" s="103"/>
    </row>
    <row r="312" ht="15.75" customHeight="1">
      <c r="A312" s="142"/>
      <c r="B312" s="143"/>
      <c r="C312" s="136"/>
      <c r="D312" s="136"/>
      <c r="E312" s="136"/>
      <c r="F312" s="144"/>
      <c r="G312" s="143"/>
      <c r="H312" s="136"/>
      <c r="I312" s="136"/>
      <c r="J312" s="136"/>
      <c r="K312" s="145"/>
      <c r="L312" s="146"/>
      <c r="M312" s="136"/>
      <c r="N312" s="114"/>
      <c r="O312" s="136"/>
      <c r="P312" s="136"/>
      <c r="Q312" s="136"/>
      <c r="R312" s="136"/>
      <c r="S312" s="136"/>
      <c r="T312" s="136"/>
      <c r="U312" s="136"/>
      <c r="V312" s="136"/>
      <c r="W312" s="136"/>
      <c r="X312" s="136"/>
      <c r="Y312" s="136"/>
      <c r="Z312" s="136"/>
      <c r="AA312" s="136"/>
      <c r="AB312" s="102"/>
      <c r="AC312" s="102"/>
      <c r="AD312" s="103"/>
    </row>
    <row r="313" ht="15.75" customHeight="1">
      <c r="A313" s="147"/>
      <c r="B313" s="148"/>
      <c r="C313" s="133"/>
      <c r="D313" s="133"/>
      <c r="E313" s="133"/>
      <c r="F313" s="149"/>
      <c r="G313" s="148"/>
      <c r="H313" s="133"/>
      <c r="I313" s="133"/>
      <c r="J313" s="133"/>
      <c r="K313" s="150"/>
      <c r="L313" s="151"/>
      <c r="M313" s="133"/>
      <c r="N313" s="114"/>
      <c r="O313" s="133"/>
      <c r="P313" s="133"/>
      <c r="Q313" s="133"/>
      <c r="R313" s="133"/>
      <c r="S313" s="133"/>
      <c r="T313" s="133"/>
      <c r="U313" s="133"/>
      <c r="V313" s="133"/>
      <c r="W313" s="133"/>
      <c r="X313" s="133"/>
      <c r="Y313" s="133"/>
      <c r="Z313" s="133"/>
      <c r="AA313" s="133"/>
      <c r="AB313" s="102"/>
      <c r="AC313" s="102"/>
      <c r="AD313" s="103"/>
    </row>
    <row r="314" ht="15.75" customHeight="1">
      <c r="A314" s="142"/>
      <c r="B314" s="143"/>
      <c r="C314" s="136"/>
      <c r="D314" s="136"/>
      <c r="E314" s="136"/>
      <c r="F314" s="144"/>
      <c r="G314" s="143"/>
      <c r="H314" s="136"/>
      <c r="I314" s="136"/>
      <c r="J314" s="136"/>
      <c r="K314" s="145"/>
      <c r="L314" s="146"/>
      <c r="M314" s="136"/>
      <c r="N314" s="114"/>
      <c r="O314" s="136"/>
      <c r="P314" s="136"/>
      <c r="Q314" s="136"/>
      <c r="R314" s="136"/>
      <c r="S314" s="136"/>
      <c r="T314" s="136"/>
      <c r="U314" s="136"/>
      <c r="V314" s="136"/>
      <c r="W314" s="136"/>
      <c r="X314" s="136"/>
      <c r="Y314" s="136"/>
      <c r="Z314" s="136"/>
      <c r="AA314" s="136"/>
      <c r="AB314" s="102"/>
      <c r="AC314" s="102"/>
      <c r="AD314" s="103"/>
    </row>
    <row r="315" ht="15.75" customHeight="1">
      <c r="A315" s="147"/>
      <c r="B315" s="148"/>
      <c r="C315" s="133"/>
      <c r="D315" s="133"/>
      <c r="E315" s="133"/>
      <c r="F315" s="149"/>
      <c r="G315" s="148"/>
      <c r="H315" s="133"/>
      <c r="I315" s="133"/>
      <c r="J315" s="133"/>
      <c r="K315" s="150"/>
      <c r="L315" s="151"/>
      <c r="M315" s="133"/>
      <c r="N315" s="114"/>
      <c r="O315" s="133"/>
      <c r="P315" s="133"/>
      <c r="Q315" s="133"/>
      <c r="R315" s="133"/>
      <c r="S315" s="133"/>
      <c r="T315" s="133"/>
      <c r="U315" s="133"/>
      <c r="V315" s="133"/>
      <c r="W315" s="133"/>
      <c r="X315" s="133"/>
      <c r="Y315" s="133"/>
      <c r="Z315" s="133"/>
      <c r="AA315" s="133"/>
      <c r="AB315" s="102"/>
      <c r="AC315" s="102"/>
      <c r="AD315" s="103"/>
    </row>
    <row r="316" ht="15.75" customHeight="1">
      <c r="A316" s="152"/>
      <c r="B316" s="143"/>
      <c r="C316" s="136"/>
      <c r="D316" s="136"/>
      <c r="E316" s="136"/>
      <c r="F316" s="144"/>
      <c r="G316" s="143"/>
      <c r="H316" s="136"/>
      <c r="I316" s="136"/>
      <c r="J316" s="136"/>
      <c r="K316" s="145"/>
      <c r="L316" s="146"/>
      <c r="M316" s="136"/>
      <c r="N316" s="114"/>
      <c r="O316" s="136"/>
      <c r="P316" s="136"/>
      <c r="Q316" s="136"/>
      <c r="R316" s="136"/>
      <c r="S316" s="136"/>
      <c r="T316" s="136"/>
      <c r="U316" s="136"/>
      <c r="V316" s="136"/>
      <c r="W316" s="136"/>
      <c r="X316" s="136"/>
      <c r="Y316" s="136"/>
      <c r="Z316" s="136"/>
      <c r="AA316" s="136"/>
      <c r="AB316" s="102"/>
      <c r="AC316" s="102"/>
      <c r="AD316" s="103"/>
    </row>
    <row r="317" ht="15.75" customHeight="1">
      <c r="A317" s="152"/>
      <c r="B317" s="143"/>
      <c r="C317" s="133"/>
      <c r="D317" s="133"/>
      <c r="E317" s="133"/>
      <c r="F317" s="149"/>
      <c r="G317" s="148"/>
      <c r="H317" s="133"/>
      <c r="I317" s="133"/>
      <c r="J317" s="133"/>
      <c r="K317" s="150"/>
      <c r="L317" s="151"/>
      <c r="M317" s="133"/>
      <c r="N317" s="114"/>
      <c r="O317" s="133"/>
      <c r="P317" s="133"/>
      <c r="Q317" s="133"/>
      <c r="R317" s="133"/>
      <c r="S317" s="133"/>
      <c r="T317" s="133"/>
      <c r="U317" s="133"/>
      <c r="V317" s="133"/>
      <c r="W317" s="133"/>
      <c r="X317" s="133"/>
      <c r="Y317" s="133"/>
      <c r="Z317" s="133"/>
      <c r="AA317" s="133"/>
      <c r="AB317" s="102"/>
      <c r="AC317" s="102"/>
      <c r="AD317" s="103"/>
    </row>
    <row r="318" ht="15.75" customHeight="1">
      <c r="A318" s="152"/>
      <c r="B318" s="143"/>
      <c r="C318" s="136"/>
      <c r="D318" s="136"/>
      <c r="E318" s="136"/>
      <c r="F318" s="144"/>
      <c r="G318" s="143"/>
      <c r="H318" s="136"/>
      <c r="I318" s="136"/>
      <c r="J318" s="136"/>
      <c r="K318" s="145"/>
      <c r="L318" s="146"/>
      <c r="M318" s="136"/>
      <c r="N318" s="114"/>
      <c r="O318" s="136"/>
      <c r="P318" s="136"/>
      <c r="Q318" s="136"/>
      <c r="R318" s="136"/>
      <c r="S318" s="136"/>
      <c r="T318" s="136"/>
      <c r="U318" s="136"/>
      <c r="V318" s="136"/>
      <c r="W318" s="136"/>
      <c r="X318" s="136"/>
      <c r="Y318" s="136"/>
      <c r="Z318" s="136"/>
      <c r="AA318" s="136"/>
      <c r="AB318" s="102"/>
      <c r="AC318" s="102"/>
      <c r="AD318" s="103"/>
    </row>
    <row r="319" ht="15.75" customHeight="1">
      <c r="A319" s="152"/>
      <c r="B319" s="143"/>
      <c r="C319" s="133"/>
      <c r="D319" s="133"/>
      <c r="E319" s="133"/>
      <c r="F319" s="149"/>
      <c r="G319" s="148"/>
      <c r="H319" s="133"/>
      <c r="I319" s="133"/>
      <c r="J319" s="133"/>
      <c r="K319" s="150"/>
      <c r="L319" s="151"/>
      <c r="M319" s="133"/>
      <c r="N319" s="114"/>
      <c r="O319" s="133"/>
      <c r="P319" s="133"/>
      <c r="Q319" s="133"/>
      <c r="R319" s="133"/>
      <c r="S319" s="133"/>
      <c r="T319" s="133"/>
      <c r="U319" s="133"/>
      <c r="V319" s="133"/>
      <c r="W319" s="133"/>
      <c r="X319" s="133"/>
      <c r="Y319" s="133"/>
      <c r="Z319" s="133"/>
      <c r="AA319" s="133"/>
      <c r="AB319" s="102"/>
      <c r="AC319" s="102"/>
      <c r="AD319" s="103"/>
    </row>
    <row r="320" ht="15.75" customHeight="1">
      <c r="A320" s="152"/>
      <c r="B320" s="143"/>
      <c r="C320" s="136"/>
      <c r="D320" s="136"/>
      <c r="E320" s="136"/>
      <c r="F320" s="144"/>
      <c r="G320" s="143"/>
      <c r="H320" s="136"/>
      <c r="I320" s="136"/>
      <c r="J320" s="136"/>
      <c r="K320" s="145"/>
      <c r="L320" s="146"/>
      <c r="M320" s="136"/>
      <c r="N320" s="114"/>
      <c r="O320" s="136"/>
      <c r="P320" s="136"/>
      <c r="Q320" s="136"/>
      <c r="R320" s="136"/>
      <c r="S320" s="136"/>
      <c r="T320" s="136"/>
      <c r="U320" s="136"/>
      <c r="V320" s="136"/>
      <c r="W320" s="136"/>
      <c r="X320" s="136"/>
      <c r="Y320" s="136"/>
      <c r="Z320" s="136"/>
      <c r="AA320" s="136"/>
      <c r="AB320" s="102"/>
      <c r="AC320" s="102"/>
      <c r="AD320" s="103"/>
    </row>
    <row r="321" ht="15.75" customHeight="1">
      <c r="A321" s="152"/>
      <c r="B321" s="143"/>
      <c r="C321" s="133"/>
      <c r="D321" s="133"/>
      <c r="E321" s="133"/>
      <c r="F321" s="149"/>
      <c r="G321" s="148"/>
      <c r="H321" s="133"/>
      <c r="I321" s="133"/>
      <c r="J321" s="133"/>
      <c r="K321" s="150"/>
      <c r="L321" s="151"/>
      <c r="M321" s="133"/>
      <c r="N321" s="114"/>
      <c r="O321" s="133"/>
      <c r="P321" s="133"/>
      <c r="Q321" s="133"/>
      <c r="R321" s="133"/>
      <c r="S321" s="133"/>
      <c r="T321" s="133"/>
      <c r="U321" s="133"/>
      <c r="V321" s="133"/>
      <c r="W321" s="133"/>
      <c r="X321" s="133"/>
      <c r="Y321" s="133"/>
      <c r="Z321" s="133"/>
      <c r="AA321" s="133"/>
      <c r="AB321" s="102"/>
      <c r="AC321" s="102"/>
      <c r="AD321" s="103"/>
    </row>
    <row r="322" ht="15.75" customHeight="1">
      <c r="A322" s="152"/>
      <c r="B322" s="143"/>
      <c r="C322" s="136"/>
      <c r="D322" s="136"/>
      <c r="E322" s="136"/>
      <c r="F322" s="144"/>
      <c r="G322" s="143"/>
      <c r="H322" s="136"/>
      <c r="I322" s="136"/>
      <c r="J322" s="136"/>
      <c r="K322" s="145"/>
      <c r="L322" s="146"/>
      <c r="M322" s="136"/>
      <c r="N322" s="114"/>
      <c r="O322" s="136"/>
      <c r="P322" s="136"/>
      <c r="Q322" s="136"/>
      <c r="R322" s="136"/>
      <c r="S322" s="136"/>
      <c r="T322" s="136"/>
      <c r="U322" s="136"/>
      <c r="V322" s="136"/>
      <c r="W322" s="136"/>
      <c r="X322" s="136"/>
      <c r="Y322" s="136"/>
      <c r="Z322" s="136"/>
      <c r="AA322" s="136"/>
      <c r="AB322" s="102"/>
      <c r="AC322" s="102"/>
      <c r="AD322" s="103"/>
    </row>
    <row r="323" ht="15.75" customHeight="1">
      <c r="A323" s="153"/>
      <c r="B323" s="143"/>
      <c r="C323" s="133"/>
      <c r="D323" s="133"/>
      <c r="E323" s="133"/>
      <c r="F323" s="149"/>
      <c r="G323" s="148"/>
      <c r="H323" s="133"/>
      <c r="I323" s="133"/>
      <c r="J323" s="133"/>
      <c r="K323" s="150"/>
      <c r="L323" s="151"/>
      <c r="M323" s="133"/>
      <c r="N323" s="114"/>
      <c r="O323" s="133"/>
      <c r="P323" s="133"/>
      <c r="Q323" s="133"/>
      <c r="R323" s="133"/>
      <c r="S323" s="133"/>
      <c r="T323" s="133"/>
      <c r="U323" s="133"/>
      <c r="V323" s="133"/>
      <c r="W323" s="133"/>
      <c r="X323" s="133"/>
      <c r="Y323" s="133"/>
      <c r="Z323" s="133"/>
      <c r="AA323" s="133"/>
      <c r="AB323" s="102"/>
      <c r="AC323" s="102"/>
      <c r="AD323" s="103"/>
    </row>
    <row r="324" ht="15.75" customHeight="1">
      <c r="A324" s="142"/>
      <c r="B324" s="143"/>
      <c r="C324" s="136"/>
      <c r="D324" s="136"/>
      <c r="E324" s="136"/>
      <c r="F324" s="144"/>
      <c r="G324" s="143"/>
      <c r="H324" s="136"/>
      <c r="I324" s="136"/>
      <c r="J324" s="136"/>
      <c r="K324" s="145"/>
      <c r="L324" s="146"/>
      <c r="M324" s="136"/>
      <c r="N324" s="114"/>
      <c r="O324" s="136"/>
      <c r="P324" s="136"/>
      <c r="Q324" s="136"/>
      <c r="R324" s="136"/>
      <c r="S324" s="136"/>
      <c r="T324" s="136"/>
      <c r="U324" s="136"/>
      <c r="V324" s="136"/>
      <c r="W324" s="136"/>
      <c r="X324" s="136"/>
      <c r="Y324" s="136"/>
      <c r="Z324" s="136"/>
      <c r="AA324" s="136"/>
      <c r="AB324" s="102"/>
      <c r="AC324" s="102"/>
      <c r="AD324" s="103"/>
    </row>
    <row r="325" ht="15.75" customHeight="1">
      <c r="A325" s="147"/>
      <c r="B325" s="148"/>
      <c r="C325" s="133"/>
      <c r="D325" s="133"/>
      <c r="E325" s="133"/>
      <c r="F325" s="149"/>
      <c r="G325" s="148"/>
      <c r="H325" s="133"/>
      <c r="I325" s="133"/>
      <c r="J325" s="133"/>
      <c r="K325" s="150"/>
      <c r="L325" s="151"/>
      <c r="M325" s="133"/>
      <c r="N325" s="114"/>
      <c r="O325" s="133"/>
      <c r="P325" s="133"/>
      <c r="Q325" s="133"/>
      <c r="R325" s="133"/>
      <c r="S325" s="133"/>
      <c r="T325" s="133"/>
      <c r="U325" s="133"/>
      <c r="V325" s="133"/>
      <c r="W325" s="133"/>
      <c r="X325" s="133"/>
      <c r="Y325" s="133"/>
      <c r="Z325" s="133"/>
      <c r="AA325" s="133"/>
      <c r="AB325" s="102"/>
      <c r="AC325" s="102"/>
      <c r="AD325" s="103"/>
    </row>
    <row r="326" ht="15.75" customHeight="1">
      <c r="A326" s="142"/>
      <c r="B326" s="143"/>
      <c r="C326" s="136"/>
      <c r="D326" s="136"/>
      <c r="E326" s="136"/>
      <c r="F326" s="144"/>
      <c r="G326" s="143"/>
      <c r="H326" s="136"/>
      <c r="I326" s="136"/>
      <c r="J326" s="136"/>
      <c r="K326" s="145"/>
      <c r="L326" s="146"/>
      <c r="M326" s="136"/>
      <c r="N326" s="114"/>
      <c r="O326" s="136"/>
      <c r="P326" s="136"/>
      <c r="Q326" s="136"/>
      <c r="R326" s="136"/>
      <c r="S326" s="136"/>
      <c r="T326" s="136"/>
      <c r="U326" s="136"/>
      <c r="V326" s="136"/>
      <c r="W326" s="136"/>
      <c r="X326" s="136"/>
      <c r="Y326" s="136"/>
      <c r="Z326" s="136"/>
      <c r="AA326" s="136"/>
      <c r="AB326" s="102"/>
      <c r="AC326" s="102"/>
      <c r="AD326" s="103"/>
    </row>
    <row r="327" ht="15.75" customHeight="1">
      <c r="A327" s="147"/>
      <c r="B327" s="148"/>
      <c r="C327" s="133"/>
      <c r="D327" s="133"/>
      <c r="E327" s="133"/>
      <c r="F327" s="149"/>
      <c r="G327" s="148"/>
      <c r="H327" s="133"/>
      <c r="I327" s="133"/>
      <c r="J327" s="133"/>
      <c r="K327" s="150"/>
      <c r="L327" s="151"/>
      <c r="M327" s="133"/>
      <c r="N327" s="114"/>
      <c r="O327" s="133"/>
      <c r="P327" s="133"/>
      <c r="Q327" s="133"/>
      <c r="R327" s="133"/>
      <c r="S327" s="133"/>
      <c r="T327" s="133"/>
      <c r="U327" s="133"/>
      <c r="V327" s="133"/>
      <c r="W327" s="133"/>
      <c r="X327" s="133"/>
      <c r="Y327" s="133"/>
      <c r="Z327" s="133"/>
      <c r="AA327" s="133"/>
      <c r="AB327" s="102"/>
      <c r="AC327" s="102"/>
      <c r="AD327" s="103"/>
    </row>
    <row r="328" ht="15.75" customHeight="1">
      <c r="A328" s="142"/>
      <c r="B328" s="143"/>
      <c r="C328" s="136"/>
      <c r="D328" s="136"/>
      <c r="E328" s="136"/>
      <c r="F328" s="144"/>
      <c r="G328" s="143"/>
      <c r="H328" s="136"/>
      <c r="I328" s="136"/>
      <c r="J328" s="136"/>
      <c r="K328" s="145"/>
      <c r="L328" s="146"/>
      <c r="M328" s="136"/>
      <c r="N328" s="114"/>
      <c r="O328" s="136"/>
      <c r="P328" s="136"/>
      <c r="Q328" s="136"/>
      <c r="R328" s="136"/>
      <c r="S328" s="136"/>
      <c r="T328" s="136"/>
      <c r="U328" s="136"/>
      <c r="V328" s="136"/>
      <c r="W328" s="136"/>
      <c r="X328" s="136"/>
      <c r="Y328" s="136"/>
      <c r="Z328" s="136"/>
      <c r="AA328" s="136"/>
      <c r="AB328" s="102"/>
      <c r="AC328" s="102"/>
      <c r="AD328" s="103"/>
    </row>
    <row r="329" ht="15.75" customHeight="1">
      <c r="A329" s="147"/>
      <c r="B329" s="148"/>
      <c r="C329" s="133"/>
      <c r="D329" s="133"/>
      <c r="E329" s="133"/>
      <c r="F329" s="149"/>
      <c r="G329" s="148"/>
      <c r="H329" s="133"/>
      <c r="I329" s="133"/>
      <c r="J329" s="133"/>
      <c r="K329" s="150"/>
      <c r="L329" s="151"/>
      <c r="M329" s="133"/>
      <c r="N329" s="114"/>
      <c r="O329" s="133"/>
      <c r="P329" s="133"/>
      <c r="Q329" s="133"/>
      <c r="R329" s="133"/>
      <c r="S329" s="133"/>
      <c r="T329" s="133"/>
      <c r="U329" s="133"/>
      <c r="V329" s="133"/>
      <c r="W329" s="133"/>
      <c r="X329" s="133"/>
      <c r="Y329" s="133"/>
      <c r="Z329" s="133"/>
      <c r="AA329" s="133"/>
      <c r="AB329" s="102"/>
      <c r="AC329" s="102"/>
      <c r="AD329" s="103"/>
    </row>
    <row r="330" ht="15.75" customHeight="1">
      <c r="A330" s="142"/>
      <c r="B330" s="143"/>
      <c r="C330" s="136"/>
      <c r="D330" s="136"/>
      <c r="E330" s="136"/>
      <c r="F330" s="144"/>
      <c r="G330" s="143"/>
      <c r="H330" s="136"/>
      <c r="I330" s="136"/>
      <c r="J330" s="136"/>
      <c r="K330" s="145"/>
      <c r="L330" s="146"/>
      <c r="M330" s="136"/>
      <c r="N330" s="114"/>
      <c r="O330" s="136"/>
      <c r="P330" s="136"/>
      <c r="Q330" s="136"/>
      <c r="R330" s="136"/>
      <c r="S330" s="136"/>
      <c r="T330" s="136"/>
      <c r="U330" s="136"/>
      <c r="V330" s="136"/>
      <c r="W330" s="136"/>
      <c r="X330" s="136"/>
      <c r="Y330" s="136"/>
      <c r="Z330" s="136"/>
      <c r="AA330" s="136"/>
      <c r="AB330" s="102"/>
      <c r="AC330" s="102"/>
      <c r="AD330" s="103"/>
    </row>
    <row r="331" ht="15.75" customHeight="1">
      <c r="A331" s="147"/>
      <c r="B331" s="148"/>
      <c r="C331" s="133"/>
      <c r="D331" s="133"/>
      <c r="E331" s="133"/>
      <c r="F331" s="149"/>
      <c r="G331" s="148"/>
      <c r="H331" s="133"/>
      <c r="I331" s="133"/>
      <c r="J331" s="133"/>
      <c r="K331" s="150"/>
      <c r="L331" s="151"/>
      <c r="M331" s="133"/>
      <c r="N331" s="114"/>
      <c r="O331" s="133"/>
      <c r="P331" s="133"/>
      <c r="Q331" s="133"/>
      <c r="R331" s="133"/>
      <c r="S331" s="133"/>
      <c r="T331" s="133"/>
      <c r="U331" s="133"/>
      <c r="V331" s="133"/>
      <c r="W331" s="133"/>
      <c r="X331" s="133"/>
      <c r="Y331" s="133"/>
      <c r="Z331" s="133"/>
      <c r="AA331" s="133"/>
      <c r="AB331" s="102"/>
      <c r="AC331" s="102"/>
      <c r="AD331" s="103"/>
    </row>
    <row r="332" ht="15.75" customHeight="1">
      <c r="A332" s="142"/>
      <c r="B332" s="143"/>
      <c r="C332" s="136"/>
      <c r="D332" s="136"/>
      <c r="E332" s="136"/>
      <c r="F332" s="144"/>
      <c r="G332" s="143"/>
      <c r="H332" s="136"/>
      <c r="I332" s="136"/>
      <c r="L332" s="136"/>
      <c r="M332" s="145"/>
      <c r="N332" s="114"/>
      <c r="O332" s="136"/>
      <c r="P332" s="136"/>
      <c r="Q332" s="136"/>
      <c r="R332" s="136"/>
      <c r="S332" s="136"/>
      <c r="T332" s="136"/>
      <c r="U332" s="136"/>
      <c r="V332" s="136"/>
      <c r="W332" s="136"/>
      <c r="X332" s="136"/>
      <c r="Y332" s="136"/>
      <c r="Z332" s="136"/>
      <c r="AA332" s="136"/>
      <c r="AB332" s="102"/>
      <c r="AC332" s="102"/>
      <c r="AD332" s="103"/>
    </row>
    <row r="333" ht="15.75" customHeight="1">
      <c r="A333" s="147"/>
      <c r="B333" s="148"/>
      <c r="C333" s="133"/>
      <c r="D333" s="133"/>
      <c r="E333" s="133"/>
      <c r="F333" s="149"/>
      <c r="G333" s="148"/>
      <c r="H333" s="133"/>
      <c r="I333" s="133"/>
      <c r="J333" s="133"/>
      <c r="K333" s="150"/>
      <c r="L333" s="151"/>
      <c r="M333" s="133"/>
      <c r="N333" s="114"/>
      <c r="O333" s="133"/>
      <c r="P333" s="133"/>
      <c r="Q333" s="133"/>
      <c r="R333" s="133"/>
      <c r="S333" s="133"/>
      <c r="T333" s="133"/>
      <c r="U333" s="133"/>
      <c r="V333" s="133"/>
      <c r="W333" s="133"/>
      <c r="X333" s="133"/>
      <c r="Y333" s="133"/>
      <c r="Z333" s="133"/>
      <c r="AA333" s="133"/>
      <c r="AB333" s="102"/>
      <c r="AC333" s="102"/>
      <c r="AD333" s="103"/>
    </row>
    <row r="334" ht="15.75" customHeight="1">
      <c r="A334" s="142"/>
      <c r="B334" s="143"/>
      <c r="C334" s="136"/>
      <c r="D334" s="136"/>
      <c r="E334" s="136"/>
      <c r="F334" s="144"/>
      <c r="G334" s="143"/>
      <c r="H334" s="136"/>
      <c r="I334" s="136"/>
      <c r="J334" s="136"/>
      <c r="K334" s="145"/>
      <c r="L334" s="146"/>
      <c r="M334" s="136"/>
      <c r="N334" s="114"/>
      <c r="O334" s="136"/>
      <c r="P334" s="136"/>
      <c r="Q334" s="136"/>
      <c r="R334" s="136"/>
      <c r="S334" s="136"/>
      <c r="T334" s="136"/>
      <c r="U334" s="136"/>
      <c r="V334" s="136"/>
      <c r="W334" s="136"/>
      <c r="X334" s="136"/>
      <c r="Y334" s="136"/>
      <c r="Z334" s="136"/>
      <c r="AA334" s="136"/>
      <c r="AB334" s="102"/>
      <c r="AC334" s="102"/>
      <c r="AD334" s="103"/>
    </row>
    <row r="335" ht="15.75" customHeight="1">
      <c r="A335" s="147"/>
      <c r="B335" s="148"/>
      <c r="C335" s="133"/>
      <c r="D335" s="133"/>
      <c r="E335" s="133"/>
      <c r="F335" s="149"/>
      <c r="G335" s="148"/>
      <c r="H335" s="133"/>
      <c r="I335" s="133"/>
      <c r="J335" s="133"/>
      <c r="K335" s="150"/>
      <c r="L335" s="151"/>
      <c r="M335" s="133"/>
      <c r="N335" s="114"/>
      <c r="O335" s="133"/>
      <c r="P335" s="133"/>
      <c r="Q335" s="133"/>
      <c r="R335" s="133"/>
      <c r="S335" s="133"/>
      <c r="T335" s="133"/>
      <c r="U335" s="133"/>
      <c r="V335" s="133"/>
      <c r="W335" s="133"/>
      <c r="X335" s="133"/>
      <c r="Y335" s="133"/>
      <c r="Z335" s="133"/>
      <c r="AA335" s="133"/>
      <c r="AB335" s="102"/>
      <c r="AC335" s="102"/>
      <c r="AD335" s="103"/>
    </row>
    <row r="336" ht="15.75" customHeight="1">
      <c r="A336" s="142"/>
      <c r="B336" s="143"/>
      <c r="C336" s="136"/>
      <c r="D336" s="136"/>
      <c r="E336" s="136"/>
      <c r="F336" s="144"/>
      <c r="G336" s="143"/>
      <c r="H336" s="136"/>
      <c r="I336" s="136"/>
      <c r="J336" s="136"/>
      <c r="K336" s="145"/>
      <c r="L336" s="146"/>
      <c r="M336" s="136"/>
      <c r="N336" s="114"/>
      <c r="O336" s="136"/>
      <c r="P336" s="136"/>
      <c r="Q336" s="136"/>
      <c r="R336" s="136"/>
      <c r="S336" s="136"/>
      <c r="T336" s="136"/>
      <c r="U336" s="136"/>
      <c r="V336" s="136"/>
      <c r="W336" s="136"/>
      <c r="X336" s="136"/>
      <c r="Y336" s="136"/>
      <c r="Z336" s="136"/>
      <c r="AA336" s="136"/>
      <c r="AB336" s="102"/>
      <c r="AC336" s="102"/>
      <c r="AD336" s="103"/>
    </row>
    <row r="337" ht="15.75" customHeight="1">
      <c r="A337" s="147"/>
      <c r="B337" s="148"/>
      <c r="C337" s="133"/>
      <c r="D337" s="133"/>
      <c r="E337" s="133"/>
      <c r="F337" s="149"/>
      <c r="G337" s="148"/>
      <c r="H337" s="133"/>
      <c r="I337" s="133"/>
      <c r="J337" s="133"/>
      <c r="K337" s="150"/>
      <c r="L337" s="151"/>
      <c r="M337" s="133"/>
      <c r="N337" s="114"/>
      <c r="O337" s="133"/>
      <c r="P337" s="133"/>
      <c r="Q337" s="133"/>
      <c r="R337" s="133"/>
      <c r="S337" s="133"/>
      <c r="T337" s="133"/>
      <c r="U337" s="133"/>
      <c r="V337" s="133"/>
      <c r="W337" s="133"/>
      <c r="X337" s="133"/>
      <c r="Y337" s="133"/>
      <c r="Z337" s="133"/>
      <c r="AA337" s="133"/>
      <c r="AB337" s="102"/>
      <c r="AC337" s="102"/>
      <c r="AD337" s="103"/>
    </row>
    <row r="338" ht="15.75" customHeight="1">
      <c r="A338" s="142"/>
      <c r="B338" s="143"/>
      <c r="C338" s="136"/>
      <c r="D338" s="136"/>
      <c r="E338" s="136"/>
      <c r="F338" s="144"/>
      <c r="G338" s="143"/>
      <c r="H338" s="136"/>
      <c r="I338" s="136"/>
      <c r="J338" s="136"/>
      <c r="K338" s="145"/>
      <c r="L338" s="146"/>
      <c r="M338" s="136"/>
      <c r="N338" s="114"/>
      <c r="O338" s="136"/>
      <c r="P338" s="136"/>
      <c r="Q338" s="136"/>
      <c r="R338" s="136"/>
      <c r="S338" s="136"/>
      <c r="T338" s="136"/>
      <c r="U338" s="136"/>
      <c r="V338" s="136"/>
      <c r="W338" s="136"/>
      <c r="X338" s="136"/>
      <c r="Y338" s="136"/>
      <c r="Z338" s="136"/>
      <c r="AA338" s="136"/>
      <c r="AB338" s="102"/>
      <c r="AC338" s="102"/>
      <c r="AD338" s="103"/>
    </row>
    <row r="339" ht="15.75" customHeight="1">
      <c r="A339" s="147"/>
      <c r="B339" s="148"/>
      <c r="C339" s="133"/>
      <c r="D339" s="133"/>
      <c r="E339" s="133"/>
      <c r="F339" s="149"/>
      <c r="G339" s="148"/>
      <c r="H339" s="133"/>
      <c r="I339" s="133"/>
      <c r="J339" s="133"/>
      <c r="K339" s="150"/>
      <c r="L339" s="151"/>
      <c r="M339" s="133"/>
      <c r="N339" s="114"/>
      <c r="O339" s="133"/>
      <c r="P339" s="133"/>
      <c r="Q339" s="133"/>
      <c r="R339" s="133"/>
      <c r="S339" s="133"/>
      <c r="T339" s="133"/>
      <c r="U339" s="133"/>
      <c r="V339" s="133"/>
      <c r="W339" s="133"/>
      <c r="X339" s="133"/>
      <c r="Y339" s="133"/>
      <c r="Z339" s="133"/>
      <c r="AA339" s="133"/>
      <c r="AB339" s="102"/>
      <c r="AC339" s="102"/>
      <c r="AD339" s="103"/>
    </row>
    <row r="340" ht="15.75" customHeight="1">
      <c r="A340" s="142"/>
      <c r="B340" s="143"/>
      <c r="C340" s="136"/>
      <c r="D340" s="136"/>
      <c r="E340" s="136"/>
      <c r="F340" s="144"/>
      <c r="G340" s="143"/>
      <c r="H340" s="136"/>
      <c r="I340" s="136"/>
      <c r="J340" s="136"/>
      <c r="K340" s="145"/>
      <c r="L340" s="146"/>
      <c r="M340" s="136"/>
      <c r="N340" s="114"/>
      <c r="O340" s="136"/>
      <c r="P340" s="136"/>
      <c r="Q340" s="136"/>
      <c r="R340" s="136"/>
      <c r="S340" s="136"/>
      <c r="T340" s="136"/>
      <c r="U340" s="136"/>
      <c r="V340" s="136"/>
      <c r="W340" s="136"/>
      <c r="X340" s="136"/>
      <c r="Y340" s="136"/>
      <c r="Z340" s="136"/>
      <c r="AA340" s="136"/>
      <c r="AB340" s="102"/>
      <c r="AC340" s="102"/>
      <c r="AD340" s="103"/>
    </row>
    <row r="341" ht="15.75" customHeight="1">
      <c r="A341" s="147"/>
      <c r="B341" s="148"/>
      <c r="C341" s="133"/>
      <c r="D341" s="133"/>
      <c r="E341" s="133"/>
      <c r="F341" s="149"/>
      <c r="G341" s="148"/>
      <c r="H341" s="133"/>
      <c r="I341" s="133"/>
      <c r="J341" s="133"/>
      <c r="K341" s="150"/>
      <c r="L341" s="151"/>
      <c r="M341" s="133"/>
      <c r="N341" s="114"/>
      <c r="O341" s="133"/>
      <c r="P341" s="133"/>
      <c r="Q341" s="133"/>
      <c r="R341" s="133"/>
      <c r="S341" s="133"/>
      <c r="T341" s="133"/>
      <c r="U341" s="133"/>
      <c r="V341" s="133"/>
      <c r="W341" s="133"/>
      <c r="X341" s="133"/>
      <c r="Y341" s="133"/>
      <c r="Z341" s="133"/>
      <c r="AA341" s="133"/>
      <c r="AB341" s="102"/>
      <c r="AC341" s="102"/>
      <c r="AD341" s="103"/>
    </row>
    <row r="342" ht="15.75" customHeight="1">
      <c r="A342" s="142"/>
      <c r="B342" s="143"/>
      <c r="C342" s="136"/>
      <c r="D342" s="136"/>
      <c r="E342" s="136"/>
      <c r="F342" s="144"/>
      <c r="G342" s="143"/>
      <c r="H342" s="136"/>
      <c r="I342" s="136"/>
      <c r="J342" s="136"/>
      <c r="K342" s="145"/>
      <c r="L342" s="146"/>
      <c r="M342" s="136"/>
      <c r="N342" s="114"/>
      <c r="O342" s="136"/>
      <c r="P342" s="136"/>
      <c r="Q342" s="136"/>
      <c r="R342" s="136"/>
      <c r="S342" s="136"/>
      <c r="T342" s="136"/>
      <c r="U342" s="136"/>
      <c r="V342" s="136"/>
      <c r="W342" s="136"/>
      <c r="X342" s="136"/>
      <c r="Y342" s="136"/>
      <c r="Z342" s="136"/>
      <c r="AA342" s="136"/>
      <c r="AB342" s="102"/>
      <c r="AC342" s="102"/>
      <c r="AD342" s="103"/>
    </row>
    <row r="343" ht="15.75" customHeight="1">
      <c r="A343" s="147"/>
      <c r="B343" s="148"/>
      <c r="C343" s="133"/>
      <c r="D343" s="133"/>
      <c r="E343" s="133"/>
      <c r="F343" s="149"/>
      <c r="G343" s="148"/>
      <c r="H343" s="133"/>
      <c r="I343" s="133"/>
      <c r="J343" s="133"/>
      <c r="K343" s="150"/>
      <c r="L343" s="151"/>
      <c r="M343" s="133"/>
      <c r="N343" s="114"/>
      <c r="O343" s="133"/>
      <c r="P343" s="133"/>
      <c r="Q343" s="133"/>
      <c r="R343" s="133"/>
      <c r="S343" s="133"/>
      <c r="T343" s="133"/>
      <c r="U343" s="133"/>
      <c r="V343" s="133"/>
      <c r="W343" s="133"/>
      <c r="X343" s="133"/>
      <c r="Y343" s="133"/>
      <c r="Z343" s="133"/>
      <c r="AA343" s="133"/>
      <c r="AB343" s="102"/>
      <c r="AC343" s="102"/>
      <c r="AD343" s="103"/>
    </row>
    <row r="344" ht="15.75" customHeight="1">
      <c r="A344" s="142"/>
      <c r="B344" s="143"/>
      <c r="C344" s="136"/>
      <c r="D344" s="136"/>
      <c r="E344" s="136"/>
      <c r="F344" s="144"/>
      <c r="G344" s="143"/>
      <c r="H344" s="136"/>
      <c r="I344" s="136"/>
      <c r="J344" s="136"/>
      <c r="K344" s="145"/>
      <c r="L344" s="146"/>
      <c r="M344" s="136"/>
      <c r="N344" s="114"/>
      <c r="O344" s="136"/>
      <c r="P344" s="136"/>
      <c r="Q344" s="136"/>
      <c r="R344" s="136"/>
      <c r="S344" s="136"/>
      <c r="T344" s="136"/>
      <c r="U344" s="136"/>
      <c r="V344" s="136"/>
      <c r="W344" s="136"/>
      <c r="X344" s="136"/>
      <c r="Y344" s="136"/>
      <c r="Z344" s="136"/>
      <c r="AA344" s="136"/>
      <c r="AB344" s="102"/>
      <c r="AC344" s="102"/>
      <c r="AD344" s="103"/>
    </row>
    <row r="345" ht="15.75" customHeight="1">
      <c r="A345" s="147"/>
      <c r="B345" s="148"/>
      <c r="C345" s="133"/>
      <c r="D345" s="133"/>
      <c r="E345" s="133"/>
      <c r="F345" s="149"/>
      <c r="G345" s="148"/>
      <c r="H345" s="133"/>
      <c r="I345" s="133"/>
      <c r="J345" s="133"/>
      <c r="K345" s="150"/>
      <c r="L345" s="151"/>
      <c r="M345" s="133"/>
      <c r="N345" s="114"/>
      <c r="O345" s="133"/>
      <c r="P345" s="133"/>
      <c r="Q345" s="133"/>
      <c r="R345" s="133"/>
      <c r="S345" s="133"/>
      <c r="T345" s="133"/>
      <c r="U345" s="133"/>
      <c r="V345" s="133"/>
      <c r="W345" s="133"/>
      <c r="X345" s="133"/>
      <c r="Y345" s="133"/>
      <c r="Z345" s="133"/>
      <c r="AA345" s="133"/>
      <c r="AB345" s="102"/>
      <c r="AC345" s="102"/>
      <c r="AD345" s="103"/>
    </row>
    <row r="346" ht="15.75" customHeight="1">
      <c r="A346" s="142"/>
      <c r="B346" s="143"/>
      <c r="C346" s="136"/>
      <c r="D346" s="136"/>
      <c r="E346" s="136"/>
      <c r="F346" s="144"/>
      <c r="G346" s="143"/>
      <c r="H346" s="136"/>
      <c r="I346" s="136"/>
      <c r="J346" s="136"/>
      <c r="K346" s="145"/>
      <c r="L346" s="146"/>
      <c r="M346" s="136"/>
      <c r="N346" s="114"/>
      <c r="O346" s="136"/>
      <c r="P346" s="136"/>
      <c r="Q346" s="136"/>
      <c r="R346" s="136"/>
      <c r="S346" s="136"/>
      <c r="T346" s="136"/>
      <c r="U346" s="136"/>
      <c r="V346" s="136"/>
      <c r="W346" s="136"/>
      <c r="X346" s="136"/>
      <c r="Y346" s="136"/>
      <c r="Z346" s="136"/>
      <c r="AA346" s="136"/>
      <c r="AB346" s="102"/>
      <c r="AC346" s="102"/>
      <c r="AD346" s="103"/>
    </row>
    <row r="347" ht="15.75" customHeight="1">
      <c r="A347" s="147"/>
      <c r="B347" s="148"/>
      <c r="C347" s="133"/>
      <c r="D347" s="133"/>
      <c r="E347" s="133"/>
      <c r="F347" s="149"/>
      <c r="G347" s="148"/>
      <c r="H347" s="133"/>
      <c r="I347" s="133"/>
      <c r="J347" s="133"/>
      <c r="K347" s="150"/>
      <c r="L347" s="151"/>
      <c r="M347" s="133"/>
      <c r="N347" s="114"/>
      <c r="O347" s="133"/>
      <c r="P347" s="133"/>
      <c r="Q347" s="133"/>
      <c r="R347" s="133"/>
      <c r="S347" s="133"/>
      <c r="T347" s="133"/>
      <c r="U347" s="133"/>
      <c r="V347" s="133"/>
      <c r="W347" s="133"/>
      <c r="X347" s="133"/>
      <c r="Y347" s="133"/>
      <c r="Z347" s="133"/>
      <c r="AA347" s="133"/>
      <c r="AB347" s="102"/>
      <c r="AC347" s="102"/>
      <c r="AD347" s="103"/>
    </row>
    <row r="348" ht="15.75" customHeight="1">
      <c r="A348" s="142"/>
      <c r="B348" s="143"/>
      <c r="C348" s="136"/>
      <c r="D348" s="136"/>
      <c r="E348" s="136"/>
      <c r="F348" s="144"/>
      <c r="G348" s="143"/>
      <c r="H348" s="136"/>
      <c r="I348" s="136"/>
      <c r="J348" s="136"/>
      <c r="K348" s="145"/>
      <c r="L348" s="146"/>
      <c r="M348" s="136"/>
      <c r="N348" s="114"/>
      <c r="O348" s="136"/>
      <c r="P348" s="136"/>
      <c r="Q348" s="136"/>
      <c r="R348" s="136"/>
      <c r="S348" s="136"/>
      <c r="T348" s="136"/>
      <c r="U348" s="136"/>
      <c r="V348" s="136"/>
      <c r="W348" s="136"/>
      <c r="X348" s="136"/>
      <c r="Y348" s="136"/>
      <c r="Z348" s="136"/>
      <c r="AA348" s="136"/>
      <c r="AB348" s="102"/>
      <c r="AC348" s="102"/>
      <c r="AD348" s="103"/>
    </row>
    <row r="349" ht="15.75" customHeight="1">
      <c r="A349" s="147"/>
      <c r="B349" s="148"/>
      <c r="C349" s="133"/>
      <c r="D349" s="133"/>
      <c r="E349" s="133"/>
      <c r="F349" s="149"/>
      <c r="G349" s="148"/>
      <c r="H349" s="133"/>
      <c r="I349" s="133"/>
      <c r="J349" s="133"/>
      <c r="K349" s="150"/>
      <c r="L349" s="151"/>
      <c r="M349" s="133"/>
      <c r="N349" s="114"/>
      <c r="O349" s="133"/>
      <c r="P349" s="133"/>
      <c r="Q349" s="133"/>
      <c r="R349" s="133"/>
      <c r="S349" s="133"/>
      <c r="T349" s="133"/>
      <c r="U349" s="133"/>
      <c r="V349" s="133"/>
      <c r="W349" s="133"/>
      <c r="X349" s="133"/>
      <c r="Y349" s="133"/>
      <c r="Z349" s="133"/>
      <c r="AA349" s="133"/>
      <c r="AB349" s="102"/>
      <c r="AC349" s="102"/>
      <c r="AD349" s="103"/>
    </row>
    <row r="350" ht="15.75" customHeight="1">
      <c r="A350" s="142"/>
      <c r="B350" s="143"/>
      <c r="C350" s="136"/>
      <c r="D350" s="136"/>
      <c r="E350" s="136"/>
      <c r="F350" s="144"/>
      <c r="G350" s="143"/>
      <c r="H350" s="136"/>
      <c r="I350" s="136"/>
      <c r="J350" s="136"/>
      <c r="K350" s="145"/>
      <c r="L350" s="146"/>
      <c r="M350" s="136"/>
      <c r="N350" s="114"/>
      <c r="O350" s="136"/>
      <c r="P350" s="136"/>
      <c r="Q350" s="136"/>
      <c r="R350" s="136"/>
      <c r="S350" s="136"/>
      <c r="T350" s="136"/>
      <c r="U350" s="136"/>
      <c r="V350" s="136"/>
      <c r="W350" s="136"/>
      <c r="X350" s="136"/>
      <c r="Y350" s="136"/>
      <c r="Z350" s="136"/>
      <c r="AA350" s="136"/>
      <c r="AB350" s="102"/>
      <c r="AC350" s="102"/>
      <c r="AD350" s="103"/>
    </row>
    <row r="351" ht="15.75" customHeight="1">
      <c r="A351" s="147"/>
      <c r="B351" s="148"/>
      <c r="C351" s="133"/>
      <c r="D351" s="133"/>
      <c r="E351" s="133"/>
      <c r="F351" s="149"/>
      <c r="G351" s="148"/>
      <c r="H351" s="133"/>
      <c r="I351" s="133"/>
      <c r="J351" s="133"/>
      <c r="K351" s="150"/>
      <c r="L351" s="151"/>
      <c r="M351" s="133"/>
      <c r="N351" s="114"/>
      <c r="O351" s="133"/>
      <c r="P351" s="133"/>
      <c r="Q351" s="133"/>
      <c r="R351" s="133"/>
      <c r="S351" s="133"/>
      <c r="T351" s="133"/>
      <c r="U351" s="133"/>
      <c r="V351" s="133"/>
      <c r="W351" s="133"/>
      <c r="X351" s="133"/>
      <c r="Y351" s="133"/>
      <c r="Z351" s="133"/>
      <c r="AA351" s="133"/>
      <c r="AB351" s="102"/>
      <c r="AC351" s="102"/>
      <c r="AD351" s="103"/>
    </row>
    <row r="352" ht="15.75" customHeight="1">
      <c r="A352" s="142"/>
      <c r="B352" s="143"/>
      <c r="C352" s="136"/>
      <c r="D352" s="136"/>
      <c r="E352" s="136"/>
      <c r="F352" s="144"/>
      <c r="G352" s="143"/>
      <c r="H352" s="136"/>
      <c r="I352" s="136"/>
      <c r="J352" s="136"/>
      <c r="K352" s="145"/>
      <c r="L352" s="146"/>
      <c r="M352" s="136"/>
      <c r="N352" s="114"/>
      <c r="O352" s="136"/>
      <c r="P352" s="136"/>
      <c r="Q352" s="136"/>
      <c r="R352" s="136"/>
      <c r="S352" s="136"/>
      <c r="T352" s="136"/>
      <c r="U352" s="136"/>
      <c r="V352" s="136"/>
      <c r="W352" s="136"/>
      <c r="X352" s="136"/>
      <c r="Y352" s="136"/>
      <c r="Z352" s="136"/>
      <c r="AA352" s="136"/>
      <c r="AB352" s="102"/>
      <c r="AC352" s="102"/>
      <c r="AD352" s="103"/>
    </row>
    <row r="353" ht="15.75" customHeight="1">
      <c r="A353" s="147"/>
      <c r="B353" s="148"/>
      <c r="C353" s="133"/>
      <c r="D353" s="133"/>
      <c r="E353" s="133"/>
      <c r="F353" s="149"/>
      <c r="G353" s="148"/>
      <c r="H353" s="133"/>
      <c r="I353" s="133"/>
      <c r="J353" s="133"/>
      <c r="K353" s="150"/>
      <c r="L353" s="151"/>
      <c r="M353" s="133"/>
      <c r="N353" s="114"/>
      <c r="O353" s="133"/>
      <c r="P353" s="133"/>
      <c r="Q353" s="133"/>
      <c r="R353" s="133"/>
      <c r="S353" s="133"/>
      <c r="T353" s="133"/>
      <c r="U353" s="133"/>
      <c r="V353" s="133"/>
      <c r="W353" s="133"/>
      <c r="X353" s="133"/>
      <c r="Y353" s="133"/>
      <c r="Z353" s="133"/>
      <c r="AA353" s="133"/>
      <c r="AB353" s="102"/>
      <c r="AC353" s="102"/>
      <c r="AD353" s="103"/>
    </row>
    <row r="354" ht="15.75" customHeight="1">
      <c r="A354" s="142"/>
      <c r="B354" s="143"/>
      <c r="C354" s="136"/>
      <c r="D354" s="136"/>
      <c r="E354" s="136"/>
      <c r="F354" s="144"/>
      <c r="G354" s="143"/>
      <c r="H354" s="136"/>
      <c r="I354" s="136"/>
      <c r="J354" s="136"/>
      <c r="K354" s="145"/>
      <c r="L354" s="146"/>
      <c r="M354" s="136"/>
      <c r="N354" s="114"/>
      <c r="O354" s="136"/>
      <c r="P354" s="136"/>
      <c r="Q354" s="136"/>
      <c r="R354" s="136"/>
      <c r="S354" s="136"/>
      <c r="T354" s="136"/>
      <c r="U354" s="136"/>
      <c r="V354" s="136"/>
      <c r="W354" s="136"/>
      <c r="X354" s="136"/>
      <c r="Y354" s="136"/>
      <c r="Z354" s="136"/>
      <c r="AA354" s="136"/>
      <c r="AB354" s="102"/>
      <c r="AC354" s="102"/>
      <c r="AD354" s="103"/>
    </row>
    <row r="355" ht="15.75" customHeight="1">
      <c r="A355" s="147"/>
      <c r="B355" s="148"/>
      <c r="C355" s="133"/>
      <c r="D355" s="133"/>
      <c r="E355" s="133"/>
      <c r="F355" s="149"/>
      <c r="G355" s="148"/>
      <c r="H355" s="133"/>
      <c r="I355" s="133"/>
      <c r="J355" s="133"/>
      <c r="K355" s="150"/>
      <c r="L355" s="151"/>
      <c r="M355" s="133"/>
      <c r="N355" s="114"/>
      <c r="O355" s="133"/>
      <c r="P355" s="133"/>
      <c r="Q355" s="133"/>
      <c r="R355" s="133"/>
      <c r="S355" s="133"/>
      <c r="T355" s="133"/>
      <c r="U355" s="133"/>
      <c r="V355" s="133"/>
      <c r="W355" s="133"/>
      <c r="X355" s="133"/>
      <c r="Y355" s="133"/>
      <c r="Z355" s="133"/>
      <c r="AA355" s="133"/>
      <c r="AB355" s="102"/>
      <c r="AC355" s="102"/>
      <c r="AD355" s="103"/>
    </row>
    <row r="356" ht="15.75" customHeight="1">
      <c r="A356" s="142"/>
      <c r="B356" s="143"/>
      <c r="C356" s="136"/>
      <c r="D356" s="136"/>
      <c r="E356" s="136"/>
      <c r="F356" s="144"/>
      <c r="G356" s="143"/>
      <c r="H356" s="136"/>
      <c r="I356" s="136"/>
      <c r="J356" s="136"/>
      <c r="K356" s="145"/>
      <c r="L356" s="146"/>
      <c r="M356" s="136"/>
      <c r="N356" s="114"/>
      <c r="O356" s="136"/>
      <c r="P356" s="136"/>
      <c r="Q356" s="136"/>
      <c r="R356" s="136"/>
      <c r="S356" s="136"/>
      <c r="T356" s="136"/>
      <c r="U356" s="136"/>
      <c r="V356" s="136"/>
      <c r="W356" s="136"/>
      <c r="X356" s="136"/>
      <c r="Y356" s="136"/>
      <c r="Z356" s="136"/>
      <c r="AA356" s="136"/>
      <c r="AB356" s="102"/>
      <c r="AC356" s="102"/>
      <c r="AD356" s="103"/>
    </row>
    <row r="357" ht="15.75" customHeight="1">
      <c r="A357" s="147"/>
      <c r="B357" s="148"/>
      <c r="C357" s="133"/>
      <c r="D357" s="133"/>
      <c r="E357" s="133"/>
      <c r="F357" s="149"/>
      <c r="G357" s="148"/>
      <c r="H357" s="133"/>
      <c r="I357" s="133"/>
      <c r="J357" s="133"/>
      <c r="K357" s="150"/>
      <c r="L357" s="151"/>
      <c r="M357" s="133"/>
      <c r="N357" s="114"/>
      <c r="O357" s="133"/>
      <c r="P357" s="133"/>
      <c r="Q357" s="133"/>
      <c r="R357" s="133"/>
      <c r="S357" s="133"/>
      <c r="T357" s="133"/>
      <c r="U357" s="133"/>
      <c r="V357" s="133"/>
      <c r="W357" s="133"/>
      <c r="X357" s="133"/>
      <c r="Y357" s="133"/>
      <c r="Z357" s="133"/>
      <c r="AA357" s="133"/>
      <c r="AB357" s="102"/>
      <c r="AC357" s="102"/>
      <c r="AD357" s="103"/>
    </row>
    <row r="358" ht="15.75" customHeight="1">
      <c r="A358" s="142"/>
      <c r="B358" s="143"/>
      <c r="C358" s="136"/>
      <c r="D358" s="136"/>
      <c r="E358" s="136"/>
      <c r="F358" s="144"/>
      <c r="G358" s="143"/>
      <c r="H358" s="136"/>
      <c r="I358" s="136"/>
      <c r="J358" s="136"/>
      <c r="K358" s="145"/>
      <c r="L358" s="146"/>
      <c r="M358" s="136"/>
      <c r="N358" s="114"/>
      <c r="O358" s="136"/>
      <c r="P358" s="136"/>
      <c r="Q358" s="136"/>
      <c r="R358" s="136"/>
      <c r="S358" s="136"/>
      <c r="T358" s="136"/>
      <c r="U358" s="136"/>
      <c r="V358" s="136"/>
      <c r="W358" s="136"/>
      <c r="X358" s="136"/>
      <c r="Y358" s="136"/>
      <c r="Z358" s="136"/>
      <c r="AA358" s="136"/>
      <c r="AB358" s="102"/>
      <c r="AC358" s="102"/>
      <c r="AD358" s="103"/>
    </row>
    <row r="359" ht="15.75" customHeight="1">
      <c r="A359" s="147"/>
      <c r="B359" s="148"/>
      <c r="C359" s="133"/>
      <c r="D359" s="133"/>
      <c r="E359" s="133"/>
      <c r="F359" s="149"/>
      <c r="G359" s="148"/>
      <c r="H359" s="133"/>
      <c r="I359" s="133"/>
      <c r="J359" s="133"/>
      <c r="K359" s="150"/>
      <c r="L359" s="151"/>
      <c r="M359" s="133"/>
      <c r="N359" s="114"/>
      <c r="O359" s="133"/>
      <c r="P359" s="133"/>
      <c r="Q359" s="133"/>
      <c r="R359" s="133"/>
      <c r="S359" s="133"/>
      <c r="T359" s="133"/>
      <c r="U359" s="133"/>
      <c r="V359" s="133"/>
      <c r="W359" s="133"/>
      <c r="X359" s="133"/>
      <c r="Y359" s="133"/>
      <c r="Z359" s="133"/>
      <c r="AA359" s="133"/>
      <c r="AB359" s="102"/>
      <c r="AC359" s="102"/>
      <c r="AD359" s="103"/>
    </row>
    <row r="360" ht="15.75" customHeight="1">
      <c r="A360" s="142"/>
      <c r="B360" s="143"/>
      <c r="C360" s="136"/>
      <c r="D360" s="136"/>
      <c r="E360" s="136"/>
      <c r="F360" s="144"/>
      <c r="G360" s="143"/>
      <c r="H360" s="136"/>
      <c r="I360" s="136"/>
      <c r="J360" s="136"/>
      <c r="K360" s="145"/>
      <c r="L360" s="146"/>
      <c r="M360" s="136"/>
      <c r="N360" s="114"/>
      <c r="O360" s="136"/>
      <c r="P360" s="136"/>
      <c r="Q360" s="136"/>
      <c r="R360" s="136"/>
      <c r="S360" s="136"/>
      <c r="T360" s="136"/>
      <c r="U360" s="136"/>
      <c r="V360" s="136"/>
      <c r="W360" s="136"/>
      <c r="X360" s="136"/>
      <c r="Y360" s="136"/>
      <c r="Z360" s="136"/>
      <c r="AA360" s="136"/>
      <c r="AB360" s="102"/>
      <c r="AC360" s="102"/>
      <c r="AD360" s="103"/>
    </row>
    <row r="361" ht="15.75" customHeight="1">
      <c r="A361" s="147"/>
      <c r="B361" s="148"/>
      <c r="C361" s="133"/>
      <c r="D361" s="133"/>
      <c r="E361" s="133"/>
      <c r="F361" s="149"/>
      <c r="G361" s="148"/>
      <c r="H361" s="133"/>
      <c r="I361" s="133"/>
      <c r="J361" s="133"/>
      <c r="K361" s="150"/>
      <c r="L361" s="151"/>
      <c r="M361" s="133"/>
      <c r="N361" s="114"/>
      <c r="O361" s="133"/>
      <c r="P361" s="133"/>
      <c r="Q361" s="133"/>
      <c r="R361" s="133"/>
      <c r="S361" s="133"/>
      <c r="T361" s="133"/>
      <c r="U361" s="133"/>
      <c r="V361" s="133"/>
      <c r="W361" s="133"/>
      <c r="X361" s="133"/>
      <c r="Y361" s="133"/>
      <c r="Z361" s="133"/>
      <c r="AA361" s="133"/>
      <c r="AB361" s="102"/>
      <c r="AC361" s="102"/>
      <c r="AD361" s="103"/>
    </row>
    <row r="362" ht="15.75" customHeight="1">
      <c r="A362" s="142"/>
      <c r="B362" s="143"/>
      <c r="C362" s="136"/>
      <c r="D362" s="136"/>
      <c r="E362" s="136"/>
      <c r="F362" s="144"/>
      <c r="G362" s="143"/>
      <c r="H362" s="136"/>
      <c r="I362" s="136"/>
      <c r="J362" s="136"/>
      <c r="K362" s="145"/>
      <c r="L362" s="146"/>
      <c r="M362" s="136"/>
      <c r="N362" s="114"/>
      <c r="O362" s="136"/>
      <c r="P362" s="136"/>
      <c r="Q362" s="136"/>
      <c r="R362" s="136"/>
      <c r="S362" s="136"/>
      <c r="T362" s="136"/>
      <c r="U362" s="136"/>
      <c r="V362" s="136"/>
      <c r="W362" s="136"/>
      <c r="X362" s="136"/>
      <c r="Y362" s="136"/>
      <c r="Z362" s="136"/>
      <c r="AA362" s="136"/>
      <c r="AB362" s="102"/>
      <c r="AC362" s="102"/>
      <c r="AD362" s="103"/>
    </row>
    <row r="363" ht="15.75" customHeight="1">
      <c r="A363" s="147"/>
      <c r="B363" s="148"/>
      <c r="C363" s="133"/>
      <c r="D363" s="133"/>
      <c r="E363" s="133"/>
      <c r="F363" s="149"/>
      <c r="G363" s="148"/>
      <c r="H363" s="133"/>
      <c r="I363" s="133"/>
      <c r="J363" s="133"/>
      <c r="K363" s="150"/>
      <c r="L363" s="151"/>
      <c r="M363" s="133"/>
      <c r="N363" s="114"/>
      <c r="O363" s="133"/>
      <c r="P363" s="133"/>
      <c r="Q363" s="133"/>
      <c r="R363" s="133"/>
      <c r="S363" s="133"/>
      <c r="T363" s="133"/>
      <c r="U363" s="133"/>
      <c r="V363" s="133"/>
      <c r="W363" s="133"/>
      <c r="X363" s="133"/>
      <c r="Y363" s="133"/>
      <c r="Z363" s="133"/>
      <c r="AA363" s="133"/>
      <c r="AB363" s="102"/>
      <c r="AC363" s="102"/>
      <c r="AD363" s="103"/>
    </row>
    <row r="364" ht="15.75" customHeight="1">
      <c r="A364" s="142"/>
      <c r="B364" s="143"/>
      <c r="C364" s="136"/>
      <c r="D364" s="136"/>
      <c r="E364" s="136"/>
      <c r="F364" s="144"/>
      <c r="G364" s="143"/>
      <c r="H364" s="136"/>
      <c r="I364" s="136"/>
      <c r="J364" s="136"/>
      <c r="K364" s="145"/>
      <c r="L364" s="146"/>
      <c r="M364" s="136"/>
      <c r="N364" s="114"/>
      <c r="O364" s="136"/>
      <c r="P364" s="136"/>
      <c r="Q364" s="136"/>
      <c r="R364" s="136"/>
      <c r="S364" s="136"/>
      <c r="T364" s="136"/>
      <c r="U364" s="136"/>
      <c r="V364" s="136"/>
      <c r="W364" s="136"/>
      <c r="X364" s="136"/>
      <c r="Y364" s="136"/>
      <c r="Z364" s="136"/>
      <c r="AA364" s="136"/>
      <c r="AB364" s="102"/>
      <c r="AC364" s="102"/>
      <c r="AD364" s="103"/>
    </row>
    <row r="365" ht="15.75" customHeight="1">
      <c r="A365" s="147"/>
      <c r="B365" s="148"/>
      <c r="C365" s="133"/>
      <c r="D365" s="133"/>
      <c r="E365" s="133"/>
      <c r="F365" s="149"/>
      <c r="G365" s="148"/>
      <c r="H365" s="133"/>
      <c r="I365" s="133"/>
      <c r="J365" s="133"/>
      <c r="K365" s="150"/>
      <c r="L365" s="151"/>
      <c r="M365" s="133"/>
      <c r="N365" s="114"/>
      <c r="O365" s="133"/>
      <c r="P365" s="133"/>
      <c r="Q365" s="133"/>
      <c r="R365" s="133"/>
      <c r="S365" s="133"/>
      <c r="T365" s="133"/>
      <c r="U365" s="133"/>
      <c r="V365" s="133"/>
      <c r="W365" s="133"/>
      <c r="X365" s="133"/>
      <c r="Y365" s="133"/>
      <c r="Z365" s="133"/>
      <c r="AA365" s="133"/>
      <c r="AB365" s="102"/>
      <c r="AC365" s="102"/>
      <c r="AD365" s="103"/>
    </row>
    <row r="366" ht="15.75" customHeight="1">
      <c r="A366" s="142"/>
      <c r="B366" s="143"/>
      <c r="C366" s="136"/>
      <c r="D366" s="136"/>
      <c r="E366" s="136"/>
      <c r="F366" s="144"/>
      <c r="G366" s="143"/>
      <c r="H366" s="136"/>
      <c r="I366" s="136"/>
      <c r="J366" s="136"/>
      <c r="K366" s="145"/>
      <c r="L366" s="146"/>
      <c r="M366" s="136"/>
      <c r="N366" s="114"/>
      <c r="O366" s="136"/>
      <c r="P366" s="136"/>
      <c r="Q366" s="136"/>
      <c r="R366" s="136"/>
      <c r="S366" s="136"/>
      <c r="T366" s="136"/>
      <c r="U366" s="136"/>
      <c r="V366" s="136"/>
      <c r="W366" s="136"/>
      <c r="X366" s="136"/>
      <c r="Y366" s="136"/>
      <c r="Z366" s="136"/>
      <c r="AA366" s="136"/>
      <c r="AB366" s="102"/>
      <c r="AC366" s="102"/>
      <c r="AD366" s="103"/>
    </row>
    <row r="367" ht="15.75" customHeight="1">
      <c r="A367" s="147"/>
      <c r="B367" s="148"/>
      <c r="C367" s="133"/>
      <c r="D367" s="133"/>
      <c r="E367" s="133"/>
      <c r="F367" s="149"/>
      <c r="G367" s="148"/>
      <c r="H367" s="133"/>
      <c r="I367" s="133"/>
      <c r="J367" s="133"/>
      <c r="K367" s="150"/>
      <c r="L367" s="151"/>
      <c r="M367" s="133"/>
      <c r="N367" s="114"/>
      <c r="O367" s="133"/>
      <c r="P367" s="133"/>
      <c r="Q367" s="133"/>
      <c r="R367" s="133"/>
      <c r="S367" s="133"/>
      <c r="T367" s="133"/>
      <c r="U367" s="133"/>
      <c r="V367" s="133"/>
      <c r="W367" s="133"/>
      <c r="X367" s="133"/>
      <c r="Y367" s="133"/>
      <c r="Z367" s="133"/>
      <c r="AA367" s="133"/>
      <c r="AB367" s="102"/>
      <c r="AC367" s="102"/>
      <c r="AD367" s="103"/>
    </row>
    <row r="368" ht="15.75" customHeight="1">
      <c r="A368" s="142"/>
      <c r="B368" s="143"/>
      <c r="C368" s="136"/>
      <c r="D368" s="136"/>
      <c r="E368" s="136"/>
      <c r="F368" s="144"/>
      <c r="G368" s="143"/>
      <c r="H368" s="136"/>
      <c r="I368" s="136"/>
      <c r="J368" s="136"/>
      <c r="K368" s="145"/>
      <c r="L368" s="146"/>
      <c r="M368" s="136"/>
      <c r="N368" s="114"/>
      <c r="O368" s="136"/>
      <c r="P368" s="136"/>
      <c r="Q368" s="136"/>
      <c r="R368" s="136"/>
      <c r="S368" s="136"/>
      <c r="T368" s="136"/>
      <c r="U368" s="136"/>
      <c r="V368" s="136"/>
      <c r="W368" s="136"/>
      <c r="X368" s="136"/>
      <c r="Y368" s="136"/>
      <c r="Z368" s="136"/>
      <c r="AA368" s="136"/>
      <c r="AB368" s="102"/>
      <c r="AC368" s="102"/>
      <c r="AD368" s="103"/>
    </row>
    <row r="369" ht="15.75" customHeight="1">
      <c r="A369" s="147"/>
      <c r="B369" s="148"/>
      <c r="C369" s="133"/>
      <c r="D369" s="133"/>
      <c r="E369" s="133"/>
      <c r="F369" s="149"/>
      <c r="G369" s="148"/>
      <c r="H369" s="133"/>
      <c r="I369" s="133"/>
      <c r="J369" s="133"/>
      <c r="K369" s="150"/>
      <c r="L369" s="151"/>
      <c r="M369" s="133"/>
      <c r="N369" s="114"/>
      <c r="O369" s="133"/>
      <c r="P369" s="133"/>
      <c r="Q369" s="133"/>
      <c r="R369" s="133"/>
      <c r="S369" s="133"/>
      <c r="T369" s="133"/>
      <c r="U369" s="133"/>
      <c r="V369" s="133"/>
      <c r="W369" s="133"/>
      <c r="X369" s="133"/>
      <c r="Y369" s="133"/>
      <c r="Z369" s="133"/>
      <c r="AA369" s="133"/>
      <c r="AB369" s="102"/>
      <c r="AC369" s="102"/>
      <c r="AD369" s="103"/>
    </row>
    <row r="370" ht="15.75" customHeight="1">
      <c r="A370" s="142"/>
      <c r="B370" s="143"/>
      <c r="C370" s="136"/>
      <c r="D370" s="136"/>
      <c r="E370" s="136"/>
      <c r="F370" s="144"/>
      <c r="G370" s="143"/>
      <c r="H370" s="136"/>
      <c r="I370" s="136"/>
      <c r="J370" s="136"/>
      <c r="K370" s="145"/>
      <c r="L370" s="146"/>
      <c r="M370" s="136"/>
      <c r="N370" s="114"/>
      <c r="O370" s="136"/>
      <c r="P370" s="136"/>
      <c r="Q370" s="136"/>
      <c r="R370" s="136"/>
      <c r="S370" s="136"/>
      <c r="T370" s="136"/>
      <c r="U370" s="136"/>
      <c r="V370" s="136"/>
      <c r="W370" s="136"/>
      <c r="X370" s="136"/>
      <c r="Y370" s="136"/>
      <c r="Z370" s="136"/>
      <c r="AA370" s="136"/>
      <c r="AB370" s="102"/>
      <c r="AC370" s="102"/>
      <c r="AD370" s="103"/>
    </row>
    <row r="371" ht="15.75" customHeight="1">
      <c r="A371" s="147"/>
      <c r="B371" s="148"/>
      <c r="C371" s="133"/>
      <c r="D371" s="133"/>
      <c r="E371" s="133"/>
      <c r="F371" s="149"/>
      <c r="G371" s="148"/>
      <c r="H371" s="133"/>
      <c r="I371" s="133"/>
      <c r="J371" s="133"/>
      <c r="K371" s="150"/>
      <c r="L371" s="151"/>
      <c r="M371" s="133"/>
      <c r="N371" s="114"/>
      <c r="O371" s="133"/>
      <c r="P371" s="133"/>
      <c r="Q371" s="133"/>
      <c r="R371" s="133"/>
      <c r="S371" s="133"/>
      <c r="T371" s="133"/>
      <c r="U371" s="133"/>
      <c r="V371" s="133"/>
      <c r="W371" s="133"/>
      <c r="X371" s="133"/>
      <c r="Y371" s="133"/>
      <c r="Z371" s="133"/>
      <c r="AA371" s="133"/>
      <c r="AB371" s="102"/>
      <c r="AC371" s="102"/>
      <c r="AD371" s="103"/>
    </row>
    <row r="372" ht="15.75" customHeight="1">
      <c r="A372" s="142"/>
      <c r="B372" s="143"/>
      <c r="C372" s="136"/>
      <c r="D372" s="136"/>
      <c r="E372" s="136"/>
      <c r="F372" s="144"/>
      <c r="G372" s="143"/>
      <c r="H372" s="136"/>
      <c r="I372" s="136"/>
      <c r="J372" s="136"/>
      <c r="K372" s="145"/>
      <c r="L372" s="146"/>
      <c r="M372" s="136"/>
      <c r="N372" s="114"/>
      <c r="O372" s="136"/>
      <c r="P372" s="136"/>
      <c r="Q372" s="136"/>
      <c r="R372" s="136"/>
      <c r="S372" s="136"/>
      <c r="T372" s="136"/>
      <c r="U372" s="136"/>
      <c r="V372" s="136"/>
      <c r="W372" s="136"/>
      <c r="X372" s="136"/>
      <c r="Y372" s="136"/>
      <c r="Z372" s="136"/>
      <c r="AA372" s="136"/>
      <c r="AB372" s="102"/>
      <c r="AC372" s="102"/>
      <c r="AD372" s="103"/>
    </row>
    <row r="373" ht="15.75" customHeight="1">
      <c r="A373" s="147"/>
      <c r="B373" s="148"/>
      <c r="C373" s="133"/>
      <c r="D373" s="133"/>
      <c r="E373" s="133"/>
      <c r="F373" s="149"/>
      <c r="G373" s="148"/>
      <c r="H373" s="133"/>
      <c r="I373" s="133"/>
      <c r="J373" s="133"/>
      <c r="K373" s="150"/>
      <c r="L373" s="151"/>
      <c r="M373" s="133"/>
      <c r="N373" s="114"/>
      <c r="O373" s="133"/>
      <c r="P373" s="133"/>
      <c r="Q373" s="133"/>
      <c r="R373" s="133"/>
      <c r="S373" s="133"/>
      <c r="T373" s="133"/>
      <c r="U373" s="133"/>
      <c r="V373" s="133"/>
      <c r="W373" s="133"/>
      <c r="X373" s="133"/>
      <c r="Y373" s="133"/>
      <c r="Z373" s="133"/>
      <c r="AA373" s="133"/>
      <c r="AB373" s="102"/>
      <c r="AC373" s="102"/>
      <c r="AD373" s="103"/>
    </row>
    <row r="374" ht="15.75" customHeight="1">
      <c r="A374" s="142"/>
      <c r="B374" s="143"/>
      <c r="C374" s="136"/>
      <c r="D374" s="136"/>
      <c r="E374" s="136"/>
      <c r="F374" s="144"/>
      <c r="G374" s="143"/>
      <c r="H374" s="136"/>
      <c r="I374" s="136"/>
      <c r="J374" s="136"/>
      <c r="K374" s="145"/>
      <c r="L374" s="146"/>
      <c r="M374" s="136"/>
      <c r="N374" s="114"/>
      <c r="O374" s="136"/>
      <c r="P374" s="136"/>
      <c r="Q374" s="136"/>
      <c r="R374" s="136"/>
      <c r="S374" s="136"/>
      <c r="T374" s="136"/>
      <c r="U374" s="136"/>
      <c r="V374" s="136"/>
      <c r="W374" s="136"/>
      <c r="X374" s="136"/>
      <c r="Y374" s="136"/>
      <c r="Z374" s="136"/>
      <c r="AA374" s="136"/>
      <c r="AB374" s="102"/>
      <c r="AC374" s="102"/>
      <c r="AD374" s="103"/>
    </row>
    <row r="375" ht="15.75" customHeight="1">
      <c r="A375" s="147"/>
      <c r="B375" s="148"/>
      <c r="C375" s="133"/>
      <c r="D375" s="133"/>
      <c r="E375" s="133"/>
      <c r="F375" s="149"/>
      <c r="G375" s="148"/>
      <c r="H375" s="133"/>
      <c r="I375" s="133"/>
      <c r="J375" s="133"/>
      <c r="K375" s="150"/>
      <c r="L375" s="151"/>
      <c r="M375" s="133"/>
      <c r="N375" s="114"/>
      <c r="O375" s="133"/>
      <c r="P375" s="133"/>
      <c r="Q375" s="133"/>
      <c r="R375" s="133"/>
      <c r="S375" s="133"/>
      <c r="T375" s="133"/>
      <c r="U375" s="133"/>
      <c r="V375" s="133"/>
      <c r="W375" s="133"/>
      <c r="X375" s="133"/>
      <c r="Y375" s="133"/>
      <c r="Z375" s="133"/>
      <c r="AA375" s="133"/>
      <c r="AB375" s="102"/>
      <c r="AC375" s="102"/>
      <c r="AD375" s="103"/>
    </row>
    <row r="376" ht="15.75" customHeight="1">
      <c r="A376" s="142"/>
      <c r="B376" s="143"/>
      <c r="C376" s="136"/>
      <c r="D376" s="136"/>
      <c r="E376" s="136"/>
      <c r="F376" s="144"/>
      <c r="G376" s="143"/>
      <c r="H376" s="136"/>
      <c r="I376" s="136"/>
      <c r="J376" s="136"/>
      <c r="K376" s="145"/>
      <c r="L376" s="146"/>
      <c r="M376" s="136"/>
      <c r="N376" s="114"/>
      <c r="O376" s="136"/>
      <c r="P376" s="136"/>
      <c r="Q376" s="136"/>
      <c r="R376" s="136"/>
      <c r="S376" s="136"/>
      <c r="T376" s="136"/>
      <c r="U376" s="136"/>
      <c r="V376" s="136"/>
      <c r="W376" s="136"/>
      <c r="X376" s="136"/>
      <c r="Y376" s="136"/>
      <c r="Z376" s="136"/>
      <c r="AA376" s="136"/>
      <c r="AB376" s="102"/>
      <c r="AC376" s="102"/>
      <c r="AD376" s="103"/>
    </row>
    <row r="377" ht="15.75" customHeight="1">
      <c r="A377" s="147"/>
      <c r="B377" s="148"/>
      <c r="C377" s="133"/>
      <c r="D377" s="133"/>
      <c r="E377" s="133"/>
      <c r="F377" s="149"/>
      <c r="G377" s="148"/>
      <c r="H377" s="133"/>
      <c r="I377" s="133"/>
      <c r="J377" s="133"/>
      <c r="K377" s="150"/>
      <c r="L377" s="151"/>
      <c r="M377" s="133"/>
      <c r="N377" s="114"/>
      <c r="O377" s="133"/>
      <c r="P377" s="133"/>
      <c r="Q377" s="133"/>
      <c r="R377" s="133"/>
      <c r="S377" s="133"/>
      <c r="T377" s="133"/>
      <c r="U377" s="133"/>
      <c r="V377" s="133"/>
      <c r="W377" s="133"/>
      <c r="X377" s="133"/>
      <c r="Y377" s="133"/>
      <c r="Z377" s="133"/>
      <c r="AA377" s="133"/>
      <c r="AB377" s="102"/>
      <c r="AC377" s="102"/>
      <c r="AD377" s="103"/>
    </row>
    <row r="378" ht="15.75" customHeight="1">
      <c r="A378" s="142"/>
      <c r="B378" s="143"/>
      <c r="C378" s="136"/>
      <c r="D378" s="136"/>
      <c r="E378" s="136"/>
      <c r="F378" s="144"/>
      <c r="G378" s="143"/>
      <c r="H378" s="136"/>
      <c r="I378" s="136"/>
      <c r="J378" s="136"/>
      <c r="K378" s="145"/>
      <c r="L378" s="146"/>
      <c r="M378" s="136"/>
      <c r="N378" s="114"/>
      <c r="O378" s="136"/>
      <c r="P378" s="136"/>
      <c r="Q378" s="136"/>
      <c r="R378" s="136"/>
      <c r="S378" s="136"/>
      <c r="T378" s="136"/>
      <c r="U378" s="136"/>
      <c r="V378" s="136"/>
      <c r="W378" s="136"/>
      <c r="X378" s="136"/>
      <c r="Y378" s="136"/>
      <c r="Z378" s="136"/>
      <c r="AA378" s="136"/>
      <c r="AB378" s="102"/>
      <c r="AC378" s="102"/>
      <c r="AD378" s="103"/>
    </row>
    <row r="379" ht="15.75" customHeight="1">
      <c r="A379" s="147"/>
      <c r="B379" s="148"/>
      <c r="C379" s="133"/>
      <c r="D379" s="133"/>
      <c r="E379" s="133"/>
      <c r="F379" s="149"/>
      <c r="G379" s="148"/>
      <c r="H379" s="133"/>
      <c r="I379" s="133"/>
      <c r="J379" s="133"/>
      <c r="K379" s="150"/>
      <c r="L379" s="151"/>
      <c r="M379" s="133"/>
      <c r="N379" s="114"/>
      <c r="O379" s="133"/>
      <c r="P379" s="133"/>
      <c r="Q379" s="133"/>
      <c r="R379" s="133"/>
      <c r="S379" s="133"/>
      <c r="T379" s="133"/>
      <c r="U379" s="133"/>
      <c r="V379" s="133"/>
      <c r="W379" s="133"/>
      <c r="X379" s="133"/>
      <c r="Y379" s="133"/>
      <c r="Z379" s="133"/>
      <c r="AA379" s="133"/>
      <c r="AB379" s="102"/>
      <c r="AC379" s="102"/>
      <c r="AD379" s="103"/>
    </row>
    <row r="380" ht="15.75" customHeight="1">
      <c r="A380" s="142"/>
      <c r="B380" s="143"/>
      <c r="C380" s="136"/>
      <c r="D380" s="136"/>
      <c r="E380" s="136"/>
      <c r="F380" s="144"/>
      <c r="G380" s="143"/>
      <c r="H380" s="136"/>
      <c r="I380" s="136"/>
      <c r="J380" s="136"/>
      <c r="K380" s="145"/>
      <c r="L380" s="146"/>
      <c r="M380" s="136"/>
      <c r="N380" s="114"/>
      <c r="O380" s="136"/>
      <c r="P380" s="136"/>
      <c r="Q380" s="136"/>
      <c r="R380" s="136"/>
      <c r="S380" s="136"/>
      <c r="T380" s="136"/>
      <c r="U380" s="136"/>
      <c r="V380" s="136"/>
      <c r="W380" s="136"/>
      <c r="X380" s="136"/>
      <c r="Y380" s="136"/>
      <c r="Z380" s="136"/>
      <c r="AA380" s="136"/>
      <c r="AB380" s="102"/>
      <c r="AC380" s="102"/>
      <c r="AD380" s="103"/>
    </row>
    <row r="381" ht="15.75" customHeight="1">
      <c r="A381" s="147"/>
      <c r="B381" s="148"/>
      <c r="C381" s="133"/>
      <c r="D381" s="133"/>
      <c r="E381" s="133"/>
      <c r="F381" s="149"/>
      <c r="G381" s="148"/>
      <c r="H381" s="133"/>
      <c r="I381" s="133"/>
      <c r="J381" s="133"/>
      <c r="K381" s="150"/>
      <c r="L381" s="151"/>
      <c r="M381" s="133"/>
      <c r="N381" s="114"/>
      <c r="O381" s="133"/>
      <c r="P381" s="133"/>
      <c r="Q381" s="133"/>
      <c r="R381" s="133"/>
      <c r="S381" s="133"/>
      <c r="T381" s="133"/>
      <c r="U381" s="133"/>
      <c r="V381" s="133"/>
      <c r="W381" s="133"/>
      <c r="X381" s="133"/>
      <c r="Y381" s="133"/>
      <c r="Z381" s="133"/>
      <c r="AA381" s="133"/>
      <c r="AB381" s="102"/>
      <c r="AC381" s="102"/>
      <c r="AD381" s="103"/>
    </row>
    <row r="382" ht="15.75" customHeight="1">
      <c r="A382" s="142"/>
      <c r="B382" s="143"/>
      <c r="C382" s="136"/>
      <c r="D382" s="136"/>
      <c r="E382" s="136"/>
      <c r="F382" s="144"/>
      <c r="G382" s="143"/>
      <c r="H382" s="136"/>
      <c r="I382" s="136"/>
      <c r="J382" s="136"/>
      <c r="K382" s="145"/>
      <c r="L382" s="146"/>
      <c r="M382" s="136"/>
      <c r="N382" s="114"/>
      <c r="O382" s="136"/>
      <c r="P382" s="136"/>
      <c r="Q382" s="136"/>
      <c r="R382" s="136"/>
      <c r="S382" s="136"/>
      <c r="T382" s="136"/>
      <c r="U382" s="136"/>
      <c r="V382" s="136"/>
      <c r="W382" s="136"/>
      <c r="X382" s="136"/>
      <c r="Y382" s="136"/>
      <c r="Z382" s="136"/>
      <c r="AA382" s="136"/>
      <c r="AB382" s="102"/>
      <c r="AC382" s="102"/>
      <c r="AD382" s="103"/>
    </row>
    <row r="383" ht="15.75" customHeight="1">
      <c r="A383" s="147"/>
      <c r="B383" s="148"/>
      <c r="C383" s="133"/>
      <c r="D383" s="133"/>
      <c r="E383" s="133"/>
      <c r="F383" s="149"/>
      <c r="G383" s="148"/>
      <c r="H383" s="133"/>
      <c r="I383" s="133"/>
      <c r="J383" s="133"/>
      <c r="K383" s="150"/>
      <c r="L383" s="151"/>
      <c r="M383" s="133"/>
      <c r="N383" s="114"/>
      <c r="O383" s="133"/>
      <c r="P383" s="133"/>
      <c r="Q383" s="133"/>
      <c r="R383" s="133"/>
      <c r="S383" s="133"/>
      <c r="T383" s="133"/>
      <c r="U383" s="133"/>
      <c r="V383" s="133"/>
      <c r="W383" s="133"/>
      <c r="X383" s="133"/>
      <c r="Y383" s="133"/>
      <c r="Z383" s="133"/>
      <c r="AA383" s="133"/>
      <c r="AB383" s="102"/>
      <c r="AC383" s="102"/>
      <c r="AD383" s="103"/>
    </row>
    <row r="384" ht="15.75" customHeight="1">
      <c r="A384" s="142"/>
      <c r="B384" s="143"/>
      <c r="C384" s="136"/>
      <c r="D384" s="136"/>
      <c r="E384" s="136"/>
      <c r="F384" s="144"/>
      <c r="G384" s="143"/>
      <c r="H384" s="136"/>
      <c r="I384" s="136"/>
      <c r="J384" s="136"/>
      <c r="K384" s="145"/>
      <c r="L384" s="146"/>
      <c r="M384" s="136"/>
      <c r="N384" s="114"/>
      <c r="O384" s="136"/>
      <c r="P384" s="136"/>
      <c r="Q384" s="136"/>
      <c r="R384" s="136"/>
      <c r="S384" s="136"/>
      <c r="T384" s="136"/>
      <c r="U384" s="136"/>
      <c r="V384" s="136"/>
      <c r="W384" s="136"/>
      <c r="X384" s="136"/>
      <c r="Y384" s="136"/>
      <c r="Z384" s="136"/>
      <c r="AA384" s="136"/>
      <c r="AB384" s="102"/>
      <c r="AC384" s="102"/>
      <c r="AD384" s="103"/>
    </row>
    <row r="385" ht="15.75" customHeight="1">
      <c r="A385" s="147"/>
      <c r="B385" s="148"/>
      <c r="C385" s="133"/>
      <c r="D385" s="133"/>
      <c r="E385" s="133"/>
      <c r="F385" s="149"/>
      <c r="G385" s="148"/>
      <c r="H385" s="133"/>
      <c r="I385" s="133"/>
      <c r="J385" s="133"/>
      <c r="K385" s="150"/>
      <c r="L385" s="151"/>
      <c r="M385" s="133"/>
      <c r="N385" s="114"/>
      <c r="O385" s="133"/>
      <c r="P385" s="133"/>
      <c r="Q385" s="133"/>
      <c r="R385" s="133"/>
      <c r="S385" s="133"/>
      <c r="T385" s="133"/>
      <c r="U385" s="133"/>
      <c r="V385" s="133"/>
      <c r="W385" s="133"/>
      <c r="X385" s="133"/>
      <c r="Y385" s="133"/>
      <c r="Z385" s="133"/>
      <c r="AA385" s="133"/>
      <c r="AB385" s="102"/>
      <c r="AC385" s="102"/>
      <c r="AD385" s="103"/>
    </row>
    <row r="386" ht="15.75" customHeight="1">
      <c r="A386" s="142"/>
      <c r="B386" s="143"/>
      <c r="C386" s="136"/>
      <c r="D386" s="136"/>
      <c r="E386" s="136"/>
      <c r="F386" s="144"/>
      <c r="G386" s="143"/>
      <c r="H386" s="136"/>
      <c r="I386" s="136"/>
      <c r="J386" s="136"/>
      <c r="K386" s="145"/>
      <c r="L386" s="146"/>
      <c r="M386" s="136"/>
      <c r="N386" s="114"/>
      <c r="O386" s="136"/>
      <c r="P386" s="136"/>
      <c r="Q386" s="136"/>
      <c r="R386" s="136"/>
      <c r="S386" s="136"/>
      <c r="T386" s="136"/>
      <c r="U386" s="136"/>
      <c r="V386" s="136"/>
      <c r="W386" s="136"/>
      <c r="X386" s="136"/>
      <c r="Y386" s="136"/>
      <c r="Z386" s="136"/>
      <c r="AA386" s="136"/>
      <c r="AB386" s="102"/>
      <c r="AC386" s="102"/>
      <c r="AD386" s="103"/>
    </row>
    <row r="387" ht="15.75" customHeight="1">
      <c r="A387" s="147"/>
      <c r="B387" s="148"/>
      <c r="C387" s="133"/>
      <c r="D387" s="133"/>
      <c r="E387" s="133"/>
      <c r="F387" s="149"/>
      <c r="G387" s="148"/>
      <c r="H387" s="133"/>
      <c r="I387" s="133"/>
      <c r="J387" s="133"/>
      <c r="K387" s="150"/>
      <c r="L387" s="151"/>
      <c r="M387" s="133"/>
      <c r="N387" s="114"/>
      <c r="O387" s="133"/>
      <c r="P387" s="133"/>
      <c r="Q387" s="133"/>
      <c r="R387" s="133"/>
      <c r="S387" s="133"/>
      <c r="T387" s="133"/>
      <c r="U387" s="133"/>
      <c r="V387" s="133"/>
      <c r="W387" s="133"/>
      <c r="X387" s="133"/>
      <c r="Y387" s="133"/>
      <c r="Z387" s="133"/>
      <c r="AA387" s="133"/>
      <c r="AB387" s="102"/>
      <c r="AC387" s="102"/>
      <c r="AD387" s="103"/>
    </row>
    <row r="388" ht="15.75" customHeight="1">
      <c r="A388" s="142"/>
      <c r="B388" s="143"/>
      <c r="C388" s="136"/>
      <c r="D388" s="136"/>
      <c r="E388" s="136"/>
      <c r="F388" s="144"/>
      <c r="G388" s="143"/>
      <c r="H388" s="136"/>
      <c r="I388" s="136"/>
      <c r="J388" s="136"/>
      <c r="K388" s="145"/>
      <c r="L388" s="146"/>
      <c r="M388" s="136"/>
      <c r="N388" s="114"/>
      <c r="O388" s="136"/>
      <c r="P388" s="136"/>
      <c r="Q388" s="136"/>
      <c r="R388" s="136"/>
      <c r="S388" s="136"/>
      <c r="T388" s="136"/>
      <c r="U388" s="136"/>
      <c r="V388" s="136"/>
      <c r="W388" s="136"/>
      <c r="X388" s="136"/>
      <c r="Y388" s="136"/>
      <c r="Z388" s="136"/>
      <c r="AA388" s="136"/>
      <c r="AB388" s="102"/>
      <c r="AC388" s="102"/>
      <c r="AD388" s="103"/>
    </row>
    <row r="389" ht="15.75" customHeight="1">
      <c r="A389" s="147"/>
      <c r="B389" s="148"/>
      <c r="C389" s="133"/>
      <c r="D389" s="133"/>
      <c r="E389" s="133"/>
      <c r="F389" s="149"/>
      <c r="G389" s="148"/>
      <c r="H389" s="133"/>
      <c r="I389" s="133"/>
      <c r="J389" s="133"/>
      <c r="K389" s="150"/>
      <c r="L389" s="151"/>
      <c r="M389" s="133"/>
      <c r="N389" s="114"/>
      <c r="O389" s="133"/>
      <c r="P389" s="133"/>
      <c r="Q389" s="133"/>
      <c r="R389" s="133"/>
      <c r="S389" s="133"/>
      <c r="T389" s="133"/>
      <c r="U389" s="133"/>
      <c r="V389" s="133"/>
      <c r="W389" s="133"/>
      <c r="X389" s="133"/>
      <c r="Y389" s="133"/>
      <c r="Z389" s="133"/>
      <c r="AA389" s="133"/>
      <c r="AB389" s="102"/>
      <c r="AC389" s="102"/>
      <c r="AD389" s="103"/>
    </row>
    <row r="390" ht="15.75" customHeight="1">
      <c r="A390" s="142"/>
      <c r="B390" s="143"/>
      <c r="C390" s="136"/>
      <c r="D390" s="136"/>
      <c r="E390" s="136"/>
      <c r="F390" s="144"/>
      <c r="G390" s="143"/>
      <c r="H390" s="136"/>
      <c r="I390" s="136"/>
      <c r="J390" s="136"/>
      <c r="K390" s="145"/>
      <c r="L390" s="146"/>
      <c r="M390" s="136"/>
      <c r="N390" s="114"/>
      <c r="O390" s="136"/>
      <c r="P390" s="136"/>
      <c r="Q390" s="136"/>
      <c r="R390" s="136"/>
      <c r="S390" s="136"/>
      <c r="T390" s="136"/>
      <c r="U390" s="136"/>
      <c r="V390" s="136"/>
      <c r="W390" s="136"/>
      <c r="X390" s="136"/>
      <c r="Y390" s="136"/>
      <c r="Z390" s="136"/>
      <c r="AA390" s="136"/>
      <c r="AB390" s="102"/>
      <c r="AC390" s="102"/>
      <c r="AD390" s="103"/>
    </row>
    <row r="391" ht="15.75" customHeight="1">
      <c r="A391" s="147"/>
      <c r="B391" s="148"/>
      <c r="C391" s="133"/>
      <c r="D391" s="133"/>
      <c r="E391" s="133"/>
      <c r="F391" s="149"/>
      <c r="G391" s="148"/>
      <c r="H391" s="133"/>
      <c r="I391" s="133"/>
      <c r="J391" s="133"/>
      <c r="K391" s="150"/>
      <c r="L391" s="151"/>
      <c r="M391" s="133"/>
      <c r="N391" s="114"/>
      <c r="O391" s="133"/>
      <c r="P391" s="133"/>
      <c r="Q391" s="133"/>
      <c r="R391" s="133"/>
      <c r="S391" s="133"/>
      <c r="T391" s="133"/>
      <c r="U391" s="133"/>
      <c r="V391" s="133"/>
      <c r="W391" s="133"/>
      <c r="X391" s="133"/>
      <c r="Y391" s="133"/>
      <c r="Z391" s="133"/>
      <c r="AA391" s="133"/>
      <c r="AB391" s="102"/>
      <c r="AC391" s="102"/>
      <c r="AD391" s="103"/>
    </row>
    <row r="392" ht="15.75" customHeight="1">
      <c r="A392" s="142"/>
      <c r="B392" s="143"/>
      <c r="C392" s="136"/>
      <c r="D392" s="136"/>
      <c r="E392" s="136"/>
      <c r="F392" s="144"/>
      <c r="G392" s="143"/>
      <c r="H392" s="136"/>
      <c r="I392" s="136"/>
      <c r="J392" s="136"/>
      <c r="K392" s="145"/>
      <c r="L392" s="146"/>
      <c r="M392" s="136"/>
      <c r="N392" s="114"/>
      <c r="O392" s="136"/>
      <c r="P392" s="136"/>
      <c r="Q392" s="136"/>
      <c r="R392" s="136"/>
      <c r="S392" s="136"/>
      <c r="T392" s="136"/>
      <c r="U392" s="136"/>
      <c r="V392" s="136"/>
      <c r="W392" s="136"/>
      <c r="X392" s="136"/>
      <c r="Y392" s="136"/>
      <c r="Z392" s="136"/>
      <c r="AA392" s="136"/>
      <c r="AB392" s="102"/>
      <c r="AC392" s="102"/>
      <c r="AD392" s="103"/>
    </row>
    <row r="393" ht="15.75" customHeight="1">
      <c r="A393" s="147"/>
      <c r="B393" s="148"/>
      <c r="C393" s="133"/>
      <c r="D393" s="133"/>
      <c r="E393" s="133"/>
      <c r="F393" s="149"/>
      <c r="G393" s="148"/>
      <c r="H393" s="133"/>
      <c r="I393" s="133"/>
      <c r="J393" s="133"/>
      <c r="K393" s="150"/>
      <c r="L393" s="151"/>
      <c r="M393" s="133"/>
      <c r="N393" s="114"/>
      <c r="O393" s="133"/>
      <c r="P393" s="133"/>
      <c r="Q393" s="133"/>
      <c r="R393" s="133"/>
      <c r="S393" s="133"/>
      <c r="T393" s="133"/>
      <c r="U393" s="133"/>
      <c r="V393" s="133"/>
      <c r="W393" s="133"/>
      <c r="X393" s="133"/>
      <c r="Y393" s="133"/>
      <c r="Z393" s="133"/>
      <c r="AA393" s="133"/>
      <c r="AB393" s="102"/>
      <c r="AC393" s="102"/>
      <c r="AD393" s="103"/>
    </row>
    <row r="394" ht="15.75" customHeight="1">
      <c r="A394" s="142"/>
      <c r="B394" s="143"/>
      <c r="C394" s="136"/>
      <c r="D394" s="136"/>
      <c r="E394" s="136"/>
      <c r="F394" s="144"/>
      <c r="G394" s="143"/>
      <c r="H394" s="136"/>
      <c r="I394" s="136"/>
      <c r="J394" s="136"/>
      <c r="K394" s="145"/>
      <c r="L394" s="146"/>
      <c r="M394" s="136"/>
      <c r="N394" s="114"/>
      <c r="O394" s="136"/>
      <c r="P394" s="136"/>
      <c r="Q394" s="136"/>
      <c r="R394" s="136"/>
      <c r="S394" s="136"/>
      <c r="T394" s="136"/>
      <c r="U394" s="136"/>
      <c r="V394" s="136"/>
      <c r="W394" s="136"/>
      <c r="X394" s="136"/>
      <c r="Y394" s="136"/>
      <c r="Z394" s="136"/>
      <c r="AA394" s="136"/>
      <c r="AB394" s="102"/>
      <c r="AC394" s="102"/>
      <c r="AD394" s="103"/>
    </row>
    <row r="395" ht="15.75" customHeight="1">
      <c r="A395" s="147"/>
      <c r="B395" s="148"/>
      <c r="C395" s="133"/>
      <c r="D395" s="133"/>
      <c r="E395" s="133"/>
      <c r="F395" s="149"/>
      <c r="G395" s="148"/>
      <c r="H395" s="133"/>
      <c r="I395" s="133"/>
      <c r="J395" s="133"/>
      <c r="K395" s="150"/>
      <c r="L395" s="151"/>
      <c r="M395" s="133"/>
      <c r="N395" s="114"/>
      <c r="O395" s="133"/>
      <c r="P395" s="133"/>
      <c r="Q395" s="133"/>
      <c r="R395" s="133"/>
      <c r="S395" s="133"/>
      <c r="T395" s="133"/>
      <c r="U395" s="133"/>
      <c r="V395" s="133"/>
      <c r="W395" s="133"/>
      <c r="X395" s="133"/>
      <c r="Y395" s="133"/>
      <c r="Z395" s="133"/>
      <c r="AA395" s="133"/>
      <c r="AB395" s="102"/>
      <c r="AC395" s="102"/>
      <c r="AD395" s="103"/>
    </row>
    <row r="396" ht="15.75" customHeight="1">
      <c r="A396" s="142"/>
      <c r="B396" s="143"/>
      <c r="C396" s="136"/>
      <c r="D396" s="136"/>
      <c r="E396" s="136"/>
      <c r="F396" s="144"/>
      <c r="G396" s="143"/>
      <c r="H396" s="136"/>
      <c r="I396" s="136"/>
      <c r="J396" s="136"/>
      <c r="K396" s="145"/>
      <c r="L396" s="146"/>
      <c r="M396" s="136"/>
      <c r="N396" s="114"/>
      <c r="O396" s="136"/>
      <c r="P396" s="136"/>
      <c r="Q396" s="136"/>
      <c r="R396" s="136"/>
      <c r="S396" s="136"/>
      <c r="T396" s="136"/>
      <c r="U396" s="136"/>
      <c r="V396" s="136"/>
      <c r="W396" s="136"/>
      <c r="X396" s="136"/>
      <c r="Y396" s="136"/>
      <c r="Z396" s="136"/>
      <c r="AA396" s="136"/>
      <c r="AB396" s="102"/>
      <c r="AC396" s="102"/>
      <c r="AD396" s="103"/>
    </row>
    <row r="397" ht="15.75" customHeight="1">
      <c r="A397" s="147"/>
      <c r="B397" s="148"/>
      <c r="C397" s="133"/>
      <c r="D397" s="133"/>
      <c r="E397" s="133"/>
      <c r="F397" s="149"/>
      <c r="G397" s="148"/>
      <c r="H397" s="133"/>
      <c r="I397" s="133"/>
      <c r="J397" s="133"/>
      <c r="K397" s="150"/>
      <c r="L397" s="151"/>
      <c r="M397" s="133"/>
      <c r="N397" s="114"/>
      <c r="O397" s="133"/>
      <c r="P397" s="133"/>
      <c r="Q397" s="133"/>
      <c r="R397" s="133"/>
      <c r="S397" s="133"/>
      <c r="T397" s="133"/>
      <c r="U397" s="133"/>
      <c r="V397" s="133"/>
      <c r="W397" s="133"/>
      <c r="X397" s="133"/>
      <c r="Y397" s="133"/>
      <c r="Z397" s="133"/>
      <c r="AA397" s="133"/>
      <c r="AB397" s="102"/>
      <c r="AC397" s="102"/>
      <c r="AD397" s="103"/>
    </row>
    <row r="398" ht="15.75" customHeight="1">
      <c r="A398" s="142"/>
      <c r="B398" s="143"/>
      <c r="C398" s="136"/>
      <c r="D398" s="136"/>
      <c r="E398" s="136"/>
      <c r="F398" s="144"/>
      <c r="G398" s="143"/>
      <c r="H398" s="136"/>
      <c r="I398" s="136"/>
      <c r="J398" s="136"/>
      <c r="K398" s="145"/>
      <c r="L398" s="146"/>
      <c r="M398" s="136"/>
      <c r="N398" s="114"/>
      <c r="O398" s="136"/>
      <c r="P398" s="136"/>
      <c r="Q398" s="136"/>
      <c r="R398" s="136"/>
      <c r="S398" s="136"/>
      <c r="T398" s="136"/>
      <c r="U398" s="136"/>
      <c r="V398" s="136"/>
      <c r="W398" s="136"/>
      <c r="X398" s="136"/>
      <c r="Y398" s="136"/>
      <c r="Z398" s="136"/>
      <c r="AA398" s="136"/>
      <c r="AB398" s="102"/>
      <c r="AC398" s="102"/>
      <c r="AD398" s="103"/>
    </row>
    <row r="399" ht="15.75" customHeight="1">
      <c r="A399" s="147"/>
      <c r="B399" s="148"/>
      <c r="C399" s="133"/>
      <c r="D399" s="133"/>
      <c r="E399" s="133"/>
      <c r="F399" s="149"/>
      <c r="G399" s="148"/>
      <c r="H399" s="133"/>
      <c r="I399" s="133"/>
      <c r="J399" s="133"/>
      <c r="K399" s="150"/>
      <c r="L399" s="151"/>
      <c r="M399" s="133"/>
      <c r="N399" s="114"/>
      <c r="O399" s="133"/>
      <c r="P399" s="133"/>
      <c r="Q399" s="133"/>
      <c r="R399" s="133"/>
      <c r="S399" s="133"/>
      <c r="T399" s="133"/>
      <c r="U399" s="133"/>
      <c r="V399" s="133"/>
      <c r="W399" s="133"/>
      <c r="X399" s="133"/>
      <c r="Y399" s="133"/>
      <c r="Z399" s="133"/>
      <c r="AA399" s="133"/>
      <c r="AB399" s="102"/>
      <c r="AC399" s="102"/>
      <c r="AD399" s="103"/>
    </row>
    <row r="400" ht="15.75" customHeight="1">
      <c r="A400" s="142"/>
      <c r="B400" s="143"/>
      <c r="C400" s="136"/>
      <c r="D400" s="136"/>
      <c r="E400" s="136"/>
      <c r="F400" s="144"/>
      <c r="G400" s="143"/>
      <c r="H400" s="136"/>
      <c r="I400" s="136"/>
      <c r="J400" s="136"/>
      <c r="K400" s="145"/>
      <c r="L400" s="146"/>
      <c r="M400" s="136"/>
      <c r="N400" s="114"/>
      <c r="O400" s="136"/>
      <c r="P400" s="136"/>
      <c r="Q400" s="136"/>
      <c r="R400" s="136"/>
      <c r="S400" s="136"/>
      <c r="T400" s="136"/>
      <c r="U400" s="136"/>
      <c r="V400" s="136"/>
      <c r="W400" s="136"/>
      <c r="X400" s="136"/>
      <c r="Y400" s="136"/>
      <c r="Z400" s="136"/>
      <c r="AA400" s="136"/>
      <c r="AB400" s="102"/>
      <c r="AC400" s="102"/>
      <c r="AD400" s="103"/>
    </row>
    <row r="401" ht="15.75" customHeight="1">
      <c r="A401" s="147"/>
      <c r="B401" s="148"/>
      <c r="C401" s="133"/>
      <c r="D401" s="133"/>
      <c r="E401" s="133"/>
      <c r="F401" s="149"/>
      <c r="G401" s="148"/>
      <c r="H401" s="133"/>
      <c r="I401" s="133"/>
      <c r="J401" s="133"/>
      <c r="K401" s="150"/>
      <c r="L401" s="151"/>
      <c r="M401" s="133"/>
      <c r="N401" s="114"/>
      <c r="O401" s="133"/>
      <c r="P401" s="133"/>
      <c r="Q401" s="133"/>
      <c r="R401" s="133"/>
      <c r="S401" s="133"/>
      <c r="T401" s="133"/>
      <c r="U401" s="133"/>
      <c r="V401" s="133"/>
      <c r="W401" s="133"/>
      <c r="X401" s="133"/>
      <c r="Y401" s="133"/>
      <c r="Z401" s="133"/>
      <c r="AA401" s="133"/>
      <c r="AB401" s="102"/>
      <c r="AC401" s="102"/>
      <c r="AD401" s="103"/>
    </row>
    <row r="402" ht="15.75" customHeight="1">
      <c r="A402" s="142"/>
      <c r="B402" s="143"/>
      <c r="C402" s="136"/>
      <c r="D402" s="136"/>
      <c r="E402" s="136"/>
      <c r="F402" s="144"/>
      <c r="G402" s="143"/>
      <c r="H402" s="136"/>
      <c r="I402" s="136"/>
      <c r="J402" s="136"/>
      <c r="K402" s="145"/>
      <c r="L402" s="146"/>
      <c r="M402" s="136"/>
      <c r="N402" s="114"/>
      <c r="O402" s="136"/>
      <c r="P402" s="136"/>
      <c r="Q402" s="136"/>
      <c r="R402" s="136"/>
      <c r="S402" s="136"/>
      <c r="T402" s="136"/>
      <c r="U402" s="136"/>
      <c r="V402" s="136"/>
      <c r="W402" s="136"/>
      <c r="X402" s="136"/>
      <c r="Y402" s="136"/>
      <c r="Z402" s="136"/>
      <c r="AA402" s="136"/>
      <c r="AB402" s="102"/>
      <c r="AC402" s="102"/>
      <c r="AD402" s="103"/>
    </row>
    <row r="403" ht="15.75" customHeight="1">
      <c r="A403" s="147"/>
      <c r="B403" s="148"/>
      <c r="C403" s="133"/>
      <c r="D403" s="133"/>
      <c r="E403" s="133"/>
      <c r="F403" s="149"/>
      <c r="G403" s="148"/>
      <c r="H403" s="133"/>
      <c r="I403" s="133"/>
      <c r="J403" s="133"/>
      <c r="K403" s="150"/>
      <c r="L403" s="151"/>
      <c r="M403" s="133"/>
      <c r="N403" s="114"/>
      <c r="O403" s="133"/>
      <c r="P403" s="133"/>
      <c r="Q403" s="133"/>
      <c r="R403" s="133"/>
      <c r="S403" s="133"/>
      <c r="T403" s="133"/>
      <c r="U403" s="133"/>
      <c r="V403" s="133"/>
      <c r="W403" s="133"/>
      <c r="X403" s="133"/>
      <c r="Y403" s="133"/>
      <c r="Z403" s="133"/>
      <c r="AA403" s="133"/>
      <c r="AB403" s="102"/>
      <c r="AC403" s="102"/>
      <c r="AD403" s="103"/>
    </row>
    <row r="404" ht="15.75" customHeight="1">
      <c r="A404" s="142"/>
      <c r="B404" s="143"/>
      <c r="C404" s="136"/>
      <c r="D404" s="136"/>
      <c r="E404" s="136"/>
      <c r="F404" s="144"/>
      <c r="G404" s="143"/>
      <c r="H404" s="136"/>
      <c r="I404" s="136"/>
      <c r="J404" s="136"/>
      <c r="K404" s="145"/>
      <c r="L404" s="146"/>
      <c r="M404" s="136"/>
      <c r="N404" s="114"/>
      <c r="O404" s="136"/>
      <c r="P404" s="136"/>
      <c r="Q404" s="136"/>
      <c r="R404" s="136"/>
      <c r="S404" s="136"/>
      <c r="T404" s="136"/>
      <c r="U404" s="136"/>
      <c r="V404" s="136"/>
      <c r="W404" s="136"/>
      <c r="X404" s="136"/>
      <c r="Y404" s="136"/>
      <c r="Z404" s="136"/>
      <c r="AA404" s="136"/>
      <c r="AB404" s="102"/>
      <c r="AC404" s="102"/>
      <c r="AD404" s="103"/>
    </row>
    <row r="405" ht="15.75" customHeight="1">
      <c r="A405" s="147"/>
      <c r="B405" s="148"/>
      <c r="C405" s="133"/>
      <c r="D405" s="133"/>
      <c r="E405" s="133"/>
      <c r="F405" s="149"/>
      <c r="G405" s="148"/>
      <c r="H405" s="133"/>
      <c r="I405" s="133"/>
      <c r="J405" s="133"/>
      <c r="K405" s="150"/>
      <c r="L405" s="151"/>
      <c r="M405" s="133"/>
      <c r="N405" s="114"/>
      <c r="O405" s="133"/>
      <c r="P405" s="133"/>
      <c r="Q405" s="133"/>
      <c r="R405" s="133"/>
      <c r="S405" s="133"/>
      <c r="T405" s="133"/>
      <c r="U405" s="133"/>
      <c r="V405" s="133"/>
      <c r="W405" s="133"/>
      <c r="X405" s="133"/>
      <c r="Y405" s="133"/>
      <c r="Z405" s="133"/>
      <c r="AA405" s="133"/>
      <c r="AB405" s="102"/>
      <c r="AC405" s="102"/>
      <c r="AD405" s="103"/>
    </row>
    <row r="406" ht="15.75" customHeight="1">
      <c r="A406" s="142"/>
      <c r="B406" s="143"/>
      <c r="C406" s="136"/>
      <c r="D406" s="136"/>
      <c r="E406" s="136"/>
      <c r="F406" s="144"/>
      <c r="G406" s="143"/>
      <c r="H406" s="136"/>
      <c r="I406" s="136"/>
      <c r="J406" s="136"/>
      <c r="K406" s="145"/>
      <c r="L406" s="146"/>
      <c r="M406" s="136"/>
      <c r="N406" s="114"/>
      <c r="O406" s="136"/>
      <c r="P406" s="136"/>
      <c r="Q406" s="136"/>
      <c r="R406" s="136"/>
      <c r="S406" s="136"/>
      <c r="T406" s="136"/>
      <c r="U406" s="136"/>
      <c r="V406" s="136"/>
      <c r="W406" s="136"/>
      <c r="X406" s="136"/>
      <c r="Y406" s="136"/>
      <c r="Z406" s="136"/>
      <c r="AA406" s="136"/>
      <c r="AB406" s="102"/>
      <c r="AC406" s="102"/>
      <c r="AD406" s="103"/>
    </row>
    <row r="407" ht="15.75" customHeight="1">
      <c r="A407" s="147"/>
      <c r="B407" s="148"/>
      <c r="C407" s="133"/>
      <c r="D407" s="133"/>
      <c r="E407" s="133"/>
      <c r="F407" s="149"/>
      <c r="G407" s="148"/>
      <c r="H407" s="133"/>
      <c r="I407" s="133"/>
      <c r="J407" s="133"/>
      <c r="K407" s="150"/>
      <c r="L407" s="151"/>
      <c r="M407" s="133"/>
      <c r="N407" s="114"/>
      <c r="O407" s="133"/>
      <c r="P407" s="133"/>
      <c r="Q407" s="133"/>
      <c r="R407" s="133"/>
      <c r="S407" s="133"/>
      <c r="T407" s="133"/>
      <c r="U407" s="133"/>
      <c r="V407" s="133"/>
      <c r="W407" s="133"/>
      <c r="X407" s="133"/>
      <c r="Y407" s="133"/>
      <c r="Z407" s="133"/>
      <c r="AA407" s="133"/>
      <c r="AB407" s="102"/>
      <c r="AC407" s="102"/>
      <c r="AD407" s="103"/>
    </row>
    <row r="408" ht="15.75" customHeight="1">
      <c r="A408" s="142"/>
      <c r="B408" s="143"/>
      <c r="C408" s="136"/>
      <c r="D408" s="136"/>
      <c r="E408" s="136"/>
      <c r="F408" s="144"/>
      <c r="G408" s="143"/>
      <c r="H408" s="136"/>
      <c r="I408" s="136"/>
      <c r="J408" s="136"/>
      <c r="K408" s="145"/>
      <c r="L408" s="146"/>
      <c r="M408" s="136"/>
      <c r="N408" s="114"/>
      <c r="O408" s="136"/>
      <c r="P408" s="136"/>
      <c r="Q408" s="136"/>
      <c r="R408" s="136"/>
      <c r="S408" s="136"/>
      <c r="T408" s="136"/>
      <c r="U408" s="136"/>
      <c r="V408" s="136"/>
      <c r="W408" s="136"/>
      <c r="X408" s="136"/>
      <c r="Y408" s="136"/>
      <c r="Z408" s="136"/>
      <c r="AA408" s="136"/>
      <c r="AB408" s="102"/>
      <c r="AC408" s="102"/>
      <c r="AD408" s="103"/>
    </row>
    <row r="409" ht="15.75" customHeight="1">
      <c r="A409" s="147"/>
      <c r="B409" s="148"/>
      <c r="C409" s="133"/>
      <c r="D409" s="133"/>
      <c r="E409" s="133"/>
      <c r="F409" s="149"/>
      <c r="G409" s="148"/>
      <c r="H409" s="133"/>
      <c r="I409" s="133"/>
      <c r="J409" s="133"/>
      <c r="K409" s="150"/>
      <c r="L409" s="151"/>
      <c r="M409" s="133"/>
      <c r="N409" s="114"/>
      <c r="O409" s="133"/>
      <c r="P409" s="133"/>
      <c r="Q409" s="133"/>
      <c r="R409" s="133"/>
      <c r="S409" s="133"/>
      <c r="T409" s="133"/>
      <c r="U409" s="133"/>
      <c r="V409" s="133"/>
      <c r="W409" s="133"/>
      <c r="X409" s="133"/>
      <c r="Y409" s="133"/>
      <c r="Z409" s="133"/>
      <c r="AA409" s="133"/>
      <c r="AB409" s="102"/>
      <c r="AC409" s="102"/>
      <c r="AD409" s="103"/>
    </row>
    <row r="410" ht="15.75" customHeight="1">
      <c r="A410" s="142"/>
      <c r="B410" s="143"/>
      <c r="C410" s="136"/>
      <c r="D410" s="136"/>
      <c r="E410" s="136"/>
      <c r="F410" s="144"/>
      <c r="G410" s="143"/>
      <c r="H410" s="136"/>
      <c r="I410" s="136"/>
      <c r="J410" s="136"/>
      <c r="K410" s="145"/>
      <c r="L410" s="146"/>
      <c r="M410" s="136"/>
      <c r="N410" s="114"/>
      <c r="O410" s="136"/>
      <c r="P410" s="136"/>
      <c r="Q410" s="136"/>
      <c r="R410" s="136"/>
      <c r="S410" s="136"/>
      <c r="T410" s="136"/>
      <c r="U410" s="136"/>
      <c r="V410" s="136"/>
      <c r="W410" s="136"/>
      <c r="X410" s="136"/>
      <c r="Y410" s="136"/>
      <c r="Z410" s="136"/>
      <c r="AA410" s="136"/>
      <c r="AB410" s="102"/>
      <c r="AC410" s="102"/>
      <c r="AD410" s="103"/>
    </row>
    <row r="411" ht="15.75" customHeight="1">
      <c r="A411" s="147"/>
      <c r="B411" s="148"/>
      <c r="C411" s="133"/>
      <c r="D411" s="133"/>
      <c r="E411" s="133"/>
      <c r="F411" s="149"/>
      <c r="G411" s="148"/>
      <c r="H411" s="133"/>
      <c r="I411" s="133"/>
      <c r="J411" s="133"/>
      <c r="K411" s="150"/>
      <c r="L411" s="151"/>
      <c r="M411" s="133"/>
      <c r="N411" s="114"/>
      <c r="O411" s="133"/>
      <c r="P411" s="133"/>
      <c r="Q411" s="133"/>
      <c r="R411" s="133"/>
      <c r="S411" s="133"/>
      <c r="T411" s="133"/>
      <c r="U411" s="133"/>
      <c r="V411" s="133"/>
      <c r="W411" s="133"/>
      <c r="X411" s="133"/>
      <c r="Y411" s="133"/>
      <c r="Z411" s="133"/>
      <c r="AA411" s="133"/>
      <c r="AB411" s="102"/>
      <c r="AC411" s="102"/>
      <c r="AD411" s="103"/>
    </row>
    <row r="412" ht="15.75" customHeight="1">
      <c r="A412" s="142"/>
      <c r="B412" s="143"/>
      <c r="C412" s="136"/>
      <c r="D412" s="136"/>
      <c r="E412" s="136"/>
      <c r="F412" s="144"/>
      <c r="G412" s="143"/>
      <c r="H412" s="136"/>
      <c r="I412" s="136"/>
      <c r="J412" s="136"/>
      <c r="K412" s="145"/>
      <c r="L412" s="146"/>
      <c r="M412" s="136"/>
      <c r="N412" s="114"/>
      <c r="O412" s="136"/>
      <c r="P412" s="136"/>
      <c r="Q412" s="136"/>
      <c r="R412" s="136"/>
      <c r="S412" s="136"/>
      <c r="T412" s="136"/>
      <c r="U412" s="136"/>
      <c r="V412" s="136"/>
      <c r="W412" s="136"/>
      <c r="X412" s="136"/>
      <c r="Y412" s="136"/>
      <c r="Z412" s="136"/>
      <c r="AA412" s="136"/>
      <c r="AB412" s="102"/>
      <c r="AC412" s="102"/>
      <c r="AD412" s="103"/>
    </row>
    <row r="413" ht="15.75" customHeight="1">
      <c r="A413" s="147"/>
      <c r="B413" s="148"/>
      <c r="C413" s="133"/>
      <c r="D413" s="133"/>
      <c r="E413" s="133"/>
      <c r="F413" s="149"/>
      <c r="G413" s="148"/>
      <c r="H413" s="133"/>
      <c r="I413" s="133"/>
      <c r="J413" s="133"/>
      <c r="K413" s="150"/>
      <c r="L413" s="151"/>
      <c r="M413" s="133"/>
      <c r="N413" s="114"/>
      <c r="O413" s="133"/>
      <c r="P413" s="133"/>
      <c r="Q413" s="133"/>
      <c r="R413" s="133"/>
      <c r="S413" s="133"/>
      <c r="T413" s="133"/>
      <c r="U413" s="133"/>
      <c r="V413" s="133"/>
      <c r="W413" s="133"/>
      <c r="X413" s="133"/>
      <c r="Y413" s="133"/>
      <c r="Z413" s="133"/>
      <c r="AA413" s="133"/>
      <c r="AB413" s="102"/>
      <c r="AC413" s="102"/>
      <c r="AD413" s="103"/>
    </row>
    <row r="414" ht="15.75" customHeight="1">
      <c r="A414" s="142"/>
      <c r="B414" s="143"/>
      <c r="C414" s="136"/>
      <c r="D414" s="136"/>
      <c r="E414" s="136"/>
      <c r="F414" s="144"/>
      <c r="G414" s="143"/>
      <c r="H414" s="136"/>
      <c r="I414" s="136"/>
      <c r="J414" s="136"/>
      <c r="K414" s="145"/>
      <c r="L414" s="146"/>
      <c r="M414" s="136"/>
      <c r="N414" s="114"/>
      <c r="O414" s="136"/>
      <c r="P414" s="136"/>
      <c r="Q414" s="136"/>
      <c r="R414" s="136"/>
      <c r="S414" s="136"/>
      <c r="T414" s="136"/>
      <c r="U414" s="136"/>
      <c r="V414" s="136"/>
      <c r="W414" s="136"/>
      <c r="X414" s="136"/>
      <c r="Y414" s="136"/>
      <c r="Z414" s="136"/>
      <c r="AA414" s="136"/>
      <c r="AB414" s="102"/>
      <c r="AC414" s="102"/>
      <c r="AD414" s="103"/>
    </row>
    <row r="415" ht="15.75" customHeight="1">
      <c r="A415" s="147"/>
      <c r="B415" s="148"/>
      <c r="C415" s="133"/>
      <c r="D415" s="133"/>
      <c r="E415" s="133"/>
      <c r="F415" s="149"/>
      <c r="G415" s="148"/>
      <c r="H415" s="133"/>
      <c r="I415" s="133"/>
      <c r="J415" s="133"/>
      <c r="K415" s="150"/>
      <c r="L415" s="151"/>
      <c r="M415" s="133"/>
      <c r="N415" s="114"/>
      <c r="O415" s="133"/>
      <c r="P415" s="133"/>
      <c r="Q415" s="133"/>
      <c r="R415" s="133"/>
      <c r="S415" s="133"/>
      <c r="T415" s="133"/>
      <c r="U415" s="133"/>
      <c r="V415" s="133"/>
      <c r="W415" s="133"/>
      <c r="X415" s="133"/>
      <c r="Y415" s="133"/>
      <c r="Z415" s="133"/>
      <c r="AA415" s="133"/>
      <c r="AB415" s="102"/>
      <c r="AC415" s="102"/>
      <c r="AD415" s="103"/>
    </row>
    <row r="416" ht="15.75" customHeight="1">
      <c r="A416" s="142"/>
      <c r="B416" s="143"/>
      <c r="C416" s="136"/>
      <c r="D416" s="136"/>
      <c r="E416" s="136"/>
      <c r="F416" s="144"/>
      <c r="G416" s="143"/>
      <c r="H416" s="136"/>
      <c r="I416" s="136"/>
      <c r="J416" s="136"/>
      <c r="K416" s="145"/>
      <c r="L416" s="146"/>
      <c r="M416" s="136"/>
      <c r="N416" s="114"/>
      <c r="O416" s="136"/>
      <c r="P416" s="136"/>
      <c r="Q416" s="136"/>
      <c r="R416" s="136"/>
      <c r="S416" s="136"/>
      <c r="T416" s="136"/>
      <c r="U416" s="136"/>
      <c r="V416" s="136"/>
      <c r="W416" s="136"/>
      <c r="X416" s="136"/>
      <c r="Y416" s="136"/>
      <c r="Z416" s="136"/>
      <c r="AA416" s="136"/>
      <c r="AB416" s="102"/>
      <c r="AC416" s="102"/>
      <c r="AD416" s="103"/>
    </row>
    <row r="417" ht="15.75" customHeight="1">
      <c r="A417" s="147"/>
      <c r="B417" s="148"/>
      <c r="C417" s="133"/>
      <c r="D417" s="133"/>
      <c r="E417" s="133"/>
      <c r="F417" s="149"/>
      <c r="G417" s="148"/>
      <c r="H417" s="133"/>
      <c r="I417" s="133"/>
      <c r="J417" s="133"/>
      <c r="K417" s="150"/>
      <c r="L417" s="151"/>
      <c r="M417" s="133"/>
      <c r="N417" s="114"/>
      <c r="O417" s="133"/>
      <c r="P417" s="133"/>
      <c r="Q417" s="133"/>
      <c r="R417" s="133"/>
      <c r="S417" s="133"/>
      <c r="T417" s="133"/>
      <c r="U417" s="133"/>
      <c r="V417" s="133"/>
      <c r="W417" s="133"/>
      <c r="X417" s="133"/>
      <c r="Y417" s="133"/>
      <c r="Z417" s="133"/>
      <c r="AA417" s="133"/>
      <c r="AB417" s="102"/>
      <c r="AC417" s="102"/>
      <c r="AD417" s="103"/>
    </row>
    <row r="418" ht="15.75" customHeight="1">
      <c r="A418" s="142"/>
      <c r="B418" s="143"/>
      <c r="C418" s="136"/>
      <c r="D418" s="136"/>
      <c r="E418" s="136"/>
      <c r="F418" s="144"/>
      <c r="G418" s="143"/>
      <c r="H418" s="136"/>
      <c r="I418" s="136"/>
      <c r="J418" s="136"/>
      <c r="K418" s="145"/>
      <c r="L418" s="146"/>
      <c r="M418" s="136"/>
      <c r="N418" s="114"/>
      <c r="O418" s="136"/>
      <c r="P418" s="136"/>
      <c r="Q418" s="136"/>
      <c r="R418" s="136"/>
      <c r="S418" s="136"/>
      <c r="T418" s="136"/>
      <c r="U418" s="136"/>
      <c r="V418" s="136"/>
      <c r="W418" s="136"/>
      <c r="X418" s="136"/>
      <c r="Y418" s="136"/>
      <c r="Z418" s="136"/>
      <c r="AA418" s="136"/>
      <c r="AB418" s="102"/>
      <c r="AC418" s="102"/>
      <c r="AD418" s="103"/>
    </row>
    <row r="419" ht="15.75" customHeight="1">
      <c r="A419" s="147"/>
      <c r="B419" s="148"/>
      <c r="C419" s="133"/>
      <c r="D419" s="133"/>
      <c r="E419" s="133"/>
      <c r="F419" s="149"/>
      <c r="G419" s="148"/>
      <c r="H419" s="133"/>
      <c r="I419" s="133"/>
      <c r="J419" s="133"/>
      <c r="K419" s="150"/>
      <c r="L419" s="151"/>
      <c r="M419" s="133"/>
      <c r="N419" s="114"/>
      <c r="O419" s="133"/>
      <c r="P419" s="133"/>
      <c r="Q419" s="133"/>
      <c r="R419" s="133"/>
      <c r="S419" s="133"/>
      <c r="T419" s="133"/>
      <c r="U419" s="133"/>
      <c r="V419" s="133"/>
      <c r="W419" s="133"/>
      <c r="X419" s="133"/>
      <c r="Y419" s="133"/>
      <c r="Z419" s="133"/>
      <c r="AA419" s="133"/>
      <c r="AB419" s="102"/>
      <c r="AC419" s="102"/>
      <c r="AD419" s="103"/>
    </row>
    <row r="420" ht="15.75" customHeight="1">
      <c r="A420" s="142"/>
      <c r="B420" s="143"/>
      <c r="C420" s="136"/>
      <c r="D420" s="136"/>
      <c r="E420" s="136"/>
      <c r="F420" s="144"/>
      <c r="G420" s="143"/>
      <c r="H420" s="136"/>
      <c r="I420" s="136"/>
      <c r="J420" s="136"/>
      <c r="K420" s="145"/>
      <c r="L420" s="146"/>
      <c r="M420" s="136"/>
      <c r="N420" s="114"/>
      <c r="O420" s="136"/>
      <c r="P420" s="136"/>
      <c r="Q420" s="136"/>
      <c r="R420" s="136"/>
      <c r="S420" s="136"/>
      <c r="T420" s="136"/>
      <c r="U420" s="136"/>
      <c r="V420" s="136"/>
      <c r="W420" s="136"/>
      <c r="X420" s="136"/>
      <c r="Y420" s="136"/>
      <c r="Z420" s="136"/>
      <c r="AA420" s="136"/>
      <c r="AB420" s="102"/>
      <c r="AC420" s="102"/>
      <c r="AD420" s="103"/>
    </row>
    <row r="421" ht="15.75" customHeight="1">
      <c r="A421" s="147"/>
      <c r="B421" s="148"/>
      <c r="C421" s="133"/>
      <c r="D421" s="133"/>
      <c r="E421" s="133"/>
      <c r="F421" s="149"/>
      <c r="G421" s="148"/>
      <c r="H421" s="133"/>
      <c r="I421" s="133"/>
      <c r="J421" s="133"/>
      <c r="K421" s="150"/>
      <c r="L421" s="151"/>
      <c r="M421" s="133"/>
      <c r="N421" s="114"/>
      <c r="O421" s="133"/>
      <c r="P421" s="133"/>
      <c r="Q421" s="133"/>
      <c r="R421" s="133"/>
      <c r="S421" s="133"/>
      <c r="T421" s="133"/>
      <c r="U421" s="133"/>
      <c r="V421" s="133"/>
      <c r="W421" s="133"/>
      <c r="X421" s="133"/>
      <c r="Y421" s="133"/>
      <c r="Z421" s="133"/>
      <c r="AA421" s="133"/>
      <c r="AB421" s="102"/>
      <c r="AC421" s="102"/>
      <c r="AD421" s="103"/>
    </row>
    <row r="422" ht="15.75" customHeight="1">
      <c r="A422" s="142"/>
      <c r="B422" s="143"/>
      <c r="C422" s="136"/>
      <c r="D422" s="136"/>
      <c r="E422" s="136"/>
      <c r="F422" s="144"/>
      <c r="G422" s="143"/>
      <c r="H422" s="136"/>
      <c r="I422" s="136"/>
      <c r="J422" s="136"/>
      <c r="K422" s="145"/>
      <c r="L422" s="146"/>
      <c r="M422" s="136"/>
      <c r="N422" s="114"/>
      <c r="O422" s="136"/>
      <c r="P422" s="136"/>
      <c r="Q422" s="136"/>
      <c r="R422" s="136"/>
      <c r="S422" s="136"/>
      <c r="T422" s="136"/>
      <c r="U422" s="136"/>
      <c r="V422" s="136"/>
      <c r="W422" s="136"/>
      <c r="X422" s="136"/>
      <c r="Y422" s="136"/>
      <c r="Z422" s="136"/>
      <c r="AA422" s="136"/>
      <c r="AB422" s="102"/>
      <c r="AC422" s="102"/>
      <c r="AD422" s="103"/>
    </row>
    <row r="423" ht="15.75" customHeight="1">
      <c r="A423" s="147"/>
      <c r="B423" s="148"/>
      <c r="C423" s="133"/>
      <c r="D423" s="133"/>
      <c r="E423" s="133"/>
      <c r="F423" s="149"/>
      <c r="G423" s="148"/>
      <c r="H423" s="133"/>
      <c r="I423" s="133"/>
      <c r="J423" s="133"/>
      <c r="K423" s="150"/>
      <c r="L423" s="151"/>
      <c r="M423" s="133"/>
      <c r="N423" s="114"/>
      <c r="O423" s="133"/>
      <c r="P423" s="133"/>
      <c r="Q423" s="133"/>
      <c r="R423" s="133"/>
      <c r="S423" s="133"/>
      <c r="T423" s="133"/>
      <c r="U423" s="133"/>
      <c r="V423" s="133"/>
      <c r="W423" s="133"/>
      <c r="X423" s="133"/>
      <c r="Y423" s="133"/>
      <c r="Z423" s="133"/>
      <c r="AA423" s="133"/>
      <c r="AB423" s="102"/>
      <c r="AC423" s="102"/>
      <c r="AD423" s="103"/>
    </row>
    <row r="424" ht="15.75" customHeight="1">
      <c r="A424" s="142"/>
      <c r="B424" s="143"/>
      <c r="C424" s="136"/>
      <c r="D424" s="136"/>
      <c r="E424" s="136"/>
      <c r="F424" s="144"/>
      <c r="G424" s="143"/>
      <c r="H424" s="136"/>
      <c r="I424" s="136"/>
      <c r="J424" s="136"/>
      <c r="K424" s="145"/>
      <c r="L424" s="146"/>
      <c r="M424" s="136"/>
      <c r="N424" s="114"/>
      <c r="O424" s="136"/>
      <c r="P424" s="136"/>
      <c r="Q424" s="136"/>
      <c r="R424" s="136"/>
      <c r="S424" s="136"/>
      <c r="T424" s="136"/>
      <c r="U424" s="136"/>
      <c r="V424" s="136"/>
      <c r="W424" s="136"/>
      <c r="X424" s="136"/>
      <c r="Y424" s="136"/>
      <c r="Z424" s="136"/>
      <c r="AA424" s="136"/>
      <c r="AB424" s="102"/>
      <c r="AC424" s="102"/>
      <c r="AD424" s="103"/>
    </row>
    <row r="425" ht="15.75" customHeight="1">
      <c r="A425" s="147"/>
      <c r="B425" s="148"/>
      <c r="C425" s="133"/>
      <c r="D425" s="133"/>
      <c r="E425" s="133"/>
      <c r="F425" s="149"/>
      <c r="G425" s="148"/>
      <c r="H425" s="133"/>
      <c r="I425" s="133"/>
      <c r="J425" s="133"/>
      <c r="K425" s="150"/>
      <c r="L425" s="151"/>
      <c r="M425" s="133"/>
      <c r="N425" s="114"/>
      <c r="O425" s="133"/>
      <c r="P425" s="133"/>
      <c r="Q425" s="133"/>
      <c r="R425" s="133"/>
      <c r="S425" s="133"/>
      <c r="T425" s="133"/>
      <c r="U425" s="133"/>
      <c r="V425" s="133"/>
      <c r="W425" s="133"/>
      <c r="X425" s="133"/>
      <c r="Y425" s="133"/>
      <c r="Z425" s="133"/>
      <c r="AA425" s="133"/>
      <c r="AB425" s="102"/>
      <c r="AC425" s="102"/>
      <c r="AD425" s="103"/>
    </row>
    <row r="426" ht="15.75" customHeight="1">
      <c r="A426" s="142"/>
      <c r="B426" s="143"/>
      <c r="C426" s="136"/>
      <c r="D426" s="136"/>
      <c r="E426" s="136"/>
      <c r="F426" s="144"/>
      <c r="G426" s="143"/>
      <c r="H426" s="136"/>
      <c r="I426" s="136"/>
      <c r="J426" s="136"/>
      <c r="K426" s="145"/>
      <c r="L426" s="146"/>
      <c r="M426" s="136"/>
      <c r="N426" s="114"/>
      <c r="O426" s="136"/>
      <c r="P426" s="136"/>
      <c r="Q426" s="136"/>
      <c r="R426" s="136"/>
      <c r="S426" s="136"/>
      <c r="T426" s="136"/>
      <c r="U426" s="136"/>
      <c r="V426" s="136"/>
      <c r="W426" s="136"/>
      <c r="X426" s="136"/>
      <c r="Y426" s="136"/>
      <c r="Z426" s="136"/>
      <c r="AA426" s="136"/>
      <c r="AB426" s="102"/>
      <c r="AC426" s="102"/>
      <c r="AD426" s="103"/>
    </row>
    <row r="427" ht="15.75" customHeight="1">
      <c r="A427" s="147"/>
      <c r="B427" s="148"/>
      <c r="C427" s="133"/>
      <c r="D427" s="133"/>
      <c r="E427" s="133"/>
      <c r="F427" s="149"/>
      <c r="G427" s="148"/>
      <c r="H427" s="133"/>
      <c r="I427" s="133"/>
      <c r="J427" s="133"/>
      <c r="K427" s="150"/>
      <c r="L427" s="151"/>
      <c r="M427" s="133"/>
      <c r="N427" s="114"/>
      <c r="O427" s="133"/>
      <c r="P427" s="133"/>
      <c r="Q427" s="133"/>
      <c r="R427" s="133"/>
      <c r="S427" s="133"/>
      <c r="T427" s="133"/>
      <c r="U427" s="133"/>
      <c r="V427" s="133"/>
      <c r="W427" s="133"/>
      <c r="X427" s="133"/>
      <c r="Y427" s="133"/>
      <c r="Z427" s="133"/>
      <c r="AA427" s="133"/>
      <c r="AB427" s="102"/>
      <c r="AC427" s="102"/>
      <c r="AD427" s="103"/>
    </row>
    <row r="428" ht="15.75" customHeight="1">
      <c r="A428" s="142"/>
      <c r="B428" s="143"/>
      <c r="C428" s="136"/>
      <c r="D428" s="136"/>
      <c r="E428" s="136"/>
      <c r="F428" s="144"/>
      <c r="G428" s="143"/>
      <c r="H428" s="136"/>
      <c r="I428" s="136"/>
      <c r="J428" s="136"/>
      <c r="K428" s="145"/>
      <c r="L428" s="146"/>
      <c r="M428" s="136"/>
      <c r="N428" s="114"/>
      <c r="O428" s="136"/>
      <c r="P428" s="136"/>
      <c r="Q428" s="136"/>
      <c r="R428" s="136"/>
      <c r="S428" s="136"/>
      <c r="T428" s="136"/>
      <c r="U428" s="136"/>
      <c r="V428" s="136"/>
      <c r="W428" s="136"/>
      <c r="X428" s="136"/>
      <c r="Y428" s="136"/>
      <c r="Z428" s="136"/>
      <c r="AA428" s="136"/>
      <c r="AB428" s="102"/>
      <c r="AC428" s="102"/>
      <c r="AD428" s="103"/>
    </row>
    <row r="429" ht="15.75" customHeight="1">
      <c r="A429" s="147"/>
      <c r="B429" s="148"/>
      <c r="C429" s="133"/>
      <c r="D429" s="133"/>
      <c r="E429" s="133"/>
      <c r="F429" s="149"/>
      <c r="G429" s="148"/>
      <c r="H429" s="133"/>
      <c r="I429" s="133"/>
      <c r="J429" s="133"/>
      <c r="K429" s="150"/>
      <c r="L429" s="151"/>
      <c r="M429" s="133"/>
      <c r="N429" s="114"/>
      <c r="O429" s="133"/>
      <c r="P429" s="133"/>
      <c r="Q429" s="133"/>
      <c r="R429" s="133"/>
      <c r="S429" s="133"/>
      <c r="T429" s="133"/>
      <c r="U429" s="133"/>
      <c r="V429" s="133"/>
      <c r="W429" s="133"/>
      <c r="X429" s="133"/>
      <c r="Y429" s="133"/>
      <c r="Z429" s="133"/>
      <c r="AA429" s="133"/>
      <c r="AB429" s="102"/>
      <c r="AC429" s="102"/>
      <c r="AD429" s="103"/>
    </row>
    <row r="430" ht="15.75" customHeight="1">
      <c r="A430" s="142"/>
      <c r="B430" s="143"/>
      <c r="C430" s="136"/>
      <c r="D430" s="136"/>
      <c r="E430" s="136"/>
      <c r="F430" s="144"/>
      <c r="G430" s="143"/>
      <c r="H430" s="136"/>
      <c r="I430" s="136"/>
      <c r="J430" s="136"/>
      <c r="K430" s="145"/>
      <c r="L430" s="146"/>
      <c r="M430" s="136"/>
      <c r="N430" s="114"/>
      <c r="O430" s="136"/>
      <c r="P430" s="136"/>
      <c r="Q430" s="136"/>
      <c r="R430" s="136"/>
      <c r="S430" s="136"/>
      <c r="T430" s="136"/>
      <c r="U430" s="136"/>
      <c r="V430" s="136"/>
      <c r="W430" s="136"/>
      <c r="X430" s="136"/>
      <c r="Y430" s="136"/>
      <c r="Z430" s="136"/>
      <c r="AA430" s="136"/>
      <c r="AB430" s="102"/>
      <c r="AC430" s="102"/>
      <c r="AD430" s="103"/>
    </row>
    <row r="431" ht="15.75" customHeight="1">
      <c r="A431" s="147"/>
      <c r="B431" s="148"/>
      <c r="C431" s="133"/>
      <c r="D431" s="133"/>
      <c r="E431" s="133"/>
      <c r="F431" s="149"/>
      <c r="G431" s="148"/>
      <c r="H431" s="133"/>
      <c r="I431" s="133"/>
      <c r="J431" s="133"/>
      <c r="K431" s="150"/>
      <c r="L431" s="151"/>
      <c r="M431" s="133"/>
      <c r="N431" s="114"/>
      <c r="O431" s="133"/>
      <c r="P431" s="133"/>
      <c r="Q431" s="133"/>
      <c r="R431" s="133"/>
      <c r="S431" s="133"/>
      <c r="T431" s="133"/>
      <c r="U431" s="133"/>
      <c r="V431" s="133"/>
      <c r="W431" s="133"/>
      <c r="X431" s="133"/>
      <c r="Y431" s="133"/>
      <c r="Z431" s="133"/>
      <c r="AA431" s="133"/>
      <c r="AB431" s="102"/>
      <c r="AC431" s="102"/>
      <c r="AD431" s="103"/>
    </row>
    <row r="432" ht="15.75" customHeight="1">
      <c r="A432" s="142"/>
      <c r="B432" s="143"/>
      <c r="C432" s="136"/>
      <c r="D432" s="136"/>
      <c r="E432" s="136"/>
      <c r="F432" s="144"/>
      <c r="G432" s="143"/>
      <c r="H432" s="136"/>
      <c r="I432" s="136"/>
      <c r="J432" s="136"/>
      <c r="K432" s="145"/>
      <c r="L432" s="146"/>
      <c r="M432" s="136"/>
      <c r="N432" s="114"/>
      <c r="O432" s="136"/>
      <c r="P432" s="136"/>
      <c r="Q432" s="136"/>
      <c r="R432" s="136"/>
      <c r="S432" s="136"/>
      <c r="T432" s="136"/>
      <c r="U432" s="136"/>
      <c r="V432" s="136"/>
      <c r="W432" s="136"/>
      <c r="X432" s="136"/>
      <c r="Y432" s="136"/>
      <c r="Z432" s="136"/>
      <c r="AA432" s="136"/>
      <c r="AB432" s="102"/>
      <c r="AC432" s="102"/>
      <c r="AD432" s="103"/>
    </row>
    <row r="433" ht="15.75" customHeight="1">
      <c r="A433" s="147"/>
      <c r="B433" s="148"/>
      <c r="C433" s="133"/>
      <c r="D433" s="133"/>
      <c r="E433" s="133"/>
      <c r="F433" s="149"/>
      <c r="G433" s="148"/>
      <c r="H433" s="133"/>
      <c r="I433" s="133"/>
      <c r="J433" s="133"/>
      <c r="K433" s="150"/>
      <c r="L433" s="151"/>
      <c r="M433" s="133"/>
      <c r="N433" s="114"/>
      <c r="O433" s="133"/>
      <c r="P433" s="133"/>
      <c r="Q433" s="133"/>
      <c r="R433" s="133"/>
      <c r="S433" s="133"/>
      <c r="T433" s="133"/>
      <c r="U433" s="133"/>
      <c r="V433" s="133"/>
      <c r="W433" s="133"/>
      <c r="X433" s="133"/>
      <c r="Y433" s="133"/>
      <c r="Z433" s="133"/>
      <c r="AA433" s="133"/>
      <c r="AB433" s="102"/>
      <c r="AC433" s="102"/>
      <c r="AD433" s="103"/>
    </row>
    <row r="434" ht="15.75" customHeight="1">
      <c r="A434" s="142"/>
      <c r="B434" s="143"/>
      <c r="C434" s="136"/>
      <c r="D434" s="136"/>
      <c r="E434" s="136"/>
      <c r="F434" s="144"/>
      <c r="G434" s="143"/>
      <c r="H434" s="136"/>
      <c r="I434" s="136"/>
      <c r="J434" s="136"/>
      <c r="K434" s="145"/>
      <c r="L434" s="146"/>
      <c r="M434" s="136"/>
      <c r="N434" s="114"/>
      <c r="O434" s="136"/>
      <c r="P434" s="136"/>
      <c r="Q434" s="136"/>
      <c r="R434" s="136"/>
      <c r="S434" s="136"/>
      <c r="T434" s="136"/>
      <c r="U434" s="136"/>
      <c r="V434" s="136"/>
      <c r="W434" s="136"/>
      <c r="X434" s="136"/>
      <c r="Y434" s="136"/>
      <c r="Z434" s="136"/>
      <c r="AA434" s="136"/>
      <c r="AB434" s="102"/>
      <c r="AC434" s="102"/>
      <c r="AD434" s="103"/>
    </row>
    <row r="435" ht="15.75" customHeight="1">
      <c r="A435" s="147"/>
      <c r="B435" s="148"/>
      <c r="C435" s="133"/>
      <c r="D435" s="133"/>
      <c r="E435" s="133"/>
      <c r="F435" s="149"/>
      <c r="G435" s="148"/>
      <c r="H435" s="133"/>
      <c r="I435" s="133"/>
      <c r="J435" s="133"/>
      <c r="K435" s="150"/>
      <c r="L435" s="151"/>
      <c r="M435" s="133"/>
      <c r="N435" s="114"/>
      <c r="O435" s="133"/>
      <c r="P435" s="133"/>
      <c r="Q435" s="133"/>
      <c r="R435" s="133"/>
      <c r="S435" s="133"/>
      <c r="T435" s="133"/>
      <c r="U435" s="133"/>
      <c r="V435" s="133"/>
      <c r="W435" s="133"/>
      <c r="X435" s="133"/>
      <c r="Y435" s="133"/>
      <c r="Z435" s="133"/>
      <c r="AA435" s="133"/>
      <c r="AB435" s="102"/>
      <c r="AC435" s="102"/>
      <c r="AD435" s="103"/>
    </row>
    <row r="436" ht="15.75" customHeight="1">
      <c r="A436" s="142"/>
      <c r="B436" s="143"/>
      <c r="C436" s="136"/>
      <c r="D436" s="136"/>
      <c r="E436" s="136"/>
      <c r="F436" s="144"/>
      <c r="G436" s="143"/>
      <c r="H436" s="136"/>
      <c r="I436" s="136"/>
      <c r="J436" s="136"/>
      <c r="K436" s="145"/>
      <c r="L436" s="146"/>
      <c r="M436" s="136"/>
      <c r="N436" s="114"/>
      <c r="O436" s="136"/>
      <c r="P436" s="136"/>
      <c r="Q436" s="136"/>
      <c r="R436" s="136"/>
      <c r="S436" s="136"/>
      <c r="T436" s="136"/>
      <c r="U436" s="136"/>
      <c r="V436" s="136"/>
      <c r="W436" s="136"/>
      <c r="X436" s="136"/>
      <c r="Y436" s="136"/>
      <c r="Z436" s="136"/>
      <c r="AA436" s="136"/>
      <c r="AB436" s="102"/>
      <c r="AC436" s="102"/>
      <c r="AD436" s="103"/>
    </row>
    <row r="437" ht="15.75" customHeight="1">
      <c r="A437" s="147"/>
      <c r="B437" s="148"/>
      <c r="C437" s="133"/>
      <c r="D437" s="133"/>
      <c r="E437" s="133"/>
      <c r="F437" s="149"/>
      <c r="G437" s="148"/>
      <c r="H437" s="133"/>
      <c r="I437" s="133"/>
      <c r="J437" s="133"/>
      <c r="K437" s="150"/>
      <c r="L437" s="151"/>
      <c r="M437" s="133"/>
      <c r="N437" s="114"/>
      <c r="O437" s="133"/>
      <c r="P437" s="133"/>
      <c r="Q437" s="133"/>
      <c r="R437" s="133"/>
      <c r="S437" s="133"/>
      <c r="T437" s="133"/>
      <c r="U437" s="133"/>
      <c r="V437" s="133"/>
      <c r="W437" s="133"/>
      <c r="X437" s="133"/>
      <c r="Y437" s="133"/>
      <c r="Z437" s="133"/>
      <c r="AA437" s="133"/>
      <c r="AB437" s="102"/>
      <c r="AC437" s="102"/>
      <c r="AD437" s="103"/>
    </row>
    <row r="438" ht="15.75" customHeight="1">
      <c r="A438" s="142"/>
      <c r="B438" s="143"/>
      <c r="C438" s="136"/>
      <c r="D438" s="136"/>
      <c r="E438" s="136"/>
      <c r="F438" s="144"/>
      <c r="G438" s="143"/>
      <c r="H438" s="136"/>
      <c r="I438" s="136"/>
      <c r="J438" s="136"/>
      <c r="K438" s="145"/>
      <c r="L438" s="146"/>
      <c r="M438" s="136"/>
      <c r="N438" s="114"/>
      <c r="O438" s="136"/>
      <c r="P438" s="136"/>
      <c r="Q438" s="136"/>
      <c r="R438" s="136"/>
      <c r="S438" s="136"/>
      <c r="T438" s="136"/>
      <c r="U438" s="136"/>
      <c r="V438" s="136"/>
      <c r="W438" s="136"/>
      <c r="X438" s="136"/>
      <c r="Y438" s="136"/>
      <c r="Z438" s="136"/>
      <c r="AA438" s="136"/>
      <c r="AB438" s="102"/>
      <c r="AC438" s="102"/>
      <c r="AD438" s="103"/>
    </row>
    <row r="439" ht="15.75" customHeight="1">
      <c r="A439" s="147"/>
      <c r="B439" s="148"/>
      <c r="C439" s="133"/>
      <c r="D439" s="133"/>
      <c r="E439" s="133"/>
      <c r="F439" s="149"/>
      <c r="G439" s="148"/>
      <c r="H439" s="133"/>
      <c r="I439" s="133"/>
      <c r="J439" s="133"/>
      <c r="K439" s="150"/>
      <c r="L439" s="151"/>
      <c r="M439" s="133"/>
      <c r="N439" s="114"/>
      <c r="O439" s="133"/>
      <c r="P439" s="133"/>
      <c r="Q439" s="133"/>
      <c r="R439" s="133"/>
      <c r="S439" s="133"/>
      <c r="T439" s="133"/>
      <c r="U439" s="133"/>
      <c r="V439" s="133"/>
      <c r="W439" s="133"/>
      <c r="X439" s="133"/>
      <c r="Y439" s="133"/>
      <c r="Z439" s="133"/>
      <c r="AA439" s="133"/>
      <c r="AB439" s="102"/>
      <c r="AC439" s="102"/>
      <c r="AD439" s="103"/>
    </row>
    <row r="440" ht="15.75" customHeight="1">
      <c r="A440" s="142"/>
      <c r="B440" s="143"/>
      <c r="C440" s="136"/>
      <c r="D440" s="136"/>
      <c r="E440" s="136"/>
      <c r="F440" s="144"/>
      <c r="G440" s="143"/>
      <c r="H440" s="136"/>
      <c r="I440" s="136"/>
      <c r="J440" s="136"/>
      <c r="K440" s="145"/>
      <c r="L440" s="146"/>
      <c r="M440" s="136"/>
      <c r="N440" s="114"/>
      <c r="O440" s="136"/>
      <c r="P440" s="136"/>
      <c r="Q440" s="136"/>
      <c r="R440" s="136"/>
      <c r="S440" s="136"/>
      <c r="T440" s="136"/>
      <c r="U440" s="136"/>
      <c r="V440" s="136"/>
      <c r="W440" s="136"/>
      <c r="X440" s="136"/>
      <c r="Y440" s="136"/>
      <c r="Z440" s="136"/>
      <c r="AA440" s="136"/>
      <c r="AB440" s="102"/>
      <c r="AC440" s="102"/>
      <c r="AD440" s="103"/>
    </row>
    <row r="441" ht="15.75" customHeight="1">
      <c r="A441" s="147"/>
      <c r="B441" s="148"/>
      <c r="C441" s="133"/>
      <c r="D441" s="133"/>
      <c r="E441" s="133"/>
      <c r="F441" s="149"/>
      <c r="G441" s="148"/>
      <c r="H441" s="133"/>
      <c r="I441" s="133"/>
      <c r="J441" s="133"/>
      <c r="K441" s="150"/>
      <c r="L441" s="151"/>
      <c r="M441" s="133"/>
      <c r="N441" s="114"/>
      <c r="O441" s="133"/>
      <c r="P441" s="133"/>
      <c r="Q441" s="133"/>
      <c r="R441" s="133"/>
      <c r="S441" s="133"/>
      <c r="T441" s="133"/>
      <c r="U441" s="133"/>
      <c r="V441" s="133"/>
      <c r="W441" s="133"/>
      <c r="X441" s="133"/>
      <c r="Y441" s="133"/>
      <c r="Z441" s="133"/>
      <c r="AA441" s="133"/>
      <c r="AB441" s="102"/>
      <c r="AC441" s="102"/>
      <c r="AD441" s="103"/>
    </row>
    <row r="442" ht="15.75" customHeight="1">
      <c r="A442" s="142"/>
      <c r="B442" s="143"/>
      <c r="C442" s="136"/>
      <c r="D442" s="136"/>
      <c r="E442" s="136"/>
      <c r="F442" s="144"/>
      <c r="G442" s="143"/>
      <c r="H442" s="136"/>
      <c r="I442" s="136"/>
      <c r="J442" s="136"/>
      <c r="K442" s="145"/>
      <c r="L442" s="146"/>
      <c r="M442" s="136"/>
      <c r="N442" s="114"/>
      <c r="O442" s="136"/>
      <c r="P442" s="136"/>
      <c r="Q442" s="136"/>
      <c r="R442" s="136"/>
      <c r="S442" s="136"/>
      <c r="T442" s="136"/>
      <c r="U442" s="136"/>
      <c r="V442" s="136"/>
      <c r="W442" s="136"/>
      <c r="X442" s="136"/>
      <c r="Y442" s="136"/>
      <c r="Z442" s="136"/>
      <c r="AA442" s="136"/>
      <c r="AB442" s="102"/>
      <c r="AC442" s="102"/>
      <c r="AD442" s="103"/>
    </row>
    <row r="443" ht="15.75" customHeight="1">
      <c r="A443" s="147"/>
      <c r="B443" s="148"/>
      <c r="C443" s="133"/>
      <c r="D443" s="133"/>
      <c r="E443" s="133"/>
      <c r="F443" s="149"/>
      <c r="G443" s="148"/>
      <c r="H443" s="133"/>
      <c r="I443" s="133"/>
      <c r="J443" s="133"/>
      <c r="K443" s="150"/>
      <c r="L443" s="151"/>
      <c r="M443" s="133"/>
      <c r="N443" s="114"/>
      <c r="O443" s="133"/>
      <c r="P443" s="133"/>
      <c r="Q443" s="133"/>
      <c r="R443" s="133"/>
      <c r="S443" s="133"/>
      <c r="T443" s="133"/>
      <c r="U443" s="133"/>
      <c r="V443" s="133"/>
      <c r="W443" s="133"/>
      <c r="X443" s="133"/>
      <c r="Y443" s="133"/>
      <c r="Z443" s="133"/>
      <c r="AA443" s="133"/>
      <c r="AB443" s="102"/>
      <c r="AC443" s="102"/>
      <c r="AD443" s="103"/>
    </row>
    <row r="444" ht="15.75" customHeight="1">
      <c r="A444" s="142"/>
      <c r="B444" s="143"/>
      <c r="C444" s="136"/>
      <c r="D444" s="136"/>
      <c r="E444" s="136"/>
      <c r="F444" s="144"/>
      <c r="G444" s="143"/>
      <c r="H444" s="136"/>
      <c r="I444" s="136"/>
      <c r="J444" s="136"/>
      <c r="K444" s="145"/>
      <c r="L444" s="146"/>
      <c r="M444" s="136"/>
      <c r="N444" s="114"/>
      <c r="O444" s="136"/>
      <c r="P444" s="136"/>
      <c r="Q444" s="136"/>
      <c r="R444" s="136"/>
      <c r="S444" s="136"/>
      <c r="T444" s="136"/>
      <c r="U444" s="136"/>
      <c r="V444" s="136"/>
      <c r="W444" s="136"/>
      <c r="X444" s="136"/>
      <c r="Y444" s="136"/>
      <c r="Z444" s="136"/>
      <c r="AA444" s="136"/>
      <c r="AB444" s="102"/>
      <c r="AC444" s="102"/>
      <c r="AD444" s="103"/>
    </row>
    <row r="445" ht="15.75" customHeight="1">
      <c r="A445" s="147"/>
      <c r="B445" s="148"/>
      <c r="C445" s="133"/>
      <c r="D445" s="133"/>
      <c r="E445" s="133"/>
      <c r="F445" s="149"/>
      <c r="G445" s="148"/>
      <c r="H445" s="133"/>
      <c r="I445" s="133"/>
      <c r="J445" s="133"/>
      <c r="K445" s="150"/>
      <c r="L445" s="151"/>
      <c r="M445" s="133"/>
      <c r="N445" s="114"/>
      <c r="O445" s="133"/>
      <c r="P445" s="133"/>
      <c r="Q445" s="133"/>
      <c r="R445" s="133"/>
      <c r="S445" s="133"/>
      <c r="T445" s="133"/>
      <c r="U445" s="133"/>
      <c r="V445" s="133"/>
      <c r="W445" s="133"/>
      <c r="X445" s="133"/>
      <c r="Y445" s="133"/>
      <c r="Z445" s="133"/>
      <c r="AA445" s="133"/>
      <c r="AB445" s="102"/>
      <c r="AC445" s="102"/>
      <c r="AD445" s="103"/>
    </row>
    <row r="446" ht="15.75" customHeight="1">
      <c r="A446" s="142"/>
      <c r="B446" s="143"/>
      <c r="C446" s="136"/>
      <c r="D446" s="136"/>
      <c r="E446" s="136"/>
      <c r="F446" s="144"/>
      <c r="G446" s="143"/>
      <c r="H446" s="136"/>
      <c r="I446" s="136"/>
      <c r="J446" s="136"/>
      <c r="K446" s="145"/>
      <c r="L446" s="146"/>
      <c r="M446" s="136"/>
      <c r="N446" s="114"/>
      <c r="O446" s="136"/>
      <c r="P446" s="136"/>
      <c r="Q446" s="136"/>
      <c r="R446" s="136"/>
      <c r="S446" s="136"/>
      <c r="T446" s="136"/>
      <c r="U446" s="136"/>
      <c r="V446" s="136"/>
      <c r="W446" s="136"/>
      <c r="X446" s="136"/>
      <c r="Y446" s="136"/>
      <c r="Z446" s="136"/>
      <c r="AA446" s="136"/>
      <c r="AB446" s="102"/>
      <c r="AC446" s="102"/>
      <c r="AD446" s="103"/>
    </row>
    <row r="447" ht="15.75" customHeight="1">
      <c r="A447" s="147"/>
      <c r="B447" s="148"/>
      <c r="C447" s="133"/>
      <c r="D447" s="133"/>
      <c r="E447" s="133"/>
      <c r="F447" s="149"/>
      <c r="G447" s="148"/>
      <c r="H447" s="133"/>
      <c r="I447" s="133"/>
      <c r="J447" s="133"/>
      <c r="K447" s="150"/>
      <c r="L447" s="151"/>
      <c r="M447" s="133"/>
      <c r="N447" s="114"/>
      <c r="O447" s="133"/>
      <c r="P447" s="133"/>
      <c r="Q447" s="133"/>
      <c r="R447" s="133"/>
      <c r="S447" s="133"/>
      <c r="T447" s="133"/>
      <c r="U447" s="133"/>
      <c r="V447" s="133"/>
      <c r="W447" s="133"/>
      <c r="X447" s="133"/>
      <c r="Y447" s="133"/>
      <c r="Z447" s="133"/>
      <c r="AA447" s="133"/>
      <c r="AB447" s="102"/>
      <c r="AC447" s="102"/>
      <c r="AD447" s="103"/>
    </row>
    <row r="448" ht="15.75" customHeight="1">
      <c r="A448" s="142"/>
      <c r="B448" s="143"/>
      <c r="C448" s="136"/>
      <c r="D448" s="136"/>
      <c r="E448" s="136"/>
      <c r="F448" s="144"/>
      <c r="G448" s="143"/>
      <c r="H448" s="136"/>
      <c r="I448" s="136"/>
      <c r="J448" s="136"/>
      <c r="K448" s="145"/>
      <c r="L448" s="146"/>
      <c r="M448" s="136"/>
      <c r="N448" s="114"/>
      <c r="O448" s="136"/>
      <c r="P448" s="136"/>
      <c r="Q448" s="136"/>
      <c r="R448" s="136"/>
      <c r="S448" s="136"/>
      <c r="T448" s="136"/>
      <c r="U448" s="136"/>
      <c r="V448" s="136"/>
      <c r="W448" s="136"/>
      <c r="X448" s="136"/>
      <c r="Y448" s="136"/>
      <c r="Z448" s="136"/>
      <c r="AA448" s="136"/>
      <c r="AB448" s="102"/>
      <c r="AC448" s="102"/>
      <c r="AD448" s="103"/>
    </row>
    <row r="449" ht="15.75" customHeight="1">
      <c r="A449" s="147"/>
      <c r="B449" s="148"/>
      <c r="C449" s="133"/>
      <c r="D449" s="133"/>
      <c r="E449" s="133"/>
      <c r="F449" s="149"/>
      <c r="G449" s="148"/>
      <c r="H449" s="133"/>
      <c r="I449" s="133"/>
      <c r="J449" s="133"/>
      <c r="K449" s="150"/>
      <c r="L449" s="151"/>
      <c r="M449" s="133"/>
      <c r="N449" s="114"/>
      <c r="O449" s="133"/>
      <c r="P449" s="133"/>
      <c r="Q449" s="133"/>
      <c r="R449" s="133"/>
      <c r="S449" s="133"/>
      <c r="T449" s="133"/>
      <c r="U449" s="133"/>
      <c r="V449" s="133"/>
      <c r="W449" s="133"/>
      <c r="X449" s="133"/>
      <c r="Y449" s="133"/>
      <c r="Z449" s="133"/>
      <c r="AA449" s="133"/>
      <c r="AB449" s="102"/>
      <c r="AC449" s="102"/>
      <c r="AD449" s="103"/>
    </row>
    <row r="450" ht="15.75" customHeight="1">
      <c r="A450" s="142"/>
      <c r="B450" s="143"/>
      <c r="C450" s="136"/>
      <c r="D450" s="136"/>
      <c r="E450" s="136"/>
      <c r="F450" s="144"/>
      <c r="G450" s="143"/>
      <c r="H450" s="136"/>
      <c r="I450" s="136"/>
      <c r="J450" s="136"/>
      <c r="K450" s="145"/>
      <c r="L450" s="146"/>
      <c r="M450" s="136"/>
      <c r="N450" s="114"/>
      <c r="O450" s="136"/>
      <c r="P450" s="136"/>
      <c r="Q450" s="136"/>
      <c r="R450" s="136"/>
      <c r="S450" s="136"/>
      <c r="T450" s="136"/>
      <c r="U450" s="136"/>
      <c r="V450" s="136"/>
      <c r="W450" s="136"/>
      <c r="X450" s="136"/>
      <c r="Y450" s="136"/>
      <c r="Z450" s="136"/>
      <c r="AA450" s="136"/>
      <c r="AB450" s="102"/>
      <c r="AC450" s="102"/>
      <c r="AD450" s="103"/>
    </row>
    <row r="451" ht="15.75" customHeight="1">
      <c r="A451" s="147"/>
      <c r="B451" s="148"/>
      <c r="C451" s="133"/>
      <c r="D451" s="133"/>
      <c r="E451" s="133"/>
      <c r="F451" s="149"/>
      <c r="G451" s="148"/>
      <c r="H451" s="133"/>
      <c r="I451" s="133"/>
      <c r="J451" s="133"/>
      <c r="K451" s="150"/>
      <c r="L451" s="151"/>
      <c r="M451" s="133"/>
      <c r="N451" s="114"/>
      <c r="O451" s="133"/>
      <c r="P451" s="133"/>
      <c r="Q451" s="133"/>
      <c r="R451" s="133"/>
      <c r="S451" s="133"/>
      <c r="T451" s="133"/>
      <c r="U451" s="133"/>
      <c r="V451" s="133"/>
      <c r="W451" s="133"/>
      <c r="X451" s="133"/>
      <c r="Y451" s="133"/>
      <c r="Z451" s="133"/>
      <c r="AA451" s="133"/>
      <c r="AB451" s="102"/>
      <c r="AC451" s="102"/>
      <c r="AD451" s="103"/>
    </row>
    <row r="452" ht="15.75" customHeight="1">
      <c r="A452" s="142"/>
      <c r="B452" s="143"/>
      <c r="C452" s="136"/>
      <c r="D452" s="136"/>
      <c r="E452" s="136"/>
      <c r="F452" s="144"/>
      <c r="G452" s="143"/>
      <c r="H452" s="136"/>
      <c r="I452" s="136"/>
      <c r="J452" s="136"/>
      <c r="K452" s="145"/>
      <c r="L452" s="146"/>
      <c r="M452" s="136"/>
      <c r="N452" s="114"/>
      <c r="O452" s="136"/>
      <c r="P452" s="136"/>
      <c r="Q452" s="136"/>
      <c r="R452" s="136"/>
      <c r="S452" s="136"/>
      <c r="T452" s="136"/>
      <c r="U452" s="136"/>
      <c r="V452" s="136"/>
      <c r="W452" s="136"/>
      <c r="X452" s="136"/>
      <c r="Y452" s="136"/>
      <c r="Z452" s="136"/>
      <c r="AA452" s="136"/>
      <c r="AB452" s="102"/>
      <c r="AC452" s="102"/>
      <c r="AD452" s="103"/>
    </row>
    <row r="453" ht="15.75" customHeight="1">
      <c r="A453" s="147"/>
      <c r="B453" s="148"/>
      <c r="C453" s="133"/>
      <c r="D453" s="133"/>
      <c r="E453" s="133"/>
      <c r="F453" s="149"/>
      <c r="G453" s="148"/>
      <c r="H453" s="133"/>
      <c r="I453" s="133"/>
      <c r="J453" s="133"/>
      <c r="K453" s="150"/>
      <c r="L453" s="151"/>
      <c r="M453" s="133"/>
      <c r="N453" s="114"/>
      <c r="O453" s="133"/>
      <c r="P453" s="133"/>
      <c r="Q453" s="133"/>
      <c r="R453" s="133"/>
      <c r="S453" s="133"/>
      <c r="T453" s="133"/>
      <c r="U453" s="133"/>
      <c r="V453" s="133"/>
      <c r="W453" s="133"/>
      <c r="X453" s="133"/>
      <c r="Y453" s="133"/>
      <c r="Z453" s="133"/>
      <c r="AA453" s="133"/>
      <c r="AB453" s="102"/>
      <c r="AC453" s="102"/>
      <c r="AD453" s="103"/>
    </row>
    <row r="454" ht="15.75" customHeight="1">
      <c r="A454" s="142"/>
      <c r="B454" s="143"/>
      <c r="C454" s="136"/>
      <c r="D454" s="136"/>
      <c r="E454" s="136"/>
      <c r="F454" s="144"/>
      <c r="G454" s="143"/>
      <c r="H454" s="136"/>
      <c r="I454" s="136"/>
      <c r="J454" s="136"/>
      <c r="K454" s="145"/>
      <c r="L454" s="146"/>
      <c r="M454" s="136"/>
      <c r="N454" s="114"/>
      <c r="O454" s="136"/>
      <c r="P454" s="136"/>
      <c r="Q454" s="136"/>
      <c r="R454" s="136"/>
      <c r="S454" s="136"/>
      <c r="T454" s="136"/>
      <c r="U454" s="136"/>
      <c r="V454" s="136"/>
      <c r="W454" s="136"/>
      <c r="X454" s="136"/>
      <c r="Y454" s="136"/>
      <c r="Z454" s="136"/>
      <c r="AA454" s="136"/>
      <c r="AB454" s="102"/>
      <c r="AC454" s="102"/>
      <c r="AD454" s="103"/>
    </row>
    <row r="455" ht="15.75" customHeight="1">
      <c r="A455" s="147"/>
      <c r="B455" s="148"/>
      <c r="C455" s="133"/>
      <c r="D455" s="133"/>
      <c r="E455" s="133"/>
      <c r="F455" s="149"/>
      <c r="G455" s="148"/>
      <c r="H455" s="133"/>
      <c r="I455" s="133"/>
      <c r="J455" s="133"/>
      <c r="K455" s="150"/>
      <c r="L455" s="151"/>
      <c r="M455" s="133"/>
      <c r="N455" s="114"/>
      <c r="O455" s="133"/>
      <c r="P455" s="133"/>
      <c r="Q455" s="133"/>
      <c r="R455" s="133"/>
      <c r="S455" s="133"/>
      <c r="T455" s="133"/>
      <c r="U455" s="133"/>
      <c r="V455" s="133"/>
      <c r="W455" s="133"/>
      <c r="X455" s="133"/>
      <c r="Y455" s="133"/>
      <c r="Z455" s="133"/>
      <c r="AA455" s="133"/>
      <c r="AB455" s="102"/>
      <c r="AC455" s="102"/>
      <c r="AD455" s="103"/>
    </row>
    <row r="456" ht="15.75" customHeight="1">
      <c r="A456" s="142"/>
      <c r="B456" s="143"/>
      <c r="C456" s="136"/>
      <c r="D456" s="136"/>
      <c r="E456" s="136"/>
      <c r="F456" s="144"/>
      <c r="G456" s="143"/>
      <c r="H456" s="136"/>
      <c r="I456" s="136"/>
      <c r="J456" s="136"/>
      <c r="K456" s="145"/>
      <c r="L456" s="146"/>
      <c r="M456" s="136"/>
      <c r="N456" s="114"/>
      <c r="O456" s="136"/>
      <c r="P456" s="136"/>
      <c r="Q456" s="136"/>
      <c r="R456" s="136"/>
      <c r="S456" s="136"/>
      <c r="T456" s="136"/>
      <c r="U456" s="136"/>
      <c r="V456" s="136"/>
      <c r="W456" s="136"/>
      <c r="X456" s="136"/>
      <c r="Y456" s="136"/>
      <c r="Z456" s="136"/>
      <c r="AA456" s="136"/>
      <c r="AB456" s="102"/>
      <c r="AC456" s="102"/>
      <c r="AD456" s="103"/>
    </row>
    <row r="457" ht="15.75" customHeight="1">
      <c r="A457" s="147"/>
      <c r="B457" s="148"/>
      <c r="C457" s="133"/>
      <c r="D457" s="133"/>
      <c r="E457" s="133"/>
      <c r="F457" s="149"/>
      <c r="G457" s="148"/>
      <c r="H457" s="133"/>
      <c r="I457" s="133"/>
      <c r="J457" s="133"/>
      <c r="K457" s="150"/>
      <c r="L457" s="151"/>
      <c r="M457" s="133"/>
      <c r="N457" s="114"/>
      <c r="O457" s="133"/>
      <c r="P457" s="133"/>
      <c r="Q457" s="133"/>
      <c r="R457" s="133"/>
      <c r="S457" s="133"/>
      <c r="T457" s="133"/>
      <c r="U457" s="133"/>
      <c r="V457" s="133"/>
      <c r="W457" s="133"/>
      <c r="X457" s="133"/>
      <c r="Y457" s="133"/>
      <c r="Z457" s="133"/>
      <c r="AA457" s="133"/>
      <c r="AB457" s="102"/>
      <c r="AC457" s="102"/>
      <c r="AD457" s="103"/>
    </row>
    <row r="458" ht="15.75" customHeight="1">
      <c r="A458" s="142"/>
      <c r="B458" s="143"/>
      <c r="C458" s="136"/>
      <c r="D458" s="136"/>
      <c r="E458" s="136"/>
      <c r="F458" s="144"/>
      <c r="G458" s="143"/>
      <c r="H458" s="136"/>
      <c r="I458" s="136"/>
      <c r="J458" s="136"/>
      <c r="K458" s="145"/>
      <c r="L458" s="146"/>
      <c r="M458" s="136"/>
      <c r="N458" s="114"/>
      <c r="O458" s="136"/>
      <c r="P458" s="136"/>
      <c r="Q458" s="136"/>
      <c r="R458" s="136"/>
      <c r="S458" s="136"/>
      <c r="T458" s="136"/>
      <c r="U458" s="136"/>
      <c r="V458" s="136"/>
      <c r="W458" s="136"/>
      <c r="X458" s="136"/>
      <c r="Y458" s="136"/>
      <c r="Z458" s="136"/>
      <c r="AA458" s="136"/>
      <c r="AB458" s="102"/>
      <c r="AC458" s="102"/>
      <c r="AD458" s="103"/>
    </row>
    <row r="459" ht="15.75" customHeight="1">
      <c r="A459" s="147"/>
      <c r="B459" s="148"/>
      <c r="C459" s="133"/>
      <c r="D459" s="133"/>
      <c r="E459" s="133"/>
      <c r="F459" s="149"/>
      <c r="G459" s="148"/>
      <c r="H459" s="133"/>
      <c r="I459" s="133"/>
      <c r="J459" s="133"/>
      <c r="K459" s="150"/>
      <c r="L459" s="151"/>
      <c r="M459" s="133"/>
      <c r="N459" s="114"/>
      <c r="O459" s="133"/>
      <c r="P459" s="133"/>
      <c r="Q459" s="133"/>
      <c r="R459" s="133"/>
      <c r="S459" s="133"/>
      <c r="T459" s="133"/>
      <c r="U459" s="133"/>
      <c r="V459" s="133"/>
      <c r="W459" s="133"/>
      <c r="X459" s="133"/>
      <c r="Y459" s="133"/>
      <c r="Z459" s="133"/>
      <c r="AA459" s="133"/>
      <c r="AB459" s="102"/>
      <c r="AC459" s="102"/>
      <c r="AD459" s="103"/>
    </row>
    <row r="460" ht="15.75" customHeight="1">
      <c r="A460" s="142"/>
      <c r="B460" s="143"/>
      <c r="C460" s="136"/>
      <c r="D460" s="136"/>
      <c r="E460" s="136"/>
      <c r="F460" s="144"/>
      <c r="G460" s="143"/>
      <c r="H460" s="136"/>
      <c r="I460" s="136"/>
      <c r="J460" s="136"/>
      <c r="K460" s="145"/>
      <c r="L460" s="146"/>
      <c r="M460" s="136"/>
      <c r="N460" s="114"/>
      <c r="O460" s="136"/>
      <c r="P460" s="136"/>
      <c r="Q460" s="136"/>
      <c r="R460" s="136"/>
      <c r="S460" s="136"/>
      <c r="T460" s="136"/>
      <c r="U460" s="136"/>
      <c r="V460" s="136"/>
      <c r="W460" s="136"/>
      <c r="X460" s="136"/>
      <c r="Y460" s="136"/>
      <c r="Z460" s="136"/>
      <c r="AA460" s="136"/>
      <c r="AB460" s="102"/>
      <c r="AC460" s="102"/>
      <c r="AD460" s="103"/>
    </row>
    <row r="461" ht="15.75" customHeight="1">
      <c r="A461" s="147"/>
      <c r="B461" s="148"/>
      <c r="C461" s="133"/>
      <c r="D461" s="133"/>
      <c r="E461" s="133"/>
      <c r="F461" s="149"/>
      <c r="G461" s="148"/>
      <c r="H461" s="133"/>
      <c r="I461" s="133"/>
      <c r="J461" s="133"/>
      <c r="K461" s="150"/>
      <c r="L461" s="151"/>
      <c r="M461" s="133"/>
      <c r="N461" s="114"/>
      <c r="O461" s="133"/>
      <c r="P461" s="133"/>
      <c r="Q461" s="133"/>
      <c r="R461" s="133"/>
      <c r="S461" s="133"/>
      <c r="T461" s="133"/>
      <c r="U461" s="133"/>
      <c r="V461" s="133"/>
      <c r="W461" s="133"/>
      <c r="X461" s="133"/>
      <c r="Y461" s="133"/>
      <c r="Z461" s="133"/>
      <c r="AA461" s="133"/>
      <c r="AB461" s="102"/>
      <c r="AC461" s="102"/>
      <c r="AD461" s="103"/>
    </row>
    <row r="462" ht="15.75" customHeight="1">
      <c r="A462" s="142"/>
      <c r="B462" s="143"/>
      <c r="C462" s="136"/>
      <c r="D462" s="136"/>
      <c r="E462" s="136"/>
      <c r="F462" s="144"/>
      <c r="G462" s="143"/>
      <c r="H462" s="136"/>
      <c r="I462" s="136"/>
      <c r="J462" s="136"/>
      <c r="K462" s="145"/>
      <c r="L462" s="146"/>
      <c r="M462" s="136"/>
      <c r="N462" s="114"/>
      <c r="O462" s="136"/>
      <c r="P462" s="136"/>
      <c r="Q462" s="136"/>
      <c r="R462" s="136"/>
      <c r="S462" s="136"/>
      <c r="T462" s="136"/>
      <c r="U462" s="136"/>
      <c r="V462" s="136"/>
      <c r="W462" s="136"/>
      <c r="X462" s="136"/>
      <c r="Y462" s="136"/>
      <c r="Z462" s="136"/>
      <c r="AA462" s="136"/>
      <c r="AB462" s="102"/>
      <c r="AC462" s="102"/>
      <c r="AD462" s="103"/>
    </row>
    <row r="463" ht="15.75" customHeight="1">
      <c r="A463" s="147"/>
      <c r="B463" s="148"/>
      <c r="C463" s="133"/>
      <c r="D463" s="133"/>
      <c r="E463" s="133"/>
      <c r="F463" s="149"/>
      <c r="G463" s="148"/>
      <c r="H463" s="133"/>
      <c r="I463" s="133"/>
      <c r="J463" s="133"/>
      <c r="K463" s="150"/>
      <c r="L463" s="151"/>
      <c r="M463" s="133"/>
      <c r="N463" s="114"/>
      <c r="O463" s="133"/>
      <c r="P463" s="133"/>
      <c r="Q463" s="133"/>
      <c r="R463" s="133"/>
      <c r="S463" s="133"/>
      <c r="T463" s="133"/>
      <c r="U463" s="133"/>
      <c r="V463" s="133"/>
      <c r="W463" s="133"/>
      <c r="X463" s="133"/>
      <c r="Y463" s="133"/>
      <c r="Z463" s="133"/>
      <c r="AA463" s="133"/>
      <c r="AB463" s="102"/>
      <c r="AC463" s="102"/>
      <c r="AD463" s="103"/>
    </row>
    <row r="464" ht="15.75" customHeight="1">
      <c r="A464" s="142"/>
      <c r="B464" s="143"/>
      <c r="C464" s="136"/>
      <c r="D464" s="136"/>
      <c r="E464" s="136"/>
      <c r="F464" s="144"/>
      <c r="G464" s="143"/>
      <c r="H464" s="136"/>
      <c r="I464" s="136"/>
      <c r="J464" s="136"/>
      <c r="K464" s="145"/>
      <c r="L464" s="146"/>
      <c r="M464" s="136"/>
      <c r="N464" s="114"/>
      <c r="O464" s="136"/>
      <c r="P464" s="136"/>
      <c r="Q464" s="136"/>
      <c r="R464" s="136"/>
      <c r="S464" s="136"/>
      <c r="T464" s="136"/>
      <c r="U464" s="136"/>
      <c r="V464" s="136"/>
      <c r="W464" s="136"/>
      <c r="X464" s="136"/>
      <c r="Y464" s="136"/>
      <c r="Z464" s="136"/>
      <c r="AA464" s="136"/>
      <c r="AB464" s="102"/>
      <c r="AC464" s="102"/>
      <c r="AD464" s="103"/>
    </row>
    <row r="465" ht="15.75" customHeight="1">
      <c r="A465" s="147"/>
      <c r="B465" s="148"/>
      <c r="C465" s="133"/>
      <c r="D465" s="133"/>
      <c r="E465" s="133"/>
      <c r="F465" s="149"/>
      <c r="G465" s="148"/>
      <c r="H465" s="133"/>
      <c r="I465" s="133"/>
      <c r="J465" s="133"/>
      <c r="K465" s="150"/>
      <c r="L465" s="151"/>
      <c r="M465" s="133"/>
      <c r="N465" s="114"/>
      <c r="O465" s="133"/>
      <c r="P465" s="133"/>
      <c r="Q465" s="133"/>
      <c r="R465" s="133"/>
      <c r="S465" s="133"/>
      <c r="T465" s="133"/>
      <c r="U465" s="133"/>
      <c r="V465" s="133"/>
      <c r="W465" s="133"/>
      <c r="X465" s="133"/>
      <c r="Y465" s="133"/>
      <c r="Z465" s="133"/>
      <c r="AA465" s="133"/>
      <c r="AB465" s="102"/>
      <c r="AC465" s="102"/>
      <c r="AD465" s="103"/>
    </row>
    <row r="466" ht="15.75" customHeight="1">
      <c r="A466" s="142"/>
      <c r="B466" s="143"/>
      <c r="C466" s="136"/>
      <c r="D466" s="136"/>
      <c r="E466" s="136"/>
      <c r="F466" s="144"/>
      <c r="G466" s="143"/>
      <c r="H466" s="136"/>
      <c r="I466" s="136"/>
      <c r="J466" s="136"/>
      <c r="K466" s="145"/>
      <c r="L466" s="146"/>
      <c r="M466" s="136"/>
      <c r="N466" s="114"/>
      <c r="O466" s="136"/>
      <c r="P466" s="136"/>
      <c r="Q466" s="136"/>
      <c r="R466" s="136"/>
      <c r="S466" s="136"/>
      <c r="T466" s="136"/>
      <c r="U466" s="136"/>
      <c r="V466" s="136"/>
      <c r="W466" s="136"/>
      <c r="X466" s="136"/>
      <c r="Y466" s="136"/>
      <c r="Z466" s="136"/>
      <c r="AA466" s="136"/>
      <c r="AB466" s="102"/>
      <c r="AC466" s="102"/>
      <c r="AD466" s="103"/>
    </row>
    <row r="467" ht="15.75" customHeight="1">
      <c r="A467" s="147"/>
      <c r="B467" s="148"/>
      <c r="C467" s="133"/>
      <c r="D467" s="133"/>
      <c r="E467" s="133"/>
      <c r="F467" s="149"/>
      <c r="G467" s="148"/>
      <c r="H467" s="133"/>
      <c r="I467" s="133"/>
      <c r="J467" s="133"/>
      <c r="K467" s="150"/>
      <c r="L467" s="151"/>
      <c r="M467" s="133"/>
      <c r="N467" s="114"/>
      <c r="O467" s="133"/>
      <c r="P467" s="133"/>
      <c r="Q467" s="133"/>
      <c r="R467" s="133"/>
      <c r="S467" s="133"/>
      <c r="T467" s="133"/>
      <c r="U467" s="133"/>
      <c r="V467" s="133"/>
      <c r="W467" s="133"/>
      <c r="X467" s="133"/>
      <c r="Y467" s="133"/>
      <c r="Z467" s="133"/>
      <c r="AA467" s="133"/>
      <c r="AB467" s="102"/>
      <c r="AC467" s="102"/>
      <c r="AD467" s="103"/>
    </row>
    <row r="468" ht="15.75" customHeight="1">
      <c r="A468" s="142"/>
      <c r="B468" s="143"/>
      <c r="C468" s="136"/>
      <c r="D468" s="136"/>
      <c r="E468" s="136"/>
      <c r="F468" s="144"/>
      <c r="G468" s="143"/>
      <c r="H468" s="136"/>
      <c r="I468" s="136"/>
      <c r="J468" s="136"/>
      <c r="K468" s="145"/>
      <c r="L468" s="146"/>
      <c r="M468" s="136"/>
      <c r="N468" s="114"/>
      <c r="O468" s="136"/>
      <c r="P468" s="136"/>
      <c r="Q468" s="136"/>
      <c r="R468" s="136"/>
      <c r="S468" s="136"/>
      <c r="T468" s="136"/>
      <c r="U468" s="136"/>
      <c r="V468" s="136"/>
      <c r="W468" s="136"/>
      <c r="X468" s="136"/>
      <c r="Y468" s="136"/>
      <c r="Z468" s="136"/>
      <c r="AA468" s="136"/>
      <c r="AB468" s="102"/>
      <c r="AC468" s="102"/>
      <c r="AD468" s="103"/>
    </row>
    <row r="469" ht="15.75" customHeight="1">
      <c r="A469" s="147"/>
      <c r="B469" s="148"/>
      <c r="C469" s="133"/>
      <c r="D469" s="133"/>
      <c r="E469" s="133"/>
      <c r="F469" s="149"/>
      <c r="G469" s="148"/>
      <c r="H469" s="133"/>
      <c r="I469" s="133"/>
      <c r="J469" s="133"/>
      <c r="K469" s="150"/>
      <c r="L469" s="151"/>
      <c r="M469" s="133"/>
      <c r="N469" s="114"/>
      <c r="O469" s="133"/>
      <c r="P469" s="133"/>
      <c r="Q469" s="133"/>
      <c r="R469" s="133"/>
      <c r="S469" s="133"/>
      <c r="T469" s="133"/>
      <c r="U469" s="133"/>
      <c r="V469" s="133"/>
      <c r="W469" s="133"/>
      <c r="X469" s="133"/>
      <c r="Y469" s="133"/>
      <c r="Z469" s="133"/>
      <c r="AA469" s="133"/>
      <c r="AB469" s="102"/>
      <c r="AC469" s="102"/>
      <c r="AD469" s="103"/>
    </row>
    <row r="470" ht="15.75" customHeight="1">
      <c r="A470" s="142"/>
      <c r="B470" s="143"/>
      <c r="C470" s="136"/>
      <c r="D470" s="136"/>
      <c r="E470" s="136"/>
      <c r="F470" s="144"/>
      <c r="G470" s="143"/>
      <c r="H470" s="136"/>
      <c r="I470" s="136"/>
      <c r="J470" s="136"/>
      <c r="K470" s="145"/>
      <c r="L470" s="146"/>
      <c r="M470" s="136"/>
      <c r="N470" s="114"/>
      <c r="O470" s="136"/>
      <c r="P470" s="136"/>
      <c r="Q470" s="136"/>
      <c r="R470" s="136"/>
      <c r="S470" s="136"/>
      <c r="T470" s="136"/>
      <c r="U470" s="136"/>
      <c r="V470" s="136"/>
      <c r="W470" s="136"/>
      <c r="X470" s="136"/>
      <c r="Y470" s="136"/>
      <c r="Z470" s="136"/>
      <c r="AA470" s="136"/>
      <c r="AB470" s="102"/>
      <c r="AC470" s="102"/>
      <c r="AD470" s="103"/>
    </row>
    <row r="471" ht="15.75" customHeight="1">
      <c r="A471" s="147"/>
      <c r="B471" s="148"/>
      <c r="C471" s="133"/>
      <c r="D471" s="133"/>
      <c r="E471" s="133"/>
      <c r="F471" s="149"/>
      <c r="G471" s="148"/>
      <c r="H471" s="133"/>
      <c r="I471" s="133"/>
      <c r="J471" s="133"/>
      <c r="K471" s="150"/>
      <c r="L471" s="151"/>
      <c r="M471" s="133"/>
      <c r="N471" s="114"/>
      <c r="O471" s="133"/>
      <c r="P471" s="133"/>
      <c r="Q471" s="133"/>
      <c r="R471" s="133"/>
      <c r="S471" s="133"/>
      <c r="T471" s="133"/>
      <c r="U471" s="133"/>
      <c r="V471" s="133"/>
      <c r="W471" s="133"/>
      <c r="X471" s="133"/>
      <c r="Y471" s="133"/>
      <c r="Z471" s="133"/>
      <c r="AA471" s="133"/>
      <c r="AB471" s="102"/>
      <c r="AC471" s="102"/>
      <c r="AD471" s="103"/>
    </row>
    <row r="472" ht="15.75" customHeight="1">
      <c r="A472" s="142"/>
      <c r="B472" s="143"/>
      <c r="C472" s="136"/>
      <c r="D472" s="136"/>
      <c r="E472" s="136"/>
      <c r="F472" s="144"/>
      <c r="G472" s="143"/>
      <c r="H472" s="136"/>
      <c r="I472" s="136"/>
      <c r="J472" s="136"/>
      <c r="K472" s="145"/>
      <c r="L472" s="146"/>
      <c r="M472" s="136"/>
      <c r="N472" s="114"/>
      <c r="O472" s="136"/>
      <c r="P472" s="136"/>
      <c r="Q472" s="136"/>
      <c r="R472" s="136"/>
      <c r="S472" s="136"/>
      <c r="T472" s="136"/>
      <c r="U472" s="136"/>
      <c r="V472" s="136"/>
      <c r="W472" s="136"/>
      <c r="X472" s="136"/>
      <c r="Y472" s="136"/>
      <c r="Z472" s="136"/>
      <c r="AA472" s="136"/>
      <c r="AB472" s="102"/>
      <c r="AC472" s="102"/>
      <c r="AD472" s="103"/>
    </row>
    <row r="473" ht="15.75" customHeight="1">
      <c r="A473" s="147"/>
      <c r="B473" s="148"/>
      <c r="C473" s="133"/>
      <c r="D473" s="133"/>
      <c r="E473" s="133"/>
      <c r="F473" s="149"/>
      <c r="G473" s="148"/>
      <c r="H473" s="133"/>
      <c r="I473" s="133"/>
      <c r="J473" s="133"/>
      <c r="K473" s="150"/>
      <c r="L473" s="151"/>
      <c r="M473" s="133"/>
      <c r="N473" s="114"/>
      <c r="O473" s="133"/>
      <c r="P473" s="133"/>
      <c r="Q473" s="133"/>
      <c r="R473" s="133"/>
      <c r="S473" s="133"/>
      <c r="T473" s="133"/>
      <c r="U473" s="133"/>
      <c r="V473" s="133"/>
      <c r="W473" s="133"/>
      <c r="X473" s="133"/>
      <c r="Y473" s="133"/>
      <c r="Z473" s="133"/>
      <c r="AA473" s="133"/>
      <c r="AB473" s="102"/>
      <c r="AC473" s="102"/>
      <c r="AD473" s="103"/>
    </row>
    <row r="474" ht="15.75" customHeight="1">
      <c r="A474" s="142"/>
      <c r="B474" s="143"/>
      <c r="C474" s="136"/>
      <c r="D474" s="136"/>
      <c r="E474" s="136"/>
      <c r="F474" s="144"/>
      <c r="G474" s="143"/>
      <c r="H474" s="136"/>
      <c r="I474" s="136"/>
      <c r="J474" s="136"/>
      <c r="K474" s="145"/>
      <c r="L474" s="146"/>
      <c r="M474" s="136"/>
      <c r="N474" s="114"/>
      <c r="O474" s="136"/>
      <c r="P474" s="136"/>
      <c r="Q474" s="136"/>
      <c r="R474" s="136"/>
      <c r="S474" s="136"/>
      <c r="T474" s="136"/>
      <c r="U474" s="136"/>
      <c r="V474" s="136"/>
      <c r="W474" s="136"/>
      <c r="X474" s="136"/>
      <c r="Y474" s="136"/>
      <c r="Z474" s="136"/>
      <c r="AA474" s="136"/>
      <c r="AB474" s="102"/>
      <c r="AC474" s="102"/>
      <c r="AD474" s="103"/>
    </row>
    <row r="475" ht="15.75" customHeight="1">
      <c r="A475" s="147"/>
      <c r="B475" s="148"/>
      <c r="C475" s="133"/>
      <c r="D475" s="133"/>
      <c r="E475" s="133"/>
      <c r="F475" s="149"/>
      <c r="G475" s="148"/>
      <c r="H475" s="133"/>
      <c r="I475" s="133"/>
      <c r="J475" s="133"/>
      <c r="K475" s="150"/>
      <c r="L475" s="151"/>
      <c r="M475" s="133"/>
      <c r="N475" s="114"/>
      <c r="O475" s="133"/>
      <c r="P475" s="133"/>
      <c r="Q475" s="133"/>
      <c r="R475" s="133"/>
      <c r="S475" s="133"/>
      <c r="T475" s="133"/>
      <c r="U475" s="133"/>
      <c r="V475" s="133"/>
      <c r="W475" s="133"/>
      <c r="X475" s="133"/>
      <c r="Y475" s="133"/>
      <c r="Z475" s="133"/>
      <c r="AA475" s="133"/>
      <c r="AB475" s="102"/>
      <c r="AC475" s="102"/>
      <c r="AD475" s="103"/>
    </row>
    <row r="476" ht="15.75" customHeight="1">
      <c r="A476" s="142"/>
      <c r="B476" s="143"/>
      <c r="C476" s="136"/>
      <c r="D476" s="136"/>
      <c r="E476" s="136"/>
      <c r="F476" s="144"/>
      <c r="G476" s="143"/>
      <c r="H476" s="136"/>
      <c r="I476" s="136"/>
      <c r="J476" s="136"/>
      <c r="K476" s="145"/>
      <c r="L476" s="146"/>
      <c r="M476" s="136"/>
      <c r="N476" s="114"/>
      <c r="O476" s="136"/>
      <c r="P476" s="136"/>
      <c r="Q476" s="136"/>
      <c r="R476" s="136"/>
      <c r="S476" s="136"/>
      <c r="T476" s="136"/>
      <c r="U476" s="136"/>
      <c r="V476" s="136"/>
      <c r="W476" s="136"/>
      <c r="X476" s="136"/>
      <c r="Y476" s="136"/>
      <c r="Z476" s="136"/>
      <c r="AA476" s="136"/>
      <c r="AB476" s="102"/>
      <c r="AC476" s="102"/>
      <c r="AD476" s="103"/>
    </row>
    <row r="477" ht="15.75" customHeight="1">
      <c r="A477" s="147"/>
      <c r="B477" s="148"/>
      <c r="C477" s="133"/>
      <c r="D477" s="133"/>
      <c r="E477" s="133"/>
      <c r="F477" s="149"/>
      <c r="G477" s="148"/>
      <c r="H477" s="133"/>
      <c r="I477" s="133"/>
      <c r="J477" s="133"/>
      <c r="K477" s="150"/>
      <c r="L477" s="151"/>
      <c r="M477" s="133"/>
      <c r="N477" s="114"/>
      <c r="O477" s="133"/>
      <c r="P477" s="133"/>
      <c r="Q477" s="133"/>
      <c r="R477" s="133"/>
      <c r="S477" s="133"/>
      <c r="T477" s="133"/>
      <c r="U477" s="133"/>
      <c r="V477" s="133"/>
      <c r="W477" s="133"/>
      <c r="X477" s="133"/>
      <c r="Y477" s="133"/>
      <c r="Z477" s="133"/>
      <c r="AA477" s="133"/>
      <c r="AB477" s="102"/>
      <c r="AC477" s="102"/>
      <c r="AD477" s="103"/>
    </row>
    <row r="478" ht="15.75" customHeight="1">
      <c r="A478" s="142"/>
      <c r="B478" s="143"/>
      <c r="C478" s="136"/>
      <c r="D478" s="136"/>
      <c r="E478" s="136"/>
      <c r="F478" s="144"/>
      <c r="G478" s="143"/>
      <c r="H478" s="136"/>
      <c r="I478" s="136"/>
      <c r="J478" s="136"/>
      <c r="K478" s="145"/>
      <c r="L478" s="146"/>
      <c r="M478" s="136"/>
      <c r="N478" s="114"/>
      <c r="O478" s="136"/>
      <c r="P478" s="136"/>
      <c r="Q478" s="136"/>
      <c r="R478" s="136"/>
      <c r="S478" s="136"/>
      <c r="T478" s="136"/>
      <c r="U478" s="136"/>
      <c r="V478" s="136"/>
      <c r="W478" s="136"/>
      <c r="X478" s="136"/>
      <c r="Y478" s="136"/>
      <c r="Z478" s="136"/>
      <c r="AA478" s="136"/>
      <c r="AB478" s="102"/>
      <c r="AC478" s="102"/>
      <c r="AD478" s="103"/>
    </row>
    <row r="479" ht="15.75" customHeight="1">
      <c r="A479" s="147"/>
      <c r="B479" s="148"/>
      <c r="C479" s="133"/>
      <c r="D479" s="133"/>
      <c r="E479" s="133"/>
      <c r="F479" s="149"/>
      <c r="G479" s="148"/>
      <c r="H479" s="133"/>
      <c r="I479" s="133"/>
      <c r="J479" s="133"/>
      <c r="K479" s="150"/>
      <c r="L479" s="151"/>
      <c r="M479" s="133"/>
      <c r="N479" s="114"/>
      <c r="O479" s="133"/>
      <c r="P479" s="133"/>
      <c r="Q479" s="133"/>
      <c r="R479" s="133"/>
      <c r="S479" s="133"/>
      <c r="T479" s="133"/>
      <c r="U479" s="133"/>
      <c r="V479" s="133"/>
      <c r="W479" s="133"/>
      <c r="X479" s="133"/>
      <c r="Y479" s="133"/>
      <c r="Z479" s="133"/>
      <c r="AA479" s="133"/>
      <c r="AB479" s="102"/>
      <c r="AC479" s="102"/>
      <c r="AD479" s="103"/>
    </row>
    <row r="480" ht="15.75" customHeight="1">
      <c r="A480" s="142"/>
      <c r="B480" s="143"/>
      <c r="C480" s="136"/>
      <c r="D480" s="136"/>
      <c r="E480" s="136"/>
      <c r="F480" s="144"/>
      <c r="G480" s="143"/>
      <c r="H480" s="136"/>
      <c r="I480" s="136"/>
      <c r="J480" s="136"/>
      <c r="K480" s="145"/>
      <c r="L480" s="146"/>
      <c r="M480" s="136"/>
      <c r="N480" s="114"/>
      <c r="O480" s="136"/>
      <c r="P480" s="136"/>
      <c r="Q480" s="136"/>
      <c r="R480" s="136"/>
      <c r="S480" s="136"/>
      <c r="T480" s="136"/>
      <c r="U480" s="136"/>
      <c r="V480" s="136"/>
      <c r="W480" s="136"/>
      <c r="X480" s="136"/>
      <c r="Y480" s="136"/>
      <c r="Z480" s="136"/>
      <c r="AA480" s="136"/>
      <c r="AB480" s="102"/>
      <c r="AC480" s="102"/>
      <c r="AD480" s="103"/>
    </row>
    <row r="481" ht="15.75" customHeight="1">
      <c r="A481" s="147"/>
      <c r="B481" s="148"/>
      <c r="C481" s="133"/>
      <c r="D481" s="133"/>
      <c r="E481" s="133"/>
      <c r="F481" s="149"/>
      <c r="G481" s="148"/>
      <c r="H481" s="133"/>
      <c r="I481" s="133"/>
      <c r="J481" s="133"/>
      <c r="K481" s="150"/>
      <c r="L481" s="151"/>
      <c r="M481" s="133"/>
      <c r="N481" s="114"/>
      <c r="O481" s="133"/>
      <c r="P481" s="133"/>
      <c r="Q481" s="133"/>
      <c r="R481" s="133"/>
      <c r="S481" s="133"/>
      <c r="T481" s="133"/>
      <c r="U481" s="133"/>
      <c r="V481" s="133"/>
      <c r="W481" s="133"/>
      <c r="X481" s="133"/>
      <c r="Y481" s="133"/>
      <c r="Z481" s="133"/>
      <c r="AA481" s="133"/>
      <c r="AB481" s="102"/>
      <c r="AC481" s="102"/>
      <c r="AD481" s="103"/>
    </row>
    <row r="482" ht="15.75" customHeight="1">
      <c r="A482" s="142"/>
      <c r="B482" s="143"/>
      <c r="C482" s="136"/>
      <c r="D482" s="136"/>
      <c r="E482" s="136"/>
      <c r="F482" s="144"/>
      <c r="G482" s="143"/>
      <c r="H482" s="136"/>
      <c r="I482" s="136"/>
      <c r="J482" s="136"/>
      <c r="K482" s="145"/>
      <c r="L482" s="146"/>
      <c r="M482" s="136"/>
      <c r="N482" s="114"/>
      <c r="O482" s="136"/>
      <c r="P482" s="136"/>
      <c r="Q482" s="136"/>
      <c r="R482" s="136"/>
      <c r="S482" s="136"/>
      <c r="T482" s="136"/>
      <c r="U482" s="136"/>
      <c r="V482" s="136"/>
      <c r="W482" s="136"/>
      <c r="X482" s="136"/>
      <c r="Y482" s="136"/>
      <c r="Z482" s="136"/>
      <c r="AA482" s="136"/>
      <c r="AB482" s="102"/>
      <c r="AC482" s="102"/>
      <c r="AD482" s="103"/>
    </row>
    <row r="483" ht="15.75" customHeight="1">
      <c r="A483" s="147"/>
      <c r="B483" s="148"/>
      <c r="C483" s="133"/>
      <c r="D483" s="133"/>
      <c r="E483" s="133"/>
      <c r="F483" s="149"/>
      <c r="G483" s="148"/>
      <c r="H483" s="133"/>
      <c r="I483" s="133"/>
      <c r="J483" s="133"/>
      <c r="K483" s="150"/>
      <c r="L483" s="151"/>
      <c r="M483" s="133"/>
      <c r="N483" s="114"/>
      <c r="O483" s="133"/>
      <c r="P483" s="133"/>
      <c r="Q483" s="133"/>
      <c r="R483" s="133"/>
      <c r="S483" s="133"/>
      <c r="T483" s="133"/>
      <c r="U483" s="133"/>
      <c r="V483" s="133"/>
      <c r="W483" s="133"/>
      <c r="X483" s="133"/>
      <c r="Y483" s="133"/>
      <c r="Z483" s="133"/>
      <c r="AA483" s="133"/>
      <c r="AB483" s="102"/>
      <c r="AC483" s="102"/>
      <c r="AD483" s="103"/>
    </row>
    <row r="484" ht="15.75" customHeight="1">
      <c r="A484" s="142"/>
      <c r="B484" s="143"/>
      <c r="C484" s="136"/>
      <c r="D484" s="136"/>
      <c r="E484" s="136"/>
      <c r="F484" s="144"/>
      <c r="G484" s="143"/>
      <c r="H484" s="136"/>
      <c r="I484" s="136"/>
      <c r="J484" s="136"/>
      <c r="K484" s="145"/>
      <c r="L484" s="146"/>
      <c r="M484" s="136"/>
      <c r="N484" s="114"/>
      <c r="O484" s="136"/>
      <c r="P484" s="136"/>
      <c r="Q484" s="136"/>
      <c r="R484" s="136"/>
      <c r="S484" s="136"/>
      <c r="T484" s="136"/>
      <c r="U484" s="136"/>
      <c r="V484" s="136"/>
      <c r="W484" s="136"/>
      <c r="X484" s="136"/>
      <c r="Y484" s="136"/>
      <c r="Z484" s="136"/>
      <c r="AA484" s="136"/>
      <c r="AB484" s="102"/>
      <c r="AC484" s="102"/>
      <c r="AD484" s="103"/>
    </row>
    <row r="485" ht="15.75" customHeight="1">
      <c r="A485" s="147"/>
      <c r="B485" s="148"/>
      <c r="C485" s="133"/>
      <c r="D485" s="133"/>
      <c r="E485" s="133"/>
      <c r="F485" s="149"/>
      <c r="G485" s="148"/>
      <c r="H485" s="133"/>
      <c r="I485" s="133"/>
      <c r="J485" s="133"/>
      <c r="K485" s="150"/>
      <c r="L485" s="151"/>
      <c r="M485" s="133"/>
      <c r="N485" s="114"/>
      <c r="O485" s="133"/>
      <c r="P485" s="133"/>
      <c r="Q485" s="133"/>
      <c r="R485" s="133"/>
      <c r="S485" s="133"/>
      <c r="T485" s="133"/>
      <c r="U485" s="133"/>
      <c r="V485" s="133"/>
      <c r="W485" s="133"/>
      <c r="X485" s="133"/>
      <c r="Y485" s="133"/>
      <c r="Z485" s="133"/>
      <c r="AA485" s="133"/>
      <c r="AB485" s="102"/>
      <c r="AC485" s="102"/>
      <c r="AD485" s="103"/>
    </row>
    <row r="486" ht="15.75" customHeight="1">
      <c r="A486" s="142"/>
      <c r="B486" s="143"/>
      <c r="C486" s="136"/>
      <c r="D486" s="136"/>
      <c r="E486" s="136"/>
      <c r="F486" s="144"/>
      <c r="G486" s="143"/>
      <c r="H486" s="136"/>
      <c r="I486" s="136"/>
      <c r="J486" s="136"/>
      <c r="K486" s="145"/>
      <c r="L486" s="146"/>
      <c r="M486" s="136"/>
      <c r="N486" s="114"/>
      <c r="O486" s="136"/>
      <c r="P486" s="136"/>
      <c r="Q486" s="136"/>
      <c r="R486" s="136"/>
      <c r="S486" s="136"/>
      <c r="T486" s="136"/>
      <c r="U486" s="136"/>
      <c r="V486" s="136"/>
      <c r="W486" s="136"/>
      <c r="X486" s="136"/>
      <c r="Y486" s="136"/>
      <c r="Z486" s="136"/>
      <c r="AA486" s="136"/>
      <c r="AB486" s="102"/>
      <c r="AC486" s="102"/>
      <c r="AD486" s="103"/>
    </row>
    <row r="487" ht="15.75" customHeight="1">
      <c r="A487" s="147"/>
      <c r="B487" s="148"/>
      <c r="C487" s="133"/>
      <c r="D487" s="133"/>
      <c r="E487" s="133"/>
      <c r="F487" s="149"/>
      <c r="G487" s="148"/>
      <c r="H487" s="133"/>
      <c r="I487" s="133"/>
      <c r="J487" s="133"/>
      <c r="K487" s="150"/>
      <c r="L487" s="151"/>
      <c r="M487" s="133"/>
      <c r="N487" s="114"/>
      <c r="O487" s="133"/>
      <c r="P487" s="133"/>
      <c r="Q487" s="133"/>
      <c r="R487" s="133"/>
      <c r="S487" s="133"/>
      <c r="T487" s="133"/>
      <c r="U487" s="133"/>
      <c r="V487" s="133"/>
      <c r="W487" s="133"/>
      <c r="X487" s="133"/>
      <c r="Y487" s="133"/>
      <c r="Z487" s="133"/>
      <c r="AA487" s="133"/>
      <c r="AB487" s="102"/>
      <c r="AC487" s="102"/>
      <c r="AD487" s="103"/>
    </row>
    <row r="488" ht="15.75" customHeight="1">
      <c r="A488" s="142"/>
      <c r="B488" s="143"/>
      <c r="C488" s="136"/>
      <c r="D488" s="136"/>
      <c r="E488" s="136"/>
      <c r="F488" s="144"/>
      <c r="G488" s="143"/>
      <c r="H488" s="136"/>
      <c r="I488" s="136"/>
      <c r="J488" s="136"/>
      <c r="K488" s="145"/>
      <c r="L488" s="146"/>
      <c r="M488" s="136"/>
      <c r="N488" s="114"/>
      <c r="O488" s="136"/>
      <c r="P488" s="136"/>
      <c r="Q488" s="136"/>
      <c r="R488" s="136"/>
      <c r="S488" s="136"/>
      <c r="T488" s="136"/>
      <c r="U488" s="136"/>
      <c r="V488" s="136"/>
      <c r="W488" s="136"/>
      <c r="X488" s="136"/>
      <c r="Y488" s="136"/>
      <c r="Z488" s="136"/>
      <c r="AA488" s="136"/>
      <c r="AB488" s="102"/>
      <c r="AC488" s="102"/>
      <c r="AD488" s="103"/>
    </row>
    <row r="489" ht="15.75" customHeight="1">
      <c r="A489" s="147"/>
      <c r="B489" s="148"/>
      <c r="C489" s="133"/>
      <c r="D489" s="133"/>
      <c r="E489" s="133"/>
      <c r="F489" s="149"/>
      <c r="G489" s="148"/>
      <c r="H489" s="133"/>
      <c r="I489" s="133"/>
      <c r="J489" s="133"/>
      <c r="K489" s="150"/>
      <c r="L489" s="151"/>
      <c r="M489" s="133"/>
      <c r="N489" s="114"/>
      <c r="O489" s="133"/>
      <c r="P489" s="133"/>
      <c r="Q489" s="133"/>
      <c r="R489" s="133"/>
      <c r="S489" s="133"/>
      <c r="T489" s="133"/>
      <c r="U489" s="133"/>
      <c r="V489" s="133"/>
      <c r="W489" s="133"/>
      <c r="X489" s="133"/>
      <c r="Y489" s="133"/>
      <c r="Z489" s="133"/>
      <c r="AA489" s="133"/>
      <c r="AB489" s="102"/>
      <c r="AC489" s="102"/>
      <c r="AD489" s="103"/>
    </row>
    <row r="490" ht="15.75" customHeight="1">
      <c r="A490" s="142"/>
      <c r="B490" s="143"/>
      <c r="C490" s="136"/>
      <c r="D490" s="136"/>
      <c r="E490" s="136"/>
      <c r="F490" s="144"/>
      <c r="G490" s="143"/>
      <c r="H490" s="136"/>
      <c r="I490" s="136"/>
      <c r="J490" s="136"/>
      <c r="K490" s="145"/>
      <c r="L490" s="146"/>
      <c r="M490" s="136"/>
      <c r="N490" s="114"/>
      <c r="O490" s="136"/>
      <c r="P490" s="136"/>
      <c r="Q490" s="136"/>
      <c r="R490" s="136"/>
      <c r="S490" s="136"/>
      <c r="T490" s="136"/>
      <c r="U490" s="136"/>
      <c r="V490" s="136"/>
      <c r="W490" s="136"/>
      <c r="X490" s="136"/>
      <c r="Y490" s="136"/>
      <c r="Z490" s="136"/>
      <c r="AA490" s="136"/>
      <c r="AB490" s="102"/>
      <c r="AC490" s="102"/>
      <c r="AD490" s="103"/>
    </row>
    <row r="491" ht="15.75" customHeight="1">
      <c r="A491" s="147"/>
      <c r="B491" s="148"/>
      <c r="C491" s="133"/>
      <c r="D491" s="133"/>
      <c r="E491" s="133"/>
      <c r="F491" s="149"/>
      <c r="G491" s="148"/>
      <c r="H491" s="133"/>
      <c r="I491" s="133"/>
      <c r="J491" s="133"/>
      <c r="K491" s="150"/>
      <c r="L491" s="151"/>
      <c r="M491" s="133"/>
      <c r="N491" s="114"/>
      <c r="O491" s="133"/>
      <c r="P491" s="133"/>
      <c r="Q491" s="133"/>
      <c r="R491" s="133"/>
      <c r="S491" s="133"/>
      <c r="T491" s="133"/>
      <c r="U491" s="133"/>
      <c r="V491" s="133"/>
      <c r="W491" s="133"/>
      <c r="X491" s="133"/>
      <c r="Y491" s="133"/>
      <c r="Z491" s="133"/>
      <c r="AA491" s="133"/>
      <c r="AB491" s="102"/>
      <c r="AC491" s="102"/>
      <c r="AD491" s="103"/>
    </row>
    <row r="492" ht="15.75" customHeight="1">
      <c r="A492" s="142"/>
      <c r="B492" s="143"/>
      <c r="C492" s="136"/>
      <c r="D492" s="136"/>
      <c r="E492" s="136"/>
      <c r="F492" s="144"/>
      <c r="G492" s="143"/>
      <c r="H492" s="136"/>
      <c r="I492" s="136"/>
      <c r="J492" s="136"/>
      <c r="K492" s="145"/>
      <c r="L492" s="146"/>
      <c r="M492" s="136"/>
      <c r="N492" s="114"/>
      <c r="O492" s="136"/>
      <c r="P492" s="136"/>
      <c r="Q492" s="136"/>
      <c r="R492" s="136"/>
      <c r="S492" s="136"/>
      <c r="T492" s="136"/>
      <c r="U492" s="136"/>
      <c r="V492" s="136"/>
      <c r="W492" s="136"/>
      <c r="X492" s="136"/>
      <c r="Y492" s="136"/>
      <c r="Z492" s="136"/>
      <c r="AA492" s="136"/>
      <c r="AB492" s="102"/>
      <c r="AC492" s="102"/>
      <c r="AD492" s="103"/>
    </row>
    <row r="493" ht="15.75" customHeight="1">
      <c r="A493" s="147"/>
      <c r="B493" s="148"/>
      <c r="C493" s="133"/>
      <c r="D493" s="133"/>
      <c r="E493" s="148"/>
      <c r="F493" s="148"/>
      <c r="G493" s="148"/>
      <c r="H493" s="148"/>
      <c r="I493" s="148"/>
      <c r="J493" s="148"/>
      <c r="K493" s="150"/>
      <c r="L493" s="151"/>
      <c r="M493" s="133"/>
      <c r="N493" s="114"/>
      <c r="O493" s="133"/>
      <c r="P493" s="133"/>
      <c r="Q493" s="133"/>
      <c r="R493" s="133"/>
      <c r="S493" s="133"/>
      <c r="T493" s="133"/>
      <c r="U493" s="133"/>
      <c r="V493" s="133"/>
      <c r="W493" s="133"/>
      <c r="X493" s="133"/>
      <c r="Y493" s="133"/>
      <c r="Z493" s="133"/>
      <c r="AA493" s="133"/>
      <c r="AB493" s="102"/>
      <c r="AC493" s="102"/>
      <c r="AD493" s="103"/>
    </row>
    <row r="494" ht="15.75" customHeight="1">
      <c r="A494" s="142"/>
      <c r="B494" s="143"/>
      <c r="C494" s="136"/>
      <c r="D494" s="136"/>
      <c r="E494" s="143"/>
      <c r="F494" s="143"/>
      <c r="G494" s="143"/>
      <c r="H494" s="143"/>
      <c r="I494" s="143"/>
      <c r="J494" s="143"/>
      <c r="K494" s="145"/>
      <c r="L494" s="146"/>
      <c r="M494" s="136"/>
      <c r="N494" s="114"/>
      <c r="O494" s="136"/>
      <c r="P494" s="136"/>
      <c r="Q494" s="136"/>
      <c r="R494" s="136"/>
      <c r="S494" s="136"/>
      <c r="T494" s="136"/>
      <c r="U494" s="136"/>
      <c r="V494" s="136"/>
      <c r="W494" s="136"/>
      <c r="X494" s="136"/>
      <c r="Y494" s="136"/>
      <c r="Z494" s="136"/>
      <c r="AA494" s="136"/>
      <c r="AB494" s="102"/>
      <c r="AC494" s="102"/>
      <c r="AD494" s="103"/>
    </row>
    <row r="495" ht="15.75" customHeight="1">
      <c r="A495" s="147"/>
      <c r="B495" s="148"/>
      <c r="C495" s="133"/>
      <c r="D495" s="133"/>
      <c r="E495" s="148"/>
      <c r="F495" s="148"/>
      <c r="G495" s="148"/>
      <c r="H495" s="148"/>
      <c r="I495" s="148"/>
      <c r="J495" s="148"/>
      <c r="K495" s="150"/>
      <c r="L495" s="151"/>
      <c r="M495" s="133"/>
      <c r="N495" s="114"/>
      <c r="O495" s="133"/>
      <c r="P495" s="133"/>
      <c r="Q495" s="133"/>
      <c r="R495" s="133"/>
      <c r="S495" s="133"/>
      <c r="T495" s="133"/>
      <c r="U495" s="133"/>
      <c r="V495" s="133"/>
      <c r="W495" s="133"/>
      <c r="X495" s="133"/>
      <c r="Y495" s="133"/>
      <c r="Z495" s="133"/>
      <c r="AA495" s="133"/>
      <c r="AB495" s="102"/>
      <c r="AC495" s="102"/>
      <c r="AD495" s="103"/>
    </row>
    <row r="496" ht="15.75" customHeight="1">
      <c r="A496" s="142"/>
      <c r="B496" s="143"/>
      <c r="C496" s="136"/>
      <c r="D496" s="136"/>
      <c r="E496" s="143"/>
      <c r="F496" s="143"/>
      <c r="G496" s="143"/>
      <c r="H496" s="143"/>
      <c r="I496" s="143"/>
      <c r="J496" s="143"/>
      <c r="K496" s="145"/>
      <c r="L496" s="146"/>
      <c r="M496" s="136"/>
      <c r="N496" s="114"/>
      <c r="O496" s="136"/>
      <c r="P496" s="136"/>
      <c r="Q496" s="136"/>
      <c r="R496" s="136"/>
      <c r="S496" s="136"/>
      <c r="T496" s="136"/>
      <c r="U496" s="136"/>
      <c r="V496" s="136"/>
      <c r="W496" s="136"/>
      <c r="X496" s="136"/>
      <c r="Y496" s="136"/>
      <c r="Z496" s="136"/>
      <c r="AA496" s="136"/>
      <c r="AB496" s="102"/>
      <c r="AC496" s="102"/>
      <c r="AD496" s="103"/>
    </row>
    <row r="497" ht="15.75" customHeight="1">
      <c r="A497" s="147"/>
      <c r="B497" s="148"/>
      <c r="C497" s="133"/>
      <c r="D497" s="133"/>
      <c r="E497" s="148"/>
      <c r="F497" s="148"/>
      <c r="G497" s="148"/>
      <c r="H497" s="148"/>
      <c r="I497" s="148"/>
      <c r="J497" s="148"/>
      <c r="K497" s="150"/>
      <c r="L497" s="151"/>
      <c r="M497" s="133"/>
      <c r="N497" s="114"/>
      <c r="O497" s="133"/>
      <c r="P497" s="133"/>
      <c r="Q497" s="133"/>
      <c r="R497" s="133"/>
      <c r="S497" s="133"/>
      <c r="T497" s="133"/>
      <c r="U497" s="133"/>
      <c r="V497" s="133"/>
      <c r="W497" s="133"/>
      <c r="X497" s="133"/>
      <c r="Y497" s="133"/>
      <c r="Z497" s="133"/>
      <c r="AA497" s="133"/>
      <c r="AB497" s="102"/>
      <c r="AC497" s="102"/>
      <c r="AD497" s="103"/>
    </row>
    <row r="498" ht="15.75" customHeight="1">
      <c r="A498" s="142"/>
      <c r="B498" s="143"/>
      <c r="C498" s="136"/>
      <c r="D498" s="136"/>
      <c r="E498" s="143"/>
      <c r="F498" s="143"/>
      <c r="G498" s="143"/>
      <c r="H498" s="143"/>
      <c r="I498" s="143"/>
      <c r="J498" s="143"/>
      <c r="K498" s="145"/>
      <c r="L498" s="146"/>
      <c r="M498" s="136"/>
      <c r="N498" s="114"/>
      <c r="O498" s="136"/>
      <c r="P498" s="136"/>
      <c r="Q498" s="136"/>
      <c r="R498" s="136"/>
      <c r="S498" s="136"/>
      <c r="T498" s="136"/>
      <c r="U498" s="136"/>
      <c r="V498" s="136"/>
      <c r="W498" s="136"/>
      <c r="X498" s="136"/>
      <c r="Y498" s="136"/>
      <c r="Z498" s="136"/>
      <c r="AA498" s="136"/>
      <c r="AB498" s="102"/>
      <c r="AC498" s="102"/>
      <c r="AD498" s="103"/>
    </row>
    <row r="499" ht="15.75" customHeight="1">
      <c r="A499" s="147"/>
      <c r="B499" s="148"/>
      <c r="C499" s="133"/>
      <c r="D499" s="133"/>
      <c r="E499" s="148"/>
      <c r="F499" s="148"/>
      <c r="G499" s="148"/>
      <c r="H499" s="148"/>
      <c r="I499" s="148"/>
      <c r="J499" s="148"/>
      <c r="K499" s="150"/>
      <c r="L499" s="151"/>
      <c r="M499" s="133"/>
      <c r="N499" s="114"/>
      <c r="O499" s="133"/>
      <c r="P499" s="133"/>
      <c r="Q499" s="133"/>
      <c r="R499" s="133"/>
      <c r="S499" s="133"/>
      <c r="T499" s="133"/>
      <c r="U499" s="133"/>
      <c r="V499" s="133"/>
      <c r="W499" s="133"/>
      <c r="X499" s="133"/>
      <c r="Y499" s="133"/>
      <c r="Z499" s="133"/>
      <c r="AA499" s="133"/>
      <c r="AB499" s="102"/>
      <c r="AC499" s="102"/>
      <c r="AD499" s="103"/>
    </row>
    <row r="500" ht="15.75" customHeight="1">
      <c r="A500" s="142"/>
      <c r="B500" s="143"/>
      <c r="C500" s="136"/>
      <c r="D500" s="136"/>
      <c r="E500" s="143"/>
      <c r="F500" s="143"/>
      <c r="G500" s="143"/>
      <c r="H500" s="143"/>
      <c r="I500" s="143"/>
      <c r="J500" s="143"/>
      <c r="K500" s="145"/>
      <c r="L500" s="146"/>
      <c r="M500" s="136"/>
      <c r="N500" s="114"/>
      <c r="O500" s="136"/>
      <c r="P500" s="136"/>
      <c r="Q500" s="136"/>
      <c r="R500" s="136"/>
      <c r="S500" s="136"/>
      <c r="T500" s="136"/>
      <c r="U500" s="136"/>
      <c r="V500" s="136"/>
      <c r="W500" s="136"/>
      <c r="X500" s="136"/>
      <c r="Y500" s="136"/>
      <c r="Z500" s="136"/>
      <c r="AA500" s="136"/>
      <c r="AB500" s="102"/>
      <c r="AC500" s="102"/>
      <c r="AD500" s="103"/>
    </row>
    <row r="501" ht="15.75" customHeight="1">
      <c r="A501" s="147"/>
      <c r="B501" s="148"/>
      <c r="C501" s="133"/>
      <c r="D501" s="133"/>
      <c r="E501" s="148"/>
      <c r="F501" s="148"/>
      <c r="G501" s="148"/>
      <c r="H501" s="148"/>
      <c r="I501" s="148"/>
      <c r="J501" s="148"/>
      <c r="K501" s="150"/>
      <c r="L501" s="151"/>
      <c r="M501" s="133"/>
      <c r="N501" s="114"/>
      <c r="O501" s="133"/>
      <c r="P501" s="133"/>
      <c r="Q501" s="133"/>
      <c r="R501" s="133"/>
      <c r="S501" s="133"/>
      <c r="T501" s="133"/>
      <c r="U501" s="133"/>
      <c r="V501" s="133"/>
      <c r="W501" s="133"/>
      <c r="X501" s="133"/>
      <c r="Y501" s="133"/>
      <c r="Z501" s="133"/>
      <c r="AA501" s="133"/>
      <c r="AB501" s="102"/>
      <c r="AC501" s="102"/>
      <c r="AD501" s="103"/>
    </row>
    <row r="502" ht="15.75" customHeight="1">
      <c r="A502" s="142"/>
      <c r="B502" s="143"/>
      <c r="C502" s="136"/>
      <c r="D502" s="136"/>
      <c r="E502" s="143"/>
      <c r="F502" s="143"/>
      <c r="G502" s="143"/>
      <c r="H502" s="143"/>
      <c r="I502" s="143"/>
      <c r="J502" s="143"/>
      <c r="K502" s="145"/>
      <c r="L502" s="146"/>
      <c r="M502" s="136"/>
      <c r="N502" s="114"/>
      <c r="O502" s="136"/>
      <c r="P502" s="136"/>
      <c r="Q502" s="136"/>
      <c r="R502" s="136"/>
      <c r="S502" s="136"/>
      <c r="T502" s="136"/>
      <c r="U502" s="136"/>
      <c r="V502" s="136"/>
      <c r="W502" s="136"/>
      <c r="X502" s="136"/>
      <c r="Y502" s="136"/>
      <c r="Z502" s="136"/>
      <c r="AA502" s="136"/>
      <c r="AB502" s="102"/>
      <c r="AC502" s="102"/>
      <c r="AD502" s="103"/>
    </row>
    <row r="503" ht="15.75" customHeight="1">
      <c r="A503" s="147"/>
      <c r="B503" s="148"/>
      <c r="C503" s="133"/>
      <c r="D503" s="133"/>
      <c r="E503" s="148"/>
      <c r="F503" s="148"/>
      <c r="G503" s="148"/>
      <c r="H503" s="148"/>
      <c r="I503" s="148"/>
      <c r="J503" s="148"/>
      <c r="K503" s="150"/>
      <c r="L503" s="151"/>
      <c r="M503" s="133"/>
      <c r="N503" s="114"/>
      <c r="O503" s="133"/>
      <c r="P503" s="133"/>
      <c r="Q503" s="133"/>
      <c r="R503" s="133"/>
      <c r="S503" s="133"/>
      <c r="T503" s="133"/>
      <c r="U503" s="133"/>
      <c r="V503" s="133"/>
      <c r="W503" s="133"/>
      <c r="X503" s="133"/>
      <c r="Y503" s="133"/>
      <c r="Z503" s="133"/>
      <c r="AA503" s="133"/>
      <c r="AB503" s="102"/>
      <c r="AC503" s="102"/>
      <c r="AD503" s="103"/>
    </row>
    <row r="504" ht="15.75" customHeight="1">
      <c r="A504" s="142"/>
      <c r="B504" s="143"/>
      <c r="C504" s="136"/>
      <c r="D504" s="136"/>
      <c r="E504" s="143"/>
      <c r="F504" s="143"/>
      <c r="G504" s="143"/>
      <c r="H504" s="143"/>
      <c r="I504" s="143"/>
      <c r="J504" s="143"/>
      <c r="K504" s="145"/>
      <c r="L504" s="146"/>
      <c r="M504" s="136"/>
      <c r="N504" s="114"/>
      <c r="O504" s="136"/>
      <c r="P504" s="136"/>
      <c r="Q504" s="136"/>
      <c r="R504" s="136"/>
      <c r="S504" s="136"/>
      <c r="T504" s="136"/>
      <c r="U504" s="136"/>
      <c r="V504" s="136"/>
      <c r="W504" s="136"/>
      <c r="X504" s="136"/>
      <c r="Y504" s="136"/>
      <c r="Z504" s="136"/>
      <c r="AA504" s="136"/>
      <c r="AB504" s="102"/>
      <c r="AC504" s="102"/>
      <c r="AD504" s="103"/>
    </row>
    <row r="505" ht="15.75" customHeight="1">
      <c r="A505" s="147"/>
      <c r="B505" s="148"/>
      <c r="C505" s="133"/>
      <c r="D505" s="133"/>
      <c r="E505" s="148"/>
      <c r="F505" s="148"/>
      <c r="G505" s="148"/>
      <c r="H505" s="148"/>
      <c r="I505" s="148"/>
      <c r="J505" s="148"/>
      <c r="K505" s="150"/>
      <c r="L505" s="151"/>
      <c r="M505" s="133"/>
      <c r="N505" s="114"/>
      <c r="O505" s="133"/>
      <c r="P505" s="133"/>
      <c r="Q505" s="133"/>
      <c r="R505" s="133"/>
      <c r="S505" s="133"/>
      <c r="T505" s="133"/>
      <c r="U505" s="133"/>
      <c r="V505" s="133"/>
      <c r="W505" s="133"/>
      <c r="X505" s="133"/>
      <c r="Y505" s="133"/>
      <c r="Z505" s="133"/>
      <c r="AA505" s="133"/>
      <c r="AB505" s="102"/>
      <c r="AC505" s="102"/>
      <c r="AD505" s="103"/>
    </row>
    <row r="506" ht="15.75" customHeight="1">
      <c r="A506" s="142"/>
      <c r="B506" s="143"/>
      <c r="C506" s="136"/>
      <c r="D506" s="136"/>
      <c r="E506" s="143"/>
      <c r="F506" s="143"/>
      <c r="G506" s="143"/>
      <c r="H506" s="143"/>
      <c r="I506" s="143"/>
      <c r="J506" s="143"/>
      <c r="K506" s="145"/>
      <c r="L506" s="146"/>
      <c r="M506" s="136"/>
      <c r="N506" s="114"/>
      <c r="O506" s="136"/>
      <c r="P506" s="136"/>
      <c r="Q506" s="136"/>
      <c r="R506" s="136"/>
      <c r="S506" s="136"/>
      <c r="T506" s="136"/>
      <c r="U506" s="136"/>
      <c r="V506" s="136"/>
      <c r="W506" s="136"/>
      <c r="X506" s="136"/>
      <c r="Y506" s="136"/>
      <c r="Z506" s="136"/>
      <c r="AA506" s="136"/>
      <c r="AB506" s="102"/>
      <c r="AC506" s="102"/>
      <c r="AD506" s="103"/>
    </row>
    <row r="507" ht="15.75" customHeight="1">
      <c r="A507" s="147"/>
      <c r="B507" s="148"/>
      <c r="C507" s="133"/>
      <c r="D507" s="133"/>
      <c r="E507" s="148"/>
      <c r="F507" s="148"/>
      <c r="G507" s="148"/>
      <c r="H507" s="148"/>
      <c r="I507" s="148"/>
      <c r="J507" s="148"/>
      <c r="K507" s="150"/>
      <c r="L507" s="151"/>
      <c r="M507" s="133"/>
      <c r="N507" s="114"/>
      <c r="O507" s="133"/>
      <c r="P507" s="133"/>
      <c r="Q507" s="133"/>
      <c r="R507" s="133"/>
      <c r="S507" s="133"/>
      <c r="T507" s="133"/>
      <c r="U507" s="133"/>
      <c r="V507" s="133"/>
      <c r="W507" s="133"/>
      <c r="X507" s="133"/>
      <c r="Y507" s="133"/>
      <c r="Z507" s="133"/>
      <c r="AA507" s="133"/>
      <c r="AB507" s="102"/>
      <c r="AC507" s="102"/>
      <c r="AD507" s="103"/>
    </row>
    <row r="508" ht="15.75" customHeight="1">
      <c r="A508" s="142"/>
      <c r="B508" s="143"/>
      <c r="C508" s="136"/>
      <c r="D508" s="136"/>
      <c r="E508" s="143"/>
      <c r="F508" s="143"/>
      <c r="G508" s="143"/>
      <c r="H508" s="143"/>
      <c r="I508" s="143"/>
      <c r="J508" s="143"/>
      <c r="K508" s="145"/>
      <c r="L508" s="146"/>
      <c r="M508" s="136"/>
      <c r="N508" s="114"/>
      <c r="O508" s="136"/>
      <c r="P508" s="136"/>
      <c r="Q508" s="136"/>
      <c r="R508" s="136"/>
      <c r="S508" s="136"/>
      <c r="T508" s="136"/>
      <c r="U508" s="136"/>
      <c r="V508" s="136"/>
      <c r="W508" s="136"/>
      <c r="X508" s="136"/>
      <c r="Y508" s="136"/>
      <c r="Z508" s="136"/>
      <c r="AA508" s="136"/>
      <c r="AB508" s="102"/>
      <c r="AC508" s="102"/>
      <c r="AD508" s="103"/>
    </row>
    <row r="509" ht="15.75" customHeight="1">
      <c r="A509" s="147"/>
      <c r="B509" s="148"/>
      <c r="C509" s="133"/>
      <c r="D509" s="133"/>
      <c r="E509" s="148"/>
      <c r="F509" s="148"/>
      <c r="G509" s="148"/>
      <c r="H509" s="148"/>
      <c r="I509" s="148"/>
      <c r="J509" s="148"/>
      <c r="K509" s="150"/>
      <c r="L509" s="151"/>
      <c r="M509" s="133"/>
      <c r="N509" s="114"/>
      <c r="O509" s="133"/>
      <c r="P509" s="133"/>
      <c r="Q509" s="133"/>
      <c r="R509" s="133"/>
      <c r="S509" s="133"/>
      <c r="T509" s="133"/>
      <c r="U509" s="133"/>
      <c r="V509" s="133"/>
      <c r="W509" s="133"/>
      <c r="X509" s="133"/>
      <c r="Y509" s="133"/>
      <c r="Z509" s="133"/>
      <c r="AA509" s="133"/>
      <c r="AB509" s="102"/>
      <c r="AC509" s="102"/>
      <c r="AD509" s="103"/>
    </row>
    <row r="510" ht="15.75" customHeight="1">
      <c r="A510" s="142"/>
      <c r="B510" s="143"/>
      <c r="C510" s="136"/>
      <c r="D510" s="136"/>
      <c r="E510" s="143"/>
      <c r="F510" s="143"/>
      <c r="G510" s="143"/>
      <c r="H510" s="143"/>
      <c r="I510" s="143"/>
      <c r="J510" s="143"/>
      <c r="K510" s="145"/>
      <c r="L510" s="146"/>
      <c r="M510" s="136"/>
      <c r="N510" s="114"/>
      <c r="O510" s="136"/>
      <c r="P510" s="136"/>
      <c r="Q510" s="136"/>
      <c r="R510" s="136"/>
      <c r="S510" s="136"/>
      <c r="T510" s="136"/>
      <c r="U510" s="136"/>
      <c r="V510" s="136"/>
      <c r="W510" s="136"/>
      <c r="X510" s="136"/>
      <c r="Y510" s="136"/>
      <c r="Z510" s="136"/>
      <c r="AA510" s="136"/>
      <c r="AB510" s="102"/>
      <c r="AC510" s="102"/>
      <c r="AD510" s="103"/>
    </row>
    <row r="511" ht="15.75" customHeight="1">
      <c r="A511" s="147"/>
      <c r="B511" s="148"/>
      <c r="C511" s="133"/>
      <c r="D511" s="133"/>
      <c r="E511" s="148"/>
      <c r="F511" s="148"/>
      <c r="G511" s="148"/>
      <c r="H511" s="148"/>
      <c r="I511" s="148"/>
      <c r="J511" s="148"/>
      <c r="K511" s="150"/>
      <c r="L511" s="151"/>
      <c r="M511" s="133"/>
      <c r="N511" s="114"/>
      <c r="O511" s="133"/>
      <c r="P511" s="133"/>
      <c r="Q511" s="133"/>
      <c r="R511" s="133"/>
      <c r="S511" s="133"/>
      <c r="T511" s="133"/>
      <c r="U511" s="133"/>
      <c r="V511" s="133"/>
      <c r="W511" s="133"/>
      <c r="X511" s="133"/>
      <c r="Y511" s="133"/>
      <c r="Z511" s="133"/>
      <c r="AA511" s="133"/>
      <c r="AB511" s="102"/>
      <c r="AC511" s="102"/>
      <c r="AD511" s="103"/>
    </row>
    <row r="512" ht="15.75" customHeight="1">
      <c r="A512" s="142"/>
      <c r="B512" s="143"/>
      <c r="C512" s="136"/>
      <c r="D512" s="136"/>
      <c r="E512" s="143"/>
      <c r="F512" s="143"/>
      <c r="G512" s="143"/>
      <c r="H512" s="143"/>
      <c r="I512" s="143"/>
      <c r="J512" s="143"/>
      <c r="K512" s="145"/>
      <c r="L512" s="146"/>
      <c r="M512" s="136"/>
      <c r="N512" s="114"/>
      <c r="O512" s="136"/>
      <c r="P512" s="136"/>
      <c r="Q512" s="136"/>
      <c r="R512" s="136"/>
      <c r="S512" s="136"/>
      <c r="T512" s="136"/>
      <c r="U512" s="136"/>
      <c r="V512" s="136"/>
      <c r="W512" s="136"/>
      <c r="X512" s="136"/>
      <c r="Y512" s="136"/>
      <c r="Z512" s="136"/>
      <c r="AA512" s="136"/>
      <c r="AB512" s="102"/>
      <c r="AC512" s="102"/>
      <c r="AD512" s="103"/>
    </row>
    <row r="513" ht="15.75" customHeight="1">
      <c r="A513" s="147"/>
      <c r="B513" s="148"/>
      <c r="C513" s="133"/>
      <c r="D513" s="133"/>
      <c r="E513" s="148"/>
      <c r="F513" s="148"/>
      <c r="G513" s="148"/>
      <c r="H513" s="148"/>
      <c r="I513" s="148"/>
      <c r="J513" s="148"/>
      <c r="K513" s="150"/>
      <c r="L513" s="151"/>
      <c r="M513" s="133"/>
      <c r="N513" s="114"/>
      <c r="O513" s="133"/>
      <c r="P513" s="133"/>
      <c r="Q513" s="133"/>
      <c r="R513" s="133"/>
      <c r="S513" s="133"/>
      <c r="T513" s="133"/>
      <c r="U513" s="133"/>
      <c r="V513" s="133"/>
      <c r="W513" s="133"/>
      <c r="X513" s="133"/>
      <c r="Y513" s="133"/>
      <c r="Z513" s="133"/>
      <c r="AA513" s="133"/>
      <c r="AB513" s="102"/>
      <c r="AC513" s="102"/>
      <c r="AD513" s="103"/>
    </row>
    <row r="514" ht="15.75" customHeight="1">
      <c r="A514" s="142"/>
      <c r="B514" s="143"/>
      <c r="C514" s="136"/>
      <c r="D514" s="136"/>
      <c r="E514" s="143"/>
      <c r="F514" s="143"/>
      <c r="G514" s="143"/>
      <c r="H514" s="143"/>
      <c r="I514" s="143"/>
      <c r="J514" s="143"/>
      <c r="K514" s="145"/>
      <c r="L514" s="146"/>
      <c r="M514" s="136"/>
      <c r="N514" s="114"/>
      <c r="O514" s="136"/>
      <c r="P514" s="136"/>
      <c r="Q514" s="136"/>
      <c r="R514" s="136"/>
      <c r="S514" s="136"/>
      <c r="T514" s="136"/>
      <c r="U514" s="136"/>
      <c r="V514" s="136"/>
      <c r="W514" s="136"/>
      <c r="X514" s="136"/>
      <c r="Y514" s="136"/>
      <c r="Z514" s="136"/>
      <c r="AA514" s="136"/>
      <c r="AB514" s="102"/>
      <c r="AC514" s="102"/>
      <c r="AD514" s="103"/>
    </row>
    <row r="515" ht="15.75" customHeight="1">
      <c r="A515" s="147"/>
      <c r="B515" s="148"/>
      <c r="C515" s="133"/>
      <c r="D515" s="133"/>
      <c r="E515" s="148"/>
      <c r="F515" s="148"/>
      <c r="G515" s="148"/>
      <c r="H515" s="148"/>
      <c r="I515" s="148"/>
      <c r="J515" s="148"/>
      <c r="K515" s="150"/>
      <c r="L515" s="151"/>
      <c r="M515" s="133"/>
      <c r="N515" s="114"/>
      <c r="O515" s="133"/>
      <c r="P515" s="133"/>
      <c r="Q515" s="133"/>
      <c r="R515" s="133"/>
      <c r="S515" s="133"/>
      <c r="T515" s="133"/>
      <c r="U515" s="133"/>
      <c r="V515" s="133"/>
      <c r="W515" s="133"/>
      <c r="X515" s="133"/>
      <c r="Y515" s="133"/>
      <c r="Z515" s="133"/>
      <c r="AA515" s="133"/>
      <c r="AB515" s="102"/>
      <c r="AC515" s="102"/>
      <c r="AD515" s="103"/>
    </row>
    <row r="516" ht="15.75" customHeight="1">
      <c r="A516" s="142"/>
      <c r="B516" s="143"/>
      <c r="C516" s="136"/>
      <c r="D516" s="136"/>
      <c r="E516" s="143"/>
      <c r="F516" s="143"/>
      <c r="G516" s="143"/>
      <c r="H516" s="143"/>
      <c r="I516" s="143"/>
      <c r="J516" s="143"/>
      <c r="K516" s="145"/>
      <c r="L516" s="146"/>
      <c r="M516" s="136"/>
      <c r="N516" s="114"/>
      <c r="O516" s="136"/>
      <c r="P516" s="136"/>
      <c r="Q516" s="136"/>
      <c r="R516" s="136"/>
      <c r="S516" s="136"/>
      <c r="T516" s="136"/>
      <c r="U516" s="136"/>
      <c r="V516" s="136"/>
      <c r="W516" s="136"/>
      <c r="X516" s="136"/>
      <c r="Y516" s="136"/>
      <c r="Z516" s="136"/>
      <c r="AA516" s="136"/>
      <c r="AB516" s="102"/>
      <c r="AC516" s="102"/>
      <c r="AD516" s="103"/>
    </row>
    <row r="517" ht="15.75" customHeight="1">
      <c r="A517" s="147"/>
      <c r="B517" s="148"/>
      <c r="C517" s="133"/>
      <c r="D517" s="133"/>
      <c r="E517" s="148"/>
      <c r="F517" s="148"/>
      <c r="G517" s="148"/>
      <c r="H517" s="148"/>
      <c r="I517" s="148"/>
      <c r="J517" s="148"/>
      <c r="K517" s="150"/>
      <c r="L517" s="151"/>
      <c r="M517" s="133"/>
      <c r="N517" s="114"/>
      <c r="O517" s="133"/>
      <c r="P517" s="133"/>
      <c r="Q517" s="133"/>
      <c r="R517" s="133"/>
      <c r="S517" s="133"/>
      <c r="T517" s="133"/>
      <c r="U517" s="133"/>
      <c r="V517" s="133"/>
      <c r="W517" s="133"/>
      <c r="X517" s="133"/>
      <c r="Y517" s="133"/>
      <c r="Z517" s="133"/>
      <c r="AA517" s="133"/>
      <c r="AB517" s="102"/>
      <c r="AC517" s="102"/>
      <c r="AD517" s="103"/>
    </row>
    <row r="518" ht="15.75" customHeight="1">
      <c r="A518" s="142"/>
      <c r="B518" s="143"/>
      <c r="C518" s="136"/>
      <c r="D518" s="136"/>
      <c r="E518" s="143"/>
      <c r="F518" s="143"/>
      <c r="G518" s="143"/>
      <c r="H518" s="143"/>
      <c r="I518" s="143"/>
      <c r="J518" s="143"/>
      <c r="K518" s="145"/>
      <c r="L518" s="146"/>
      <c r="M518" s="136"/>
      <c r="N518" s="114"/>
      <c r="O518" s="136"/>
      <c r="P518" s="136"/>
      <c r="Q518" s="136"/>
      <c r="R518" s="136"/>
      <c r="S518" s="136"/>
      <c r="T518" s="136"/>
      <c r="U518" s="136"/>
      <c r="V518" s="136"/>
      <c r="W518" s="136"/>
      <c r="X518" s="136"/>
      <c r="Y518" s="136"/>
      <c r="Z518" s="136"/>
      <c r="AA518" s="136"/>
      <c r="AB518" s="102"/>
      <c r="AC518" s="102"/>
      <c r="AD518" s="103"/>
    </row>
    <row r="519" ht="15.75" customHeight="1">
      <c r="A519" s="147"/>
      <c r="B519" s="148"/>
      <c r="C519" s="133"/>
      <c r="D519" s="133"/>
      <c r="E519" s="148"/>
      <c r="F519" s="148"/>
      <c r="G519" s="148"/>
      <c r="H519" s="148"/>
      <c r="I519" s="148"/>
      <c r="J519" s="148"/>
      <c r="K519" s="150"/>
      <c r="L519" s="151"/>
      <c r="M519" s="133"/>
      <c r="N519" s="114"/>
      <c r="O519" s="133"/>
      <c r="P519" s="133"/>
      <c r="Q519" s="133"/>
      <c r="R519" s="133"/>
      <c r="S519" s="133"/>
      <c r="T519" s="133"/>
      <c r="U519" s="133"/>
      <c r="V519" s="133"/>
      <c r="W519" s="133"/>
      <c r="X519" s="133"/>
      <c r="Y519" s="133"/>
      <c r="Z519" s="133"/>
      <c r="AA519" s="133"/>
      <c r="AB519" s="102"/>
      <c r="AC519" s="102"/>
      <c r="AD519" s="103"/>
    </row>
    <row r="520" ht="15.75" customHeight="1">
      <c r="A520" s="142"/>
      <c r="B520" s="143"/>
      <c r="C520" s="136"/>
      <c r="D520" s="136"/>
      <c r="E520" s="143"/>
      <c r="F520" s="143"/>
      <c r="G520" s="143"/>
      <c r="H520" s="143"/>
      <c r="I520" s="143"/>
      <c r="J520" s="143"/>
      <c r="K520" s="145"/>
      <c r="L520" s="146"/>
      <c r="M520" s="136"/>
      <c r="N520" s="114"/>
      <c r="O520" s="136"/>
      <c r="P520" s="136"/>
      <c r="Q520" s="136"/>
      <c r="R520" s="136"/>
      <c r="S520" s="136"/>
      <c r="T520" s="136"/>
      <c r="U520" s="136"/>
      <c r="V520" s="136"/>
      <c r="W520" s="136"/>
      <c r="X520" s="136"/>
      <c r="Y520" s="136"/>
      <c r="Z520" s="136"/>
      <c r="AA520" s="136"/>
      <c r="AB520" s="102"/>
      <c r="AC520" s="102"/>
      <c r="AD520" s="103"/>
    </row>
    <row r="521" ht="15.75" customHeight="1">
      <c r="A521" s="147"/>
      <c r="B521" s="148"/>
      <c r="C521" s="133"/>
      <c r="D521" s="133"/>
      <c r="E521" s="148"/>
      <c r="F521" s="148"/>
      <c r="G521" s="148"/>
      <c r="H521" s="148"/>
      <c r="I521" s="148"/>
      <c r="J521" s="148"/>
      <c r="K521" s="150"/>
      <c r="L521" s="151"/>
      <c r="M521" s="133"/>
      <c r="N521" s="114"/>
      <c r="O521" s="133"/>
      <c r="P521" s="133"/>
      <c r="Q521" s="133"/>
      <c r="R521" s="133"/>
      <c r="S521" s="133"/>
      <c r="T521" s="133"/>
      <c r="U521" s="133"/>
      <c r="V521" s="133"/>
      <c r="W521" s="133"/>
      <c r="X521" s="133"/>
      <c r="Y521" s="133"/>
      <c r="Z521" s="133"/>
      <c r="AA521" s="133"/>
      <c r="AB521" s="102"/>
      <c r="AC521" s="102"/>
      <c r="AD521" s="103"/>
    </row>
    <row r="522" ht="15.75" customHeight="1">
      <c r="A522" s="142"/>
      <c r="B522" s="143"/>
      <c r="C522" s="136"/>
      <c r="D522" s="136"/>
      <c r="E522" s="143"/>
      <c r="F522" s="143"/>
      <c r="G522" s="143"/>
      <c r="H522" s="143"/>
      <c r="I522" s="143"/>
      <c r="J522" s="143"/>
      <c r="K522" s="145"/>
      <c r="L522" s="146"/>
      <c r="M522" s="136"/>
      <c r="N522" s="114"/>
      <c r="O522" s="136"/>
      <c r="P522" s="136"/>
      <c r="Q522" s="136"/>
      <c r="R522" s="136"/>
      <c r="S522" s="136"/>
      <c r="T522" s="136"/>
      <c r="U522" s="136"/>
      <c r="V522" s="136"/>
      <c r="W522" s="136"/>
      <c r="X522" s="136"/>
      <c r="Y522" s="136"/>
      <c r="Z522" s="136"/>
      <c r="AA522" s="136"/>
      <c r="AB522" s="102"/>
      <c r="AC522" s="102"/>
      <c r="AD522" s="103"/>
    </row>
    <row r="523" ht="15.75" customHeight="1">
      <c r="A523" s="147"/>
      <c r="B523" s="148"/>
      <c r="C523" s="133"/>
      <c r="D523" s="133"/>
      <c r="E523" s="148"/>
      <c r="F523" s="148"/>
      <c r="G523" s="148"/>
      <c r="H523" s="148"/>
      <c r="I523" s="148"/>
      <c r="J523" s="148"/>
      <c r="K523" s="150"/>
      <c r="L523" s="151"/>
      <c r="M523" s="133"/>
      <c r="N523" s="114"/>
      <c r="O523" s="133"/>
      <c r="P523" s="133"/>
      <c r="Q523" s="133"/>
      <c r="R523" s="133"/>
      <c r="S523" s="133"/>
      <c r="T523" s="133"/>
      <c r="U523" s="133"/>
      <c r="V523" s="133"/>
      <c r="W523" s="133"/>
      <c r="X523" s="133"/>
      <c r="Y523" s="133"/>
      <c r="Z523" s="133"/>
      <c r="AA523" s="133"/>
      <c r="AB523" s="102"/>
      <c r="AC523" s="102"/>
      <c r="AD523" s="103"/>
    </row>
    <row r="524" ht="15.75" customHeight="1">
      <c r="A524" s="142"/>
      <c r="B524" s="143"/>
      <c r="C524" s="136"/>
      <c r="D524" s="136"/>
      <c r="E524" s="143"/>
      <c r="F524" s="143"/>
      <c r="G524" s="143"/>
      <c r="H524" s="143"/>
      <c r="I524" s="143"/>
      <c r="J524" s="143"/>
      <c r="K524" s="145"/>
      <c r="L524" s="146"/>
      <c r="M524" s="136"/>
      <c r="N524" s="114"/>
      <c r="O524" s="136"/>
      <c r="P524" s="136"/>
      <c r="Q524" s="136"/>
      <c r="R524" s="136"/>
      <c r="S524" s="136"/>
      <c r="T524" s="136"/>
      <c r="U524" s="136"/>
      <c r="V524" s="136"/>
      <c r="W524" s="136"/>
      <c r="X524" s="136"/>
      <c r="Y524" s="136"/>
      <c r="Z524" s="136"/>
      <c r="AA524" s="136"/>
      <c r="AB524" s="102"/>
      <c r="AC524" s="102"/>
      <c r="AD524" s="103"/>
    </row>
    <row r="525" ht="15.75" customHeight="1">
      <c r="A525" s="147"/>
      <c r="B525" s="148"/>
      <c r="C525" s="133"/>
      <c r="D525" s="133"/>
      <c r="E525" s="148"/>
      <c r="F525" s="148"/>
      <c r="G525" s="148"/>
      <c r="H525" s="148"/>
      <c r="I525" s="148"/>
      <c r="J525" s="148"/>
      <c r="K525" s="150"/>
      <c r="L525" s="151"/>
      <c r="M525" s="133"/>
      <c r="N525" s="114"/>
      <c r="O525" s="133"/>
      <c r="P525" s="133"/>
      <c r="Q525" s="133"/>
      <c r="R525" s="133"/>
      <c r="S525" s="133"/>
      <c r="T525" s="133"/>
      <c r="U525" s="133"/>
      <c r="V525" s="133"/>
      <c r="W525" s="133"/>
      <c r="X525" s="133"/>
      <c r="Y525" s="133"/>
      <c r="Z525" s="133"/>
      <c r="AA525" s="133"/>
      <c r="AB525" s="102"/>
      <c r="AC525" s="102"/>
      <c r="AD525" s="103"/>
    </row>
    <row r="526" ht="15.75" customHeight="1">
      <c r="A526" s="142"/>
      <c r="B526" s="143"/>
      <c r="C526" s="136"/>
      <c r="D526" s="136"/>
      <c r="E526" s="143"/>
      <c r="F526" s="143"/>
      <c r="G526" s="143"/>
      <c r="H526" s="143"/>
      <c r="I526" s="143"/>
      <c r="J526" s="143"/>
      <c r="K526" s="145"/>
      <c r="L526" s="146"/>
      <c r="M526" s="136"/>
      <c r="N526" s="114"/>
      <c r="O526" s="136"/>
      <c r="P526" s="136"/>
      <c r="Q526" s="136"/>
      <c r="R526" s="136"/>
      <c r="S526" s="136"/>
      <c r="T526" s="136"/>
      <c r="U526" s="136"/>
      <c r="V526" s="136"/>
      <c r="W526" s="136"/>
      <c r="X526" s="136"/>
      <c r="Y526" s="136"/>
      <c r="Z526" s="136"/>
      <c r="AA526" s="136"/>
      <c r="AB526" s="102"/>
      <c r="AC526" s="102"/>
      <c r="AD526" s="103"/>
    </row>
    <row r="527" ht="15.75" customHeight="1">
      <c r="A527" s="147"/>
      <c r="B527" s="148"/>
      <c r="C527" s="133"/>
      <c r="D527" s="133"/>
      <c r="E527" s="148"/>
      <c r="F527" s="148"/>
      <c r="G527" s="148"/>
      <c r="H527" s="148"/>
      <c r="I527" s="148"/>
      <c r="J527" s="148"/>
      <c r="K527" s="150"/>
      <c r="L527" s="151"/>
      <c r="M527" s="133"/>
      <c r="N527" s="114"/>
      <c r="O527" s="133"/>
      <c r="P527" s="133"/>
      <c r="Q527" s="133"/>
      <c r="R527" s="133"/>
      <c r="S527" s="133"/>
      <c r="T527" s="133"/>
      <c r="U527" s="133"/>
      <c r="V527" s="133"/>
      <c r="W527" s="133"/>
      <c r="X527" s="133"/>
      <c r="Y527" s="133"/>
      <c r="Z527" s="133"/>
      <c r="AA527" s="133"/>
      <c r="AB527" s="102"/>
      <c r="AC527" s="102"/>
      <c r="AD527" s="103"/>
    </row>
    <row r="528" ht="15.75" customHeight="1">
      <c r="A528" s="142"/>
      <c r="B528" s="143"/>
      <c r="C528" s="136"/>
      <c r="D528" s="136"/>
      <c r="E528" s="143"/>
      <c r="F528" s="143"/>
      <c r="G528" s="143"/>
      <c r="H528" s="143"/>
      <c r="I528" s="143"/>
      <c r="J528" s="143"/>
      <c r="K528" s="145"/>
      <c r="L528" s="146"/>
      <c r="M528" s="136"/>
      <c r="N528" s="114"/>
      <c r="O528" s="136"/>
      <c r="P528" s="136"/>
      <c r="Q528" s="136"/>
      <c r="R528" s="136"/>
      <c r="S528" s="136"/>
      <c r="T528" s="136"/>
      <c r="U528" s="136"/>
      <c r="V528" s="136"/>
      <c r="W528" s="136"/>
      <c r="X528" s="136"/>
      <c r="Y528" s="136"/>
      <c r="Z528" s="136"/>
      <c r="AA528" s="136"/>
      <c r="AB528" s="102"/>
      <c r="AC528" s="102"/>
      <c r="AD528" s="103"/>
    </row>
    <row r="529" ht="15.75" customHeight="1">
      <c r="A529" s="147"/>
      <c r="B529" s="148"/>
      <c r="C529" s="133"/>
      <c r="D529" s="133"/>
      <c r="E529" s="148"/>
      <c r="F529" s="148"/>
      <c r="G529" s="148"/>
      <c r="H529" s="148"/>
      <c r="I529" s="148"/>
      <c r="J529" s="148"/>
      <c r="K529" s="150"/>
      <c r="L529" s="151"/>
      <c r="M529" s="133"/>
      <c r="N529" s="114"/>
      <c r="O529" s="133"/>
      <c r="P529" s="133"/>
      <c r="Q529" s="133"/>
      <c r="R529" s="133"/>
      <c r="S529" s="133"/>
      <c r="T529" s="133"/>
      <c r="U529" s="133"/>
      <c r="V529" s="133"/>
      <c r="W529" s="133"/>
      <c r="X529" s="133"/>
      <c r="Y529" s="133"/>
      <c r="Z529" s="133"/>
      <c r="AA529" s="133"/>
      <c r="AB529" s="102"/>
      <c r="AC529" s="102"/>
      <c r="AD529" s="103"/>
    </row>
    <row r="530" ht="15.75" customHeight="1">
      <c r="A530" s="142"/>
      <c r="B530" s="143"/>
      <c r="C530" s="136"/>
      <c r="D530" s="136"/>
      <c r="E530" s="143"/>
      <c r="F530" s="143"/>
      <c r="G530" s="143"/>
      <c r="H530" s="143"/>
      <c r="I530" s="143"/>
      <c r="J530" s="143"/>
      <c r="K530" s="145"/>
      <c r="L530" s="146"/>
      <c r="M530" s="136"/>
      <c r="N530" s="114"/>
      <c r="O530" s="136"/>
      <c r="P530" s="136"/>
      <c r="Q530" s="136"/>
      <c r="R530" s="136"/>
      <c r="S530" s="136"/>
      <c r="T530" s="136"/>
      <c r="U530" s="136"/>
      <c r="V530" s="136"/>
      <c r="W530" s="136"/>
      <c r="X530" s="136"/>
      <c r="Y530" s="136"/>
      <c r="Z530" s="136"/>
      <c r="AA530" s="136"/>
      <c r="AB530" s="102"/>
      <c r="AC530" s="102"/>
      <c r="AD530" s="103"/>
    </row>
    <row r="531" ht="15.75" customHeight="1">
      <c r="A531" s="147"/>
      <c r="B531" s="148"/>
      <c r="C531" s="133"/>
      <c r="D531" s="133"/>
      <c r="E531" s="148"/>
      <c r="F531" s="148"/>
      <c r="G531" s="148"/>
      <c r="H531" s="148"/>
      <c r="I531" s="148"/>
      <c r="J531" s="148"/>
      <c r="K531" s="150"/>
      <c r="L531" s="151"/>
      <c r="M531" s="133"/>
      <c r="N531" s="114"/>
      <c r="O531" s="133"/>
      <c r="P531" s="133"/>
      <c r="Q531" s="133"/>
      <c r="R531" s="133"/>
      <c r="S531" s="133"/>
      <c r="T531" s="133"/>
      <c r="U531" s="133"/>
      <c r="V531" s="133"/>
      <c r="W531" s="133"/>
      <c r="X531" s="133"/>
      <c r="Y531" s="133"/>
      <c r="Z531" s="133"/>
      <c r="AA531" s="133"/>
      <c r="AB531" s="102"/>
      <c r="AC531" s="102"/>
      <c r="AD531" s="103"/>
    </row>
    <row r="532" ht="15.75" customHeight="1">
      <c r="A532" s="142"/>
      <c r="B532" s="143"/>
      <c r="C532" s="136"/>
      <c r="D532" s="136"/>
      <c r="E532" s="143"/>
      <c r="F532" s="143"/>
      <c r="G532" s="143"/>
      <c r="H532" s="143"/>
      <c r="I532" s="143"/>
      <c r="J532" s="143"/>
      <c r="K532" s="145"/>
      <c r="L532" s="146"/>
      <c r="M532" s="136"/>
      <c r="N532" s="114"/>
      <c r="O532" s="136"/>
      <c r="P532" s="136"/>
      <c r="Q532" s="136"/>
      <c r="R532" s="136"/>
      <c r="S532" s="136"/>
      <c r="T532" s="136"/>
      <c r="U532" s="136"/>
      <c r="V532" s="136"/>
      <c r="W532" s="136"/>
      <c r="X532" s="136"/>
      <c r="Y532" s="136"/>
      <c r="Z532" s="136"/>
      <c r="AA532" s="136"/>
      <c r="AB532" s="102"/>
      <c r="AC532" s="102"/>
      <c r="AD532" s="103"/>
    </row>
    <row r="533" ht="15.75" customHeight="1">
      <c r="A533" s="147"/>
      <c r="B533" s="148"/>
      <c r="C533" s="133"/>
      <c r="D533" s="133"/>
      <c r="E533" s="148"/>
      <c r="F533" s="148"/>
      <c r="G533" s="148"/>
      <c r="H533" s="148"/>
      <c r="I533" s="148"/>
      <c r="J533" s="148"/>
      <c r="K533" s="150"/>
      <c r="L533" s="151"/>
      <c r="M533" s="133"/>
      <c r="N533" s="114"/>
      <c r="O533" s="133"/>
      <c r="P533" s="133"/>
      <c r="Q533" s="133"/>
      <c r="R533" s="133"/>
      <c r="S533" s="133"/>
      <c r="T533" s="133"/>
      <c r="U533" s="133"/>
      <c r="V533" s="133"/>
      <c r="W533" s="133"/>
      <c r="X533" s="133"/>
      <c r="Y533" s="133"/>
      <c r="Z533" s="133"/>
      <c r="AA533" s="133"/>
      <c r="AB533" s="102"/>
      <c r="AC533" s="102"/>
      <c r="AD533" s="103"/>
    </row>
    <row r="534" ht="15.75" customHeight="1">
      <c r="A534" s="142"/>
      <c r="B534" s="143"/>
      <c r="C534" s="136"/>
      <c r="D534" s="136"/>
      <c r="E534" s="143"/>
      <c r="F534" s="143"/>
      <c r="G534" s="143"/>
      <c r="H534" s="143"/>
      <c r="I534" s="143"/>
      <c r="J534" s="143"/>
      <c r="K534" s="145"/>
      <c r="L534" s="146"/>
      <c r="M534" s="136"/>
      <c r="N534" s="114"/>
      <c r="O534" s="136"/>
      <c r="P534" s="136"/>
      <c r="Q534" s="136"/>
      <c r="R534" s="136"/>
      <c r="S534" s="136"/>
      <c r="T534" s="136"/>
      <c r="U534" s="136"/>
      <c r="V534" s="136"/>
      <c r="W534" s="136"/>
      <c r="X534" s="136"/>
      <c r="Y534" s="136"/>
      <c r="Z534" s="136"/>
      <c r="AA534" s="136"/>
      <c r="AB534" s="102"/>
      <c r="AC534" s="102"/>
      <c r="AD534" s="103"/>
    </row>
    <row r="535" ht="15.75" customHeight="1">
      <c r="A535" s="147"/>
      <c r="B535" s="148"/>
      <c r="C535" s="133"/>
      <c r="D535" s="133"/>
      <c r="E535" s="148"/>
      <c r="F535" s="148"/>
      <c r="G535" s="148"/>
      <c r="H535" s="148"/>
      <c r="I535" s="148"/>
      <c r="J535" s="148"/>
      <c r="K535" s="150"/>
      <c r="L535" s="151"/>
      <c r="M535" s="133"/>
      <c r="N535" s="114"/>
      <c r="O535" s="133"/>
      <c r="P535" s="133"/>
      <c r="Q535" s="133"/>
      <c r="R535" s="133"/>
      <c r="S535" s="133"/>
      <c r="T535" s="133"/>
      <c r="U535" s="133"/>
      <c r="V535" s="133"/>
      <c r="W535" s="133"/>
      <c r="X535" s="133"/>
      <c r="Y535" s="133"/>
      <c r="Z535" s="133"/>
      <c r="AA535" s="133"/>
      <c r="AB535" s="102"/>
      <c r="AC535" s="102"/>
      <c r="AD535" s="103"/>
    </row>
    <row r="536" ht="15.75" customHeight="1">
      <c r="A536" s="142"/>
      <c r="B536" s="143"/>
      <c r="C536" s="136"/>
      <c r="D536" s="136"/>
      <c r="E536" s="143"/>
      <c r="F536" s="143"/>
      <c r="G536" s="143"/>
      <c r="H536" s="143"/>
      <c r="I536" s="143"/>
      <c r="J536" s="143"/>
      <c r="K536" s="145"/>
      <c r="L536" s="146"/>
      <c r="M536" s="136"/>
      <c r="N536" s="114"/>
      <c r="O536" s="136"/>
      <c r="P536" s="136"/>
      <c r="Q536" s="136"/>
      <c r="R536" s="136"/>
      <c r="S536" s="136"/>
      <c r="T536" s="136"/>
      <c r="U536" s="136"/>
      <c r="V536" s="136"/>
      <c r="W536" s="136"/>
      <c r="X536" s="136"/>
      <c r="Y536" s="136"/>
      <c r="Z536" s="136"/>
      <c r="AA536" s="136"/>
      <c r="AB536" s="102"/>
      <c r="AC536" s="102"/>
      <c r="AD536" s="103"/>
    </row>
    <row r="537" ht="15.75" customHeight="1">
      <c r="A537" s="147"/>
      <c r="B537" s="148"/>
      <c r="C537" s="133"/>
      <c r="D537" s="133"/>
      <c r="E537" s="148"/>
      <c r="F537" s="148"/>
      <c r="G537" s="148"/>
      <c r="H537" s="148"/>
      <c r="I537" s="148"/>
      <c r="J537" s="148"/>
      <c r="K537" s="150"/>
      <c r="L537" s="151"/>
      <c r="M537" s="133"/>
      <c r="N537" s="114"/>
      <c r="O537" s="133"/>
      <c r="P537" s="133"/>
      <c r="Q537" s="133"/>
      <c r="R537" s="133"/>
      <c r="S537" s="133"/>
      <c r="T537" s="133"/>
      <c r="U537" s="133"/>
      <c r="V537" s="133"/>
      <c r="W537" s="133"/>
      <c r="X537" s="133"/>
      <c r="Y537" s="133"/>
      <c r="Z537" s="133"/>
      <c r="AA537" s="133"/>
      <c r="AB537" s="102"/>
      <c r="AC537" s="102"/>
      <c r="AD537" s="103"/>
    </row>
    <row r="538" ht="15.75" customHeight="1">
      <c r="A538" s="142"/>
      <c r="B538" s="143"/>
      <c r="C538" s="136"/>
      <c r="D538" s="136"/>
      <c r="E538" s="143"/>
      <c r="F538" s="143"/>
      <c r="G538" s="143"/>
      <c r="H538" s="143"/>
      <c r="I538" s="143"/>
      <c r="J538" s="143"/>
      <c r="K538" s="145"/>
      <c r="L538" s="146"/>
      <c r="M538" s="136"/>
      <c r="N538" s="114"/>
      <c r="O538" s="136"/>
      <c r="P538" s="136"/>
      <c r="Q538" s="136"/>
      <c r="R538" s="136"/>
      <c r="S538" s="136"/>
      <c r="T538" s="136"/>
      <c r="U538" s="136"/>
      <c r="V538" s="136"/>
      <c r="W538" s="136"/>
      <c r="X538" s="136"/>
      <c r="Y538" s="136"/>
      <c r="Z538" s="136"/>
      <c r="AA538" s="136"/>
      <c r="AB538" s="102"/>
      <c r="AC538" s="102"/>
      <c r="AD538" s="103"/>
    </row>
    <row r="539" ht="15.75" customHeight="1">
      <c r="A539" s="147"/>
      <c r="B539" s="148"/>
      <c r="C539" s="133"/>
      <c r="D539" s="133"/>
      <c r="E539" s="148"/>
      <c r="F539" s="148"/>
      <c r="G539" s="148"/>
      <c r="H539" s="148"/>
      <c r="I539" s="148"/>
      <c r="J539" s="148"/>
      <c r="K539" s="150"/>
      <c r="L539" s="151"/>
      <c r="M539" s="133"/>
      <c r="N539" s="114"/>
      <c r="O539" s="133"/>
      <c r="P539" s="133"/>
      <c r="Q539" s="133"/>
      <c r="R539" s="133"/>
      <c r="S539" s="133"/>
      <c r="T539" s="133"/>
      <c r="U539" s="133"/>
      <c r="V539" s="133"/>
      <c r="W539" s="133"/>
      <c r="X539" s="133"/>
      <c r="Y539" s="133"/>
      <c r="Z539" s="133"/>
      <c r="AA539" s="133"/>
      <c r="AB539" s="102"/>
      <c r="AC539" s="102"/>
      <c r="AD539" s="103"/>
    </row>
    <row r="540" ht="15.75" customHeight="1">
      <c r="A540" s="142"/>
      <c r="B540" s="143"/>
      <c r="C540" s="136"/>
      <c r="D540" s="136"/>
      <c r="E540" s="143"/>
      <c r="F540" s="143"/>
      <c r="G540" s="143"/>
      <c r="H540" s="143"/>
      <c r="I540" s="143"/>
      <c r="J540" s="143"/>
      <c r="K540" s="145"/>
      <c r="L540" s="146"/>
      <c r="M540" s="136"/>
      <c r="N540" s="114"/>
      <c r="O540" s="136"/>
      <c r="P540" s="136"/>
      <c r="Q540" s="136"/>
      <c r="R540" s="136"/>
      <c r="S540" s="136"/>
      <c r="T540" s="136"/>
      <c r="U540" s="136"/>
      <c r="V540" s="136"/>
      <c r="W540" s="136"/>
      <c r="X540" s="136"/>
      <c r="Y540" s="136"/>
      <c r="Z540" s="136"/>
      <c r="AA540" s="136"/>
      <c r="AB540" s="102"/>
      <c r="AC540" s="102"/>
      <c r="AD540" s="103"/>
    </row>
    <row r="541" ht="15.75" customHeight="1">
      <c r="A541" s="147"/>
      <c r="B541" s="148"/>
      <c r="C541" s="133"/>
      <c r="D541" s="133"/>
      <c r="E541" s="148"/>
      <c r="F541" s="148"/>
      <c r="G541" s="148"/>
      <c r="H541" s="148"/>
      <c r="I541" s="148"/>
      <c r="J541" s="148"/>
      <c r="K541" s="150"/>
      <c r="L541" s="151"/>
      <c r="M541" s="133"/>
      <c r="N541" s="114"/>
      <c r="O541" s="133"/>
      <c r="P541" s="133"/>
      <c r="Q541" s="133"/>
      <c r="R541" s="133"/>
      <c r="S541" s="133"/>
      <c r="T541" s="133"/>
      <c r="U541" s="133"/>
      <c r="V541" s="133"/>
      <c r="W541" s="133"/>
      <c r="X541" s="133"/>
      <c r="Y541" s="133"/>
      <c r="Z541" s="133"/>
      <c r="AA541" s="133"/>
      <c r="AB541" s="102"/>
      <c r="AC541" s="102"/>
      <c r="AD541" s="103"/>
    </row>
    <row r="542" ht="15.75" customHeight="1">
      <c r="A542" s="142"/>
      <c r="B542" s="143"/>
      <c r="C542" s="136"/>
      <c r="D542" s="136"/>
      <c r="E542" s="143"/>
      <c r="F542" s="143"/>
      <c r="G542" s="143"/>
      <c r="H542" s="143"/>
      <c r="I542" s="143"/>
      <c r="J542" s="143"/>
      <c r="K542" s="145"/>
      <c r="L542" s="146"/>
      <c r="M542" s="136"/>
      <c r="N542" s="114"/>
      <c r="O542" s="136"/>
      <c r="P542" s="136"/>
      <c r="Q542" s="136"/>
      <c r="R542" s="136"/>
      <c r="S542" s="136"/>
      <c r="T542" s="136"/>
      <c r="U542" s="136"/>
      <c r="V542" s="136"/>
      <c r="W542" s="136"/>
      <c r="X542" s="136"/>
      <c r="Y542" s="136"/>
      <c r="Z542" s="136"/>
      <c r="AA542" s="136"/>
      <c r="AB542" s="102"/>
      <c r="AC542" s="102"/>
      <c r="AD542" s="103"/>
    </row>
    <row r="543" ht="15.75" customHeight="1">
      <c r="A543" s="147"/>
      <c r="B543" s="148"/>
      <c r="C543" s="133"/>
      <c r="D543" s="133"/>
      <c r="E543" s="148"/>
      <c r="F543" s="148"/>
      <c r="G543" s="148"/>
      <c r="H543" s="148"/>
      <c r="I543" s="148"/>
      <c r="J543" s="148"/>
      <c r="K543" s="150"/>
      <c r="L543" s="151"/>
      <c r="M543" s="133"/>
      <c r="N543" s="114"/>
      <c r="O543" s="133"/>
      <c r="P543" s="133"/>
      <c r="Q543" s="133"/>
      <c r="R543" s="133"/>
      <c r="S543" s="133"/>
      <c r="T543" s="133"/>
      <c r="U543" s="133"/>
      <c r="V543" s="133"/>
      <c r="W543" s="133"/>
      <c r="X543" s="133"/>
      <c r="Y543" s="133"/>
      <c r="Z543" s="133"/>
      <c r="AA543" s="133"/>
      <c r="AB543" s="102"/>
      <c r="AC543" s="102"/>
      <c r="AD543" s="103"/>
    </row>
    <row r="544" ht="15.75" customHeight="1">
      <c r="A544" s="142"/>
      <c r="B544" s="143"/>
      <c r="C544" s="136"/>
      <c r="D544" s="136"/>
      <c r="E544" s="143"/>
      <c r="F544" s="143"/>
      <c r="G544" s="143"/>
      <c r="H544" s="143"/>
      <c r="I544" s="143"/>
      <c r="J544" s="143"/>
      <c r="K544" s="145"/>
      <c r="L544" s="146"/>
      <c r="M544" s="136"/>
      <c r="N544" s="114"/>
      <c r="O544" s="136"/>
      <c r="P544" s="136"/>
      <c r="Q544" s="136"/>
      <c r="R544" s="136"/>
      <c r="S544" s="136"/>
      <c r="T544" s="136"/>
      <c r="U544" s="136"/>
      <c r="V544" s="136"/>
      <c r="W544" s="136"/>
      <c r="X544" s="136"/>
      <c r="Y544" s="136"/>
      <c r="Z544" s="136"/>
      <c r="AA544" s="136"/>
      <c r="AB544" s="102"/>
      <c r="AC544" s="102"/>
      <c r="AD544" s="103"/>
    </row>
    <row r="545" ht="15.75" customHeight="1">
      <c r="A545" s="147"/>
      <c r="B545" s="148"/>
      <c r="C545" s="133"/>
      <c r="D545" s="133"/>
      <c r="E545" s="148"/>
      <c r="F545" s="148"/>
      <c r="G545" s="148"/>
      <c r="H545" s="148"/>
      <c r="I545" s="148"/>
      <c r="J545" s="148"/>
      <c r="K545" s="150"/>
      <c r="L545" s="151"/>
      <c r="M545" s="133"/>
      <c r="N545" s="114"/>
      <c r="O545" s="133"/>
      <c r="P545" s="133"/>
      <c r="Q545" s="133"/>
      <c r="R545" s="133"/>
      <c r="S545" s="133"/>
      <c r="T545" s="133"/>
      <c r="U545" s="133"/>
      <c r="V545" s="133"/>
      <c r="W545" s="133"/>
      <c r="X545" s="133"/>
      <c r="Y545" s="133"/>
      <c r="Z545" s="133"/>
      <c r="AA545" s="133"/>
      <c r="AB545" s="102"/>
      <c r="AC545" s="102"/>
      <c r="AD545" s="103"/>
    </row>
    <row r="546" ht="15.75" customHeight="1">
      <c r="A546" s="142"/>
      <c r="B546" s="143"/>
      <c r="C546" s="136"/>
      <c r="D546" s="136"/>
      <c r="E546" s="143"/>
      <c r="F546" s="143"/>
      <c r="G546" s="143"/>
      <c r="H546" s="143"/>
      <c r="I546" s="143"/>
      <c r="J546" s="143"/>
      <c r="K546" s="145"/>
      <c r="L546" s="146"/>
      <c r="M546" s="136"/>
      <c r="N546" s="114"/>
      <c r="O546" s="136"/>
      <c r="P546" s="136"/>
      <c r="Q546" s="136"/>
      <c r="R546" s="136"/>
      <c r="S546" s="136"/>
      <c r="T546" s="136"/>
      <c r="U546" s="136"/>
      <c r="V546" s="136"/>
      <c r="W546" s="136"/>
      <c r="X546" s="136"/>
      <c r="Y546" s="136"/>
      <c r="Z546" s="136"/>
      <c r="AA546" s="136"/>
      <c r="AB546" s="102"/>
      <c r="AC546" s="102"/>
      <c r="AD546" s="103"/>
    </row>
    <row r="547" ht="15.75" customHeight="1">
      <c r="A547" s="147"/>
      <c r="B547" s="148"/>
      <c r="C547" s="133"/>
      <c r="D547" s="133"/>
      <c r="E547" s="148"/>
      <c r="F547" s="148"/>
      <c r="G547" s="148"/>
      <c r="H547" s="148"/>
      <c r="I547" s="148"/>
      <c r="J547" s="148"/>
      <c r="K547" s="150"/>
      <c r="L547" s="151"/>
      <c r="M547" s="133"/>
      <c r="N547" s="114"/>
      <c r="O547" s="133"/>
      <c r="P547" s="133"/>
      <c r="Q547" s="133"/>
      <c r="R547" s="133"/>
      <c r="S547" s="133"/>
      <c r="T547" s="133"/>
      <c r="U547" s="133"/>
      <c r="V547" s="133"/>
      <c r="W547" s="133"/>
      <c r="X547" s="133"/>
      <c r="Y547" s="133"/>
      <c r="Z547" s="133"/>
      <c r="AA547" s="133"/>
      <c r="AB547" s="102"/>
      <c r="AC547" s="102"/>
      <c r="AD547" s="103"/>
    </row>
    <row r="548" ht="15.75" customHeight="1">
      <c r="A548" s="142"/>
      <c r="B548" s="143"/>
      <c r="C548" s="136"/>
      <c r="D548" s="136"/>
      <c r="E548" s="143"/>
      <c r="F548" s="143"/>
      <c r="G548" s="143"/>
      <c r="H548" s="143"/>
      <c r="I548" s="143"/>
      <c r="J548" s="143"/>
      <c r="K548" s="145"/>
      <c r="L548" s="146"/>
      <c r="M548" s="136"/>
      <c r="N548" s="114"/>
      <c r="O548" s="136"/>
      <c r="P548" s="136"/>
      <c r="Q548" s="136"/>
      <c r="R548" s="136"/>
      <c r="S548" s="136"/>
      <c r="T548" s="136"/>
      <c r="U548" s="136"/>
      <c r="V548" s="136"/>
      <c r="W548" s="136"/>
      <c r="X548" s="136"/>
      <c r="Y548" s="136"/>
      <c r="Z548" s="136"/>
      <c r="AA548" s="136"/>
      <c r="AB548" s="102"/>
      <c r="AC548" s="102"/>
      <c r="AD548" s="103"/>
    </row>
    <row r="549" ht="15.75" customHeight="1">
      <c r="A549" s="147"/>
      <c r="B549" s="148"/>
      <c r="C549" s="133"/>
      <c r="D549" s="133"/>
      <c r="E549" s="148"/>
      <c r="F549" s="148"/>
      <c r="G549" s="148"/>
      <c r="H549" s="148"/>
      <c r="I549" s="148"/>
      <c r="J549" s="148"/>
      <c r="K549" s="150"/>
      <c r="L549" s="151"/>
      <c r="M549" s="133"/>
      <c r="N549" s="114"/>
      <c r="O549" s="133"/>
      <c r="P549" s="133"/>
      <c r="Q549" s="133"/>
      <c r="R549" s="133"/>
      <c r="S549" s="133"/>
      <c r="T549" s="133"/>
      <c r="U549" s="133"/>
      <c r="V549" s="133"/>
      <c r="W549" s="133"/>
      <c r="X549" s="133"/>
      <c r="Y549" s="133"/>
      <c r="Z549" s="133"/>
      <c r="AA549" s="133"/>
      <c r="AB549" s="102"/>
      <c r="AC549" s="102"/>
      <c r="AD549" s="103"/>
    </row>
    <row r="550" ht="15.75" customHeight="1">
      <c r="A550" s="142"/>
      <c r="B550" s="143"/>
      <c r="C550" s="136"/>
      <c r="D550" s="136"/>
      <c r="E550" s="143"/>
      <c r="F550" s="143"/>
      <c r="G550" s="143"/>
      <c r="H550" s="143"/>
      <c r="I550" s="143"/>
      <c r="J550" s="143"/>
      <c r="K550" s="145"/>
      <c r="L550" s="146"/>
      <c r="M550" s="136"/>
      <c r="N550" s="114"/>
      <c r="O550" s="136"/>
      <c r="P550" s="136"/>
      <c r="Q550" s="136"/>
      <c r="R550" s="136"/>
      <c r="S550" s="136"/>
      <c r="T550" s="136"/>
      <c r="U550" s="136"/>
      <c r="V550" s="136"/>
      <c r="W550" s="136"/>
      <c r="X550" s="136"/>
      <c r="Y550" s="136"/>
      <c r="Z550" s="136"/>
      <c r="AA550" s="136"/>
      <c r="AB550" s="102"/>
      <c r="AC550" s="102"/>
      <c r="AD550" s="103"/>
    </row>
    <row r="551" ht="15.75" customHeight="1">
      <c r="A551" s="147"/>
      <c r="B551" s="148"/>
      <c r="C551" s="133"/>
      <c r="D551" s="133"/>
      <c r="E551" s="148"/>
      <c r="F551" s="148"/>
      <c r="G551" s="148"/>
      <c r="H551" s="148"/>
      <c r="I551" s="148"/>
      <c r="J551" s="148"/>
      <c r="K551" s="150"/>
      <c r="L551" s="151"/>
      <c r="M551" s="133"/>
      <c r="N551" s="114"/>
      <c r="O551" s="133"/>
      <c r="P551" s="133"/>
      <c r="Q551" s="133"/>
      <c r="R551" s="133"/>
      <c r="S551" s="133"/>
      <c r="T551" s="133"/>
      <c r="U551" s="133"/>
      <c r="V551" s="133"/>
      <c r="W551" s="133"/>
      <c r="X551" s="133"/>
      <c r="Y551" s="133"/>
      <c r="Z551" s="133"/>
      <c r="AA551" s="133"/>
      <c r="AB551" s="102"/>
      <c r="AC551" s="102"/>
      <c r="AD551" s="103"/>
    </row>
    <row r="552" ht="15.75" customHeight="1">
      <c r="A552" s="142"/>
      <c r="B552" s="143"/>
      <c r="C552" s="136"/>
      <c r="D552" s="136"/>
      <c r="E552" s="143"/>
      <c r="F552" s="143"/>
      <c r="G552" s="143"/>
      <c r="H552" s="143"/>
      <c r="I552" s="143"/>
      <c r="J552" s="143"/>
      <c r="K552" s="145"/>
      <c r="L552" s="146"/>
      <c r="M552" s="136"/>
      <c r="N552" s="114"/>
      <c r="O552" s="136"/>
      <c r="P552" s="136"/>
      <c r="Q552" s="136"/>
      <c r="R552" s="136"/>
      <c r="S552" s="136"/>
      <c r="T552" s="136"/>
      <c r="U552" s="136"/>
      <c r="V552" s="136"/>
      <c r="W552" s="136"/>
      <c r="X552" s="136"/>
      <c r="Y552" s="136"/>
      <c r="Z552" s="136"/>
      <c r="AA552" s="136"/>
      <c r="AB552" s="102"/>
      <c r="AC552" s="102"/>
      <c r="AD552" s="103"/>
    </row>
    <row r="553" ht="15.75" customHeight="1">
      <c r="A553" s="147"/>
      <c r="B553" s="148"/>
      <c r="C553" s="133"/>
      <c r="D553" s="133"/>
      <c r="E553" s="148"/>
      <c r="F553" s="148"/>
      <c r="G553" s="148"/>
      <c r="H553" s="148"/>
      <c r="I553" s="148"/>
      <c r="J553" s="148"/>
      <c r="K553" s="150"/>
      <c r="L553" s="151"/>
      <c r="M553" s="133"/>
      <c r="N553" s="114"/>
      <c r="O553" s="133"/>
      <c r="P553" s="133"/>
      <c r="Q553" s="133"/>
      <c r="R553" s="133"/>
      <c r="S553" s="133"/>
      <c r="T553" s="133"/>
      <c r="U553" s="133"/>
      <c r="V553" s="133"/>
      <c r="W553" s="133"/>
      <c r="X553" s="133"/>
      <c r="Y553" s="133"/>
      <c r="Z553" s="133"/>
      <c r="AA553" s="133"/>
      <c r="AB553" s="102"/>
      <c r="AC553" s="102"/>
      <c r="AD553" s="103"/>
    </row>
    <row r="554" ht="15.75" customHeight="1">
      <c r="A554" s="142"/>
      <c r="B554" s="143"/>
      <c r="C554" s="136"/>
      <c r="D554" s="136"/>
      <c r="E554" s="143"/>
      <c r="F554" s="143"/>
      <c r="G554" s="143"/>
      <c r="H554" s="143"/>
      <c r="I554" s="143"/>
      <c r="J554" s="143"/>
      <c r="K554" s="145"/>
      <c r="L554" s="146"/>
      <c r="M554" s="136"/>
      <c r="N554" s="114"/>
      <c r="O554" s="136"/>
      <c r="P554" s="136"/>
      <c r="Q554" s="136"/>
      <c r="R554" s="136"/>
      <c r="S554" s="136"/>
      <c r="T554" s="136"/>
      <c r="U554" s="136"/>
      <c r="V554" s="136"/>
      <c r="W554" s="136"/>
      <c r="X554" s="136"/>
      <c r="Y554" s="136"/>
      <c r="Z554" s="136"/>
      <c r="AA554" s="136"/>
      <c r="AB554" s="102"/>
      <c r="AC554" s="102"/>
      <c r="AD554" s="103"/>
    </row>
    <row r="555" ht="15.75" customHeight="1">
      <c r="A555" s="147"/>
      <c r="B555" s="148"/>
      <c r="C555" s="133"/>
      <c r="D555" s="133"/>
      <c r="E555" s="148"/>
      <c r="F555" s="148"/>
      <c r="G555" s="148"/>
      <c r="H555" s="148"/>
      <c r="I555" s="148"/>
      <c r="J555" s="148"/>
      <c r="K555" s="150"/>
      <c r="L555" s="151"/>
      <c r="M555" s="133"/>
      <c r="N555" s="114"/>
      <c r="O555" s="133"/>
      <c r="P555" s="133"/>
      <c r="Q555" s="133"/>
      <c r="R555" s="133"/>
      <c r="S555" s="133"/>
      <c r="T555" s="133"/>
      <c r="U555" s="133"/>
      <c r="V555" s="133"/>
      <c r="W555" s="133"/>
      <c r="X555" s="133"/>
      <c r="Y555" s="133"/>
      <c r="Z555" s="133"/>
      <c r="AA555" s="133"/>
      <c r="AB555" s="102"/>
      <c r="AC555" s="102"/>
      <c r="AD555" s="103"/>
    </row>
    <row r="556" ht="15.75" customHeight="1">
      <c r="A556" s="142"/>
      <c r="B556" s="143"/>
      <c r="C556" s="136"/>
      <c r="D556" s="136"/>
      <c r="E556" s="143"/>
      <c r="F556" s="143"/>
      <c r="G556" s="143"/>
      <c r="H556" s="143"/>
      <c r="I556" s="143"/>
      <c r="J556" s="143"/>
      <c r="K556" s="145"/>
      <c r="L556" s="146"/>
      <c r="M556" s="136"/>
      <c r="N556" s="114"/>
      <c r="O556" s="136"/>
      <c r="P556" s="136"/>
      <c r="Q556" s="136"/>
      <c r="R556" s="136"/>
      <c r="S556" s="136"/>
      <c r="T556" s="136"/>
      <c r="U556" s="136"/>
      <c r="V556" s="136"/>
      <c r="W556" s="136"/>
      <c r="X556" s="136"/>
      <c r="Y556" s="136"/>
      <c r="Z556" s="136"/>
      <c r="AA556" s="136"/>
      <c r="AB556" s="102"/>
      <c r="AC556" s="102"/>
      <c r="AD556" s="103"/>
    </row>
    <row r="557" ht="15.75" customHeight="1">
      <c r="A557" s="147"/>
      <c r="B557" s="148"/>
      <c r="C557" s="133"/>
      <c r="D557" s="133"/>
      <c r="E557" s="148"/>
      <c r="F557" s="148"/>
      <c r="G557" s="148"/>
      <c r="H557" s="148"/>
      <c r="I557" s="148"/>
      <c r="J557" s="148"/>
      <c r="K557" s="150"/>
      <c r="L557" s="151"/>
      <c r="M557" s="133"/>
      <c r="N557" s="114"/>
      <c r="O557" s="133"/>
      <c r="P557" s="133"/>
      <c r="Q557" s="133"/>
      <c r="R557" s="133"/>
      <c r="S557" s="133"/>
      <c r="T557" s="133"/>
      <c r="U557" s="133"/>
      <c r="V557" s="133"/>
      <c r="W557" s="133"/>
      <c r="X557" s="133"/>
      <c r="Y557" s="133"/>
      <c r="Z557" s="133"/>
      <c r="AA557" s="133"/>
      <c r="AB557" s="102"/>
      <c r="AC557" s="102"/>
      <c r="AD557" s="103"/>
    </row>
    <row r="558" ht="15.75" customHeight="1">
      <c r="A558" s="142"/>
      <c r="B558" s="143"/>
      <c r="C558" s="136"/>
      <c r="D558" s="136"/>
      <c r="E558" s="143"/>
      <c r="F558" s="143"/>
      <c r="G558" s="143"/>
      <c r="H558" s="143"/>
      <c r="I558" s="143"/>
      <c r="J558" s="143"/>
      <c r="K558" s="145"/>
      <c r="L558" s="146"/>
      <c r="M558" s="136"/>
      <c r="N558" s="114"/>
      <c r="O558" s="136"/>
      <c r="P558" s="136"/>
      <c r="Q558" s="136"/>
      <c r="R558" s="136"/>
      <c r="S558" s="136"/>
      <c r="T558" s="136"/>
      <c r="U558" s="136"/>
      <c r="V558" s="136"/>
      <c r="W558" s="136"/>
      <c r="X558" s="136"/>
      <c r="Y558" s="136"/>
      <c r="Z558" s="136"/>
      <c r="AA558" s="136"/>
      <c r="AB558" s="102"/>
      <c r="AC558" s="102"/>
      <c r="AD558" s="103"/>
    </row>
    <row r="559" ht="15.75" customHeight="1">
      <c r="A559" s="147"/>
      <c r="B559" s="148"/>
      <c r="C559" s="133"/>
      <c r="D559" s="133"/>
      <c r="E559" s="148"/>
      <c r="F559" s="148"/>
      <c r="G559" s="148"/>
      <c r="H559" s="148"/>
      <c r="I559" s="148"/>
      <c r="J559" s="148"/>
      <c r="K559" s="150"/>
      <c r="L559" s="151"/>
      <c r="M559" s="133"/>
      <c r="N559" s="114"/>
      <c r="O559" s="133"/>
      <c r="P559" s="133"/>
      <c r="Q559" s="133"/>
      <c r="R559" s="133"/>
      <c r="S559" s="133"/>
      <c r="T559" s="133"/>
      <c r="U559" s="133"/>
      <c r="V559" s="133"/>
      <c r="W559" s="133"/>
      <c r="X559" s="133"/>
      <c r="Y559" s="133"/>
      <c r="Z559" s="133"/>
      <c r="AA559" s="133"/>
      <c r="AB559" s="102"/>
      <c r="AC559" s="102"/>
      <c r="AD559" s="103"/>
    </row>
    <row r="560" ht="15.75" customHeight="1">
      <c r="A560" s="142"/>
      <c r="B560" s="143"/>
      <c r="C560" s="136"/>
      <c r="D560" s="136"/>
      <c r="E560" s="143"/>
      <c r="F560" s="143"/>
      <c r="G560" s="143"/>
      <c r="H560" s="143"/>
      <c r="I560" s="143"/>
      <c r="J560" s="143"/>
      <c r="K560" s="145"/>
      <c r="L560" s="146"/>
      <c r="M560" s="136"/>
      <c r="N560" s="114"/>
      <c r="O560" s="136"/>
      <c r="P560" s="136"/>
      <c r="Q560" s="136"/>
      <c r="R560" s="136"/>
      <c r="S560" s="136"/>
      <c r="T560" s="136"/>
      <c r="U560" s="136"/>
      <c r="V560" s="136"/>
      <c r="W560" s="136"/>
      <c r="X560" s="136"/>
      <c r="Y560" s="136"/>
      <c r="Z560" s="136"/>
      <c r="AA560" s="136"/>
      <c r="AB560" s="102"/>
      <c r="AC560" s="102"/>
      <c r="AD560" s="103"/>
    </row>
    <row r="561" ht="15.75" customHeight="1">
      <c r="A561" s="147"/>
      <c r="B561" s="148"/>
      <c r="C561" s="133"/>
      <c r="D561" s="133"/>
      <c r="E561" s="148"/>
      <c r="F561" s="148"/>
      <c r="G561" s="148"/>
      <c r="H561" s="148"/>
      <c r="I561" s="148"/>
      <c r="J561" s="148"/>
      <c r="K561" s="150"/>
      <c r="L561" s="151"/>
      <c r="M561" s="133"/>
      <c r="N561" s="114"/>
      <c r="O561" s="133"/>
      <c r="P561" s="133"/>
      <c r="Q561" s="133"/>
      <c r="R561" s="133"/>
      <c r="S561" s="133"/>
      <c r="T561" s="133"/>
      <c r="U561" s="133"/>
      <c r="V561" s="133"/>
      <c r="W561" s="133"/>
      <c r="X561" s="133"/>
      <c r="Y561" s="133"/>
      <c r="Z561" s="133"/>
      <c r="AA561" s="133"/>
      <c r="AB561" s="102"/>
      <c r="AC561" s="102"/>
      <c r="AD561" s="103"/>
    </row>
    <row r="562" ht="15.75" customHeight="1">
      <c r="A562" s="142"/>
      <c r="B562" s="143"/>
      <c r="C562" s="136"/>
      <c r="D562" s="136"/>
      <c r="E562" s="143"/>
      <c r="F562" s="143"/>
      <c r="G562" s="143"/>
      <c r="H562" s="143"/>
      <c r="I562" s="143"/>
      <c r="J562" s="143"/>
      <c r="K562" s="145"/>
      <c r="L562" s="146"/>
      <c r="M562" s="136"/>
      <c r="N562" s="114"/>
      <c r="O562" s="136"/>
      <c r="P562" s="136"/>
      <c r="Q562" s="136"/>
      <c r="R562" s="136"/>
      <c r="S562" s="136"/>
      <c r="T562" s="136"/>
      <c r="U562" s="136"/>
      <c r="V562" s="136"/>
      <c r="W562" s="136"/>
      <c r="X562" s="136"/>
      <c r="Y562" s="136"/>
      <c r="Z562" s="136"/>
      <c r="AA562" s="136"/>
      <c r="AB562" s="102"/>
      <c r="AC562" s="102"/>
      <c r="AD562" s="103"/>
    </row>
    <row r="563" ht="15.75" customHeight="1">
      <c r="A563" s="147"/>
      <c r="B563" s="148"/>
      <c r="C563" s="133"/>
      <c r="D563" s="133"/>
      <c r="E563" s="148"/>
      <c r="F563" s="148"/>
      <c r="G563" s="148"/>
      <c r="H563" s="148"/>
      <c r="I563" s="148"/>
      <c r="J563" s="148"/>
      <c r="K563" s="150"/>
      <c r="L563" s="151"/>
      <c r="M563" s="133"/>
      <c r="N563" s="114"/>
      <c r="O563" s="133"/>
      <c r="P563" s="133"/>
      <c r="Q563" s="133"/>
      <c r="R563" s="133"/>
      <c r="S563" s="133"/>
      <c r="T563" s="133"/>
      <c r="U563" s="133"/>
      <c r="V563" s="133"/>
      <c r="W563" s="133"/>
      <c r="X563" s="133"/>
      <c r="Y563" s="133"/>
      <c r="Z563" s="133"/>
      <c r="AA563" s="133"/>
      <c r="AB563" s="102"/>
      <c r="AC563" s="102"/>
      <c r="AD563" s="103"/>
    </row>
    <row r="564" ht="15.75" customHeight="1">
      <c r="A564" s="142"/>
      <c r="B564" s="143"/>
      <c r="C564" s="136"/>
      <c r="D564" s="136"/>
      <c r="E564" s="143"/>
      <c r="F564" s="143"/>
      <c r="G564" s="143"/>
      <c r="H564" s="143"/>
      <c r="I564" s="143"/>
      <c r="J564" s="143"/>
      <c r="K564" s="145"/>
      <c r="L564" s="146"/>
      <c r="M564" s="136"/>
      <c r="N564" s="114"/>
      <c r="O564" s="136"/>
      <c r="P564" s="136"/>
      <c r="Q564" s="136"/>
      <c r="R564" s="136"/>
      <c r="S564" s="136"/>
      <c r="T564" s="136"/>
      <c r="U564" s="136"/>
      <c r="V564" s="136"/>
      <c r="W564" s="136"/>
      <c r="X564" s="136"/>
      <c r="Y564" s="136"/>
      <c r="Z564" s="136"/>
      <c r="AA564" s="136"/>
      <c r="AB564" s="102"/>
      <c r="AC564" s="102"/>
      <c r="AD564" s="103"/>
    </row>
    <row r="565" ht="15.75" customHeight="1">
      <c r="A565" s="147"/>
      <c r="B565" s="148"/>
      <c r="C565" s="133"/>
      <c r="D565" s="133"/>
      <c r="E565" s="148"/>
      <c r="F565" s="148"/>
      <c r="G565" s="148"/>
      <c r="H565" s="148"/>
      <c r="I565" s="148"/>
      <c r="J565" s="148"/>
      <c r="K565" s="150"/>
      <c r="L565" s="151"/>
      <c r="M565" s="133"/>
      <c r="N565" s="114"/>
      <c r="O565" s="133"/>
      <c r="P565" s="133"/>
      <c r="Q565" s="133"/>
      <c r="R565" s="133"/>
      <c r="S565" s="133"/>
      <c r="T565" s="133"/>
      <c r="U565" s="133"/>
      <c r="V565" s="133"/>
      <c r="W565" s="133"/>
      <c r="X565" s="133"/>
      <c r="Y565" s="133"/>
      <c r="Z565" s="133"/>
      <c r="AA565" s="133"/>
      <c r="AB565" s="102"/>
      <c r="AC565" s="102"/>
      <c r="AD565" s="103"/>
    </row>
    <row r="566" ht="15.75" customHeight="1">
      <c r="A566" s="142"/>
      <c r="B566" s="143"/>
      <c r="C566" s="136"/>
      <c r="D566" s="136"/>
      <c r="E566" s="143"/>
      <c r="F566" s="143"/>
      <c r="G566" s="143"/>
      <c r="H566" s="143"/>
      <c r="I566" s="143"/>
      <c r="J566" s="143"/>
      <c r="K566" s="145"/>
      <c r="L566" s="146"/>
      <c r="M566" s="136"/>
      <c r="N566" s="114"/>
      <c r="O566" s="136"/>
      <c r="P566" s="136"/>
      <c r="Q566" s="136"/>
      <c r="R566" s="136"/>
      <c r="S566" s="136"/>
      <c r="T566" s="136"/>
      <c r="U566" s="136"/>
      <c r="V566" s="136"/>
      <c r="W566" s="136"/>
      <c r="X566" s="136"/>
      <c r="Y566" s="136"/>
      <c r="Z566" s="136"/>
      <c r="AA566" s="136"/>
      <c r="AB566" s="102"/>
      <c r="AC566" s="102"/>
      <c r="AD566" s="103"/>
    </row>
    <row r="567" ht="15.75" customHeight="1">
      <c r="A567" s="147"/>
      <c r="B567" s="148"/>
      <c r="C567" s="133"/>
      <c r="D567" s="133"/>
      <c r="E567" s="148"/>
      <c r="F567" s="148"/>
      <c r="G567" s="148"/>
      <c r="H567" s="148"/>
      <c r="I567" s="148"/>
      <c r="J567" s="148"/>
      <c r="K567" s="150"/>
      <c r="L567" s="151"/>
      <c r="M567" s="133"/>
      <c r="N567" s="114"/>
      <c r="O567" s="133"/>
      <c r="P567" s="133"/>
      <c r="Q567" s="133"/>
      <c r="R567" s="133"/>
      <c r="S567" s="133"/>
      <c r="T567" s="133"/>
      <c r="U567" s="133"/>
      <c r="V567" s="133"/>
      <c r="W567" s="133"/>
      <c r="X567" s="133"/>
      <c r="Y567" s="133"/>
      <c r="Z567" s="133"/>
      <c r="AA567" s="133"/>
      <c r="AB567" s="102"/>
      <c r="AC567" s="102"/>
      <c r="AD567" s="103"/>
    </row>
    <row r="568" ht="15.75" customHeight="1">
      <c r="A568" s="142"/>
      <c r="B568" s="143"/>
      <c r="C568" s="136"/>
      <c r="D568" s="136"/>
      <c r="E568" s="143"/>
      <c r="F568" s="143"/>
      <c r="G568" s="143"/>
      <c r="H568" s="143"/>
      <c r="I568" s="143"/>
      <c r="J568" s="143"/>
      <c r="K568" s="145"/>
      <c r="L568" s="146"/>
      <c r="M568" s="136"/>
      <c r="N568" s="114"/>
      <c r="O568" s="136"/>
      <c r="P568" s="136"/>
      <c r="Q568" s="136"/>
      <c r="R568" s="136"/>
      <c r="S568" s="136"/>
      <c r="T568" s="136"/>
      <c r="U568" s="136"/>
      <c r="V568" s="136"/>
      <c r="W568" s="136"/>
      <c r="X568" s="136"/>
      <c r="Y568" s="136"/>
      <c r="Z568" s="136"/>
      <c r="AA568" s="136"/>
      <c r="AB568" s="102"/>
      <c r="AC568" s="102"/>
      <c r="AD568" s="103"/>
    </row>
    <row r="569" ht="15.75" customHeight="1">
      <c r="A569" s="147"/>
      <c r="B569" s="148"/>
      <c r="C569" s="133"/>
      <c r="D569" s="133"/>
      <c r="E569" s="148"/>
      <c r="F569" s="148"/>
      <c r="G569" s="148"/>
      <c r="H569" s="148"/>
      <c r="I569" s="148"/>
      <c r="J569" s="148"/>
      <c r="K569" s="150"/>
      <c r="L569" s="151"/>
      <c r="M569" s="133"/>
      <c r="N569" s="114"/>
      <c r="O569" s="133"/>
      <c r="P569" s="133"/>
      <c r="Q569" s="133"/>
      <c r="R569" s="133"/>
      <c r="S569" s="133"/>
      <c r="T569" s="133"/>
      <c r="U569" s="133"/>
      <c r="V569" s="133"/>
      <c r="W569" s="133"/>
      <c r="X569" s="133"/>
      <c r="Y569" s="133"/>
      <c r="Z569" s="133"/>
      <c r="AA569" s="133"/>
      <c r="AB569" s="102"/>
      <c r="AC569" s="102"/>
      <c r="AD569" s="103"/>
    </row>
    <row r="570" ht="15.75" customHeight="1">
      <c r="A570" s="142"/>
      <c r="B570" s="143"/>
      <c r="C570" s="136"/>
      <c r="D570" s="136"/>
      <c r="E570" s="143"/>
      <c r="F570" s="143"/>
      <c r="G570" s="143"/>
      <c r="H570" s="143"/>
      <c r="I570" s="143"/>
      <c r="J570" s="143"/>
      <c r="K570" s="145"/>
      <c r="L570" s="146"/>
      <c r="M570" s="136"/>
      <c r="N570" s="114"/>
      <c r="O570" s="136"/>
      <c r="P570" s="136"/>
      <c r="Q570" s="136"/>
      <c r="R570" s="136"/>
      <c r="S570" s="136"/>
      <c r="T570" s="136"/>
      <c r="U570" s="136"/>
      <c r="V570" s="136"/>
      <c r="W570" s="136"/>
      <c r="X570" s="136"/>
      <c r="Y570" s="136"/>
      <c r="Z570" s="136"/>
      <c r="AA570" s="136"/>
      <c r="AB570" s="102"/>
      <c r="AC570" s="102"/>
      <c r="AD570" s="103"/>
    </row>
    <row r="571" ht="15.75" customHeight="1">
      <c r="A571" s="147"/>
      <c r="B571" s="148"/>
      <c r="C571" s="133"/>
      <c r="D571" s="133"/>
      <c r="E571" s="148"/>
      <c r="F571" s="148"/>
      <c r="G571" s="148"/>
      <c r="H571" s="148"/>
      <c r="I571" s="148"/>
      <c r="J571" s="148"/>
      <c r="K571" s="150"/>
      <c r="L571" s="151"/>
      <c r="M571" s="133"/>
      <c r="N571" s="114"/>
      <c r="O571" s="133"/>
      <c r="P571" s="133"/>
      <c r="Q571" s="133"/>
      <c r="R571" s="133"/>
      <c r="S571" s="133"/>
      <c r="T571" s="133"/>
      <c r="U571" s="133"/>
      <c r="V571" s="133"/>
      <c r="W571" s="133"/>
      <c r="X571" s="133"/>
      <c r="Y571" s="133"/>
      <c r="Z571" s="133"/>
      <c r="AA571" s="133"/>
      <c r="AB571" s="102"/>
      <c r="AC571" s="102"/>
      <c r="AD571" s="103"/>
    </row>
    <row r="572" ht="15.75" customHeight="1">
      <c r="A572" s="142"/>
      <c r="B572" s="143"/>
      <c r="C572" s="136"/>
      <c r="D572" s="136"/>
      <c r="E572" s="143"/>
      <c r="F572" s="143"/>
      <c r="G572" s="143"/>
      <c r="H572" s="143"/>
      <c r="I572" s="143"/>
      <c r="J572" s="143"/>
      <c r="K572" s="145"/>
      <c r="L572" s="146"/>
      <c r="M572" s="136"/>
      <c r="N572" s="114"/>
      <c r="O572" s="136"/>
      <c r="P572" s="136"/>
      <c r="Q572" s="136"/>
      <c r="R572" s="136"/>
      <c r="S572" s="136"/>
      <c r="T572" s="136"/>
      <c r="U572" s="136"/>
      <c r="V572" s="136"/>
      <c r="W572" s="136"/>
      <c r="X572" s="136"/>
      <c r="Y572" s="136"/>
      <c r="Z572" s="136"/>
      <c r="AA572" s="136"/>
      <c r="AB572" s="102"/>
      <c r="AC572" s="102"/>
      <c r="AD572" s="103"/>
    </row>
    <row r="573" ht="15.75" customHeight="1">
      <c r="A573" s="147"/>
      <c r="B573" s="148"/>
      <c r="C573" s="133"/>
      <c r="D573" s="133"/>
      <c r="E573" s="148"/>
      <c r="F573" s="148"/>
      <c r="G573" s="148"/>
      <c r="H573" s="148"/>
      <c r="I573" s="148"/>
      <c r="J573" s="148"/>
      <c r="K573" s="150"/>
      <c r="L573" s="151"/>
      <c r="M573" s="133"/>
      <c r="N573" s="114"/>
      <c r="O573" s="133"/>
      <c r="P573" s="133"/>
      <c r="Q573" s="133"/>
      <c r="R573" s="133"/>
      <c r="S573" s="133"/>
      <c r="T573" s="133"/>
      <c r="U573" s="133"/>
      <c r="V573" s="133"/>
      <c r="W573" s="133"/>
      <c r="X573" s="133"/>
      <c r="Y573" s="133"/>
      <c r="Z573" s="133"/>
      <c r="AA573" s="133"/>
      <c r="AB573" s="102"/>
      <c r="AC573" s="102"/>
      <c r="AD573" s="103"/>
    </row>
    <row r="574" ht="15.75" customHeight="1">
      <c r="A574" s="142"/>
      <c r="B574" s="143"/>
      <c r="C574" s="136"/>
      <c r="D574" s="136"/>
      <c r="E574" s="143"/>
      <c r="F574" s="143"/>
      <c r="G574" s="143"/>
      <c r="H574" s="143"/>
      <c r="I574" s="143"/>
      <c r="J574" s="143"/>
      <c r="K574" s="145"/>
      <c r="L574" s="146"/>
      <c r="M574" s="136"/>
      <c r="N574" s="114"/>
      <c r="O574" s="136"/>
      <c r="P574" s="136"/>
      <c r="Q574" s="136"/>
      <c r="R574" s="136"/>
      <c r="S574" s="136"/>
      <c r="T574" s="136"/>
      <c r="U574" s="136"/>
      <c r="V574" s="136"/>
      <c r="W574" s="136"/>
      <c r="X574" s="136"/>
      <c r="Y574" s="136"/>
      <c r="Z574" s="136"/>
      <c r="AA574" s="136"/>
      <c r="AB574" s="102"/>
      <c r="AC574" s="102"/>
      <c r="AD574" s="103"/>
    </row>
    <row r="575" ht="15.75" customHeight="1">
      <c r="A575" s="147"/>
      <c r="B575" s="148"/>
      <c r="C575" s="133"/>
      <c r="D575" s="133"/>
      <c r="E575" s="148"/>
      <c r="F575" s="148"/>
      <c r="G575" s="148"/>
      <c r="H575" s="148"/>
      <c r="I575" s="148"/>
      <c r="J575" s="148"/>
      <c r="K575" s="150"/>
      <c r="L575" s="151"/>
      <c r="M575" s="133"/>
      <c r="N575" s="114"/>
      <c r="O575" s="133"/>
      <c r="P575" s="133"/>
      <c r="Q575" s="133"/>
      <c r="R575" s="133"/>
      <c r="S575" s="133"/>
      <c r="T575" s="133"/>
      <c r="U575" s="133"/>
      <c r="V575" s="133"/>
      <c r="W575" s="133"/>
      <c r="X575" s="133"/>
      <c r="Y575" s="133"/>
      <c r="Z575" s="133"/>
      <c r="AA575" s="133"/>
      <c r="AB575" s="102"/>
      <c r="AC575" s="102"/>
      <c r="AD575" s="103"/>
    </row>
    <row r="576" ht="15.75" customHeight="1">
      <c r="A576" s="142"/>
      <c r="B576" s="143"/>
      <c r="C576" s="136"/>
      <c r="D576" s="136"/>
      <c r="E576" s="143"/>
      <c r="F576" s="143"/>
      <c r="G576" s="143"/>
      <c r="H576" s="143"/>
      <c r="I576" s="143"/>
      <c r="J576" s="143"/>
      <c r="K576" s="145"/>
      <c r="L576" s="146"/>
      <c r="M576" s="136"/>
      <c r="N576" s="114"/>
      <c r="O576" s="136"/>
      <c r="P576" s="136"/>
      <c r="Q576" s="136"/>
      <c r="R576" s="136"/>
      <c r="S576" s="136"/>
      <c r="T576" s="136"/>
      <c r="U576" s="136"/>
      <c r="V576" s="136"/>
      <c r="W576" s="136"/>
      <c r="X576" s="136"/>
      <c r="Y576" s="136"/>
      <c r="Z576" s="136"/>
      <c r="AA576" s="136"/>
      <c r="AB576" s="102"/>
      <c r="AC576" s="102"/>
      <c r="AD576" s="103"/>
    </row>
    <row r="577" ht="15.75" customHeight="1">
      <c r="A577" s="147"/>
      <c r="B577" s="148"/>
      <c r="C577" s="133"/>
      <c r="D577" s="133"/>
      <c r="E577" s="148"/>
      <c r="F577" s="148"/>
      <c r="G577" s="148"/>
      <c r="H577" s="148"/>
      <c r="I577" s="148"/>
      <c r="J577" s="148"/>
      <c r="K577" s="150"/>
      <c r="L577" s="151"/>
      <c r="M577" s="133"/>
      <c r="N577" s="114"/>
      <c r="O577" s="133"/>
      <c r="P577" s="133"/>
      <c r="Q577" s="133"/>
      <c r="R577" s="133"/>
      <c r="S577" s="133"/>
      <c r="T577" s="133"/>
      <c r="U577" s="133"/>
      <c r="V577" s="133"/>
      <c r="W577" s="133"/>
      <c r="X577" s="133"/>
      <c r="Y577" s="133"/>
      <c r="Z577" s="133"/>
      <c r="AA577" s="133"/>
      <c r="AB577" s="102"/>
      <c r="AC577" s="102"/>
      <c r="AD577" s="103"/>
    </row>
    <row r="578" ht="15.75" customHeight="1">
      <c r="A578" s="142"/>
      <c r="B578" s="143"/>
      <c r="C578" s="136"/>
      <c r="D578" s="136"/>
      <c r="E578" s="143"/>
      <c r="F578" s="143"/>
      <c r="G578" s="143"/>
      <c r="H578" s="143"/>
      <c r="I578" s="143"/>
      <c r="J578" s="143"/>
      <c r="K578" s="145"/>
      <c r="L578" s="146"/>
      <c r="M578" s="136"/>
      <c r="N578" s="114"/>
      <c r="O578" s="136"/>
      <c r="P578" s="136"/>
      <c r="Q578" s="136"/>
      <c r="R578" s="136"/>
      <c r="S578" s="136"/>
      <c r="T578" s="136"/>
      <c r="U578" s="136"/>
      <c r="V578" s="136"/>
      <c r="W578" s="136"/>
      <c r="X578" s="136"/>
      <c r="Y578" s="136"/>
      <c r="Z578" s="136"/>
      <c r="AA578" s="136"/>
      <c r="AB578" s="102"/>
      <c r="AC578" s="102"/>
      <c r="AD578" s="103"/>
    </row>
    <row r="579" ht="15.75" customHeight="1">
      <c r="A579" s="147"/>
      <c r="B579" s="148"/>
      <c r="C579" s="133"/>
      <c r="D579" s="133"/>
      <c r="E579" s="148"/>
      <c r="F579" s="148"/>
      <c r="G579" s="148"/>
      <c r="H579" s="148"/>
      <c r="I579" s="148"/>
      <c r="J579" s="148"/>
      <c r="K579" s="150"/>
      <c r="L579" s="151"/>
      <c r="M579" s="133"/>
      <c r="N579" s="114"/>
      <c r="O579" s="133"/>
      <c r="P579" s="133"/>
      <c r="Q579" s="133"/>
      <c r="R579" s="133"/>
      <c r="S579" s="133"/>
      <c r="T579" s="133"/>
      <c r="U579" s="133"/>
      <c r="V579" s="133"/>
      <c r="W579" s="133"/>
      <c r="X579" s="133"/>
      <c r="Y579" s="133"/>
      <c r="Z579" s="133"/>
      <c r="AA579" s="133"/>
      <c r="AB579" s="102"/>
      <c r="AC579" s="102"/>
      <c r="AD579" s="103"/>
    </row>
    <row r="580" ht="15.75" customHeight="1">
      <c r="A580" s="142"/>
      <c r="B580" s="143"/>
      <c r="C580" s="136"/>
      <c r="D580" s="136"/>
      <c r="E580" s="143"/>
      <c r="F580" s="143"/>
      <c r="G580" s="143"/>
      <c r="H580" s="143"/>
      <c r="I580" s="143"/>
      <c r="J580" s="143"/>
      <c r="K580" s="145"/>
      <c r="L580" s="146"/>
      <c r="M580" s="136"/>
      <c r="N580" s="114"/>
      <c r="O580" s="136"/>
      <c r="P580" s="136"/>
      <c r="Q580" s="136"/>
      <c r="R580" s="136"/>
      <c r="S580" s="136"/>
      <c r="T580" s="136"/>
      <c r="U580" s="136"/>
      <c r="V580" s="136"/>
      <c r="W580" s="136"/>
      <c r="X580" s="136"/>
      <c r="Y580" s="136"/>
      <c r="Z580" s="136"/>
      <c r="AA580" s="136"/>
      <c r="AB580" s="102"/>
      <c r="AC580" s="102"/>
      <c r="AD580" s="103"/>
    </row>
    <row r="581" ht="15.75" customHeight="1">
      <c r="A581" s="147"/>
      <c r="B581" s="148"/>
      <c r="C581" s="133"/>
      <c r="D581" s="133"/>
      <c r="E581" s="148"/>
      <c r="F581" s="148"/>
      <c r="G581" s="148"/>
      <c r="H581" s="148"/>
      <c r="I581" s="148"/>
      <c r="J581" s="148"/>
      <c r="K581" s="150"/>
      <c r="L581" s="151"/>
      <c r="M581" s="133"/>
      <c r="N581" s="114"/>
      <c r="O581" s="133"/>
      <c r="P581" s="133"/>
      <c r="Q581" s="133"/>
      <c r="R581" s="133"/>
      <c r="S581" s="133"/>
      <c r="T581" s="133"/>
      <c r="U581" s="133"/>
      <c r="V581" s="133"/>
      <c r="W581" s="133"/>
      <c r="X581" s="133"/>
      <c r="Y581" s="133"/>
      <c r="Z581" s="133"/>
      <c r="AA581" s="133"/>
      <c r="AB581" s="102"/>
      <c r="AC581" s="102"/>
      <c r="AD581" s="103"/>
    </row>
    <row r="582" ht="15.75" customHeight="1">
      <c r="A582" s="142"/>
      <c r="B582" s="143"/>
      <c r="C582" s="136"/>
      <c r="D582" s="136"/>
      <c r="E582" s="143"/>
      <c r="F582" s="143"/>
      <c r="G582" s="143"/>
      <c r="H582" s="143"/>
      <c r="I582" s="143"/>
      <c r="J582" s="143"/>
      <c r="K582" s="145"/>
      <c r="L582" s="146"/>
      <c r="M582" s="136"/>
      <c r="N582" s="114"/>
      <c r="O582" s="136"/>
      <c r="P582" s="136"/>
      <c r="Q582" s="136"/>
      <c r="R582" s="136"/>
      <c r="S582" s="136"/>
      <c r="T582" s="136"/>
      <c r="U582" s="136"/>
      <c r="V582" s="136"/>
      <c r="W582" s="136"/>
      <c r="X582" s="136"/>
      <c r="Y582" s="136"/>
      <c r="Z582" s="136"/>
      <c r="AA582" s="136"/>
      <c r="AB582" s="102"/>
      <c r="AC582" s="102"/>
      <c r="AD582" s="103"/>
    </row>
    <row r="583" ht="15.75" customHeight="1">
      <c r="A583" s="147"/>
      <c r="B583" s="148"/>
      <c r="C583" s="133"/>
      <c r="D583" s="133"/>
      <c r="E583" s="148"/>
      <c r="F583" s="148"/>
      <c r="G583" s="148"/>
      <c r="H583" s="148"/>
      <c r="I583" s="148"/>
      <c r="J583" s="148"/>
      <c r="K583" s="150"/>
      <c r="L583" s="151"/>
      <c r="M583" s="133"/>
      <c r="N583" s="114"/>
      <c r="O583" s="133"/>
      <c r="P583" s="133"/>
      <c r="Q583" s="133"/>
      <c r="R583" s="133"/>
      <c r="S583" s="133"/>
      <c r="T583" s="133"/>
      <c r="U583" s="133"/>
      <c r="V583" s="133"/>
      <c r="W583" s="133"/>
      <c r="X583" s="133"/>
      <c r="Y583" s="133"/>
      <c r="Z583" s="133"/>
      <c r="AA583" s="133"/>
      <c r="AB583" s="102"/>
      <c r="AC583" s="102"/>
      <c r="AD583" s="103"/>
    </row>
    <row r="584" ht="15.75" customHeight="1">
      <c r="A584" s="142"/>
      <c r="B584" s="143"/>
      <c r="C584" s="136"/>
      <c r="D584" s="136"/>
      <c r="E584" s="143"/>
      <c r="F584" s="143"/>
      <c r="G584" s="143"/>
      <c r="H584" s="143"/>
      <c r="I584" s="143"/>
      <c r="J584" s="143"/>
      <c r="K584" s="145"/>
      <c r="L584" s="146"/>
      <c r="M584" s="136"/>
      <c r="N584" s="114"/>
      <c r="O584" s="136"/>
      <c r="P584" s="136"/>
      <c r="Q584" s="136"/>
      <c r="R584" s="136"/>
      <c r="S584" s="136"/>
      <c r="T584" s="136"/>
      <c r="U584" s="136"/>
      <c r="V584" s="136"/>
      <c r="W584" s="136"/>
      <c r="X584" s="136"/>
      <c r="Y584" s="136"/>
      <c r="Z584" s="136"/>
      <c r="AA584" s="136"/>
      <c r="AB584" s="102"/>
      <c r="AC584" s="102"/>
      <c r="AD584" s="103"/>
    </row>
    <row r="585" ht="15.75" customHeight="1">
      <c r="A585" s="147"/>
      <c r="B585" s="148"/>
      <c r="C585" s="133"/>
      <c r="D585" s="133"/>
      <c r="E585" s="148"/>
      <c r="F585" s="148"/>
      <c r="G585" s="148"/>
      <c r="H585" s="148"/>
      <c r="I585" s="148"/>
      <c r="J585" s="148"/>
      <c r="K585" s="150"/>
      <c r="L585" s="151"/>
      <c r="M585" s="133"/>
      <c r="N585" s="114"/>
      <c r="O585" s="133"/>
      <c r="P585" s="133"/>
      <c r="Q585" s="133"/>
      <c r="R585" s="133"/>
      <c r="S585" s="133"/>
      <c r="T585" s="133"/>
      <c r="U585" s="133"/>
      <c r="V585" s="133"/>
      <c r="W585" s="133"/>
      <c r="X585" s="133"/>
      <c r="Y585" s="133"/>
      <c r="Z585" s="133"/>
      <c r="AA585" s="133"/>
      <c r="AB585" s="102"/>
      <c r="AC585" s="102"/>
      <c r="AD585" s="103"/>
    </row>
    <row r="586" ht="15.75" customHeight="1">
      <c r="A586" s="142"/>
      <c r="B586" s="143"/>
      <c r="C586" s="136"/>
      <c r="D586" s="136"/>
      <c r="E586" s="143"/>
      <c r="F586" s="143"/>
      <c r="G586" s="143"/>
      <c r="H586" s="143"/>
      <c r="I586" s="143"/>
      <c r="J586" s="143"/>
      <c r="K586" s="145"/>
      <c r="L586" s="146"/>
      <c r="M586" s="136"/>
      <c r="N586" s="114"/>
      <c r="O586" s="136"/>
      <c r="P586" s="136"/>
      <c r="Q586" s="136"/>
      <c r="R586" s="136"/>
      <c r="S586" s="136"/>
      <c r="T586" s="136"/>
      <c r="U586" s="136"/>
      <c r="V586" s="136"/>
      <c r="W586" s="136"/>
      <c r="X586" s="136"/>
      <c r="Y586" s="136"/>
      <c r="Z586" s="136"/>
      <c r="AA586" s="136"/>
      <c r="AB586" s="102"/>
      <c r="AC586" s="102"/>
      <c r="AD586" s="103"/>
    </row>
    <row r="587" ht="15.75" customHeight="1">
      <c r="A587" s="147"/>
      <c r="B587" s="148"/>
      <c r="C587" s="133"/>
      <c r="D587" s="133"/>
      <c r="E587" s="148"/>
      <c r="F587" s="148"/>
      <c r="G587" s="148"/>
      <c r="H587" s="148"/>
      <c r="I587" s="148"/>
      <c r="J587" s="148"/>
      <c r="K587" s="150"/>
      <c r="L587" s="151"/>
      <c r="M587" s="133"/>
      <c r="N587" s="114"/>
      <c r="O587" s="133"/>
      <c r="P587" s="133"/>
      <c r="Q587" s="133"/>
      <c r="R587" s="133"/>
      <c r="S587" s="133"/>
      <c r="T587" s="133"/>
      <c r="U587" s="133"/>
      <c r="V587" s="133"/>
      <c r="W587" s="133"/>
      <c r="X587" s="133"/>
      <c r="Y587" s="133"/>
      <c r="Z587" s="133"/>
      <c r="AA587" s="133"/>
      <c r="AB587" s="102"/>
      <c r="AC587" s="102"/>
      <c r="AD587" s="103"/>
    </row>
    <row r="588" ht="15.75" customHeight="1">
      <c r="A588" s="142"/>
      <c r="B588" s="143"/>
      <c r="C588" s="136"/>
      <c r="D588" s="136"/>
      <c r="E588" s="143"/>
      <c r="F588" s="143"/>
      <c r="G588" s="143"/>
      <c r="H588" s="143"/>
      <c r="I588" s="143"/>
      <c r="J588" s="143"/>
      <c r="K588" s="145"/>
      <c r="L588" s="146"/>
      <c r="M588" s="136"/>
      <c r="N588" s="114"/>
      <c r="O588" s="136"/>
      <c r="P588" s="136"/>
      <c r="Q588" s="136"/>
      <c r="R588" s="136"/>
      <c r="S588" s="136"/>
      <c r="T588" s="136"/>
      <c r="U588" s="136"/>
      <c r="V588" s="136"/>
      <c r="W588" s="136"/>
      <c r="X588" s="136"/>
      <c r="Y588" s="136"/>
      <c r="Z588" s="136"/>
      <c r="AA588" s="136"/>
      <c r="AB588" s="102"/>
      <c r="AC588" s="102"/>
      <c r="AD588" s="103"/>
    </row>
    <row r="589" ht="15.75" customHeight="1">
      <c r="A589" s="147"/>
      <c r="B589" s="148"/>
      <c r="C589" s="133"/>
      <c r="D589" s="133"/>
      <c r="E589" s="148"/>
      <c r="F589" s="148"/>
      <c r="G589" s="148"/>
      <c r="H589" s="148"/>
      <c r="I589" s="148"/>
      <c r="J589" s="148"/>
      <c r="K589" s="150"/>
      <c r="L589" s="151"/>
      <c r="M589" s="133"/>
      <c r="N589" s="114"/>
      <c r="O589" s="133"/>
      <c r="P589" s="133"/>
      <c r="Q589" s="133"/>
      <c r="R589" s="133"/>
      <c r="S589" s="133"/>
      <c r="T589" s="133"/>
      <c r="U589" s="133"/>
      <c r="V589" s="133"/>
      <c r="W589" s="133"/>
      <c r="X589" s="133"/>
      <c r="Y589" s="133"/>
      <c r="Z589" s="133"/>
      <c r="AA589" s="133"/>
      <c r="AB589" s="102"/>
      <c r="AC589" s="102"/>
      <c r="AD589" s="103"/>
    </row>
    <row r="590" ht="15.75" customHeight="1">
      <c r="A590" s="142"/>
      <c r="B590" s="143"/>
      <c r="C590" s="136"/>
      <c r="D590" s="136"/>
      <c r="E590" s="143"/>
      <c r="F590" s="143"/>
      <c r="G590" s="143"/>
      <c r="H590" s="143"/>
      <c r="I590" s="143"/>
      <c r="J590" s="143"/>
      <c r="K590" s="145"/>
      <c r="L590" s="146"/>
      <c r="M590" s="136"/>
      <c r="N590" s="114"/>
      <c r="O590" s="136"/>
      <c r="P590" s="136"/>
      <c r="Q590" s="136"/>
      <c r="R590" s="136"/>
      <c r="S590" s="136"/>
      <c r="T590" s="136"/>
      <c r="U590" s="136"/>
      <c r="V590" s="136"/>
      <c r="W590" s="136"/>
      <c r="X590" s="136"/>
      <c r="Y590" s="136"/>
      <c r="Z590" s="136"/>
      <c r="AA590" s="136"/>
      <c r="AB590" s="102"/>
      <c r="AC590" s="102"/>
      <c r="AD590" s="103"/>
    </row>
    <row r="591" ht="15.75" customHeight="1">
      <c r="A591" s="147"/>
      <c r="B591" s="148"/>
      <c r="C591" s="133"/>
      <c r="D591" s="133"/>
      <c r="E591" s="148"/>
      <c r="F591" s="148"/>
      <c r="G591" s="148"/>
      <c r="H591" s="148"/>
      <c r="I591" s="148"/>
      <c r="J591" s="148"/>
      <c r="K591" s="150"/>
      <c r="L591" s="151"/>
      <c r="M591" s="133"/>
      <c r="N591" s="114"/>
      <c r="O591" s="133"/>
      <c r="P591" s="133"/>
      <c r="Q591" s="133"/>
      <c r="R591" s="133"/>
      <c r="S591" s="133"/>
      <c r="T591" s="133"/>
      <c r="U591" s="133"/>
      <c r="V591" s="133"/>
      <c r="W591" s="133"/>
      <c r="X591" s="133"/>
      <c r="Y591" s="133"/>
      <c r="Z591" s="133"/>
      <c r="AA591" s="133"/>
      <c r="AB591" s="102"/>
      <c r="AC591" s="102"/>
      <c r="AD591" s="103"/>
    </row>
    <row r="592" ht="15.75" customHeight="1">
      <c r="A592" s="142"/>
      <c r="B592" s="143"/>
      <c r="C592" s="136"/>
      <c r="D592" s="136"/>
      <c r="E592" s="143"/>
      <c r="F592" s="143"/>
      <c r="G592" s="143"/>
      <c r="H592" s="143"/>
      <c r="I592" s="143"/>
      <c r="J592" s="143"/>
      <c r="K592" s="145"/>
      <c r="L592" s="146"/>
      <c r="M592" s="136"/>
      <c r="N592" s="114"/>
      <c r="O592" s="136"/>
      <c r="P592" s="136"/>
      <c r="Q592" s="136"/>
      <c r="R592" s="136"/>
      <c r="S592" s="136"/>
      <c r="T592" s="136"/>
      <c r="U592" s="136"/>
      <c r="V592" s="136"/>
      <c r="W592" s="136"/>
      <c r="X592" s="136"/>
      <c r="Y592" s="136"/>
      <c r="Z592" s="136"/>
      <c r="AA592" s="136"/>
      <c r="AB592" s="102"/>
      <c r="AC592" s="102"/>
      <c r="AD592" s="103"/>
    </row>
    <row r="593" ht="15.75" customHeight="1">
      <c r="A593" s="147"/>
      <c r="B593" s="148"/>
      <c r="C593" s="133"/>
      <c r="D593" s="133"/>
      <c r="E593" s="148"/>
      <c r="F593" s="148"/>
      <c r="G593" s="148"/>
      <c r="H593" s="148"/>
      <c r="I593" s="148"/>
      <c r="J593" s="148"/>
      <c r="K593" s="150"/>
      <c r="L593" s="151"/>
      <c r="M593" s="133"/>
      <c r="N593" s="114"/>
      <c r="O593" s="133"/>
      <c r="P593" s="133"/>
      <c r="Q593" s="133"/>
      <c r="R593" s="133"/>
      <c r="S593" s="133"/>
      <c r="T593" s="133"/>
      <c r="U593" s="133"/>
      <c r="V593" s="133"/>
      <c r="W593" s="133"/>
      <c r="X593" s="133"/>
      <c r="Y593" s="133"/>
      <c r="Z593" s="133"/>
      <c r="AA593" s="133"/>
      <c r="AB593" s="102"/>
      <c r="AC593" s="102"/>
      <c r="AD593" s="103"/>
    </row>
    <row r="594" ht="15.75" customHeight="1">
      <c r="A594" s="142"/>
      <c r="B594" s="143"/>
      <c r="C594" s="136"/>
      <c r="D594" s="136"/>
      <c r="E594" s="143"/>
      <c r="F594" s="143"/>
      <c r="G594" s="143"/>
      <c r="H594" s="143"/>
      <c r="I594" s="143"/>
      <c r="J594" s="143"/>
      <c r="K594" s="145"/>
      <c r="L594" s="146"/>
      <c r="M594" s="136"/>
      <c r="N594" s="114"/>
      <c r="O594" s="136"/>
      <c r="P594" s="136"/>
      <c r="Q594" s="136"/>
      <c r="R594" s="136"/>
      <c r="S594" s="136"/>
      <c r="T594" s="136"/>
      <c r="U594" s="136"/>
      <c r="V594" s="136"/>
      <c r="W594" s="136"/>
      <c r="X594" s="136"/>
      <c r="Y594" s="136"/>
      <c r="Z594" s="136"/>
      <c r="AA594" s="136"/>
      <c r="AB594" s="102"/>
      <c r="AC594" s="102"/>
      <c r="AD594" s="103"/>
    </row>
    <row r="595" ht="15.75" customHeight="1">
      <c r="A595" s="147"/>
      <c r="B595" s="148"/>
      <c r="C595" s="133"/>
      <c r="D595" s="133"/>
      <c r="E595" s="148"/>
      <c r="F595" s="148"/>
      <c r="G595" s="148"/>
      <c r="H595" s="148"/>
      <c r="I595" s="148"/>
      <c r="J595" s="148"/>
      <c r="K595" s="150"/>
      <c r="L595" s="151"/>
      <c r="M595" s="133"/>
      <c r="N595" s="114"/>
      <c r="O595" s="133"/>
      <c r="P595" s="133"/>
      <c r="Q595" s="133"/>
      <c r="R595" s="133"/>
      <c r="S595" s="133"/>
      <c r="T595" s="133"/>
      <c r="U595" s="133"/>
      <c r="V595" s="133"/>
      <c r="W595" s="133"/>
      <c r="X595" s="133"/>
      <c r="Y595" s="133"/>
      <c r="Z595" s="133"/>
      <c r="AA595" s="133"/>
      <c r="AB595" s="102"/>
      <c r="AC595" s="102"/>
      <c r="AD595" s="103"/>
    </row>
    <row r="596" ht="15.75" customHeight="1">
      <c r="A596" s="142"/>
      <c r="B596" s="143"/>
      <c r="C596" s="136"/>
      <c r="D596" s="136"/>
      <c r="E596" s="143"/>
      <c r="F596" s="143"/>
      <c r="G596" s="143"/>
      <c r="H596" s="143"/>
      <c r="I596" s="143"/>
      <c r="J596" s="143"/>
      <c r="K596" s="145"/>
      <c r="L596" s="146"/>
      <c r="M596" s="136"/>
      <c r="N596" s="114"/>
      <c r="O596" s="136"/>
      <c r="P596" s="136"/>
      <c r="Q596" s="136"/>
      <c r="R596" s="136"/>
      <c r="S596" s="136"/>
      <c r="T596" s="136"/>
      <c r="U596" s="136"/>
      <c r="V596" s="136"/>
      <c r="W596" s="136"/>
      <c r="X596" s="136"/>
      <c r="Y596" s="136"/>
      <c r="Z596" s="136"/>
      <c r="AA596" s="136"/>
      <c r="AB596" s="102"/>
      <c r="AC596" s="102"/>
      <c r="AD596" s="103"/>
    </row>
    <row r="597" ht="15.75" customHeight="1">
      <c r="A597" s="147"/>
      <c r="B597" s="148"/>
      <c r="C597" s="133"/>
      <c r="D597" s="133"/>
      <c r="E597" s="148"/>
      <c r="F597" s="148"/>
      <c r="G597" s="148"/>
      <c r="H597" s="148"/>
      <c r="I597" s="148"/>
      <c r="J597" s="148"/>
      <c r="K597" s="150"/>
      <c r="L597" s="151"/>
      <c r="M597" s="133"/>
      <c r="N597" s="114"/>
      <c r="O597" s="133"/>
      <c r="P597" s="133"/>
      <c r="Q597" s="133"/>
      <c r="R597" s="133"/>
      <c r="S597" s="133"/>
      <c r="T597" s="133"/>
      <c r="U597" s="133"/>
      <c r="V597" s="133"/>
      <c r="W597" s="133"/>
      <c r="X597" s="133"/>
      <c r="Y597" s="133"/>
      <c r="Z597" s="133"/>
      <c r="AA597" s="133"/>
      <c r="AB597" s="102"/>
      <c r="AC597" s="102"/>
      <c r="AD597" s="103"/>
    </row>
    <row r="598" ht="15.75" customHeight="1">
      <c r="A598" s="142"/>
      <c r="B598" s="143"/>
      <c r="C598" s="136"/>
      <c r="D598" s="136"/>
      <c r="E598" s="143"/>
      <c r="F598" s="143"/>
      <c r="G598" s="143"/>
      <c r="H598" s="143"/>
      <c r="I598" s="143"/>
      <c r="J598" s="143"/>
      <c r="K598" s="145"/>
      <c r="L598" s="146"/>
      <c r="M598" s="136"/>
      <c r="N598" s="114"/>
      <c r="O598" s="136"/>
      <c r="P598" s="136"/>
      <c r="Q598" s="136"/>
      <c r="R598" s="136"/>
      <c r="S598" s="136"/>
      <c r="T598" s="136"/>
      <c r="U598" s="136"/>
      <c r="V598" s="136"/>
      <c r="W598" s="136"/>
      <c r="X598" s="136"/>
      <c r="Y598" s="136"/>
      <c r="Z598" s="136"/>
      <c r="AA598" s="136"/>
      <c r="AB598" s="102"/>
      <c r="AC598" s="102"/>
      <c r="AD598" s="103"/>
    </row>
    <row r="599" ht="15.75" customHeight="1">
      <c r="A599" s="147"/>
      <c r="B599" s="148"/>
      <c r="C599" s="133"/>
      <c r="D599" s="133"/>
      <c r="E599" s="148"/>
      <c r="F599" s="148"/>
      <c r="G599" s="148"/>
      <c r="H599" s="148"/>
      <c r="I599" s="148"/>
      <c r="J599" s="148"/>
      <c r="K599" s="150"/>
      <c r="L599" s="151"/>
      <c r="M599" s="133"/>
      <c r="N599" s="114"/>
      <c r="O599" s="133"/>
      <c r="P599" s="133"/>
      <c r="Q599" s="133"/>
      <c r="R599" s="133"/>
      <c r="S599" s="133"/>
      <c r="T599" s="133"/>
      <c r="U599" s="133"/>
      <c r="V599" s="133"/>
      <c r="W599" s="133"/>
      <c r="X599" s="133"/>
      <c r="Y599" s="133"/>
      <c r="Z599" s="133"/>
      <c r="AA599" s="133"/>
      <c r="AB599" s="102"/>
      <c r="AC599" s="102"/>
      <c r="AD599" s="103"/>
    </row>
    <row r="600" ht="15.75" customHeight="1">
      <c r="A600" s="142"/>
      <c r="B600" s="143"/>
      <c r="C600" s="136"/>
      <c r="D600" s="136"/>
      <c r="E600" s="143"/>
      <c r="F600" s="143"/>
      <c r="G600" s="143"/>
      <c r="H600" s="143"/>
      <c r="I600" s="143"/>
      <c r="J600" s="143"/>
      <c r="K600" s="145"/>
      <c r="L600" s="146"/>
      <c r="M600" s="136"/>
      <c r="N600" s="114"/>
      <c r="O600" s="136"/>
      <c r="P600" s="136"/>
      <c r="Q600" s="136"/>
      <c r="R600" s="136"/>
      <c r="S600" s="136"/>
      <c r="T600" s="136"/>
      <c r="U600" s="136"/>
      <c r="V600" s="136"/>
      <c r="W600" s="136"/>
      <c r="X600" s="136"/>
      <c r="Y600" s="136"/>
      <c r="Z600" s="136"/>
      <c r="AA600" s="136"/>
      <c r="AB600" s="102"/>
      <c r="AC600" s="102"/>
      <c r="AD600" s="103"/>
    </row>
    <row r="601" ht="15.75" customHeight="1">
      <c r="A601" s="147"/>
      <c r="B601" s="148"/>
      <c r="C601" s="133"/>
      <c r="D601" s="133"/>
      <c r="E601" s="148"/>
      <c r="F601" s="148"/>
      <c r="G601" s="148"/>
      <c r="H601" s="148"/>
      <c r="I601" s="148"/>
      <c r="J601" s="148"/>
      <c r="K601" s="150"/>
      <c r="L601" s="151"/>
      <c r="M601" s="133"/>
      <c r="N601" s="114"/>
      <c r="O601" s="133"/>
      <c r="P601" s="133"/>
      <c r="Q601" s="133"/>
      <c r="R601" s="133"/>
      <c r="S601" s="133"/>
      <c r="T601" s="133"/>
      <c r="U601" s="133"/>
      <c r="V601" s="133"/>
      <c r="W601" s="133"/>
      <c r="X601" s="133"/>
      <c r="Y601" s="133"/>
      <c r="Z601" s="133"/>
      <c r="AA601" s="133"/>
      <c r="AB601" s="102"/>
      <c r="AC601" s="102"/>
      <c r="AD601" s="103"/>
    </row>
    <row r="602" ht="15.75" customHeight="1">
      <c r="A602" s="142"/>
      <c r="B602" s="143"/>
      <c r="C602" s="136"/>
      <c r="D602" s="136"/>
      <c r="E602" s="143"/>
      <c r="F602" s="143"/>
      <c r="G602" s="143"/>
      <c r="H602" s="143"/>
      <c r="I602" s="143"/>
      <c r="J602" s="143"/>
      <c r="K602" s="145"/>
      <c r="L602" s="146"/>
      <c r="M602" s="136"/>
      <c r="N602" s="114"/>
      <c r="O602" s="136"/>
      <c r="P602" s="136"/>
      <c r="Q602" s="136"/>
      <c r="R602" s="136"/>
      <c r="S602" s="136"/>
      <c r="T602" s="136"/>
      <c r="U602" s="136"/>
      <c r="V602" s="136"/>
      <c r="W602" s="136"/>
      <c r="X602" s="136"/>
      <c r="Y602" s="136"/>
      <c r="Z602" s="136"/>
      <c r="AA602" s="136"/>
      <c r="AB602" s="102"/>
      <c r="AC602" s="102"/>
      <c r="AD602" s="103"/>
    </row>
    <row r="603" ht="15.75" customHeight="1">
      <c r="A603" s="147"/>
      <c r="B603" s="148"/>
      <c r="C603" s="133"/>
      <c r="D603" s="133"/>
      <c r="E603" s="148"/>
      <c r="F603" s="148"/>
      <c r="G603" s="148"/>
      <c r="H603" s="148"/>
      <c r="I603" s="148"/>
      <c r="J603" s="148"/>
      <c r="K603" s="150"/>
      <c r="L603" s="151"/>
      <c r="M603" s="133"/>
      <c r="N603" s="114"/>
      <c r="O603" s="133"/>
      <c r="P603" s="133"/>
      <c r="Q603" s="133"/>
      <c r="R603" s="133"/>
      <c r="S603" s="133"/>
      <c r="T603" s="133"/>
      <c r="U603" s="133"/>
      <c r="V603" s="133"/>
      <c r="W603" s="133"/>
      <c r="X603" s="133"/>
      <c r="Y603" s="133"/>
      <c r="Z603" s="133"/>
      <c r="AA603" s="133"/>
      <c r="AB603" s="102"/>
      <c r="AC603" s="102"/>
      <c r="AD603" s="103"/>
    </row>
    <row r="604" ht="15.75" customHeight="1">
      <c r="A604" s="142"/>
      <c r="B604" s="143"/>
      <c r="C604" s="136"/>
      <c r="D604" s="136"/>
      <c r="E604" s="143"/>
      <c r="F604" s="143"/>
      <c r="G604" s="143"/>
      <c r="H604" s="143"/>
      <c r="I604" s="143"/>
      <c r="J604" s="143"/>
      <c r="K604" s="145"/>
      <c r="L604" s="146"/>
      <c r="M604" s="136"/>
      <c r="N604" s="114"/>
      <c r="O604" s="136"/>
      <c r="P604" s="136"/>
      <c r="Q604" s="136"/>
      <c r="R604" s="136"/>
      <c r="S604" s="136"/>
      <c r="T604" s="136"/>
      <c r="U604" s="136"/>
      <c r="V604" s="136"/>
      <c r="W604" s="136"/>
      <c r="X604" s="136"/>
      <c r="Y604" s="136"/>
      <c r="Z604" s="136"/>
      <c r="AA604" s="136"/>
      <c r="AB604" s="102"/>
      <c r="AC604" s="102"/>
      <c r="AD604" s="103"/>
    </row>
    <row r="605" ht="15.75" customHeight="1">
      <c r="A605" s="147"/>
      <c r="B605" s="148"/>
      <c r="C605" s="133"/>
      <c r="D605" s="133"/>
      <c r="E605" s="148"/>
      <c r="F605" s="148"/>
      <c r="G605" s="148"/>
      <c r="H605" s="148"/>
      <c r="I605" s="148"/>
      <c r="J605" s="148"/>
      <c r="K605" s="150"/>
      <c r="L605" s="151"/>
      <c r="M605" s="133"/>
      <c r="N605" s="114"/>
      <c r="O605" s="133"/>
      <c r="P605" s="133"/>
      <c r="Q605" s="133"/>
      <c r="R605" s="133"/>
      <c r="S605" s="133"/>
      <c r="T605" s="133"/>
      <c r="U605" s="133"/>
      <c r="V605" s="133"/>
      <c r="W605" s="133"/>
      <c r="X605" s="133"/>
      <c r="Y605" s="133"/>
      <c r="Z605" s="133"/>
      <c r="AA605" s="133"/>
      <c r="AB605" s="102"/>
      <c r="AC605" s="102"/>
      <c r="AD605" s="103"/>
    </row>
    <row r="606" ht="15.75" customHeight="1">
      <c r="A606" s="142"/>
      <c r="B606" s="143"/>
      <c r="C606" s="136"/>
      <c r="D606" s="136"/>
      <c r="E606" s="143"/>
      <c r="F606" s="143"/>
      <c r="G606" s="143"/>
      <c r="H606" s="143"/>
      <c r="I606" s="143"/>
      <c r="J606" s="143"/>
      <c r="K606" s="145"/>
      <c r="L606" s="146"/>
      <c r="M606" s="136"/>
      <c r="N606" s="114"/>
      <c r="O606" s="136"/>
      <c r="P606" s="136"/>
      <c r="Q606" s="136"/>
      <c r="R606" s="136"/>
      <c r="S606" s="136"/>
      <c r="T606" s="136"/>
      <c r="U606" s="136"/>
      <c r="V606" s="136"/>
      <c r="W606" s="136"/>
      <c r="X606" s="136"/>
      <c r="Y606" s="136"/>
      <c r="Z606" s="136"/>
      <c r="AA606" s="136"/>
      <c r="AB606" s="102"/>
      <c r="AC606" s="102"/>
      <c r="AD606" s="103"/>
    </row>
    <row r="607" ht="15.75" customHeight="1">
      <c r="A607" s="147"/>
      <c r="B607" s="148"/>
      <c r="C607" s="133"/>
      <c r="D607" s="133"/>
      <c r="E607" s="148"/>
      <c r="F607" s="148"/>
      <c r="G607" s="148"/>
      <c r="H607" s="148"/>
      <c r="I607" s="148"/>
      <c r="J607" s="148"/>
      <c r="K607" s="150"/>
      <c r="L607" s="151"/>
      <c r="M607" s="133"/>
      <c r="N607" s="114"/>
      <c r="O607" s="133"/>
      <c r="P607" s="133"/>
      <c r="Q607" s="133"/>
      <c r="R607" s="133"/>
      <c r="S607" s="133"/>
      <c r="T607" s="133"/>
      <c r="U607" s="133"/>
      <c r="V607" s="133"/>
      <c r="W607" s="133"/>
      <c r="X607" s="133"/>
      <c r="Y607" s="133"/>
      <c r="Z607" s="133"/>
      <c r="AA607" s="133"/>
      <c r="AB607" s="102"/>
      <c r="AC607" s="102"/>
      <c r="AD607" s="103"/>
    </row>
    <row r="608" ht="15.75" customHeight="1">
      <c r="A608" s="142"/>
      <c r="B608" s="143"/>
      <c r="C608" s="136"/>
      <c r="D608" s="136"/>
      <c r="E608" s="143"/>
      <c r="F608" s="143"/>
      <c r="G608" s="143"/>
      <c r="H608" s="143"/>
      <c r="I608" s="143"/>
      <c r="J608" s="143"/>
      <c r="K608" s="145"/>
      <c r="L608" s="146"/>
      <c r="M608" s="136"/>
      <c r="N608" s="114"/>
      <c r="O608" s="136"/>
      <c r="P608" s="136"/>
      <c r="Q608" s="136"/>
      <c r="R608" s="136"/>
      <c r="S608" s="136"/>
      <c r="T608" s="136"/>
      <c r="U608" s="136"/>
      <c r="V608" s="136"/>
      <c r="W608" s="136"/>
      <c r="X608" s="136"/>
      <c r="Y608" s="136"/>
      <c r="Z608" s="136"/>
      <c r="AA608" s="136"/>
      <c r="AB608" s="102"/>
      <c r="AC608" s="102"/>
      <c r="AD608" s="103"/>
    </row>
    <row r="609" ht="15.75" customHeight="1">
      <c r="A609" s="147"/>
      <c r="B609" s="148"/>
      <c r="C609" s="133"/>
      <c r="D609" s="133"/>
      <c r="E609" s="148"/>
      <c r="F609" s="148"/>
      <c r="G609" s="148"/>
      <c r="H609" s="148"/>
      <c r="I609" s="148"/>
      <c r="J609" s="148"/>
      <c r="K609" s="150"/>
      <c r="L609" s="151"/>
      <c r="M609" s="133"/>
      <c r="N609" s="114"/>
      <c r="O609" s="133"/>
      <c r="P609" s="133"/>
      <c r="Q609" s="133"/>
      <c r="R609" s="133"/>
      <c r="S609" s="133"/>
      <c r="T609" s="133"/>
      <c r="U609" s="133"/>
      <c r="V609" s="133"/>
      <c r="W609" s="133"/>
      <c r="X609" s="133"/>
      <c r="Y609" s="133"/>
      <c r="Z609" s="133"/>
      <c r="AA609" s="133"/>
      <c r="AB609" s="102"/>
      <c r="AC609" s="102"/>
      <c r="AD609" s="103"/>
    </row>
    <row r="610" ht="15.75" customHeight="1">
      <c r="A610" s="142"/>
      <c r="B610" s="143"/>
      <c r="C610" s="136"/>
      <c r="D610" s="136"/>
      <c r="E610" s="143"/>
      <c r="F610" s="143"/>
      <c r="G610" s="143"/>
      <c r="H610" s="143"/>
      <c r="I610" s="143"/>
      <c r="J610" s="143"/>
      <c r="K610" s="145"/>
      <c r="L610" s="146"/>
      <c r="M610" s="136"/>
      <c r="N610" s="114"/>
      <c r="O610" s="136"/>
      <c r="P610" s="136"/>
      <c r="Q610" s="136"/>
      <c r="R610" s="136"/>
      <c r="S610" s="136"/>
      <c r="T610" s="136"/>
      <c r="U610" s="136"/>
      <c r="V610" s="136"/>
      <c r="W610" s="136"/>
      <c r="X610" s="136"/>
      <c r="Y610" s="136"/>
      <c r="Z610" s="136"/>
      <c r="AA610" s="136"/>
      <c r="AB610" s="102"/>
      <c r="AC610" s="102"/>
      <c r="AD610" s="103"/>
    </row>
    <row r="611" ht="15.75" customHeight="1">
      <c r="A611" s="147"/>
      <c r="B611" s="148"/>
      <c r="C611" s="133"/>
      <c r="D611" s="133"/>
      <c r="E611" s="148"/>
      <c r="F611" s="148"/>
      <c r="G611" s="148"/>
      <c r="H611" s="148"/>
      <c r="I611" s="148"/>
      <c r="J611" s="148"/>
      <c r="K611" s="150"/>
      <c r="L611" s="151"/>
      <c r="M611" s="133"/>
      <c r="N611" s="114"/>
      <c r="O611" s="133"/>
      <c r="P611" s="133"/>
      <c r="Q611" s="133"/>
      <c r="R611" s="133"/>
      <c r="S611" s="133"/>
      <c r="T611" s="133"/>
      <c r="U611" s="133"/>
      <c r="V611" s="133"/>
      <c r="W611" s="133"/>
      <c r="X611" s="133"/>
      <c r="Y611" s="133"/>
      <c r="Z611" s="133"/>
      <c r="AA611" s="133"/>
      <c r="AB611" s="102"/>
      <c r="AC611" s="102"/>
      <c r="AD611" s="103"/>
    </row>
    <row r="612" ht="15.75" customHeight="1">
      <c r="A612" s="142"/>
      <c r="B612" s="143"/>
      <c r="C612" s="136"/>
      <c r="D612" s="136"/>
      <c r="E612" s="143"/>
      <c r="F612" s="143"/>
      <c r="G612" s="143"/>
      <c r="H612" s="143"/>
      <c r="I612" s="143"/>
      <c r="J612" s="143"/>
      <c r="K612" s="145"/>
      <c r="L612" s="146"/>
      <c r="M612" s="136"/>
      <c r="N612" s="114"/>
      <c r="O612" s="136"/>
      <c r="P612" s="136"/>
      <c r="Q612" s="136"/>
      <c r="R612" s="136"/>
      <c r="S612" s="136"/>
      <c r="T612" s="136"/>
      <c r="U612" s="136"/>
      <c r="V612" s="136"/>
      <c r="W612" s="136"/>
      <c r="X612" s="136"/>
      <c r="Y612" s="136"/>
      <c r="Z612" s="136"/>
      <c r="AA612" s="136"/>
      <c r="AB612" s="102"/>
      <c r="AC612" s="102"/>
      <c r="AD612" s="103"/>
    </row>
    <row r="613" ht="15.75" customHeight="1">
      <c r="A613" s="147"/>
      <c r="B613" s="148"/>
      <c r="C613" s="133"/>
      <c r="D613" s="133"/>
      <c r="E613" s="148"/>
      <c r="F613" s="148"/>
      <c r="G613" s="148"/>
      <c r="H613" s="148"/>
      <c r="I613" s="148"/>
      <c r="J613" s="148"/>
      <c r="K613" s="150"/>
      <c r="L613" s="151"/>
      <c r="M613" s="133"/>
      <c r="N613" s="114"/>
      <c r="O613" s="133"/>
      <c r="P613" s="133"/>
      <c r="Q613" s="133"/>
      <c r="R613" s="133"/>
      <c r="S613" s="133"/>
      <c r="T613" s="133"/>
      <c r="U613" s="133"/>
      <c r="V613" s="133"/>
      <c r="W613" s="133"/>
      <c r="X613" s="133"/>
      <c r="Y613" s="133"/>
      <c r="Z613" s="133"/>
      <c r="AA613" s="133"/>
      <c r="AB613" s="102"/>
      <c r="AC613" s="102"/>
      <c r="AD613" s="103"/>
    </row>
    <row r="614" ht="15.75" customHeight="1">
      <c r="A614" s="142"/>
      <c r="B614" s="143"/>
      <c r="C614" s="136"/>
      <c r="D614" s="136"/>
      <c r="E614" s="143"/>
      <c r="F614" s="143"/>
      <c r="G614" s="143"/>
      <c r="H614" s="143"/>
      <c r="I614" s="143"/>
      <c r="J614" s="143"/>
      <c r="K614" s="145"/>
      <c r="L614" s="146"/>
      <c r="M614" s="136"/>
      <c r="N614" s="114"/>
      <c r="O614" s="136"/>
      <c r="P614" s="136"/>
      <c r="Q614" s="136"/>
      <c r="R614" s="136"/>
      <c r="S614" s="136"/>
      <c r="T614" s="136"/>
      <c r="U614" s="136"/>
      <c r="V614" s="136"/>
      <c r="W614" s="136"/>
      <c r="X614" s="136"/>
      <c r="Y614" s="136"/>
      <c r="Z614" s="136"/>
      <c r="AA614" s="136"/>
      <c r="AB614" s="102"/>
      <c r="AC614" s="102"/>
      <c r="AD614" s="103"/>
    </row>
    <row r="615" ht="15.75" customHeight="1">
      <c r="A615" s="147"/>
      <c r="B615" s="148"/>
      <c r="C615" s="133"/>
      <c r="D615" s="133"/>
      <c r="E615" s="148"/>
      <c r="F615" s="148"/>
      <c r="G615" s="148"/>
      <c r="H615" s="148"/>
      <c r="I615" s="148"/>
      <c r="J615" s="148"/>
      <c r="K615" s="150"/>
      <c r="L615" s="151"/>
      <c r="M615" s="133"/>
      <c r="N615" s="114"/>
      <c r="O615" s="133"/>
      <c r="P615" s="133"/>
      <c r="Q615" s="133"/>
      <c r="R615" s="133"/>
      <c r="S615" s="133"/>
      <c r="T615" s="133"/>
      <c r="U615" s="133"/>
      <c r="V615" s="133"/>
      <c r="W615" s="133"/>
      <c r="X615" s="133"/>
      <c r="Y615" s="133"/>
      <c r="Z615" s="133"/>
      <c r="AA615" s="133"/>
      <c r="AB615" s="102"/>
      <c r="AC615" s="102"/>
      <c r="AD615" s="103"/>
    </row>
    <row r="616" ht="15.75" customHeight="1">
      <c r="A616" s="142"/>
      <c r="B616" s="143"/>
      <c r="C616" s="136"/>
      <c r="D616" s="136"/>
      <c r="E616" s="143"/>
      <c r="F616" s="143"/>
      <c r="G616" s="143"/>
      <c r="H616" s="143"/>
      <c r="I616" s="143"/>
      <c r="J616" s="143"/>
      <c r="K616" s="145"/>
      <c r="L616" s="146"/>
      <c r="M616" s="136"/>
      <c r="N616" s="114"/>
      <c r="O616" s="136"/>
      <c r="P616" s="136"/>
      <c r="Q616" s="136"/>
      <c r="R616" s="136"/>
      <c r="S616" s="136"/>
      <c r="T616" s="136"/>
      <c r="U616" s="136"/>
      <c r="V616" s="136"/>
      <c r="W616" s="136"/>
      <c r="X616" s="136"/>
      <c r="Y616" s="136"/>
      <c r="Z616" s="136"/>
      <c r="AA616" s="136"/>
      <c r="AB616" s="102"/>
      <c r="AC616" s="102"/>
      <c r="AD616" s="103"/>
    </row>
    <row r="617" ht="15.75" customHeight="1">
      <c r="A617" s="147"/>
      <c r="B617" s="148"/>
      <c r="C617" s="133"/>
      <c r="D617" s="133"/>
      <c r="E617" s="148"/>
      <c r="F617" s="148"/>
      <c r="G617" s="148"/>
      <c r="H617" s="148"/>
      <c r="I617" s="148"/>
      <c r="J617" s="148"/>
      <c r="K617" s="150"/>
      <c r="L617" s="151"/>
      <c r="M617" s="133"/>
      <c r="N617" s="114"/>
      <c r="O617" s="133"/>
      <c r="P617" s="133"/>
      <c r="Q617" s="133"/>
      <c r="R617" s="133"/>
      <c r="S617" s="133"/>
      <c r="T617" s="133"/>
      <c r="U617" s="133"/>
      <c r="V617" s="133"/>
      <c r="W617" s="133"/>
      <c r="X617" s="133"/>
      <c r="Y617" s="133"/>
      <c r="Z617" s="133"/>
      <c r="AA617" s="133"/>
      <c r="AB617" s="102"/>
      <c r="AC617" s="102"/>
      <c r="AD617" s="103"/>
    </row>
    <row r="618" ht="15.75" customHeight="1">
      <c r="A618" s="142"/>
      <c r="B618" s="143"/>
      <c r="C618" s="136"/>
      <c r="D618" s="136"/>
      <c r="E618" s="143"/>
      <c r="F618" s="143"/>
      <c r="G618" s="143"/>
      <c r="H618" s="143"/>
      <c r="I618" s="143"/>
      <c r="J618" s="143"/>
      <c r="K618" s="145"/>
      <c r="L618" s="146"/>
      <c r="M618" s="136"/>
      <c r="N618" s="114"/>
      <c r="O618" s="136"/>
      <c r="P618" s="136"/>
      <c r="Q618" s="136"/>
      <c r="R618" s="136"/>
      <c r="S618" s="136"/>
      <c r="T618" s="136"/>
      <c r="U618" s="136"/>
      <c r="V618" s="136"/>
      <c r="W618" s="136"/>
      <c r="X618" s="136"/>
      <c r="Y618" s="136"/>
      <c r="Z618" s="136"/>
      <c r="AA618" s="136"/>
      <c r="AB618" s="102"/>
      <c r="AC618" s="102"/>
      <c r="AD618" s="103"/>
    </row>
    <row r="619" ht="15.75" customHeight="1">
      <c r="A619" s="147"/>
      <c r="B619" s="148"/>
      <c r="C619" s="133"/>
      <c r="D619" s="133"/>
      <c r="E619" s="148"/>
      <c r="F619" s="148"/>
      <c r="G619" s="148"/>
      <c r="H619" s="148"/>
      <c r="I619" s="148"/>
      <c r="J619" s="148"/>
      <c r="K619" s="150"/>
      <c r="L619" s="151"/>
      <c r="M619" s="133"/>
      <c r="N619" s="114"/>
      <c r="O619" s="133"/>
      <c r="P619" s="133"/>
      <c r="Q619" s="133"/>
      <c r="R619" s="133"/>
      <c r="S619" s="133"/>
      <c r="T619" s="133"/>
      <c r="U619" s="133"/>
      <c r="V619" s="133"/>
      <c r="W619" s="133"/>
      <c r="X619" s="133"/>
      <c r="Y619" s="133"/>
      <c r="Z619" s="133"/>
      <c r="AA619" s="133"/>
      <c r="AB619" s="102"/>
      <c r="AC619" s="102"/>
      <c r="AD619" s="103"/>
    </row>
    <row r="620" ht="15.75" customHeight="1">
      <c r="A620" s="142"/>
      <c r="B620" s="143"/>
      <c r="C620" s="136"/>
      <c r="D620" s="136"/>
      <c r="E620" s="143"/>
      <c r="F620" s="143"/>
      <c r="G620" s="143"/>
      <c r="H620" s="143"/>
      <c r="I620" s="143"/>
      <c r="J620" s="143"/>
      <c r="K620" s="145"/>
      <c r="L620" s="146"/>
      <c r="M620" s="136"/>
      <c r="N620" s="114"/>
      <c r="O620" s="136"/>
      <c r="P620" s="136"/>
      <c r="Q620" s="136"/>
      <c r="R620" s="136"/>
      <c r="S620" s="136"/>
      <c r="T620" s="136"/>
      <c r="U620" s="136"/>
      <c r="V620" s="136"/>
      <c r="W620" s="136"/>
      <c r="X620" s="136"/>
      <c r="Y620" s="136"/>
      <c r="Z620" s="136"/>
      <c r="AA620" s="136"/>
      <c r="AB620" s="102"/>
      <c r="AC620" s="102"/>
      <c r="AD620" s="103"/>
    </row>
    <row r="621" ht="15.75" customHeight="1">
      <c r="A621" s="147"/>
      <c r="B621" s="148"/>
      <c r="C621" s="133"/>
      <c r="D621" s="133"/>
      <c r="E621" s="148"/>
      <c r="F621" s="148"/>
      <c r="G621" s="148"/>
      <c r="H621" s="148"/>
      <c r="I621" s="148"/>
      <c r="J621" s="148"/>
      <c r="K621" s="150"/>
      <c r="L621" s="151"/>
      <c r="M621" s="133"/>
      <c r="N621" s="114"/>
      <c r="O621" s="133"/>
      <c r="P621" s="133"/>
      <c r="Q621" s="133"/>
      <c r="R621" s="133"/>
      <c r="S621" s="133"/>
      <c r="T621" s="133"/>
      <c r="U621" s="133"/>
      <c r="V621" s="133"/>
      <c r="W621" s="133"/>
      <c r="X621" s="133"/>
      <c r="Y621" s="133"/>
      <c r="Z621" s="133"/>
      <c r="AA621" s="133"/>
      <c r="AB621" s="102"/>
      <c r="AC621" s="102"/>
      <c r="AD621" s="103"/>
    </row>
    <row r="622" ht="15.75" customHeight="1">
      <c r="A622" s="142"/>
      <c r="B622" s="143"/>
      <c r="C622" s="136"/>
      <c r="D622" s="136"/>
      <c r="E622" s="143"/>
      <c r="F622" s="143"/>
      <c r="G622" s="143"/>
      <c r="H622" s="143"/>
      <c r="I622" s="143"/>
      <c r="J622" s="143"/>
      <c r="K622" s="145"/>
      <c r="L622" s="146"/>
      <c r="M622" s="136"/>
      <c r="N622" s="114"/>
      <c r="O622" s="136"/>
      <c r="P622" s="136"/>
      <c r="Q622" s="136"/>
      <c r="R622" s="136"/>
      <c r="S622" s="136"/>
      <c r="T622" s="136"/>
      <c r="U622" s="136"/>
      <c r="V622" s="136"/>
      <c r="W622" s="136"/>
      <c r="X622" s="136"/>
      <c r="Y622" s="136"/>
      <c r="Z622" s="136"/>
      <c r="AA622" s="136"/>
      <c r="AB622" s="102"/>
      <c r="AC622" s="102"/>
      <c r="AD622" s="103"/>
    </row>
    <row r="623" ht="15.75" customHeight="1">
      <c r="A623" s="147"/>
      <c r="B623" s="148"/>
      <c r="C623" s="133"/>
      <c r="D623" s="133"/>
      <c r="E623" s="148"/>
      <c r="F623" s="148"/>
      <c r="G623" s="148"/>
      <c r="H623" s="148"/>
      <c r="I623" s="148"/>
      <c r="J623" s="148"/>
      <c r="K623" s="150"/>
      <c r="L623" s="151"/>
      <c r="M623" s="133"/>
      <c r="N623" s="114"/>
      <c r="O623" s="133"/>
      <c r="P623" s="133"/>
      <c r="Q623" s="133"/>
      <c r="R623" s="133"/>
      <c r="S623" s="133"/>
      <c r="T623" s="133"/>
      <c r="U623" s="133"/>
      <c r="V623" s="133"/>
      <c r="W623" s="133"/>
      <c r="X623" s="133"/>
      <c r="Y623" s="133"/>
      <c r="Z623" s="133"/>
      <c r="AA623" s="133"/>
      <c r="AB623" s="102"/>
      <c r="AC623" s="102"/>
      <c r="AD623" s="103"/>
    </row>
    <row r="624" ht="15.75" customHeight="1">
      <c r="A624" s="142"/>
      <c r="B624" s="143"/>
      <c r="C624" s="136"/>
      <c r="D624" s="136"/>
      <c r="E624" s="143"/>
      <c r="F624" s="143"/>
      <c r="G624" s="143"/>
      <c r="H624" s="143"/>
      <c r="I624" s="143"/>
      <c r="J624" s="143"/>
      <c r="K624" s="145"/>
      <c r="L624" s="146"/>
      <c r="M624" s="136"/>
      <c r="N624" s="114"/>
      <c r="O624" s="136"/>
      <c r="P624" s="136"/>
      <c r="Q624" s="136"/>
      <c r="R624" s="136"/>
      <c r="S624" s="136"/>
      <c r="T624" s="136"/>
      <c r="U624" s="136"/>
      <c r="V624" s="136"/>
      <c r="W624" s="136"/>
      <c r="X624" s="136"/>
      <c r="Y624" s="136"/>
      <c r="Z624" s="136"/>
      <c r="AA624" s="136"/>
      <c r="AB624" s="102"/>
      <c r="AC624" s="102"/>
      <c r="AD624" s="103"/>
    </row>
    <row r="625" ht="15.75" customHeight="1">
      <c r="A625" s="147"/>
      <c r="B625" s="148"/>
      <c r="C625" s="133"/>
      <c r="D625" s="133"/>
      <c r="E625" s="148"/>
      <c r="F625" s="148"/>
      <c r="G625" s="148"/>
      <c r="H625" s="148"/>
      <c r="I625" s="148"/>
      <c r="J625" s="148"/>
      <c r="K625" s="150"/>
      <c r="L625" s="151"/>
      <c r="M625" s="133"/>
      <c r="N625" s="114"/>
      <c r="O625" s="133"/>
      <c r="P625" s="133"/>
      <c r="Q625" s="133"/>
      <c r="R625" s="133"/>
      <c r="S625" s="133"/>
      <c r="T625" s="133"/>
      <c r="U625" s="133"/>
      <c r="V625" s="133"/>
      <c r="W625" s="133"/>
      <c r="X625" s="133"/>
      <c r="Y625" s="133"/>
      <c r="Z625" s="133"/>
      <c r="AA625" s="133"/>
      <c r="AB625" s="102"/>
      <c r="AC625" s="102"/>
      <c r="AD625" s="103"/>
    </row>
    <row r="626" ht="15.75" customHeight="1">
      <c r="A626" s="142"/>
      <c r="B626" s="143"/>
      <c r="C626" s="136"/>
      <c r="D626" s="136"/>
      <c r="E626" s="143"/>
      <c r="F626" s="143"/>
      <c r="G626" s="143"/>
      <c r="H626" s="143"/>
      <c r="I626" s="143"/>
      <c r="J626" s="143"/>
      <c r="K626" s="145"/>
      <c r="L626" s="146"/>
      <c r="M626" s="136"/>
      <c r="N626" s="114"/>
      <c r="O626" s="136"/>
      <c r="P626" s="136"/>
      <c r="Q626" s="136"/>
      <c r="R626" s="136"/>
      <c r="S626" s="136"/>
      <c r="T626" s="136"/>
      <c r="U626" s="136"/>
      <c r="V626" s="136"/>
      <c r="W626" s="136"/>
      <c r="X626" s="136"/>
      <c r="Y626" s="136"/>
      <c r="Z626" s="136"/>
      <c r="AA626" s="136"/>
      <c r="AB626" s="102"/>
      <c r="AC626" s="102"/>
      <c r="AD626" s="103"/>
    </row>
    <row r="627" ht="15.75" customHeight="1">
      <c r="A627" s="147"/>
      <c r="B627" s="148"/>
      <c r="C627" s="133"/>
      <c r="D627" s="133"/>
      <c r="E627" s="148"/>
      <c r="F627" s="148"/>
      <c r="G627" s="148"/>
      <c r="H627" s="148"/>
      <c r="I627" s="148"/>
      <c r="J627" s="148"/>
      <c r="K627" s="150"/>
      <c r="L627" s="151"/>
      <c r="M627" s="133"/>
      <c r="N627" s="114"/>
      <c r="O627" s="133"/>
      <c r="P627" s="133"/>
      <c r="Q627" s="133"/>
      <c r="R627" s="133"/>
      <c r="S627" s="133"/>
      <c r="T627" s="133"/>
      <c r="U627" s="133"/>
      <c r="V627" s="133"/>
      <c r="W627" s="133"/>
      <c r="X627" s="133"/>
      <c r="Y627" s="133"/>
      <c r="Z627" s="133"/>
      <c r="AA627" s="133"/>
      <c r="AB627" s="102"/>
      <c r="AC627" s="102"/>
      <c r="AD627" s="103"/>
    </row>
    <row r="628" ht="15.75" customHeight="1">
      <c r="A628" s="142"/>
      <c r="B628" s="143"/>
      <c r="C628" s="136"/>
      <c r="D628" s="136"/>
      <c r="E628" s="143"/>
      <c r="F628" s="143"/>
      <c r="G628" s="143"/>
      <c r="H628" s="143"/>
      <c r="I628" s="143"/>
      <c r="J628" s="143"/>
      <c r="K628" s="145"/>
      <c r="L628" s="146"/>
      <c r="M628" s="136"/>
      <c r="N628" s="114"/>
      <c r="O628" s="136"/>
      <c r="P628" s="136"/>
      <c r="Q628" s="136"/>
      <c r="R628" s="136"/>
      <c r="S628" s="136"/>
      <c r="T628" s="136"/>
      <c r="U628" s="136"/>
      <c r="V628" s="136"/>
      <c r="W628" s="136"/>
      <c r="X628" s="136"/>
      <c r="Y628" s="136"/>
      <c r="Z628" s="136"/>
      <c r="AA628" s="136"/>
      <c r="AB628" s="102"/>
      <c r="AC628" s="102"/>
      <c r="AD628" s="103"/>
    </row>
    <row r="629" ht="15.75" customHeight="1">
      <c r="A629" s="147"/>
      <c r="B629" s="148"/>
      <c r="C629" s="133"/>
      <c r="D629" s="133"/>
      <c r="E629" s="148"/>
      <c r="F629" s="148"/>
      <c r="G629" s="148"/>
      <c r="H629" s="148"/>
      <c r="I629" s="148"/>
      <c r="J629" s="148"/>
      <c r="K629" s="150"/>
      <c r="L629" s="151"/>
      <c r="M629" s="133"/>
      <c r="N629" s="114"/>
      <c r="O629" s="133"/>
      <c r="P629" s="133"/>
      <c r="Q629" s="133"/>
      <c r="R629" s="133"/>
      <c r="S629" s="133"/>
      <c r="T629" s="133"/>
      <c r="U629" s="133"/>
      <c r="V629" s="133"/>
      <c r="W629" s="133"/>
      <c r="X629" s="133"/>
      <c r="Y629" s="133"/>
      <c r="Z629" s="133"/>
      <c r="AA629" s="133"/>
      <c r="AB629" s="102"/>
      <c r="AC629" s="102"/>
      <c r="AD629" s="103"/>
    </row>
    <row r="630" ht="15.75" customHeight="1">
      <c r="A630" s="142"/>
      <c r="B630" s="143"/>
      <c r="C630" s="136"/>
      <c r="D630" s="136"/>
      <c r="E630" s="143"/>
      <c r="F630" s="143"/>
      <c r="G630" s="143"/>
      <c r="H630" s="143"/>
      <c r="I630" s="143"/>
      <c r="J630" s="143"/>
      <c r="K630" s="145"/>
      <c r="L630" s="146"/>
      <c r="M630" s="136"/>
      <c r="N630" s="114"/>
      <c r="O630" s="136"/>
      <c r="P630" s="136"/>
      <c r="Q630" s="136"/>
      <c r="R630" s="136"/>
      <c r="S630" s="136"/>
      <c r="T630" s="136"/>
      <c r="U630" s="136"/>
      <c r="V630" s="136"/>
      <c r="W630" s="136"/>
      <c r="X630" s="136"/>
      <c r="Y630" s="136"/>
      <c r="Z630" s="136"/>
      <c r="AA630" s="136"/>
      <c r="AB630" s="102"/>
      <c r="AC630" s="102"/>
      <c r="AD630" s="103"/>
    </row>
    <row r="631" ht="15.75" customHeight="1">
      <c r="A631" s="147"/>
      <c r="B631" s="148"/>
      <c r="C631" s="133"/>
      <c r="D631" s="133"/>
      <c r="E631" s="148"/>
      <c r="F631" s="148"/>
      <c r="G631" s="148"/>
      <c r="H631" s="148"/>
      <c r="I631" s="148"/>
      <c r="J631" s="148"/>
      <c r="K631" s="150"/>
      <c r="L631" s="151"/>
      <c r="M631" s="133"/>
      <c r="N631" s="114"/>
      <c r="O631" s="133"/>
      <c r="P631" s="133"/>
      <c r="Q631" s="133"/>
      <c r="R631" s="133"/>
      <c r="S631" s="133"/>
      <c r="T631" s="133"/>
      <c r="U631" s="133"/>
      <c r="V631" s="133"/>
      <c r="W631" s="133"/>
      <c r="X631" s="133"/>
      <c r="Y631" s="133"/>
      <c r="Z631" s="133"/>
      <c r="AA631" s="133"/>
      <c r="AB631" s="102"/>
      <c r="AC631" s="102"/>
      <c r="AD631" s="103"/>
    </row>
    <row r="632" ht="15.75" customHeight="1">
      <c r="A632" s="142"/>
      <c r="B632" s="143"/>
      <c r="C632" s="136"/>
      <c r="D632" s="136"/>
      <c r="E632" s="143"/>
      <c r="F632" s="143"/>
      <c r="G632" s="143"/>
      <c r="H632" s="143"/>
      <c r="I632" s="143"/>
      <c r="J632" s="143"/>
      <c r="K632" s="145"/>
      <c r="L632" s="146"/>
      <c r="M632" s="136"/>
      <c r="N632" s="114"/>
      <c r="O632" s="136"/>
      <c r="P632" s="136"/>
      <c r="Q632" s="136"/>
      <c r="R632" s="136"/>
      <c r="S632" s="136"/>
      <c r="T632" s="136"/>
      <c r="U632" s="136"/>
      <c r="V632" s="136"/>
      <c r="W632" s="136"/>
      <c r="X632" s="136"/>
      <c r="Y632" s="136"/>
      <c r="Z632" s="136"/>
      <c r="AA632" s="136"/>
      <c r="AB632" s="102"/>
      <c r="AC632" s="102"/>
      <c r="AD632" s="103"/>
    </row>
    <row r="633" ht="15.75" customHeight="1">
      <c r="A633" s="147"/>
      <c r="B633" s="148"/>
      <c r="C633" s="133"/>
      <c r="D633" s="133"/>
      <c r="E633" s="148"/>
      <c r="F633" s="148"/>
      <c r="G633" s="148"/>
      <c r="H633" s="148"/>
      <c r="I633" s="148"/>
      <c r="J633" s="148"/>
      <c r="K633" s="150"/>
      <c r="L633" s="151"/>
      <c r="M633" s="133"/>
      <c r="N633" s="114"/>
      <c r="O633" s="133"/>
      <c r="P633" s="133"/>
      <c r="Q633" s="133"/>
      <c r="R633" s="133"/>
      <c r="S633" s="133"/>
      <c r="T633" s="133"/>
      <c r="U633" s="133"/>
      <c r="V633" s="133"/>
      <c r="W633" s="133"/>
      <c r="X633" s="133"/>
      <c r="Y633" s="133"/>
      <c r="Z633" s="133"/>
      <c r="AA633" s="133"/>
      <c r="AB633" s="102"/>
      <c r="AC633" s="102"/>
      <c r="AD633" s="103"/>
    </row>
    <row r="634" ht="15.75" customHeight="1">
      <c r="A634" s="142"/>
      <c r="B634" s="143"/>
      <c r="C634" s="136"/>
      <c r="D634" s="136"/>
      <c r="E634" s="143"/>
      <c r="F634" s="143"/>
      <c r="G634" s="143"/>
      <c r="H634" s="143"/>
      <c r="I634" s="143"/>
      <c r="J634" s="143"/>
      <c r="K634" s="145"/>
      <c r="L634" s="146"/>
      <c r="M634" s="136"/>
      <c r="N634" s="114"/>
      <c r="O634" s="136"/>
      <c r="P634" s="136"/>
      <c r="Q634" s="136"/>
      <c r="R634" s="136"/>
      <c r="S634" s="136"/>
      <c r="T634" s="136"/>
      <c r="U634" s="136"/>
      <c r="V634" s="136"/>
      <c r="W634" s="136"/>
      <c r="X634" s="136"/>
      <c r="Y634" s="136"/>
      <c r="Z634" s="136"/>
      <c r="AA634" s="136"/>
      <c r="AB634" s="102"/>
      <c r="AC634" s="102"/>
      <c r="AD634" s="103"/>
    </row>
    <row r="635" ht="15.75" customHeight="1">
      <c r="A635" s="147"/>
      <c r="B635" s="148"/>
      <c r="C635" s="133"/>
      <c r="D635" s="133"/>
      <c r="E635" s="148"/>
      <c r="F635" s="148"/>
      <c r="G635" s="148"/>
      <c r="H635" s="148"/>
      <c r="I635" s="148"/>
      <c r="J635" s="148"/>
      <c r="K635" s="150"/>
      <c r="L635" s="151"/>
      <c r="M635" s="133"/>
      <c r="N635" s="114"/>
      <c r="O635" s="133"/>
      <c r="P635" s="133"/>
      <c r="Q635" s="133"/>
      <c r="R635" s="133"/>
      <c r="S635" s="133"/>
      <c r="T635" s="133"/>
      <c r="U635" s="133"/>
      <c r="V635" s="133"/>
      <c r="W635" s="133"/>
      <c r="X635" s="133"/>
      <c r="Y635" s="133"/>
      <c r="Z635" s="133"/>
      <c r="AA635" s="133"/>
      <c r="AB635" s="102"/>
      <c r="AC635" s="102"/>
      <c r="AD635" s="103"/>
    </row>
    <row r="636" ht="15.75" customHeight="1">
      <c r="A636" s="142"/>
      <c r="B636" s="143"/>
      <c r="C636" s="136"/>
      <c r="D636" s="136"/>
      <c r="E636" s="143"/>
      <c r="F636" s="143"/>
      <c r="G636" s="143"/>
      <c r="H636" s="143"/>
      <c r="I636" s="143"/>
      <c r="J636" s="143"/>
      <c r="K636" s="145"/>
      <c r="L636" s="146"/>
      <c r="M636" s="136"/>
      <c r="N636" s="114"/>
      <c r="O636" s="136"/>
      <c r="P636" s="136"/>
      <c r="Q636" s="136"/>
      <c r="R636" s="136"/>
      <c r="S636" s="136"/>
      <c r="T636" s="136"/>
      <c r="U636" s="136"/>
      <c r="V636" s="136"/>
      <c r="W636" s="136"/>
      <c r="X636" s="136"/>
      <c r="Y636" s="136"/>
      <c r="Z636" s="136"/>
      <c r="AA636" s="136"/>
      <c r="AB636" s="102"/>
      <c r="AC636" s="102"/>
      <c r="AD636" s="103"/>
    </row>
    <row r="637" ht="15.75" customHeight="1">
      <c r="A637" s="147"/>
      <c r="B637" s="148"/>
      <c r="C637" s="133"/>
      <c r="D637" s="133"/>
      <c r="E637" s="148"/>
      <c r="F637" s="148"/>
      <c r="G637" s="148"/>
      <c r="H637" s="148"/>
      <c r="I637" s="148"/>
      <c r="J637" s="148"/>
      <c r="K637" s="150"/>
      <c r="L637" s="151"/>
      <c r="M637" s="133"/>
      <c r="N637" s="114"/>
      <c r="O637" s="133"/>
      <c r="P637" s="133"/>
      <c r="Q637" s="133"/>
      <c r="R637" s="133"/>
      <c r="S637" s="133"/>
      <c r="T637" s="133"/>
      <c r="U637" s="133"/>
      <c r="V637" s="133"/>
      <c r="W637" s="133"/>
      <c r="X637" s="133"/>
      <c r="Y637" s="133"/>
      <c r="Z637" s="133"/>
      <c r="AA637" s="133"/>
      <c r="AB637" s="102"/>
      <c r="AC637" s="102"/>
      <c r="AD637" s="103"/>
    </row>
    <row r="638" ht="15.75" customHeight="1">
      <c r="A638" s="142"/>
      <c r="B638" s="143"/>
      <c r="C638" s="136"/>
      <c r="D638" s="136"/>
      <c r="E638" s="143"/>
      <c r="F638" s="143"/>
      <c r="G638" s="143"/>
      <c r="H638" s="143"/>
      <c r="I638" s="143"/>
      <c r="J638" s="143"/>
      <c r="K638" s="145"/>
      <c r="L638" s="146"/>
      <c r="M638" s="136"/>
      <c r="N638" s="114"/>
      <c r="O638" s="136"/>
      <c r="P638" s="136"/>
      <c r="Q638" s="136"/>
      <c r="R638" s="136"/>
      <c r="S638" s="136"/>
      <c r="T638" s="136"/>
      <c r="U638" s="136"/>
      <c r="V638" s="136"/>
      <c r="W638" s="136"/>
      <c r="X638" s="136"/>
      <c r="Y638" s="136"/>
      <c r="Z638" s="136"/>
      <c r="AA638" s="136"/>
      <c r="AB638" s="102"/>
      <c r="AC638" s="102"/>
      <c r="AD638" s="103"/>
    </row>
    <row r="639" ht="15.75" customHeight="1">
      <c r="A639" s="147"/>
      <c r="B639" s="148"/>
      <c r="C639" s="133"/>
      <c r="D639" s="133"/>
      <c r="E639" s="148"/>
      <c r="F639" s="148"/>
      <c r="G639" s="148"/>
      <c r="H639" s="148"/>
      <c r="I639" s="148"/>
      <c r="J639" s="148"/>
      <c r="K639" s="150"/>
      <c r="L639" s="151"/>
      <c r="M639" s="133"/>
      <c r="N639" s="114"/>
      <c r="O639" s="133"/>
      <c r="P639" s="133"/>
      <c r="Q639" s="133"/>
      <c r="R639" s="133"/>
      <c r="S639" s="133"/>
      <c r="T639" s="133"/>
      <c r="U639" s="133"/>
      <c r="V639" s="133"/>
      <c r="W639" s="133"/>
      <c r="X639" s="133"/>
      <c r="Y639" s="133"/>
      <c r="Z639" s="133"/>
      <c r="AA639" s="133"/>
      <c r="AB639" s="102"/>
      <c r="AC639" s="102"/>
      <c r="AD639" s="103"/>
    </row>
    <row r="640" ht="15.75" customHeight="1">
      <c r="A640" s="142"/>
      <c r="B640" s="143"/>
      <c r="C640" s="136"/>
      <c r="D640" s="136"/>
      <c r="E640" s="143"/>
      <c r="F640" s="143"/>
      <c r="G640" s="143"/>
      <c r="H640" s="143"/>
      <c r="I640" s="143"/>
      <c r="J640" s="143"/>
      <c r="K640" s="145"/>
      <c r="L640" s="146"/>
      <c r="M640" s="136"/>
      <c r="N640" s="114"/>
      <c r="O640" s="136"/>
      <c r="P640" s="136"/>
      <c r="Q640" s="136"/>
      <c r="R640" s="136"/>
      <c r="S640" s="136"/>
      <c r="T640" s="136"/>
      <c r="U640" s="136"/>
      <c r="V640" s="136"/>
      <c r="W640" s="136"/>
      <c r="X640" s="136"/>
      <c r="Y640" s="136"/>
      <c r="Z640" s="136"/>
      <c r="AA640" s="136"/>
      <c r="AB640" s="102"/>
      <c r="AC640" s="102"/>
      <c r="AD640" s="103"/>
    </row>
    <row r="641" ht="15.75" customHeight="1">
      <c r="A641" s="147"/>
      <c r="B641" s="148"/>
      <c r="C641" s="133"/>
      <c r="D641" s="133"/>
      <c r="E641" s="148"/>
      <c r="F641" s="148"/>
      <c r="G641" s="148"/>
      <c r="H641" s="148"/>
      <c r="I641" s="148"/>
      <c r="J641" s="148"/>
      <c r="K641" s="150"/>
      <c r="L641" s="151"/>
      <c r="M641" s="133"/>
      <c r="N641" s="114"/>
      <c r="O641" s="133"/>
      <c r="P641" s="133"/>
      <c r="Q641" s="133"/>
      <c r="R641" s="133"/>
      <c r="S641" s="133"/>
      <c r="T641" s="133"/>
      <c r="U641" s="133"/>
      <c r="V641" s="133"/>
      <c r="W641" s="133"/>
      <c r="X641" s="133"/>
      <c r="Y641" s="133"/>
      <c r="Z641" s="133"/>
      <c r="AA641" s="133"/>
      <c r="AB641" s="102"/>
      <c r="AC641" s="102"/>
      <c r="AD641" s="103"/>
    </row>
    <row r="642" ht="15.75" customHeight="1">
      <c r="A642" s="142"/>
      <c r="B642" s="143"/>
      <c r="C642" s="136"/>
      <c r="D642" s="136"/>
      <c r="E642" s="143"/>
      <c r="F642" s="143"/>
      <c r="G642" s="143"/>
      <c r="H642" s="143"/>
      <c r="I642" s="143"/>
      <c r="J642" s="143"/>
      <c r="K642" s="145"/>
      <c r="L642" s="146"/>
      <c r="M642" s="136"/>
      <c r="N642" s="114"/>
      <c r="O642" s="136"/>
      <c r="P642" s="136"/>
      <c r="Q642" s="136"/>
      <c r="R642" s="136"/>
      <c r="S642" s="136"/>
      <c r="T642" s="136"/>
      <c r="U642" s="136"/>
      <c r="V642" s="136"/>
      <c r="W642" s="136"/>
      <c r="X642" s="136"/>
      <c r="Y642" s="136"/>
      <c r="Z642" s="136"/>
      <c r="AA642" s="136"/>
      <c r="AB642" s="102"/>
      <c r="AC642" s="102"/>
      <c r="AD642" s="103"/>
    </row>
    <row r="643" ht="15.75" customHeight="1">
      <c r="A643" s="147"/>
      <c r="B643" s="148"/>
      <c r="C643" s="133"/>
      <c r="D643" s="133"/>
      <c r="E643" s="148"/>
      <c r="F643" s="148"/>
      <c r="G643" s="148"/>
      <c r="H643" s="148"/>
      <c r="I643" s="148"/>
      <c r="J643" s="148"/>
      <c r="K643" s="150"/>
      <c r="L643" s="151"/>
      <c r="M643" s="133"/>
      <c r="N643" s="114"/>
      <c r="O643" s="133"/>
      <c r="P643" s="133"/>
      <c r="Q643" s="133"/>
      <c r="R643" s="133"/>
      <c r="S643" s="133"/>
      <c r="T643" s="133"/>
      <c r="U643" s="133"/>
      <c r="V643" s="133"/>
      <c r="W643" s="133"/>
      <c r="X643" s="133"/>
      <c r="Y643" s="133"/>
      <c r="Z643" s="133"/>
      <c r="AA643" s="133"/>
      <c r="AB643" s="102"/>
      <c r="AC643" s="102"/>
      <c r="AD643" s="103"/>
    </row>
    <row r="644" ht="15.75" customHeight="1">
      <c r="A644" s="142"/>
      <c r="B644" s="143"/>
      <c r="C644" s="136"/>
      <c r="D644" s="136"/>
      <c r="E644" s="143"/>
      <c r="F644" s="143"/>
      <c r="G644" s="143"/>
      <c r="H644" s="143"/>
      <c r="I644" s="143"/>
      <c r="J644" s="143"/>
      <c r="K644" s="145"/>
      <c r="L644" s="146"/>
      <c r="M644" s="136"/>
      <c r="N644" s="114"/>
      <c r="O644" s="136"/>
      <c r="P644" s="136"/>
      <c r="Q644" s="136"/>
      <c r="R644" s="136"/>
      <c r="S644" s="136"/>
      <c r="T644" s="136"/>
      <c r="U644" s="136"/>
      <c r="V644" s="136"/>
      <c r="W644" s="136"/>
      <c r="X644" s="136"/>
      <c r="Y644" s="136"/>
      <c r="Z644" s="136"/>
      <c r="AA644" s="136"/>
      <c r="AB644" s="102"/>
      <c r="AC644" s="102"/>
      <c r="AD644" s="103"/>
    </row>
    <row r="645" ht="15.75" customHeight="1">
      <c r="A645" s="147"/>
      <c r="B645" s="148"/>
      <c r="C645" s="133"/>
      <c r="D645" s="133"/>
      <c r="E645" s="148"/>
      <c r="F645" s="148"/>
      <c r="G645" s="148"/>
      <c r="H645" s="148"/>
      <c r="I645" s="148"/>
      <c r="J645" s="148"/>
      <c r="K645" s="150"/>
      <c r="L645" s="151"/>
      <c r="M645" s="133"/>
      <c r="N645" s="114"/>
      <c r="O645" s="133"/>
      <c r="P645" s="133"/>
      <c r="Q645" s="133"/>
      <c r="R645" s="133"/>
      <c r="S645" s="133"/>
      <c r="T645" s="133"/>
      <c r="U645" s="133"/>
      <c r="V645" s="133"/>
      <c r="W645" s="133"/>
      <c r="X645" s="133"/>
      <c r="Y645" s="133"/>
      <c r="Z645" s="133"/>
      <c r="AA645" s="133"/>
      <c r="AB645" s="102"/>
      <c r="AC645" s="102"/>
      <c r="AD645" s="103"/>
    </row>
    <row r="646" ht="15.75" customHeight="1">
      <c r="A646" s="142"/>
      <c r="B646" s="143"/>
      <c r="C646" s="136"/>
      <c r="D646" s="136"/>
      <c r="E646" s="143"/>
      <c r="F646" s="143"/>
      <c r="G646" s="143"/>
      <c r="H646" s="143"/>
      <c r="I646" s="143"/>
      <c r="J646" s="143"/>
      <c r="K646" s="145"/>
      <c r="L646" s="146"/>
      <c r="M646" s="136"/>
      <c r="N646" s="114"/>
      <c r="O646" s="136"/>
      <c r="P646" s="136"/>
      <c r="Q646" s="136"/>
      <c r="R646" s="136"/>
      <c r="S646" s="136"/>
      <c r="T646" s="136"/>
      <c r="U646" s="136"/>
      <c r="V646" s="136"/>
      <c r="W646" s="136"/>
      <c r="X646" s="136"/>
      <c r="Y646" s="136"/>
      <c r="Z646" s="136"/>
      <c r="AA646" s="136"/>
      <c r="AB646" s="102"/>
      <c r="AC646" s="102"/>
      <c r="AD646" s="103"/>
    </row>
    <row r="647" ht="15.75" customHeight="1">
      <c r="A647" s="147"/>
      <c r="B647" s="148"/>
      <c r="C647" s="133"/>
      <c r="D647" s="133"/>
      <c r="E647" s="148"/>
      <c r="F647" s="148"/>
      <c r="G647" s="148"/>
      <c r="H647" s="148"/>
      <c r="I647" s="148"/>
      <c r="J647" s="148"/>
      <c r="K647" s="150"/>
      <c r="L647" s="151"/>
      <c r="M647" s="133"/>
      <c r="N647" s="114"/>
      <c r="O647" s="133"/>
      <c r="P647" s="133"/>
      <c r="Q647" s="133"/>
      <c r="R647" s="133"/>
      <c r="S647" s="133"/>
      <c r="T647" s="133"/>
      <c r="U647" s="133"/>
      <c r="V647" s="133"/>
      <c r="W647" s="133"/>
      <c r="X647" s="133"/>
      <c r="Y647" s="133"/>
      <c r="Z647" s="133"/>
      <c r="AA647" s="133"/>
      <c r="AB647" s="102"/>
      <c r="AC647" s="102"/>
      <c r="AD647" s="103"/>
    </row>
    <row r="648" ht="15.75" customHeight="1">
      <c r="A648" s="142"/>
      <c r="B648" s="143"/>
      <c r="C648" s="136"/>
      <c r="D648" s="136"/>
      <c r="E648" s="143"/>
      <c r="F648" s="143"/>
      <c r="G648" s="143"/>
      <c r="H648" s="143"/>
      <c r="I648" s="143"/>
      <c r="J648" s="143"/>
      <c r="K648" s="145"/>
      <c r="L648" s="146"/>
      <c r="M648" s="136"/>
      <c r="N648" s="114"/>
      <c r="O648" s="136"/>
      <c r="P648" s="136"/>
      <c r="Q648" s="136"/>
      <c r="R648" s="136"/>
      <c r="S648" s="136"/>
      <c r="T648" s="136"/>
      <c r="U648" s="136"/>
      <c r="V648" s="136"/>
      <c r="W648" s="136"/>
      <c r="X648" s="136"/>
      <c r="Y648" s="136"/>
      <c r="Z648" s="136"/>
      <c r="AA648" s="136"/>
      <c r="AB648" s="102"/>
      <c r="AC648" s="102"/>
      <c r="AD648" s="103"/>
    </row>
    <row r="649" ht="15.75" customHeight="1">
      <c r="A649" s="147"/>
      <c r="B649" s="148"/>
      <c r="C649" s="133"/>
      <c r="D649" s="133"/>
      <c r="E649" s="148"/>
      <c r="F649" s="148"/>
      <c r="G649" s="148"/>
      <c r="H649" s="148"/>
      <c r="I649" s="148"/>
      <c r="J649" s="148"/>
      <c r="K649" s="150"/>
      <c r="L649" s="151"/>
      <c r="M649" s="133"/>
      <c r="N649" s="114"/>
      <c r="O649" s="133"/>
      <c r="P649" s="133"/>
      <c r="Q649" s="133"/>
      <c r="R649" s="133"/>
      <c r="S649" s="133"/>
      <c r="T649" s="133"/>
      <c r="U649" s="133"/>
      <c r="V649" s="133"/>
      <c r="W649" s="133"/>
      <c r="X649" s="133"/>
      <c r="Y649" s="133"/>
      <c r="Z649" s="133"/>
      <c r="AA649" s="133"/>
      <c r="AB649" s="102"/>
      <c r="AC649" s="102"/>
      <c r="AD649" s="103"/>
    </row>
    <row r="650" ht="15.75" customHeight="1">
      <c r="A650" s="142"/>
      <c r="B650" s="143"/>
      <c r="C650" s="136"/>
      <c r="D650" s="136"/>
      <c r="E650" s="143"/>
      <c r="F650" s="143"/>
      <c r="G650" s="143"/>
      <c r="H650" s="143"/>
      <c r="I650" s="143"/>
      <c r="J650" s="143"/>
      <c r="K650" s="145"/>
      <c r="L650" s="146"/>
      <c r="M650" s="136"/>
      <c r="N650" s="114"/>
      <c r="O650" s="136"/>
      <c r="P650" s="136"/>
      <c r="Q650" s="136"/>
      <c r="R650" s="136"/>
      <c r="S650" s="136"/>
      <c r="T650" s="136"/>
      <c r="U650" s="136"/>
      <c r="V650" s="136"/>
      <c r="W650" s="136"/>
      <c r="X650" s="136"/>
      <c r="Y650" s="136"/>
      <c r="Z650" s="136"/>
      <c r="AA650" s="136"/>
      <c r="AB650" s="102"/>
      <c r="AC650" s="102"/>
      <c r="AD650" s="103"/>
    </row>
    <row r="651" ht="15.75" customHeight="1">
      <c r="A651" s="147"/>
      <c r="B651" s="148"/>
      <c r="C651" s="133"/>
      <c r="D651" s="133"/>
      <c r="E651" s="148"/>
      <c r="F651" s="148"/>
      <c r="G651" s="148"/>
      <c r="H651" s="148"/>
      <c r="I651" s="148"/>
      <c r="J651" s="148"/>
      <c r="K651" s="150"/>
      <c r="L651" s="151"/>
      <c r="M651" s="133"/>
      <c r="N651" s="114"/>
      <c r="O651" s="133"/>
      <c r="P651" s="133"/>
      <c r="Q651" s="133"/>
      <c r="R651" s="133"/>
      <c r="S651" s="133"/>
      <c r="T651" s="133"/>
      <c r="U651" s="133"/>
      <c r="V651" s="133"/>
      <c r="W651" s="133"/>
      <c r="X651" s="133"/>
      <c r="Y651" s="133"/>
      <c r="Z651" s="133"/>
      <c r="AA651" s="133"/>
      <c r="AB651" s="102"/>
      <c r="AC651" s="102"/>
      <c r="AD651" s="103"/>
    </row>
    <row r="652" ht="15.75" customHeight="1">
      <c r="A652" s="142"/>
      <c r="B652" s="143"/>
      <c r="C652" s="136"/>
      <c r="D652" s="136"/>
      <c r="E652" s="143"/>
      <c r="F652" s="143"/>
      <c r="G652" s="143"/>
      <c r="H652" s="143"/>
      <c r="I652" s="143"/>
      <c r="J652" s="143"/>
      <c r="K652" s="145"/>
      <c r="L652" s="146"/>
      <c r="M652" s="136"/>
      <c r="N652" s="114"/>
      <c r="O652" s="136"/>
      <c r="P652" s="136"/>
      <c r="Q652" s="136"/>
      <c r="R652" s="136"/>
      <c r="S652" s="136"/>
      <c r="T652" s="136"/>
      <c r="U652" s="136"/>
      <c r="V652" s="136"/>
      <c r="W652" s="136"/>
      <c r="X652" s="136"/>
      <c r="Y652" s="136"/>
      <c r="Z652" s="136"/>
      <c r="AA652" s="136"/>
      <c r="AB652" s="102"/>
      <c r="AC652" s="102"/>
      <c r="AD652" s="103"/>
    </row>
    <row r="653" ht="15.75" customHeight="1">
      <c r="A653" s="147"/>
      <c r="B653" s="148"/>
      <c r="C653" s="133"/>
      <c r="D653" s="133"/>
      <c r="E653" s="148"/>
      <c r="F653" s="148"/>
      <c r="G653" s="148"/>
      <c r="H653" s="148"/>
      <c r="I653" s="148"/>
      <c r="J653" s="148"/>
      <c r="K653" s="150"/>
      <c r="L653" s="151"/>
      <c r="M653" s="133"/>
      <c r="N653" s="114"/>
      <c r="O653" s="133"/>
      <c r="P653" s="133"/>
      <c r="Q653" s="133"/>
      <c r="R653" s="133"/>
      <c r="S653" s="133"/>
      <c r="T653" s="133"/>
      <c r="U653" s="133"/>
      <c r="V653" s="133"/>
      <c r="W653" s="133"/>
      <c r="X653" s="133"/>
      <c r="Y653" s="133"/>
      <c r="Z653" s="133"/>
      <c r="AA653" s="133"/>
      <c r="AB653" s="102"/>
      <c r="AC653" s="102"/>
      <c r="AD653" s="103"/>
    </row>
    <row r="654" ht="15.75" customHeight="1">
      <c r="A654" s="142"/>
      <c r="B654" s="143"/>
      <c r="C654" s="136"/>
      <c r="D654" s="136"/>
      <c r="E654" s="143"/>
      <c r="F654" s="143"/>
      <c r="G654" s="143"/>
      <c r="H654" s="143"/>
      <c r="I654" s="143"/>
      <c r="J654" s="143"/>
      <c r="K654" s="145"/>
      <c r="L654" s="146"/>
      <c r="M654" s="136"/>
      <c r="N654" s="114"/>
      <c r="O654" s="136"/>
      <c r="P654" s="136"/>
      <c r="Q654" s="136"/>
      <c r="R654" s="136"/>
      <c r="S654" s="136"/>
      <c r="T654" s="136"/>
      <c r="U654" s="136"/>
      <c r="V654" s="136"/>
      <c r="W654" s="136"/>
      <c r="X654" s="136"/>
      <c r="Y654" s="136"/>
      <c r="Z654" s="136"/>
      <c r="AA654" s="136"/>
      <c r="AB654" s="102"/>
      <c r="AC654" s="102"/>
      <c r="AD654" s="103"/>
    </row>
    <row r="655" ht="15.75" customHeight="1">
      <c r="A655" s="147"/>
      <c r="B655" s="148"/>
      <c r="C655" s="133"/>
      <c r="D655" s="133"/>
      <c r="E655" s="148"/>
      <c r="F655" s="148"/>
      <c r="G655" s="148"/>
      <c r="H655" s="148"/>
      <c r="I655" s="148"/>
      <c r="J655" s="148"/>
      <c r="K655" s="150"/>
      <c r="L655" s="151"/>
      <c r="M655" s="133"/>
      <c r="N655" s="114"/>
      <c r="O655" s="133"/>
      <c r="P655" s="133"/>
      <c r="Q655" s="133"/>
      <c r="R655" s="133"/>
      <c r="S655" s="133"/>
      <c r="T655" s="133"/>
      <c r="U655" s="133"/>
      <c r="V655" s="133"/>
      <c r="W655" s="133"/>
      <c r="X655" s="133"/>
      <c r="Y655" s="133"/>
      <c r="Z655" s="133"/>
      <c r="AA655" s="133"/>
      <c r="AB655" s="102"/>
      <c r="AC655" s="102"/>
      <c r="AD655" s="103"/>
    </row>
    <row r="656" ht="15.75" customHeight="1">
      <c r="A656" s="142"/>
      <c r="B656" s="143"/>
      <c r="C656" s="136"/>
      <c r="D656" s="136"/>
      <c r="E656" s="143"/>
      <c r="F656" s="143"/>
      <c r="G656" s="143"/>
      <c r="H656" s="143"/>
      <c r="I656" s="143"/>
      <c r="J656" s="143"/>
      <c r="K656" s="145"/>
      <c r="L656" s="146"/>
      <c r="M656" s="136"/>
      <c r="N656" s="114"/>
      <c r="O656" s="136"/>
      <c r="P656" s="136"/>
      <c r="Q656" s="136"/>
      <c r="R656" s="136"/>
      <c r="S656" s="136"/>
      <c r="T656" s="136"/>
      <c r="U656" s="136"/>
      <c r="V656" s="136"/>
      <c r="W656" s="136"/>
      <c r="X656" s="136"/>
      <c r="Y656" s="136"/>
      <c r="Z656" s="136"/>
      <c r="AA656" s="136"/>
      <c r="AB656" s="102"/>
      <c r="AC656" s="102"/>
      <c r="AD656" s="103"/>
    </row>
    <row r="657" ht="15.75" customHeight="1">
      <c r="A657" s="147"/>
      <c r="B657" s="148"/>
      <c r="C657" s="133"/>
      <c r="D657" s="133"/>
      <c r="E657" s="148"/>
      <c r="F657" s="148"/>
      <c r="G657" s="148"/>
      <c r="H657" s="148"/>
      <c r="I657" s="148"/>
      <c r="J657" s="148"/>
      <c r="K657" s="150"/>
      <c r="L657" s="151"/>
      <c r="M657" s="133"/>
      <c r="N657" s="114"/>
      <c r="O657" s="133"/>
      <c r="P657" s="133"/>
      <c r="Q657" s="133"/>
      <c r="R657" s="133"/>
      <c r="S657" s="133"/>
      <c r="T657" s="133"/>
      <c r="U657" s="133"/>
      <c r="V657" s="133"/>
      <c r="W657" s="133"/>
      <c r="X657" s="133"/>
      <c r="Y657" s="133"/>
      <c r="Z657" s="133"/>
      <c r="AA657" s="133"/>
      <c r="AB657" s="102"/>
      <c r="AC657" s="102"/>
      <c r="AD657" s="103"/>
    </row>
    <row r="658" ht="15.75" customHeight="1">
      <c r="A658" s="142"/>
      <c r="B658" s="143"/>
      <c r="C658" s="136"/>
      <c r="D658" s="136"/>
      <c r="E658" s="143"/>
      <c r="F658" s="143"/>
      <c r="G658" s="143"/>
      <c r="H658" s="143"/>
      <c r="I658" s="143"/>
      <c r="J658" s="143"/>
      <c r="K658" s="145"/>
      <c r="L658" s="146"/>
      <c r="M658" s="136"/>
      <c r="N658" s="114"/>
      <c r="O658" s="136"/>
      <c r="P658" s="136"/>
      <c r="Q658" s="136"/>
      <c r="R658" s="136"/>
      <c r="S658" s="136"/>
      <c r="T658" s="136"/>
      <c r="U658" s="136"/>
      <c r="V658" s="136"/>
      <c r="W658" s="136"/>
      <c r="X658" s="136"/>
      <c r="Y658" s="136"/>
      <c r="Z658" s="136"/>
      <c r="AA658" s="136"/>
      <c r="AB658" s="102"/>
      <c r="AC658" s="102"/>
      <c r="AD658" s="103"/>
    </row>
    <row r="659" ht="15.75" customHeight="1">
      <c r="A659" s="147"/>
      <c r="B659" s="148"/>
      <c r="C659" s="133"/>
      <c r="D659" s="133"/>
      <c r="E659" s="148"/>
      <c r="F659" s="148"/>
      <c r="G659" s="148"/>
      <c r="H659" s="148"/>
      <c r="I659" s="148"/>
      <c r="J659" s="148"/>
      <c r="K659" s="150"/>
      <c r="L659" s="151"/>
      <c r="M659" s="133"/>
      <c r="N659" s="114"/>
      <c r="O659" s="133"/>
      <c r="P659" s="133"/>
      <c r="Q659" s="133"/>
      <c r="R659" s="133"/>
      <c r="S659" s="133"/>
      <c r="T659" s="133"/>
      <c r="U659" s="133"/>
      <c r="V659" s="133"/>
      <c r="W659" s="133"/>
      <c r="X659" s="133"/>
      <c r="Y659" s="133"/>
      <c r="Z659" s="133"/>
      <c r="AA659" s="133"/>
      <c r="AB659" s="102"/>
      <c r="AC659" s="102"/>
      <c r="AD659" s="103"/>
    </row>
    <row r="660" ht="15.75" customHeight="1">
      <c r="A660" s="142"/>
      <c r="B660" s="143"/>
      <c r="C660" s="136"/>
      <c r="D660" s="136"/>
      <c r="E660" s="143"/>
      <c r="F660" s="143"/>
      <c r="G660" s="143"/>
      <c r="H660" s="143"/>
      <c r="I660" s="143"/>
      <c r="J660" s="143"/>
      <c r="K660" s="145"/>
      <c r="L660" s="146"/>
      <c r="M660" s="136"/>
      <c r="N660" s="114"/>
      <c r="O660" s="136"/>
      <c r="P660" s="136"/>
      <c r="Q660" s="136"/>
      <c r="R660" s="136"/>
      <c r="S660" s="136"/>
      <c r="T660" s="136"/>
      <c r="U660" s="136"/>
      <c r="V660" s="136"/>
      <c r="W660" s="136"/>
      <c r="X660" s="136"/>
      <c r="Y660" s="136"/>
      <c r="Z660" s="136"/>
      <c r="AA660" s="136"/>
      <c r="AB660" s="102"/>
      <c r="AC660" s="102"/>
      <c r="AD660" s="103"/>
    </row>
    <row r="661" ht="15.75" customHeight="1">
      <c r="A661" s="147"/>
      <c r="B661" s="148"/>
      <c r="C661" s="133"/>
      <c r="D661" s="133"/>
      <c r="E661" s="148"/>
      <c r="F661" s="148"/>
      <c r="G661" s="148"/>
      <c r="H661" s="148"/>
      <c r="I661" s="148"/>
      <c r="J661" s="148"/>
      <c r="K661" s="150"/>
      <c r="L661" s="151"/>
      <c r="M661" s="133"/>
      <c r="N661" s="114"/>
      <c r="O661" s="133"/>
      <c r="P661" s="133"/>
      <c r="Q661" s="133"/>
      <c r="R661" s="133"/>
      <c r="S661" s="133"/>
      <c r="T661" s="133"/>
      <c r="U661" s="133"/>
      <c r="V661" s="133"/>
      <c r="W661" s="133"/>
      <c r="X661" s="133"/>
      <c r="Y661" s="133"/>
      <c r="Z661" s="133"/>
      <c r="AA661" s="133"/>
      <c r="AB661" s="102"/>
      <c r="AC661" s="102"/>
      <c r="AD661" s="103"/>
    </row>
    <row r="662" ht="15.75" customHeight="1">
      <c r="A662" s="142"/>
      <c r="B662" s="143"/>
      <c r="C662" s="136"/>
      <c r="D662" s="136"/>
      <c r="E662" s="143"/>
      <c r="F662" s="143"/>
      <c r="G662" s="143"/>
      <c r="H662" s="143"/>
      <c r="I662" s="143"/>
      <c r="J662" s="143"/>
      <c r="K662" s="145"/>
      <c r="L662" s="146"/>
      <c r="M662" s="136"/>
      <c r="N662" s="114"/>
      <c r="O662" s="136"/>
      <c r="P662" s="136"/>
      <c r="Q662" s="136"/>
      <c r="R662" s="136"/>
      <c r="S662" s="136"/>
      <c r="T662" s="136"/>
      <c r="U662" s="136"/>
      <c r="V662" s="136"/>
      <c r="W662" s="136"/>
      <c r="X662" s="136"/>
      <c r="Y662" s="136"/>
      <c r="Z662" s="136"/>
      <c r="AA662" s="136"/>
      <c r="AB662" s="102"/>
      <c r="AC662" s="102"/>
      <c r="AD662" s="103"/>
    </row>
    <row r="663" ht="15.75" customHeight="1">
      <c r="A663" s="147"/>
      <c r="B663" s="148"/>
      <c r="C663" s="133"/>
      <c r="D663" s="133"/>
      <c r="E663" s="148"/>
      <c r="F663" s="148"/>
      <c r="G663" s="148"/>
      <c r="H663" s="148"/>
      <c r="I663" s="148"/>
      <c r="J663" s="148"/>
      <c r="K663" s="150"/>
      <c r="L663" s="151"/>
      <c r="M663" s="133"/>
      <c r="N663" s="114"/>
      <c r="O663" s="133"/>
      <c r="P663" s="133"/>
      <c r="Q663" s="133"/>
      <c r="R663" s="133"/>
      <c r="S663" s="133"/>
      <c r="T663" s="133"/>
      <c r="U663" s="133"/>
      <c r="V663" s="133"/>
      <c r="W663" s="133"/>
      <c r="X663" s="133"/>
      <c r="Y663" s="133"/>
      <c r="Z663" s="133"/>
      <c r="AA663" s="133"/>
      <c r="AB663" s="102"/>
      <c r="AC663" s="102"/>
      <c r="AD663" s="103"/>
    </row>
    <row r="664" ht="15.75" customHeight="1">
      <c r="A664" s="142"/>
      <c r="B664" s="143"/>
      <c r="C664" s="136"/>
      <c r="D664" s="136"/>
      <c r="E664" s="143"/>
      <c r="F664" s="143"/>
      <c r="G664" s="143"/>
      <c r="H664" s="143"/>
      <c r="I664" s="143"/>
      <c r="J664" s="143"/>
      <c r="K664" s="145"/>
      <c r="L664" s="146"/>
      <c r="M664" s="136"/>
      <c r="N664" s="114"/>
      <c r="O664" s="136"/>
      <c r="P664" s="136"/>
      <c r="Q664" s="136"/>
      <c r="R664" s="136"/>
      <c r="S664" s="136"/>
      <c r="T664" s="136"/>
      <c r="U664" s="136"/>
      <c r="V664" s="136"/>
      <c r="W664" s="136"/>
      <c r="X664" s="136"/>
      <c r="Y664" s="136"/>
      <c r="Z664" s="136"/>
      <c r="AA664" s="136"/>
      <c r="AB664" s="102"/>
      <c r="AC664" s="102"/>
      <c r="AD664" s="103"/>
    </row>
    <row r="665" ht="15.75" customHeight="1">
      <c r="A665" s="147"/>
      <c r="B665" s="148"/>
      <c r="C665" s="133"/>
      <c r="D665" s="133"/>
      <c r="E665" s="148"/>
      <c r="F665" s="148"/>
      <c r="G665" s="148"/>
      <c r="H665" s="148"/>
      <c r="I665" s="148"/>
      <c r="J665" s="148"/>
      <c r="K665" s="150"/>
      <c r="L665" s="151"/>
      <c r="M665" s="133"/>
      <c r="N665" s="114"/>
      <c r="O665" s="133"/>
      <c r="P665" s="133"/>
      <c r="Q665" s="133"/>
      <c r="R665" s="133"/>
      <c r="S665" s="133"/>
      <c r="T665" s="133"/>
      <c r="U665" s="133"/>
      <c r="V665" s="133"/>
      <c r="W665" s="133"/>
      <c r="X665" s="133"/>
      <c r="Y665" s="133"/>
      <c r="Z665" s="133"/>
      <c r="AA665" s="133"/>
      <c r="AB665" s="102"/>
      <c r="AC665" s="102"/>
      <c r="AD665" s="103"/>
    </row>
    <row r="666" ht="15.75" customHeight="1">
      <c r="A666" s="142"/>
      <c r="B666" s="143"/>
      <c r="C666" s="136"/>
      <c r="D666" s="136"/>
      <c r="E666" s="143"/>
      <c r="F666" s="143"/>
      <c r="G666" s="143"/>
      <c r="H666" s="143"/>
      <c r="I666" s="143"/>
      <c r="J666" s="143"/>
      <c r="K666" s="145"/>
      <c r="L666" s="146"/>
      <c r="M666" s="136"/>
      <c r="N666" s="114"/>
      <c r="O666" s="136"/>
      <c r="P666" s="136"/>
      <c r="Q666" s="136"/>
      <c r="R666" s="136"/>
      <c r="S666" s="136"/>
      <c r="T666" s="136"/>
      <c r="U666" s="136"/>
      <c r="V666" s="136"/>
      <c r="W666" s="136"/>
      <c r="X666" s="136"/>
      <c r="Y666" s="136"/>
      <c r="Z666" s="136"/>
      <c r="AA666" s="136"/>
      <c r="AB666" s="102"/>
      <c r="AC666" s="102"/>
      <c r="AD666" s="103"/>
    </row>
    <row r="667" ht="15.75" customHeight="1">
      <c r="A667" s="147"/>
      <c r="B667" s="148"/>
      <c r="C667" s="133"/>
      <c r="D667" s="133"/>
      <c r="E667" s="148"/>
      <c r="F667" s="148"/>
      <c r="G667" s="148"/>
      <c r="H667" s="148"/>
      <c r="I667" s="148"/>
      <c r="J667" s="148"/>
      <c r="K667" s="150"/>
      <c r="L667" s="151"/>
      <c r="M667" s="133"/>
      <c r="N667" s="114"/>
      <c r="O667" s="133"/>
      <c r="P667" s="133"/>
      <c r="Q667" s="133"/>
      <c r="R667" s="133"/>
      <c r="S667" s="133"/>
      <c r="T667" s="133"/>
      <c r="U667" s="133"/>
      <c r="V667" s="133"/>
      <c r="W667" s="133"/>
      <c r="X667" s="133"/>
      <c r="Y667" s="133"/>
      <c r="Z667" s="133"/>
      <c r="AA667" s="133"/>
      <c r="AB667" s="102"/>
      <c r="AC667" s="102"/>
      <c r="AD667" s="103"/>
    </row>
    <row r="668" ht="15.75" customHeight="1">
      <c r="A668" s="142"/>
      <c r="B668" s="143"/>
      <c r="C668" s="136"/>
      <c r="D668" s="136"/>
      <c r="E668" s="143"/>
      <c r="F668" s="143"/>
      <c r="G668" s="143"/>
      <c r="H668" s="143"/>
      <c r="I668" s="143"/>
      <c r="J668" s="143"/>
      <c r="K668" s="145"/>
      <c r="L668" s="146"/>
      <c r="M668" s="136"/>
      <c r="N668" s="114"/>
      <c r="O668" s="136"/>
      <c r="P668" s="136"/>
      <c r="Q668" s="136"/>
      <c r="R668" s="136"/>
      <c r="S668" s="136"/>
      <c r="T668" s="136"/>
      <c r="U668" s="136"/>
      <c r="V668" s="136"/>
      <c r="W668" s="136"/>
      <c r="X668" s="136"/>
      <c r="Y668" s="136"/>
      <c r="Z668" s="136"/>
      <c r="AA668" s="136"/>
      <c r="AB668" s="102"/>
      <c r="AC668" s="102"/>
      <c r="AD668" s="103"/>
    </row>
    <row r="669" ht="15.75" customHeight="1">
      <c r="A669" s="147"/>
      <c r="B669" s="148"/>
      <c r="C669" s="133"/>
      <c r="D669" s="133"/>
      <c r="E669" s="148"/>
      <c r="F669" s="148"/>
      <c r="G669" s="148"/>
      <c r="H669" s="148"/>
      <c r="I669" s="148"/>
      <c r="J669" s="148"/>
      <c r="K669" s="150"/>
      <c r="L669" s="151"/>
      <c r="M669" s="133"/>
      <c r="N669" s="114"/>
      <c r="O669" s="133"/>
      <c r="P669" s="133"/>
      <c r="Q669" s="133"/>
      <c r="R669" s="133"/>
      <c r="S669" s="133"/>
      <c r="T669" s="133"/>
      <c r="U669" s="133"/>
      <c r="V669" s="133"/>
      <c r="W669" s="133"/>
      <c r="X669" s="133"/>
      <c r="Y669" s="133"/>
      <c r="Z669" s="133"/>
      <c r="AA669" s="133"/>
      <c r="AB669" s="102"/>
      <c r="AC669" s="102"/>
      <c r="AD669" s="103"/>
    </row>
    <row r="670" ht="15.75" customHeight="1">
      <c r="A670" s="142"/>
      <c r="B670" s="143"/>
      <c r="C670" s="136"/>
      <c r="D670" s="136"/>
      <c r="E670" s="143"/>
      <c r="F670" s="143"/>
      <c r="G670" s="143"/>
      <c r="H670" s="143"/>
      <c r="I670" s="143"/>
      <c r="J670" s="143"/>
      <c r="K670" s="145"/>
      <c r="L670" s="146"/>
      <c r="M670" s="136"/>
      <c r="N670" s="114"/>
      <c r="O670" s="136"/>
      <c r="P670" s="136"/>
      <c r="Q670" s="136"/>
      <c r="R670" s="136"/>
      <c r="S670" s="136"/>
      <c r="T670" s="136"/>
      <c r="U670" s="136"/>
      <c r="V670" s="136"/>
      <c r="W670" s="136"/>
      <c r="X670" s="136"/>
      <c r="Y670" s="136"/>
      <c r="Z670" s="136"/>
      <c r="AA670" s="136"/>
      <c r="AB670" s="102"/>
      <c r="AC670" s="102"/>
      <c r="AD670" s="103"/>
    </row>
    <row r="671" ht="15.75" customHeight="1">
      <c r="A671" s="147"/>
      <c r="B671" s="148"/>
      <c r="C671" s="133"/>
      <c r="D671" s="133"/>
      <c r="E671" s="148"/>
      <c r="F671" s="148"/>
      <c r="G671" s="148"/>
      <c r="H671" s="148"/>
      <c r="I671" s="148"/>
      <c r="J671" s="148"/>
      <c r="K671" s="150"/>
      <c r="L671" s="151"/>
      <c r="M671" s="133"/>
      <c r="N671" s="114"/>
      <c r="O671" s="133"/>
      <c r="P671" s="133"/>
      <c r="Q671" s="133"/>
      <c r="R671" s="133"/>
      <c r="S671" s="133"/>
      <c r="T671" s="133"/>
      <c r="U671" s="133"/>
      <c r="V671" s="133"/>
      <c r="W671" s="133"/>
      <c r="X671" s="133"/>
      <c r="Y671" s="133"/>
      <c r="Z671" s="133"/>
      <c r="AA671" s="133"/>
      <c r="AB671" s="102"/>
      <c r="AC671" s="102"/>
      <c r="AD671" s="103"/>
    </row>
    <row r="672" ht="15.75" customHeight="1">
      <c r="A672" s="142"/>
      <c r="B672" s="143"/>
      <c r="C672" s="136"/>
      <c r="D672" s="136"/>
      <c r="E672" s="143"/>
      <c r="F672" s="143"/>
      <c r="G672" s="143"/>
      <c r="H672" s="143"/>
      <c r="I672" s="143"/>
      <c r="J672" s="143"/>
      <c r="K672" s="145"/>
      <c r="L672" s="146"/>
      <c r="M672" s="136"/>
      <c r="N672" s="114"/>
      <c r="O672" s="136"/>
      <c r="P672" s="136"/>
      <c r="Q672" s="136"/>
      <c r="R672" s="136"/>
      <c r="S672" s="136"/>
      <c r="T672" s="136"/>
      <c r="U672" s="136"/>
      <c r="V672" s="136"/>
      <c r="W672" s="136"/>
      <c r="X672" s="136"/>
      <c r="Y672" s="136"/>
      <c r="Z672" s="136"/>
      <c r="AA672" s="136"/>
      <c r="AB672" s="102"/>
      <c r="AC672" s="102"/>
      <c r="AD672" s="103"/>
    </row>
    <row r="673" ht="15.75" customHeight="1">
      <c r="A673" s="147"/>
      <c r="B673" s="148"/>
      <c r="C673" s="133"/>
      <c r="D673" s="133"/>
      <c r="E673" s="148"/>
      <c r="F673" s="148"/>
      <c r="G673" s="148"/>
      <c r="H673" s="148"/>
      <c r="I673" s="148"/>
      <c r="J673" s="148"/>
      <c r="K673" s="150"/>
      <c r="L673" s="151"/>
      <c r="M673" s="133"/>
      <c r="N673" s="114"/>
      <c r="O673" s="133"/>
      <c r="P673" s="133"/>
      <c r="Q673" s="133"/>
      <c r="R673" s="133"/>
      <c r="S673" s="133"/>
      <c r="T673" s="133"/>
      <c r="U673" s="133"/>
      <c r="V673" s="133"/>
      <c r="W673" s="133"/>
      <c r="X673" s="133"/>
      <c r="Y673" s="133"/>
      <c r="Z673" s="133"/>
      <c r="AA673" s="133"/>
      <c r="AB673" s="102"/>
      <c r="AC673" s="102"/>
      <c r="AD673" s="103"/>
    </row>
    <row r="674" ht="15.75" customHeight="1">
      <c r="A674" s="142"/>
      <c r="B674" s="143"/>
      <c r="C674" s="136"/>
      <c r="D674" s="136"/>
      <c r="E674" s="143"/>
      <c r="F674" s="143"/>
      <c r="G674" s="143"/>
      <c r="H674" s="143"/>
      <c r="I674" s="143"/>
      <c r="J674" s="143"/>
      <c r="K674" s="145"/>
      <c r="L674" s="146"/>
      <c r="M674" s="136"/>
      <c r="N674" s="114"/>
      <c r="O674" s="136"/>
      <c r="P674" s="136"/>
      <c r="Q674" s="136"/>
      <c r="R674" s="136"/>
      <c r="S674" s="136"/>
      <c r="T674" s="136"/>
      <c r="U674" s="136"/>
      <c r="V674" s="136"/>
      <c r="W674" s="136"/>
      <c r="X674" s="136"/>
      <c r="Y674" s="136"/>
      <c r="Z674" s="136"/>
      <c r="AA674" s="136"/>
      <c r="AB674" s="102"/>
      <c r="AC674" s="102"/>
      <c r="AD674" s="103"/>
    </row>
    <row r="675" ht="15.75" customHeight="1">
      <c r="A675" s="147"/>
      <c r="B675" s="148"/>
      <c r="C675" s="133"/>
      <c r="D675" s="133"/>
      <c r="E675" s="148"/>
      <c r="F675" s="148"/>
      <c r="G675" s="148"/>
      <c r="H675" s="148"/>
      <c r="I675" s="148"/>
      <c r="J675" s="148"/>
      <c r="K675" s="150"/>
      <c r="L675" s="151"/>
      <c r="M675" s="133"/>
      <c r="N675" s="114"/>
      <c r="O675" s="133"/>
      <c r="P675" s="133"/>
      <c r="Q675" s="133"/>
      <c r="R675" s="133"/>
      <c r="S675" s="133"/>
      <c r="T675" s="133"/>
      <c r="U675" s="133"/>
      <c r="V675" s="133"/>
      <c r="W675" s="133"/>
      <c r="X675" s="133"/>
      <c r="Y675" s="133"/>
      <c r="Z675" s="133"/>
      <c r="AA675" s="133"/>
      <c r="AB675" s="102"/>
      <c r="AC675" s="102"/>
      <c r="AD675" s="103"/>
    </row>
    <row r="676" ht="15.75" customHeight="1">
      <c r="A676" s="142"/>
      <c r="B676" s="143"/>
      <c r="C676" s="136"/>
      <c r="D676" s="136"/>
      <c r="E676" s="143"/>
      <c r="F676" s="143"/>
      <c r="G676" s="143"/>
      <c r="H676" s="143"/>
      <c r="I676" s="143"/>
      <c r="J676" s="143"/>
      <c r="K676" s="145"/>
      <c r="L676" s="146"/>
      <c r="M676" s="136"/>
      <c r="N676" s="114"/>
      <c r="O676" s="136"/>
      <c r="P676" s="136"/>
      <c r="Q676" s="136"/>
      <c r="R676" s="136"/>
      <c r="S676" s="136"/>
      <c r="T676" s="136"/>
      <c r="U676" s="136"/>
      <c r="V676" s="136"/>
      <c r="W676" s="136"/>
      <c r="X676" s="136"/>
      <c r="Y676" s="136"/>
      <c r="Z676" s="136"/>
      <c r="AA676" s="136"/>
      <c r="AB676" s="102"/>
      <c r="AC676" s="102"/>
      <c r="AD676" s="103"/>
    </row>
    <row r="677" ht="15.75" customHeight="1">
      <c r="A677" s="147"/>
      <c r="B677" s="148"/>
      <c r="C677" s="133"/>
      <c r="D677" s="133"/>
      <c r="E677" s="148"/>
      <c r="F677" s="148"/>
      <c r="G677" s="148"/>
      <c r="H677" s="148"/>
      <c r="I677" s="148"/>
      <c r="J677" s="148"/>
      <c r="K677" s="150"/>
      <c r="L677" s="151"/>
      <c r="M677" s="133"/>
      <c r="N677" s="114"/>
      <c r="O677" s="133"/>
      <c r="P677" s="133"/>
      <c r="Q677" s="133"/>
      <c r="R677" s="133"/>
      <c r="S677" s="133"/>
      <c r="T677" s="133"/>
      <c r="U677" s="133"/>
      <c r="V677" s="133"/>
      <c r="W677" s="133"/>
      <c r="X677" s="133"/>
      <c r="Y677" s="133"/>
      <c r="Z677" s="133"/>
      <c r="AA677" s="133"/>
      <c r="AB677" s="102"/>
      <c r="AC677" s="102"/>
      <c r="AD677" s="103"/>
    </row>
    <row r="678" ht="15.75" customHeight="1">
      <c r="A678" s="142"/>
      <c r="B678" s="143"/>
      <c r="C678" s="136"/>
      <c r="D678" s="136"/>
      <c r="E678" s="143"/>
      <c r="F678" s="143"/>
      <c r="G678" s="143"/>
      <c r="H678" s="143"/>
      <c r="I678" s="143"/>
      <c r="J678" s="143"/>
      <c r="K678" s="145"/>
      <c r="L678" s="146"/>
      <c r="M678" s="136"/>
      <c r="N678" s="114"/>
      <c r="O678" s="136"/>
      <c r="P678" s="136"/>
      <c r="Q678" s="136"/>
      <c r="R678" s="136"/>
      <c r="S678" s="136"/>
      <c r="T678" s="136"/>
      <c r="U678" s="136"/>
      <c r="V678" s="136"/>
      <c r="W678" s="136"/>
      <c r="X678" s="136"/>
      <c r="Y678" s="136"/>
      <c r="Z678" s="136"/>
      <c r="AA678" s="136"/>
      <c r="AB678" s="102"/>
      <c r="AC678" s="102"/>
      <c r="AD678" s="103"/>
    </row>
    <row r="679" ht="15.75" customHeight="1">
      <c r="A679" s="147"/>
      <c r="B679" s="148"/>
      <c r="C679" s="133"/>
      <c r="D679" s="133"/>
      <c r="E679" s="148"/>
      <c r="F679" s="148"/>
      <c r="G679" s="148"/>
      <c r="H679" s="148"/>
      <c r="I679" s="148"/>
      <c r="J679" s="148"/>
      <c r="K679" s="150"/>
      <c r="L679" s="151"/>
      <c r="M679" s="133"/>
      <c r="N679" s="114"/>
      <c r="O679" s="133"/>
      <c r="P679" s="133"/>
      <c r="Q679" s="133"/>
      <c r="R679" s="133"/>
      <c r="S679" s="133"/>
      <c r="T679" s="133"/>
      <c r="U679" s="133"/>
      <c r="V679" s="133"/>
      <c r="W679" s="133"/>
      <c r="X679" s="133"/>
      <c r="Y679" s="133"/>
      <c r="Z679" s="133"/>
      <c r="AA679" s="133"/>
      <c r="AB679" s="102"/>
      <c r="AC679" s="102"/>
      <c r="AD679" s="103"/>
    </row>
    <row r="680" ht="15.75" customHeight="1">
      <c r="A680" s="142"/>
      <c r="B680" s="143"/>
      <c r="C680" s="136"/>
      <c r="D680" s="136"/>
      <c r="E680" s="143"/>
      <c r="F680" s="143"/>
      <c r="G680" s="143"/>
      <c r="H680" s="143"/>
      <c r="I680" s="143"/>
      <c r="J680" s="143"/>
      <c r="K680" s="145"/>
      <c r="L680" s="146"/>
      <c r="M680" s="136"/>
      <c r="N680" s="114"/>
      <c r="O680" s="136"/>
      <c r="P680" s="136"/>
      <c r="Q680" s="136"/>
      <c r="R680" s="136"/>
      <c r="S680" s="136"/>
      <c r="T680" s="136"/>
      <c r="U680" s="136"/>
      <c r="V680" s="136"/>
      <c r="W680" s="136"/>
      <c r="X680" s="136"/>
      <c r="Y680" s="136"/>
      <c r="Z680" s="136"/>
      <c r="AA680" s="136"/>
      <c r="AB680" s="102"/>
      <c r="AC680" s="102"/>
      <c r="AD680" s="103"/>
    </row>
    <row r="681" ht="15.75" customHeight="1">
      <c r="A681" s="147"/>
      <c r="B681" s="148"/>
      <c r="C681" s="133"/>
      <c r="D681" s="133"/>
      <c r="E681" s="148"/>
      <c r="F681" s="148"/>
      <c r="G681" s="148"/>
      <c r="H681" s="148"/>
      <c r="I681" s="148"/>
      <c r="J681" s="148"/>
      <c r="K681" s="150"/>
      <c r="L681" s="151"/>
      <c r="M681" s="133"/>
      <c r="N681" s="114"/>
      <c r="O681" s="133"/>
      <c r="P681" s="133"/>
      <c r="Q681" s="133"/>
      <c r="R681" s="133"/>
      <c r="S681" s="133"/>
      <c r="T681" s="133"/>
      <c r="U681" s="133"/>
      <c r="V681" s="133"/>
      <c r="W681" s="133"/>
      <c r="X681" s="133"/>
      <c r="Y681" s="133"/>
      <c r="Z681" s="133"/>
      <c r="AA681" s="133"/>
      <c r="AB681" s="102"/>
      <c r="AC681" s="102"/>
      <c r="AD681" s="103"/>
    </row>
    <row r="682" ht="15.75" customHeight="1">
      <c r="A682" s="142"/>
      <c r="B682" s="143"/>
      <c r="C682" s="136"/>
      <c r="D682" s="136"/>
      <c r="E682" s="143"/>
      <c r="F682" s="143"/>
      <c r="G682" s="143"/>
      <c r="H682" s="143"/>
      <c r="I682" s="143"/>
      <c r="J682" s="143"/>
      <c r="K682" s="145"/>
      <c r="L682" s="146"/>
      <c r="M682" s="136"/>
      <c r="N682" s="114"/>
      <c r="O682" s="136"/>
      <c r="P682" s="136"/>
      <c r="Q682" s="136"/>
      <c r="R682" s="136"/>
      <c r="S682" s="136"/>
      <c r="T682" s="136"/>
      <c r="U682" s="136"/>
      <c r="V682" s="136"/>
      <c r="W682" s="136"/>
      <c r="X682" s="136"/>
      <c r="Y682" s="136"/>
      <c r="Z682" s="136"/>
      <c r="AA682" s="136"/>
      <c r="AB682" s="102"/>
      <c r="AC682" s="102"/>
      <c r="AD682" s="103"/>
    </row>
    <row r="683" ht="15.75" customHeight="1">
      <c r="A683" s="147"/>
      <c r="B683" s="148"/>
      <c r="C683" s="133"/>
      <c r="D683" s="133"/>
      <c r="E683" s="148"/>
      <c r="F683" s="148"/>
      <c r="G683" s="148"/>
      <c r="H683" s="148"/>
      <c r="I683" s="148"/>
      <c r="J683" s="148"/>
      <c r="K683" s="150"/>
      <c r="L683" s="151"/>
      <c r="M683" s="133"/>
      <c r="N683" s="114"/>
      <c r="O683" s="133"/>
      <c r="P683" s="133"/>
      <c r="Q683" s="133"/>
      <c r="R683" s="133"/>
      <c r="S683" s="133"/>
      <c r="T683" s="133"/>
      <c r="U683" s="133"/>
      <c r="V683" s="133"/>
      <c r="W683" s="133"/>
      <c r="X683" s="133"/>
      <c r="Y683" s="133"/>
      <c r="Z683" s="133"/>
      <c r="AA683" s="133"/>
      <c r="AB683" s="102"/>
      <c r="AC683" s="102"/>
      <c r="AD683" s="103"/>
    </row>
    <row r="684" ht="15.75" customHeight="1">
      <c r="A684" s="142"/>
      <c r="B684" s="143"/>
      <c r="C684" s="136"/>
      <c r="D684" s="136"/>
      <c r="E684" s="143"/>
      <c r="F684" s="143"/>
      <c r="G684" s="143"/>
      <c r="H684" s="143"/>
      <c r="I684" s="143"/>
      <c r="J684" s="143"/>
      <c r="K684" s="145"/>
      <c r="L684" s="146"/>
      <c r="M684" s="136"/>
      <c r="N684" s="114"/>
      <c r="O684" s="136"/>
      <c r="P684" s="136"/>
      <c r="Q684" s="136"/>
      <c r="R684" s="136"/>
      <c r="S684" s="136"/>
      <c r="T684" s="136"/>
      <c r="U684" s="136"/>
      <c r="V684" s="136"/>
      <c r="W684" s="136"/>
      <c r="X684" s="136"/>
      <c r="Y684" s="136"/>
      <c r="Z684" s="136"/>
      <c r="AA684" s="136"/>
      <c r="AB684" s="102"/>
      <c r="AC684" s="102"/>
      <c r="AD684" s="103"/>
    </row>
    <row r="685" ht="15.75" customHeight="1">
      <c r="A685" s="147"/>
      <c r="B685" s="148"/>
      <c r="C685" s="133"/>
      <c r="D685" s="133"/>
      <c r="E685" s="148"/>
      <c r="F685" s="148"/>
      <c r="G685" s="148"/>
      <c r="H685" s="148"/>
      <c r="I685" s="148"/>
      <c r="J685" s="148"/>
      <c r="K685" s="150"/>
      <c r="L685" s="151"/>
      <c r="M685" s="133"/>
      <c r="N685" s="114"/>
      <c r="O685" s="133"/>
      <c r="P685" s="133"/>
      <c r="Q685" s="133"/>
      <c r="R685" s="133"/>
      <c r="S685" s="133"/>
      <c r="T685" s="133"/>
      <c r="U685" s="133"/>
      <c r="V685" s="133"/>
      <c r="W685" s="133"/>
      <c r="X685" s="133"/>
      <c r="Y685" s="133"/>
      <c r="Z685" s="133"/>
      <c r="AA685" s="133"/>
      <c r="AB685" s="102"/>
      <c r="AC685" s="102"/>
      <c r="AD685" s="103"/>
    </row>
    <row r="686" ht="15.75" customHeight="1">
      <c r="A686" s="142"/>
      <c r="B686" s="143"/>
      <c r="C686" s="136"/>
      <c r="D686" s="136"/>
      <c r="E686" s="143"/>
      <c r="F686" s="143"/>
      <c r="G686" s="143"/>
      <c r="H686" s="143"/>
      <c r="I686" s="143"/>
      <c r="J686" s="143"/>
      <c r="K686" s="145"/>
      <c r="L686" s="146"/>
      <c r="M686" s="136"/>
      <c r="N686" s="114"/>
      <c r="O686" s="136"/>
      <c r="P686" s="136"/>
      <c r="Q686" s="136"/>
      <c r="R686" s="136"/>
      <c r="S686" s="136"/>
      <c r="T686" s="136"/>
      <c r="U686" s="136"/>
      <c r="V686" s="136"/>
      <c r="W686" s="136"/>
      <c r="X686" s="136"/>
      <c r="Y686" s="136"/>
      <c r="Z686" s="136"/>
      <c r="AA686" s="136"/>
      <c r="AB686" s="102"/>
      <c r="AC686" s="102"/>
      <c r="AD686" s="103"/>
    </row>
    <row r="687" ht="15.75" customHeight="1">
      <c r="A687" s="147"/>
      <c r="B687" s="148"/>
      <c r="C687" s="133"/>
      <c r="D687" s="133"/>
      <c r="E687" s="148"/>
      <c r="F687" s="148"/>
      <c r="G687" s="148"/>
      <c r="H687" s="148"/>
      <c r="I687" s="148"/>
      <c r="J687" s="148"/>
      <c r="K687" s="150"/>
      <c r="L687" s="151"/>
      <c r="M687" s="133"/>
      <c r="N687" s="114"/>
      <c r="O687" s="133"/>
      <c r="P687" s="133"/>
      <c r="Q687" s="133"/>
      <c r="R687" s="133"/>
      <c r="S687" s="133"/>
      <c r="T687" s="133"/>
      <c r="U687" s="133"/>
      <c r="V687" s="133"/>
      <c r="W687" s="133"/>
      <c r="X687" s="133"/>
      <c r="Y687" s="133"/>
      <c r="Z687" s="133"/>
      <c r="AA687" s="133"/>
      <c r="AB687" s="102"/>
      <c r="AC687" s="102"/>
      <c r="AD687" s="103"/>
    </row>
    <row r="688" ht="15.75" customHeight="1">
      <c r="A688" s="142"/>
      <c r="B688" s="143"/>
      <c r="C688" s="136"/>
      <c r="D688" s="136"/>
      <c r="E688" s="143"/>
      <c r="F688" s="143"/>
      <c r="G688" s="143"/>
      <c r="H688" s="143"/>
      <c r="I688" s="143"/>
      <c r="J688" s="143"/>
      <c r="K688" s="145"/>
      <c r="L688" s="146"/>
      <c r="M688" s="136"/>
      <c r="N688" s="114"/>
      <c r="O688" s="136"/>
      <c r="P688" s="136"/>
      <c r="Q688" s="136"/>
      <c r="R688" s="136"/>
      <c r="S688" s="136"/>
      <c r="T688" s="136"/>
      <c r="U688" s="136"/>
      <c r="V688" s="136"/>
      <c r="W688" s="136"/>
      <c r="X688" s="136"/>
      <c r="Y688" s="136"/>
      <c r="Z688" s="136"/>
      <c r="AA688" s="136"/>
      <c r="AB688" s="102"/>
      <c r="AC688" s="102"/>
      <c r="AD688" s="103"/>
    </row>
    <row r="689" ht="15.75" customHeight="1">
      <c r="A689" s="147"/>
      <c r="B689" s="148"/>
      <c r="C689" s="133"/>
      <c r="D689" s="133"/>
      <c r="E689" s="148"/>
      <c r="F689" s="148"/>
      <c r="G689" s="148"/>
      <c r="H689" s="148"/>
      <c r="I689" s="148"/>
      <c r="J689" s="148"/>
      <c r="K689" s="150"/>
      <c r="L689" s="151"/>
      <c r="M689" s="133"/>
      <c r="N689" s="114"/>
      <c r="O689" s="133"/>
      <c r="P689" s="133"/>
      <c r="Q689" s="133"/>
      <c r="R689" s="133"/>
      <c r="S689" s="133"/>
      <c r="T689" s="133"/>
      <c r="U689" s="133"/>
      <c r="V689" s="133"/>
      <c r="W689" s="133"/>
      <c r="X689" s="133"/>
      <c r="Y689" s="133"/>
      <c r="Z689" s="133"/>
      <c r="AA689" s="133"/>
      <c r="AB689" s="102"/>
      <c r="AC689" s="102"/>
      <c r="AD689" s="103"/>
    </row>
    <row r="690" ht="15.75" customHeight="1">
      <c r="A690" s="142"/>
      <c r="B690" s="143"/>
      <c r="C690" s="136"/>
      <c r="D690" s="136"/>
      <c r="E690" s="143"/>
      <c r="F690" s="143"/>
      <c r="G690" s="143"/>
      <c r="H690" s="143"/>
      <c r="I690" s="143"/>
      <c r="J690" s="143"/>
      <c r="K690" s="145"/>
      <c r="L690" s="146"/>
      <c r="M690" s="136"/>
      <c r="N690" s="114"/>
      <c r="O690" s="136"/>
      <c r="P690" s="136"/>
      <c r="Q690" s="136"/>
      <c r="R690" s="136"/>
      <c r="S690" s="136"/>
      <c r="T690" s="136"/>
      <c r="U690" s="136"/>
      <c r="V690" s="136"/>
      <c r="W690" s="136"/>
      <c r="X690" s="136"/>
      <c r="Y690" s="136"/>
      <c r="Z690" s="136"/>
      <c r="AA690" s="136"/>
      <c r="AB690" s="102"/>
      <c r="AC690" s="102"/>
      <c r="AD690" s="103"/>
    </row>
    <row r="691" ht="15.75" customHeight="1">
      <c r="A691" s="147"/>
      <c r="B691" s="148"/>
      <c r="C691" s="133"/>
      <c r="D691" s="133"/>
      <c r="E691" s="148"/>
      <c r="F691" s="148"/>
      <c r="G691" s="148"/>
      <c r="H691" s="148"/>
      <c r="I691" s="148"/>
      <c r="J691" s="148"/>
      <c r="K691" s="150"/>
      <c r="L691" s="151"/>
      <c r="M691" s="133"/>
      <c r="N691" s="114"/>
      <c r="O691" s="133"/>
      <c r="P691" s="133"/>
      <c r="Q691" s="133"/>
      <c r="R691" s="133"/>
      <c r="S691" s="133"/>
      <c r="T691" s="133"/>
      <c r="U691" s="133"/>
      <c r="V691" s="133"/>
      <c r="W691" s="133"/>
      <c r="X691" s="133"/>
      <c r="Y691" s="133"/>
      <c r="Z691" s="133"/>
      <c r="AA691" s="133"/>
      <c r="AB691" s="102"/>
      <c r="AC691" s="102"/>
      <c r="AD691" s="103"/>
    </row>
    <row r="692" ht="15.75" customHeight="1">
      <c r="A692" s="142"/>
      <c r="B692" s="143"/>
      <c r="C692" s="136"/>
      <c r="D692" s="136"/>
      <c r="E692" s="143"/>
      <c r="F692" s="143"/>
      <c r="G692" s="143"/>
      <c r="H692" s="143"/>
      <c r="I692" s="143"/>
      <c r="J692" s="143"/>
      <c r="K692" s="145"/>
      <c r="L692" s="146"/>
      <c r="M692" s="136"/>
      <c r="N692" s="114"/>
      <c r="O692" s="136"/>
      <c r="P692" s="136"/>
      <c r="Q692" s="136"/>
      <c r="R692" s="136"/>
      <c r="S692" s="136"/>
      <c r="T692" s="136"/>
      <c r="U692" s="136"/>
      <c r="V692" s="136"/>
      <c r="W692" s="136"/>
      <c r="X692" s="136"/>
      <c r="Y692" s="136"/>
      <c r="Z692" s="136"/>
      <c r="AA692" s="136"/>
      <c r="AB692" s="102"/>
      <c r="AC692" s="102"/>
      <c r="AD692" s="103"/>
    </row>
    <row r="693" ht="15.75" customHeight="1">
      <c r="A693" s="147"/>
      <c r="B693" s="148"/>
      <c r="C693" s="133"/>
      <c r="D693" s="133"/>
      <c r="E693" s="148"/>
      <c r="F693" s="148"/>
      <c r="G693" s="148"/>
      <c r="H693" s="148"/>
      <c r="I693" s="148"/>
      <c r="J693" s="148"/>
      <c r="K693" s="150"/>
      <c r="L693" s="151"/>
      <c r="M693" s="133"/>
      <c r="N693" s="114"/>
      <c r="O693" s="133"/>
      <c r="P693" s="133"/>
      <c r="Q693" s="133"/>
      <c r="R693" s="133"/>
      <c r="S693" s="133"/>
      <c r="T693" s="133"/>
      <c r="U693" s="133"/>
      <c r="V693" s="133"/>
      <c r="W693" s="133"/>
      <c r="X693" s="133"/>
      <c r="Y693" s="133"/>
      <c r="Z693" s="133"/>
      <c r="AA693" s="133"/>
      <c r="AB693" s="102"/>
      <c r="AC693" s="102"/>
      <c r="AD693" s="103"/>
    </row>
    <row r="694" ht="15.75" customHeight="1">
      <c r="A694" s="142"/>
      <c r="B694" s="143"/>
      <c r="C694" s="136"/>
      <c r="D694" s="136"/>
      <c r="E694" s="143"/>
      <c r="F694" s="143"/>
      <c r="G694" s="143"/>
      <c r="H694" s="143"/>
      <c r="I694" s="143"/>
      <c r="J694" s="143"/>
      <c r="K694" s="145"/>
      <c r="L694" s="146"/>
      <c r="M694" s="136"/>
      <c r="N694" s="114"/>
      <c r="O694" s="136"/>
      <c r="P694" s="136"/>
      <c r="Q694" s="136"/>
      <c r="R694" s="136"/>
      <c r="S694" s="136"/>
      <c r="T694" s="136"/>
      <c r="U694" s="136"/>
      <c r="V694" s="136"/>
      <c r="W694" s="136"/>
      <c r="X694" s="136"/>
      <c r="Y694" s="136"/>
      <c r="Z694" s="136"/>
      <c r="AA694" s="136"/>
      <c r="AB694" s="102"/>
      <c r="AC694" s="102"/>
      <c r="AD694" s="103"/>
    </row>
    <row r="695" ht="15.75" customHeight="1">
      <c r="A695" s="147"/>
      <c r="B695" s="148"/>
      <c r="C695" s="133"/>
      <c r="D695" s="133"/>
      <c r="E695" s="148"/>
      <c r="F695" s="148"/>
      <c r="G695" s="148"/>
      <c r="H695" s="148"/>
      <c r="I695" s="148"/>
      <c r="J695" s="148"/>
      <c r="K695" s="150"/>
      <c r="L695" s="151"/>
      <c r="M695" s="133"/>
      <c r="N695" s="114"/>
      <c r="O695" s="133"/>
      <c r="P695" s="133"/>
      <c r="Q695" s="133"/>
      <c r="R695" s="133"/>
      <c r="S695" s="133"/>
      <c r="T695" s="133"/>
      <c r="U695" s="133"/>
      <c r="V695" s="133"/>
      <c r="W695" s="133"/>
      <c r="X695" s="133"/>
      <c r="Y695" s="133"/>
      <c r="Z695" s="133"/>
      <c r="AA695" s="133"/>
      <c r="AB695" s="102"/>
      <c r="AC695" s="102"/>
      <c r="AD695" s="103"/>
    </row>
    <row r="696" ht="15.75" customHeight="1">
      <c r="A696" s="142"/>
      <c r="B696" s="143"/>
      <c r="C696" s="136"/>
      <c r="D696" s="136"/>
      <c r="E696" s="143"/>
      <c r="F696" s="143"/>
      <c r="G696" s="143"/>
      <c r="H696" s="143"/>
      <c r="I696" s="143"/>
      <c r="J696" s="143"/>
      <c r="K696" s="145"/>
      <c r="L696" s="146"/>
      <c r="M696" s="136"/>
      <c r="N696" s="114"/>
      <c r="O696" s="136"/>
      <c r="P696" s="136"/>
      <c r="Q696" s="136"/>
      <c r="R696" s="136"/>
      <c r="S696" s="136"/>
      <c r="T696" s="136"/>
      <c r="U696" s="136"/>
      <c r="V696" s="136"/>
      <c r="W696" s="136"/>
      <c r="X696" s="136"/>
      <c r="Y696" s="136"/>
      <c r="Z696" s="136"/>
      <c r="AA696" s="136"/>
      <c r="AB696" s="102"/>
      <c r="AC696" s="102"/>
      <c r="AD696" s="103"/>
    </row>
    <row r="697" ht="15.75" customHeight="1">
      <c r="A697" s="147"/>
      <c r="B697" s="148"/>
      <c r="C697" s="133"/>
      <c r="D697" s="133"/>
      <c r="E697" s="148"/>
      <c r="F697" s="148"/>
      <c r="G697" s="148"/>
      <c r="H697" s="148"/>
      <c r="I697" s="148"/>
      <c r="J697" s="148"/>
      <c r="K697" s="150"/>
      <c r="L697" s="151"/>
      <c r="M697" s="133"/>
      <c r="N697" s="114"/>
      <c r="O697" s="133"/>
      <c r="P697" s="133"/>
      <c r="Q697" s="133"/>
      <c r="R697" s="133"/>
      <c r="S697" s="133"/>
      <c r="T697" s="133"/>
      <c r="U697" s="133"/>
      <c r="V697" s="133"/>
      <c r="W697" s="133"/>
      <c r="X697" s="133"/>
      <c r="Y697" s="133"/>
      <c r="Z697" s="133"/>
      <c r="AA697" s="133"/>
      <c r="AB697" s="102"/>
      <c r="AC697" s="102"/>
      <c r="AD697" s="103"/>
    </row>
    <row r="698" ht="15.75" customHeight="1">
      <c r="A698" s="142"/>
      <c r="B698" s="143"/>
      <c r="C698" s="136"/>
      <c r="D698" s="136"/>
      <c r="E698" s="143"/>
      <c r="F698" s="143"/>
      <c r="G698" s="143"/>
      <c r="H698" s="143"/>
      <c r="I698" s="143"/>
      <c r="J698" s="143"/>
      <c r="K698" s="145"/>
      <c r="L698" s="146"/>
      <c r="M698" s="136"/>
      <c r="N698" s="114"/>
      <c r="O698" s="136"/>
      <c r="P698" s="136"/>
      <c r="Q698" s="136"/>
      <c r="R698" s="136"/>
      <c r="S698" s="136"/>
      <c r="T698" s="136"/>
      <c r="U698" s="136"/>
      <c r="V698" s="136"/>
      <c r="W698" s="136"/>
      <c r="X698" s="136"/>
      <c r="Y698" s="136"/>
      <c r="Z698" s="136"/>
      <c r="AA698" s="136"/>
      <c r="AB698" s="102"/>
      <c r="AC698" s="102"/>
      <c r="AD698" s="103"/>
    </row>
    <row r="699" ht="15.75" customHeight="1">
      <c r="A699" s="147"/>
      <c r="B699" s="148"/>
      <c r="C699" s="133"/>
      <c r="D699" s="133"/>
      <c r="E699" s="148"/>
      <c r="F699" s="148"/>
      <c r="G699" s="148"/>
      <c r="H699" s="148"/>
      <c r="I699" s="148"/>
      <c r="J699" s="148"/>
      <c r="K699" s="150"/>
      <c r="L699" s="151"/>
      <c r="M699" s="133"/>
      <c r="N699" s="114"/>
      <c r="O699" s="133"/>
      <c r="P699" s="133"/>
      <c r="Q699" s="133"/>
      <c r="R699" s="133"/>
      <c r="S699" s="133"/>
      <c r="T699" s="133"/>
      <c r="U699" s="133"/>
      <c r="V699" s="133"/>
      <c r="W699" s="133"/>
      <c r="X699" s="133"/>
      <c r="Y699" s="133"/>
      <c r="Z699" s="133"/>
      <c r="AA699" s="133"/>
      <c r="AB699" s="102"/>
      <c r="AC699" s="102"/>
      <c r="AD699" s="103"/>
    </row>
    <row r="700" ht="15.75" customHeight="1">
      <c r="A700" s="142"/>
      <c r="B700" s="143"/>
      <c r="C700" s="136"/>
      <c r="D700" s="136"/>
      <c r="E700" s="143"/>
      <c r="F700" s="143"/>
      <c r="G700" s="143"/>
      <c r="H700" s="143"/>
      <c r="I700" s="143"/>
      <c r="J700" s="143"/>
      <c r="K700" s="145"/>
      <c r="L700" s="146"/>
      <c r="M700" s="136"/>
      <c r="N700" s="114"/>
      <c r="O700" s="136"/>
      <c r="P700" s="136"/>
      <c r="Q700" s="136"/>
      <c r="R700" s="136"/>
      <c r="S700" s="136"/>
      <c r="T700" s="136"/>
      <c r="U700" s="136"/>
      <c r="V700" s="136"/>
      <c r="W700" s="136"/>
      <c r="X700" s="136"/>
      <c r="Y700" s="136"/>
      <c r="Z700" s="136"/>
      <c r="AA700" s="136"/>
      <c r="AB700" s="102"/>
      <c r="AC700" s="102"/>
      <c r="AD700" s="103"/>
    </row>
    <row r="701" ht="15.75" customHeight="1">
      <c r="A701" s="147"/>
      <c r="B701" s="148"/>
      <c r="C701" s="133"/>
      <c r="D701" s="133"/>
      <c r="E701" s="148"/>
      <c r="F701" s="148"/>
      <c r="G701" s="148"/>
      <c r="H701" s="148"/>
      <c r="I701" s="148"/>
      <c r="J701" s="148"/>
      <c r="K701" s="150"/>
      <c r="L701" s="151"/>
      <c r="M701" s="133"/>
      <c r="N701" s="114"/>
      <c r="O701" s="133"/>
      <c r="P701" s="133"/>
      <c r="Q701" s="133"/>
      <c r="R701" s="133"/>
      <c r="S701" s="133"/>
      <c r="T701" s="133"/>
      <c r="U701" s="133"/>
      <c r="V701" s="133"/>
      <c r="W701" s="133"/>
      <c r="X701" s="133"/>
      <c r="Y701" s="133"/>
      <c r="Z701" s="133"/>
      <c r="AA701" s="133"/>
      <c r="AB701" s="102"/>
      <c r="AC701" s="102"/>
      <c r="AD701" s="103"/>
    </row>
    <row r="702" ht="15.75" customHeight="1">
      <c r="A702" s="142"/>
      <c r="B702" s="143"/>
      <c r="C702" s="136"/>
      <c r="D702" s="136"/>
      <c r="E702" s="143"/>
      <c r="F702" s="143"/>
      <c r="G702" s="143"/>
      <c r="H702" s="143"/>
      <c r="I702" s="143"/>
      <c r="J702" s="143"/>
      <c r="K702" s="145"/>
      <c r="L702" s="146"/>
      <c r="M702" s="136"/>
      <c r="N702" s="114"/>
      <c r="O702" s="136"/>
      <c r="P702" s="136"/>
      <c r="Q702" s="136"/>
      <c r="R702" s="136"/>
      <c r="S702" s="136"/>
      <c r="T702" s="136"/>
      <c r="U702" s="136"/>
      <c r="V702" s="136"/>
      <c r="W702" s="136"/>
      <c r="X702" s="136"/>
      <c r="Y702" s="136"/>
      <c r="Z702" s="136"/>
      <c r="AA702" s="136"/>
      <c r="AB702" s="102"/>
      <c r="AC702" s="102"/>
      <c r="AD702" s="103"/>
    </row>
    <row r="703" ht="15.75" customHeight="1">
      <c r="A703" s="147"/>
      <c r="B703" s="148"/>
      <c r="C703" s="133"/>
      <c r="D703" s="133"/>
      <c r="E703" s="148"/>
      <c r="F703" s="148"/>
      <c r="G703" s="148"/>
      <c r="H703" s="148"/>
      <c r="I703" s="148"/>
      <c r="J703" s="148"/>
      <c r="K703" s="150"/>
      <c r="L703" s="151"/>
      <c r="M703" s="133"/>
      <c r="N703" s="114"/>
      <c r="O703" s="133"/>
      <c r="P703" s="133"/>
      <c r="Q703" s="133"/>
      <c r="R703" s="133"/>
      <c r="S703" s="133"/>
      <c r="T703" s="133"/>
      <c r="U703" s="133"/>
      <c r="V703" s="133"/>
      <c r="W703" s="133"/>
      <c r="X703" s="133"/>
      <c r="Y703" s="133"/>
      <c r="Z703" s="133"/>
      <c r="AA703" s="133"/>
      <c r="AB703" s="102"/>
      <c r="AC703" s="102"/>
      <c r="AD703" s="103"/>
    </row>
    <row r="704" ht="15.75" customHeight="1">
      <c r="A704" s="142"/>
      <c r="B704" s="143"/>
      <c r="C704" s="136"/>
      <c r="D704" s="136"/>
      <c r="E704" s="143"/>
      <c r="F704" s="143"/>
      <c r="G704" s="143"/>
      <c r="H704" s="143"/>
      <c r="I704" s="143"/>
      <c r="J704" s="143"/>
      <c r="K704" s="145"/>
      <c r="L704" s="146"/>
      <c r="M704" s="136"/>
      <c r="N704" s="114"/>
      <c r="O704" s="136"/>
      <c r="P704" s="136"/>
      <c r="Q704" s="136"/>
      <c r="R704" s="136"/>
      <c r="S704" s="136"/>
      <c r="T704" s="136"/>
      <c r="U704" s="136"/>
      <c r="V704" s="136"/>
      <c r="W704" s="136"/>
      <c r="X704" s="136"/>
      <c r="Y704" s="136"/>
      <c r="Z704" s="136"/>
      <c r="AA704" s="136"/>
      <c r="AB704" s="102"/>
      <c r="AC704" s="102"/>
      <c r="AD704" s="103"/>
    </row>
    <row r="705" ht="15.75" customHeight="1">
      <c r="A705" s="147"/>
      <c r="B705" s="148"/>
      <c r="C705" s="133"/>
      <c r="D705" s="133"/>
      <c r="E705" s="148"/>
      <c r="F705" s="148"/>
      <c r="G705" s="148"/>
      <c r="H705" s="148"/>
      <c r="I705" s="148"/>
      <c r="J705" s="148"/>
      <c r="K705" s="150"/>
      <c r="L705" s="151"/>
      <c r="M705" s="133"/>
      <c r="N705" s="114"/>
      <c r="O705" s="133"/>
      <c r="P705" s="133"/>
      <c r="Q705" s="133"/>
      <c r="R705" s="133"/>
      <c r="S705" s="133"/>
      <c r="T705" s="133"/>
      <c r="U705" s="133"/>
      <c r="V705" s="133"/>
      <c r="W705" s="133"/>
      <c r="X705" s="133"/>
      <c r="Y705" s="133"/>
      <c r="Z705" s="133"/>
      <c r="AA705" s="133"/>
      <c r="AB705" s="102"/>
      <c r="AC705" s="102"/>
      <c r="AD705" s="103"/>
    </row>
    <row r="706" ht="15.75" customHeight="1">
      <c r="A706" s="142"/>
      <c r="B706" s="143"/>
      <c r="C706" s="136"/>
      <c r="D706" s="136"/>
      <c r="E706" s="143"/>
      <c r="F706" s="143"/>
      <c r="G706" s="143"/>
      <c r="H706" s="143"/>
      <c r="I706" s="143"/>
      <c r="J706" s="143"/>
      <c r="K706" s="145"/>
      <c r="L706" s="146"/>
      <c r="M706" s="136"/>
      <c r="N706" s="114"/>
      <c r="O706" s="136"/>
      <c r="P706" s="136"/>
      <c r="Q706" s="136"/>
      <c r="R706" s="136"/>
      <c r="S706" s="136"/>
      <c r="T706" s="136"/>
      <c r="U706" s="136"/>
      <c r="V706" s="136"/>
      <c r="W706" s="136"/>
      <c r="X706" s="136"/>
      <c r="Y706" s="136"/>
      <c r="Z706" s="136"/>
      <c r="AA706" s="136"/>
      <c r="AB706" s="102"/>
      <c r="AC706" s="102"/>
      <c r="AD706" s="103"/>
    </row>
    <row r="707" ht="15.75" customHeight="1">
      <c r="A707" s="147"/>
      <c r="B707" s="148"/>
      <c r="C707" s="133"/>
      <c r="D707" s="133"/>
      <c r="E707" s="148"/>
      <c r="F707" s="148"/>
      <c r="G707" s="148"/>
      <c r="H707" s="148"/>
      <c r="I707" s="148"/>
      <c r="J707" s="148"/>
      <c r="K707" s="150"/>
      <c r="L707" s="151"/>
      <c r="M707" s="133"/>
      <c r="N707" s="114"/>
      <c r="O707" s="133"/>
      <c r="P707" s="133"/>
      <c r="Q707" s="133"/>
      <c r="R707" s="133"/>
      <c r="S707" s="133"/>
      <c r="T707" s="133"/>
      <c r="U707" s="133"/>
      <c r="V707" s="133"/>
      <c r="W707" s="133"/>
      <c r="X707" s="133"/>
      <c r="Y707" s="133"/>
      <c r="Z707" s="133"/>
      <c r="AA707" s="133"/>
      <c r="AB707" s="102"/>
      <c r="AC707" s="102"/>
      <c r="AD707" s="103"/>
    </row>
    <row r="708" ht="15.75" customHeight="1">
      <c r="A708" s="142"/>
      <c r="B708" s="143"/>
      <c r="C708" s="136"/>
      <c r="D708" s="136"/>
      <c r="E708" s="143"/>
      <c r="F708" s="143"/>
      <c r="G708" s="143"/>
      <c r="H708" s="143"/>
      <c r="I708" s="143"/>
      <c r="J708" s="143"/>
      <c r="K708" s="145"/>
      <c r="L708" s="146"/>
      <c r="M708" s="136"/>
      <c r="N708" s="114"/>
      <c r="O708" s="136"/>
      <c r="P708" s="136"/>
      <c r="Q708" s="136"/>
      <c r="R708" s="136"/>
      <c r="S708" s="136"/>
      <c r="T708" s="136"/>
      <c r="U708" s="136"/>
      <c r="V708" s="136"/>
      <c r="W708" s="136"/>
      <c r="X708" s="136"/>
      <c r="Y708" s="136"/>
      <c r="Z708" s="136"/>
      <c r="AA708" s="136"/>
      <c r="AB708" s="102"/>
      <c r="AC708" s="102"/>
      <c r="AD708" s="103"/>
    </row>
    <row r="709" ht="15.75" customHeight="1">
      <c r="A709" s="147"/>
      <c r="B709" s="148"/>
      <c r="C709" s="133"/>
      <c r="D709" s="133"/>
      <c r="E709" s="148"/>
      <c r="F709" s="148"/>
      <c r="G709" s="148"/>
      <c r="H709" s="148"/>
      <c r="I709" s="148"/>
      <c r="J709" s="148"/>
      <c r="K709" s="150"/>
      <c r="L709" s="151"/>
      <c r="M709" s="133"/>
      <c r="N709" s="114"/>
      <c r="O709" s="133"/>
      <c r="P709" s="133"/>
      <c r="Q709" s="133"/>
      <c r="R709" s="133"/>
      <c r="S709" s="133"/>
      <c r="T709" s="133"/>
      <c r="U709" s="133"/>
      <c r="V709" s="133"/>
      <c r="W709" s="133"/>
      <c r="X709" s="133"/>
      <c r="Y709" s="133"/>
      <c r="Z709" s="133"/>
      <c r="AA709" s="133"/>
      <c r="AB709" s="102"/>
      <c r="AC709" s="102"/>
      <c r="AD709" s="103"/>
    </row>
    <row r="710" ht="15.75" customHeight="1">
      <c r="A710" s="142"/>
      <c r="B710" s="143"/>
      <c r="C710" s="136"/>
      <c r="D710" s="136"/>
      <c r="E710" s="143"/>
      <c r="F710" s="143"/>
      <c r="G710" s="143"/>
      <c r="H710" s="143"/>
      <c r="I710" s="143"/>
      <c r="J710" s="143"/>
      <c r="K710" s="145"/>
      <c r="L710" s="146"/>
      <c r="M710" s="136"/>
      <c r="N710" s="114"/>
      <c r="O710" s="136"/>
      <c r="P710" s="136"/>
      <c r="Q710" s="136"/>
      <c r="R710" s="136"/>
      <c r="S710" s="136"/>
      <c r="T710" s="136"/>
      <c r="U710" s="136"/>
      <c r="V710" s="136"/>
      <c r="W710" s="136"/>
      <c r="X710" s="136"/>
      <c r="Y710" s="136"/>
      <c r="Z710" s="136"/>
      <c r="AA710" s="136"/>
      <c r="AB710" s="102"/>
      <c r="AC710" s="102"/>
      <c r="AD710" s="103"/>
    </row>
    <row r="711" ht="15.75" customHeight="1">
      <c r="A711" s="147"/>
      <c r="B711" s="148"/>
      <c r="C711" s="133"/>
      <c r="D711" s="133"/>
      <c r="E711" s="148"/>
      <c r="F711" s="148"/>
      <c r="G711" s="148"/>
      <c r="H711" s="148"/>
      <c r="I711" s="148"/>
      <c r="J711" s="148"/>
      <c r="K711" s="150"/>
      <c r="L711" s="151"/>
      <c r="M711" s="133"/>
      <c r="N711" s="114"/>
      <c r="O711" s="133"/>
      <c r="P711" s="133"/>
      <c r="Q711" s="133"/>
      <c r="R711" s="133"/>
      <c r="S711" s="133"/>
      <c r="T711" s="133"/>
      <c r="U711" s="133"/>
      <c r="V711" s="133"/>
      <c r="W711" s="133"/>
      <c r="X711" s="133"/>
      <c r="Y711" s="133"/>
      <c r="Z711" s="133"/>
      <c r="AA711" s="133"/>
      <c r="AB711" s="102"/>
      <c r="AC711" s="102"/>
      <c r="AD711" s="103"/>
    </row>
    <row r="712" ht="15.75" customHeight="1">
      <c r="A712" s="142"/>
      <c r="B712" s="143"/>
      <c r="C712" s="136"/>
      <c r="D712" s="136"/>
      <c r="E712" s="143"/>
      <c r="F712" s="143"/>
      <c r="G712" s="143"/>
      <c r="H712" s="143"/>
      <c r="I712" s="143"/>
      <c r="J712" s="143"/>
      <c r="K712" s="145"/>
      <c r="L712" s="146"/>
      <c r="M712" s="136"/>
      <c r="N712" s="114"/>
      <c r="O712" s="136"/>
      <c r="P712" s="136"/>
      <c r="Q712" s="136"/>
      <c r="R712" s="136"/>
      <c r="S712" s="136"/>
      <c r="T712" s="136"/>
      <c r="U712" s="136"/>
      <c r="V712" s="136"/>
      <c r="W712" s="136"/>
      <c r="X712" s="136"/>
      <c r="Y712" s="136"/>
      <c r="Z712" s="136"/>
      <c r="AA712" s="136"/>
      <c r="AB712" s="102"/>
      <c r="AC712" s="102"/>
      <c r="AD712" s="103"/>
    </row>
    <row r="713" ht="15.75" customHeight="1">
      <c r="A713" s="147"/>
      <c r="B713" s="148"/>
      <c r="C713" s="133"/>
      <c r="D713" s="133"/>
      <c r="E713" s="148"/>
      <c r="F713" s="148"/>
      <c r="G713" s="148"/>
      <c r="H713" s="148"/>
      <c r="I713" s="148"/>
      <c r="J713" s="148"/>
      <c r="K713" s="150"/>
      <c r="L713" s="151"/>
      <c r="M713" s="133"/>
      <c r="N713" s="114"/>
      <c r="O713" s="133"/>
      <c r="P713" s="133"/>
      <c r="Q713" s="133"/>
      <c r="R713" s="133"/>
      <c r="S713" s="133"/>
      <c r="T713" s="133"/>
      <c r="U713" s="133"/>
      <c r="V713" s="133"/>
      <c r="W713" s="133"/>
      <c r="X713" s="133"/>
      <c r="Y713" s="133"/>
      <c r="Z713" s="133"/>
      <c r="AA713" s="133"/>
      <c r="AB713" s="102"/>
      <c r="AC713" s="102"/>
      <c r="AD713" s="103"/>
    </row>
    <row r="714" ht="15.75" customHeight="1">
      <c r="A714" s="142"/>
      <c r="B714" s="143"/>
      <c r="C714" s="136"/>
      <c r="D714" s="136"/>
      <c r="E714" s="143"/>
      <c r="F714" s="143"/>
      <c r="G714" s="143"/>
      <c r="H714" s="143"/>
      <c r="I714" s="143"/>
      <c r="J714" s="143"/>
      <c r="K714" s="145"/>
      <c r="L714" s="146"/>
      <c r="M714" s="136"/>
      <c r="N714" s="114"/>
      <c r="O714" s="136"/>
      <c r="P714" s="136"/>
      <c r="Q714" s="136"/>
      <c r="R714" s="136"/>
      <c r="S714" s="136"/>
      <c r="T714" s="136"/>
      <c r="U714" s="136"/>
      <c r="V714" s="136"/>
      <c r="W714" s="136"/>
      <c r="X714" s="136"/>
      <c r="Y714" s="136"/>
      <c r="Z714" s="136"/>
      <c r="AA714" s="136"/>
      <c r="AB714" s="102"/>
      <c r="AC714" s="102"/>
      <c r="AD714" s="103"/>
    </row>
    <row r="715" ht="15.75" customHeight="1">
      <c r="A715" s="147"/>
      <c r="B715" s="148"/>
      <c r="C715" s="133"/>
      <c r="D715" s="133"/>
      <c r="E715" s="148"/>
      <c r="F715" s="148"/>
      <c r="G715" s="148"/>
      <c r="H715" s="148"/>
      <c r="I715" s="148"/>
      <c r="J715" s="148"/>
      <c r="K715" s="150"/>
      <c r="L715" s="151"/>
      <c r="M715" s="133"/>
      <c r="N715" s="114"/>
      <c r="O715" s="133"/>
      <c r="P715" s="133"/>
      <c r="Q715" s="133"/>
      <c r="R715" s="133"/>
      <c r="S715" s="133"/>
      <c r="T715" s="133"/>
      <c r="U715" s="133"/>
      <c r="V715" s="133"/>
      <c r="W715" s="133"/>
      <c r="X715" s="133"/>
      <c r="Y715" s="133"/>
      <c r="Z715" s="133"/>
      <c r="AA715" s="133"/>
      <c r="AB715" s="102"/>
      <c r="AC715" s="102"/>
      <c r="AD715" s="103"/>
    </row>
    <row r="716" ht="15.75" customHeight="1">
      <c r="A716" s="142"/>
      <c r="B716" s="143"/>
      <c r="C716" s="136"/>
      <c r="D716" s="136"/>
      <c r="E716" s="143"/>
      <c r="F716" s="143"/>
      <c r="G716" s="143"/>
      <c r="H716" s="143"/>
      <c r="I716" s="143"/>
      <c r="J716" s="143"/>
      <c r="K716" s="145"/>
      <c r="L716" s="146"/>
      <c r="M716" s="136"/>
      <c r="N716" s="114"/>
      <c r="O716" s="136"/>
      <c r="P716" s="136"/>
      <c r="Q716" s="136"/>
      <c r="R716" s="136"/>
      <c r="S716" s="136"/>
      <c r="T716" s="136"/>
      <c r="U716" s="136"/>
      <c r="V716" s="136"/>
      <c r="W716" s="136"/>
      <c r="X716" s="136"/>
      <c r="Y716" s="136"/>
      <c r="Z716" s="136"/>
      <c r="AA716" s="136"/>
      <c r="AB716" s="102"/>
      <c r="AC716" s="102"/>
      <c r="AD716" s="103"/>
    </row>
    <row r="717" ht="15.75" customHeight="1">
      <c r="A717" s="147"/>
      <c r="B717" s="148"/>
      <c r="C717" s="133"/>
      <c r="D717" s="133"/>
      <c r="E717" s="148"/>
      <c r="F717" s="148"/>
      <c r="G717" s="148"/>
      <c r="H717" s="148"/>
      <c r="I717" s="148"/>
      <c r="J717" s="148"/>
      <c r="K717" s="150"/>
      <c r="L717" s="151"/>
      <c r="M717" s="133"/>
      <c r="N717" s="114"/>
      <c r="O717" s="133"/>
      <c r="P717" s="133"/>
      <c r="Q717" s="133"/>
      <c r="R717" s="133"/>
      <c r="S717" s="133"/>
      <c r="T717" s="133"/>
      <c r="U717" s="133"/>
      <c r="V717" s="133"/>
      <c r="W717" s="133"/>
      <c r="X717" s="133"/>
      <c r="Y717" s="133"/>
      <c r="Z717" s="133"/>
      <c r="AA717" s="133"/>
      <c r="AB717" s="102"/>
      <c r="AC717" s="102"/>
      <c r="AD717" s="103"/>
    </row>
    <row r="718" ht="15.75" customHeight="1">
      <c r="A718" s="142"/>
      <c r="B718" s="143"/>
      <c r="C718" s="136"/>
      <c r="D718" s="136"/>
      <c r="E718" s="143"/>
      <c r="F718" s="143"/>
      <c r="G718" s="143"/>
      <c r="H718" s="143"/>
      <c r="I718" s="143"/>
      <c r="J718" s="143"/>
      <c r="K718" s="145"/>
      <c r="L718" s="146"/>
      <c r="M718" s="136"/>
      <c r="N718" s="114"/>
      <c r="O718" s="136"/>
      <c r="P718" s="136"/>
      <c r="Q718" s="136"/>
      <c r="R718" s="136"/>
      <c r="S718" s="136"/>
      <c r="T718" s="136"/>
      <c r="U718" s="136"/>
      <c r="V718" s="136"/>
      <c r="W718" s="136"/>
      <c r="X718" s="136"/>
      <c r="Y718" s="136"/>
      <c r="Z718" s="136"/>
      <c r="AA718" s="136"/>
      <c r="AB718" s="102"/>
      <c r="AC718" s="102"/>
      <c r="AD718" s="103"/>
    </row>
    <row r="719" ht="15.75" customHeight="1">
      <c r="A719" s="147"/>
      <c r="B719" s="148"/>
      <c r="C719" s="133"/>
      <c r="D719" s="133"/>
      <c r="E719" s="148"/>
      <c r="F719" s="148"/>
      <c r="G719" s="148"/>
      <c r="H719" s="148"/>
      <c r="I719" s="148"/>
      <c r="J719" s="148"/>
      <c r="K719" s="150"/>
      <c r="L719" s="151"/>
      <c r="M719" s="133"/>
      <c r="N719" s="114"/>
      <c r="O719" s="133"/>
      <c r="P719" s="133"/>
      <c r="Q719" s="133"/>
      <c r="R719" s="133"/>
      <c r="S719" s="133"/>
      <c r="T719" s="133"/>
      <c r="U719" s="133"/>
      <c r="V719" s="133"/>
      <c r="W719" s="133"/>
      <c r="X719" s="133"/>
      <c r="Y719" s="133"/>
      <c r="Z719" s="133"/>
      <c r="AA719" s="133"/>
      <c r="AB719" s="102"/>
      <c r="AC719" s="102"/>
      <c r="AD719" s="103"/>
    </row>
    <row r="720" ht="15.75" customHeight="1">
      <c r="A720" s="142"/>
      <c r="B720" s="143"/>
      <c r="C720" s="136"/>
      <c r="D720" s="136"/>
      <c r="E720" s="143"/>
      <c r="F720" s="143"/>
      <c r="G720" s="143"/>
      <c r="H720" s="143"/>
      <c r="I720" s="143"/>
      <c r="J720" s="143"/>
      <c r="K720" s="145"/>
      <c r="L720" s="146"/>
      <c r="M720" s="136"/>
      <c r="N720" s="114"/>
      <c r="O720" s="136"/>
      <c r="P720" s="136"/>
      <c r="Q720" s="136"/>
      <c r="R720" s="136"/>
      <c r="S720" s="136"/>
      <c r="T720" s="136"/>
      <c r="U720" s="136"/>
      <c r="V720" s="136"/>
      <c r="W720" s="136"/>
      <c r="X720" s="136"/>
      <c r="Y720" s="136"/>
      <c r="Z720" s="136"/>
      <c r="AA720" s="136"/>
      <c r="AB720" s="102"/>
      <c r="AC720" s="102"/>
      <c r="AD720" s="103"/>
    </row>
    <row r="721" ht="15.75" customHeight="1">
      <c r="A721" s="147"/>
      <c r="B721" s="148"/>
      <c r="C721" s="133"/>
      <c r="D721" s="133"/>
      <c r="E721" s="148"/>
      <c r="F721" s="148"/>
      <c r="G721" s="148"/>
      <c r="H721" s="148"/>
      <c r="I721" s="148"/>
      <c r="J721" s="148"/>
      <c r="K721" s="150"/>
      <c r="L721" s="151"/>
      <c r="M721" s="133"/>
      <c r="N721" s="114"/>
      <c r="O721" s="133"/>
      <c r="P721" s="133"/>
      <c r="Q721" s="133"/>
      <c r="R721" s="133"/>
      <c r="S721" s="133"/>
      <c r="T721" s="133"/>
      <c r="U721" s="133"/>
      <c r="V721" s="133"/>
      <c r="W721" s="133"/>
      <c r="X721" s="133"/>
      <c r="Y721" s="133"/>
      <c r="Z721" s="133"/>
      <c r="AA721" s="133"/>
      <c r="AB721" s="102"/>
      <c r="AC721" s="102"/>
      <c r="AD721" s="103"/>
    </row>
    <row r="722" ht="15.75" customHeight="1">
      <c r="A722" s="142"/>
      <c r="B722" s="143"/>
      <c r="C722" s="136"/>
      <c r="D722" s="136"/>
      <c r="E722" s="143"/>
      <c r="F722" s="143"/>
      <c r="G722" s="143"/>
      <c r="H722" s="143"/>
      <c r="I722" s="143"/>
      <c r="J722" s="143"/>
      <c r="K722" s="145"/>
      <c r="L722" s="146"/>
      <c r="M722" s="136"/>
      <c r="N722" s="114"/>
      <c r="O722" s="136"/>
      <c r="P722" s="136"/>
      <c r="Q722" s="136"/>
      <c r="R722" s="136"/>
      <c r="S722" s="136"/>
      <c r="T722" s="136"/>
      <c r="U722" s="136"/>
      <c r="V722" s="136"/>
      <c r="W722" s="136"/>
      <c r="X722" s="136"/>
      <c r="Y722" s="136"/>
      <c r="Z722" s="136"/>
      <c r="AA722" s="136"/>
      <c r="AB722" s="102"/>
      <c r="AC722" s="102"/>
      <c r="AD722" s="103"/>
    </row>
    <row r="723" ht="15.75" customHeight="1">
      <c r="A723" s="147"/>
      <c r="B723" s="148"/>
      <c r="C723" s="133"/>
      <c r="D723" s="133"/>
      <c r="E723" s="148"/>
      <c r="F723" s="148"/>
      <c r="G723" s="148"/>
      <c r="H723" s="148"/>
      <c r="I723" s="148"/>
      <c r="J723" s="148"/>
      <c r="K723" s="150"/>
      <c r="L723" s="151"/>
      <c r="M723" s="133"/>
      <c r="N723" s="114"/>
      <c r="O723" s="133"/>
      <c r="P723" s="133"/>
      <c r="Q723" s="133"/>
      <c r="R723" s="133"/>
      <c r="S723" s="133"/>
      <c r="T723" s="133"/>
      <c r="U723" s="133"/>
      <c r="V723" s="133"/>
      <c r="W723" s="133"/>
      <c r="X723" s="133"/>
      <c r="Y723" s="133"/>
      <c r="Z723" s="133"/>
      <c r="AA723" s="133"/>
      <c r="AB723" s="102"/>
      <c r="AC723" s="102"/>
      <c r="AD723" s="103"/>
    </row>
    <row r="724" ht="15.75" customHeight="1">
      <c r="A724" s="142"/>
      <c r="B724" s="143"/>
      <c r="C724" s="136"/>
      <c r="D724" s="136"/>
      <c r="E724" s="143"/>
      <c r="F724" s="143"/>
      <c r="G724" s="143"/>
      <c r="H724" s="143"/>
      <c r="I724" s="143"/>
      <c r="J724" s="143"/>
      <c r="K724" s="145"/>
      <c r="L724" s="146"/>
      <c r="M724" s="136"/>
      <c r="N724" s="114"/>
      <c r="O724" s="136"/>
      <c r="P724" s="136"/>
      <c r="Q724" s="136"/>
      <c r="R724" s="136"/>
      <c r="S724" s="136"/>
      <c r="T724" s="136"/>
      <c r="U724" s="136"/>
      <c r="V724" s="136"/>
      <c r="W724" s="136"/>
      <c r="X724" s="136"/>
      <c r="Y724" s="136"/>
      <c r="Z724" s="136"/>
      <c r="AA724" s="136"/>
      <c r="AB724" s="102"/>
      <c r="AC724" s="102"/>
      <c r="AD724" s="103"/>
    </row>
    <row r="725" ht="15.75" customHeight="1">
      <c r="A725" s="147"/>
      <c r="B725" s="148"/>
      <c r="C725" s="133"/>
      <c r="D725" s="133"/>
      <c r="E725" s="148"/>
      <c r="F725" s="148"/>
      <c r="G725" s="148"/>
      <c r="H725" s="148"/>
      <c r="I725" s="148"/>
      <c r="J725" s="148"/>
      <c r="K725" s="150"/>
      <c r="L725" s="151"/>
      <c r="M725" s="133"/>
      <c r="N725" s="114"/>
      <c r="O725" s="133"/>
      <c r="P725" s="133"/>
      <c r="Q725" s="133"/>
      <c r="R725" s="133"/>
      <c r="S725" s="133"/>
      <c r="T725" s="133"/>
      <c r="U725" s="133"/>
      <c r="V725" s="133"/>
      <c r="W725" s="133"/>
      <c r="X725" s="133"/>
      <c r="Y725" s="133"/>
      <c r="Z725" s="133"/>
      <c r="AA725" s="133"/>
      <c r="AB725" s="102"/>
      <c r="AC725" s="102"/>
      <c r="AD725" s="103"/>
    </row>
    <row r="726" ht="15.75" customHeight="1">
      <c r="A726" s="142"/>
      <c r="B726" s="143"/>
      <c r="C726" s="136"/>
      <c r="D726" s="136"/>
      <c r="E726" s="143"/>
      <c r="F726" s="143"/>
      <c r="G726" s="143"/>
      <c r="H726" s="143"/>
      <c r="I726" s="143"/>
      <c r="J726" s="143"/>
      <c r="K726" s="145"/>
      <c r="L726" s="146"/>
      <c r="M726" s="136"/>
      <c r="N726" s="114"/>
      <c r="O726" s="136"/>
      <c r="P726" s="136"/>
      <c r="Q726" s="136"/>
      <c r="R726" s="136"/>
      <c r="S726" s="136"/>
      <c r="T726" s="136"/>
      <c r="U726" s="136"/>
      <c r="V726" s="136"/>
      <c r="W726" s="136"/>
      <c r="X726" s="136"/>
      <c r="Y726" s="136"/>
      <c r="Z726" s="136"/>
      <c r="AA726" s="136"/>
      <c r="AB726" s="102"/>
      <c r="AC726" s="102"/>
      <c r="AD726" s="103"/>
    </row>
    <row r="727" ht="15.75" customHeight="1">
      <c r="A727" s="147"/>
      <c r="B727" s="148"/>
      <c r="C727" s="133"/>
      <c r="D727" s="133"/>
      <c r="E727" s="148"/>
      <c r="F727" s="148"/>
      <c r="G727" s="148"/>
      <c r="H727" s="148"/>
      <c r="I727" s="148"/>
      <c r="J727" s="148"/>
      <c r="K727" s="150"/>
      <c r="L727" s="151"/>
      <c r="M727" s="133"/>
      <c r="N727" s="114"/>
      <c r="O727" s="133"/>
      <c r="P727" s="133"/>
      <c r="Q727" s="133"/>
      <c r="R727" s="133"/>
      <c r="S727" s="133"/>
      <c r="T727" s="133"/>
      <c r="U727" s="133"/>
      <c r="V727" s="133"/>
      <c r="W727" s="133"/>
      <c r="X727" s="133"/>
      <c r="Y727" s="133"/>
      <c r="Z727" s="133"/>
      <c r="AA727" s="133"/>
      <c r="AB727" s="102"/>
      <c r="AC727" s="102"/>
      <c r="AD727" s="103"/>
    </row>
    <row r="728" ht="15.75" customHeight="1">
      <c r="A728" s="142"/>
      <c r="B728" s="143"/>
      <c r="C728" s="136"/>
      <c r="D728" s="136"/>
      <c r="E728" s="143"/>
      <c r="F728" s="143"/>
      <c r="G728" s="143"/>
      <c r="H728" s="143"/>
      <c r="I728" s="143"/>
      <c r="J728" s="143"/>
      <c r="K728" s="145"/>
      <c r="L728" s="146"/>
      <c r="M728" s="136"/>
      <c r="N728" s="114"/>
      <c r="O728" s="136"/>
      <c r="P728" s="136"/>
      <c r="Q728" s="136"/>
      <c r="R728" s="136"/>
      <c r="S728" s="136"/>
      <c r="T728" s="136"/>
      <c r="U728" s="136"/>
      <c r="V728" s="136"/>
      <c r="W728" s="136"/>
      <c r="X728" s="136"/>
      <c r="Y728" s="136"/>
      <c r="Z728" s="136"/>
      <c r="AA728" s="136"/>
      <c r="AB728" s="102"/>
      <c r="AC728" s="102"/>
      <c r="AD728" s="103"/>
    </row>
    <row r="729" ht="15.75" customHeight="1">
      <c r="A729" s="147"/>
      <c r="B729" s="148"/>
      <c r="C729" s="133"/>
      <c r="D729" s="133"/>
      <c r="E729" s="148"/>
      <c r="F729" s="148"/>
      <c r="G729" s="148"/>
      <c r="H729" s="148"/>
      <c r="I729" s="148"/>
      <c r="J729" s="148"/>
      <c r="K729" s="150"/>
      <c r="L729" s="151"/>
      <c r="M729" s="133"/>
      <c r="N729" s="114"/>
      <c r="O729" s="133"/>
      <c r="P729" s="133"/>
      <c r="Q729" s="133"/>
      <c r="R729" s="133"/>
      <c r="S729" s="133"/>
      <c r="T729" s="133"/>
      <c r="U729" s="133"/>
      <c r="V729" s="133"/>
      <c r="W729" s="133"/>
      <c r="X729" s="133"/>
      <c r="Y729" s="133"/>
      <c r="Z729" s="133"/>
      <c r="AA729" s="133"/>
      <c r="AB729" s="102"/>
      <c r="AC729" s="102"/>
      <c r="AD729" s="103"/>
    </row>
    <row r="730" ht="15.75" customHeight="1">
      <c r="A730" s="142"/>
      <c r="B730" s="143"/>
      <c r="C730" s="136"/>
      <c r="D730" s="136"/>
      <c r="E730" s="143"/>
      <c r="F730" s="143"/>
      <c r="G730" s="143"/>
      <c r="H730" s="143"/>
      <c r="I730" s="143"/>
      <c r="J730" s="143"/>
      <c r="K730" s="145"/>
      <c r="L730" s="146"/>
      <c r="M730" s="136"/>
      <c r="N730" s="114"/>
      <c r="O730" s="136"/>
      <c r="P730" s="136"/>
      <c r="Q730" s="136"/>
      <c r="R730" s="136"/>
      <c r="S730" s="136"/>
      <c r="T730" s="136"/>
      <c r="U730" s="136"/>
      <c r="V730" s="136"/>
      <c r="W730" s="136"/>
      <c r="X730" s="136"/>
      <c r="Y730" s="136"/>
      <c r="Z730" s="136"/>
      <c r="AA730" s="136"/>
      <c r="AB730" s="102"/>
      <c r="AC730" s="102"/>
      <c r="AD730" s="103"/>
    </row>
    <row r="731" ht="15.75" customHeight="1">
      <c r="A731" s="147"/>
      <c r="B731" s="148"/>
      <c r="C731" s="133"/>
      <c r="D731" s="133"/>
      <c r="E731" s="148"/>
      <c r="F731" s="148"/>
      <c r="G731" s="148"/>
      <c r="H731" s="148"/>
      <c r="I731" s="148"/>
      <c r="J731" s="148"/>
      <c r="K731" s="150"/>
      <c r="L731" s="151"/>
      <c r="M731" s="133"/>
      <c r="N731" s="114"/>
      <c r="O731" s="133"/>
      <c r="P731" s="133"/>
      <c r="Q731" s="133"/>
      <c r="R731" s="133"/>
      <c r="S731" s="133"/>
      <c r="T731" s="133"/>
      <c r="U731" s="133"/>
      <c r="V731" s="133"/>
      <c r="W731" s="133"/>
      <c r="X731" s="133"/>
      <c r="Y731" s="133"/>
      <c r="Z731" s="133"/>
      <c r="AA731" s="133"/>
      <c r="AB731" s="102"/>
      <c r="AC731" s="102"/>
      <c r="AD731" s="103"/>
    </row>
    <row r="732" ht="15.75" customHeight="1">
      <c r="A732" s="142"/>
      <c r="B732" s="143"/>
      <c r="C732" s="136"/>
      <c r="D732" s="136"/>
      <c r="E732" s="143"/>
      <c r="F732" s="143"/>
      <c r="G732" s="143"/>
      <c r="H732" s="143"/>
      <c r="I732" s="143"/>
      <c r="J732" s="143"/>
      <c r="K732" s="145"/>
      <c r="L732" s="146"/>
      <c r="M732" s="136"/>
      <c r="N732" s="114"/>
      <c r="O732" s="136"/>
      <c r="P732" s="136"/>
      <c r="Q732" s="136"/>
      <c r="R732" s="136"/>
      <c r="S732" s="136"/>
      <c r="T732" s="136"/>
      <c r="U732" s="136"/>
      <c r="V732" s="136"/>
      <c r="W732" s="136"/>
      <c r="X732" s="136"/>
      <c r="Y732" s="136"/>
      <c r="Z732" s="136"/>
      <c r="AA732" s="136"/>
      <c r="AB732" s="102"/>
      <c r="AC732" s="102"/>
      <c r="AD732" s="103"/>
    </row>
    <row r="733" ht="15.75" customHeight="1">
      <c r="A733" s="147"/>
      <c r="B733" s="148"/>
      <c r="C733" s="133"/>
      <c r="D733" s="133"/>
      <c r="E733" s="148"/>
      <c r="F733" s="148"/>
      <c r="G733" s="148"/>
      <c r="H733" s="148"/>
      <c r="I733" s="148"/>
      <c r="J733" s="148"/>
      <c r="K733" s="150"/>
      <c r="L733" s="151"/>
      <c r="M733" s="133"/>
      <c r="N733" s="114"/>
      <c r="O733" s="133"/>
      <c r="P733" s="133"/>
      <c r="Q733" s="133"/>
      <c r="R733" s="133"/>
      <c r="S733" s="133"/>
      <c r="T733" s="133"/>
      <c r="U733" s="133"/>
      <c r="V733" s="133"/>
      <c r="W733" s="133"/>
      <c r="X733" s="133"/>
      <c r="Y733" s="133"/>
      <c r="Z733" s="133"/>
      <c r="AA733" s="133"/>
      <c r="AB733" s="102"/>
      <c r="AC733" s="102"/>
      <c r="AD733" s="103"/>
    </row>
    <row r="734" ht="15.75" customHeight="1">
      <c r="A734" s="142"/>
      <c r="B734" s="143"/>
      <c r="C734" s="136"/>
      <c r="D734" s="136"/>
      <c r="E734" s="143"/>
      <c r="F734" s="143"/>
      <c r="G734" s="143"/>
      <c r="H734" s="143"/>
      <c r="I734" s="143"/>
      <c r="J734" s="143"/>
      <c r="K734" s="145"/>
      <c r="L734" s="146"/>
      <c r="M734" s="136"/>
      <c r="N734" s="114"/>
      <c r="O734" s="136"/>
      <c r="P734" s="136"/>
      <c r="Q734" s="136"/>
      <c r="R734" s="136"/>
      <c r="S734" s="136"/>
      <c r="T734" s="136"/>
      <c r="U734" s="136"/>
      <c r="V734" s="136"/>
      <c r="W734" s="136"/>
      <c r="X734" s="136"/>
      <c r="Y734" s="136"/>
      <c r="Z734" s="136"/>
      <c r="AA734" s="136"/>
      <c r="AB734" s="102"/>
      <c r="AC734" s="102"/>
      <c r="AD734" s="103"/>
    </row>
    <row r="735" ht="15.75" customHeight="1">
      <c r="A735" s="147"/>
      <c r="B735" s="148"/>
      <c r="C735" s="133"/>
      <c r="D735" s="133"/>
      <c r="E735" s="148"/>
      <c r="F735" s="148"/>
      <c r="G735" s="148"/>
      <c r="H735" s="148"/>
      <c r="I735" s="148"/>
      <c r="J735" s="148"/>
      <c r="K735" s="150"/>
      <c r="L735" s="151"/>
      <c r="M735" s="133"/>
      <c r="N735" s="114"/>
      <c r="O735" s="133"/>
      <c r="P735" s="133"/>
      <c r="Q735" s="133"/>
      <c r="R735" s="133"/>
      <c r="S735" s="133"/>
      <c r="T735" s="133"/>
      <c r="U735" s="133"/>
      <c r="V735" s="133"/>
      <c r="W735" s="133"/>
      <c r="X735" s="133"/>
      <c r="Y735" s="133"/>
      <c r="Z735" s="133"/>
      <c r="AA735" s="133"/>
      <c r="AB735" s="102"/>
      <c r="AC735" s="102"/>
      <c r="AD735" s="103"/>
    </row>
    <row r="736" ht="15.75" customHeight="1">
      <c r="A736" s="142"/>
      <c r="B736" s="143"/>
      <c r="C736" s="136"/>
      <c r="D736" s="136"/>
      <c r="E736" s="143"/>
      <c r="F736" s="143"/>
      <c r="G736" s="143"/>
      <c r="H736" s="143"/>
      <c r="I736" s="143"/>
      <c r="J736" s="143"/>
      <c r="K736" s="145"/>
      <c r="L736" s="146"/>
      <c r="M736" s="136"/>
      <c r="N736" s="114"/>
      <c r="O736" s="136"/>
      <c r="P736" s="136"/>
      <c r="Q736" s="136"/>
      <c r="R736" s="136"/>
      <c r="S736" s="136"/>
      <c r="T736" s="136"/>
      <c r="U736" s="136"/>
      <c r="V736" s="136"/>
      <c r="W736" s="136"/>
      <c r="X736" s="136"/>
      <c r="Y736" s="136"/>
      <c r="Z736" s="136"/>
      <c r="AA736" s="136"/>
      <c r="AB736" s="102"/>
      <c r="AC736" s="102"/>
      <c r="AD736" s="103"/>
    </row>
    <row r="737" ht="15.75" customHeight="1">
      <c r="A737" s="147"/>
      <c r="B737" s="148"/>
      <c r="C737" s="133"/>
      <c r="D737" s="133"/>
      <c r="E737" s="148"/>
      <c r="F737" s="148"/>
      <c r="G737" s="148"/>
      <c r="H737" s="148"/>
      <c r="I737" s="148"/>
      <c r="J737" s="148"/>
      <c r="K737" s="150"/>
      <c r="L737" s="151"/>
      <c r="M737" s="133"/>
      <c r="N737" s="114"/>
      <c r="O737" s="133"/>
      <c r="P737" s="133"/>
      <c r="Q737" s="133"/>
      <c r="R737" s="133"/>
      <c r="S737" s="133"/>
      <c r="T737" s="133"/>
      <c r="U737" s="133"/>
      <c r="V737" s="133"/>
      <c r="W737" s="133"/>
      <c r="X737" s="133"/>
      <c r="Y737" s="133"/>
      <c r="Z737" s="133"/>
      <c r="AA737" s="133"/>
      <c r="AB737" s="102"/>
      <c r="AC737" s="102"/>
      <c r="AD737" s="103"/>
    </row>
    <row r="738" ht="15.75" customHeight="1">
      <c r="A738" s="142"/>
      <c r="B738" s="143"/>
      <c r="C738" s="136"/>
      <c r="D738" s="136"/>
      <c r="E738" s="143"/>
      <c r="F738" s="143"/>
      <c r="G738" s="143"/>
      <c r="H738" s="143"/>
      <c r="I738" s="143"/>
      <c r="J738" s="143"/>
      <c r="K738" s="145"/>
      <c r="L738" s="146"/>
      <c r="M738" s="136"/>
      <c r="N738" s="114"/>
      <c r="O738" s="136"/>
      <c r="P738" s="136"/>
      <c r="Q738" s="136"/>
      <c r="R738" s="136"/>
      <c r="S738" s="136"/>
      <c r="T738" s="136"/>
      <c r="U738" s="136"/>
      <c r="V738" s="136"/>
      <c r="W738" s="136"/>
      <c r="X738" s="136"/>
      <c r="Y738" s="136"/>
      <c r="Z738" s="136"/>
      <c r="AA738" s="136"/>
      <c r="AB738" s="102"/>
      <c r="AC738" s="102"/>
      <c r="AD738" s="103"/>
    </row>
    <row r="739" ht="15.75" customHeight="1">
      <c r="A739" s="147"/>
      <c r="B739" s="148"/>
      <c r="C739" s="133"/>
      <c r="D739" s="133"/>
      <c r="E739" s="148"/>
      <c r="F739" s="148"/>
      <c r="G739" s="148"/>
      <c r="H739" s="148"/>
      <c r="I739" s="148"/>
      <c r="J739" s="148"/>
      <c r="K739" s="150"/>
      <c r="L739" s="151"/>
      <c r="M739" s="133"/>
      <c r="N739" s="114"/>
      <c r="O739" s="133"/>
      <c r="P739" s="133"/>
      <c r="Q739" s="133"/>
      <c r="R739" s="133"/>
      <c r="S739" s="133"/>
      <c r="T739" s="133"/>
      <c r="U739" s="133"/>
      <c r="V739" s="133"/>
      <c r="W739" s="133"/>
      <c r="X739" s="133"/>
      <c r="Y739" s="133"/>
      <c r="Z739" s="133"/>
      <c r="AA739" s="133"/>
      <c r="AB739" s="102"/>
      <c r="AC739" s="102"/>
      <c r="AD739" s="103"/>
    </row>
    <row r="740" ht="15.75" customHeight="1">
      <c r="A740" s="142"/>
      <c r="B740" s="143"/>
      <c r="C740" s="136"/>
      <c r="D740" s="136"/>
      <c r="E740" s="143"/>
      <c r="F740" s="143"/>
      <c r="G740" s="143"/>
      <c r="H740" s="143"/>
      <c r="I740" s="143"/>
      <c r="J740" s="143"/>
      <c r="K740" s="145"/>
      <c r="L740" s="146"/>
      <c r="M740" s="136"/>
      <c r="N740" s="114"/>
      <c r="O740" s="136"/>
      <c r="P740" s="136"/>
      <c r="Q740" s="136"/>
      <c r="R740" s="136"/>
      <c r="S740" s="136"/>
      <c r="T740" s="136"/>
      <c r="U740" s="136"/>
      <c r="V740" s="136"/>
      <c r="W740" s="136"/>
      <c r="X740" s="136"/>
      <c r="Y740" s="136"/>
      <c r="Z740" s="136"/>
      <c r="AA740" s="136"/>
      <c r="AB740" s="102"/>
      <c r="AC740" s="102"/>
      <c r="AD740" s="103"/>
    </row>
    <row r="741" ht="15.75" customHeight="1">
      <c r="A741" s="147"/>
      <c r="B741" s="148"/>
      <c r="C741" s="133"/>
      <c r="D741" s="133"/>
      <c r="E741" s="148"/>
      <c r="F741" s="148"/>
      <c r="G741" s="148"/>
      <c r="H741" s="148"/>
      <c r="I741" s="148"/>
      <c r="J741" s="148"/>
      <c r="K741" s="150"/>
      <c r="L741" s="151"/>
      <c r="M741" s="133"/>
      <c r="N741" s="114"/>
      <c r="O741" s="133"/>
      <c r="P741" s="133"/>
      <c r="Q741" s="133"/>
      <c r="R741" s="133"/>
      <c r="S741" s="133"/>
      <c r="T741" s="133"/>
      <c r="U741" s="133"/>
      <c r="V741" s="133"/>
      <c r="W741" s="133"/>
      <c r="X741" s="133"/>
      <c r="Y741" s="133"/>
      <c r="Z741" s="133"/>
      <c r="AA741" s="133"/>
      <c r="AB741" s="102"/>
      <c r="AC741" s="102"/>
      <c r="AD741" s="103"/>
    </row>
    <row r="742" ht="15.75" customHeight="1">
      <c r="A742" s="142"/>
      <c r="B742" s="143"/>
      <c r="C742" s="136"/>
      <c r="D742" s="136"/>
      <c r="E742" s="143"/>
      <c r="F742" s="143"/>
      <c r="G742" s="143"/>
      <c r="H742" s="143"/>
      <c r="I742" s="143"/>
      <c r="J742" s="143"/>
      <c r="K742" s="145"/>
      <c r="L742" s="146"/>
      <c r="M742" s="136"/>
      <c r="N742" s="114"/>
      <c r="O742" s="136"/>
      <c r="P742" s="136"/>
      <c r="Q742" s="136"/>
      <c r="R742" s="136"/>
      <c r="S742" s="136"/>
      <c r="T742" s="136"/>
      <c r="U742" s="136"/>
      <c r="V742" s="136"/>
      <c r="W742" s="136"/>
      <c r="X742" s="136"/>
      <c r="Y742" s="136"/>
      <c r="Z742" s="136"/>
      <c r="AA742" s="136"/>
      <c r="AB742" s="102"/>
      <c r="AC742" s="102"/>
      <c r="AD742" s="103"/>
    </row>
    <row r="743" ht="15.75" customHeight="1">
      <c r="A743" s="147"/>
      <c r="B743" s="148"/>
      <c r="C743" s="133"/>
      <c r="D743" s="133"/>
      <c r="E743" s="148"/>
      <c r="F743" s="148"/>
      <c r="G743" s="148"/>
      <c r="H743" s="148"/>
      <c r="I743" s="148"/>
      <c r="J743" s="148"/>
      <c r="K743" s="150"/>
      <c r="L743" s="151"/>
      <c r="M743" s="133"/>
      <c r="N743" s="114"/>
      <c r="O743" s="133"/>
      <c r="P743" s="133"/>
      <c r="Q743" s="133"/>
      <c r="R743" s="133"/>
      <c r="S743" s="133"/>
      <c r="T743" s="133"/>
      <c r="U743" s="133"/>
      <c r="V743" s="133"/>
      <c r="W743" s="133"/>
      <c r="X743" s="133"/>
      <c r="Y743" s="133"/>
      <c r="Z743" s="133"/>
      <c r="AA743" s="133"/>
      <c r="AB743" s="102"/>
      <c r="AC743" s="102"/>
      <c r="AD743" s="103"/>
    </row>
    <row r="744" ht="15.75" customHeight="1">
      <c r="A744" s="142"/>
      <c r="B744" s="143"/>
      <c r="C744" s="136"/>
      <c r="D744" s="136"/>
      <c r="E744" s="143"/>
      <c r="F744" s="143"/>
      <c r="G744" s="143"/>
      <c r="H744" s="143"/>
      <c r="I744" s="143"/>
      <c r="J744" s="143"/>
      <c r="K744" s="145"/>
      <c r="L744" s="146"/>
      <c r="M744" s="136"/>
      <c r="N744" s="114"/>
      <c r="O744" s="136"/>
      <c r="P744" s="136"/>
      <c r="Q744" s="136"/>
      <c r="R744" s="136"/>
      <c r="S744" s="136"/>
      <c r="T744" s="136"/>
      <c r="U744" s="136"/>
      <c r="V744" s="136"/>
      <c r="W744" s="136"/>
      <c r="X744" s="136"/>
      <c r="Y744" s="136"/>
      <c r="Z744" s="136"/>
      <c r="AA744" s="136"/>
      <c r="AB744" s="102"/>
      <c r="AC744" s="102"/>
      <c r="AD744" s="103"/>
    </row>
    <row r="745" ht="15.75" customHeight="1">
      <c r="A745" s="147"/>
      <c r="B745" s="148"/>
      <c r="C745" s="133"/>
      <c r="D745" s="133"/>
      <c r="E745" s="148"/>
      <c r="F745" s="148"/>
      <c r="G745" s="148"/>
      <c r="H745" s="148"/>
      <c r="I745" s="148"/>
      <c r="J745" s="148"/>
      <c r="K745" s="150"/>
      <c r="L745" s="151"/>
      <c r="M745" s="133"/>
      <c r="N745" s="114"/>
      <c r="O745" s="133"/>
      <c r="P745" s="133"/>
      <c r="Q745" s="133"/>
      <c r="R745" s="133"/>
      <c r="S745" s="133"/>
      <c r="T745" s="133"/>
      <c r="U745" s="133"/>
      <c r="V745" s="133"/>
      <c r="W745" s="133"/>
      <c r="X745" s="133"/>
      <c r="Y745" s="133"/>
      <c r="Z745" s="133"/>
      <c r="AA745" s="133"/>
      <c r="AB745" s="102"/>
      <c r="AC745" s="102"/>
      <c r="AD745" s="103"/>
    </row>
    <row r="746" ht="15.75" customHeight="1">
      <c r="A746" s="142"/>
      <c r="B746" s="143"/>
      <c r="C746" s="136"/>
      <c r="D746" s="136"/>
      <c r="E746" s="143"/>
      <c r="F746" s="143"/>
      <c r="G746" s="143"/>
      <c r="H746" s="143"/>
      <c r="I746" s="143"/>
      <c r="J746" s="143"/>
      <c r="K746" s="145"/>
      <c r="L746" s="146"/>
      <c r="M746" s="136"/>
      <c r="N746" s="114"/>
      <c r="O746" s="136"/>
      <c r="P746" s="136"/>
      <c r="Q746" s="136"/>
      <c r="R746" s="136"/>
      <c r="S746" s="136"/>
      <c r="T746" s="136"/>
      <c r="U746" s="136"/>
      <c r="V746" s="136"/>
      <c r="W746" s="136"/>
      <c r="X746" s="136"/>
      <c r="Y746" s="136"/>
      <c r="Z746" s="136"/>
      <c r="AA746" s="136"/>
      <c r="AB746" s="102"/>
      <c r="AC746" s="102"/>
      <c r="AD746" s="103"/>
    </row>
    <row r="747" ht="15.75" customHeight="1">
      <c r="A747" s="147"/>
      <c r="B747" s="148"/>
      <c r="C747" s="133"/>
      <c r="D747" s="133"/>
      <c r="E747" s="148"/>
      <c r="F747" s="148"/>
      <c r="G747" s="148"/>
      <c r="H747" s="148"/>
      <c r="I747" s="148"/>
      <c r="J747" s="148"/>
      <c r="K747" s="150"/>
      <c r="L747" s="151"/>
      <c r="M747" s="133"/>
      <c r="N747" s="114"/>
      <c r="O747" s="133"/>
      <c r="P747" s="133"/>
      <c r="Q747" s="133"/>
      <c r="R747" s="133"/>
      <c r="S747" s="133"/>
      <c r="T747" s="133"/>
      <c r="U747" s="133"/>
      <c r="V747" s="133"/>
      <c r="W747" s="133"/>
      <c r="X747" s="133"/>
      <c r="Y747" s="133"/>
      <c r="Z747" s="133"/>
      <c r="AA747" s="133"/>
      <c r="AB747" s="102"/>
      <c r="AC747" s="102"/>
      <c r="AD747" s="103"/>
    </row>
    <row r="748" ht="15.75" customHeight="1">
      <c r="A748" s="142"/>
      <c r="B748" s="143"/>
      <c r="C748" s="136"/>
      <c r="D748" s="136"/>
      <c r="E748" s="143"/>
      <c r="F748" s="143"/>
      <c r="G748" s="143"/>
      <c r="H748" s="143"/>
      <c r="I748" s="143"/>
      <c r="J748" s="143"/>
      <c r="K748" s="145"/>
      <c r="L748" s="146"/>
      <c r="M748" s="136"/>
      <c r="N748" s="114"/>
      <c r="O748" s="136"/>
      <c r="P748" s="136"/>
      <c r="Q748" s="136"/>
      <c r="R748" s="136"/>
      <c r="S748" s="136"/>
      <c r="T748" s="136"/>
      <c r="U748" s="136"/>
      <c r="V748" s="136"/>
      <c r="W748" s="136"/>
      <c r="X748" s="136"/>
      <c r="Y748" s="136"/>
      <c r="Z748" s="136"/>
      <c r="AA748" s="136"/>
      <c r="AB748" s="102"/>
      <c r="AC748" s="102"/>
      <c r="AD748" s="103"/>
    </row>
    <row r="749" ht="15.75" customHeight="1">
      <c r="A749" s="147"/>
      <c r="B749" s="148"/>
      <c r="C749" s="133"/>
      <c r="D749" s="133"/>
      <c r="E749" s="148"/>
      <c r="F749" s="148"/>
      <c r="G749" s="148"/>
      <c r="H749" s="148"/>
      <c r="I749" s="148"/>
      <c r="J749" s="148"/>
      <c r="K749" s="150"/>
      <c r="L749" s="151"/>
      <c r="M749" s="133"/>
      <c r="N749" s="114"/>
      <c r="O749" s="133"/>
      <c r="P749" s="133"/>
      <c r="Q749" s="133"/>
      <c r="R749" s="133"/>
      <c r="S749" s="133"/>
      <c r="T749" s="133"/>
      <c r="U749" s="133"/>
      <c r="V749" s="133"/>
      <c r="W749" s="133"/>
      <c r="X749" s="133"/>
      <c r="Y749" s="133"/>
      <c r="Z749" s="133"/>
      <c r="AA749" s="133"/>
      <c r="AB749" s="102"/>
      <c r="AC749" s="102"/>
      <c r="AD749" s="103"/>
    </row>
    <row r="750" ht="15.75" customHeight="1">
      <c r="A750" s="142"/>
      <c r="B750" s="143"/>
      <c r="C750" s="136"/>
      <c r="D750" s="136"/>
      <c r="E750" s="143"/>
      <c r="F750" s="143"/>
      <c r="G750" s="143"/>
      <c r="H750" s="143"/>
      <c r="I750" s="143"/>
      <c r="J750" s="143"/>
      <c r="K750" s="145"/>
      <c r="L750" s="146"/>
      <c r="M750" s="136"/>
      <c r="N750" s="114"/>
      <c r="O750" s="136"/>
      <c r="P750" s="136"/>
      <c r="Q750" s="136"/>
      <c r="R750" s="136"/>
      <c r="S750" s="136"/>
      <c r="T750" s="136"/>
      <c r="U750" s="136"/>
      <c r="V750" s="136"/>
      <c r="W750" s="136"/>
      <c r="X750" s="136"/>
      <c r="Y750" s="136"/>
      <c r="Z750" s="136"/>
      <c r="AA750" s="136"/>
      <c r="AB750" s="102"/>
      <c r="AC750" s="102"/>
      <c r="AD750" s="103"/>
    </row>
    <row r="751" ht="15.75" customHeight="1">
      <c r="A751" s="147"/>
      <c r="B751" s="148"/>
      <c r="C751" s="133"/>
      <c r="D751" s="133"/>
      <c r="E751" s="148"/>
      <c r="F751" s="148"/>
      <c r="G751" s="148"/>
      <c r="H751" s="148"/>
      <c r="I751" s="148"/>
      <c r="J751" s="148"/>
      <c r="K751" s="150"/>
      <c r="L751" s="151"/>
      <c r="M751" s="133"/>
      <c r="N751" s="114"/>
      <c r="O751" s="133"/>
      <c r="P751" s="133"/>
      <c r="Q751" s="133"/>
      <c r="R751" s="133"/>
      <c r="S751" s="133"/>
      <c r="T751" s="133"/>
      <c r="U751" s="133"/>
      <c r="V751" s="133"/>
      <c r="W751" s="133"/>
      <c r="X751" s="133"/>
      <c r="Y751" s="133"/>
      <c r="Z751" s="133"/>
      <c r="AA751" s="133"/>
      <c r="AB751" s="102"/>
      <c r="AC751" s="102"/>
      <c r="AD751" s="103"/>
    </row>
    <row r="752" ht="15.75" customHeight="1">
      <c r="A752" s="142"/>
      <c r="B752" s="143"/>
      <c r="C752" s="136"/>
      <c r="D752" s="136"/>
      <c r="E752" s="143"/>
      <c r="F752" s="143"/>
      <c r="G752" s="143"/>
      <c r="H752" s="143"/>
      <c r="I752" s="143"/>
      <c r="J752" s="143"/>
      <c r="K752" s="145"/>
      <c r="L752" s="146"/>
      <c r="M752" s="136"/>
      <c r="N752" s="114"/>
      <c r="O752" s="136"/>
      <c r="P752" s="136"/>
      <c r="Q752" s="136"/>
      <c r="R752" s="136"/>
      <c r="S752" s="136"/>
      <c r="T752" s="136"/>
      <c r="U752" s="136"/>
      <c r="V752" s="136"/>
      <c r="W752" s="136"/>
      <c r="X752" s="136"/>
      <c r="Y752" s="136"/>
      <c r="Z752" s="136"/>
      <c r="AA752" s="136"/>
      <c r="AB752" s="102"/>
      <c r="AC752" s="102"/>
      <c r="AD752" s="103"/>
    </row>
    <row r="753" ht="15.75" customHeight="1">
      <c r="A753" s="147"/>
      <c r="B753" s="148"/>
      <c r="C753" s="133"/>
      <c r="D753" s="133"/>
      <c r="E753" s="148"/>
      <c r="F753" s="148"/>
      <c r="G753" s="148"/>
      <c r="H753" s="148"/>
      <c r="I753" s="148"/>
      <c r="J753" s="148"/>
      <c r="K753" s="150"/>
      <c r="L753" s="151"/>
      <c r="M753" s="133"/>
      <c r="N753" s="114"/>
      <c r="O753" s="133"/>
      <c r="P753" s="133"/>
      <c r="Q753" s="133"/>
      <c r="R753" s="133"/>
      <c r="S753" s="133"/>
      <c r="T753" s="133"/>
      <c r="U753" s="133"/>
      <c r="V753" s="133"/>
      <c r="W753" s="133"/>
      <c r="X753" s="133"/>
      <c r="Y753" s="133"/>
      <c r="Z753" s="133"/>
      <c r="AA753" s="133"/>
      <c r="AB753" s="102"/>
      <c r="AC753" s="102"/>
      <c r="AD753" s="103"/>
    </row>
    <row r="754" ht="15.75" customHeight="1">
      <c r="A754" s="142"/>
      <c r="B754" s="143"/>
      <c r="C754" s="136"/>
      <c r="D754" s="136"/>
      <c r="E754" s="143"/>
      <c r="F754" s="143"/>
      <c r="G754" s="143"/>
      <c r="H754" s="143"/>
      <c r="I754" s="143"/>
      <c r="J754" s="143"/>
      <c r="K754" s="145"/>
      <c r="L754" s="146"/>
      <c r="M754" s="136"/>
      <c r="N754" s="114"/>
      <c r="O754" s="136"/>
      <c r="P754" s="136"/>
      <c r="Q754" s="136"/>
      <c r="R754" s="136"/>
      <c r="S754" s="136"/>
      <c r="T754" s="136"/>
      <c r="U754" s="136"/>
      <c r="V754" s="136"/>
      <c r="W754" s="136"/>
      <c r="X754" s="136"/>
      <c r="Y754" s="136"/>
      <c r="Z754" s="136"/>
      <c r="AA754" s="136"/>
      <c r="AB754" s="102"/>
      <c r="AC754" s="102"/>
      <c r="AD754" s="103"/>
    </row>
    <row r="755" ht="15.75" customHeight="1">
      <c r="A755" s="147"/>
      <c r="B755" s="148"/>
      <c r="C755" s="133"/>
      <c r="D755" s="133"/>
      <c r="E755" s="148"/>
      <c r="F755" s="148"/>
      <c r="G755" s="148"/>
      <c r="H755" s="148"/>
      <c r="I755" s="148"/>
      <c r="J755" s="148"/>
      <c r="K755" s="150"/>
      <c r="L755" s="151"/>
      <c r="M755" s="133"/>
      <c r="N755" s="114"/>
      <c r="O755" s="133"/>
      <c r="P755" s="133"/>
      <c r="Q755" s="133"/>
      <c r="R755" s="133"/>
      <c r="S755" s="133"/>
      <c r="T755" s="133"/>
      <c r="U755" s="133"/>
      <c r="V755" s="133"/>
      <c r="W755" s="133"/>
      <c r="X755" s="133"/>
      <c r="Y755" s="133"/>
      <c r="Z755" s="133"/>
      <c r="AA755" s="133"/>
      <c r="AB755" s="102"/>
      <c r="AC755" s="102"/>
      <c r="AD755" s="103"/>
    </row>
    <row r="756" ht="15.75" customHeight="1">
      <c r="A756" s="142"/>
      <c r="B756" s="143"/>
      <c r="C756" s="136"/>
      <c r="D756" s="136"/>
      <c r="E756" s="143"/>
      <c r="F756" s="143"/>
      <c r="G756" s="143"/>
      <c r="H756" s="143"/>
      <c r="I756" s="143"/>
      <c r="J756" s="143"/>
      <c r="K756" s="145"/>
      <c r="L756" s="146"/>
      <c r="M756" s="136"/>
      <c r="N756" s="114"/>
      <c r="O756" s="136"/>
      <c r="P756" s="136"/>
      <c r="Q756" s="136"/>
      <c r="R756" s="136"/>
      <c r="S756" s="136"/>
      <c r="T756" s="136"/>
      <c r="U756" s="136"/>
      <c r="V756" s="136"/>
      <c r="W756" s="136"/>
      <c r="X756" s="136"/>
      <c r="Y756" s="136"/>
      <c r="Z756" s="136"/>
      <c r="AA756" s="136"/>
      <c r="AB756" s="102"/>
      <c r="AC756" s="102"/>
      <c r="AD756" s="103"/>
    </row>
    <row r="757" ht="15.75" customHeight="1">
      <c r="A757" s="147"/>
      <c r="B757" s="148"/>
      <c r="C757" s="133"/>
      <c r="D757" s="133"/>
      <c r="E757" s="148"/>
      <c r="F757" s="148"/>
      <c r="G757" s="148"/>
      <c r="H757" s="148"/>
      <c r="I757" s="148"/>
      <c r="J757" s="148"/>
      <c r="K757" s="150"/>
      <c r="L757" s="151"/>
      <c r="M757" s="133"/>
      <c r="N757" s="114"/>
      <c r="O757" s="133"/>
      <c r="P757" s="133"/>
      <c r="Q757" s="133"/>
      <c r="R757" s="133"/>
      <c r="S757" s="133"/>
      <c r="T757" s="133"/>
      <c r="U757" s="133"/>
      <c r="V757" s="133"/>
      <c r="W757" s="133"/>
      <c r="X757" s="133"/>
      <c r="Y757" s="133"/>
      <c r="Z757" s="133"/>
      <c r="AA757" s="133"/>
      <c r="AB757" s="102"/>
      <c r="AC757" s="102"/>
      <c r="AD757" s="103"/>
    </row>
    <row r="758" ht="15.75" customHeight="1">
      <c r="A758" s="142"/>
      <c r="B758" s="143"/>
      <c r="C758" s="136"/>
      <c r="D758" s="136"/>
      <c r="E758" s="143"/>
      <c r="F758" s="143"/>
      <c r="G758" s="143"/>
      <c r="H758" s="143"/>
      <c r="I758" s="143"/>
      <c r="J758" s="143"/>
      <c r="K758" s="145"/>
      <c r="L758" s="146"/>
      <c r="M758" s="136"/>
      <c r="N758" s="114"/>
      <c r="O758" s="136"/>
      <c r="P758" s="136"/>
      <c r="Q758" s="136"/>
      <c r="R758" s="136"/>
      <c r="S758" s="136"/>
      <c r="T758" s="136"/>
      <c r="U758" s="136"/>
      <c r="V758" s="136"/>
      <c r="W758" s="136"/>
      <c r="X758" s="136"/>
      <c r="Y758" s="136"/>
      <c r="Z758" s="136"/>
      <c r="AA758" s="136"/>
      <c r="AB758" s="102"/>
      <c r="AC758" s="102"/>
      <c r="AD758" s="103"/>
    </row>
    <row r="759" ht="15.75" customHeight="1">
      <c r="A759" s="147"/>
      <c r="B759" s="148"/>
      <c r="C759" s="133"/>
      <c r="D759" s="133"/>
      <c r="E759" s="148"/>
      <c r="F759" s="148"/>
      <c r="G759" s="148"/>
      <c r="H759" s="148"/>
      <c r="I759" s="148"/>
      <c r="J759" s="148"/>
      <c r="K759" s="150"/>
      <c r="L759" s="151"/>
      <c r="M759" s="133"/>
      <c r="N759" s="114"/>
      <c r="O759" s="133"/>
      <c r="P759" s="133"/>
      <c r="Q759" s="133"/>
      <c r="R759" s="133"/>
      <c r="S759" s="133"/>
      <c r="T759" s="133"/>
      <c r="U759" s="133"/>
      <c r="V759" s="133"/>
      <c r="W759" s="133"/>
      <c r="X759" s="133"/>
      <c r="Y759" s="133"/>
      <c r="Z759" s="133"/>
      <c r="AA759" s="133"/>
      <c r="AB759" s="102"/>
      <c r="AC759" s="102"/>
      <c r="AD759" s="103"/>
    </row>
    <row r="760" ht="15.75" customHeight="1">
      <c r="A760" s="142"/>
      <c r="B760" s="143"/>
      <c r="C760" s="136"/>
      <c r="D760" s="136"/>
      <c r="E760" s="143"/>
      <c r="F760" s="143"/>
      <c r="G760" s="143"/>
      <c r="H760" s="143"/>
      <c r="I760" s="143"/>
      <c r="J760" s="143"/>
      <c r="K760" s="145"/>
      <c r="L760" s="146"/>
      <c r="M760" s="136"/>
      <c r="N760" s="114"/>
      <c r="O760" s="136"/>
      <c r="P760" s="136"/>
      <c r="Q760" s="136"/>
      <c r="R760" s="136"/>
      <c r="S760" s="136"/>
      <c r="T760" s="136"/>
      <c r="U760" s="136"/>
      <c r="V760" s="136"/>
      <c r="W760" s="136"/>
      <c r="X760" s="136"/>
      <c r="Y760" s="136"/>
      <c r="Z760" s="136"/>
      <c r="AA760" s="136"/>
      <c r="AB760" s="102"/>
      <c r="AC760" s="102"/>
      <c r="AD760" s="103"/>
    </row>
    <row r="761" ht="15.75" customHeight="1">
      <c r="A761" s="147"/>
      <c r="B761" s="148"/>
      <c r="C761" s="133"/>
      <c r="D761" s="133"/>
      <c r="E761" s="148"/>
      <c r="F761" s="148"/>
      <c r="G761" s="148"/>
      <c r="H761" s="148"/>
      <c r="I761" s="148"/>
      <c r="J761" s="148"/>
      <c r="K761" s="150"/>
      <c r="L761" s="151"/>
      <c r="M761" s="133"/>
      <c r="N761" s="114"/>
      <c r="O761" s="133"/>
      <c r="P761" s="133"/>
      <c r="Q761" s="133"/>
      <c r="R761" s="133"/>
      <c r="S761" s="133"/>
      <c r="T761" s="133"/>
      <c r="U761" s="133"/>
      <c r="V761" s="133"/>
      <c r="W761" s="133"/>
      <c r="X761" s="133"/>
      <c r="Y761" s="133"/>
      <c r="Z761" s="133"/>
      <c r="AA761" s="133"/>
      <c r="AB761" s="102"/>
      <c r="AC761" s="102"/>
      <c r="AD761" s="103"/>
    </row>
    <row r="762" ht="15.75" customHeight="1">
      <c r="A762" s="142"/>
      <c r="B762" s="143"/>
      <c r="C762" s="136"/>
      <c r="D762" s="136"/>
      <c r="E762" s="143"/>
      <c r="F762" s="143"/>
      <c r="G762" s="143"/>
      <c r="H762" s="143"/>
      <c r="I762" s="143"/>
      <c r="J762" s="143"/>
      <c r="K762" s="145"/>
      <c r="L762" s="146"/>
      <c r="M762" s="136"/>
      <c r="N762" s="114"/>
      <c r="O762" s="136"/>
      <c r="P762" s="136"/>
      <c r="Q762" s="136"/>
      <c r="R762" s="136"/>
      <c r="S762" s="136"/>
      <c r="T762" s="136"/>
      <c r="U762" s="136"/>
      <c r="V762" s="136"/>
      <c r="W762" s="136"/>
      <c r="X762" s="136"/>
      <c r="Y762" s="136"/>
      <c r="Z762" s="136"/>
      <c r="AA762" s="136"/>
      <c r="AB762" s="102"/>
      <c r="AC762" s="102"/>
      <c r="AD762" s="103"/>
    </row>
    <row r="763" ht="15.75" customHeight="1">
      <c r="A763" s="147"/>
      <c r="B763" s="148"/>
      <c r="C763" s="133"/>
      <c r="D763" s="133"/>
      <c r="E763" s="148"/>
      <c r="F763" s="148"/>
      <c r="G763" s="148"/>
      <c r="H763" s="148"/>
      <c r="I763" s="148"/>
      <c r="J763" s="148"/>
      <c r="K763" s="150"/>
      <c r="L763" s="151"/>
      <c r="M763" s="133"/>
      <c r="N763" s="114"/>
      <c r="O763" s="133"/>
      <c r="P763" s="133"/>
      <c r="Q763" s="133"/>
      <c r="R763" s="133"/>
      <c r="S763" s="133"/>
      <c r="T763" s="133"/>
      <c r="U763" s="133"/>
      <c r="V763" s="133"/>
      <c r="W763" s="133"/>
      <c r="X763" s="133"/>
      <c r="Y763" s="133"/>
      <c r="Z763" s="133"/>
      <c r="AA763" s="133"/>
      <c r="AB763" s="102"/>
      <c r="AC763" s="102"/>
      <c r="AD763" s="103"/>
    </row>
    <row r="764" ht="15.75" customHeight="1">
      <c r="A764" s="142"/>
      <c r="B764" s="143"/>
      <c r="C764" s="136"/>
      <c r="D764" s="136"/>
      <c r="E764" s="143"/>
      <c r="F764" s="143"/>
      <c r="G764" s="143"/>
      <c r="H764" s="143"/>
      <c r="I764" s="143"/>
      <c r="J764" s="143"/>
      <c r="K764" s="145"/>
      <c r="L764" s="146"/>
      <c r="M764" s="136"/>
      <c r="N764" s="114"/>
      <c r="O764" s="136"/>
      <c r="P764" s="136"/>
      <c r="Q764" s="136"/>
      <c r="R764" s="136"/>
      <c r="S764" s="136"/>
      <c r="T764" s="136"/>
      <c r="U764" s="136"/>
      <c r="V764" s="136"/>
      <c r="W764" s="136"/>
      <c r="X764" s="136"/>
      <c r="Y764" s="136"/>
      <c r="Z764" s="136"/>
      <c r="AA764" s="136"/>
      <c r="AB764" s="102"/>
      <c r="AC764" s="102"/>
      <c r="AD764" s="103"/>
    </row>
    <row r="765" ht="15.75" customHeight="1">
      <c r="A765" s="147"/>
      <c r="B765" s="148"/>
      <c r="C765" s="133"/>
      <c r="D765" s="133"/>
      <c r="E765" s="148"/>
      <c r="F765" s="148"/>
      <c r="G765" s="148"/>
      <c r="H765" s="148"/>
      <c r="I765" s="148"/>
      <c r="J765" s="148"/>
      <c r="K765" s="150"/>
      <c r="L765" s="151"/>
      <c r="M765" s="133"/>
      <c r="N765" s="114"/>
      <c r="O765" s="133"/>
      <c r="P765" s="133"/>
      <c r="Q765" s="133"/>
      <c r="R765" s="133"/>
      <c r="S765" s="133"/>
      <c r="T765" s="133"/>
      <c r="U765" s="133"/>
      <c r="V765" s="133"/>
      <c r="W765" s="133"/>
      <c r="X765" s="133"/>
      <c r="Y765" s="133"/>
      <c r="Z765" s="133"/>
      <c r="AA765" s="133"/>
      <c r="AB765" s="102"/>
      <c r="AC765" s="102"/>
      <c r="AD765" s="103"/>
    </row>
    <row r="766" ht="15.75" customHeight="1">
      <c r="A766" s="142"/>
      <c r="B766" s="143"/>
      <c r="C766" s="136"/>
      <c r="D766" s="136"/>
      <c r="E766" s="143"/>
      <c r="F766" s="143"/>
      <c r="G766" s="143"/>
      <c r="H766" s="143"/>
      <c r="I766" s="143"/>
      <c r="J766" s="143"/>
      <c r="K766" s="145"/>
      <c r="L766" s="146"/>
      <c r="M766" s="136"/>
      <c r="N766" s="114"/>
      <c r="O766" s="136"/>
      <c r="P766" s="136"/>
      <c r="Q766" s="136"/>
      <c r="R766" s="136"/>
      <c r="S766" s="136"/>
      <c r="T766" s="136"/>
      <c r="U766" s="136"/>
      <c r="V766" s="136"/>
      <c r="W766" s="136"/>
      <c r="X766" s="136"/>
      <c r="Y766" s="136"/>
      <c r="Z766" s="136"/>
      <c r="AA766" s="136"/>
      <c r="AB766" s="102"/>
      <c r="AC766" s="102"/>
      <c r="AD766" s="103"/>
    </row>
    <row r="767" ht="15.75" customHeight="1">
      <c r="A767" s="147"/>
      <c r="B767" s="148"/>
      <c r="C767" s="133"/>
      <c r="D767" s="133"/>
      <c r="E767" s="148"/>
      <c r="F767" s="148"/>
      <c r="G767" s="148"/>
      <c r="H767" s="148"/>
      <c r="I767" s="148"/>
      <c r="J767" s="148"/>
      <c r="K767" s="150"/>
      <c r="L767" s="151"/>
      <c r="M767" s="133"/>
      <c r="N767" s="114"/>
      <c r="O767" s="133"/>
      <c r="P767" s="133"/>
      <c r="Q767" s="133"/>
      <c r="R767" s="133"/>
      <c r="S767" s="133"/>
      <c r="T767" s="133"/>
      <c r="U767" s="133"/>
      <c r="V767" s="133"/>
      <c r="W767" s="133"/>
      <c r="X767" s="133"/>
      <c r="Y767" s="133"/>
      <c r="Z767" s="133"/>
      <c r="AA767" s="133"/>
      <c r="AB767" s="102"/>
      <c r="AC767" s="102"/>
      <c r="AD767" s="103"/>
    </row>
    <row r="768" ht="15.75" customHeight="1">
      <c r="A768" s="142"/>
      <c r="B768" s="143"/>
      <c r="C768" s="136"/>
      <c r="D768" s="136"/>
      <c r="E768" s="143"/>
      <c r="F768" s="143"/>
      <c r="G768" s="143"/>
      <c r="H768" s="143"/>
      <c r="I768" s="143"/>
      <c r="J768" s="143"/>
      <c r="K768" s="145"/>
      <c r="L768" s="146"/>
      <c r="M768" s="136"/>
      <c r="N768" s="114"/>
      <c r="O768" s="136"/>
      <c r="P768" s="136"/>
      <c r="Q768" s="136"/>
      <c r="R768" s="136"/>
      <c r="S768" s="136"/>
      <c r="T768" s="136"/>
      <c r="U768" s="136"/>
      <c r="V768" s="136"/>
      <c r="W768" s="136"/>
      <c r="X768" s="136"/>
      <c r="Y768" s="136"/>
      <c r="Z768" s="136"/>
      <c r="AA768" s="136"/>
      <c r="AB768" s="102"/>
      <c r="AC768" s="102"/>
      <c r="AD768" s="103"/>
    </row>
    <row r="769" ht="15.75" customHeight="1">
      <c r="A769" s="147"/>
      <c r="B769" s="148"/>
      <c r="C769" s="133"/>
      <c r="D769" s="133"/>
      <c r="E769" s="148"/>
      <c r="F769" s="148"/>
      <c r="G769" s="148"/>
      <c r="H769" s="148"/>
      <c r="I769" s="148"/>
      <c r="J769" s="148"/>
      <c r="K769" s="150"/>
      <c r="L769" s="151"/>
      <c r="M769" s="133"/>
      <c r="N769" s="114"/>
      <c r="O769" s="133"/>
      <c r="P769" s="133"/>
      <c r="Q769" s="133"/>
      <c r="R769" s="133"/>
      <c r="S769" s="133"/>
      <c r="T769" s="133"/>
      <c r="U769" s="133"/>
      <c r="V769" s="133"/>
      <c r="W769" s="133"/>
      <c r="X769" s="133"/>
      <c r="Y769" s="133"/>
      <c r="Z769" s="133"/>
      <c r="AA769" s="133"/>
      <c r="AB769" s="102"/>
      <c r="AC769" s="102"/>
      <c r="AD769" s="103"/>
    </row>
    <row r="770" ht="15.75" customHeight="1">
      <c r="A770" s="142"/>
      <c r="B770" s="143"/>
      <c r="C770" s="136"/>
      <c r="D770" s="136"/>
      <c r="E770" s="143"/>
      <c r="F770" s="143"/>
      <c r="G770" s="143"/>
      <c r="H770" s="143"/>
      <c r="I770" s="143"/>
      <c r="J770" s="143"/>
      <c r="K770" s="145"/>
      <c r="L770" s="146"/>
      <c r="M770" s="136"/>
      <c r="N770" s="114"/>
      <c r="O770" s="136"/>
      <c r="P770" s="136"/>
      <c r="Q770" s="136"/>
      <c r="R770" s="136"/>
      <c r="S770" s="136"/>
      <c r="T770" s="136"/>
      <c r="U770" s="136"/>
      <c r="V770" s="136"/>
      <c r="W770" s="136"/>
      <c r="X770" s="136"/>
      <c r="Y770" s="136"/>
      <c r="Z770" s="136"/>
      <c r="AA770" s="136"/>
      <c r="AB770" s="102"/>
      <c r="AC770" s="102"/>
      <c r="AD770" s="103"/>
    </row>
    <row r="771" ht="15.75" customHeight="1">
      <c r="A771" s="147"/>
      <c r="B771" s="148"/>
      <c r="C771" s="133"/>
      <c r="D771" s="133"/>
      <c r="E771" s="148"/>
      <c r="F771" s="148"/>
      <c r="G771" s="148"/>
      <c r="H771" s="148"/>
      <c r="I771" s="148"/>
      <c r="J771" s="148"/>
      <c r="K771" s="150"/>
      <c r="L771" s="151"/>
      <c r="M771" s="133"/>
      <c r="N771" s="114"/>
      <c r="O771" s="133"/>
      <c r="P771" s="133"/>
      <c r="Q771" s="133"/>
      <c r="R771" s="133"/>
      <c r="S771" s="133"/>
      <c r="T771" s="133"/>
      <c r="U771" s="133"/>
      <c r="V771" s="133"/>
      <c r="W771" s="133"/>
      <c r="X771" s="133"/>
      <c r="Y771" s="133"/>
      <c r="Z771" s="133"/>
      <c r="AA771" s="133"/>
      <c r="AB771" s="102"/>
      <c r="AC771" s="102"/>
      <c r="AD771" s="103"/>
    </row>
    <row r="772" ht="15.75" customHeight="1">
      <c r="A772" s="142"/>
      <c r="B772" s="143"/>
      <c r="C772" s="136"/>
      <c r="D772" s="136"/>
      <c r="E772" s="143"/>
      <c r="F772" s="143"/>
      <c r="G772" s="143"/>
      <c r="H772" s="143"/>
      <c r="I772" s="143"/>
      <c r="J772" s="143"/>
      <c r="K772" s="145"/>
      <c r="L772" s="146"/>
      <c r="M772" s="136"/>
      <c r="N772" s="114"/>
      <c r="O772" s="136"/>
      <c r="P772" s="136"/>
      <c r="Q772" s="136"/>
      <c r="R772" s="136"/>
      <c r="S772" s="136"/>
      <c r="T772" s="136"/>
      <c r="U772" s="136"/>
      <c r="V772" s="136"/>
      <c r="W772" s="136"/>
      <c r="X772" s="136"/>
      <c r="Y772" s="136"/>
      <c r="Z772" s="136"/>
      <c r="AA772" s="136"/>
      <c r="AB772" s="102"/>
      <c r="AC772" s="102"/>
      <c r="AD772" s="103"/>
    </row>
    <row r="773" ht="15.75" customHeight="1">
      <c r="A773" s="147"/>
      <c r="B773" s="148"/>
      <c r="C773" s="133"/>
      <c r="D773" s="133"/>
      <c r="E773" s="148"/>
      <c r="F773" s="148"/>
      <c r="G773" s="148"/>
      <c r="H773" s="148"/>
      <c r="I773" s="148"/>
      <c r="J773" s="148"/>
      <c r="K773" s="150"/>
      <c r="L773" s="151"/>
      <c r="M773" s="133"/>
      <c r="N773" s="114"/>
      <c r="O773" s="133"/>
      <c r="P773" s="133"/>
      <c r="Q773" s="133"/>
      <c r="R773" s="133"/>
      <c r="S773" s="133"/>
      <c r="T773" s="133"/>
      <c r="U773" s="133"/>
      <c r="V773" s="133"/>
      <c r="W773" s="133"/>
      <c r="X773" s="133"/>
      <c r="Y773" s="133"/>
      <c r="Z773" s="133"/>
      <c r="AA773" s="133"/>
      <c r="AB773" s="102"/>
      <c r="AC773" s="102"/>
      <c r="AD773" s="103"/>
    </row>
    <row r="774" ht="15.75" customHeight="1">
      <c r="A774" s="142"/>
      <c r="B774" s="143"/>
      <c r="C774" s="136"/>
      <c r="D774" s="136"/>
      <c r="E774" s="143"/>
      <c r="F774" s="143"/>
      <c r="G774" s="143"/>
      <c r="H774" s="143"/>
      <c r="I774" s="143"/>
      <c r="J774" s="143"/>
      <c r="K774" s="145"/>
      <c r="L774" s="146"/>
      <c r="M774" s="136"/>
      <c r="N774" s="114"/>
      <c r="O774" s="136"/>
      <c r="P774" s="136"/>
      <c r="Q774" s="136"/>
      <c r="R774" s="136"/>
      <c r="S774" s="136"/>
      <c r="T774" s="136"/>
      <c r="U774" s="136"/>
      <c r="V774" s="136"/>
      <c r="W774" s="136"/>
      <c r="X774" s="136"/>
      <c r="Y774" s="136"/>
      <c r="Z774" s="136"/>
      <c r="AA774" s="136"/>
      <c r="AB774" s="102"/>
      <c r="AC774" s="102"/>
      <c r="AD774" s="103"/>
    </row>
    <row r="775" ht="15.75" customHeight="1">
      <c r="A775" s="147"/>
      <c r="B775" s="148"/>
      <c r="C775" s="133"/>
      <c r="D775" s="133"/>
      <c r="E775" s="148"/>
      <c r="F775" s="148"/>
      <c r="G775" s="148"/>
      <c r="H775" s="148"/>
      <c r="I775" s="148"/>
      <c r="J775" s="148"/>
      <c r="K775" s="150"/>
      <c r="L775" s="151"/>
      <c r="M775" s="133"/>
      <c r="N775" s="114"/>
      <c r="O775" s="133"/>
      <c r="P775" s="133"/>
      <c r="Q775" s="133"/>
      <c r="R775" s="133"/>
      <c r="S775" s="133"/>
      <c r="T775" s="133"/>
      <c r="U775" s="133"/>
      <c r="V775" s="133"/>
      <c r="W775" s="133"/>
      <c r="X775" s="133"/>
      <c r="Y775" s="133"/>
      <c r="Z775" s="133"/>
      <c r="AA775" s="133"/>
      <c r="AB775" s="102"/>
      <c r="AC775" s="102"/>
      <c r="AD775" s="103"/>
    </row>
    <row r="776" ht="15.75" customHeight="1">
      <c r="A776" s="142"/>
      <c r="B776" s="143"/>
      <c r="C776" s="136"/>
      <c r="D776" s="136"/>
      <c r="E776" s="143"/>
      <c r="F776" s="143"/>
      <c r="G776" s="143"/>
      <c r="H776" s="143"/>
      <c r="I776" s="143"/>
      <c r="J776" s="143"/>
      <c r="K776" s="145"/>
      <c r="L776" s="146"/>
      <c r="M776" s="136"/>
      <c r="N776" s="114"/>
      <c r="O776" s="136"/>
      <c r="P776" s="136"/>
      <c r="Q776" s="136"/>
      <c r="R776" s="136"/>
      <c r="S776" s="136"/>
      <c r="T776" s="136"/>
      <c r="U776" s="136"/>
      <c r="V776" s="136"/>
      <c r="W776" s="136"/>
      <c r="X776" s="136"/>
      <c r="Y776" s="136"/>
      <c r="Z776" s="136"/>
      <c r="AA776" s="136"/>
      <c r="AB776" s="102"/>
      <c r="AC776" s="102"/>
      <c r="AD776" s="103"/>
    </row>
    <row r="777" ht="15.75" customHeight="1">
      <c r="A777" s="147"/>
      <c r="B777" s="148"/>
      <c r="C777" s="133"/>
      <c r="D777" s="133"/>
      <c r="E777" s="148"/>
      <c r="F777" s="148"/>
      <c r="G777" s="148"/>
      <c r="H777" s="148"/>
      <c r="I777" s="148"/>
      <c r="J777" s="148"/>
      <c r="K777" s="150"/>
      <c r="L777" s="151"/>
      <c r="M777" s="133"/>
      <c r="N777" s="114"/>
      <c r="O777" s="133"/>
      <c r="P777" s="133"/>
      <c r="Q777" s="133"/>
      <c r="R777" s="133"/>
      <c r="S777" s="133"/>
      <c r="T777" s="133"/>
      <c r="U777" s="133"/>
      <c r="V777" s="133"/>
      <c r="W777" s="133"/>
      <c r="X777" s="133"/>
      <c r="Y777" s="133"/>
      <c r="Z777" s="133"/>
      <c r="AA777" s="133"/>
      <c r="AB777" s="102"/>
      <c r="AC777" s="102"/>
      <c r="AD777" s="103"/>
    </row>
    <row r="778" ht="15.75" customHeight="1">
      <c r="A778" s="142"/>
      <c r="B778" s="143"/>
      <c r="C778" s="136"/>
      <c r="D778" s="136"/>
      <c r="E778" s="143"/>
      <c r="F778" s="143"/>
      <c r="G778" s="143"/>
      <c r="H778" s="143"/>
      <c r="I778" s="143"/>
      <c r="J778" s="143"/>
      <c r="K778" s="145"/>
      <c r="L778" s="146"/>
      <c r="M778" s="136"/>
      <c r="N778" s="114"/>
      <c r="O778" s="136"/>
      <c r="P778" s="136"/>
      <c r="Q778" s="136"/>
      <c r="R778" s="136"/>
      <c r="S778" s="136"/>
      <c r="T778" s="136"/>
      <c r="U778" s="136"/>
      <c r="V778" s="136"/>
      <c r="W778" s="136"/>
      <c r="X778" s="136"/>
      <c r="Y778" s="136"/>
      <c r="Z778" s="136"/>
      <c r="AA778" s="136"/>
      <c r="AB778" s="102"/>
      <c r="AC778" s="102"/>
      <c r="AD778" s="103"/>
    </row>
    <row r="779" ht="15.75" customHeight="1">
      <c r="A779" s="147"/>
      <c r="B779" s="148"/>
      <c r="C779" s="133"/>
      <c r="D779" s="133"/>
      <c r="E779" s="148"/>
      <c r="F779" s="148"/>
      <c r="G779" s="148"/>
      <c r="H779" s="148"/>
      <c r="I779" s="148"/>
      <c r="J779" s="148"/>
      <c r="K779" s="150"/>
      <c r="L779" s="151"/>
      <c r="M779" s="133"/>
      <c r="N779" s="114"/>
      <c r="O779" s="133"/>
      <c r="P779" s="133"/>
      <c r="Q779" s="133"/>
      <c r="R779" s="133"/>
      <c r="S779" s="133"/>
      <c r="T779" s="133"/>
      <c r="U779" s="133"/>
      <c r="V779" s="133"/>
      <c r="W779" s="133"/>
      <c r="X779" s="133"/>
      <c r="Y779" s="133"/>
      <c r="Z779" s="133"/>
      <c r="AA779" s="133"/>
      <c r="AB779" s="102"/>
      <c r="AC779" s="102"/>
      <c r="AD779" s="103"/>
    </row>
    <row r="780" ht="15.75" customHeight="1">
      <c r="A780" s="142"/>
      <c r="B780" s="143"/>
      <c r="C780" s="136"/>
      <c r="D780" s="136"/>
      <c r="E780" s="143"/>
      <c r="F780" s="143"/>
      <c r="G780" s="143"/>
      <c r="H780" s="143"/>
      <c r="I780" s="143"/>
      <c r="J780" s="143"/>
      <c r="K780" s="145"/>
      <c r="L780" s="146"/>
      <c r="M780" s="136"/>
      <c r="N780" s="114"/>
      <c r="O780" s="136"/>
      <c r="P780" s="136"/>
      <c r="Q780" s="136"/>
      <c r="R780" s="136"/>
      <c r="S780" s="136"/>
      <c r="T780" s="136"/>
      <c r="U780" s="136"/>
      <c r="V780" s="136"/>
      <c r="W780" s="136"/>
      <c r="X780" s="136"/>
      <c r="Y780" s="136"/>
      <c r="Z780" s="136"/>
      <c r="AA780" s="136"/>
      <c r="AB780" s="102"/>
      <c r="AC780" s="102"/>
      <c r="AD780" s="103"/>
    </row>
    <row r="781" ht="15.75" customHeight="1">
      <c r="A781" s="147"/>
      <c r="B781" s="148"/>
      <c r="C781" s="133"/>
      <c r="D781" s="133"/>
      <c r="E781" s="148"/>
      <c r="F781" s="148"/>
      <c r="G781" s="148"/>
      <c r="H781" s="148"/>
      <c r="I781" s="148"/>
      <c r="J781" s="148"/>
      <c r="K781" s="150"/>
      <c r="L781" s="151"/>
      <c r="M781" s="133"/>
      <c r="N781" s="114"/>
      <c r="O781" s="133"/>
      <c r="P781" s="133"/>
      <c r="Q781" s="133"/>
      <c r="R781" s="133"/>
      <c r="S781" s="133"/>
      <c r="T781" s="133"/>
      <c r="U781" s="133"/>
      <c r="V781" s="133"/>
      <c r="W781" s="133"/>
      <c r="X781" s="133"/>
      <c r="Y781" s="133"/>
      <c r="Z781" s="133"/>
      <c r="AA781" s="133"/>
      <c r="AB781" s="102"/>
      <c r="AC781" s="102"/>
      <c r="AD781" s="103"/>
    </row>
    <row r="782" ht="15.75" customHeight="1">
      <c r="A782" s="142"/>
      <c r="B782" s="143"/>
      <c r="C782" s="136"/>
      <c r="D782" s="136"/>
      <c r="E782" s="143"/>
      <c r="F782" s="143"/>
      <c r="G782" s="143"/>
      <c r="H782" s="143"/>
      <c r="I782" s="143"/>
      <c r="J782" s="143"/>
      <c r="K782" s="145"/>
      <c r="L782" s="146"/>
      <c r="M782" s="136"/>
      <c r="N782" s="114"/>
      <c r="O782" s="136"/>
      <c r="P782" s="136"/>
      <c r="Q782" s="136"/>
      <c r="R782" s="136"/>
      <c r="S782" s="136"/>
      <c r="T782" s="136"/>
      <c r="U782" s="136"/>
      <c r="V782" s="136"/>
      <c r="W782" s="136"/>
      <c r="X782" s="136"/>
      <c r="Y782" s="136"/>
      <c r="Z782" s="136"/>
      <c r="AA782" s="136"/>
      <c r="AB782" s="102"/>
      <c r="AC782" s="102"/>
      <c r="AD782" s="103"/>
    </row>
    <row r="783" ht="15.75" customHeight="1">
      <c r="A783" s="147"/>
      <c r="B783" s="148"/>
      <c r="C783" s="133"/>
      <c r="D783" s="133"/>
      <c r="E783" s="148"/>
      <c r="F783" s="148"/>
      <c r="G783" s="148"/>
      <c r="H783" s="148"/>
      <c r="I783" s="148"/>
      <c r="J783" s="148"/>
      <c r="K783" s="150"/>
      <c r="L783" s="151"/>
      <c r="M783" s="133"/>
      <c r="N783" s="114"/>
      <c r="O783" s="133"/>
      <c r="P783" s="133"/>
      <c r="Q783" s="133"/>
      <c r="R783" s="133"/>
      <c r="S783" s="133"/>
      <c r="T783" s="133"/>
      <c r="U783" s="133"/>
      <c r="V783" s="133"/>
      <c r="W783" s="133"/>
      <c r="X783" s="133"/>
      <c r="Y783" s="133"/>
      <c r="Z783" s="133"/>
      <c r="AA783" s="133"/>
      <c r="AB783" s="102"/>
      <c r="AC783" s="102"/>
      <c r="AD783" s="103"/>
    </row>
    <row r="784" ht="15.75" customHeight="1">
      <c r="A784" s="142"/>
      <c r="B784" s="143"/>
      <c r="C784" s="136"/>
      <c r="D784" s="136"/>
      <c r="E784" s="143"/>
      <c r="F784" s="143"/>
      <c r="G784" s="143"/>
      <c r="H784" s="143"/>
      <c r="I784" s="143"/>
      <c r="J784" s="143"/>
      <c r="K784" s="145"/>
      <c r="L784" s="146"/>
      <c r="M784" s="136"/>
      <c r="N784" s="114"/>
      <c r="O784" s="136"/>
      <c r="P784" s="136"/>
      <c r="Q784" s="136"/>
      <c r="R784" s="136"/>
      <c r="S784" s="136"/>
      <c r="T784" s="136"/>
      <c r="U784" s="136"/>
      <c r="V784" s="136"/>
      <c r="W784" s="136"/>
      <c r="X784" s="136"/>
      <c r="Y784" s="136"/>
      <c r="Z784" s="136"/>
      <c r="AA784" s="136"/>
      <c r="AB784" s="102"/>
      <c r="AC784" s="102"/>
      <c r="AD784" s="103"/>
    </row>
    <row r="785" ht="15.75" customHeight="1">
      <c r="A785" s="147"/>
      <c r="B785" s="148"/>
      <c r="C785" s="133"/>
      <c r="D785" s="133"/>
      <c r="E785" s="148"/>
      <c r="F785" s="148"/>
      <c r="G785" s="148"/>
      <c r="H785" s="148"/>
      <c r="I785" s="148"/>
      <c r="J785" s="148"/>
      <c r="K785" s="150"/>
      <c r="L785" s="151"/>
      <c r="M785" s="133"/>
      <c r="N785" s="114"/>
      <c r="O785" s="133"/>
      <c r="P785" s="133"/>
      <c r="Q785" s="133"/>
      <c r="R785" s="133"/>
      <c r="S785" s="133"/>
      <c r="T785" s="133"/>
      <c r="U785" s="133"/>
      <c r="V785" s="133"/>
      <c r="W785" s="133"/>
      <c r="X785" s="133"/>
      <c r="Y785" s="133"/>
      <c r="Z785" s="133"/>
      <c r="AA785" s="133"/>
      <c r="AB785" s="102"/>
      <c r="AC785" s="102"/>
      <c r="AD785" s="103"/>
    </row>
    <row r="786" ht="15.75" customHeight="1">
      <c r="A786" s="142"/>
      <c r="B786" s="143"/>
      <c r="C786" s="136"/>
      <c r="D786" s="136"/>
      <c r="E786" s="143"/>
      <c r="F786" s="143"/>
      <c r="G786" s="143"/>
      <c r="H786" s="143"/>
      <c r="I786" s="143"/>
      <c r="J786" s="143"/>
      <c r="K786" s="145"/>
      <c r="L786" s="146"/>
      <c r="M786" s="136"/>
      <c r="N786" s="114"/>
      <c r="O786" s="136"/>
      <c r="P786" s="136"/>
      <c r="Q786" s="136"/>
      <c r="R786" s="136"/>
      <c r="S786" s="136"/>
      <c r="T786" s="136"/>
      <c r="U786" s="136"/>
      <c r="V786" s="136"/>
      <c r="W786" s="136"/>
      <c r="X786" s="136"/>
      <c r="Y786" s="136"/>
      <c r="Z786" s="136"/>
      <c r="AA786" s="136"/>
      <c r="AB786" s="102"/>
      <c r="AC786" s="102"/>
      <c r="AD786" s="103"/>
    </row>
    <row r="787" ht="15.75" customHeight="1">
      <c r="A787" s="147"/>
      <c r="B787" s="148"/>
      <c r="C787" s="133"/>
      <c r="D787" s="133"/>
      <c r="E787" s="148"/>
      <c r="F787" s="148"/>
      <c r="G787" s="148"/>
      <c r="H787" s="148"/>
      <c r="I787" s="148"/>
      <c r="J787" s="148"/>
      <c r="K787" s="150"/>
      <c r="L787" s="151"/>
      <c r="M787" s="133"/>
      <c r="N787" s="114"/>
      <c r="O787" s="133"/>
      <c r="P787" s="133"/>
      <c r="Q787" s="133"/>
      <c r="R787" s="133"/>
      <c r="S787" s="133"/>
      <c r="T787" s="133"/>
      <c r="U787" s="133"/>
      <c r="V787" s="133"/>
      <c r="W787" s="133"/>
      <c r="X787" s="133"/>
      <c r="Y787" s="133"/>
      <c r="Z787" s="133"/>
      <c r="AA787" s="133"/>
      <c r="AB787" s="102"/>
      <c r="AC787" s="102"/>
      <c r="AD787" s="103"/>
    </row>
    <row r="788" ht="15.75" customHeight="1">
      <c r="A788" s="142"/>
      <c r="B788" s="143"/>
      <c r="C788" s="136"/>
      <c r="D788" s="136"/>
      <c r="E788" s="143"/>
      <c r="F788" s="143"/>
      <c r="G788" s="143"/>
      <c r="H788" s="143"/>
      <c r="I788" s="143"/>
      <c r="J788" s="143"/>
      <c r="K788" s="145"/>
      <c r="L788" s="146"/>
      <c r="M788" s="136"/>
      <c r="N788" s="114"/>
      <c r="O788" s="136"/>
      <c r="P788" s="136"/>
      <c r="Q788" s="136"/>
      <c r="R788" s="136"/>
      <c r="S788" s="136"/>
      <c r="T788" s="136"/>
      <c r="U788" s="136"/>
      <c r="V788" s="136"/>
      <c r="W788" s="136"/>
      <c r="X788" s="136"/>
      <c r="Y788" s="136"/>
      <c r="Z788" s="136"/>
      <c r="AA788" s="136"/>
      <c r="AB788" s="102"/>
      <c r="AC788" s="102"/>
      <c r="AD788" s="103"/>
    </row>
    <row r="789" ht="15.75" customHeight="1">
      <c r="A789" s="147"/>
      <c r="B789" s="148"/>
      <c r="C789" s="133"/>
      <c r="D789" s="133"/>
      <c r="E789" s="148"/>
      <c r="F789" s="148"/>
      <c r="G789" s="148"/>
      <c r="H789" s="148"/>
      <c r="I789" s="148"/>
      <c r="J789" s="148"/>
      <c r="K789" s="150"/>
      <c r="L789" s="151"/>
      <c r="M789" s="133"/>
      <c r="N789" s="114"/>
      <c r="O789" s="133"/>
      <c r="P789" s="133"/>
      <c r="Q789" s="133"/>
      <c r="R789" s="133"/>
      <c r="S789" s="133"/>
      <c r="T789" s="133"/>
      <c r="U789" s="133"/>
      <c r="V789" s="133"/>
      <c r="W789" s="133"/>
      <c r="X789" s="133"/>
      <c r="Y789" s="133"/>
      <c r="Z789" s="133"/>
      <c r="AA789" s="133"/>
      <c r="AB789" s="102"/>
      <c r="AC789" s="102"/>
      <c r="AD789" s="103"/>
    </row>
    <row r="790" ht="15.75" customHeight="1">
      <c r="A790" s="142"/>
      <c r="B790" s="143"/>
      <c r="C790" s="136"/>
      <c r="D790" s="136"/>
      <c r="E790" s="143"/>
      <c r="F790" s="143"/>
      <c r="G790" s="143"/>
      <c r="H790" s="143"/>
      <c r="I790" s="143"/>
      <c r="J790" s="143"/>
      <c r="K790" s="145"/>
      <c r="L790" s="146"/>
      <c r="M790" s="136"/>
      <c r="N790" s="114"/>
      <c r="O790" s="136"/>
      <c r="P790" s="136"/>
      <c r="Q790" s="136"/>
      <c r="R790" s="136"/>
      <c r="S790" s="136"/>
      <c r="T790" s="136"/>
      <c r="U790" s="136"/>
      <c r="V790" s="136"/>
      <c r="W790" s="136"/>
      <c r="X790" s="136"/>
      <c r="Y790" s="136"/>
      <c r="Z790" s="136"/>
      <c r="AA790" s="136"/>
      <c r="AB790" s="102"/>
      <c r="AC790" s="102"/>
      <c r="AD790" s="103"/>
    </row>
    <row r="791" ht="15.75" customHeight="1">
      <c r="A791" s="147"/>
      <c r="B791" s="148"/>
      <c r="C791" s="133"/>
      <c r="D791" s="133"/>
      <c r="E791" s="148"/>
      <c r="F791" s="148"/>
      <c r="G791" s="148"/>
      <c r="H791" s="148"/>
      <c r="I791" s="148"/>
      <c r="J791" s="148"/>
      <c r="K791" s="150"/>
      <c r="L791" s="151"/>
      <c r="M791" s="133"/>
      <c r="N791" s="114"/>
      <c r="O791" s="133"/>
      <c r="P791" s="133"/>
      <c r="Q791" s="133"/>
      <c r="R791" s="133"/>
      <c r="S791" s="133"/>
      <c r="T791" s="133"/>
      <c r="U791" s="133"/>
      <c r="V791" s="133"/>
      <c r="W791" s="133"/>
      <c r="X791" s="133"/>
      <c r="Y791" s="133"/>
      <c r="Z791" s="133"/>
      <c r="AA791" s="133"/>
      <c r="AB791" s="102"/>
      <c r="AC791" s="102"/>
      <c r="AD791" s="103"/>
    </row>
    <row r="792" ht="15.75" customHeight="1">
      <c r="A792" s="142"/>
      <c r="B792" s="143"/>
      <c r="C792" s="136"/>
      <c r="D792" s="136"/>
      <c r="E792" s="143"/>
      <c r="F792" s="143"/>
      <c r="G792" s="143"/>
      <c r="H792" s="143"/>
      <c r="I792" s="143"/>
      <c r="J792" s="143"/>
      <c r="K792" s="145"/>
      <c r="L792" s="146"/>
      <c r="M792" s="136"/>
      <c r="N792" s="114"/>
      <c r="O792" s="136"/>
      <c r="P792" s="136"/>
      <c r="Q792" s="136"/>
      <c r="R792" s="136"/>
      <c r="S792" s="136"/>
      <c r="T792" s="136"/>
      <c r="U792" s="136"/>
      <c r="V792" s="136"/>
      <c r="W792" s="136"/>
      <c r="X792" s="136"/>
      <c r="Y792" s="136"/>
      <c r="Z792" s="136"/>
      <c r="AA792" s="136"/>
      <c r="AB792" s="102"/>
      <c r="AC792" s="102"/>
      <c r="AD792" s="103"/>
    </row>
    <row r="793" ht="15.75" customHeight="1">
      <c r="A793" s="147"/>
      <c r="B793" s="148"/>
      <c r="C793" s="133"/>
      <c r="D793" s="133"/>
      <c r="E793" s="148"/>
      <c r="F793" s="148"/>
      <c r="G793" s="148"/>
      <c r="H793" s="148"/>
      <c r="I793" s="148"/>
      <c r="J793" s="148"/>
      <c r="K793" s="150"/>
      <c r="L793" s="151"/>
      <c r="M793" s="133"/>
      <c r="N793" s="114"/>
      <c r="O793" s="133"/>
      <c r="P793" s="133"/>
      <c r="Q793" s="133"/>
      <c r="R793" s="133"/>
      <c r="S793" s="133"/>
      <c r="T793" s="133"/>
      <c r="U793" s="133"/>
      <c r="V793" s="133"/>
      <c r="W793" s="133"/>
      <c r="X793" s="133"/>
      <c r="Y793" s="133"/>
      <c r="Z793" s="133"/>
      <c r="AA793" s="133"/>
      <c r="AB793" s="102"/>
      <c r="AC793" s="102"/>
      <c r="AD793" s="103"/>
    </row>
    <row r="794" ht="15.75" customHeight="1">
      <c r="A794" s="142"/>
      <c r="B794" s="143"/>
      <c r="C794" s="136"/>
      <c r="D794" s="136"/>
      <c r="E794" s="143"/>
      <c r="F794" s="143"/>
      <c r="G794" s="143"/>
      <c r="H794" s="143"/>
      <c r="I794" s="143"/>
      <c r="J794" s="143"/>
      <c r="K794" s="145"/>
      <c r="L794" s="146"/>
      <c r="M794" s="136"/>
      <c r="N794" s="114"/>
      <c r="O794" s="136"/>
      <c r="P794" s="136"/>
      <c r="Q794" s="136"/>
      <c r="R794" s="136"/>
      <c r="S794" s="136"/>
      <c r="T794" s="136"/>
      <c r="U794" s="136"/>
      <c r="V794" s="136"/>
      <c r="W794" s="136"/>
      <c r="X794" s="136"/>
      <c r="Y794" s="136"/>
      <c r="Z794" s="136"/>
      <c r="AA794" s="136"/>
      <c r="AB794" s="102"/>
      <c r="AC794" s="102"/>
      <c r="AD794" s="103"/>
    </row>
    <row r="795" ht="15.75" customHeight="1">
      <c r="A795" s="147"/>
      <c r="B795" s="148"/>
      <c r="C795" s="133"/>
      <c r="D795" s="133"/>
      <c r="E795" s="148"/>
      <c r="F795" s="148"/>
      <c r="G795" s="148"/>
      <c r="H795" s="148"/>
      <c r="I795" s="148"/>
      <c r="J795" s="148"/>
      <c r="K795" s="150"/>
      <c r="L795" s="151"/>
      <c r="M795" s="133"/>
      <c r="N795" s="114"/>
      <c r="O795" s="133"/>
      <c r="P795" s="133"/>
      <c r="Q795" s="133"/>
      <c r="R795" s="133"/>
      <c r="S795" s="133"/>
      <c r="T795" s="133"/>
      <c r="U795" s="133"/>
      <c r="V795" s="133"/>
      <c r="W795" s="133"/>
      <c r="X795" s="133"/>
      <c r="Y795" s="133"/>
      <c r="Z795" s="133"/>
      <c r="AA795" s="133"/>
      <c r="AB795" s="102"/>
      <c r="AC795" s="102"/>
      <c r="AD795" s="103"/>
    </row>
    <row r="796" ht="15.75" customHeight="1">
      <c r="A796" s="142"/>
      <c r="B796" s="143"/>
      <c r="C796" s="136"/>
      <c r="D796" s="136"/>
      <c r="E796" s="143"/>
      <c r="F796" s="143"/>
      <c r="G796" s="143"/>
      <c r="H796" s="143"/>
      <c r="I796" s="143"/>
      <c r="J796" s="143"/>
      <c r="K796" s="145"/>
      <c r="L796" s="146"/>
      <c r="M796" s="136"/>
      <c r="N796" s="114"/>
      <c r="O796" s="136"/>
      <c r="P796" s="136"/>
      <c r="Q796" s="136"/>
      <c r="R796" s="136"/>
      <c r="S796" s="136"/>
      <c r="T796" s="136"/>
      <c r="U796" s="136"/>
      <c r="V796" s="136"/>
      <c r="W796" s="136"/>
      <c r="X796" s="136"/>
      <c r="Y796" s="136"/>
      <c r="Z796" s="136"/>
      <c r="AA796" s="136"/>
      <c r="AB796" s="102"/>
      <c r="AC796" s="102"/>
      <c r="AD796" s="103"/>
    </row>
    <row r="797" ht="15.75" customHeight="1">
      <c r="A797" s="147"/>
      <c r="B797" s="148"/>
      <c r="C797" s="133"/>
      <c r="D797" s="133"/>
      <c r="E797" s="148"/>
      <c r="F797" s="148"/>
      <c r="G797" s="148"/>
      <c r="H797" s="148"/>
      <c r="I797" s="148"/>
      <c r="J797" s="148"/>
      <c r="K797" s="150"/>
      <c r="L797" s="151"/>
      <c r="M797" s="133"/>
      <c r="N797" s="114"/>
      <c r="O797" s="133"/>
      <c r="P797" s="133"/>
      <c r="Q797" s="133"/>
      <c r="R797" s="133"/>
      <c r="S797" s="133"/>
      <c r="T797" s="133"/>
      <c r="U797" s="133"/>
      <c r="V797" s="133"/>
      <c r="W797" s="133"/>
      <c r="X797" s="133"/>
      <c r="Y797" s="133"/>
      <c r="Z797" s="133"/>
      <c r="AA797" s="133"/>
      <c r="AB797" s="102"/>
      <c r="AC797" s="102"/>
      <c r="AD797" s="103"/>
    </row>
    <row r="798" ht="15.75" customHeight="1">
      <c r="A798" s="142"/>
      <c r="B798" s="143"/>
      <c r="C798" s="136"/>
      <c r="D798" s="136"/>
      <c r="E798" s="143"/>
      <c r="F798" s="143"/>
      <c r="G798" s="143"/>
      <c r="H798" s="143"/>
      <c r="I798" s="143"/>
      <c r="J798" s="143"/>
      <c r="K798" s="145"/>
      <c r="L798" s="146"/>
      <c r="M798" s="136"/>
      <c r="N798" s="114"/>
      <c r="O798" s="136"/>
      <c r="P798" s="136"/>
      <c r="Q798" s="136"/>
      <c r="R798" s="136"/>
      <c r="S798" s="136"/>
      <c r="T798" s="136"/>
      <c r="U798" s="136"/>
      <c r="V798" s="136"/>
      <c r="W798" s="136"/>
      <c r="X798" s="136"/>
      <c r="Y798" s="136"/>
      <c r="Z798" s="136"/>
      <c r="AA798" s="136"/>
      <c r="AB798" s="102"/>
      <c r="AC798" s="102"/>
      <c r="AD798" s="103"/>
    </row>
    <row r="799" ht="15.75" customHeight="1">
      <c r="A799" s="147"/>
      <c r="B799" s="148"/>
      <c r="C799" s="133"/>
      <c r="D799" s="133"/>
      <c r="E799" s="148"/>
      <c r="F799" s="148"/>
      <c r="G799" s="148"/>
      <c r="H799" s="148"/>
      <c r="I799" s="148"/>
      <c r="J799" s="148"/>
      <c r="K799" s="150"/>
      <c r="L799" s="151"/>
      <c r="M799" s="133"/>
      <c r="N799" s="114"/>
      <c r="O799" s="133"/>
      <c r="P799" s="133"/>
      <c r="Q799" s="133"/>
      <c r="R799" s="133"/>
      <c r="S799" s="133"/>
      <c r="T799" s="133"/>
      <c r="U799" s="133"/>
      <c r="V799" s="133"/>
      <c r="W799" s="133"/>
      <c r="X799" s="133"/>
      <c r="Y799" s="133"/>
      <c r="Z799" s="133"/>
      <c r="AA799" s="133"/>
      <c r="AB799" s="102"/>
      <c r="AC799" s="102"/>
      <c r="AD799" s="103"/>
    </row>
    <row r="800" ht="15.75" customHeight="1">
      <c r="A800" s="142"/>
      <c r="B800" s="143"/>
      <c r="C800" s="136"/>
      <c r="D800" s="136"/>
      <c r="E800" s="143"/>
      <c r="F800" s="143"/>
      <c r="G800" s="143"/>
      <c r="H800" s="143"/>
      <c r="I800" s="143"/>
      <c r="J800" s="143"/>
      <c r="K800" s="145"/>
      <c r="L800" s="146"/>
      <c r="M800" s="136"/>
      <c r="N800" s="114"/>
      <c r="O800" s="136"/>
      <c r="P800" s="136"/>
      <c r="Q800" s="136"/>
      <c r="R800" s="136"/>
      <c r="S800" s="136"/>
      <c r="T800" s="136"/>
      <c r="U800" s="136"/>
      <c r="V800" s="136"/>
      <c r="W800" s="136"/>
      <c r="X800" s="136"/>
      <c r="Y800" s="136"/>
      <c r="Z800" s="136"/>
      <c r="AA800" s="136"/>
      <c r="AB800" s="102"/>
      <c r="AC800" s="102"/>
      <c r="AD800" s="103"/>
    </row>
    <row r="801" ht="15.75" customHeight="1">
      <c r="A801" s="147"/>
      <c r="B801" s="148"/>
      <c r="C801" s="133"/>
      <c r="D801" s="133"/>
      <c r="E801" s="148"/>
      <c r="F801" s="148"/>
      <c r="G801" s="148"/>
      <c r="H801" s="148"/>
      <c r="I801" s="148"/>
      <c r="J801" s="148"/>
      <c r="K801" s="150"/>
      <c r="L801" s="151"/>
      <c r="M801" s="133"/>
      <c r="N801" s="114"/>
      <c r="O801" s="133"/>
      <c r="P801" s="133"/>
      <c r="Q801" s="133"/>
      <c r="R801" s="133"/>
      <c r="S801" s="133"/>
      <c r="T801" s="133"/>
      <c r="U801" s="133"/>
      <c r="V801" s="133"/>
      <c r="W801" s="133"/>
      <c r="X801" s="133"/>
      <c r="Y801" s="133"/>
      <c r="Z801" s="133"/>
      <c r="AA801" s="133"/>
      <c r="AB801" s="102"/>
      <c r="AC801" s="102"/>
      <c r="AD801" s="103"/>
    </row>
    <row r="802" ht="15.75" customHeight="1">
      <c r="A802" s="142"/>
      <c r="B802" s="143"/>
      <c r="C802" s="136"/>
      <c r="D802" s="136"/>
      <c r="E802" s="143"/>
      <c r="F802" s="143"/>
      <c r="G802" s="143"/>
      <c r="H802" s="143"/>
      <c r="I802" s="143"/>
      <c r="J802" s="143"/>
      <c r="K802" s="145"/>
      <c r="L802" s="146"/>
      <c r="M802" s="136"/>
      <c r="N802" s="114"/>
      <c r="O802" s="136"/>
      <c r="P802" s="136"/>
      <c r="Q802" s="136"/>
      <c r="R802" s="136"/>
      <c r="S802" s="136"/>
      <c r="T802" s="136"/>
      <c r="U802" s="136"/>
      <c r="V802" s="136"/>
      <c r="W802" s="136"/>
      <c r="X802" s="136"/>
      <c r="Y802" s="136"/>
      <c r="Z802" s="136"/>
      <c r="AA802" s="136"/>
      <c r="AB802" s="102"/>
      <c r="AC802" s="102"/>
      <c r="AD802" s="103"/>
    </row>
    <row r="803" ht="15.75" customHeight="1">
      <c r="A803" s="147"/>
      <c r="B803" s="148"/>
      <c r="C803" s="133"/>
      <c r="D803" s="133"/>
      <c r="E803" s="148"/>
      <c r="F803" s="148"/>
      <c r="G803" s="148"/>
      <c r="H803" s="148"/>
      <c r="I803" s="148"/>
      <c r="J803" s="148"/>
      <c r="K803" s="150"/>
      <c r="L803" s="151"/>
      <c r="M803" s="133"/>
      <c r="N803" s="114"/>
      <c r="O803" s="133"/>
      <c r="P803" s="133"/>
      <c r="Q803" s="133"/>
      <c r="R803" s="133"/>
      <c r="S803" s="133"/>
      <c r="T803" s="133"/>
      <c r="U803" s="133"/>
      <c r="V803" s="133"/>
      <c r="W803" s="133"/>
      <c r="X803" s="133"/>
      <c r="Y803" s="133"/>
      <c r="Z803" s="133"/>
      <c r="AA803" s="133"/>
      <c r="AB803" s="102"/>
      <c r="AC803" s="102"/>
      <c r="AD803" s="103"/>
    </row>
    <row r="804" ht="15.75" customHeight="1">
      <c r="A804" s="142"/>
      <c r="B804" s="143"/>
      <c r="C804" s="136"/>
      <c r="D804" s="136"/>
      <c r="E804" s="143"/>
      <c r="F804" s="143"/>
      <c r="G804" s="143"/>
      <c r="H804" s="143"/>
      <c r="I804" s="143"/>
      <c r="J804" s="143"/>
      <c r="K804" s="145"/>
      <c r="L804" s="146"/>
      <c r="M804" s="136"/>
      <c r="N804" s="114"/>
      <c r="O804" s="136"/>
      <c r="P804" s="136"/>
      <c r="Q804" s="136"/>
      <c r="R804" s="136"/>
      <c r="S804" s="136"/>
      <c r="T804" s="136"/>
      <c r="U804" s="136"/>
      <c r="V804" s="136"/>
      <c r="W804" s="136"/>
      <c r="X804" s="136"/>
      <c r="Y804" s="136"/>
      <c r="Z804" s="136"/>
      <c r="AA804" s="136"/>
      <c r="AB804" s="102"/>
      <c r="AC804" s="102"/>
      <c r="AD804" s="103"/>
    </row>
    <row r="805" ht="15.75" customHeight="1">
      <c r="A805" s="147"/>
      <c r="B805" s="148"/>
      <c r="C805" s="133"/>
      <c r="D805" s="133"/>
      <c r="E805" s="148"/>
      <c r="F805" s="148"/>
      <c r="G805" s="148"/>
      <c r="H805" s="148"/>
      <c r="I805" s="148"/>
      <c r="J805" s="148"/>
      <c r="K805" s="150"/>
      <c r="L805" s="151"/>
      <c r="M805" s="133"/>
      <c r="N805" s="114"/>
      <c r="O805" s="133"/>
      <c r="P805" s="133"/>
      <c r="Q805" s="133"/>
      <c r="R805" s="133"/>
      <c r="S805" s="133"/>
      <c r="T805" s="133"/>
      <c r="U805" s="133"/>
      <c r="V805" s="133"/>
      <c r="W805" s="133"/>
      <c r="X805" s="133"/>
      <c r="Y805" s="133"/>
      <c r="Z805" s="133"/>
      <c r="AA805" s="133"/>
      <c r="AB805" s="102"/>
      <c r="AC805" s="102"/>
      <c r="AD805" s="103"/>
    </row>
    <row r="806" ht="15.75" customHeight="1">
      <c r="A806" s="142"/>
      <c r="B806" s="143"/>
      <c r="C806" s="136"/>
      <c r="D806" s="136"/>
      <c r="E806" s="143"/>
      <c r="F806" s="143"/>
      <c r="G806" s="143"/>
      <c r="H806" s="143"/>
      <c r="I806" s="143"/>
      <c r="J806" s="143"/>
      <c r="K806" s="145"/>
      <c r="L806" s="146"/>
      <c r="M806" s="136"/>
      <c r="N806" s="114"/>
      <c r="O806" s="136"/>
      <c r="P806" s="136"/>
      <c r="Q806" s="136"/>
      <c r="R806" s="136"/>
      <c r="S806" s="136"/>
      <c r="T806" s="136"/>
      <c r="U806" s="136"/>
      <c r="V806" s="136"/>
      <c r="W806" s="136"/>
      <c r="X806" s="136"/>
      <c r="Y806" s="136"/>
      <c r="Z806" s="136"/>
      <c r="AA806" s="136"/>
      <c r="AB806" s="102"/>
      <c r="AC806" s="102"/>
      <c r="AD806" s="103"/>
    </row>
    <row r="807" ht="15.75" customHeight="1">
      <c r="A807" s="147"/>
      <c r="B807" s="148"/>
      <c r="C807" s="133"/>
      <c r="D807" s="133"/>
      <c r="E807" s="148"/>
      <c r="F807" s="148"/>
      <c r="G807" s="148"/>
      <c r="H807" s="148"/>
      <c r="I807" s="148"/>
      <c r="J807" s="148"/>
      <c r="K807" s="150"/>
      <c r="L807" s="151"/>
      <c r="M807" s="133"/>
      <c r="N807" s="114"/>
      <c r="O807" s="133"/>
      <c r="P807" s="133"/>
      <c r="Q807" s="133"/>
      <c r="R807" s="133"/>
      <c r="S807" s="133"/>
      <c r="T807" s="133"/>
      <c r="U807" s="133"/>
      <c r="V807" s="133"/>
      <c r="W807" s="133"/>
      <c r="X807" s="133"/>
      <c r="Y807" s="133"/>
      <c r="Z807" s="133"/>
      <c r="AA807" s="133"/>
      <c r="AB807" s="102"/>
      <c r="AC807" s="102"/>
      <c r="AD807" s="103"/>
    </row>
    <row r="808" ht="15.75" customHeight="1">
      <c r="A808" s="142"/>
      <c r="B808" s="143"/>
      <c r="C808" s="136"/>
      <c r="D808" s="136"/>
      <c r="E808" s="143"/>
      <c r="F808" s="143"/>
      <c r="G808" s="143"/>
      <c r="H808" s="143"/>
      <c r="I808" s="143"/>
      <c r="J808" s="143"/>
      <c r="K808" s="145"/>
      <c r="L808" s="146"/>
      <c r="M808" s="136"/>
      <c r="N808" s="114"/>
      <c r="O808" s="136"/>
      <c r="P808" s="136"/>
      <c r="Q808" s="136"/>
      <c r="R808" s="136"/>
      <c r="S808" s="136"/>
      <c r="T808" s="136"/>
      <c r="U808" s="136"/>
      <c r="V808" s="136"/>
      <c r="W808" s="136"/>
      <c r="X808" s="136"/>
      <c r="Y808" s="136"/>
      <c r="Z808" s="136"/>
      <c r="AA808" s="136"/>
      <c r="AB808" s="102"/>
      <c r="AC808" s="102"/>
      <c r="AD808" s="103"/>
    </row>
    <row r="809" ht="15.75" customHeight="1">
      <c r="A809" s="147"/>
      <c r="B809" s="148"/>
      <c r="C809" s="133"/>
      <c r="D809" s="133"/>
      <c r="E809" s="148"/>
      <c r="F809" s="148"/>
      <c r="G809" s="148"/>
      <c r="H809" s="148"/>
      <c r="I809" s="148"/>
      <c r="J809" s="148"/>
      <c r="K809" s="150"/>
      <c r="L809" s="151"/>
      <c r="M809" s="133"/>
      <c r="N809" s="114"/>
      <c r="O809" s="133"/>
      <c r="P809" s="133"/>
      <c r="Q809" s="133"/>
      <c r="R809" s="133"/>
      <c r="S809" s="133"/>
      <c r="T809" s="133"/>
      <c r="U809" s="133"/>
      <c r="V809" s="133"/>
      <c r="W809" s="133"/>
      <c r="X809" s="133"/>
      <c r="Y809" s="133"/>
      <c r="Z809" s="133"/>
      <c r="AA809" s="133"/>
      <c r="AB809" s="102"/>
      <c r="AC809" s="102"/>
      <c r="AD809" s="103"/>
    </row>
    <row r="810" ht="15.75" customHeight="1">
      <c r="A810" s="142"/>
      <c r="B810" s="143"/>
      <c r="C810" s="136"/>
      <c r="D810" s="136"/>
      <c r="E810" s="143"/>
      <c r="F810" s="143"/>
      <c r="G810" s="143"/>
      <c r="H810" s="143"/>
      <c r="I810" s="143"/>
      <c r="J810" s="143"/>
      <c r="K810" s="145"/>
      <c r="L810" s="146"/>
      <c r="M810" s="136"/>
      <c r="N810" s="114"/>
      <c r="O810" s="136"/>
      <c r="P810" s="136"/>
      <c r="Q810" s="136"/>
      <c r="R810" s="136"/>
      <c r="S810" s="136"/>
      <c r="T810" s="136"/>
      <c r="U810" s="136"/>
      <c r="V810" s="136"/>
      <c r="W810" s="136"/>
      <c r="X810" s="136"/>
      <c r="Y810" s="136"/>
      <c r="Z810" s="136"/>
      <c r="AA810" s="136"/>
      <c r="AB810" s="102"/>
      <c r="AC810" s="102"/>
      <c r="AD810" s="103"/>
    </row>
    <row r="811" ht="15.75" customHeight="1">
      <c r="A811" s="147"/>
      <c r="B811" s="148"/>
      <c r="C811" s="133"/>
      <c r="D811" s="133"/>
      <c r="E811" s="148"/>
      <c r="F811" s="148"/>
      <c r="G811" s="148"/>
      <c r="H811" s="148"/>
      <c r="I811" s="148"/>
      <c r="J811" s="148"/>
      <c r="K811" s="150"/>
      <c r="L811" s="151"/>
      <c r="M811" s="133"/>
      <c r="N811" s="114"/>
      <c r="O811" s="133"/>
      <c r="P811" s="133"/>
      <c r="Q811" s="133"/>
      <c r="R811" s="133"/>
      <c r="S811" s="133"/>
      <c r="T811" s="133"/>
      <c r="U811" s="133"/>
      <c r="V811" s="133"/>
      <c r="W811" s="133"/>
      <c r="X811" s="133"/>
      <c r="Y811" s="133"/>
      <c r="Z811" s="133"/>
      <c r="AA811" s="133"/>
      <c r="AB811" s="102"/>
      <c r="AC811" s="102"/>
      <c r="AD811" s="103"/>
    </row>
    <row r="812" ht="15.75" customHeight="1">
      <c r="A812" s="142"/>
      <c r="B812" s="143"/>
      <c r="C812" s="136"/>
      <c r="D812" s="136"/>
      <c r="E812" s="143"/>
      <c r="F812" s="143"/>
      <c r="G812" s="143"/>
      <c r="H812" s="143"/>
      <c r="I812" s="143"/>
      <c r="J812" s="143"/>
      <c r="K812" s="145"/>
      <c r="L812" s="146"/>
      <c r="M812" s="136"/>
      <c r="N812" s="114"/>
      <c r="O812" s="136"/>
      <c r="P812" s="136"/>
      <c r="Q812" s="136"/>
      <c r="R812" s="136"/>
      <c r="S812" s="136"/>
      <c r="T812" s="136"/>
      <c r="U812" s="136"/>
      <c r="V812" s="136"/>
      <c r="W812" s="136"/>
      <c r="X812" s="136"/>
      <c r="Y812" s="136"/>
      <c r="Z812" s="136"/>
      <c r="AA812" s="136"/>
      <c r="AB812" s="102"/>
      <c r="AC812" s="102"/>
      <c r="AD812" s="103"/>
    </row>
    <row r="813" ht="15.75" customHeight="1">
      <c r="A813" s="147"/>
      <c r="B813" s="148"/>
      <c r="C813" s="133"/>
      <c r="D813" s="133"/>
      <c r="E813" s="148"/>
      <c r="F813" s="148"/>
      <c r="G813" s="148"/>
      <c r="H813" s="148"/>
      <c r="I813" s="148"/>
      <c r="J813" s="148"/>
      <c r="K813" s="150"/>
      <c r="L813" s="151"/>
      <c r="M813" s="133"/>
      <c r="N813" s="114"/>
      <c r="O813" s="133"/>
      <c r="P813" s="133"/>
      <c r="Q813" s="133"/>
      <c r="R813" s="133"/>
      <c r="S813" s="133"/>
      <c r="T813" s="133"/>
      <c r="U813" s="133"/>
      <c r="V813" s="133"/>
      <c r="W813" s="133"/>
      <c r="X813" s="133"/>
      <c r="Y813" s="133"/>
      <c r="Z813" s="133"/>
      <c r="AA813" s="133"/>
      <c r="AB813" s="102"/>
      <c r="AC813" s="102"/>
      <c r="AD813" s="103"/>
    </row>
    <row r="814" ht="15.75" customHeight="1">
      <c r="A814" s="142"/>
      <c r="B814" s="143"/>
      <c r="C814" s="136"/>
      <c r="D814" s="136"/>
      <c r="E814" s="143"/>
      <c r="F814" s="143"/>
      <c r="G814" s="143"/>
      <c r="H814" s="143"/>
      <c r="I814" s="143"/>
      <c r="J814" s="143"/>
      <c r="K814" s="145"/>
      <c r="L814" s="146"/>
      <c r="M814" s="136"/>
      <c r="N814" s="114"/>
      <c r="O814" s="136"/>
      <c r="P814" s="136"/>
      <c r="Q814" s="136"/>
      <c r="R814" s="136"/>
      <c r="S814" s="136"/>
      <c r="T814" s="136"/>
      <c r="U814" s="136"/>
      <c r="V814" s="136"/>
      <c r="W814" s="136"/>
      <c r="X814" s="136"/>
      <c r="Y814" s="136"/>
      <c r="Z814" s="136"/>
      <c r="AA814" s="136"/>
      <c r="AB814" s="102"/>
      <c r="AC814" s="102"/>
      <c r="AD814" s="103"/>
    </row>
    <row r="815" ht="15.75" customHeight="1">
      <c r="A815" s="147"/>
      <c r="B815" s="148"/>
      <c r="C815" s="133"/>
      <c r="D815" s="133"/>
      <c r="E815" s="148"/>
      <c r="F815" s="148"/>
      <c r="G815" s="148"/>
      <c r="H815" s="148"/>
      <c r="I815" s="148"/>
      <c r="J815" s="148"/>
      <c r="K815" s="150"/>
      <c r="L815" s="151"/>
      <c r="M815" s="133"/>
      <c r="N815" s="114"/>
      <c r="O815" s="133"/>
      <c r="P815" s="133"/>
      <c r="Q815" s="133"/>
      <c r="R815" s="133"/>
      <c r="S815" s="133"/>
      <c r="T815" s="133"/>
      <c r="U815" s="133"/>
      <c r="V815" s="133"/>
      <c r="W815" s="133"/>
      <c r="X815" s="133"/>
      <c r="Y815" s="133"/>
      <c r="Z815" s="133"/>
      <c r="AA815" s="133"/>
      <c r="AB815" s="102"/>
      <c r="AC815" s="102"/>
      <c r="AD815" s="103"/>
    </row>
    <row r="816" ht="15.75" customHeight="1">
      <c r="A816" s="142"/>
      <c r="B816" s="143"/>
      <c r="C816" s="136"/>
      <c r="D816" s="136"/>
      <c r="E816" s="143"/>
      <c r="F816" s="143"/>
      <c r="G816" s="143"/>
      <c r="H816" s="143"/>
      <c r="I816" s="143"/>
      <c r="J816" s="143"/>
      <c r="K816" s="145"/>
      <c r="L816" s="146"/>
      <c r="M816" s="136"/>
      <c r="N816" s="114"/>
      <c r="O816" s="136"/>
      <c r="P816" s="136"/>
      <c r="Q816" s="136"/>
      <c r="R816" s="136"/>
      <c r="S816" s="136"/>
      <c r="T816" s="136"/>
      <c r="U816" s="136"/>
      <c r="V816" s="136"/>
      <c r="W816" s="136"/>
      <c r="X816" s="136"/>
      <c r="Y816" s="136"/>
      <c r="Z816" s="136"/>
      <c r="AA816" s="136"/>
      <c r="AB816" s="102"/>
      <c r="AC816" s="102"/>
      <c r="AD816" s="103"/>
    </row>
    <row r="817" ht="15.75" customHeight="1">
      <c r="A817" s="147"/>
      <c r="B817" s="148"/>
      <c r="C817" s="133"/>
      <c r="D817" s="133"/>
      <c r="E817" s="148"/>
      <c r="F817" s="148"/>
      <c r="G817" s="148"/>
      <c r="H817" s="148"/>
      <c r="I817" s="148"/>
      <c r="J817" s="148"/>
      <c r="K817" s="150"/>
      <c r="L817" s="151"/>
      <c r="M817" s="133"/>
      <c r="N817" s="114"/>
      <c r="O817" s="133"/>
      <c r="P817" s="133"/>
      <c r="Q817" s="133"/>
      <c r="R817" s="133"/>
      <c r="S817" s="133"/>
      <c r="T817" s="133"/>
      <c r="U817" s="133"/>
      <c r="V817" s="133"/>
      <c r="W817" s="133"/>
      <c r="X817" s="133"/>
      <c r="Y817" s="133"/>
      <c r="Z817" s="133"/>
      <c r="AA817" s="133"/>
      <c r="AB817" s="102"/>
      <c r="AC817" s="102"/>
      <c r="AD817" s="103"/>
    </row>
    <row r="818" ht="15.75" customHeight="1">
      <c r="A818" s="142"/>
      <c r="B818" s="143"/>
      <c r="C818" s="136"/>
      <c r="D818" s="136"/>
      <c r="E818" s="143"/>
      <c r="F818" s="143"/>
      <c r="G818" s="143"/>
      <c r="H818" s="143"/>
      <c r="I818" s="143"/>
      <c r="J818" s="143"/>
      <c r="K818" s="145"/>
      <c r="L818" s="146"/>
      <c r="M818" s="136"/>
      <c r="N818" s="114"/>
      <c r="O818" s="136"/>
      <c r="P818" s="136"/>
      <c r="Q818" s="136"/>
      <c r="R818" s="136"/>
      <c r="S818" s="136"/>
      <c r="T818" s="136"/>
      <c r="U818" s="136"/>
      <c r="V818" s="136"/>
      <c r="W818" s="136"/>
      <c r="X818" s="136"/>
      <c r="Y818" s="136"/>
      <c r="Z818" s="136"/>
      <c r="AA818" s="136"/>
      <c r="AB818" s="102"/>
      <c r="AC818" s="102"/>
      <c r="AD818" s="103"/>
    </row>
    <row r="819" ht="15.75" customHeight="1">
      <c r="A819" s="147"/>
      <c r="B819" s="148"/>
      <c r="C819" s="133"/>
      <c r="D819" s="133"/>
      <c r="E819" s="148"/>
      <c r="F819" s="148"/>
      <c r="G819" s="148"/>
      <c r="H819" s="148"/>
      <c r="I819" s="148"/>
      <c r="J819" s="148"/>
      <c r="K819" s="150"/>
      <c r="L819" s="151"/>
      <c r="M819" s="133"/>
      <c r="N819" s="114"/>
      <c r="O819" s="133"/>
      <c r="P819" s="133"/>
      <c r="Q819" s="133"/>
      <c r="R819" s="133"/>
      <c r="S819" s="133"/>
      <c r="T819" s="133"/>
      <c r="U819" s="133"/>
      <c r="V819" s="133"/>
      <c r="W819" s="133"/>
      <c r="X819" s="133"/>
      <c r="Y819" s="133"/>
      <c r="Z819" s="133"/>
      <c r="AA819" s="133"/>
      <c r="AB819" s="102"/>
      <c r="AC819" s="102"/>
      <c r="AD819" s="103"/>
    </row>
    <row r="820" ht="15.75" customHeight="1">
      <c r="A820" s="142"/>
      <c r="B820" s="143"/>
      <c r="C820" s="136"/>
      <c r="D820" s="136"/>
      <c r="E820" s="143"/>
      <c r="F820" s="143"/>
      <c r="G820" s="143"/>
      <c r="H820" s="143"/>
      <c r="I820" s="143"/>
      <c r="J820" s="143"/>
      <c r="K820" s="145"/>
      <c r="L820" s="146"/>
      <c r="M820" s="136"/>
      <c r="N820" s="114"/>
      <c r="O820" s="136"/>
      <c r="P820" s="136"/>
      <c r="Q820" s="136"/>
      <c r="R820" s="136"/>
      <c r="S820" s="136"/>
      <c r="T820" s="136"/>
      <c r="U820" s="136"/>
      <c r="V820" s="136"/>
      <c r="W820" s="136"/>
      <c r="X820" s="136"/>
      <c r="Y820" s="136"/>
      <c r="Z820" s="136"/>
      <c r="AA820" s="136"/>
      <c r="AB820" s="102"/>
      <c r="AC820" s="102"/>
      <c r="AD820" s="103"/>
    </row>
    <row r="821" ht="15.75" customHeight="1">
      <c r="A821" s="147"/>
      <c r="B821" s="148"/>
      <c r="C821" s="133"/>
      <c r="D821" s="133"/>
      <c r="E821" s="148"/>
      <c r="F821" s="148"/>
      <c r="G821" s="148"/>
      <c r="H821" s="148"/>
      <c r="I821" s="148"/>
      <c r="J821" s="148"/>
      <c r="K821" s="150"/>
      <c r="L821" s="151"/>
      <c r="M821" s="133"/>
      <c r="N821" s="114"/>
      <c r="O821" s="133"/>
      <c r="P821" s="133"/>
      <c r="Q821" s="133"/>
      <c r="R821" s="133"/>
      <c r="S821" s="133"/>
      <c r="T821" s="133"/>
      <c r="U821" s="133"/>
      <c r="V821" s="133"/>
      <c r="W821" s="133"/>
      <c r="X821" s="133"/>
      <c r="Y821" s="133"/>
      <c r="Z821" s="133"/>
      <c r="AA821" s="133"/>
      <c r="AB821" s="102"/>
      <c r="AC821" s="102"/>
      <c r="AD821" s="103"/>
    </row>
    <row r="822" ht="15.75" customHeight="1">
      <c r="A822" s="142"/>
      <c r="B822" s="143"/>
      <c r="C822" s="136"/>
      <c r="D822" s="136"/>
      <c r="E822" s="143"/>
      <c r="F822" s="143"/>
      <c r="G822" s="143"/>
      <c r="H822" s="143"/>
      <c r="I822" s="143"/>
      <c r="J822" s="143"/>
      <c r="K822" s="145"/>
      <c r="L822" s="146"/>
      <c r="M822" s="136"/>
      <c r="N822" s="114"/>
      <c r="O822" s="136"/>
      <c r="P822" s="136"/>
      <c r="Q822" s="136"/>
      <c r="R822" s="136"/>
      <c r="S822" s="136"/>
      <c r="T822" s="136"/>
      <c r="U822" s="136"/>
      <c r="V822" s="136"/>
      <c r="W822" s="136"/>
      <c r="X822" s="136"/>
      <c r="Y822" s="136"/>
      <c r="Z822" s="136"/>
      <c r="AA822" s="136"/>
      <c r="AB822" s="102"/>
      <c r="AC822" s="102"/>
      <c r="AD822" s="103"/>
    </row>
    <row r="823" ht="15.75" customHeight="1">
      <c r="A823" s="147"/>
      <c r="B823" s="148"/>
      <c r="C823" s="133"/>
      <c r="D823" s="133"/>
      <c r="E823" s="148"/>
      <c r="F823" s="148"/>
      <c r="G823" s="148"/>
      <c r="H823" s="148"/>
      <c r="I823" s="148"/>
      <c r="J823" s="148"/>
      <c r="K823" s="150"/>
      <c r="L823" s="151"/>
      <c r="M823" s="133"/>
      <c r="N823" s="114"/>
      <c r="O823" s="133"/>
      <c r="P823" s="133"/>
      <c r="Q823" s="133"/>
      <c r="R823" s="133"/>
      <c r="S823" s="133"/>
      <c r="T823" s="133"/>
      <c r="U823" s="133"/>
      <c r="V823" s="133"/>
      <c r="W823" s="133"/>
      <c r="X823" s="133"/>
      <c r="Y823" s="133"/>
      <c r="Z823" s="133"/>
      <c r="AA823" s="133"/>
      <c r="AB823" s="102"/>
      <c r="AC823" s="102"/>
      <c r="AD823" s="103"/>
    </row>
    <row r="824" ht="15.75" customHeight="1">
      <c r="A824" s="142"/>
      <c r="B824" s="143"/>
      <c r="C824" s="136"/>
      <c r="D824" s="136"/>
      <c r="E824" s="143"/>
      <c r="F824" s="143"/>
      <c r="G824" s="143"/>
      <c r="H824" s="143"/>
      <c r="I824" s="143"/>
      <c r="J824" s="143"/>
      <c r="K824" s="145"/>
      <c r="L824" s="146"/>
      <c r="M824" s="136"/>
      <c r="N824" s="114"/>
      <c r="O824" s="136"/>
      <c r="P824" s="136"/>
      <c r="Q824" s="136"/>
      <c r="R824" s="136"/>
      <c r="S824" s="136"/>
      <c r="T824" s="136"/>
      <c r="U824" s="136"/>
      <c r="V824" s="136"/>
      <c r="W824" s="136"/>
      <c r="X824" s="136"/>
      <c r="Y824" s="136"/>
      <c r="Z824" s="136"/>
      <c r="AA824" s="136"/>
      <c r="AB824" s="102"/>
      <c r="AC824" s="102"/>
      <c r="AD824" s="103"/>
    </row>
    <row r="825" ht="15.75" customHeight="1">
      <c r="A825" s="147"/>
      <c r="B825" s="148"/>
      <c r="C825" s="133"/>
      <c r="D825" s="133"/>
      <c r="E825" s="148"/>
      <c r="F825" s="148"/>
      <c r="G825" s="148"/>
      <c r="H825" s="148"/>
      <c r="I825" s="148"/>
      <c r="J825" s="148"/>
      <c r="K825" s="150"/>
      <c r="L825" s="151"/>
      <c r="M825" s="133"/>
      <c r="N825" s="114"/>
      <c r="O825" s="133"/>
      <c r="P825" s="133"/>
      <c r="Q825" s="133"/>
      <c r="R825" s="133"/>
      <c r="S825" s="133"/>
      <c r="T825" s="133"/>
      <c r="U825" s="133"/>
      <c r="V825" s="133"/>
      <c r="W825" s="133"/>
      <c r="X825" s="133"/>
      <c r="Y825" s="133"/>
      <c r="Z825" s="133"/>
      <c r="AA825" s="133"/>
      <c r="AB825" s="102"/>
      <c r="AC825" s="102"/>
      <c r="AD825" s="103"/>
    </row>
    <row r="826" ht="15.75" customHeight="1">
      <c r="A826" s="142"/>
      <c r="B826" s="143"/>
      <c r="C826" s="136"/>
      <c r="D826" s="136"/>
      <c r="E826" s="143"/>
      <c r="F826" s="143"/>
      <c r="G826" s="143"/>
      <c r="H826" s="143"/>
      <c r="I826" s="143"/>
      <c r="J826" s="143"/>
      <c r="K826" s="145"/>
      <c r="L826" s="146"/>
      <c r="M826" s="136"/>
      <c r="N826" s="114"/>
      <c r="O826" s="136"/>
      <c r="P826" s="136"/>
      <c r="Q826" s="136"/>
      <c r="R826" s="136"/>
      <c r="S826" s="136"/>
      <c r="T826" s="136"/>
      <c r="U826" s="136"/>
      <c r="V826" s="136"/>
      <c r="W826" s="136"/>
      <c r="X826" s="136"/>
      <c r="Y826" s="136"/>
      <c r="Z826" s="136"/>
      <c r="AA826" s="136"/>
      <c r="AB826" s="102"/>
      <c r="AC826" s="102"/>
      <c r="AD826" s="103"/>
    </row>
    <row r="827" ht="15.75" customHeight="1">
      <c r="A827" s="147"/>
      <c r="B827" s="148"/>
      <c r="C827" s="133"/>
      <c r="D827" s="133"/>
      <c r="E827" s="148"/>
      <c r="F827" s="148"/>
      <c r="G827" s="148"/>
      <c r="H827" s="148"/>
      <c r="I827" s="148"/>
      <c r="J827" s="148"/>
      <c r="K827" s="150"/>
      <c r="L827" s="151"/>
      <c r="M827" s="133"/>
      <c r="N827" s="114"/>
      <c r="O827" s="133"/>
      <c r="P827" s="133"/>
      <c r="Q827" s="133"/>
      <c r="R827" s="133"/>
      <c r="S827" s="133"/>
      <c r="T827" s="133"/>
      <c r="U827" s="133"/>
      <c r="V827" s="133"/>
      <c r="W827" s="133"/>
      <c r="X827" s="133"/>
      <c r="Y827" s="133"/>
      <c r="Z827" s="133"/>
      <c r="AA827" s="133"/>
      <c r="AB827" s="102"/>
      <c r="AC827" s="102"/>
      <c r="AD827" s="103"/>
    </row>
    <row r="828" ht="15.75" customHeight="1">
      <c r="A828" s="142"/>
      <c r="B828" s="143"/>
      <c r="C828" s="136"/>
      <c r="D828" s="136"/>
      <c r="E828" s="143"/>
      <c r="F828" s="143"/>
      <c r="G828" s="143"/>
      <c r="H828" s="143"/>
      <c r="I828" s="143"/>
      <c r="J828" s="143"/>
      <c r="K828" s="145"/>
      <c r="L828" s="146"/>
      <c r="M828" s="136"/>
      <c r="N828" s="114"/>
      <c r="O828" s="136"/>
      <c r="P828" s="136"/>
      <c r="Q828" s="136"/>
      <c r="R828" s="136"/>
      <c r="S828" s="136"/>
      <c r="T828" s="136"/>
      <c r="U828" s="136"/>
      <c r="V828" s="136"/>
      <c r="W828" s="136"/>
      <c r="X828" s="136"/>
      <c r="Y828" s="136"/>
      <c r="Z828" s="136"/>
      <c r="AA828" s="136"/>
      <c r="AB828" s="102"/>
      <c r="AC828" s="102"/>
      <c r="AD828" s="103"/>
    </row>
    <row r="829" ht="15.75" customHeight="1">
      <c r="A829" s="147"/>
      <c r="B829" s="148"/>
      <c r="C829" s="133"/>
      <c r="D829" s="133"/>
      <c r="E829" s="148"/>
      <c r="F829" s="148"/>
      <c r="G829" s="148"/>
      <c r="H829" s="148"/>
      <c r="I829" s="148"/>
      <c r="J829" s="148"/>
      <c r="K829" s="150"/>
      <c r="L829" s="151"/>
      <c r="M829" s="133"/>
      <c r="N829" s="114"/>
      <c r="O829" s="133"/>
      <c r="P829" s="133"/>
      <c r="Q829" s="133"/>
      <c r="R829" s="133"/>
      <c r="S829" s="133"/>
      <c r="T829" s="133"/>
      <c r="U829" s="133"/>
      <c r="V829" s="133"/>
      <c r="W829" s="133"/>
      <c r="X829" s="133"/>
      <c r="Y829" s="133"/>
      <c r="Z829" s="133"/>
      <c r="AA829" s="133"/>
      <c r="AB829" s="102"/>
      <c r="AC829" s="102"/>
      <c r="AD829" s="103"/>
    </row>
    <row r="830" ht="15.75" customHeight="1">
      <c r="A830" s="142"/>
      <c r="B830" s="143"/>
      <c r="C830" s="136"/>
      <c r="D830" s="136"/>
      <c r="E830" s="143"/>
      <c r="F830" s="143"/>
      <c r="G830" s="143"/>
      <c r="H830" s="143"/>
      <c r="I830" s="143"/>
      <c r="J830" s="143"/>
      <c r="K830" s="145"/>
      <c r="L830" s="146"/>
      <c r="M830" s="136"/>
      <c r="N830" s="114"/>
      <c r="O830" s="136"/>
      <c r="P830" s="136"/>
      <c r="Q830" s="136"/>
      <c r="R830" s="136"/>
      <c r="S830" s="136"/>
      <c r="T830" s="136"/>
      <c r="U830" s="136"/>
      <c r="V830" s="136"/>
      <c r="W830" s="136"/>
      <c r="X830" s="136"/>
      <c r="Y830" s="136"/>
      <c r="Z830" s="136"/>
      <c r="AA830" s="136"/>
      <c r="AB830" s="102"/>
      <c r="AC830" s="102"/>
      <c r="AD830" s="103"/>
    </row>
    <row r="831" ht="15.75" customHeight="1">
      <c r="A831" s="147"/>
      <c r="B831" s="148"/>
      <c r="C831" s="133"/>
      <c r="D831" s="133"/>
      <c r="E831" s="148"/>
      <c r="F831" s="148"/>
      <c r="G831" s="148"/>
      <c r="H831" s="148"/>
      <c r="I831" s="148"/>
      <c r="J831" s="148"/>
      <c r="K831" s="150"/>
      <c r="L831" s="151"/>
      <c r="M831" s="133"/>
      <c r="N831" s="114"/>
      <c r="O831" s="133"/>
      <c r="P831" s="133"/>
      <c r="Q831" s="133"/>
      <c r="R831" s="133"/>
      <c r="S831" s="133"/>
      <c r="T831" s="133"/>
      <c r="U831" s="133"/>
      <c r="V831" s="133"/>
      <c r="W831" s="133"/>
      <c r="X831" s="133"/>
      <c r="Y831" s="133"/>
      <c r="Z831" s="133"/>
      <c r="AA831" s="133"/>
      <c r="AB831" s="102"/>
      <c r="AC831" s="102"/>
      <c r="AD831" s="103"/>
    </row>
    <row r="832" ht="15.75" customHeight="1">
      <c r="A832" s="142"/>
      <c r="B832" s="143"/>
      <c r="C832" s="136"/>
      <c r="D832" s="136"/>
      <c r="E832" s="143"/>
      <c r="F832" s="143"/>
      <c r="G832" s="143"/>
      <c r="H832" s="143"/>
      <c r="I832" s="143"/>
      <c r="J832" s="143"/>
      <c r="K832" s="145"/>
      <c r="L832" s="146"/>
      <c r="M832" s="136"/>
      <c r="N832" s="114"/>
      <c r="O832" s="136"/>
      <c r="P832" s="136"/>
      <c r="Q832" s="136"/>
      <c r="R832" s="136"/>
      <c r="S832" s="136"/>
      <c r="T832" s="136"/>
      <c r="U832" s="136"/>
      <c r="V832" s="136"/>
      <c r="W832" s="136"/>
      <c r="X832" s="136"/>
      <c r="Y832" s="136"/>
      <c r="Z832" s="136"/>
      <c r="AA832" s="136"/>
      <c r="AB832" s="102"/>
      <c r="AC832" s="102"/>
      <c r="AD832" s="103"/>
    </row>
    <row r="833" ht="15.75" customHeight="1">
      <c r="A833" s="147"/>
      <c r="B833" s="148"/>
      <c r="C833" s="133"/>
      <c r="D833" s="133"/>
      <c r="E833" s="148"/>
      <c r="F833" s="148"/>
      <c r="G833" s="148"/>
      <c r="H833" s="148"/>
      <c r="I833" s="148"/>
      <c r="J833" s="148"/>
      <c r="K833" s="150"/>
      <c r="L833" s="151"/>
      <c r="M833" s="133"/>
      <c r="N833" s="114"/>
      <c r="O833" s="133"/>
      <c r="P833" s="133"/>
      <c r="Q833" s="133"/>
      <c r="R833" s="133"/>
      <c r="S833" s="133"/>
      <c r="T833" s="133"/>
      <c r="U833" s="133"/>
      <c r="V833" s="133"/>
      <c r="W833" s="133"/>
      <c r="X833" s="133"/>
      <c r="Y833" s="133"/>
      <c r="Z833" s="133"/>
      <c r="AA833" s="133"/>
      <c r="AB833" s="102"/>
      <c r="AC833" s="102"/>
      <c r="AD833" s="103"/>
    </row>
    <row r="834" ht="15.75" customHeight="1">
      <c r="A834" s="142"/>
      <c r="B834" s="143"/>
      <c r="C834" s="136"/>
      <c r="D834" s="136"/>
      <c r="E834" s="143"/>
      <c r="F834" s="143"/>
      <c r="G834" s="143"/>
      <c r="H834" s="143"/>
      <c r="I834" s="143"/>
      <c r="J834" s="143"/>
      <c r="K834" s="145"/>
      <c r="L834" s="146"/>
      <c r="M834" s="136"/>
      <c r="N834" s="114"/>
      <c r="O834" s="136"/>
      <c r="P834" s="136"/>
      <c r="Q834" s="136"/>
      <c r="R834" s="136"/>
      <c r="S834" s="136"/>
      <c r="T834" s="136"/>
      <c r="U834" s="136"/>
      <c r="V834" s="136"/>
      <c r="W834" s="136"/>
      <c r="X834" s="136"/>
      <c r="Y834" s="136"/>
      <c r="Z834" s="136"/>
      <c r="AA834" s="136"/>
      <c r="AB834" s="102"/>
      <c r="AC834" s="102"/>
      <c r="AD834" s="103"/>
    </row>
    <row r="835" ht="15.75" customHeight="1">
      <c r="A835" s="147"/>
      <c r="B835" s="148"/>
      <c r="C835" s="133"/>
      <c r="D835" s="133"/>
      <c r="E835" s="148"/>
      <c r="F835" s="148"/>
      <c r="G835" s="148"/>
      <c r="H835" s="148"/>
      <c r="I835" s="148"/>
      <c r="J835" s="148"/>
      <c r="K835" s="150"/>
      <c r="L835" s="151"/>
      <c r="M835" s="133"/>
      <c r="N835" s="114"/>
      <c r="O835" s="133"/>
      <c r="P835" s="133"/>
      <c r="Q835" s="133"/>
      <c r="R835" s="133"/>
      <c r="S835" s="133"/>
      <c r="T835" s="133"/>
      <c r="U835" s="133"/>
      <c r="V835" s="133"/>
      <c r="W835" s="133"/>
      <c r="X835" s="133"/>
      <c r="Y835" s="133"/>
      <c r="Z835" s="133"/>
      <c r="AA835" s="133"/>
      <c r="AB835" s="102"/>
      <c r="AC835" s="102"/>
      <c r="AD835" s="103"/>
    </row>
    <row r="836" ht="15.75" customHeight="1">
      <c r="A836" s="142"/>
      <c r="B836" s="143"/>
      <c r="C836" s="136"/>
      <c r="D836" s="136"/>
      <c r="E836" s="143"/>
      <c r="F836" s="143"/>
      <c r="G836" s="143"/>
      <c r="H836" s="143"/>
      <c r="I836" s="143"/>
      <c r="J836" s="143"/>
      <c r="K836" s="145"/>
      <c r="L836" s="146"/>
      <c r="M836" s="136"/>
      <c r="N836" s="114"/>
      <c r="O836" s="136"/>
      <c r="P836" s="136"/>
      <c r="Q836" s="136"/>
      <c r="R836" s="136"/>
      <c r="S836" s="136"/>
      <c r="T836" s="136"/>
      <c r="U836" s="136"/>
      <c r="V836" s="136"/>
      <c r="W836" s="136"/>
      <c r="X836" s="136"/>
      <c r="Y836" s="136"/>
      <c r="Z836" s="136"/>
      <c r="AA836" s="136"/>
      <c r="AB836" s="102"/>
      <c r="AC836" s="102"/>
      <c r="AD836" s="103"/>
    </row>
    <row r="837" ht="15.75" customHeight="1">
      <c r="A837" s="147"/>
      <c r="B837" s="148"/>
      <c r="C837" s="133"/>
      <c r="D837" s="133"/>
      <c r="E837" s="148"/>
      <c r="F837" s="148"/>
      <c r="G837" s="148"/>
      <c r="H837" s="148"/>
      <c r="I837" s="148"/>
      <c r="J837" s="148"/>
      <c r="K837" s="150"/>
      <c r="L837" s="151"/>
      <c r="M837" s="133"/>
      <c r="N837" s="114"/>
      <c r="O837" s="133"/>
      <c r="P837" s="133"/>
      <c r="Q837" s="133"/>
      <c r="R837" s="133"/>
      <c r="S837" s="133"/>
      <c r="T837" s="133"/>
      <c r="U837" s="133"/>
      <c r="V837" s="133"/>
      <c r="W837" s="133"/>
      <c r="X837" s="133"/>
      <c r="Y837" s="133"/>
      <c r="Z837" s="133"/>
      <c r="AA837" s="133"/>
      <c r="AB837" s="102"/>
      <c r="AC837" s="102"/>
      <c r="AD837" s="103"/>
    </row>
    <row r="838" ht="15.75" customHeight="1">
      <c r="A838" s="142"/>
      <c r="B838" s="143"/>
      <c r="C838" s="136"/>
      <c r="D838" s="136"/>
      <c r="E838" s="143"/>
      <c r="F838" s="143"/>
      <c r="G838" s="143"/>
      <c r="H838" s="143"/>
      <c r="I838" s="143"/>
      <c r="J838" s="143"/>
      <c r="K838" s="145"/>
      <c r="L838" s="146"/>
      <c r="M838" s="136"/>
      <c r="N838" s="114"/>
      <c r="O838" s="136"/>
      <c r="P838" s="136"/>
      <c r="Q838" s="136"/>
      <c r="R838" s="136"/>
      <c r="S838" s="136"/>
      <c r="T838" s="136"/>
      <c r="U838" s="136"/>
      <c r="V838" s="136"/>
      <c r="W838" s="136"/>
      <c r="X838" s="136"/>
      <c r="Y838" s="136"/>
      <c r="Z838" s="136"/>
      <c r="AA838" s="136"/>
      <c r="AB838" s="102"/>
      <c r="AC838" s="102"/>
      <c r="AD838" s="103"/>
    </row>
    <row r="839" ht="15.75" customHeight="1">
      <c r="A839" s="147"/>
      <c r="B839" s="148"/>
      <c r="C839" s="133"/>
      <c r="D839" s="133"/>
      <c r="E839" s="148"/>
      <c r="F839" s="148"/>
      <c r="G839" s="148"/>
      <c r="H839" s="148"/>
      <c r="I839" s="148"/>
      <c r="J839" s="148"/>
      <c r="K839" s="150"/>
      <c r="L839" s="151"/>
      <c r="M839" s="133"/>
      <c r="N839" s="114"/>
      <c r="O839" s="133"/>
      <c r="P839" s="133"/>
      <c r="Q839" s="133"/>
      <c r="R839" s="133"/>
      <c r="S839" s="133"/>
      <c r="T839" s="133"/>
      <c r="U839" s="133"/>
      <c r="V839" s="133"/>
      <c r="W839" s="133"/>
      <c r="X839" s="133"/>
      <c r="Y839" s="133"/>
      <c r="Z839" s="133"/>
      <c r="AA839" s="133"/>
      <c r="AB839" s="102"/>
      <c r="AC839" s="102"/>
      <c r="AD839" s="103"/>
    </row>
    <row r="840" ht="15.75" customHeight="1">
      <c r="A840" s="142"/>
      <c r="B840" s="143"/>
      <c r="C840" s="136"/>
      <c r="D840" s="136"/>
      <c r="E840" s="143"/>
      <c r="F840" s="143"/>
      <c r="G840" s="143"/>
      <c r="H840" s="143"/>
      <c r="I840" s="143"/>
      <c r="J840" s="143"/>
      <c r="K840" s="145"/>
      <c r="L840" s="146"/>
      <c r="M840" s="136"/>
      <c r="N840" s="114"/>
      <c r="O840" s="136"/>
      <c r="P840" s="136"/>
      <c r="Q840" s="136"/>
      <c r="R840" s="136"/>
      <c r="S840" s="136"/>
      <c r="T840" s="136"/>
      <c r="U840" s="136"/>
      <c r="V840" s="136"/>
      <c r="W840" s="136"/>
      <c r="X840" s="136"/>
      <c r="Y840" s="136"/>
      <c r="Z840" s="136"/>
      <c r="AA840" s="136"/>
      <c r="AB840" s="102"/>
      <c r="AC840" s="102"/>
      <c r="AD840" s="103"/>
    </row>
    <row r="841" ht="15.75" customHeight="1">
      <c r="A841" s="147"/>
      <c r="B841" s="148"/>
      <c r="C841" s="133"/>
      <c r="D841" s="133"/>
      <c r="E841" s="148"/>
      <c r="F841" s="148"/>
      <c r="G841" s="148"/>
      <c r="H841" s="148"/>
      <c r="I841" s="148"/>
      <c r="J841" s="148"/>
      <c r="K841" s="150"/>
      <c r="L841" s="151"/>
      <c r="M841" s="133"/>
      <c r="N841" s="114"/>
      <c r="O841" s="133"/>
      <c r="P841" s="133"/>
      <c r="Q841" s="133"/>
      <c r="R841" s="133"/>
      <c r="S841" s="133"/>
      <c r="T841" s="133"/>
      <c r="U841" s="133"/>
      <c r="V841" s="133"/>
      <c r="W841" s="133"/>
      <c r="X841" s="133"/>
      <c r="Y841" s="133"/>
      <c r="Z841" s="133"/>
      <c r="AA841" s="133"/>
      <c r="AB841" s="102"/>
      <c r="AC841" s="102"/>
      <c r="AD841" s="103"/>
    </row>
    <row r="842" ht="15.75" customHeight="1">
      <c r="A842" s="142"/>
      <c r="B842" s="143"/>
      <c r="C842" s="136"/>
      <c r="D842" s="136"/>
      <c r="E842" s="143"/>
      <c r="F842" s="143"/>
      <c r="G842" s="143"/>
      <c r="H842" s="143"/>
      <c r="I842" s="143"/>
      <c r="J842" s="143"/>
      <c r="K842" s="145"/>
      <c r="L842" s="146"/>
      <c r="M842" s="136"/>
      <c r="N842" s="114"/>
      <c r="O842" s="136"/>
      <c r="P842" s="136"/>
      <c r="Q842" s="136"/>
      <c r="R842" s="136"/>
      <c r="S842" s="136"/>
      <c r="T842" s="136"/>
      <c r="U842" s="136"/>
      <c r="V842" s="136"/>
      <c r="W842" s="136"/>
      <c r="X842" s="136"/>
      <c r="Y842" s="136"/>
      <c r="Z842" s="136"/>
      <c r="AA842" s="136"/>
      <c r="AB842" s="102"/>
      <c r="AC842" s="102"/>
      <c r="AD842" s="103"/>
    </row>
    <row r="843" ht="15.75" customHeight="1">
      <c r="A843" s="147"/>
      <c r="B843" s="148"/>
      <c r="C843" s="133"/>
      <c r="D843" s="133"/>
      <c r="E843" s="148"/>
      <c r="F843" s="148"/>
      <c r="G843" s="148"/>
      <c r="H843" s="148"/>
      <c r="I843" s="148"/>
      <c r="J843" s="148"/>
      <c r="K843" s="150"/>
      <c r="L843" s="151"/>
      <c r="M843" s="133"/>
      <c r="N843" s="114"/>
      <c r="O843" s="133"/>
      <c r="P843" s="133"/>
      <c r="Q843" s="133"/>
      <c r="R843" s="133"/>
      <c r="S843" s="133"/>
      <c r="T843" s="133"/>
      <c r="U843" s="133"/>
      <c r="V843" s="133"/>
      <c r="W843" s="133"/>
      <c r="X843" s="133"/>
      <c r="Y843" s="133"/>
      <c r="Z843" s="133"/>
      <c r="AA843" s="133"/>
      <c r="AB843" s="102"/>
      <c r="AC843" s="102"/>
      <c r="AD843" s="103"/>
    </row>
    <row r="844" ht="15.75" customHeight="1">
      <c r="A844" s="142"/>
      <c r="B844" s="143"/>
      <c r="C844" s="136"/>
      <c r="D844" s="136"/>
      <c r="E844" s="143"/>
      <c r="F844" s="143"/>
      <c r="G844" s="143"/>
      <c r="H844" s="143"/>
      <c r="I844" s="143"/>
      <c r="J844" s="143"/>
      <c r="K844" s="145"/>
      <c r="L844" s="146"/>
      <c r="M844" s="136"/>
      <c r="N844" s="114"/>
      <c r="O844" s="136"/>
      <c r="P844" s="136"/>
      <c r="Q844" s="136"/>
      <c r="R844" s="136"/>
      <c r="S844" s="136"/>
      <c r="T844" s="136"/>
      <c r="U844" s="136"/>
      <c r="V844" s="136"/>
      <c r="W844" s="136"/>
      <c r="X844" s="136"/>
      <c r="Y844" s="136"/>
      <c r="Z844" s="136"/>
      <c r="AA844" s="136"/>
      <c r="AB844" s="102"/>
      <c r="AC844" s="102"/>
      <c r="AD844" s="103"/>
    </row>
    <row r="845" ht="15.75" customHeight="1">
      <c r="A845" s="147"/>
      <c r="B845" s="148"/>
      <c r="C845" s="133"/>
      <c r="D845" s="133"/>
      <c r="E845" s="148"/>
      <c r="F845" s="148"/>
      <c r="G845" s="148"/>
      <c r="H845" s="148"/>
      <c r="I845" s="148"/>
      <c r="J845" s="148"/>
      <c r="K845" s="150"/>
      <c r="L845" s="151"/>
      <c r="M845" s="133"/>
      <c r="N845" s="114"/>
      <c r="O845" s="133"/>
      <c r="P845" s="133"/>
      <c r="Q845" s="133"/>
      <c r="R845" s="133"/>
      <c r="S845" s="133"/>
      <c r="T845" s="133"/>
      <c r="U845" s="133"/>
      <c r="V845" s="133"/>
      <c r="W845" s="133"/>
      <c r="X845" s="133"/>
      <c r="Y845" s="133"/>
      <c r="Z845" s="133"/>
      <c r="AA845" s="133"/>
      <c r="AB845" s="102"/>
      <c r="AC845" s="102"/>
      <c r="AD845" s="103"/>
    </row>
    <row r="846" ht="15.75" customHeight="1">
      <c r="A846" s="142"/>
      <c r="B846" s="143"/>
      <c r="C846" s="136"/>
      <c r="D846" s="136"/>
      <c r="E846" s="143"/>
      <c r="F846" s="143"/>
      <c r="G846" s="143"/>
      <c r="H846" s="143"/>
      <c r="I846" s="143"/>
      <c r="J846" s="143"/>
      <c r="K846" s="145"/>
      <c r="L846" s="146"/>
      <c r="M846" s="136"/>
      <c r="N846" s="114"/>
      <c r="O846" s="136"/>
      <c r="P846" s="136"/>
      <c r="Q846" s="136"/>
      <c r="R846" s="136"/>
      <c r="S846" s="136"/>
      <c r="T846" s="136"/>
      <c r="U846" s="136"/>
      <c r="V846" s="136"/>
      <c r="W846" s="136"/>
      <c r="X846" s="136"/>
      <c r="Y846" s="136"/>
      <c r="Z846" s="136"/>
      <c r="AA846" s="136"/>
      <c r="AB846" s="102"/>
      <c r="AC846" s="102"/>
      <c r="AD846" s="103"/>
    </row>
    <row r="847" ht="15.75" customHeight="1">
      <c r="A847" s="147"/>
      <c r="B847" s="148"/>
      <c r="C847" s="133"/>
      <c r="D847" s="133"/>
      <c r="E847" s="148"/>
      <c r="F847" s="148"/>
      <c r="G847" s="148"/>
      <c r="H847" s="148"/>
      <c r="I847" s="148"/>
      <c r="J847" s="148"/>
      <c r="K847" s="150"/>
      <c r="L847" s="151"/>
      <c r="M847" s="133"/>
      <c r="N847" s="114"/>
      <c r="O847" s="133"/>
      <c r="P847" s="133"/>
      <c r="Q847" s="133"/>
      <c r="R847" s="133"/>
      <c r="S847" s="133"/>
      <c r="T847" s="133"/>
      <c r="U847" s="133"/>
      <c r="V847" s="133"/>
      <c r="W847" s="133"/>
      <c r="X847" s="133"/>
      <c r="Y847" s="133"/>
      <c r="Z847" s="133"/>
      <c r="AA847" s="133"/>
      <c r="AB847" s="102"/>
      <c r="AC847" s="102"/>
      <c r="AD847" s="103"/>
    </row>
    <row r="848" ht="15.75" customHeight="1">
      <c r="A848" s="142"/>
      <c r="B848" s="143"/>
      <c r="C848" s="136"/>
      <c r="D848" s="136"/>
      <c r="E848" s="143"/>
      <c r="F848" s="143"/>
      <c r="G848" s="143"/>
      <c r="H848" s="143"/>
      <c r="I848" s="143"/>
      <c r="J848" s="143"/>
      <c r="K848" s="145"/>
      <c r="L848" s="146"/>
      <c r="M848" s="136"/>
      <c r="N848" s="114"/>
      <c r="O848" s="136"/>
      <c r="P848" s="136"/>
      <c r="Q848" s="136"/>
      <c r="R848" s="136"/>
      <c r="S848" s="136"/>
      <c r="T848" s="136"/>
      <c r="U848" s="136"/>
      <c r="V848" s="136"/>
      <c r="W848" s="136"/>
      <c r="X848" s="136"/>
      <c r="Y848" s="136"/>
      <c r="Z848" s="136"/>
      <c r="AA848" s="136"/>
      <c r="AB848" s="102"/>
      <c r="AC848" s="102"/>
      <c r="AD848" s="103"/>
    </row>
    <row r="849" ht="15.75" customHeight="1">
      <c r="A849" s="147"/>
      <c r="B849" s="148"/>
      <c r="C849" s="133"/>
      <c r="D849" s="133"/>
      <c r="E849" s="148"/>
      <c r="F849" s="148"/>
      <c r="G849" s="148"/>
      <c r="H849" s="148"/>
      <c r="I849" s="148"/>
      <c r="J849" s="148"/>
      <c r="K849" s="150"/>
      <c r="L849" s="151"/>
      <c r="M849" s="133"/>
      <c r="N849" s="114"/>
      <c r="O849" s="133"/>
      <c r="P849" s="133"/>
      <c r="Q849" s="133"/>
      <c r="R849" s="133"/>
      <c r="S849" s="133"/>
      <c r="T849" s="133"/>
      <c r="U849" s="133"/>
      <c r="V849" s="133"/>
      <c r="W849" s="133"/>
      <c r="X849" s="133"/>
      <c r="Y849" s="133"/>
      <c r="Z849" s="133"/>
      <c r="AA849" s="133"/>
      <c r="AB849" s="102"/>
      <c r="AC849" s="102"/>
      <c r="AD849" s="103"/>
    </row>
    <row r="850" ht="15.75" customHeight="1">
      <c r="A850" s="142"/>
      <c r="B850" s="143"/>
      <c r="C850" s="136"/>
      <c r="D850" s="136"/>
      <c r="E850" s="143"/>
      <c r="F850" s="143"/>
      <c r="G850" s="143"/>
      <c r="H850" s="143"/>
      <c r="I850" s="143"/>
      <c r="J850" s="143"/>
      <c r="K850" s="145"/>
      <c r="L850" s="146"/>
      <c r="M850" s="136"/>
      <c r="N850" s="114"/>
      <c r="O850" s="136"/>
      <c r="P850" s="136"/>
      <c r="Q850" s="136"/>
      <c r="R850" s="136"/>
      <c r="S850" s="136"/>
      <c r="T850" s="136"/>
      <c r="U850" s="136"/>
      <c r="V850" s="136"/>
      <c r="W850" s="136"/>
      <c r="X850" s="136"/>
      <c r="Y850" s="136"/>
      <c r="Z850" s="136"/>
      <c r="AA850" s="136"/>
      <c r="AB850" s="102"/>
      <c r="AC850" s="102"/>
      <c r="AD850" s="103"/>
    </row>
    <row r="851" ht="15.75" customHeight="1">
      <c r="A851" s="147"/>
      <c r="B851" s="148"/>
      <c r="C851" s="133"/>
      <c r="D851" s="133"/>
      <c r="E851" s="148"/>
      <c r="F851" s="148"/>
      <c r="G851" s="148"/>
      <c r="H851" s="148"/>
      <c r="I851" s="148"/>
      <c r="J851" s="148"/>
      <c r="K851" s="150"/>
      <c r="L851" s="151"/>
      <c r="M851" s="133"/>
      <c r="N851" s="114"/>
      <c r="O851" s="133"/>
      <c r="P851" s="133"/>
      <c r="Q851" s="133"/>
      <c r="R851" s="133"/>
      <c r="S851" s="133"/>
      <c r="T851" s="133"/>
      <c r="U851" s="133"/>
      <c r="V851" s="133"/>
      <c r="W851" s="133"/>
      <c r="X851" s="133"/>
      <c r="Y851" s="133"/>
      <c r="Z851" s="133"/>
      <c r="AA851" s="133"/>
      <c r="AB851" s="102"/>
      <c r="AC851" s="102"/>
      <c r="AD851" s="103"/>
    </row>
    <row r="852" ht="15.75" customHeight="1">
      <c r="A852" s="142"/>
      <c r="B852" s="143"/>
      <c r="C852" s="136"/>
      <c r="D852" s="136"/>
      <c r="E852" s="143"/>
      <c r="F852" s="143"/>
      <c r="G852" s="143"/>
      <c r="H852" s="143"/>
      <c r="I852" s="143"/>
      <c r="J852" s="143"/>
      <c r="K852" s="145"/>
      <c r="L852" s="146"/>
      <c r="M852" s="136"/>
      <c r="N852" s="114"/>
      <c r="O852" s="136"/>
      <c r="P852" s="136"/>
      <c r="Q852" s="136"/>
      <c r="R852" s="136"/>
      <c r="S852" s="136"/>
      <c r="T852" s="136"/>
      <c r="U852" s="136"/>
      <c r="V852" s="136"/>
      <c r="W852" s="136"/>
      <c r="X852" s="136"/>
      <c r="Y852" s="136"/>
      <c r="Z852" s="136"/>
      <c r="AA852" s="136"/>
      <c r="AB852" s="102"/>
      <c r="AC852" s="102"/>
      <c r="AD852" s="103"/>
    </row>
    <row r="853" ht="15.75" customHeight="1">
      <c r="A853" s="147"/>
      <c r="B853" s="148"/>
      <c r="C853" s="133"/>
      <c r="D853" s="133"/>
      <c r="E853" s="148"/>
      <c r="F853" s="148"/>
      <c r="G853" s="148"/>
      <c r="H853" s="148"/>
      <c r="I853" s="148"/>
      <c r="J853" s="148"/>
      <c r="K853" s="150"/>
      <c r="L853" s="151"/>
      <c r="M853" s="133"/>
      <c r="N853" s="114"/>
      <c r="O853" s="133"/>
      <c r="P853" s="133"/>
      <c r="Q853" s="133"/>
      <c r="R853" s="133"/>
      <c r="S853" s="133"/>
      <c r="T853" s="133"/>
      <c r="U853" s="133"/>
      <c r="V853" s="133"/>
      <c r="W853" s="133"/>
      <c r="X853" s="133"/>
      <c r="Y853" s="133"/>
      <c r="Z853" s="133"/>
      <c r="AA853" s="133"/>
      <c r="AB853" s="102"/>
      <c r="AC853" s="102"/>
      <c r="AD853" s="103"/>
    </row>
    <row r="854" ht="15.75" customHeight="1">
      <c r="A854" s="142"/>
      <c r="B854" s="143"/>
      <c r="C854" s="136"/>
      <c r="D854" s="136"/>
      <c r="E854" s="143"/>
      <c r="F854" s="143"/>
      <c r="G854" s="143"/>
      <c r="H854" s="143"/>
      <c r="I854" s="143"/>
      <c r="J854" s="143"/>
      <c r="K854" s="145"/>
      <c r="L854" s="146"/>
      <c r="M854" s="136"/>
      <c r="N854" s="114"/>
      <c r="O854" s="136"/>
      <c r="P854" s="136"/>
      <c r="Q854" s="136"/>
      <c r="R854" s="136"/>
      <c r="S854" s="136"/>
      <c r="T854" s="136"/>
      <c r="U854" s="136"/>
      <c r="V854" s="136"/>
      <c r="W854" s="136"/>
      <c r="X854" s="136"/>
      <c r="Y854" s="136"/>
      <c r="Z854" s="136"/>
      <c r="AA854" s="136"/>
      <c r="AB854" s="102"/>
      <c r="AC854" s="102"/>
      <c r="AD854" s="103"/>
    </row>
    <row r="855" ht="15.75" customHeight="1">
      <c r="A855" s="147"/>
      <c r="B855" s="148"/>
      <c r="C855" s="133"/>
      <c r="D855" s="133"/>
      <c r="E855" s="148"/>
      <c r="F855" s="148"/>
      <c r="G855" s="148"/>
      <c r="H855" s="148"/>
      <c r="I855" s="148"/>
      <c r="J855" s="148"/>
      <c r="K855" s="150"/>
      <c r="L855" s="151"/>
      <c r="M855" s="133"/>
      <c r="N855" s="114"/>
      <c r="O855" s="133"/>
      <c r="P855" s="133"/>
      <c r="Q855" s="133"/>
      <c r="R855" s="133"/>
      <c r="S855" s="133"/>
      <c r="T855" s="133"/>
      <c r="U855" s="133"/>
      <c r="V855" s="133"/>
      <c r="W855" s="133"/>
      <c r="X855" s="133"/>
      <c r="Y855" s="133"/>
      <c r="Z855" s="133"/>
      <c r="AA855" s="133"/>
      <c r="AB855" s="102"/>
      <c r="AC855" s="102"/>
      <c r="AD855" s="103"/>
    </row>
    <row r="856" ht="15.75" customHeight="1">
      <c r="A856" s="142"/>
      <c r="B856" s="143"/>
      <c r="C856" s="136"/>
      <c r="D856" s="136"/>
      <c r="E856" s="143"/>
      <c r="F856" s="143"/>
      <c r="G856" s="143"/>
      <c r="H856" s="143"/>
      <c r="I856" s="143"/>
      <c r="J856" s="143"/>
      <c r="K856" s="145"/>
      <c r="L856" s="146"/>
      <c r="M856" s="136"/>
      <c r="N856" s="114"/>
      <c r="O856" s="136"/>
      <c r="P856" s="136"/>
      <c r="Q856" s="136"/>
      <c r="R856" s="136"/>
      <c r="S856" s="136"/>
      <c r="T856" s="136"/>
      <c r="U856" s="136"/>
      <c r="V856" s="136"/>
      <c r="W856" s="136"/>
      <c r="X856" s="136"/>
      <c r="Y856" s="136"/>
      <c r="Z856" s="136"/>
      <c r="AA856" s="136"/>
      <c r="AB856" s="102"/>
      <c r="AC856" s="102"/>
      <c r="AD856" s="103"/>
    </row>
    <row r="857" ht="15.75" customHeight="1">
      <c r="A857" s="147"/>
      <c r="B857" s="148"/>
      <c r="C857" s="133"/>
      <c r="D857" s="133"/>
      <c r="E857" s="148"/>
      <c r="F857" s="148"/>
      <c r="G857" s="148"/>
      <c r="H857" s="148"/>
      <c r="I857" s="148"/>
      <c r="J857" s="148"/>
      <c r="K857" s="150"/>
      <c r="L857" s="151"/>
      <c r="M857" s="133"/>
      <c r="N857" s="114"/>
      <c r="O857" s="133"/>
      <c r="P857" s="133"/>
      <c r="Q857" s="133"/>
      <c r="R857" s="133"/>
      <c r="S857" s="133"/>
      <c r="T857" s="133"/>
      <c r="U857" s="133"/>
      <c r="V857" s="133"/>
      <c r="W857" s="133"/>
      <c r="X857" s="133"/>
      <c r="Y857" s="133"/>
      <c r="Z857" s="133"/>
      <c r="AA857" s="133"/>
      <c r="AB857" s="102"/>
      <c r="AC857" s="102"/>
      <c r="AD857" s="103"/>
    </row>
    <row r="858" ht="15.75" customHeight="1">
      <c r="A858" s="142"/>
      <c r="B858" s="143"/>
      <c r="C858" s="136"/>
      <c r="D858" s="136"/>
      <c r="E858" s="143"/>
      <c r="F858" s="143"/>
      <c r="G858" s="143"/>
      <c r="H858" s="143"/>
      <c r="I858" s="143"/>
      <c r="J858" s="143"/>
      <c r="K858" s="145"/>
      <c r="L858" s="146"/>
      <c r="M858" s="136"/>
      <c r="N858" s="114"/>
      <c r="O858" s="136"/>
      <c r="P858" s="136"/>
      <c r="Q858" s="136"/>
      <c r="R858" s="136"/>
      <c r="S858" s="136"/>
      <c r="T858" s="136"/>
      <c r="U858" s="136"/>
      <c r="V858" s="136"/>
      <c r="W858" s="136"/>
      <c r="X858" s="136"/>
      <c r="Y858" s="136"/>
      <c r="Z858" s="136"/>
      <c r="AA858" s="136"/>
      <c r="AB858" s="102"/>
      <c r="AC858" s="102"/>
      <c r="AD858" s="103"/>
    </row>
    <row r="859" ht="15.75" customHeight="1">
      <c r="A859" s="147"/>
      <c r="B859" s="148"/>
      <c r="C859" s="133"/>
      <c r="D859" s="133"/>
      <c r="E859" s="148"/>
      <c r="F859" s="148"/>
      <c r="G859" s="148"/>
      <c r="H859" s="148"/>
      <c r="I859" s="148"/>
      <c r="J859" s="148"/>
      <c r="K859" s="150"/>
      <c r="L859" s="151"/>
      <c r="M859" s="133"/>
      <c r="N859" s="114"/>
      <c r="O859" s="133"/>
      <c r="P859" s="133"/>
      <c r="Q859" s="133"/>
      <c r="R859" s="133"/>
      <c r="S859" s="133"/>
      <c r="T859" s="133"/>
      <c r="U859" s="133"/>
      <c r="V859" s="133"/>
      <c r="W859" s="133"/>
      <c r="X859" s="133"/>
      <c r="Y859" s="133"/>
      <c r="Z859" s="133"/>
      <c r="AA859" s="133"/>
      <c r="AB859" s="102"/>
      <c r="AC859" s="102"/>
      <c r="AD859" s="103"/>
    </row>
    <row r="860" ht="15.75" customHeight="1">
      <c r="A860" s="142"/>
      <c r="B860" s="143"/>
      <c r="C860" s="136"/>
      <c r="D860" s="136"/>
      <c r="E860" s="143"/>
      <c r="F860" s="143"/>
      <c r="G860" s="143"/>
      <c r="H860" s="143"/>
      <c r="I860" s="143"/>
      <c r="J860" s="143"/>
      <c r="K860" s="145"/>
      <c r="L860" s="146"/>
      <c r="M860" s="136"/>
      <c r="N860" s="114"/>
      <c r="O860" s="136"/>
      <c r="P860" s="136"/>
      <c r="Q860" s="136"/>
      <c r="R860" s="136"/>
      <c r="S860" s="136"/>
      <c r="T860" s="136"/>
      <c r="U860" s="136"/>
      <c r="V860" s="136"/>
      <c r="W860" s="136"/>
      <c r="X860" s="136"/>
      <c r="Y860" s="136"/>
      <c r="Z860" s="136"/>
      <c r="AA860" s="136"/>
      <c r="AB860" s="102"/>
      <c r="AC860" s="102"/>
      <c r="AD860" s="103"/>
    </row>
    <row r="861" ht="15.75" customHeight="1">
      <c r="A861" s="147"/>
      <c r="B861" s="148"/>
      <c r="C861" s="133"/>
      <c r="D861" s="133"/>
      <c r="E861" s="148"/>
      <c r="F861" s="148"/>
      <c r="G861" s="148"/>
      <c r="H861" s="148"/>
      <c r="I861" s="148"/>
      <c r="J861" s="148"/>
      <c r="K861" s="150"/>
      <c r="L861" s="151"/>
      <c r="M861" s="133"/>
      <c r="N861" s="114"/>
      <c r="O861" s="133"/>
      <c r="P861" s="133"/>
      <c r="Q861" s="133"/>
      <c r="R861" s="133"/>
      <c r="S861" s="133"/>
      <c r="T861" s="133"/>
      <c r="U861" s="133"/>
      <c r="V861" s="133"/>
      <c r="W861" s="133"/>
      <c r="X861" s="133"/>
      <c r="Y861" s="133"/>
      <c r="Z861" s="133"/>
      <c r="AA861" s="133"/>
      <c r="AB861" s="102"/>
      <c r="AC861" s="102"/>
      <c r="AD861" s="103"/>
    </row>
    <row r="862" ht="15.75" customHeight="1">
      <c r="A862" s="142"/>
      <c r="B862" s="143"/>
      <c r="C862" s="136"/>
      <c r="D862" s="136"/>
      <c r="E862" s="143"/>
      <c r="F862" s="143"/>
      <c r="G862" s="143"/>
      <c r="H862" s="143"/>
      <c r="I862" s="143"/>
      <c r="J862" s="143"/>
      <c r="K862" s="145"/>
      <c r="L862" s="146"/>
      <c r="M862" s="136"/>
      <c r="N862" s="114"/>
      <c r="O862" s="136"/>
      <c r="P862" s="136"/>
      <c r="Q862" s="136"/>
      <c r="R862" s="136"/>
      <c r="S862" s="136"/>
      <c r="T862" s="136"/>
      <c r="U862" s="136"/>
      <c r="V862" s="136"/>
      <c r="W862" s="136"/>
      <c r="X862" s="136"/>
      <c r="Y862" s="136"/>
      <c r="Z862" s="136"/>
      <c r="AA862" s="136"/>
      <c r="AB862" s="102"/>
      <c r="AC862" s="102"/>
      <c r="AD862" s="103"/>
    </row>
    <row r="863" ht="15.75" customHeight="1">
      <c r="A863" s="147"/>
      <c r="B863" s="148"/>
      <c r="C863" s="133"/>
      <c r="D863" s="133"/>
      <c r="E863" s="148"/>
      <c r="F863" s="148"/>
      <c r="G863" s="148"/>
      <c r="H863" s="148"/>
      <c r="I863" s="148"/>
      <c r="J863" s="148"/>
      <c r="K863" s="150"/>
      <c r="L863" s="151"/>
      <c r="M863" s="133"/>
      <c r="N863" s="114"/>
      <c r="O863" s="133"/>
      <c r="P863" s="133"/>
      <c r="Q863" s="133"/>
      <c r="R863" s="133"/>
      <c r="S863" s="133"/>
      <c r="T863" s="133"/>
      <c r="U863" s="133"/>
      <c r="V863" s="133"/>
      <c r="W863" s="133"/>
      <c r="X863" s="133"/>
      <c r="Y863" s="133"/>
      <c r="Z863" s="133"/>
      <c r="AA863" s="133"/>
      <c r="AB863" s="102"/>
      <c r="AC863" s="102"/>
      <c r="AD863" s="103"/>
    </row>
    <row r="864" ht="15.75" customHeight="1">
      <c r="A864" s="142"/>
      <c r="B864" s="143"/>
      <c r="C864" s="136"/>
      <c r="D864" s="136"/>
      <c r="E864" s="143"/>
      <c r="F864" s="143"/>
      <c r="G864" s="143"/>
      <c r="H864" s="143"/>
      <c r="I864" s="143"/>
      <c r="J864" s="143"/>
      <c r="K864" s="145"/>
      <c r="L864" s="146"/>
      <c r="M864" s="136"/>
      <c r="N864" s="114"/>
      <c r="O864" s="136"/>
      <c r="P864" s="136"/>
      <c r="Q864" s="136"/>
      <c r="R864" s="136"/>
      <c r="S864" s="136"/>
      <c r="T864" s="136"/>
      <c r="U864" s="136"/>
      <c r="V864" s="136"/>
      <c r="W864" s="136"/>
      <c r="X864" s="136"/>
      <c r="Y864" s="136"/>
      <c r="Z864" s="136"/>
      <c r="AA864" s="136"/>
      <c r="AB864" s="102"/>
      <c r="AC864" s="102"/>
      <c r="AD864" s="103"/>
    </row>
    <row r="865" ht="15.75" customHeight="1">
      <c r="A865" s="147"/>
      <c r="B865" s="148"/>
      <c r="C865" s="133"/>
      <c r="D865" s="133"/>
      <c r="E865" s="148"/>
      <c r="F865" s="148"/>
      <c r="G865" s="148"/>
      <c r="H865" s="148"/>
      <c r="I865" s="148"/>
      <c r="J865" s="148"/>
      <c r="K865" s="150"/>
      <c r="L865" s="151"/>
      <c r="M865" s="133"/>
      <c r="N865" s="114"/>
      <c r="O865" s="133"/>
      <c r="P865" s="133"/>
      <c r="Q865" s="133"/>
      <c r="R865" s="133"/>
      <c r="S865" s="133"/>
      <c r="T865" s="133"/>
      <c r="U865" s="133"/>
      <c r="V865" s="133"/>
      <c r="W865" s="133"/>
      <c r="X865" s="133"/>
      <c r="Y865" s="133"/>
      <c r="Z865" s="133"/>
      <c r="AA865" s="133"/>
      <c r="AB865" s="102"/>
      <c r="AC865" s="102"/>
      <c r="AD865" s="103"/>
    </row>
    <row r="866" ht="15.75" customHeight="1">
      <c r="A866" s="142"/>
      <c r="B866" s="143"/>
      <c r="C866" s="136"/>
      <c r="D866" s="136"/>
      <c r="E866" s="143"/>
      <c r="F866" s="143"/>
      <c r="G866" s="143"/>
      <c r="H866" s="143"/>
      <c r="I866" s="143"/>
      <c r="J866" s="143"/>
      <c r="K866" s="145"/>
      <c r="L866" s="146"/>
      <c r="M866" s="136"/>
      <c r="N866" s="114"/>
      <c r="O866" s="136"/>
      <c r="P866" s="136"/>
      <c r="Q866" s="136"/>
      <c r="R866" s="136"/>
      <c r="S866" s="136"/>
      <c r="T866" s="136"/>
      <c r="U866" s="136"/>
      <c r="V866" s="136"/>
      <c r="W866" s="136"/>
      <c r="X866" s="136"/>
      <c r="Y866" s="136"/>
      <c r="Z866" s="136"/>
      <c r="AA866" s="136"/>
      <c r="AB866" s="102"/>
      <c r="AC866" s="102"/>
      <c r="AD866" s="103"/>
    </row>
    <row r="867" ht="15.75" customHeight="1">
      <c r="A867" s="147"/>
      <c r="B867" s="148"/>
      <c r="C867" s="133"/>
      <c r="D867" s="133"/>
      <c r="E867" s="148"/>
      <c r="F867" s="148"/>
      <c r="G867" s="148"/>
      <c r="H867" s="148"/>
      <c r="I867" s="148"/>
      <c r="J867" s="148"/>
      <c r="K867" s="150"/>
      <c r="L867" s="151"/>
      <c r="M867" s="133"/>
      <c r="N867" s="114"/>
      <c r="O867" s="133"/>
      <c r="P867" s="133"/>
      <c r="Q867" s="133"/>
      <c r="R867" s="133"/>
      <c r="S867" s="133"/>
      <c r="T867" s="133"/>
      <c r="U867" s="133"/>
      <c r="V867" s="133"/>
      <c r="W867" s="133"/>
      <c r="X867" s="133"/>
      <c r="Y867" s="133"/>
      <c r="Z867" s="133"/>
      <c r="AA867" s="133"/>
      <c r="AB867" s="102"/>
      <c r="AC867" s="102"/>
      <c r="AD867" s="103"/>
    </row>
    <row r="868" ht="15.75" customHeight="1">
      <c r="A868" s="142"/>
      <c r="B868" s="143"/>
      <c r="C868" s="136"/>
      <c r="D868" s="136"/>
      <c r="E868" s="143"/>
      <c r="F868" s="143"/>
      <c r="G868" s="143"/>
      <c r="H868" s="143"/>
      <c r="I868" s="143"/>
      <c r="J868" s="143"/>
      <c r="K868" s="145"/>
      <c r="L868" s="146"/>
      <c r="M868" s="136"/>
      <c r="N868" s="114"/>
      <c r="O868" s="136"/>
      <c r="P868" s="136"/>
      <c r="Q868" s="136"/>
      <c r="R868" s="136"/>
      <c r="S868" s="136"/>
      <c r="T868" s="136"/>
      <c r="U868" s="136"/>
      <c r="V868" s="136"/>
      <c r="W868" s="136"/>
      <c r="X868" s="136"/>
      <c r="Y868" s="136"/>
      <c r="Z868" s="136"/>
      <c r="AA868" s="136"/>
      <c r="AB868" s="102"/>
      <c r="AC868" s="102"/>
      <c r="AD868" s="103"/>
    </row>
    <row r="869" ht="15.75" customHeight="1">
      <c r="A869" s="147"/>
      <c r="B869" s="148"/>
      <c r="C869" s="133"/>
      <c r="D869" s="133"/>
      <c r="E869" s="148"/>
      <c r="F869" s="148"/>
      <c r="G869" s="148"/>
      <c r="H869" s="148"/>
      <c r="I869" s="148"/>
      <c r="J869" s="148"/>
      <c r="K869" s="150"/>
      <c r="L869" s="151"/>
      <c r="M869" s="133"/>
      <c r="N869" s="114"/>
      <c r="O869" s="133"/>
      <c r="P869" s="133"/>
      <c r="Q869" s="133"/>
      <c r="R869" s="133"/>
      <c r="S869" s="133"/>
      <c r="T869" s="133"/>
      <c r="U869" s="133"/>
      <c r="V869" s="133"/>
      <c r="W869" s="133"/>
      <c r="X869" s="133"/>
      <c r="Y869" s="133"/>
      <c r="Z869" s="133"/>
      <c r="AA869" s="133"/>
      <c r="AB869" s="102"/>
      <c r="AC869" s="102"/>
      <c r="AD869" s="103"/>
    </row>
    <row r="870" ht="15.75" customHeight="1">
      <c r="A870" s="142"/>
      <c r="B870" s="143"/>
      <c r="C870" s="136"/>
      <c r="D870" s="136"/>
      <c r="E870" s="143"/>
      <c r="F870" s="143"/>
      <c r="G870" s="143"/>
      <c r="H870" s="143"/>
      <c r="I870" s="143"/>
      <c r="J870" s="143"/>
      <c r="K870" s="145"/>
      <c r="L870" s="146"/>
      <c r="M870" s="136"/>
      <c r="N870" s="114"/>
      <c r="O870" s="136"/>
      <c r="P870" s="136"/>
      <c r="Q870" s="136"/>
      <c r="R870" s="136"/>
      <c r="S870" s="136"/>
      <c r="T870" s="136"/>
      <c r="U870" s="136"/>
      <c r="V870" s="136"/>
      <c r="W870" s="136"/>
      <c r="X870" s="136"/>
      <c r="Y870" s="136"/>
      <c r="Z870" s="136"/>
      <c r="AA870" s="136"/>
      <c r="AB870" s="102"/>
      <c r="AC870" s="102"/>
      <c r="AD870" s="103"/>
    </row>
    <row r="871" ht="15.75" customHeight="1">
      <c r="A871" s="147"/>
      <c r="B871" s="148"/>
      <c r="C871" s="133"/>
      <c r="D871" s="133"/>
      <c r="E871" s="148"/>
      <c r="F871" s="148"/>
      <c r="G871" s="148"/>
      <c r="H871" s="148"/>
      <c r="I871" s="148"/>
      <c r="J871" s="148"/>
      <c r="K871" s="150"/>
      <c r="L871" s="151"/>
      <c r="M871" s="133"/>
      <c r="N871" s="114"/>
      <c r="O871" s="133"/>
      <c r="P871" s="133"/>
      <c r="Q871" s="133"/>
      <c r="R871" s="133"/>
      <c r="S871" s="133"/>
      <c r="T871" s="133"/>
      <c r="U871" s="133"/>
      <c r="V871" s="133"/>
      <c r="W871" s="133"/>
      <c r="X871" s="133"/>
      <c r="Y871" s="133"/>
      <c r="Z871" s="133"/>
      <c r="AA871" s="133"/>
      <c r="AB871" s="102"/>
      <c r="AC871" s="102"/>
      <c r="AD871" s="103"/>
    </row>
    <row r="872" ht="15.75" customHeight="1">
      <c r="A872" s="142"/>
      <c r="B872" s="143"/>
      <c r="C872" s="136"/>
      <c r="D872" s="136"/>
      <c r="E872" s="143"/>
      <c r="F872" s="143"/>
      <c r="G872" s="143"/>
      <c r="H872" s="143"/>
      <c r="I872" s="143"/>
      <c r="J872" s="143"/>
      <c r="K872" s="145"/>
      <c r="L872" s="146"/>
      <c r="M872" s="136"/>
      <c r="N872" s="114"/>
      <c r="O872" s="136"/>
      <c r="P872" s="136"/>
      <c r="Q872" s="136"/>
      <c r="R872" s="136"/>
      <c r="S872" s="136"/>
      <c r="T872" s="136"/>
      <c r="U872" s="136"/>
      <c r="V872" s="136"/>
      <c r="W872" s="136"/>
      <c r="X872" s="136"/>
      <c r="Y872" s="136"/>
      <c r="Z872" s="136"/>
      <c r="AA872" s="136"/>
      <c r="AB872" s="102"/>
      <c r="AC872" s="102"/>
      <c r="AD872" s="103"/>
    </row>
    <row r="873" ht="15.75" customHeight="1">
      <c r="A873" s="147"/>
      <c r="B873" s="148"/>
      <c r="C873" s="133"/>
      <c r="D873" s="133"/>
      <c r="E873" s="148"/>
      <c r="F873" s="148"/>
      <c r="G873" s="148"/>
      <c r="H873" s="148"/>
      <c r="I873" s="148"/>
      <c r="J873" s="148"/>
      <c r="K873" s="150"/>
      <c r="L873" s="151"/>
      <c r="M873" s="133"/>
      <c r="N873" s="114"/>
      <c r="O873" s="133"/>
      <c r="P873" s="133"/>
      <c r="Q873" s="133"/>
      <c r="R873" s="133"/>
      <c r="S873" s="133"/>
      <c r="T873" s="133"/>
      <c r="U873" s="133"/>
      <c r="V873" s="133"/>
      <c r="W873" s="133"/>
      <c r="X873" s="133"/>
      <c r="Y873" s="133"/>
      <c r="Z873" s="133"/>
      <c r="AA873" s="133"/>
      <c r="AB873" s="102"/>
      <c r="AC873" s="102"/>
      <c r="AD873" s="103"/>
    </row>
    <row r="874" ht="15.75" customHeight="1">
      <c r="A874" s="142"/>
      <c r="B874" s="143"/>
      <c r="C874" s="136"/>
      <c r="D874" s="136"/>
      <c r="E874" s="143"/>
      <c r="F874" s="143"/>
      <c r="G874" s="143"/>
      <c r="H874" s="143"/>
      <c r="I874" s="143"/>
      <c r="J874" s="143"/>
      <c r="K874" s="145"/>
      <c r="L874" s="146"/>
      <c r="M874" s="136"/>
      <c r="N874" s="114"/>
      <c r="O874" s="136"/>
      <c r="P874" s="136"/>
      <c r="Q874" s="136"/>
      <c r="R874" s="136"/>
      <c r="S874" s="136"/>
      <c r="T874" s="136"/>
      <c r="U874" s="136"/>
      <c r="V874" s="136"/>
      <c r="W874" s="136"/>
      <c r="X874" s="136"/>
      <c r="Y874" s="136"/>
      <c r="Z874" s="136"/>
      <c r="AA874" s="136"/>
      <c r="AB874" s="102"/>
      <c r="AC874" s="102"/>
      <c r="AD874" s="103"/>
    </row>
    <row r="875" ht="15.75" customHeight="1">
      <c r="A875" s="147"/>
      <c r="B875" s="148"/>
      <c r="C875" s="133"/>
      <c r="D875" s="133"/>
      <c r="E875" s="148"/>
      <c r="F875" s="148"/>
      <c r="G875" s="148"/>
      <c r="H875" s="148"/>
      <c r="I875" s="148"/>
      <c r="J875" s="148"/>
      <c r="K875" s="150"/>
      <c r="L875" s="151"/>
      <c r="M875" s="133"/>
      <c r="N875" s="114"/>
      <c r="O875" s="133"/>
      <c r="P875" s="133"/>
      <c r="Q875" s="133"/>
      <c r="R875" s="133"/>
      <c r="S875" s="133"/>
      <c r="T875" s="133"/>
      <c r="U875" s="133"/>
      <c r="V875" s="133"/>
      <c r="W875" s="133"/>
      <c r="X875" s="133"/>
      <c r="Y875" s="133"/>
      <c r="Z875" s="133"/>
      <c r="AA875" s="133"/>
      <c r="AB875" s="102"/>
      <c r="AC875" s="102"/>
      <c r="AD875" s="103"/>
    </row>
    <row r="876" ht="15.75" customHeight="1">
      <c r="A876" s="142"/>
      <c r="B876" s="143"/>
      <c r="C876" s="136"/>
      <c r="D876" s="136"/>
      <c r="E876" s="143"/>
      <c r="F876" s="143"/>
      <c r="G876" s="143"/>
      <c r="H876" s="143"/>
      <c r="I876" s="143"/>
      <c r="J876" s="143"/>
      <c r="K876" s="145"/>
      <c r="L876" s="146"/>
      <c r="M876" s="136"/>
      <c r="N876" s="114"/>
      <c r="O876" s="136"/>
      <c r="P876" s="136"/>
      <c r="Q876" s="136"/>
      <c r="R876" s="136"/>
      <c r="S876" s="136"/>
      <c r="T876" s="136"/>
      <c r="U876" s="136"/>
      <c r="V876" s="136"/>
      <c r="W876" s="136"/>
      <c r="X876" s="136"/>
      <c r="Y876" s="136"/>
      <c r="Z876" s="136"/>
      <c r="AA876" s="136"/>
      <c r="AB876" s="102"/>
      <c r="AC876" s="102"/>
      <c r="AD876" s="103"/>
    </row>
    <row r="877" ht="15.75" customHeight="1">
      <c r="A877" s="147"/>
      <c r="B877" s="148"/>
      <c r="C877" s="133"/>
      <c r="D877" s="133"/>
      <c r="E877" s="148"/>
      <c r="F877" s="148"/>
      <c r="G877" s="148"/>
      <c r="H877" s="148"/>
      <c r="I877" s="148"/>
      <c r="J877" s="148"/>
      <c r="K877" s="150"/>
      <c r="L877" s="151"/>
      <c r="M877" s="133"/>
      <c r="N877" s="114"/>
      <c r="O877" s="133"/>
      <c r="P877" s="133"/>
      <c r="Q877" s="133"/>
      <c r="R877" s="133"/>
      <c r="S877" s="133"/>
      <c r="T877" s="133"/>
      <c r="U877" s="133"/>
      <c r="V877" s="133"/>
      <c r="W877" s="133"/>
      <c r="X877" s="133"/>
      <c r="Y877" s="133"/>
      <c r="Z877" s="133"/>
      <c r="AA877" s="133"/>
      <c r="AB877" s="102"/>
      <c r="AC877" s="102"/>
      <c r="AD877" s="103"/>
    </row>
    <row r="878" ht="15.75" customHeight="1">
      <c r="A878" s="142"/>
      <c r="B878" s="143"/>
      <c r="C878" s="136"/>
      <c r="D878" s="136"/>
      <c r="E878" s="143"/>
      <c r="F878" s="143"/>
      <c r="G878" s="143"/>
      <c r="H878" s="143"/>
      <c r="I878" s="143"/>
      <c r="J878" s="143"/>
      <c r="K878" s="145"/>
      <c r="L878" s="146"/>
      <c r="M878" s="136"/>
      <c r="N878" s="114"/>
      <c r="O878" s="136"/>
      <c r="P878" s="136"/>
      <c r="Q878" s="136"/>
      <c r="R878" s="136"/>
      <c r="S878" s="136"/>
      <c r="T878" s="136"/>
      <c r="U878" s="136"/>
      <c r="V878" s="136"/>
      <c r="W878" s="136"/>
      <c r="X878" s="136"/>
      <c r="Y878" s="136"/>
      <c r="Z878" s="136"/>
      <c r="AA878" s="136"/>
      <c r="AB878" s="102"/>
      <c r="AC878" s="102"/>
      <c r="AD878" s="103"/>
    </row>
    <row r="879" ht="15.75" customHeight="1">
      <c r="A879" s="147"/>
      <c r="B879" s="148"/>
      <c r="C879" s="133"/>
      <c r="D879" s="133"/>
      <c r="E879" s="148"/>
      <c r="F879" s="148"/>
      <c r="G879" s="148"/>
      <c r="H879" s="148"/>
      <c r="I879" s="148"/>
      <c r="J879" s="148"/>
      <c r="K879" s="150"/>
      <c r="L879" s="151"/>
      <c r="M879" s="133"/>
      <c r="N879" s="114"/>
      <c r="O879" s="133"/>
      <c r="P879" s="133"/>
      <c r="Q879" s="133"/>
      <c r="R879" s="133"/>
      <c r="S879" s="133"/>
      <c r="T879" s="133"/>
      <c r="U879" s="133"/>
      <c r="V879" s="133"/>
      <c r="W879" s="133"/>
      <c r="X879" s="133"/>
      <c r="Y879" s="133"/>
      <c r="Z879" s="133"/>
      <c r="AA879" s="133"/>
      <c r="AB879" s="102"/>
      <c r="AC879" s="102"/>
      <c r="AD879" s="103"/>
    </row>
    <row r="880" ht="15.75" customHeight="1">
      <c r="A880" s="142"/>
      <c r="B880" s="143"/>
      <c r="C880" s="136"/>
      <c r="D880" s="136"/>
      <c r="E880" s="143"/>
      <c r="F880" s="143"/>
      <c r="G880" s="143"/>
      <c r="H880" s="143"/>
      <c r="I880" s="143"/>
      <c r="J880" s="143"/>
      <c r="K880" s="145"/>
      <c r="L880" s="146"/>
      <c r="M880" s="136"/>
      <c r="N880" s="114"/>
      <c r="O880" s="136"/>
      <c r="P880" s="136"/>
      <c r="Q880" s="136"/>
      <c r="R880" s="136"/>
      <c r="S880" s="136"/>
      <c r="T880" s="136"/>
      <c r="U880" s="136"/>
      <c r="V880" s="136"/>
      <c r="W880" s="136"/>
      <c r="X880" s="136"/>
      <c r="Y880" s="136"/>
      <c r="Z880" s="136"/>
      <c r="AA880" s="136"/>
      <c r="AB880" s="102"/>
      <c r="AC880" s="102"/>
      <c r="AD880" s="103"/>
    </row>
    <row r="881" ht="15.75" customHeight="1">
      <c r="A881" s="147"/>
      <c r="B881" s="148"/>
      <c r="C881" s="133"/>
      <c r="D881" s="133"/>
      <c r="E881" s="148"/>
      <c r="F881" s="148"/>
      <c r="G881" s="148"/>
      <c r="H881" s="148"/>
      <c r="I881" s="148"/>
      <c r="J881" s="148"/>
      <c r="K881" s="150"/>
      <c r="L881" s="151"/>
      <c r="M881" s="133"/>
      <c r="N881" s="114"/>
      <c r="O881" s="133"/>
      <c r="P881" s="133"/>
      <c r="Q881" s="133"/>
      <c r="R881" s="133"/>
      <c r="S881" s="133"/>
      <c r="T881" s="133"/>
      <c r="U881" s="133"/>
      <c r="V881" s="133"/>
      <c r="W881" s="133"/>
      <c r="X881" s="133"/>
      <c r="Y881" s="133"/>
      <c r="Z881" s="133"/>
      <c r="AA881" s="133"/>
      <c r="AB881" s="102"/>
      <c r="AC881" s="102"/>
      <c r="AD881" s="103"/>
    </row>
    <row r="882" ht="15.75" customHeight="1">
      <c r="A882" s="142"/>
      <c r="B882" s="143"/>
      <c r="C882" s="136"/>
      <c r="D882" s="136"/>
      <c r="E882" s="143"/>
      <c r="F882" s="143"/>
      <c r="G882" s="143"/>
      <c r="H882" s="143"/>
      <c r="I882" s="143"/>
      <c r="J882" s="143"/>
      <c r="K882" s="145"/>
      <c r="L882" s="146"/>
      <c r="M882" s="136"/>
      <c r="N882" s="114"/>
      <c r="O882" s="136"/>
      <c r="P882" s="136"/>
      <c r="Q882" s="136"/>
      <c r="R882" s="136"/>
      <c r="S882" s="136"/>
      <c r="T882" s="136"/>
      <c r="U882" s="136"/>
      <c r="V882" s="136"/>
      <c r="W882" s="136"/>
      <c r="X882" s="136"/>
      <c r="Y882" s="136"/>
      <c r="Z882" s="136"/>
      <c r="AA882" s="136"/>
      <c r="AB882" s="102"/>
      <c r="AC882" s="102"/>
      <c r="AD882" s="103"/>
    </row>
    <row r="883" ht="15.75" customHeight="1">
      <c r="A883" s="147"/>
      <c r="B883" s="148"/>
      <c r="C883" s="133"/>
      <c r="D883" s="133"/>
      <c r="E883" s="148"/>
      <c r="F883" s="148"/>
      <c r="G883" s="148"/>
      <c r="H883" s="148"/>
      <c r="I883" s="148"/>
      <c r="J883" s="148"/>
      <c r="K883" s="150"/>
      <c r="L883" s="151"/>
      <c r="M883" s="133"/>
      <c r="N883" s="114"/>
      <c r="O883" s="133"/>
      <c r="P883" s="133"/>
      <c r="Q883" s="133"/>
      <c r="R883" s="133"/>
      <c r="S883" s="133"/>
      <c r="T883" s="133"/>
      <c r="U883" s="133"/>
      <c r="V883" s="133"/>
      <c r="W883" s="133"/>
      <c r="X883" s="133"/>
      <c r="Y883" s="133"/>
      <c r="Z883" s="133"/>
      <c r="AA883" s="133"/>
      <c r="AB883" s="102"/>
      <c r="AC883" s="102"/>
      <c r="AD883" s="103"/>
    </row>
    <row r="884" ht="15.75" customHeight="1">
      <c r="A884" s="142"/>
      <c r="B884" s="143"/>
      <c r="C884" s="136"/>
      <c r="D884" s="136"/>
      <c r="E884" s="143"/>
      <c r="F884" s="143"/>
      <c r="G884" s="143"/>
      <c r="H884" s="143"/>
      <c r="I884" s="143"/>
      <c r="J884" s="143"/>
      <c r="K884" s="145"/>
      <c r="L884" s="146"/>
      <c r="M884" s="136"/>
      <c r="N884" s="114"/>
      <c r="O884" s="136"/>
      <c r="P884" s="136"/>
      <c r="Q884" s="136"/>
      <c r="R884" s="136"/>
      <c r="S884" s="136"/>
      <c r="T884" s="136"/>
      <c r="U884" s="136"/>
      <c r="V884" s="136"/>
      <c r="W884" s="136"/>
      <c r="X884" s="136"/>
      <c r="Y884" s="136"/>
      <c r="Z884" s="136"/>
      <c r="AA884" s="136"/>
      <c r="AB884" s="102"/>
      <c r="AC884" s="102"/>
      <c r="AD884" s="103"/>
    </row>
    <row r="885" ht="15.75" customHeight="1">
      <c r="A885" s="147"/>
      <c r="B885" s="148"/>
      <c r="C885" s="133"/>
      <c r="D885" s="133"/>
      <c r="E885" s="148"/>
      <c r="F885" s="148"/>
      <c r="G885" s="148"/>
      <c r="H885" s="148"/>
      <c r="I885" s="148"/>
      <c r="J885" s="148"/>
      <c r="K885" s="150"/>
      <c r="L885" s="151"/>
      <c r="M885" s="133"/>
      <c r="N885" s="114"/>
      <c r="O885" s="133"/>
      <c r="P885" s="133"/>
      <c r="Q885" s="133"/>
      <c r="R885" s="133"/>
      <c r="S885" s="133"/>
      <c r="T885" s="133"/>
      <c r="U885" s="133"/>
      <c r="V885" s="133"/>
      <c r="W885" s="133"/>
      <c r="X885" s="133"/>
      <c r="Y885" s="133"/>
      <c r="Z885" s="133"/>
      <c r="AA885" s="133"/>
      <c r="AB885" s="102"/>
      <c r="AC885" s="102"/>
      <c r="AD885" s="103"/>
    </row>
    <row r="886" ht="15.75" customHeight="1">
      <c r="A886" s="142"/>
      <c r="B886" s="143"/>
      <c r="C886" s="136"/>
      <c r="D886" s="136"/>
      <c r="E886" s="143"/>
      <c r="F886" s="143"/>
      <c r="G886" s="143"/>
      <c r="H886" s="143"/>
      <c r="I886" s="143"/>
      <c r="J886" s="143"/>
      <c r="K886" s="145"/>
      <c r="L886" s="146"/>
      <c r="M886" s="136"/>
      <c r="N886" s="114"/>
      <c r="O886" s="136"/>
      <c r="P886" s="136"/>
      <c r="Q886" s="136"/>
      <c r="R886" s="136"/>
      <c r="S886" s="136"/>
      <c r="T886" s="136"/>
      <c r="U886" s="136"/>
      <c r="V886" s="136"/>
      <c r="W886" s="136"/>
      <c r="X886" s="136"/>
      <c r="Y886" s="136"/>
      <c r="Z886" s="136"/>
      <c r="AA886" s="136"/>
      <c r="AB886" s="102"/>
      <c r="AC886" s="102"/>
      <c r="AD886" s="103"/>
    </row>
    <row r="887" ht="15.75" customHeight="1">
      <c r="A887" s="147"/>
      <c r="B887" s="148"/>
      <c r="C887" s="133"/>
      <c r="D887" s="133"/>
      <c r="E887" s="148"/>
      <c r="F887" s="148"/>
      <c r="G887" s="148"/>
      <c r="H887" s="148"/>
      <c r="I887" s="148"/>
      <c r="J887" s="148"/>
      <c r="K887" s="150"/>
      <c r="L887" s="151"/>
      <c r="M887" s="133"/>
      <c r="N887" s="114"/>
      <c r="O887" s="133"/>
      <c r="P887" s="133"/>
      <c r="Q887" s="133"/>
      <c r="R887" s="133"/>
      <c r="S887" s="133"/>
      <c r="T887" s="133"/>
      <c r="U887" s="133"/>
      <c r="V887" s="133"/>
      <c r="W887" s="133"/>
      <c r="X887" s="133"/>
      <c r="Y887" s="133"/>
      <c r="Z887" s="133"/>
      <c r="AA887" s="133"/>
      <c r="AB887" s="102"/>
      <c r="AC887" s="102"/>
      <c r="AD887" s="103"/>
    </row>
    <row r="888" ht="15.75" customHeight="1">
      <c r="A888" s="142"/>
      <c r="B888" s="143"/>
      <c r="C888" s="136"/>
      <c r="D888" s="136"/>
      <c r="E888" s="143"/>
      <c r="F888" s="143"/>
      <c r="G888" s="143"/>
      <c r="H888" s="143"/>
      <c r="I888" s="143"/>
      <c r="J888" s="143"/>
      <c r="K888" s="145"/>
      <c r="L888" s="146"/>
      <c r="M888" s="136"/>
      <c r="N888" s="114"/>
      <c r="O888" s="136"/>
      <c r="P888" s="136"/>
      <c r="Q888" s="136"/>
      <c r="R888" s="136"/>
      <c r="S888" s="136"/>
      <c r="T888" s="136"/>
      <c r="U888" s="136"/>
      <c r="V888" s="136"/>
      <c r="W888" s="136"/>
      <c r="X888" s="136"/>
      <c r="Y888" s="136"/>
      <c r="Z888" s="136"/>
      <c r="AA888" s="136"/>
      <c r="AB888" s="102"/>
      <c r="AC888" s="102"/>
      <c r="AD888" s="103"/>
    </row>
    <row r="889" ht="15.75" customHeight="1">
      <c r="A889" s="147"/>
      <c r="B889" s="148"/>
      <c r="C889" s="133"/>
      <c r="D889" s="133"/>
      <c r="E889" s="148"/>
      <c r="F889" s="148"/>
      <c r="G889" s="148"/>
      <c r="H889" s="148"/>
      <c r="I889" s="148"/>
      <c r="J889" s="148"/>
      <c r="K889" s="150"/>
      <c r="L889" s="151"/>
      <c r="M889" s="133"/>
      <c r="N889" s="114"/>
      <c r="O889" s="133"/>
      <c r="P889" s="133"/>
      <c r="Q889" s="133"/>
      <c r="R889" s="133"/>
      <c r="S889" s="133"/>
      <c r="T889" s="133"/>
      <c r="U889" s="133"/>
      <c r="V889" s="133"/>
      <c r="W889" s="133"/>
      <c r="X889" s="133"/>
      <c r="Y889" s="133"/>
      <c r="Z889" s="133"/>
      <c r="AA889" s="133"/>
      <c r="AB889" s="102"/>
      <c r="AC889" s="102"/>
      <c r="AD889" s="103"/>
    </row>
    <row r="890" ht="15.75" customHeight="1">
      <c r="A890" s="142"/>
      <c r="B890" s="143"/>
      <c r="C890" s="136"/>
      <c r="D890" s="136"/>
      <c r="E890" s="143"/>
      <c r="F890" s="143"/>
      <c r="G890" s="143"/>
      <c r="H890" s="143"/>
      <c r="I890" s="143"/>
      <c r="J890" s="143"/>
      <c r="K890" s="145"/>
      <c r="L890" s="146"/>
      <c r="M890" s="136"/>
      <c r="N890" s="114"/>
      <c r="O890" s="136"/>
      <c r="P890" s="136"/>
      <c r="Q890" s="136"/>
      <c r="R890" s="136"/>
      <c r="S890" s="136"/>
      <c r="T890" s="136"/>
      <c r="U890" s="136"/>
      <c r="V890" s="136"/>
      <c r="W890" s="136"/>
      <c r="X890" s="136"/>
      <c r="Y890" s="136"/>
      <c r="Z890" s="136"/>
      <c r="AA890" s="136"/>
      <c r="AB890" s="102"/>
      <c r="AC890" s="102"/>
      <c r="AD890" s="103"/>
    </row>
    <row r="891" ht="15.75" customHeight="1">
      <c r="A891" s="147"/>
      <c r="B891" s="148"/>
      <c r="C891" s="133"/>
      <c r="D891" s="133"/>
      <c r="E891" s="148"/>
      <c r="F891" s="148"/>
      <c r="G891" s="148"/>
      <c r="H891" s="148"/>
      <c r="I891" s="148"/>
      <c r="J891" s="148"/>
      <c r="K891" s="150"/>
      <c r="L891" s="151"/>
      <c r="M891" s="133"/>
      <c r="N891" s="114"/>
      <c r="O891" s="133"/>
      <c r="P891" s="133"/>
      <c r="Q891" s="133"/>
      <c r="R891" s="133"/>
      <c r="S891" s="133"/>
      <c r="T891" s="133"/>
      <c r="U891" s="133"/>
      <c r="V891" s="133"/>
      <c r="W891" s="133"/>
      <c r="X891" s="133"/>
      <c r="Y891" s="133"/>
      <c r="Z891" s="133"/>
      <c r="AA891" s="133"/>
      <c r="AB891" s="102"/>
      <c r="AC891" s="102"/>
      <c r="AD891" s="103"/>
    </row>
    <row r="892" ht="15.75" customHeight="1">
      <c r="A892" s="142"/>
      <c r="B892" s="143"/>
      <c r="C892" s="136"/>
      <c r="D892" s="136"/>
      <c r="E892" s="143"/>
      <c r="F892" s="143"/>
      <c r="G892" s="143"/>
      <c r="H892" s="143"/>
      <c r="I892" s="143"/>
      <c r="J892" s="143"/>
      <c r="K892" s="145"/>
      <c r="L892" s="146"/>
      <c r="M892" s="136"/>
      <c r="N892" s="114"/>
      <c r="O892" s="136"/>
      <c r="P892" s="136"/>
      <c r="Q892" s="136"/>
      <c r="R892" s="136"/>
      <c r="S892" s="136"/>
      <c r="T892" s="136"/>
      <c r="U892" s="136"/>
      <c r="V892" s="136"/>
      <c r="W892" s="136"/>
      <c r="X892" s="136"/>
      <c r="Y892" s="136"/>
      <c r="Z892" s="136"/>
      <c r="AA892" s="136"/>
      <c r="AB892" s="102"/>
      <c r="AC892" s="102"/>
      <c r="AD892" s="103"/>
    </row>
    <row r="893" ht="15.75" customHeight="1">
      <c r="A893" s="147"/>
      <c r="B893" s="148"/>
      <c r="C893" s="133"/>
      <c r="D893" s="133"/>
      <c r="E893" s="148"/>
      <c r="F893" s="148"/>
      <c r="G893" s="148"/>
      <c r="H893" s="148"/>
      <c r="I893" s="148"/>
      <c r="J893" s="148"/>
      <c r="K893" s="150"/>
      <c r="L893" s="151"/>
      <c r="M893" s="133"/>
      <c r="N893" s="114"/>
      <c r="O893" s="133"/>
      <c r="P893" s="133"/>
      <c r="Q893" s="133"/>
      <c r="R893" s="133"/>
      <c r="S893" s="133"/>
      <c r="T893" s="133"/>
      <c r="U893" s="133"/>
      <c r="V893" s="133"/>
      <c r="W893" s="133"/>
      <c r="X893" s="133"/>
      <c r="Y893" s="133"/>
      <c r="Z893" s="133"/>
      <c r="AA893" s="133"/>
      <c r="AB893" s="102"/>
      <c r="AC893" s="102"/>
      <c r="AD893" s="103"/>
    </row>
    <row r="894" ht="15.75" customHeight="1">
      <c r="A894" s="142"/>
      <c r="B894" s="143"/>
      <c r="C894" s="136"/>
      <c r="D894" s="136"/>
      <c r="E894" s="143"/>
      <c r="F894" s="143"/>
      <c r="G894" s="143"/>
      <c r="H894" s="143"/>
      <c r="I894" s="143"/>
      <c r="J894" s="143"/>
      <c r="K894" s="145"/>
      <c r="L894" s="146"/>
      <c r="M894" s="136"/>
      <c r="N894" s="114"/>
      <c r="O894" s="136"/>
      <c r="P894" s="136"/>
      <c r="Q894" s="136"/>
      <c r="R894" s="136"/>
      <c r="S894" s="136"/>
      <c r="T894" s="136"/>
      <c r="U894" s="136"/>
      <c r="V894" s="136"/>
      <c r="W894" s="136"/>
      <c r="X894" s="136"/>
      <c r="Y894" s="136"/>
      <c r="Z894" s="136"/>
      <c r="AA894" s="136"/>
      <c r="AB894" s="102"/>
      <c r="AC894" s="102"/>
      <c r="AD894" s="103"/>
    </row>
    <row r="895" ht="15.75" customHeight="1">
      <c r="A895" s="147"/>
      <c r="B895" s="148"/>
      <c r="C895" s="133"/>
      <c r="D895" s="133"/>
      <c r="E895" s="148"/>
      <c r="F895" s="148"/>
      <c r="G895" s="148"/>
      <c r="H895" s="148"/>
      <c r="I895" s="148"/>
      <c r="J895" s="148"/>
      <c r="K895" s="150"/>
      <c r="L895" s="151"/>
      <c r="M895" s="133"/>
      <c r="N895" s="114"/>
      <c r="O895" s="133"/>
      <c r="P895" s="133"/>
      <c r="Q895" s="133"/>
      <c r="R895" s="133"/>
      <c r="S895" s="133"/>
      <c r="T895" s="133"/>
      <c r="U895" s="133"/>
      <c r="V895" s="133"/>
      <c r="W895" s="133"/>
      <c r="X895" s="133"/>
      <c r="Y895" s="133"/>
      <c r="Z895" s="133"/>
      <c r="AA895" s="133"/>
      <c r="AB895" s="102"/>
      <c r="AC895" s="102"/>
      <c r="AD895" s="103"/>
    </row>
    <row r="896" ht="15.75" customHeight="1">
      <c r="A896" s="142"/>
      <c r="B896" s="143"/>
      <c r="C896" s="136"/>
      <c r="D896" s="136"/>
      <c r="E896" s="143"/>
      <c r="F896" s="143"/>
      <c r="G896" s="143"/>
      <c r="H896" s="143"/>
      <c r="I896" s="143"/>
      <c r="J896" s="143"/>
      <c r="K896" s="145"/>
      <c r="L896" s="146"/>
      <c r="M896" s="136"/>
      <c r="N896" s="114"/>
      <c r="O896" s="136"/>
      <c r="P896" s="136"/>
      <c r="Q896" s="136"/>
      <c r="R896" s="136"/>
      <c r="S896" s="136"/>
      <c r="T896" s="136"/>
      <c r="U896" s="136"/>
      <c r="V896" s="136"/>
      <c r="W896" s="136"/>
      <c r="X896" s="136"/>
      <c r="Y896" s="136"/>
      <c r="Z896" s="136"/>
      <c r="AA896" s="136"/>
      <c r="AB896" s="102"/>
      <c r="AC896" s="102"/>
      <c r="AD896" s="103"/>
    </row>
    <row r="897" ht="15.75" customHeight="1">
      <c r="A897" s="147"/>
      <c r="B897" s="148"/>
      <c r="C897" s="133"/>
      <c r="D897" s="133"/>
      <c r="E897" s="148"/>
      <c r="F897" s="148"/>
      <c r="G897" s="148"/>
      <c r="H897" s="148"/>
      <c r="I897" s="148"/>
      <c r="J897" s="148"/>
      <c r="K897" s="150"/>
      <c r="L897" s="151"/>
      <c r="M897" s="133"/>
      <c r="N897" s="114"/>
      <c r="O897" s="133"/>
      <c r="P897" s="133"/>
      <c r="Q897" s="133"/>
      <c r="R897" s="133"/>
      <c r="S897" s="133"/>
      <c r="T897" s="133"/>
      <c r="U897" s="133"/>
      <c r="V897" s="133"/>
      <c r="W897" s="133"/>
      <c r="X897" s="133"/>
      <c r="Y897" s="133"/>
      <c r="Z897" s="133"/>
      <c r="AA897" s="133"/>
      <c r="AB897" s="102"/>
      <c r="AC897" s="102"/>
      <c r="AD897" s="103"/>
    </row>
    <row r="898" ht="15.75" customHeight="1">
      <c r="A898" s="142"/>
      <c r="B898" s="143"/>
      <c r="C898" s="136"/>
      <c r="D898" s="136"/>
      <c r="E898" s="143"/>
      <c r="F898" s="143"/>
      <c r="G898" s="143"/>
      <c r="H898" s="143"/>
      <c r="I898" s="143"/>
      <c r="J898" s="143"/>
      <c r="K898" s="145"/>
      <c r="L898" s="146"/>
      <c r="M898" s="136"/>
      <c r="N898" s="114"/>
      <c r="O898" s="136"/>
      <c r="P898" s="136"/>
      <c r="Q898" s="136"/>
      <c r="R898" s="136"/>
      <c r="S898" s="136"/>
      <c r="T898" s="136"/>
      <c r="U898" s="136"/>
      <c r="V898" s="136"/>
      <c r="W898" s="136"/>
      <c r="X898" s="136"/>
      <c r="Y898" s="136"/>
      <c r="Z898" s="136"/>
      <c r="AA898" s="136"/>
      <c r="AB898" s="102"/>
      <c r="AC898" s="102"/>
      <c r="AD898" s="103"/>
    </row>
    <row r="899" ht="15.75" customHeight="1">
      <c r="A899" s="147"/>
      <c r="B899" s="148"/>
      <c r="C899" s="133"/>
      <c r="D899" s="133"/>
      <c r="E899" s="148"/>
      <c r="F899" s="148"/>
      <c r="G899" s="148"/>
      <c r="H899" s="148"/>
      <c r="I899" s="148"/>
      <c r="J899" s="148"/>
      <c r="K899" s="150"/>
      <c r="L899" s="151"/>
      <c r="M899" s="133"/>
      <c r="N899" s="114"/>
      <c r="O899" s="133"/>
      <c r="P899" s="133"/>
      <c r="Q899" s="133"/>
      <c r="R899" s="133"/>
      <c r="S899" s="133"/>
      <c r="T899" s="133"/>
      <c r="U899" s="133"/>
      <c r="V899" s="133"/>
      <c r="W899" s="133"/>
      <c r="X899" s="133"/>
      <c r="Y899" s="133"/>
      <c r="Z899" s="133"/>
      <c r="AA899" s="133"/>
      <c r="AB899" s="102"/>
      <c r="AC899" s="102"/>
      <c r="AD899" s="103"/>
    </row>
    <row r="900" ht="15.75" customHeight="1">
      <c r="A900" s="142"/>
      <c r="B900" s="143"/>
      <c r="C900" s="136"/>
      <c r="D900" s="136"/>
      <c r="E900" s="143"/>
      <c r="F900" s="143"/>
      <c r="G900" s="143"/>
      <c r="H900" s="143"/>
      <c r="I900" s="143"/>
      <c r="J900" s="143"/>
      <c r="K900" s="145"/>
      <c r="L900" s="146"/>
      <c r="M900" s="136"/>
      <c r="N900" s="114"/>
      <c r="O900" s="136"/>
      <c r="P900" s="136"/>
      <c r="Q900" s="136"/>
      <c r="R900" s="136"/>
      <c r="S900" s="136"/>
      <c r="T900" s="136"/>
      <c r="U900" s="136"/>
      <c r="V900" s="136"/>
      <c r="W900" s="136"/>
      <c r="X900" s="136"/>
      <c r="Y900" s="136"/>
      <c r="Z900" s="136"/>
      <c r="AA900" s="136"/>
      <c r="AB900" s="102"/>
      <c r="AC900" s="102"/>
      <c r="AD900" s="103"/>
    </row>
    <row r="901" ht="15.75" customHeight="1">
      <c r="A901" s="147"/>
      <c r="B901" s="148"/>
      <c r="C901" s="133"/>
      <c r="D901" s="133"/>
      <c r="E901" s="148"/>
      <c r="F901" s="148"/>
      <c r="G901" s="148"/>
      <c r="H901" s="148"/>
      <c r="I901" s="148"/>
      <c r="J901" s="148"/>
      <c r="K901" s="150"/>
      <c r="L901" s="151"/>
      <c r="M901" s="133"/>
      <c r="N901" s="114"/>
      <c r="O901" s="133"/>
      <c r="P901" s="133"/>
      <c r="Q901" s="133"/>
      <c r="R901" s="133"/>
      <c r="S901" s="133"/>
      <c r="T901" s="133"/>
      <c r="U901" s="133"/>
      <c r="V901" s="133"/>
      <c r="W901" s="133"/>
      <c r="X901" s="133"/>
      <c r="Y901" s="133"/>
      <c r="Z901" s="133"/>
      <c r="AA901" s="133"/>
      <c r="AB901" s="102"/>
      <c r="AC901" s="102"/>
      <c r="AD901" s="103"/>
    </row>
    <row r="902" ht="15.75" customHeight="1">
      <c r="A902" s="142"/>
      <c r="B902" s="143"/>
      <c r="C902" s="136"/>
      <c r="D902" s="136"/>
      <c r="E902" s="143"/>
      <c r="F902" s="143"/>
      <c r="G902" s="143"/>
      <c r="H902" s="143"/>
      <c r="I902" s="143"/>
      <c r="J902" s="143"/>
      <c r="K902" s="145"/>
      <c r="L902" s="146"/>
      <c r="M902" s="136"/>
      <c r="N902" s="114"/>
      <c r="O902" s="136"/>
      <c r="P902" s="136"/>
      <c r="Q902" s="136"/>
      <c r="R902" s="136"/>
      <c r="S902" s="136"/>
      <c r="T902" s="136"/>
      <c r="U902" s="136"/>
      <c r="V902" s="136"/>
      <c r="W902" s="136"/>
      <c r="X902" s="136"/>
      <c r="Y902" s="136"/>
      <c r="Z902" s="136"/>
      <c r="AA902" s="136"/>
      <c r="AB902" s="102"/>
      <c r="AC902" s="102"/>
      <c r="AD902" s="103"/>
    </row>
    <row r="903" ht="15.75" customHeight="1">
      <c r="A903" s="147"/>
      <c r="B903" s="148"/>
      <c r="C903" s="133"/>
      <c r="D903" s="133"/>
      <c r="E903" s="148"/>
      <c r="F903" s="148"/>
      <c r="G903" s="148"/>
      <c r="H903" s="148"/>
      <c r="I903" s="148"/>
      <c r="J903" s="148"/>
      <c r="K903" s="150"/>
      <c r="L903" s="151"/>
      <c r="M903" s="133"/>
      <c r="N903" s="114"/>
      <c r="O903" s="133"/>
      <c r="P903" s="133"/>
      <c r="Q903" s="133"/>
      <c r="R903" s="133"/>
      <c r="S903" s="133"/>
      <c r="T903" s="133"/>
      <c r="U903" s="133"/>
      <c r="V903" s="133"/>
      <c r="W903" s="133"/>
      <c r="X903" s="133"/>
      <c r="Y903" s="133"/>
      <c r="Z903" s="133"/>
      <c r="AA903" s="133"/>
      <c r="AB903" s="102"/>
      <c r="AC903" s="102"/>
      <c r="AD903" s="103"/>
    </row>
    <row r="904" ht="15.75" customHeight="1">
      <c r="A904" s="142"/>
      <c r="B904" s="143"/>
      <c r="C904" s="136"/>
      <c r="D904" s="136"/>
      <c r="E904" s="143"/>
      <c r="F904" s="143"/>
      <c r="G904" s="143"/>
      <c r="H904" s="143"/>
      <c r="I904" s="143"/>
      <c r="J904" s="143"/>
      <c r="K904" s="145"/>
      <c r="L904" s="146"/>
      <c r="M904" s="136"/>
      <c r="N904" s="114"/>
      <c r="O904" s="136"/>
      <c r="P904" s="136"/>
      <c r="Q904" s="136"/>
      <c r="R904" s="136"/>
      <c r="S904" s="136"/>
      <c r="T904" s="136"/>
      <c r="U904" s="136"/>
      <c r="V904" s="136"/>
      <c r="W904" s="136"/>
      <c r="X904" s="136"/>
      <c r="Y904" s="136"/>
      <c r="Z904" s="136"/>
      <c r="AA904" s="136"/>
      <c r="AB904" s="102"/>
      <c r="AC904" s="102"/>
      <c r="AD904" s="103"/>
    </row>
    <row r="905" ht="15.75" customHeight="1">
      <c r="A905" s="147"/>
      <c r="B905" s="148"/>
      <c r="C905" s="133"/>
      <c r="D905" s="133"/>
      <c r="E905" s="148"/>
      <c r="F905" s="148"/>
      <c r="G905" s="148"/>
      <c r="H905" s="148"/>
      <c r="I905" s="148"/>
      <c r="J905" s="148"/>
      <c r="K905" s="150"/>
      <c r="L905" s="151"/>
      <c r="M905" s="133"/>
      <c r="N905" s="114"/>
      <c r="O905" s="133"/>
      <c r="P905" s="133"/>
      <c r="Q905" s="133"/>
      <c r="R905" s="133"/>
      <c r="S905" s="133"/>
      <c r="T905" s="133"/>
      <c r="U905" s="133"/>
      <c r="V905" s="133"/>
      <c r="W905" s="133"/>
      <c r="X905" s="133"/>
      <c r="Y905" s="133"/>
      <c r="Z905" s="133"/>
      <c r="AA905" s="133"/>
      <c r="AB905" s="102"/>
      <c r="AC905" s="102"/>
      <c r="AD905" s="103"/>
    </row>
    <row r="906" ht="15.75" customHeight="1">
      <c r="A906" s="142"/>
      <c r="B906" s="143"/>
      <c r="C906" s="136"/>
      <c r="D906" s="136"/>
      <c r="E906" s="143"/>
      <c r="F906" s="143"/>
      <c r="G906" s="143"/>
      <c r="H906" s="143"/>
      <c r="I906" s="143"/>
      <c r="J906" s="143"/>
      <c r="K906" s="145"/>
      <c r="L906" s="146"/>
      <c r="M906" s="136"/>
      <c r="N906" s="114"/>
      <c r="O906" s="136"/>
      <c r="P906" s="136"/>
      <c r="Q906" s="136"/>
      <c r="R906" s="136"/>
      <c r="S906" s="136"/>
      <c r="T906" s="136"/>
      <c r="U906" s="136"/>
      <c r="V906" s="136"/>
      <c r="W906" s="136"/>
      <c r="X906" s="136"/>
      <c r="Y906" s="136"/>
      <c r="Z906" s="136"/>
      <c r="AA906" s="136"/>
      <c r="AB906" s="102"/>
      <c r="AC906" s="102"/>
      <c r="AD906" s="103"/>
    </row>
    <row r="907" ht="15.75" customHeight="1">
      <c r="A907" s="147"/>
      <c r="B907" s="148"/>
      <c r="C907" s="133"/>
      <c r="D907" s="133"/>
      <c r="E907" s="148"/>
      <c r="F907" s="148"/>
      <c r="G907" s="148"/>
      <c r="H907" s="148"/>
      <c r="I907" s="148"/>
      <c r="J907" s="148"/>
      <c r="K907" s="150"/>
      <c r="L907" s="151"/>
      <c r="M907" s="133"/>
      <c r="N907" s="114"/>
      <c r="O907" s="133"/>
      <c r="P907" s="133"/>
      <c r="Q907" s="133"/>
      <c r="R907" s="133"/>
      <c r="S907" s="133"/>
      <c r="T907" s="133"/>
      <c r="U907" s="133"/>
      <c r="V907" s="133"/>
      <c r="W907" s="133"/>
      <c r="X907" s="133"/>
      <c r="Y907" s="133"/>
      <c r="Z907" s="133"/>
      <c r="AA907" s="133"/>
      <c r="AB907" s="102"/>
      <c r="AC907" s="102"/>
      <c r="AD907" s="103"/>
    </row>
    <row r="908" ht="15.75" customHeight="1">
      <c r="A908" s="142"/>
      <c r="B908" s="143"/>
      <c r="C908" s="136"/>
      <c r="D908" s="136"/>
      <c r="E908" s="143"/>
      <c r="F908" s="143"/>
      <c r="G908" s="143"/>
      <c r="H908" s="143"/>
      <c r="I908" s="143"/>
      <c r="J908" s="143"/>
      <c r="K908" s="145"/>
      <c r="L908" s="146"/>
      <c r="M908" s="136"/>
      <c r="N908" s="114"/>
      <c r="O908" s="136"/>
      <c r="P908" s="136"/>
      <c r="Q908" s="136"/>
      <c r="R908" s="136"/>
      <c r="S908" s="136"/>
      <c r="T908" s="136"/>
      <c r="U908" s="136"/>
      <c r="V908" s="136"/>
      <c r="W908" s="136"/>
      <c r="X908" s="136"/>
      <c r="Y908" s="136"/>
      <c r="Z908" s="136"/>
      <c r="AA908" s="136"/>
      <c r="AB908" s="102"/>
      <c r="AC908" s="102"/>
      <c r="AD908" s="103"/>
    </row>
    <row r="909" ht="15.75" customHeight="1">
      <c r="A909" s="147"/>
      <c r="B909" s="148"/>
      <c r="C909" s="133"/>
      <c r="D909" s="133"/>
      <c r="E909" s="148"/>
      <c r="F909" s="148"/>
      <c r="G909" s="148"/>
      <c r="H909" s="148"/>
      <c r="I909" s="148"/>
      <c r="J909" s="148"/>
      <c r="K909" s="150"/>
      <c r="L909" s="151"/>
      <c r="M909" s="133"/>
      <c r="N909" s="114"/>
      <c r="O909" s="133"/>
      <c r="P909" s="133"/>
      <c r="Q909" s="133"/>
      <c r="R909" s="133"/>
      <c r="S909" s="133"/>
      <c r="T909" s="133"/>
      <c r="U909" s="133"/>
      <c r="V909" s="133"/>
      <c r="W909" s="133"/>
      <c r="X909" s="133"/>
      <c r="Y909" s="133"/>
      <c r="Z909" s="133"/>
      <c r="AA909" s="133"/>
      <c r="AB909" s="102"/>
      <c r="AC909" s="102"/>
      <c r="AD909" s="103"/>
    </row>
    <row r="910" ht="15.75" customHeight="1">
      <c r="A910" s="142"/>
      <c r="B910" s="143"/>
      <c r="C910" s="136"/>
      <c r="D910" s="136"/>
      <c r="E910" s="143"/>
      <c r="F910" s="143"/>
      <c r="G910" s="143"/>
      <c r="H910" s="143"/>
      <c r="I910" s="143"/>
      <c r="J910" s="143"/>
      <c r="K910" s="145"/>
      <c r="L910" s="146"/>
      <c r="M910" s="136"/>
      <c r="N910" s="114"/>
      <c r="O910" s="136"/>
      <c r="P910" s="136"/>
      <c r="Q910" s="136"/>
      <c r="R910" s="136"/>
      <c r="S910" s="136"/>
      <c r="T910" s="136"/>
      <c r="U910" s="136"/>
      <c r="V910" s="136"/>
      <c r="W910" s="136"/>
      <c r="X910" s="136"/>
      <c r="Y910" s="136"/>
      <c r="Z910" s="136"/>
      <c r="AA910" s="136"/>
      <c r="AB910" s="102"/>
      <c r="AC910" s="102"/>
      <c r="AD910" s="103"/>
    </row>
    <row r="911" ht="15.75" customHeight="1">
      <c r="A911" s="147"/>
      <c r="B911" s="148"/>
      <c r="C911" s="133"/>
      <c r="D911" s="133"/>
      <c r="E911" s="148"/>
      <c r="F911" s="148"/>
      <c r="G911" s="148"/>
      <c r="H911" s="148"/>
      <c r="I911" s="148"/>
      <c r="J911" s="148"/>
      <c r="K911" s="150"/>
      <c r="L911" s="151"/>
      <c r="M911" s="133"/>
      <c r="N911" s="114"/>
      <c r="O911" s="133"/>
      <c r="P911" s="133"/>
      <c r="Q911" s="133"/>
      <c r="R911" s="133"/>
      <c r="S911" s="133"/>
      <c r="T911" s="133"/>
      <c r="U911" s="133"/>
      <c r="V911" s="133"/>
      <c r="W911" s="133"/>
      <c r="X911" s="133"/>
      <c r="Y911" s="133"/>
      <c r="Z911" s="133"/>
      <c r="AA911" s="133"/>
      <c r="AB911" s="102"/>
      <c r="AC911" s="102"/>
      <c r="AD911" s="103"/>
    </row>
    <row r="912" ht="15.75" customHeight="1">
      <c r="A912" s="142"/>
      <c r="B912" s="143"/>
      <c r="C912" s="136"/>
      <c r="D912" s="136"/>
      <c r="E912" s="143"/>
      <c r="F912" s="143"/>
      <c r="G912" s="143"/>
      <c r="H912" s="143"/>
      <c r="I912" s="143"/>
      <c r="J912" s="143"/>
      <c r="K912" s="145"/>
      <c r="L912" s="146"/>
      <c r="M912" s="136"/>
      <c r="N912" s="114"/>
      <c r="O912" s="136"/>
      <c r="P912" s="136"/>
      <c r="Q912" s="136"/>
      <c r="R912" s="136"/>
      <c r="S912" s="136"/>
      <c r="T912" s="136"/>
      <c r="U912" s="136"/>
      <c r="V912" s="136"/>
      <c r="W912" s="136"/>
      <c r="X912" s="136"/>
      <c r="Y912" s="136"/>
      <c r="Z912" s="136"/>
      <c r="AA912" s="136"/>
      <c r="AB912" s="102"/>
      <c r="AC912" s="102"/>
      <c r="AD912" s="103"/>
    </row>
    <row r="913" ht="15.75" customHeight="1">
      <c r="A913" s="147"/>
      <c r="B913" s="148"/>
      <c r="C913" s="133"/>
      <c r="D913" s="133"/>
      <c r="E913" s="148"/>
      <c r="F913" s="148"/>
      <c r="G913" s="148"/>
      <c r="H913" s="148"/>
      <c r="I913" s="148"/>
      <c r="J913" s="148"/>
      <c r="K913" s="150"/>
      <c r="L913" s="151"/>
      <c r="M913" s="133"/>
      <c r="N913" s="114"/>
      <c r="O913" s="133"/>
      <c r="P913" s="133"/>
      <c r="Q913" s="133"/>
      <c r="R913" s="133"/>
      <c r="S913" s="133"/>
      <c r="T913" s="133"/>
      <c r="U913" s="133"/>
      <c r="V913" s="133"/>
      <c r="W913" s="133"/>
      <c r="X913" s="133"/>
      <c r="Y913" s="133"/>
      <c r="Z913" s="133"/>
      <c r="AA913" s="133"/>
      <c r="AB913" s="102"/>
      <c r="AC913" s="102"/>
      <c r="AD913" s="103"/>
    </row>
    <row r="914" ht="15.75" customHeight="1">
      <c r="A914" s="142"/>
      <c r="B914" s="143"/>
      <c r="C914" s="136"/>
      <c r="D914" s="136"/>
      <c r="E914" s="143"/>
      <c r="F914" s="143"/>
      <c r="G914" s="143"/>
      <c r="H914" s="143"/>
      <c r="I914" s="143"/>
      <c r="J914" s="143"/>
      <c r="K914" s="145"/>
      <c r="L914" s="146"/>
      <c r="M914" s="136"/>
      <c r="N914" s="114"/>
      <c r="O914" s="136"/>
      <c r="P914" s="136"/>
      <c r="Q914" s="136"/>
      <c r="R914" s="136"/>
      <c r="S914" s="136"/>
      <c r="T914" s="136"/>
      <c r="U914" s="136"/>
      <c r="V914" s="136"/>
      <c r="W914" s="136"/>
      <c r="X914" s="136"/>
      <c r="Y914" s="136"/>
      <c r="Z914" s="136"/>
      <c r="AA914" s="136"/>
      <c r="AB914" s="102"/>
      <c r="AC914" s="102"/>
      <c r="AD914" s="103"/>
    </row>
    <row r="915" ht="15.75" customHeight="1">
      <c r="A915" s="147"/>
      <c r="B915" s="148"/>
      <c r="C915" s="133"/>
      <c r="D915" s="133"/>
      <c r="E915" s="148"/>
      <c r="F915" s="148"/>
      <c r="G915" s="148"/>
      <c r="H915" s="148"/>
      <c r="I915" s="148"/>
      <c r="J915" s="148"/>
      <c r="K915" s="150"/>
      <c r="L915" s="151"/>
      <c r="M915" s="133"/>
      <c r="N915" s="114"/>
      <c r="O915" s="133"/>
      <c r="P915" s="133"/>
      <c r="Q915" s="133"/>
      <c r="R915" s="133"/>
      <c r="S915" s="133"/>
      <c r="T915" s="133"/>
      <c r="U915" s="133"/>
      <c r="V915" s="133"/>
      <c r="W915" s="133"/>
      <c r="X915" s="133"/>
      <c r="Y915" s="133"/>
      <c r="Z915" s="133"/>
      <c r="AA915" s="133"/>
      <c r="AB915" s="102"/>
      <c r="AC915" s="102"/>
      <c r="AD915" s="103"/>
    </row>
    <row r="916" ht="15.75" customHeight="1">
      <c r="A916" s="142"/>
      <c r="B916" s="143"/>
      <c r="C916" s="136"/>
      <c r="D916" s="136"/>
      <c r="E916" s="143"/>
      <c r="F916" s="143"/>
      <c r="G916" s="143"/>
      <c r="H916" s="143"/>
      <c r="I916" s="143"/>
      <c r="J916" s="143"/>
      <c r="K916" s="145"/>
      <c r="L916" s="146"/>
      <c r="M916" s="136"/>
      <c r="N916" s="114"/>
      <c r="O916" s="136"/>
      <c r="P916" s="136"/>
      <c r="Q916" s="136"/>
      <c r="R916" s="136"/>
      <c r="S916" s="136"/>
      <c r="T916" s="136"/>
      <c r="U916" s="136"/>
      <c r="V916" s="136"/>
      <c r="W916" s="136"/>
      <c r="X916" s="136"/>
      <c r="Y916" s="136"/>
      <c r="Z916" s="136"/>
      <c r="AA916" s="136"/>
      <c r="AB916" s="102"/>
      <c r="AC916" s="102"/>
      <c r="AD916" s="103"/>
    </row>
    <row r="917" ht="15.75" customHeight="1">
      <c r="A917" s="147"/>
      <c r="B917" s="148"/>
      <c r="C917" s="133"/>
      <c r="D917" s="133"/>
      <c r="E917" s="148"/>
      <c r="F917" s="148"/>
      <c r="G917" s="148"/>
      <c r="H917" s="148"/>
      <c r="I917" s="148"/>
      <c r="J917" s="148"/>
      <c r="K917" s="150"/>
      <c r="L917" s="151"/>
      <c r="M917" s="133"/>
      <c r="N917" s="114"/>
      <c r="O917" s="133"/>
      <c r="P917" s="133"/>
      <c r="Q917" s="133"/>
      <c r="R917" s="133"/>
      <c r="S917" s="133"/>
      <c r="T917" s="133"/>
      <c r="U917" s="133"/>
      <c r="V917" s="133"/>
      <c r="W917" s="133"/>
      <c r="X917" s="133"/>
      <c r="Y917" s="133"/>
      <c r="Z917" s="133"/>
      <c r="AA917" s="133"/>
      <c r="AB917" s="102"/>
      <c r="AC917" s="102"/>
      <c r="AD917" s="103"/>
    </row>
    <row r="918" ht="15.75" customHeight="1">
      <c r="A918" s="142"/>
      <c r="B918" s="143"/>
      <c r="C918" s="136"/>
      <c r="D918" s="136"/>
      <c r="E918" s="143"/>
      <c r="F918" s="143"/>
      <c r="G918" s="143"/>
      <c r="H918" s="143"/>
      <c r="I918" s="143"/>
      <c r="J918" s="143"/>
      <c r="K918" s="145"/>
      <c r="L918" s="146"/>
      <c r="M918" s="136"/>
      <c r="N918" s="114"/>
      <c r="O918" s="136"/>
      <c r="P918" s="136"/>
      <c r="Q918" s="136"/>
      <c r="R918" s="136"/>
      <c r="S918" s="136"/>
      <c r="T918" s="136"/>
      <c r="U918" s="136"/>
      <c r="V918" s="136"/>
      <c r="W918" s="136"/>
      <c r="X918" s="136"/>
      <c r="Y918" s="136"/>
      <c r="Z918" s="136"/>
      <c r="AA918" s="136"/>
      <c r="AB918" s="102"/>
      <c r="AC918" s="102"/>
      <c r="AD918" s="103"/>
    </row>
    <row r="919" ht="15.75" customHeight="1">
      <c r="A919" s="147"/>
      <c r="B919" s="148"/>
      <c r="C919" s="133"/>
      <c r="D919" s="133"/>
      <c r="E919" s="148"/>
      <c r="F919" s="148"/>
      <c r="G919" s="148"/>
      <c r="H919" s="148"/>
      <c r="I919" s="148"/>
      <c r="J919" s="148"/>
      <c r="K919" s="150"/>
      <c r="L919" s="151"/>
      <c r="M919" s="133"/>
      <c r="N919" s="114"/>
      <c r="O919" s="133"/>
      <c r="P919" s="133"/>
      <c r="Q919" s="133"/>
      <c r="R919" s="133"/>
      <c r="S919" s="133"/>
      <c r="T919" s="133"/>
      <c r="U919" s="133"/>
      <c r="V919" s="133"/>
      <c r="W919" s="133"/>
      <c r="X919" s="133"/>
      <c r="Y919" s="133"/>
      <c r="Z919" s="133"/>
      <c r="AA919" s="133"/>
      <c r="AB919" s="102"/>
      <c r="AC919" s="102"/>
      <c r="AD919" s="103"/>
    </row>
    <row r="920" ht="15.75" customHeight="1">
      <c r="A920" s="142"/>
      <c r="B920" s="143"/>
      <c r="C920" s="136"/>
      <c r="D920" s="136"/>
      <c r="E920" s="143"/>
      <c r="F920" s="143"/>
      <c r="G920" s="143"/>
      <c r="H920" s="143"/>
      <c r="I920" s="143"/>
      <c r="J920" s="143"/>
      <c r="K920" s="145"/>
      <c r="L920" s="146"/>
      <c r="M920" s="136"/>
      <c r="N920" s="114"/>
      <c r="O920" s="136"/>
      <c r="P920" s="136"/>
      <c r="Q920" s="136"/>
      <c r="R920" s="136"/>
      <c r="S920" s="136"/>
      <c r="T920" s="136"/>
      <c r="U920" s="136"/>
      <c r="V920" s="136"/>
      <c r="W920" s="136"/>
      <c r="X920" s="136"/>
      <c r="Y920" s="136"/>
      <c r="Z920" s="136"/>
      <c r="AA920" s="136"/>
      <c r="AB920" s="102"/>
      <c r="AC920" s="102"/>
      <c r="AD920" s="103"/>
    </row>
    <row r="921" ht="15.75" customHeight="1">
      <c r="A921" s="147"/>
      <c r="B921" s="148"/>
      <c r="C921" s="133"/>
      <c r="D921" s="133"/>
      <c r="E921" s="148"/>
      <c r="F921" s="148"/>
      <c r="G921" s="148"/>
      <c r="H921" s="148"/>
      <c r="I921" s="148"/>
      <c r="J921" s="148"/>
      <c r="K921" s="150"/>
      <c r="L921" s="151"/>
      <c r="M921" s="133"/>
      <c r="N921" s="114"/>
      <c r="O921" s="133"/>
      <c r="P921" s="133"/>
      <c r="Q921" s="133"/>
      <c r="R921" s="133"/>
      <c r="S921" s="133"/>
      <c r="T921" s="133"/>
      <c r="U921" s="133"/>
      <c r="V921" s="133"/>
      <c r="W921" s="133"/>
      <c r="X921" s="133"/>
      <c r="Y921" s="133"/>
      <c r="Z921" s="133"/>
      <c r="AA921" s="133"/>
      <c r="AB921" s="102"/>
      <c r="AC921" s="102"/>
      <c r="AD921" s="103"/>
    </row>
    <row r="922" ht="15.75" customHeight="1">
      <c r="A922" s="142"/>
      <c r="B922" s="143"/>
      <c r="C922" s="136"/>
      <c r="D922" s="136"/>
      <c r="E922" s="143"/>
      <c r="F922" s="143"/>
      <c r="G922" s="143"/>
      <c r="H922" s="143"/>
      <c r="I922" s="143"/>
      <c r="J922" s="143"/>
      <c r="K922" s="145"/>
      <c r="L922" s="146"/>
      <c r="M922" s="136"/>
      <c r="N922" s="114"/>
      <c r="O922" s="136"/>
      <c r="P922" s="136"/>
      <c r="Q922" s="136"/>
      <c r="R922" s="136"/>
      <c r="S922" s="136"/>
      <c r="T922" s="136"/>
      <c r="U922" s="136"/>
      <c r="V922" s="136"/>
      <c r="W922" s="136"/>
      <c r="X922" s="136"/>
      <c r="Y922" s="136"/>
      <c r="Z922" s="136"/>
      <c r="AA922" s="136"/>
      <c r="AB922" s="102"/>
      <c r="AC922" s="102"/>
      <c r="AD922" s="103"/>
    </row>
    <row r="923" ht="15.75" customHeight="1">
      <c r="A923" s="147"/>
      <c r="B923" s="148"/>
      <c r="C923" s="133"/>
      <c r="D923" s="133"/>
      <c r="E923" s="148"/>
      <c r="F923" s="148"/>
      <c r="G923" s="148"/>
      <c r="H923" s="148"/>
      <c r="I923" s="148"/>
      <c r="J923" s="148"/>
      <c r="K923" s="150"/>
      <c r="L923" s="151"/>
      <c r="M923" s="133"/>
      <c r="N923" s="114"/>
      <c r="O923" s="133"/>
      <c r="P923" s="133"/>
      <c r="Q923" s="133"/>
      <c r="R923" s="133"/>
      <c r="S923" s="133"/>
      <c r="T923" s="133"/>
      <c r="U923" s="133"/>
      <c r="V923" s="133"/>
      <c r="W923" s="133"/>
      <c r="X923" s="133"/>
      <c r="Y923" s="133"/>
      <c r="Z923" s="133"/>
      <c r="AA923" s="133"/>
      <c r="AB923" s="102"/>
      <c r="AC923" s="102"/>
      <c r="AD923" s="103"/>
    </row>
    <row r="924" ht="15.75" customHeight="1">
      <c r="A924" s="142"/>
      <c r="B924" s="143"/>
      <c r="C924" s="136"/>
      <c r="D924" s="136"/>
      <c r="E924" s="143"/>
      <c r="F924" s="143"/>
      <c r="G924" s="143"/>
      <c r="H924" s="143"/>
      <c r="I924" s="143"/>
      <c r="J924" s="143"/>
      <c r="K924" s="145"/>
      <c r="L924" s="146"/>
      <c r="M924" s="136"/>
      <c r="N924" s="114"/>
      <c r="O924" s="136"/>
      <c r="P924" s="136"/>
      <c r="Q924" s="136"/>
      <c r="R924" s="136"/>
      <c r="S924" s="136"/>
      <c r="T924" s="136"/>
      <c r="U924" s="136"/>
      <c r="V924" s="136"/>
      <c r="W924" s="136"/>
      <c r="X924" s="136"/>
      <c r="Y924" s="136"/>
      <c r="Z924" s="136"/>
      <c r="AA924" s="136"/>
      <c r="AB924" s="102"/>
      <c r="AC924" s="102"/>
      <c r="AD924" s="103"/>
    </row>
    <row r="925" ht="15.75" customHeight="1">
      <c r="A925" s="147"/>
      <c r="B925" s="148"/>
      <c r="C925" s="133"/>
      <c r="D925" s="133"/>
      <c r="E925" s="148"/>
      <c r="F925" s="148"/>
      <c r="G925" s="148"/>
      <c r="H925" s="148"/>
      <c r="I925" s="148"/>
      <c r="J925" s="148"/>
      <c r="K925" s="150"/>
      <c r="L925" s="151"/>
      <c r="M925" s="133"/>
      <c r="N925" s="114"/>
      <c r="O925" s="133"/>
      <c r="P925" s="133"/>
      <c r="Q925" s="133"/>
      <c r="R925" s="133"/>
      <c r="S925" s="133"/>
      <c r="T925" s="133"/>
      <c r="U925" s="133"/>
      <c r="V925" s="133"/>
      <c r="W925" s="133"/>
      <c r="X925" s="133"/>
      <c r="Y925" s="133"/>
      <c r="Z925" s="133"/>
      <c r="AA925" s="133"/>
      <c r="AB925" s="102"/>
      <c r="AC925" s="102"/>
      <c r="AD925" s="103"/>
    </row>
    <row r="926" ht="15.75" customHeight="1">
      <c r="A926" s="142"/>
      <c r="B926" s="143"/>
      <c r="C926" s="136"/>
      <c r="D926" s="136"/>
      <c r="E926" s="143"/>
      <c r="F926" s="143"/>
      <c r="G926" s="143"/>
      <c r="H926" s="143"/>
      <c r="I926" s="143"/>
      <c r="J926" s="143"/>
      <c r="K926" s="145"/>
      <c r="L926" s="146"/>
      <c r="M926" s="136"/>
      <c r="N926" s="114"/>
      <c r="O926" s="136"/>
      <c r="P926" s="136"/>
      <c r="Q926" s="136"/>
      <c r="R926" s="136"/>
      <c r="S926" s="136"/>
      <c r="T926" s="136"/>
      <c r="U926" s="136"/>
      <c r="V926" s="136"/>
      <c r="W926" s="136"/>
      <c r="X926" s="136"/>
      <c r="Y926" s="136"/>
      <c r="Z926" s="136"/>
      <c r="AA926" s="136"/>
      <c r="AB926" s="102"/>
      <c r="AC926" s="102"/>
      <c r="AD926" s="103"/>
    </row>
    <row r="927" ht="15.75" customHeight="1">
      <c r="A927" s="147"/>
      <c r="B927" s="148"/>
      <c r="C927" s="133"/>
      <c r="D927" s="133"/>
      <c r="E927" s="148"/>
      <c r="F927" s="148"/>
      <c r="G927" s="148"/>
      <c r="H927" s="148"/>
      <c r="I927" s="148"/>
      <c r="J927" s="148"/>
      <c r="K927" s="150"/>
      <c r="L927" s="151"/>
      <c r="M927" s="133"/>
      <c r="N927" s="114"/>
      <c r="O927" s="133"/>
      <c r="P927" s="133"/>
      <c r="Q927" s="133"/>
      <c r="R927" s="133"/>
      <c r="S927" s="133"/>
      <c r="T927" s="133"/>
      <c r="U927" s="133"/>
      <c r="V927" s="133"/>
      <c r="W927" s="133"/>
      <c r="X927" s="133"/>
      <c r="Y927" s="133"/>
      <c r="Z927" s="133"/>
      <c r="AA927" s="133"/>
      <c r="AB927" s="102"/>
      <c r="AC927" s="102"/>
      <c r="AD927" s="103"/>
    </row>
    <row r="928" ht="15.75" customHeight="1">
      <c r="A928" s="142"/>
      <c r="B928" s="143"/>
      <c r="C928" s="136"/>
      <c r="D928" s="136"/>
      <c r="E928" s="143"/>
      <c r="F928" s="143"/>
      <c r="G928" s="143"/>
      <c r="H928" s="143"/>
      <c r="I928" s="143"/>
      <c r="J928" s="143"/>
      <c r="K928" s="145"/>
      <c r="L928" s="146"/>
      <c r="M928" s="136"/>
      <c r="N928" s="114"/>
      <c r="O928" s="136"/>
      <c r="P928" s="136"/>
      <c r="Q928" s="136"/>
      <c r="R928" s="136"/>
      <c r="S928" s="136"/>
      <c r="T928" s="136"/>
      <c r="U928" s="136"/>
      <c r="V928" s="136"/>
      <c r="W928" s="136"/>
      <c r="X928" s="136"/>
      <c r="Y928" s="136"/>
      <c r="Z928" s="136"/>
      <c r="AA928" s="136"/>
      <c r="AB928" s="102"/>
      <c r="AC928" s="102"/>
      <c r="AD928" s="103"/>
    </row>
    <row r="929" ht="15.75" customHeight="1">
      <c r="A929" s="147"/>
      <c r="B929" s="148"/>
      <c r="C929" s="133"/>
      <c r="D929" s="133"/>
      <c r="E929" s="148"/>
      <c r="F929" s="148"/>
      <c r="G929" s="148"/>
      <c r="H929" s="148"/>
      <c r="I929" s="148"/>
      <c r="J929" s="148"/>
      <c r="K929" s="150"/>
      <c r="L929" s="151"/>
      <c r="M929" s="133"/>
      <c r="N929" s="114"/>
      <c r="O929" s="133"/>
      <c r="P929" s="133"/>
      <c r="Q929" s="133"/>
      <c r="R929" s="133"/>
      <c r="S929" s="133"/>
      <c r="T929" s="133"/>
      <c r="U929" s="133"/>
      <c r="V929" s="133"/>
      <c r="W929" s="133"/>
      <c r="X929" s="133"/>
      <c r="Y929" s="133"/>
      <c r="Z929" s="133"/>
      <c r="AA929" s="133"/>
      <c r="AB929" s="102"/>
      <c r="AC929" s="102"/>
      <c r="AD929" s="103"/>
    </row>
    <row r="930" ht="15.75" customHeight="1">
      <c r="A930" s="142"/>
      <c r="B930" s="143"/>
      <c r="C930" s="136"/>
      <c r="D930" s="136"/>
      <c r="E930" s="143"/>
      <c r="F930" s="143"/>
      <c r="G930" s="143"/>
      <c r="H930" s="143"/>
      <c r="I930" s="143"/>
      <c r="J930" s="143"/>
      <c r="K930" s="145"/>
      <c r="L930" s="146"/>
      <c r="M930" s="136"/>
      <c r="N930" s="114"/>
      <c r="O930" s="136"/>
      <c r="P930" s="136"/>
      <c r="Q930" s="136"/>
      <c r="R930" s="136"/>
      <c r="S930" s="136"/>
      <c r="T930" s="136"/>
      <c r="U930" s="136"/>
      <c r="V930" s="136"/>
      <c r="W930" s="136"/>
      <c r="X930" s="136"/>
      <c r="Y930" s="136"/>
      <c r="Z930" s="136"/>
      <c r="AA930" s="136"/>
      <c r="AB930" s="102"/>
      <c r="AC930" s="102"/>
      <c r="AD930" s="103"/>
    </row>
    <row r="931" ht="15.75" customHeight="1">
      <c r="A931" s="147"/>
      <c r="B931" s="148"/>
      <c r="C931" s="133"/>
      <c r="D931" s="133"/>
      <c r="E931" s="148"/>
      <c r="F931" s="148"/>
      <c r="G931" s="148"/>
      <c r="H931" s="148"/>
      <c r="I931" s="148"/>
      <c r="J931" s="148"/>
      <c r="K931" s="150"/>
      <c r="L931" s="151"/>
      <c r="M931" s="133"/>
      <c r="N931" s="114"/>
      <c r="O931" s="133"/>
      <c r="P931" s="133"/>
      <c r="Q931" s="133"/>
      <c r="R931" s="133"/>
      <c r="S931" s="133"/>
      <c r="T931" s="133"/>
      <c r="U931" s="133"/>
      <c r="V931" s="133"/>
      <c r="W931" s="133"/>
      <c r="X931" s="133"/>
      <c r="Y931" s="133"/>
      <c r="Z931" s="133"/>
      <c r="AA931" s="133"/>
      <c r="AB931" s="102"/>
      <c r="AC931" s="102"/>
      <c r="AD931" s="103"/>
    </row>
    <row r="932" ht="15.75" customHeight="1">
      <c r="A932" s="142"/>
      <c r="B932" s="143"/>
      <c r="C932" s="136"/>
      <c r="D932" s="136"/>
      <c r="E932" s="143"/>
      <c r="F932" s="143"/>
      <c r="G932" s="143"/>
      <c r="H932" s="143"/>
      <c r="I932" s="143"/>
      <c r="J932" s="143"/>
      <c r="K932" s="145"/>
      <c r="L932" s="146"/>
      <c r="M932" s="136"/>
      <c r="N932" s="114"/>
      <c r="O932" s="136"/>
      <c r="P932" s="136"/>
      <c r="Q932" s="136"/>
      <c r="R932" s="136"/>
      <c r="S932" s="136"/>
      <c r="T932" s="136"/>
      <c r="U932" s="136"/>
      <c r="V932" s="136"/>
      <c r="W932" s="136"/>
      <c r="X932" s="136"/>
      <c r="Y932" s="136"/>
      <c r="Z932" s="136"/>
      <c r="AA932" s="136"/>
      <c r="AB932" s="102"/>
      <c r="AC932" s="102"/>
      <c r="AD932" s="103"/>
    </row>
    <row r="933" ht="15.75" customHeight="1">
      <c r="A933" s="147"/>
      <c r="B933" s="148"/>
      <c r="C933" s="133"/>
      <c r="D933" s="133"/>
      <c r="E933" s="148"/>
      <c r="F933" s="148"/>
      <c r="G933" s="148"/>
      <c r="H933" s="148"/>
      <c r="I933" s="148"/>
      <c r="J933" s="148"/>
      <c r="K933" s="150"/>
      <c r="L933" s="151"/>
      <c r="M933" s="133"/>
      <c r="N933" s="114"/>
      <c r="O933" s="133"/>
      <c r="P933" s="133"/>
      <c r="Q933" s="133"/>
      <c r="R933" s="133"/>
      <c r="S933" s="133"/>
      <c r="T933" s="133"/>
      <c r="U933" s="133"/>
      <c r="V933" s="133"/>
      <c r="W933" s="133"/>
      <c r="X933" s="133"/>
      <c r="Y933" s="133"/>
      <c r="Z933" s="133"/>
      <c r="AA933" s="133"/>
      <c r="AB933" s="102"/>
      <c r="AC933" s="102"/>
      <c r="AD933" s="103"/>
    </row>
    <row r="934" ht="15.75" customHeight="1">
      <c r="A934" s="142"/>
      <c r="B934" s="143"/>
      <c r="C934" s="136"/>
      <c r="D934" s="136"/>
      <c r="E934" s="143"/>
      <c r="F934" s="143"/>
      <c r="G934" s="143"/>
      <c r="H934" s="143"/>
      <c r="I934" s="143"/>
      <c r="J934" s="143"/>
      <c r="K934" s="145"/>
      <c r="L934" s="146"/>
      <c r="M934" s="136"/>
      <c r="N934" s="114"/>
      <c r="O934" s="136"/>
      <c r="P934" s="136"/>
      <c r="Q934" s="136"/>
      <c r="R934" s="136"/>
      <c r="S934" s="136"/>
      <c r="T934" s="136"/>
      <c r="U934" s="136"/>
      <c r="V934" s="136"/>
      <c r="W934" s="136"/>
      <c r="X934" s="136"/>
      <c r="Y934" s="136"/>
      <c r="Z934" s="136"/>
      <c r="AA934" s="136"/>
      <c r="AB934" s="102"/>
      <c r="AC934" s="102"/>
      <c r="AD934" s="103"/>
    </row>
    <row r="935" ht="15.75" customHeight="1">
      <c r="A935" s="147"/>
      <c r="B935" s="148"/>
      <c r="C935" s="133"/>
      <c r="D935" s="133"/>
      <c r="E935" s="148"/>
      <c r="F935" s="148"/>
      <c r="G935" s="148"/>
      <c r="H935" s="148"/>
      <c r="I935" s="148"/>
      <c r="J935" s="148"/>
      <c r="K935" s="150"/>
      <c r="L935" s="151"/>
      <c r="M935" s="133"/>
      <c r="N935" s="114"/>
      <c r="O935" s="133"/>
      <c r="P935" s="133"/>
      <c r="Q935" s="133"/>
      <c r="R935" s="133"/>
      <c r="S935" s="133"/>
      <c r="T935" s="133"/>
      <c r="U935" s="133"/>
      <c r="V935" s="133"/>
      <c r="W935" s="133"/>
      <c r="X935" s="133"/>
      <c r="Y935" s="133"/>
      <c r="Z935" s="133"/>
      <c r="AA935" s="133"/>
      <c r="AB935" s="102"/>
      <c r="AC935" s="102"/>
      <c r="AD935" s="103"/>
    </row>
    <row r="936" ht="15.75" customHeight="1">
      <c r="A936" s="142"/>
      <c r="B936" s="143"/>
      <c r="C936" s="136"/>
      <c r="D936" s="136"/>
      <c r="E936" s="143"/>
      <c r="F936" s="143"/>
      <c r="G936" s="143"/>
      <c r="H936" s="143"/>
      <c r="I936" s="143"/>
      <c r="J936" s="143"/>
      <c r="K936" s="145"/>
      <c r="L936" s="146"/>
      <c r="M936" s="136"/>
      <c r="N936" s="114"/>
      <c r="O936" s="136"/>
      <c r="P936" s="136"/>
      <c r="Q936" s="136"/>
      <c r="R936" s="136"/>
      <c r="S936" s="136"/>
      <c r="T936" s="136"/>
      <c r="U936" s="136"/>
      <c r="V936" s="136"/>
      <c r="W936" s="136"/>
      <c r="X936" s="136"/>
      <c r="Y936" s="136"/>
      <c r="Z936" s="136"/>
      <c r="AA936" s="136"/>
      <c r="AB936" s="102"/>
      <c r="AC936" s="102"/>
      <c r="AD936" s="103"/>
    </row>
    <row r="937" ht="15.75" customHeight="1">
      <c r="A937" s="147"/>
      <c r="B937" s="148"/>
      <c r="C937" s="133"/>
      <c r="D937" s="133"/>
      <c r="E937" s="148"/>
      <c r="F937" s="148"/>
      <c r="G937" s="148"/>
      <c r="H937" s="148"/>
      <c r="I937" s="148"/>
      <c r="J937" s="148"/>
      <c r="K937" s="150"/>
      <c r="L937" s="151"/>
      <c r="M937" s="133"/>
      <c r="N937" s="114"/>
      <c r="O937" s="133"/>
      <c r="P937" s="133"/>
      <c r="Q937" s="133"/>
      <c r="R937" s="133"/>
      <c r="S937" s="133"/>
      <c r="T937" s="133"/>
      <c r="U937" s="133"/>
      <c r="V937" s="133"/>
      <c r="W937" s="133"/>
      <c r="X937" s="133"/>
      <c r="Y937" s="133"/>
      <c r="Z937" s="133"/>
      <c r="AA937" s="133"/>
      <c r="AB937" s="102"/>
      <c r="AC937" s="102"/>
      <c r="AD937" s="103"/>
    </row>
    <row r="938" ht="15.75" customHeight="1">
      <c r="A938" s="142"/>
      <c r="B938" s="143"/>
      <c r="C938" s="136"/>
      <c r="D938" s="136"/>
      <c r="E938" s="143"/>
      <c r="F938" s="143"/>
      <c r="G938" s="143"/>
      <c r="H938" s="143"/>
      <c r="I938" s="143"/>
      <c r="J938" s="143"/>
      <c r="K938" s="145"/>
      <c r="L938" s="146"/>
      <c r="M938" s="136"/>
      <c r="N938" s="114"/>
      <c r="O938" s="136"/>
      <c r="P938" s="136"/>
      <c r="Q938" s="136"/>
      <c r="R938" s="136"/>
      <c r="S938" s="136"/>
      <c r="T938" s="136"/>
      <c r="U938" s="136"/>
      <c r="V938" s="136"/>
      <c r="W938" s="136"/>
      <c r="X938" s="136"/>
      <c r="Y938" s="136"/>
      <c r="Z938" s="136"/>
      <c r="AA938" s="136"/>
      <c r="AB938" s="102"/>
      <c r="AC938" s="102"/>
      <c r="AD938" s="103"/>
    </row>
    <row r="939" ht="15.75" customHeight="1">
      <c r="A939" s="147"/>
      <c r="B939" s="148"/>
      <c r="C939" s="133"/>
      <c r="D939" s="133"/>
      <c r="E939" s="148"/>
      <c r="F939" s="148"/>
      <c r="G939" s="148"/>
      <c r="H939" s="148"/>
      <c r="I939" s="148"/>
      <c r="J939" s="148"/>
      <c r="K939" s="150"/>
      <c r="L939" s="151"/>
      <c r="M939" s="133"/>
      <c r="N939" s="114"/>
      <c r="O939" s="133"/>
      <c r="P939" s="133"/>
      <c r="Q939" s="133"/>
      <c r="R939" s="133"/>
      <c r="S939" s="133"/>
      <c r="T939" s="133"/>
      <c r="U939" s="133"/>
      <c r="V939" s="133"/>
      <c r="W939" s="133"/>
      <c r="X939" s="133"/>
      <c r="Y939" s="133"/>
      <c r="Z939" s="133"/>
      <c r="AA939" s="133"/>
      <c r="AB939" s="102"/>
      <c r="AC939" s="102"/>
      <c r="AD939" s="103"/>
    </row>
    <row r="940" ht="15.75" customHeight="1">
      <c r="A940" s="142"/>
      <c r="B940" s="143"/>
      <c r="C940" s="136"/>
      <c r="D940" s="136"/>
      <c r="E940" s="143"/>
      <c r="F940" s="143"/>
      <c r="G940" s="143"/>
      <c r="H940" s="143"/>
      <c r="I940" s="143"/>
      <c r="J940" s="143"/>
      <c r="K940" s="145"/>
      <c r="L940" s="146"/>
      <c r="M940" s="136"/>
      <c r="N940" s="114"/>
      <c r="O940" s="136"/>
      <c r="P940" s="136"/>
      <c r="Q940" s="136"/>
      <c r="R940" s="136"/>
      <c r="S940" s="136"/>
      <c r="T940" s="136"/>
      <c r="U940" s="136"/>
      <c r="V940" s="136"/>
      <c r="W940" s="136"/>
      <c r="X940" s="136"/>
      <c r="Y940" s="136"/>
      <c r="Z940" s="136"/>
      <c r="AA940" s="136"/>
      <c r="AB940" s="102"/>
      <c r="AC940" s="102"/>
      <c r="AD940" s="103"/>
    </row>
    <row r="941" ht="15.75" customHeight="1">
      <c r="A941" s="147"/>
      <c r="B941" s="148"/>
      <c r="C941" s="133"/>
      <c r="D941" s="133"/>
      <c r="E941" s="148"/>
      <c r="F941" s="148"/>
      <c r="G941" s="148"/>
      <c r="H941" s="148"/>
      <c r="I941" s="148"/>
      <c r="J941" s="148"/>
      <c r="K941" s="150"/>
      <c r="L941" s="151"/>
      <c r="M941" s="133"/>
      <c r="N941" s="114"/>
      <c r="O941" s="133"/>
      <c r="P941" s="133"/>
      <c r="Q941" s="133"/>
      <c r="R941" s="133"/>
      <c r="S941" s="133"/>
      <c r="T941" s="133"/>
      <c r="U941" s="133"/>
      <c r="V941" s="133"/>
      <c r="W941" s="133"/>
      <c r="X941" s="133"/>
      <c r="Y941" s="133"/>
      <c r="Z941" s="133"/>
      <c r="AA941" s="133"/>
      <c r="AB941" s="102"/>
      <c r="AC941" s="102"/>
      <c r="AD941" s="103"/>
    </row>
    <row r="942" ht="15.75" customHeight="1">
      <c r="A942" s="142"/>
      <c r="B942" s="143"/>
      <c r="C942" s="136"/>
      <c r="D942" s="136"/>
      <c r="E942" s="143"/>
      <c r="F942" s="143"/>
      <c r="G942" s="143"/>
      <c r="H942" s="143"/>
      <c r="I942" s="143"/>
      <c r="J942" s="143"/>
      <c r="K942" s="145"/>
      <c r="L942" s="146"/>
      <c r="M942" s="136"/>
      <c r="N942" s="114"/>
      <c r="O942" s="136"/>
      <c r="P942" s="136"/>
      <c r="Q942" s="136"/>
      <c r="R942" s="136"/>
      <c r="S942" s="136"/>
      <c r="T942" s="136"/>
      <c r="U942" s="136"/>
      <c r="V942" s="136"/>
      <c r="W942" s="136"/>
      <c r="X942" s="136"/>
      <c r="Y942" s="136"/>
      <c r="Z942" s="136"/>
      <c r="AA942" s="136"/>
      <c r="AB942" s="102"/>
      <c r="AC942" s="102"/>
      <c r="AD942" s="103"/>
    </row>
    <row r="943" ht="15.75" customHeight="1">
      <c r="A943" s="147"/>
      <c r="B943" s="148"/>
      <c r="C943" s="133"/>
      <c r="D943" s="133"/>
      <c r="E943" s="148"/>
      <c r="F943" s="148"/>
      <c r="G943" s="148"/>
      <c r="H943" s="148"/>
      <c r="I943" s="148"/>
      <c r="J943" s="148"/>
      <c r="K943" s="150"/>
      <c r="L943" s="151"/>
      <c r="M943" s="133"/>
      <c r="N943" s="114"/>
      <c r="O943" s="133"/>
      <c r="P943" s="133"/>
      <c r="Q943" s="133"/>
      <c r="R943" s="133"/>
      <c r="S943" s="133"/>
      <c r="T943" s="133"/>
      <c r="U943" s="133"/>
      <c r="V943" s="133"/>
      <c r="W943" s="133"/>
      <c r="X943" s="133"/>
      <c r="Y943" s="133"/>
      <c r="Z943" s="133"/>
      <c r="AA943" s="133"/>
      <c r="AB943" s="102"/>
      <c r="AC943" s="102"/>
      <c r="AD943" s="103"/>
    </row>
    <row r="944" ht="15.75" customHeight="1">
      <c r="A944" s="142"/>
      <c r="B944" s="143"/>
      <c r="C944" s="136"/>
      <c r="D944" s="136"/>
      <c r="E944" s="143"/>
      <c r="F944" s="143"/>
      <c r="G944" s="143"/>
      <c r="H944" s="143"/>
      <c r="I944" s="143"/>
      <c r="J944" s="143"/>
      <c r="K944" s="145"/>
      <c r="L944" s="146"/>
      <c r="M944" s="136"/>
      <c r="N944" s="114"/>
      <c r="O944" s="136"/>
      <c r="P944" s="136"/>
      <c r="Q944" s="136"/>
      <c r="R944" s="136"/>
      <c r="S944" s="136"/>
      <c r="T944" s="136"/>
      <c r="U944" s="136"/>
      <c r="V944" s="136"/>
      <c r="W944" s="136"/>
      <c r="X944" s="136"/>
      <c r="Y944" s="136"/>
      <c r="Z944" s="136"/>
      <c r="AA944" s="136"/>
      <c r="AB944" s="102"/>
      <c r="AC944" s="102"/>
      <c r="AD944" s="103"/>
    </row>
    <row r="945" ht="15.75" customHeight="1">
      <c r="A945" s="147"/>
      <c r="B945" s="148"/>
      <c r="C945" s="133"/>
      <c r="D945" s="133"/>
      <c r="E945" s="148"/>
      <c r="F945" s="148"/>
      <c r="G945" s="148"/>
      <c r="H945" s="148"/>
      <c r="I945" s="148"/>
      <c r="J945" s="148"/>
      <c r="K945" s="150"/>
      <c r="L945" s="151"/>
      <c r="M945" s="133"/>
      <c r="N945" s="114"/>
      <c r="O945" s="133"/>
      <c r="P945" s="133"/>
      <c r="Q945" s="133"/>
      <c r="R945" s="133"/>
      <c r="S945" s="133"/>
      <c r="T945" s="133"/>
      <c r="U945" s="133"/>
      <c r="V945" s="133"/>
      <c r="W945" s="133"/>
      <c r="X945" s="133"/>
      <c r="Y945" s="133"/>
      <c r="Z945" s="133"/>
      <c r="AA945" s="133"/>
      <c r="AB945" s="102"/>
      <c r="AC945" s="102"/>
      <c r="AD945" s="103"/>
    </row>
    <row r="946" ht="15.75" customHeight="1">
      <c r="A946" s="142"/>
      <c r="B946" s="143"/>
      <c r="C946" s="136"/>
      <c r="D946" s="136"/>
      <c r="E946" s="143"/>
      <c r="F946" s="143"/>
      <c r="G946" s="143"/>
      <c r="H946" s="143"/>
      <c r="I946" s="143"/>
      <c r="J946" s="143"/>
      <c r="K946" s="145"/>
      <c r="L946" s="146"/>
      <c r="M946" s="136"/>
      <c r="N946" s="114"/>
      <c r="O946" s="136"/>
      <c r="P946" s="136"/>
      <c r="Q946" s="136"/>
      <c r="R946" s="136"/>
      <c r="S946" s="136"/>
      <c r="T946" s="136"/>
      <c r="U946" s="136"/>
      <c r="V946" s="136"/>
      <c r="W946" s="136"/>
      <c r="X946" s="136"/>
      <c r="Y946" s="136"/>
      <c r="Z946" s="136"/>
      <c r="AA946" s="136"/>
      <c r="AB946" s="102"/>
      <c r="AC946" s="102"/>
      <c r="AD946" s="103"/>
    </row>
    <row r="947" ht="15.75" customHeight="1">
      <c r="A947" s="147"/>
      <c r="B947" s="148"/>
      <c r="C947" s="133"/>
      <c r="D947" s="133"/>
      <c r="E947" s="148"/>
      <c r="F947" s="148"/>
      <c r="G947" s="148"/>
      <c r="H947" s="148"/>
      <c r="I947" s="148"/>
      <c r="J947" s="148"/>
      <c r="K947" s="150"/>
      <c r="L947" s="151"/>
      <c r="M947" s="133"/>
      <c r="N947" s="114"/>
      <c r="O947" s="133"/>
      <c r="P947" s="133"/>
      <c r="Q947" s="133"/>
      <c r="R947" s="133"/>
      <c r="S947" s="133"/>
      <c r="T947" s="133"/>
      <c r="U947" s="133"/>
      <c r="V947" s="133"/>
      <c r="W947" s="133"/>
      <c r="X947" s="133"/>
      <c r="Y947" s="133"/>
      <c r="Z947" s="133"/>
      <c r="AA947" s="133"/>
      <c r="AB947" s="102"/>
      <c r="AC947" s="102"/>
      <c r="AD947" s="103"/>
    </row>
    <row r="948" ht="15.75" customHeight="1">
      <c r="A948" s="142"/>
      <c r="B948" s="143"/>
      <c r="C948" s="136"/>
      <c r="D948" s="136"/>
      <c r="E948" s="143"/>
      <c r="F948" s="143"/>
      <c r="G948" s="143"/>
      <c r="H948" s="143"/>
      <c r="I948" s="143"/>
      <c r="J948" s="143"/>
      <c r="K948" s="145"/>
      <c r="L948" s="146"/>
      <c r="M948" s="136"/>
      <c r="N948" s="114"/>
      <c r="O948" s="136"/>
      <c r="P948" s="136"/>
      <c r="Q948" s="136"/>
      <c r="R948" s="136"/>
      <c r="S948" s="136"/>
      <c r="T948" s="136"/>
      <c r="U948" s="136"/>
      <c r="V948" s="136"/>
      <c r="W948" s="136"/>
      <c r="X948" s="136"/>
      <c r="Y948" s="136"/>
      <c r="Z948" s="136"/>
      <c r="AA948" s="136"/>
      <c r="AB948" s="102"/>
      <c r="AC948" s="102"/>
      <c r="AD948" s="103"/>
    </row>
    <row r="949" ht="15.75" customHeight="1">
      <c r="A949" s="147"/>
      <c r="B949" s="148"/>
      <c r="C949" s="133"/>
      <c r="D949" s="133"/>
      <c r="E949" s="148"/>
      <c r="F949" s="148"/>
      <c r="G949" s="148"/>
      <c r="H949" s="148"/>
      <c r="I949" s="148"/>
      <c r="J949" s="148"/>
      <c r="K949" s="150"/>
      <c r="L949" s="151"/>
      <c r="M949" s="133"/>
      <c r="N949" s="114"/>
      <c r="O949" s="133"/>
      <c r="P949" s="133"/>
      <c r="Q949" s="133"/>
      <c r="R949" s="133"/>
      <c r="S949" s="133"/>
      <c r="T949" s="133"/>
      <c r="U949" s="133"/>
      <c r="V949" s="133"/>
      <c r="W949" s="133"/>
      <c r="X949" s="133"/>
      <c r="Y949" s="133"/>
      <c r="Z949" s="133"/>
      <c r="AA949" s="133"/>
      <c r="AB949" s="102"/>
      <c r="AC949" s="102"/>
      <c r="AD949" s="103"/>
    </row>
    <row r="950" ht="15.75" customHeight="1">
      <c r="A950" s="142"/>
      <c r="B950" s="143"/>
      <c r="C950" s="136"/>
      <c r="D950" s="136"/>
      <c r="E950" s="143"/>
      <c r="F950" s="143"/>
      <c r="G950" s="143"/>
      <c r="H950" s="143"/>
      <c r="I950" s="143"/>
      <c r="J950" s="143"/>
      <c r="K950" s="145"/>
      <c r="L950" s="146"/>
      <c r="M950" s="136"/>
      <c r="N950" s="114"/>
      <c r="O950" s="136"/>
      <c r="P950" s="136"/>
      <c r="Q950" s="136"/>
      <c r="R950" s="136"/>
      <c r="S950" s="136"/>
      <c r="T950" s="136"/>
      <c r="U950" s="136"/>
      <c r="V950" s="136"/>
      <c r="W950" s="136"/>
      <c r="X950" s="136"/>
      <c r="Y950" s="136"/>
      <c r="Z950" s="136"/>
      <c r="AA950" s="136"/>
      <c r="AB950" s="102"/>
      <c r="AC950" s="102"/>
      <c r="AD950" s="103"/>
    </row>
    <row r="951" ht="15.75" customHeight="1">
      <c r="A951" s="147"/>
      <c r="B951" s="148"/>
      <c r="C951" s="133"/>
      <c r="D951" s="133"/>
      <c r="E951" s="148"/>
      <c r="F951" s="148"/>
      <c r="G951" s="148"/>
      <c r="H951" s="148"/>
      <c r="I951" s="148"/>
      <c r="J951" s="148"/>
      <c r="K951" s="150"/>
      <c r="L951" s="151"/>
      <c r="M951" s="133"/>
      <c r="N951" s="114"/>
      <c r="O951" s="133"/>
      <c r="P951" s="133"/>
      <c r="Q951" s="133"/>
      <c r="R951" s="133"/>
      <c r="S951" s="133"/>
      <c r="T951" s="133"/>
      <c r="U951" s="133"/>
      <c r="V951" s="133"/>
      <c r="W951" s="133"/>
      <c r="X951" s="133"/>
      <c r="Y951" s="133"/>
      <c r="Z951" s="133"/>
      <c r="AA951" s="133"/>
      <c r="AB951" s="102"/>
      <c r="AC951" s="102"/>
      <c r="AD951" s="103"/>
    </row>
    <row r="952" ht="15.75" customHeight="1">
      <c r="A952" s="142"/>
      <c r="B952" s="143"/>
      <c r="C952" s="136"/>
      <c r="D952" s="136"/>
      <c r="E952" s="143"/>
      <c r="F952" s="143"/>
      <c r="G952" s="143"/>
      <c r="H952" s="143"/>
      <c r="I952" s="143"/>
      <c r="J952" s="143"/>
      <c r="K952" s="145"/>
      <c r="L952" s="146"/>
      <c r="M952" s="136"/>
      <c r="N952" s="114"/>
      <c r="O952" s="136"/>
      <c r="P952" s="136"/>
      <c r="Q952" s="136"/>
      <c r="R952" s="136"/>
      <c r="S952" s="136"/>
      <c r="T952" s="136"/>
      <c r="U952" s="136"/>
      <c r="V952" s="136"/>
      <c r="W952" s="136"/>
      <c r="X952" s="136"/>
      <c r="Y952" s="136"/>
      <c r="Z952" s="136"/>
      <c r="AA952" s="136"/>
      <c r="AB952" s="102"/>
      <c r="AC952" s="102"/>
      <c r="AD952" s="103"/>
    </row>
    <row r="953" ht="15.75" customHeight="1">
      <c r="A953" s="147"/>
      <c r="B953" s="148"/>
      <c r="C953" s="133"/>
      <c r="D953" s="133"/>
      <c r="E953" s="148"/>
      <c r="F953" s="148"/>
      <c r="G953" s="148"/>
      <c r="H953" s="148"/>
      <c r="I953" s="148"/>
      <c r="J953" s="148"/>
      <c r="K953" s="150"/>
      <c r="L953" s="151"/>
      <c r="M953" s="133"/>
      <c r="N953" s="114"/>
      <c r="O953" s="133"/>
      <c r="P953" s="133"/>
      <c r="Q953" s="133"/>
      <c r="R953" s="133"/>
      <c r="S953" s="133"/>
      <c r="T953" s="133"/>
      <c r="U953" s="133"/>
      <c r="V953" s="133"/>
      <c r="W953" s="133"/>
      <c r="X953" s="133"/>
      <c r="Y953" s="133"/>
      <c r="Z953" s="133"/>
      <c r="AA953" s="133"/>
      <c r="AB953" s="102"/>
      <c r="AC953" s="102"/>
      <c r="AD953" s="103"/>
    </row>
    <row r="954" ht="15.75" customHeight="1">
      <c r="A954" s="142"/>
      <c r="B954" s="143"/>
      <c r="C954" s="136"/>
      <c r="D954" s="136"/>
      <c r="E954" s="143"/>
      <c r="F954" s="143"/>
      <c r="G954" s="143"/>
      <c r="H954" s="143"/>
      <c r="I954" s="143"/>
      <c r="J954" s="143"/>
      <c r="K954" s="145"/>
      <c r="L954" s="146"/>
      <c r="M954" s="136"/>
      <c r="N954" s="114"/>
      <c r="O954" s="136"/>
      <c r="P954" s="136"/>
      <c r="Q954" s="136"/>
      <c r="R954" s="136"/>
      <c r="S954" s="136"/>
      <c r="T954" s="136"/>
      <c r="U954" s="136"/>
      <c r="V954" s="136"/>
      <c r="W954" s="136"/>
      <c r="X954" s="136"/>
      <c r="Y954" s="136"/>
      <c r="Z954" s="136"/>
      <c r="AA954" s="136"/>
      <c r="AB954" s="102"/>
      <c r="AC954" s="102"/>
      <c r="AD954" s="103"/>
    </row>
    <row r="955" ht="15.75" customHeight="1">
      <c r="A955" s="147"/>
      <c r="B955" s="148"/>
      <c r="C955" s="133"/>
      <c r="D955" s="133"/>
      <c r="E955" s="148"/>
      <c r="F955" s="148"/>
      <c r="G955" s="148"/>
      <c r="H955" s="148"/>
      <c r="I955" s="148"/>
      <c r="J955" s="148"/>
      <c r="K955" s="150"/>
      <c r="L955" s="151"/>
      <c r="M955" s="133"/>
      <c r="N955" s="114"/>
      <c r="O955" s="133"/>
      <c r="P955" s="133"/>
      <c r="Q955" s="133"/>
      <c r="R955" s="133"/>
      <c r="S955" s="133"/>
      <c r="T955" s="133"/>
      <c r="U955" s="133"/>
      <c r="V955" s="133"/>
      <c r="W955" s="133"/>
      <c r="X955" s="133"/>
      <c r="Y955" s="133"/>
      <c r="Z955" s="133"/>
      <c r="AA955" s="133"/>
      <c r="AB955" s="102"/>
      <c r="AC955" s="102"/>
      <c r="AD955" s="103"/>
    </row>
    <row r="956" ht="15.75" customHeight="1">
      <c r="A956" s="142"/>
      <c r="B956" s="143"/>
      <c r="C956" s="136"/>
      <c r="D956" s="136"/>
      <c r="E956" s="143"/>
      <c r="F956" s="143"/>
      <c r="G956" s="143"/>
      <c r="H956" s="143"/>
      <c r="I956" s="143"/>
      <c r="J956" s="143"/>
      <c r="K956" s="145"/>
      <c r="L956" s="146"/>
      <c r="M956" s="136"/>
      <c r="N956" s="114"/>
      <c r="O956" s="136"/>
      <c r="P956" s="136"/>
      <c r="Q956" s="136"/>
      <c r="R956" s="136"/>
      <c r="S956" s="136"/>
      <c r="T956" s="136"/>
      <c r="U956" s="136"/>
      <c r="V956" s="136"/>
      <c r="W956" s="136"/>
      <c r="X956" s="136"/>
      <c r="Y956" s="136"/>
      <c r="Z956" s="136"/>
      <c r="AA956" s="136"/>
      <c r="AB956" s="102"/>
      <c r="AC956" s="102"/>
      <c r="AD956" s="103"/>
    </row>
    <row r="957" ht="15.75" customHeight="1">
      <c r="A957" s="147"/>
      <c r="B957" s="148"/>
      <c r="C957" s="133"/>
      <c r="D957" s="133"/>
      <c r="E957" s="148"/>
      <c r="F957" s="148"/>
      <c r="G957" s="148"/>
      <c r="H957" s="148"/>
      <c r="I957" s="148"/>
      <c r="J957" s="148"/>
      <c r="K957" s="150"/>
      <c r="L957" s="151"/>
      <c r="M957" s="133"/>
      <c r="N957" s="114"/>
      <c r="O957" s="133"/>
      <c r="P957" s="133"/>
      <c r="Q957" s="133"/>
      <c r="R957" s="133"/>
      <c r="S957" s="133"/>
      <c r="T957" s="133"/>
      <c r="U957" s="133"/>
      <c r="V957" s="133"/>
      <c r="W957" s="133"/>
      <c r="X957" s="133"/>
      <c r="Y957" s="133"/>
      <c r="Z957" s="133"/>
      <c r="AA957" s="133"/>
      <c r="AB957" s="102"/>
      <c r="AC957" s="102"/>
      <c r="AD957" s="103"/>
    </row>
    <row r="958" ht="15.75" customHeight="1">
      <c r="A958" s="142"/>
      <c r="B958" s="143"/>
      <c r="C958" s="136"/>
      <c r="D958" s="136"/>
      <c r="E958" s="143"/>
      <c r="F958" s="143"/>
      <c r="G958" s="143"/>
      <c r="H958" s="143"/>
      <c r="I958" s="143"/>
      <c r="J958" s="143"/>
      <c r="K958" s="145"/>
      <c r="L958" s="146"/>
      <c r="M958" s="136"/>
      <c r="N958" s="114"/>
      <c r="O958" s="136"/>
      <c r="P958" s="136"/>
      <c r="Q958" s="136"/>
      <c r="R958" s="136"/>
      <c r="S958" s="136"/>
      <c r="T958" s="136"/>
      <c r="U958" s="136"/>
      <c r="V958" s="136"/>
      <c r="W958" s="136"/>
      <c r="X958" s="136"/>
      <c r="Y958" s="136"/>
      <c r="Z958" s="136"/>
      <c r="AA958" s="136"/>
      <c r="AB958" s="102"/>
      <c r="AC958" s="102"/>
      <c r="AD958" s="103"/>
    </row>
    <row r="959" ht="15.75" customHeight="1">
      <c r="A959" s="147"/>
      <c r="B959" s="148"/>
      <c r="C959" s="133"/>
      <c r="D959" s="133"/>
      <c r="E959" s="148"/>
      <c r="F959" s="148"/>
      <c r="G959" s="148"/>
      <c r="H959" s="148"/>
      <c r="I959" s="148"/>
      <c r="J959" s="148"/>
      <c r="K959" s="150"/>
      <c r="L959" s="151"/>
      <c r="M959" s="133"/>
      <c r="N959" s="114"/>
      <c r="O959" s="133"/>
      <c r="P959" s="133"/>
      <c r="Q959" s="133"/>
      <c r="R959" s="133"/>
      <c r="S959" s="133"/>
      <c r="T959" s="133"/>
      <c r="U959" s="133"/>
      <c r="V959" s="133"/>
      <c r="W959" s="133"/>
      <c r="X959" s="133"/>
      <c r="Y959" s="133"/>
      <c r="Z959" s="133"/>
      <c r="AA959" s="133"/>
      <c r="AB959" s="102"/>
      <c r="AC959" s="102"/>
      <c r="AD959" s="103"/>
    </row>
    <row r="960" ht="15.75" customHeight="1">
      <c r="A960" s="142"/>
      <c r="B960" s="143"/>
      <c r="C960" s="136"/>
      <c r="D960" s="136"/>
      <c r="E960" s="143"/>
      <c r="F960" s="143"/>
      <c r="G960" s="143"/>
      <c r="H960" s="143"/>
      <c r="I960" s="143"/>
      <c r="J960" s="143"/>
      <c r="K960" s="145"/>
      <c r="L960" s="146"/>
      <c r="M960" s="136"/>
      <c r="N960" s="114"/>
      <c r="O960" s="136"/>
      <c r="P960" s="136"/>
      <c r="Q960" s="136"/>
      <c r="R960" s="136"/>
      <c r="S960" s="136"/>
      <c r="T960" s="136"/>
      <c r="U960" s="136"/>
      <c r="V960" s="136"/>
      <c r="W960" s="136"/>
      <c r="X960" s="136"/>
      <c r="Y960" s="136"/>
      <c r="Z960" s="136"/>
      <c r="AA960" s="136"/>
      <c r="AB960" s="102"/>
      <c r="AC960" s="102"/>
      <c r="AD960" s="103"/>
    </row>
    <row r="961" ht="15.75" customHeight="1">
      <c r="A961" s="147"/>
      <c r="B961" s="148"/>
      <c r="C961" s="133"/>
      <c r="D961" s="133"/>
      <c r="E961" s="148"/>
      <c r="F961" s="148"/>
      <c r="G961" s="148"/>
      <c r="H961" s="148"/>
      <c r="I961" s="148"/>
      <c r="J961" s="148"/>
      <c r="K961" s="150"/>
      <c r="L961" s="151"/>
      <c r="M961" s="133"/>
      <c r="N961" s="114"/>
      <c r="O961" s="133"/>
      <c r="P961" s="133"/>
      <c r="Q961" s="133"/>
      <c r="R961" s="133"/>
      <c r="S961" s="133"/>
      <c r="T961" s="133"/>
      <c r="U961" s="133"/>
      <c r="V961" s="133"/>
      <c r="W961" s="133"/>
      <c r="X961" s="133"/>
      <c r="Y961" s="133"/>
      <c r="Z961" s="133"/>
      <c r="AA961" s="133"/>
      <c r="AB961" s="102"/>
      <c r="AC961" s="102"/>
      <c r="AD961" s="103"/>
    </row>
    <row r="962" ht="15.75" customHeight="1">
      <c r="A962" s="142"/>
      <c r="B962" s="143"/>
      <c r="C962" s="136"/>
      <c r="D962" s="136"/>
      <c r="E962" s="143"/>
      <c r="F962" s="143"/>
      <c r="G962" s="143"/>
      <c r="H962" s="143"/>
      <c r="I962" s="143"/>
      <c r="J962" s="143"/>
      <c r="K962" s="145"/>
      <c r="L962" s="146"/>
      <c r="M962" s="136"/>
      <c r="N962" s="114"/>
      <c r="O962" s="136"/>
      <c r="P962" s="136"/>
      <c r="Q962" s="136"/>
      <c r="R962" s="136"/>
      <c r="S962" s="136"/>
      <c r="T962" s="136"/>
      <c r="U962" s="136"/>
      <c r="V962" s="136"/>
      <c r="W962" s="136"/>
      <c r="X962" s="136"/>
      <c r="Y962" s="136"/>
      <c r="Z962" s="136"/>
      <c r="AA962" s="136"/>
      <c r="AB962" s="102"/>
      <c r="AC962" s="102"/>
      <c r="AD962" s="103"/>
    </row>
    <row r="963" ht="15.75" customHeight="1">
      <c r="A963" s="147"/>
      <c r="B963" s="148"/>
      <c r="C963" s="133"/>
      <c r="D963" s="133"/>
      <c r="E963" s="148"/>
      <c r="F963" s="148"/>
      <c r="G963" s="148"/>
      <c r="H963" s="148"/>
      <c r="I963" s="148"/>
      <c r="J963" s="148"/>
      <c r="K963" s="150"/>
      <c r="L963" s="151"/>
      <c r="M963" s="133"/>
      <c r="N963" s="114"/>
      <c r="O963" s="133"/>
      <c r="P963" s="133"/>
      <c r="Q963" s="133"/>
      <c r="R963" s="133"/>
      <c r="S963" s="133"/>
      <c r="T963" s="133"/>
      <c r="U963" s="133"/>
      <c r="V963" s="133"/>
      <c r="W963" s="133"/>
      <c r="X963" s="133"/>
      <c r="Y963" s="133"/>
      <c r="Z963" s="133"/>
      <c r="AA963" s="133"/>
      <c r="AB963" s="102"/>
      <c r="AC963" s="102"/>
      <c r="AD963" s="103"/>
    </row>
    <row r="964" ht="15.75" customHeight="1">
      <c r="A964" s="142"/>
      <c r="B964" s="143"/>
      <c r="C964" s="136"/>
      <c r="D964" s="136"/>
      <c r="E964" s="143"/>
      <c r="F964" s="143"/>
      <c r="G964" s="143"/>
      <c r="H964" s="143"/>
      <c r="I964" s="143"/>
      <c r="J964" s="143"/>
      <c r="K964" s="145"/>
      <c r="L964" s="146"/>
      <c r="M964" s="136"/>
      <c r="N964" s="114"/>
      <c r="O964" s="136"/>
      <c r="P964" s="136"/>
      <c r="Q964" s="136"/>
      <c r="R964" s="136"/>
      <c r="S964" s="136"/>
      <c r="T964" s="136"/>
      <c r="U964" s="136"/>
      <c r="V964" s="136"/>
      <c r="W964" s="136"/>
      <c r="X964" s="136"/>
      <c r="Y964" s="136"/>
      <c r="Z964" s="136"/>
      <c r="AA964" s="136"/>
      <c r="AB964" s="102"/>
      <c r="AC964" s="102"/>
      <c r="AD964" s="103"/>
    </row>
    <row r="965" ht="15.75" customHeight="1">
      <c r="A965" s="147"/>
      <c r="B965" s="148"/>
      <c r="C965" s="133"/>
      <c r="D965" s="133"/>
      <c r="E965" s="148"/>
      <c r="F965" s="148"/>
      <c r="G965" s="148"/>
      <c r="H965" s="148"/>
      <c r="I965" s="148"/>
      <c r="J965" s="148"/>
      <c r="K965" s="150"/>
      <c r="L965" s="151"/>
      <c r="M965" s="133"/>
      <c r="N965" s="114"/>
      <c r="O965" s="133"/>
      <c r="P965" s="133"/>
      <c r="Q965" s="133"/>
      <c r="R965" s="133"/>
      <c r="S965" s="133"/>
      <c r="T965" s="133"/>
      <c r="U965" s="133"/>
      <c r="V965" s="133"/>
      <c r="W965" s="133"/>
      <c r="X965" s="133"/>
      <c r="Y965" s="133"/>
      <c r="Z965" s="133"/>
      <c r="AA965" s="133"/>
      <c r="AB965" s="102"/>
      <c r="AC965" s="102"/>
      <c r="AD965" s="103"/>
    </row>
    <row r="966" ht="15.75" customHeight="1">
      <c r="A966" s="142"/>
      <c r="B966" s="143"/>
      <c r="C966" s="136"/>
      <c r="D966" s="136"/>
      <c r="E966" s="143"/>
      <c r="F966" s="143"/>
      <c r="G966" s="143"/>
      <c r="H966" s="143"/>
      <c r="I966" s="143"/>
      <c r="J966" s="143"/>
      <c r="K966" s="145"/>
      <c r="L966" s="146"/>
      <c r="M966" s="136"/>
      <c r="N966" s="114"/>
      <c r="O966" s="136"/>
      <c r="P966" s="136"/>
      <c r="Q966" s="136"/>
      <c r="R966" s="136"/>
      <c r="S966" s="136"/>
      <c r="T966" s="136"/>
      <c r="U966" s="136"/>
      <c r="V966" s="136"/>
      <c r="W966" s="136"/>
      <c r="X966" s="136"/>
      <c r="Y966" s="136"/>
      <c r="Z966" s="136"/>
      <c r="AA966" s="136"/>
      <c r="AB966" s="102"/>
      <c r="AC966" s="102"/>
      <c r="AD966" s="103"/>
    </row>
    <row r="967" ht="15.75" customHeight="1">
      <c r="A967" s="147"/>
      <c r="B967" s="148"/>
      <c r="C967" s="133"/>
      <c r="D967" s="133"/>
      <c r="E967" s="148"/>
      <c r="F967" s="148"/>
      <c r="G967" s="148"/>
      <c r="H967" s="148"/>
      <c r="I967" s="148"/>
      <c r="J967" s="148"/>
      <c r="K967" s="150"/>
      <c r="L967" s="151"/>
      <c r="M967" s="133"/>
      <c r="N967" s="114"/>
      <c r="O967" s="133"/>
      <c r="P967" s="133"/>
      <c r="Q967" s="133"/>
      <c r="R967" s="133"/>
      <c r="S967" s="133"/>
      <c r="T967" s="133"/>
      <c r="U967" s="133"/>
      <c r="V967" s="133"/>
      <c r="W967" s="133"/>
      <c r="X967" s="133"/>
      <c r="Y967" s="133"/>
      <c r="Z967" s="133"/>
      <c r="AA967" s="133"/>
      <c r="AB967" s="102"/>
      <c r="AC967" s="102"/>
      <c r="AD967" s="103"/>
    </row>
    <row r="968" ht="15.75" customHeight="1">
      <c r="A968" s="142"/>
      <c r="B968" s="143"/>
      <c r="C968" s="136"/>
      <c r="D968" s="136"/>
      <c r="E968" s="143"/>
      <c r="F968" s="143"/>
      <c r="G968" s="143"/>
      <c r="H968" s="143"/>
      <c r="I968" s="143"/>
      <c r="J968" s="143"/>
      <c r="K968" s="145"/>
      <c r="L968" s="146"/>
      <c r="M968" s="136"/>
      <c r="N968" s="114"/>
      <c r="O968" s="136"/>
      <c r="P968" s="136"/>
      <c r="Q968" s="136"/>
      <c r="R968" s="136"/>
      <c r="S968" s="136"/>
      <c r="T968" s="136"/>
      <c r="U968" s="136"/>
      <c r="V968" s="136"/>
      <c r="W968" s="136"/>
      <c r="X968" s="136"/>
      <c r="Y968" s="136"/>
      <c r="Z968" s="136"/>
      <c r="AA968" s="136"/>
      <c r="AB968" s="102"/>
      <c r="AC968" s="102"/>
      <c r="AD968" s="103"/>
    </row>
    <row r="969" ht="15.75" customHeight="1">
      <c r="A969" s="147"/>
      <c r="B969" s="148"/>
      <c r="C969" s="133"/>
      <c r="D969" s="133"/>
      <c r="E969" s="148"/>
      <c r="F969" s="148"/>
      <c r="G969" s="148"/>
      <c r="H969" s="148"/>
      <c r="I969" s="148"/>
      <c r="J969" s="148"/>
      <c r="K969" s="150"/>
      <c r="L969" s="151"/>
      <c r="M969" s="133"/>
      <c r="N969" s="114"/>
      <c r="O969" s="133"/>
      <c r="P969" s="133"/>
      <c r="Q969" s="133"/>
      <c r="R969" s="133"/>
      <c r="S969" s="133"/>
      <c r="T969" s="133"/>
      <c r="U969" s="133"/>
      <c r="V969" s="133"/>
      <c r="W969" s="133"/>
      <c r="X969" s="133"/>
      <c r="Y969" s="133"/>
      <c r="Z969" s="133"/>
      <c r="AA969" s="133"/>
      <c r="AB969" s="102"/>
      <c r="AC969" s="102"/>
      <c r="AD969" s="103"/>
    </row>
    <row r="970" ht="15.75" customHeight="1">
      <c r="A970" s="142"/>
      <c r="B970" s="143"/>
      <c r="C970" s="136"/>
      <c r="D970" s="136"/>
      <c r="E970" s="143"/>
      <c r="F970" s="143"/>
      <c r="G970" s="143"/>
      <c r="H970" s="143"/>
      <c r="I970" s="143"/>
      <c r="J970" s="143"/>
      <c r="K970" s="145"/>
      <c r="L970" s="146"/>
      <c r="M970" s="136"/>
      <c r="N970" s="114"/>
      <c r="O970" s="136"/>
      <c r="P970" s="136"/>
      <c r="Q970" s="136"/>
      <c r="R970" s="136"/>
      <c r="S970" s="136"/>
      <c r="T970" s="136"/>
      <c r="U970" s="136"/>
      <c r="V970" s="136"/>
      <c r="W970" s="136"/>
      <c r="X970" s="136"/>
      <c r="Y970" s="136"/>
      <c r="Z970" s="136"/>
      <c r="AA970" s="136"/>
      <c r="AB970" s="102"/>
      <c r="AC970" s="102"/>
      <c r="AD970" s="103"/>
    </row>
    <row r="971" ht="15.75" customHeight="1">
      <c r="A971" s="147"/>
      <c r="B971" s="148"/>
      <c r="C971" s="133"/>
      <c r="D971" s="133"/>
      <c r="E971" s="148"/>
      <c r="F971" s="148"/>
      <c r="G971" s="148"/>
      <c r="H971" s="148"/>
      <c r="I971" s="148"/>
      <c r="J971" s="148"/>
      <c r="K971" s="150"/>
      <c r="L971" s="151"/>
      <c r="M971" s="133"/>
      <c r="N971" s="114"/>
      <c r="O971" s="133"/>
      <c r="P971" s="133"/>
      <c r="Q971" s="133"/>
      <c r="R971" s="133"/>
      <c r="S971" s="133"/>
      <c r="T971" s="133"/>
      <c r="U971" s="133"/>
      <c r="V971" s="133"/>
      <c r="W971" s="133"/>
      <c r="X971" s="133"/>
      <c r="Y971" s="133"/>
      <c r="Z971" s="133"/>
      <c r="AA971" s="133"/>
      <c r="AB971" s="102"/>
      <c r="AC971" s="102"/>
      <c r="AD971" s="103"/>
    </row>
    <row r="972" ht="15.75" customHeight="1">
      <c r="A972" s="142"/>
      <c r="B972" s="143"/>
      <c r="C972" s="136"/>
      <c r="D972" s="136"/>
      <c r="E972" s="143"/>
      <c r="F972" s="143"/>
      <c r="G972" s="143"/>
      <c r="H972" s="143"/>
      <c r="I972" s="143"/>
      <c r="J972" s="143"/>
      <c r="K972" s="145"/>
      <c r="L972" s="146"/>
      <c r="M972" s="136"/>
      <c r="N972" s="114"/>
      <c r="O972" s="136"/>
      <c r="P972" s="136"/>
      <c r="Q972" s="136"/>
      <c r="R972" s="136"/>
      <c r="S972" s="136"/>
      <c r="T972" s="136"/>
      <c r="U972" s="136"/>
      <c r="V972" s="136"/>
      <c r="W972" s="136"/>
      <c r="X972" s="136"/>
      <c r="Y972" s="136"/>
      <c r="Z972" s="136"/>
      <c r="AA972" s="136"/>
      <c r="AB972" s="102"/>
      <c r="AC972" s="102"/>
      <c r="AD972" s="103"/>
    </row>
    <row r="973" ht="15.75" customHeight="1">
      <c r="A973" s="147"/>
      <c r="B973" s="148"/>
      <c r="C973" s="133"/>
      <c r="D973" s="133"/>
      <c r="E973" s="148"/>
      <c r="F973" s="148"/>
      <c r="G973" s="148"/>
      <c r="H973" s="148"/>
      <c r="I973" s="148"/>
      <c r="J973" s="148"/>
      <c r="K973" s="150"/>
      <c r="L973" s="151"/>
      <c r="M973" s="133"/>
      <c r="N973" s="114"/>
      <c r="O973" s="133"/>
      <c r="P973" s="133"/>
      <c r="Q973" s="133"/>
      <c r="R973" s="133"/>
      <c r="S973" s="133"/>
      <c r="T973" s="133"/>
      <c r="U973" s="133"/>
      <c r="V973" s="133"/>
      <c r="W973" s="133"/>
      <c r="X973" s="133"/>
      <c r="Y973" s="133"/>
      <c r="Z973" s="133"/>
      <c r="AA973" s="133"/>
      <c r="AB973" s="102"/>
      <c r="AC973" s="102"/>
      <c r="AD973" s="103"/>
    </row>
    <row r="974" ht="15.75" customHeight="1">
      <c r="A974" s="142"/>
      <c r="B974" s="143"/>
      <c r="C974" s="136"/>
      <c r="D974" s="136"/>
      <c r="E974" s="143"/>
      <c r="F974" s="143"/>
      <c r="G974" s="143"/>
      <c r="H974" s="143"/>
      <c r="I974" s="143"/>
      <c r="J974" s="143"/>
      <c r="K974" s="145"/>
      <c r="L974" s="146"/>
      <c r="M974" s="136"/>
      <c r="N974" s="114"/>
      <c r="O974" s="136"/>
      <c r="P974" s="136"/>
      <c r="Q974" s="136"/>
      <c r="R974" s="136"/>
      <c r="S974" s="136"/>
      <c r="T974" s="136"/>
      <c r="U974" s="136"/>
      <c r="V974" s="136"/>
      <c r="W974" s="136"/>
      <c r="X974" s="136"/>
      <c r="Y974" s="136"/>
      <c r="Z974" s="136"/>
      <c r="AA974" s="136"/>
      <c r="AB974" s="102"/>
      <c r="AC974" s="102"/>
      <c r="AD974" s="103"/>
    </row>
    <row r="975" ht="15.75" customHeight="1">
      <c r="A975" s="147"/>
      <c r="B975" s="148"/>
      <c r="C975" s="133"/>
      <c r="D975" s="133"/>
      <c r="E975" s="148"/>
      <c r="F975" s="148"/>
      <c r="G975" s="148"/>
      <c r="H975" s="148"/>
      <c r="I975" s="148"/>
      <c r="J975" s="148"/>
      <c r="K975" s="150"/>
      <c r="L975" s="151"/>
      <c r="M975" s="133"/>
      <c r="N975" s="114"/>
      <c r="O975" s="133"/>
      <c r="P975" s="133"/>
      <c r="Q975" s="133"/>
      <c r="R975" s="133"/>
      <c r="S975" s="133"/>
      <c r="T975" s="133"/>
      <c r="U975" s="133"/>
      <c r="V975" s="133"/>
      <c r="W975" s="133"/>
      <c r="X975" s="133"/>
      <c r="Y975" s="133"/>
      <c r="Z975" s="133"/>
      <c r="AA975" s="133"/>
      <c r="AB975" s="102"/>
      <c r="AC975" s="102"/>
      <c r="AD975" s="103"/>
    </row>
    <row r="976" ht="15.75" customHeight="1">
      <c r="A976" s="142"/>
      <c r="B976" s="143"/>
      <c r="C976" s="136"/>
      <c r="D976" s="136"/>
      <c r="E976" s="143"/>
      <c r="F976" s="143"/>
      <c r="G976" s="143"/>
      <c r="H976" s="143"/>
      <c r="I976" s="143"/>
      <c r="J976" s="143"/>
      <c r="K976" s="145"/>
      <c r="L976" s="146"/>
      <c r="M976" s="136"/>
      <c r="N976" s="114"/>
      <c r="O976" s="136"/>
      <c r="P976" s="136"/>
      <c r="Q976" s="136"/>
      <c r="R976" s="136"/>
      <c r="S976" s="136"/>
      <c r="T976" s="136"/>
      <c r="U976" s="136"/>
      <c r="V976" s="136"/>
      <c r="W976" s="136"/>
      <c r="X976" s="136"/>
      <c r="Y976" s="136"/>
      <c r="Z976" s="136"/>
      <c r="AA976" s="136"/>
      <c r="AB976" s="102"/>
      <c r="AC976" s="102"/>
      <c r="AD976" s="103"/>
    </row>
    <row r="977" ht="15.75" customHeight="1">
      <c r="A977" s="147"/>
      <c r="B977" s="148"/>
      <c r="C977" s="133"/>
      <c r="D977" s="133"/>
      <c r="E977" s="148"/>
      <c r="F977" s="148"/>
      <c r="G977" s="148"/>
      <c r="H977" s="148"/>
      <c r="I977" s="148"/>
      <c r="J977" s="148"/>
      <c r="K977" s="150"/>
      <c r="L977" s="151"/>
      <c r="M977" s="133"/>
      <c r="N977" s="114"/>
      <c r="O977" s="133"/>
      <c r="P977" s="133"/>
      <c r="Q977" s="133"/>
      <c r="R977" s="133"/>
      <c r="S977" s="133"/>
      <c r="T977" s="133"/>
      <c r="U977" s="133"/>
      <c r="V977" s="133"/>
      <c r="W977" s="133"/>
      <c r="X977" s="133"/>
      <c r="Y977" s="133"/>
      <c r="Z977" s="133"/>
      <c r="AA977" s="133"/>
      <c r="AB977" s="102"/>
      <c r="AC977" s="102"/>
      <c r="AD977" s="103"/>
    </row>
    <row r="978" ht="15.75" customHeight="1">
      <c r="A978" s="142"/>
      <c r="B978" s="143"/>
      <c r="C978" s="136"/>
      <c r="D978" s="136"/>
      <c r="E978" s="143"/>
      <c r="F978" s="143"/>
      <c r="G978" s="143"/>
      <c r="H978" s="143"/>
      <c r="I978" s="143"/>
      <c r="J978" s="143"/>
      <c r="K978" s="145"/>
      <c r="L978" s="146"/>
      <c r="M978" s="136"/>
      <c r="N978" s="114"/>
      <c r="O978" s="136"/>
      <c r="P978" s="136"/>
      <c r="Q978" s="136"/>
      <c r="R978" s="136"/>
      <c r="S978" s="136"/>
      <c r="T978" s="136"/>
      <c r="U978" s="136"/>
      <c r="V978" s="136"/>
      <c r="W978" s="136"/>
      <c r="X978" s="136"/>
      <c r="Y978" s="136"/>
      <c r="Z978" s="136"/>
      <c r="AA978" s="136"/>
      <c r="AB978" s="102"/>
      <c r="AC978" s="102"/>
      <c r="AD978" s="103"/>
    </row>
    <row r="979" ht="15.75" customHeight="1">
      <c r="A979" s="147"/>
      <c r="B979" s="148"/>
      <c r="C979" s="133"/>
      <c r="D979" s="133"/>
      <c r="E979" s="148"/>
      <c r="F979" s="148"/>
      <c r="G979" s="148"/>
      <c r="H979" s="148"/>
      <c r="I979" s="148"/>
      <c r="J979" s="148"/>
      <c r="K979" s="150"/>
      <c r="L979" s="151"/>
      <c r="M979" s="133"/>
      <c r="N979" s="114"/>
      <c r="O979" s="133"/>
      <c r="P979" s="133"/>
      <c r="Q979" s="133"/>
      <c r="R979" s="133"/>
      <c r="S979" s="133"/>
      <c r="T979" s="133"/>
      <c r="U979" s="133"/>
      <c r="V979" s="133"/>
      <c r="W979" s="133"/>
      <c r="X979" s="133"/>
      <c r="Y979" s="133"/>
      <c r="Z979" s="133"/>
      <c r="AA979" s="133"/>
      <c r="AB979" s="102"/>
      <c r="AC979" s="102"/>
      <c r="AD979" s="103"/>
    </row>
    <row r="980" ht="15.75" customHeight="1">
      <c r="A980" s="142"/>
      <c r="B980" s="143"/>
      <c r="C980" s="136"/>
      <c r="D980" s="136"/>
      <c r="E980" s="143"/>
      <c r="F980" s="143"/>
      <c r="G980" s="143"/>
      <c r="H980" s="143"/>
      <c r="I980" s="143"/>
      <c r="J980" s="143"/>
      <c r="K980" s="145"/>
      <c r="L980" s="146"/>
      <c r="M980" s="136"/>
      <c r="N980" s="114"/>
      <c r="O980" s="136"/>
      <c r="P980" s="136"/>
      <c r="Q980" s="136"/>
      <c r="R980" s="136"/>
      <c r="S980" s="136"/>
      <c r="T980" s="136"/>
      <c r="U980" s="136"/>
      <c r="V980" s="136"/>
      <c r="W980" s="136"/>
      <c r="X980" s="136"/>
      <c r="Y980" s="136"/>
      <c r="Z980" s="136"/>
      <c r="AA980" s="136"/>
      <c r="AB980" s="102"/>
      <c r="AC980" s="102"/>
      <c r="AD980" s="103"/>
    </row>
    <row r="981" ht="15.75" customHeight="1">
      <c r="A981" s="147"/>
      <c r="B981" s="148"/>
      <c r="C981" s="133"/>
      <c r="D981" s="133"/>
      <c r="E981" s="148"/>
      <c r="F981" s="148"/>
      <c r="G981" s="148"/>
      <c r="H981" s="148"/>
      <c r="I981" s="148"/>
      <c r="J981" s="148"/>
      <c r="K981" s="150"/>
      <c r="L981" s="151"/>
      <c r="M981" s="133"/>
      <c r="N981" s="114"/>
      <c r="O981" s="133"/>
      <c r="P981" s="133"/>
      <c r="Q981" s="133"/>
      <c r="R981" s="133"/>
      <c r="S981" s="133"/>
      <c r="T981" s="133"/>
      <c r="U981" s="133"/>
      <c r="V981" s="133"/>
      <c r="W981" s="133"/>
      <c r="X981" s="133"/>
      <c r="Y981" s="133"/>
      <c r="Z981" s="133"/>
      <c r="AA981" s="133"/>
      <c r="AB981" s="102"/>
      <c r="AC981" s="102"/>
      <c r="AD981" s="103"/>
    </row>
    <row r="982" ht="15.75" customHeight="1">
      <c r="A982" s="142"/>
      <c r="B982" s="143"/>
      <c r="C982" s="136"/>
      <c r="D982" s="136"/>
      <c r="E982" s="143"/>
      <c r="F982" s="143"/>
      <c r="G982" s="143"/>
      <c r="H982" s="143"/>
      <c r="I982" s="143"/>
      <c r="J982" s="143"/>
      <c r="K982" s="145"/>
      <c r="L982" s="146"/>
      <c r="M982" s="136"/>
      <c r="N982" s="114"/>
      <c r="O982" s="136"/>
      <c r="P982" s="136"/>
      <c r="Q982" s="136"/>
      <c r="R982" s="136"/>
      <c r="S982" s="136"/>
      <c r="T982" s="136"/>
      <c r="U982" s="136"/>
      <c r="V982" s="136"/>
      <c r="W982" s="136"/>
      <c r="X982" s="136"/>
      <c r="Y982" s="136"/>
      <c r="Z982" s="136"/>
      <c r="AA982" s="136"/>
      <c r="AB982" s="102"/>
      <c r="AC982" s="102"/>
      <c r="AD982" s="103"/>
    </row>
    <row r="983" ht="15.75" customHeight="1">
      <c r="A983" s="147"/>
      <c r="B983" s="148"/>
      <c r="C983" s="133"/>
      <c r="D983" s="133"/>
      <c r="E983" s="148"/>
      <c r="F983" s="148"/>
      <c r="G983" s="148"/>
      <c r="H983" s="148"/>
      <c r="I983" s="148"/>
      <c r="J983" s="148"/>
      <c r="K983" s="150"/>
      <c r="L983" s="151"/>
      <c r="M983" s="133"/>
      <c r="N983" s="114"/>
      <c r="O983" s="133"/>
      <c r="P983" s="133"/>
      <c r="Q983" s="133"/>
      <c r="R983" s="133"/>
      <c r="S983" s="133"/>
      <c r="T983" s="133"/>
      <c r="U983" s="133"/>
      <c r="V983" s="133"/>
      <c r="W983" s="133"/>
      <c r="X983" s="133"/>
      <c r="Y983" s="133"/>
      <c r="Z983" s="133"/>
      <c r="AA983" s="133"/>
      <c r="AB983" s="102"/>
      <c r="AC983" s="102"/>
      <c r="AD983" s="103"/>
    </row>
    <row r="984" ht="15.75" customHeight="1">
      <c r="A984" s="142"/>
      <c r="B984" s="143"/>
      <c r="C984" s="136"/>
      <c r="D984" s="136"/>
      <c r="E984" s="143"/>
      <c r="F984" s="143"/>
      <c r="G984" s="143"/>
      <c r="H984" s="143"/>
      <c r="I984" s="143"/>
      <c r="J984" s="143"/>
      <c r="K984" s="145"/>
      <c r="L984" s="146"/>
      <c r="M984" s="136"/>
      <c r="N984" s="114"/>
      <c r="O984" s="136"/>
      <c r="P984" s="136"/>
      <c r="Q984" s="136"/>
      <c r="R984" s="136"/>
      <c r="S984" s="136"/>
      <c r="T984" s="136"/>
      <c r="U984" s="136"/>
      <c r="V984" s="136"/>
      <c r="W984" s="136"/>
      <c r="X984" s="136"/>
      <c r="Y984" s="136"/>
      <c r="Z984" s="136"/>
      <c r="AA984" s="136"/>
      <c r="AB984" s="102"/>
      <c r="AC984" s="102"/>
      <c r="AD984" s="103"/>
    </row>
    <row r="985" ht="15.75" customHeight="1">
      <c r="A985" s="147"/>
      <c r="B985" s="148"/>
      <c r="C985" s="133"/>
      <c r="D985" s="133"/>
      <c r="E985" s="148"/>
      <c r="F985" s="148"/>
      <c r="G985" s="148"/>
      <c r="H985" s="148"/>
      <c r="I985" s="148"/>
      <c r="J985" s="148"/>
      <c r="K985" s="150"/>
      <c r="L985" s="151"/>
      <c r="M985" s="133"/>
      <c r="N985" s="114"/>
      <c r="O985" s="133"/>
      <c r="P985" s="133"/>
      <c r="Q985" s="133"/>
      <c r="R985" s="133"/>
      <c r="S985" s="133"/>
      <c r="T985" s="133"/>
      <c r="U985" s="133"/>
      <c r="V985" s="133"/>
      <c r="W985" s="133"/>
      <c r="X985" s="133"/>
      <c r="Y985" s="133"/>
      <c r="Z985" s="133"/>
      <c r="AA985" s="133"/>
      <c r="AB985" s="102"/>
      <c r="AC985" s="102"/>
      <c r="AD985" s="103"/>
    </row>
    <row r="986" ht="15.75" customHeight="1">
      <c r="A986" s="142"/>
      <c r="B986" s="143"/>
      <c r="C986" s="136"/>
      <c r="D986" s="136"/>
      <c r="E986" s="143"/>
      <c r="F986" s="143"/>
      <c r="G986" s="143"/>
      <c r="H986" s="143"/>
      <c r="I986" s="143"/>
      <c r="J986" s="143"/>
      <c r="K986" s="145"/>
      <c r="L986" s="146"/>
      <c r="M986" s="136"/>
      <c r="N986" s="114"/>
      <c r="O986" s="136"/>
      <c r="P986" s="136"/>
      <c r="Q986" s="136"/>
      <c r="R986" s="136"/>
      <c r="S986" s="136"/>
      <c r="T986" s="136"/>
      <c r="U986" s="136"/>
      <c r="V986" s="136"/>
      <c r="W986" s="136"/>
      <c r="X986" s="136"/>
      <c r="Y986" s="136"/>
      <c r="Z986" s="136"/>
      <c r="AA986" s="136"/>
      <c r="AB986" s="102"/>
      <c r="AC986" s="102"/>
      <c r="AD986" s="103"/>
    </row>
    <row r="987" ht="15.75" customHeight="1">
      <c r="A987" s="147"/>
      <c r="B987" s="148"/>
      <c r="C987" s="133"/>
      <c r="D987" s="133"/>
      <c r="E987" s="148"/>
      <c r="F987" s="148"/>
      <c r="G987" s="148"/>
      <c r="H987" s="148"/>
      <c r="I987" s="148"/>
      <c r="J987" s="148"/>
      <c r="K987" s="150"/>
      <c r="L987" s="151"/>
      <c r="M987" s="133"/>
      <c r="N987" s="114"/>
      <c r="O987" s="133"/>
      <c r="P987" s="133"/>
      <c r="Q987" s="133"/>
      <c r="R987" s="133"/>
      <c r="S987" s="133"/>
      <c r="T987" s="133"/>
      <c r="U987" s="133"/>
      <c r="V987" s="133"/>
      <c r="W987" s="133"/>
      <c r="X987" s="133"/>
      <c r="Y987" s="133"/>
      <c r="Z987" s="133"/>
      <c r="AA987" s="133"/>
      <c r="AB987" s="102"/>
      <c r="AC987" s="102"/>
      <c r="AD987" s="103"/>
    </row>
    <row r="988" ht="15.75" customHeight="1">
      <c r="A988" s="142"/>
      <c r="B988" s="143"/>
      <c r="C988" s="136"/>
      <c r="D988" s="136"/>
      <c r="E988" s="143"/>
      <c r="F988" s="143"/>
      <c r="G988" s="143"/>
      <c r="H988" s="143"/>
      <c r="I988" s="143"/>
      <c r="J988" s="143"/>
      <c r="K988" s="145"/>
      <c r="L988" s="146"/>
      <c r="M988" s="136"/>
      <c r="N988" s="114"/>
      <c r="O988" s="136"/>
      <c r="P988" s="136"/>
      <c r="Q988" s="136"/>
      <c r="R988" s="136"/>
      <c r="S988" s="136"/>
      <c r="T988" s="136"/>
      <c r="U988" s="136"/>
      <c r="V988" s="136"/>
      <c r="W988" s="136"/>
      <c r="X988" s="136"/>
      <c r="Y988" s="136"/>
      <c r="Z988" s="136"/>
      <c r="AA988" s="136"/>
      <c r="AB988" s="102"/>
      <c r="AC988" s="102"/>
      <c r="AD988" s="103"/>
    </row>
    <row r="989" ht="15.75" customHeight="1">
      <c r="A989" s="147"/>
      <c r="B989" s="148"/>
      <c r="C989" s="133"/>
      <c r="D989" s="133"/>
      <c r="E989" s="148"/>
      <c r="F989" s="148"/>
      <c r="G989" s="148"/>
      <c r="H989" s="148"/>
      <c r="I989" s="148"/>
      <c r="J989" s="148"/>
      <c r="K989" s="150"/>
      <c r="L989" s="151"/>
      <c r="M989" s="133"/>
      <c r="N989" s="114"/>
      <c r="O989" s="133"/>
      <c r="P989" s="133"/>
      <c r="Q989" s="133"/>
      <c r="R989" s="133"/>
      <c r="S989" s="133"/>
      <c r="T989" s="133"/>
      <c r="U989" s="133"/>
      <c r="V989" s="133"/>
      <c r="W989" s="133"/>
      <c r="X989" s="133"/>
      <c r="Y989" s="133"/>
      <c r="Z989" s="133"/>
      <c r="AA989" s="133"/>
      <c r="AB989" s="102"/>
      <c r="AC989" s="102"/>
      <c r="AD989" s="103"/>
    </row>
    <row r="990" ht="15.75" customHeight="1">
      <c r="A990" s="142"/>
      <c r="B990" s="143"/>
      <c r="C990" s="136"/>
      <c r="D990" s="136"/>
      <c r="E990" s="143"/>
      <c r="F990" s="143"/>
      <c r="G990" s="143"/>
      <c r="H990" s="143"/>
      <c r="I990" s="143"/>
      <c r="J990" s="143"/>
      <c r="K990" s="145"/>
      <c r="L990" s="146"/>
      <c r="M990" s="136"/>
      <c r="N990" s="114"/>
      <c r="O990" s="136"/>
      <c r="P990" s="136"/>
      <c r="Q990" s="136"/>
      <c r="R990" s="136"/>
      <c r="S990" s="136"/>
      <c r="T990" s="136"/>
      <c r="U990" s="136"/>
      <c r="V990" s="136"/>
      <c r="W990" s="136"/>
      <c r="X990" s="136"/>
      <c r="Y990" s="136"/>
      <c r="Z990" s="136"/>
      <c r="AA990" s="136"/>
      <c r="AB990" s="102"/>
      <c r="AC990" s="102"/>
      <c r="AD990" s="103"/>
    </row>
    <row r="991" ht="15.75" customHeight="1">
      <c r="A991" s="147"/>
      <c r="B991" s="148"/>
      <c r="C991" s="133"/>
      <c r="D991" s="133"/>
      <c r="E991" s="148"/>
      <c r="F991" s="148"/>
      <c r="G991" s="148"/>
      <c r="H991" s="148"/>
      <c r="I991" s="148"/>
      <c r="J991" s="148"/>
      <c r="K991" s="150"/>
      <c r="L991" s="151"/>
      <c r="M991" s="133"/>
      <c r="N991" s="114"/>
      <c r="O991" s="133"/>
      <c r="P991" s="133"/>
      <c r="Q991" s="133"/>
      <c r="R991" s="133"/>
      <c r="S991" s="133"/>
      <c r="T991" s="133"/>
      <c r="U991" s="133"/>
      <c r="V991" s="133"/>
      <c r="W991" s="133"/>
      <c r="X991" s="133"/>
      <c r="Y991" s="133"/>
      <c r="Z991" s="133"/>
      <c r="AA991" s="133"/>
      <c r="AB991" s="102"/>
      <c r="AC991" s="102"/>
      <c r="AD991" s="103"/>
    </row>
    <row r="992" ht="15.75" customHeight="1">
      <c r="A992" s="142"/>
      <c r="B992" s="143"/>
      <c r="C992" s="136"/>
      <c r="D992" s="136"/>
      <c r="E992" s="143"/>
      <c r="F992" s="143"/>
      <c r="G992" s="143"/>
      <c r="H992" s="143"/>
      <c r="I992" s="143"/>
      <c r="J992" s="143"/>
      <c r="K992" s="145"/>
      <c r="L992" s="146"/>
      <c r="M992" s="136"/>
      <c r="N992" s="114"/>
      <c r="O992" s="136"/>
      <c r="P992" s="136"/>
      <c r="Q992" s="136"/>
      <c r="R992" s="136"/>
      <c r="S992" s="136"/>
      <c r="T992" s="136"/>
      <c r="U992" s="136"/>
      <c r="V992" s="136"/>
      <c r="W992" s="136"/>
      <c r="X992" s="136"/>
      <c r="Y992" s="136"/>
      <c r="Z992" s="136"/>
      <c r="AA992" s="136"/>
      <c r="AB992" s="102"/>
      <c r="AC992" s="102"/>
      <c r="AD992" s="103"/>
    </row>
    <row r="993" ht="15.75" customHeight="1">
      <c r="A993" s="147"/>
      <c r="B993" s="148"/>
      <c r="C993" s="133"/>
      <c r="D993" s="133"/>
      <c r="E993" s="148"/>
      <c r="F993" s="148"/>
      <c r="G993" s="148"/>
      <c r="H993" s="148"/>
      <c r="I993" s="148"/>
      <c r="J993" s="148"/>
      <c r="K993" s="150"/>
      <c r="L993" s="151"/>
      <c r="M993" s="133"/>
      <c r="N993" s="114"/>
      <c r="O993" s="133"/>
      <c r="P993" s="133"/>
      <c r="Q993" s="133"/>
      <c r="R993" s="133"/>
      <c r="S993" s="133"/>
      <c r="T993" s="133"/>
      <c r="U993" s="133"/>
      <c r="V993" s="133"/>
      <c r="W993" s="133"/>
      <c r="X993" s="133"/>
      <c r="Y993" s="133"/>
      <c r="Z993" s="133"/>
      <c r="AA993" s="133"/>
      <c r="AB993" s="102"/>
      <c r="AC993" s="102"/>
      <c r="AD993" s="103"/>
    </row>
    <row r="994" ht="15.75" customHeight="1">
      <c r="A994" s="142"/>
      <c r="B994" s="143"/>
      <c r="C994" s="136"/>
      <c r="D994" s="136"/>
      <c r="E994" s="143"/>
      <c r="F994" s="143"/>
      <c r="G994" s="143"/>
      <c r="H994" s="143"/>
      <c r="I994" s="143"/>
      <c r="J994" s="143"/>
      <c r="K994" s="145"/>
      <c r="L994" s="146"/>
      <c r="M994" s="136"/>
      <c r="N994" s="114"/>
      <c r="O994" s="136"/>
      <c r="P994" s="136"/>
      <c r="Q994" s="136"/>
      <c r="R994" s="136"/>
      <c r="S994" s="136"/>
      <c r="T994" s="136"/>
      <c r="U994" s="136"/>
      <c r="V994" s="136"/>
      <c r="W994" s="136"/>
      <c r="X994" s="136"/>
      <c r="Y994" s="136"/>
      <c r="Z994" s="136"/>
      <c r="AA994" s="136"/>
      <c r="AB994" s="102"/>
      <c r="AC994" s="102"/>
      <c r="AD994" s="103"/>
    </row>
    <row r="995" ht="15.75" customHeight="1">
      <c r="A995" s="147"/>
      <c r="B995" s="148"/>
      <c r="C995" s="133"/>
      <c r="D995" s="133"/>
      <c r="E995" s="148"/>
      <c r="F995" s="148"/>
      <c r="G995" s="148"/>
      <c r="H995" s="148"/>
      <c r="I995" s="148"/>
      <c r="J995" s="148"/>
      <c r="K995" s="150"/>
      <c r="L995" s="151"/>
      <c r="M995" s="133"/>
      <c r="N995" s="114"/>
      <c r="O995" s="133"/>
      <c r="P995" s="133"/>
      <c r="Q995" s="133"/>
      <c r="R995" s="133"/>
      <c r="S995" s="133"/>
      <c r="T995" s="133"/>
      <c r="U995" s="133"/>
      <c r="V995" s="133"/>
      <c r="W995" s="133"/>
      <c r="X995" s="133"/>
      <c r="Y995" s="133"/>
      <c r="Z995" s="133"/>
      <c r="AA995" s="133"/>
      <c r="AB995" s="102"/>
      <c r="AC995" s="102"/>
      <c r="AD995" s="103"/>
    </row>
    <row r="996" ht="15.75" customHeight="1">
      <c r="A996" s="142"/>
      <c r="B996" s="143"/>
      <c r="C996" s="136"/>
      <c r="D996" s="136"/>
      <c r="E996" s="143"/>
      <c r="F996" s="143"/>
      <c r="G996" s="143"/>
      <c r="H996" s="143"/>
      <c r="I996" s="143"/>
      <c r="J996" s="143"/>
      <c r="K996" s="145"/>
      <c r="L996" s="146"/>
      <c r="M996" s="136"/>
      <c r="N996" s="114"/>
      <c r="O996" s="136"/>
      <c r="P996" s="136"/>
      <c r="Q996" s="136"/>
      <c r="R996" s="136"/>
      <c r="S996" s="136"/>
      <c r="T996" s="136"/>
      <c r="U996" s="136"/>
      <c r="V996" s="136"/>
      <c r="W996" s="136"/>
      <c r="X996" s="136"/>
      <c r="Y996" s="136"/>
      <c r="Z996" s="136"/>
      <c r="AA996" s="136"/>
      <c r="AB996" s="102"/>
      <c r="AC996" s="102"/>
      <c r="AD996" s="103"/>
    </row>
    <row r="997" ht="15.75" customHeight="1">
      <c r="A997" s="147"/>
      <c r="B997" s="148"/>
      <c r="C997" s="133"/>
      <c r="D997" s="133"/>
      <c r="E997" s="148"/>
      <c r="F997" s="148"/>
      <c r="G997" s="148"/>
      <c r="H997" s="148"/>
      <c r="I997" s="148"/>
      <c r="J997" s="148"/>
      <c r="K997" s="150"/>
      <c r="L997" s="151"/>
      <c r="M997" s="133"/>
      <c r="N997" s="114"/>
      <c r="O997" s="133"/>
      <c r="P997" s="133"/>
      <c r="Q997" s="133"/>
      <c r="R997" s="133"/>
      <c r="S997" s="133"/>
      <c r="T997" s="133"/>
      <c r="U997" s="133"/>
      <c r="V997" s="133"/>
      <c r="W997" s="133"/>
      <c r="X997" s="133"/>
      <c r="Y997" s="133"/>
      <c r="Z997" s="133"/>
      <c r="AA997" s="133"/>
      <c r="AB997" s="102"/>
      <c r="AC997" s="102"/>
      <c r="AD997" s="103"/>
    </row>
    <row r="998" ht="15.75" customHeight="1">
      <c r="A998" s="142"/>
      <c r="B998" s="143"/>
      <c r="C998" s="136"/>
      <c r="D998" s="136"/>
      <c r="E998" s="143"/>
      <c r="F998" s="143"/>
      <c r="G998" s="143"/>
      <c r="H998" s="143"/>
      <c r="I998" s="143"/>
      <c r="J998" s="143"/>
      <c r="K998" s="145"/>
      <c r="L998" s="146"/>
      <c r="M998" s="136"/>
      <c r="N998" s="114"/>
      <c r="O998" s="136"/>
      <c r="P998" s="136"/>
      <c r="Q998" s="136"/>
      <c r="R998" s="136"/>
      <c r="S998" s="136"/>
      <c r="T998" s="136"/>
      <c r="U998" s="136"/>
      <c r="V998" s="136"/>
      <c r="W998" s="136"/>
      <c r="X998" s="136"/>
      <c r="Y998" s="136"/>
      <c r="Z998" s="136"/>
      <c r="AA998" s="136"/>
      <c r="AB998" s="102"/>
      <c r="AC998" s="102"/>
      <c r="AD998" s="103"/>
    </row>
    <row r="999" ht="15.75" customHeight="1">
      <c r="A999" s="147"/>
      <c r="B999" s="148"/>
      <c r="C999" s="133"/>
      <c r="D999" s="133"/>
      <c r="E999" s="148"/>
      <c r="F999" s="148"/>
      <c r="G999" s="148"/>
      <c r="H999" s="148"/>
      <c r="I999" s="148"/>
      <c r="J999" s="148"/>
      <c r="K999" s="150"/>
      <c r="L999" s="151"/>
      <c r="M999" s="133"/>
      <c r="N999" s="114"/>
      <c r="O999" s="133"/>
      <c r="P999" s="133"/>
      <c r="Q999" s="133"/>
      <c r="R999" s="133"/>
      <c r="S999" s="133"/>
      <c r="T999" s="133"/>
      <c r="U999" s="133"/>
      <c r="V999" s="133"/>
      <c r="W999" s="133"/>
      <c r="X999" s="133"/>
      <c r="Y999" s="133"/>
      <c r="Z999" s="133"/>
      <c r="AA999" s="133"/>
      <c r="AB999" s="102"/>
      <c r="AC999" s="102"/>
      <c r="AD999" s="103"/>
    </row>
    <row r="1000" ht="15.75" customHeight="1">
      <c r="A1000" s="142"/>
      <c r="B1000" s="143"/>
      <c r="C1000" s="136"/>
      <c r="D1000" s="136"/>
      <c r="E1000" s="143"/>
      <c r="F1000" s="143"/>
      <c r="G1000" s="143"/>
      <c r="H1000" s="143"/>
      <c r="I1000" s="143"/>
      <c r="J1000" s="143"/>
      <c r="K1000" s="145"/>
      <c r="L1000" s="146"/>
      <c r="M1000" s="136"/>
      <c r="N1000" s="114"/>
      <c r="O1000" s="136"/>
      <c r="P1000" s="136"/>
      <c r="Q1000" s="136"/>
      <c r="R1000" s="136"/>
      <c r="S1000" s="136"/>
      <c r="T1000" s="136"/>
      <c r="U1000" s="136"/>
      <c r="V1000" s="136"/>
      <c r="W1000" s="136"/>
      <c r="X1000" s="136"/>
      <c r="Y1000" s="136"/>
      <c r="Z1000" s="136"/>
      <c r="AA1000" s="136"/>
      <c r="AB1000" s="102"/>
      <c r="AC1000" s="102"/>
      <c r="AD1000" s="103"/>
    </row>
    <row r="1001" ht="15.75" customHeight="1">
      <c r="A1001" s="147"/>
      <c r="B1001" s="148"/>
      <c r="C1001" s="133"/>
      <c r="D1001" s="133"/>
      <c r="E1001" s="148"/>
      <c r="F1001" s="148"/>
      <c r="G1001" s="148"/>
      <c r="H1001" s="148"/>
      <c r="I1001" s="148"/>
      <c r="J1001" s="148"/>
      <c r="K1001" s="150"/>
      <c r="L1001" s="151"/>
      <c r="M1001" s="133"/>
      <c r="N1001" s="114"/>
      <c r="O1001" s="133"/>
      <c r="P1001" s="133"/>
      <c r="Q1001" s="133"/>
      <c r="R1001" s="133"/>
      <c r="S1001" s="133"/>
      <c r="T1001" s="133"/>
      <c r="U1001" s="133"/>
      <c r="V1001" s="133"/>
      <c r="W1001" s="133"/>
      <c r="X1001" s="133"/>
      <c r="Y1001" s="133"/>
      <c r="Z1001" s="133"/>
      <c r="AA1001" s="133"/>
      <c r="AB1001" s="102"/>
      <c r="AC1001" s="102"/>
      <c r="AD1001" s="103"/>
    </row>
    <row r="1002" ht="15.75" customHeight="1">
      <c r="A1002" s="142"/>
      <c r="B1002" s="143"/>
      <c r="C1002" s="136"/>
      <c r="D1002" s="136"/>
      <c r="E1002" s="143"/>
      <c r="F1002" s="143"/>
      <c r="G1002" s="143"/>
      <c r="H1002" s="143"/>
      <c r="I1002" s="143"/>
      <c r="J1002" s="143"/>
      <c r="K1002" s="145"/>
      <c r="L1002" s="146"/>
      <c r="M1002" s="136"/>
      <c r="N1002" s="114"/>
      <c r="O1002" s="136"/>
      <c r="P1002" s="136"/>
      <c r="Q1002" s="136"/>
      <c r="R1002" s="136"/>
      <c r="S1002" s="136"/>
      <c r="T1002" s="136"/>
      <c r="U1002" s="136"/>
      <c r="V1002" s="136"/>
      <c r="W1002" s="136"/>
      <c r="X1002" s="136"/>
      <c r="Y1002" s="136"/>
      <c r="Z1002" s="136"/>
      <c r="AA1002" s="136"/>
      <c r="AB1002" s="102"/>
      <c r="AC1002" s="102"/>
      <c r="AD1002" s="103"/>
    </row>
    <row r="1003" ht="15.75" customHeight="1">
      <c r="A1003" s="147"/>
      <c r="B1003" s="148"/>
      <c r="C1003" s="133"/>
      <c r="D1003" s="133"/>
      <c r="E1003" s="148"/>
      <c r="F1003" s="148"/>
      <c r="G1003" s="148"/>
      <c r="H1003" s="148"/>
      <c r="I1003" s="148"/>
      <c r="J1003" s="148"/>
      <c r="K1003" s="150"/>
      <c r="L1003" s="151"/>
      <c r="M1003" s="133"/>
      <c r="N1003" s="114"/>
      <c r="O1003" s="133"/>
      <c r="P1003" s="133"/>
      <c r="Q1003" s="133"/>
      <c r="R1003" s="133"/>
      <c r="S1003" s="133"/>
      <c r="T1003" s="133"/>
      <c r="U1003" s="133"/>
      <c r="V1003" s="133"/>
      <c r="W1003" s="133"/>
      <c r="X1003" s="133"/>
      <c r="Y1003" s="133"/>
      <c r="Z1003" s="133"/>
      <c r="AA1003" s="133"/>
      <c r="AB1003" s="102"/>
      <c r="AC1003" s="102"/>
      <c r="AD1003" s="103"/>
    </row>
    <row r="1004" ht="15.75" customHeight="1">
      <c r="A1004" s="142"/>
      <c r="B1004" s="143"/>
      <c r="C1004" s="136"/>
      <c r="D1004" s="136"/>
      <c r="E1004" s="143"/>
      <c r="F1004" s="143"/>
      <c r="G1004" s="143"/>
      <c r="H1004" s="143"/>
      <c r="I1004" s="143"/>
      <c r="J1004" s="143"/>
      <c r="K1004" s="145"/>
      <c r="L1004" s="146"/>
      <c r="M1004" s="136"/>
      <c r="N1004" s="114"/>
      <c r="O1004" s="136"/>
      <c r="P1004" s="136"/>
      <c r="Q1004" s="136"/>
      <c r="R1004" s="136"/>
      <c r="S1004" s="136"/>
      <c r="T1004" s="136"/>
      <c r="U1004" s="136"/>
      <c r="V1004" s="136"/>
      <c r="W1004" s="136"/>
      <c r="X1004" s="136"/>
      <c r="Y1004" s="136"/>
      <c r="Z1004" s="136"/>
      <c r="AA1004" s="136"/>
      <c r="AB1004" s="102"/>
      <c r="AC1004" s="102"/>
      <c r="AD1004" s="103"/>
    </row>
    <row r="1005" ht="15.75" customHeight="1">
      <c r="A1005" s="147"/>
      <c r="B1005" s="148"/>
      <c r="C1005" s="133"/>
      <c r="D1005" s="133"/>
      <c r="E1005" s="148"/>
      <c r="F1005" s="148"/>
      <c r="G1005" s="148"/>
      <c r="H1005" s="148"/>
      <c r="I1005" s="148"/>
      <c r="J1005" s="148"/>
      <c r="K1005" s="150"/>
      <c r="L1005" s="151"/>
      <c r="M1005" s="133"/>
      <c r="N1005" s="114"/>
      <c r="O1005" s="133"/>
      <c r="P1005" s="133"/>
      <c r="Q1005" s="133"/>
      <c r="R1005" s="133"/>
      <c r="S1005" s="133"/>
      <c r="T1005" s="133"/>
      <c r="U1005" s="133"/>
      <c r="V1005" s="133"/>
      <c r="W1005" s="133"/>
      <c r="X1005" s="133"/>
      <c r="Y1005" s="133"/>
      <c r="Z1005" s="133"/>
      <c r="AA1005" s="133"/>
      <c r="AB1005" s="102"/>
      <c r="AC1005" s="102"/>
      <c r="AD1005" s="103"/>
    </row>
  </sheetData>
  <autoFilter ref="$A$1:$AD$309">
    <sortState ref="A1:AD309">
      <sortCondition ref="F1:F309"/>
      <sortCondition ref="E1:E309"/>
      <sortCondition ref="L1:L309"/>
    </sortState>
  </autoFilter>
  <conditionalFormatting sqref="L1:L331 L333:L1005">
    <cfRule type="containsText" dxfId="1" priority="1" stopIfTrue="1" operator="containsText" text="⚠">
      <formula>NOT(ISERROR(SEARCH(("⚠"),(L1))))</formula>
    </cfRule>
  </conditionalFormatting>
  <conditionalFormatting sqref="A1:L1005 M332">
    <cfRule type="expression" dxfId="3" priority="2" stopIfTrue="1">
      <formula>$E1="Inactive"</formula>
    </cfRule>
  </conditionalFormatting>
  <conditionalFormatting sqref="K1:K331 M332 K333:K1005">
    <cfRule type="cellIs" dxfId="4" priority="3" stopIfTrue="1" operator="greaterThan">
      <formula>30</formula>
    </cfRule>
  </conditionalFormatting>
  <conditionalFormatting sqref="A2:A1003">
    <cfRule type="expression" dxfId="5" priority="4">
      <formula>COUNTIF(A:A, A2)&gt;1</formula>
    </cfRule>
  </conditionalFormatting>
  <dataValidations>
    <dataValidation type="list" allowBlank="1" showErrorMessage="1" sqref="M2:M331 M333:M1005">
      <formula1>"Completed (no continuation),Discontinued mid-course,Waiting for class"</formula1>
    </dataValidation>
    <dataValidation type="list" allowBlank="1" showErrorMessage="1" sqref="N2:N1005">
      <formula1>"High workload,Learning goal achieved,Maternity leave,Prefer different learning format,Team restructuring,Violate Class Rule,Resign"</formula1>
    </dataValidation>
    <dataValidation type="list" allowBlank="1" sqref="E1005">
      <formula1>"Active,Inactive,Waiting for class"</formula1>
    </dataValidation>
    <dataValidation type="list" allowBlank="1" showErrorMessage="1" sqref="E2:E1004">
      <formula1>"Active,Inactive,Waiting for class"</formula1>
    </dataValidation>
    <dataValidation type="custom" allowBlank="1" showDropDown="1" showInputMessage="1" showErrorMessage="1" prompt="Emp Code này đã tồn tại. Mỗi nhân viên chỉ có 1 dòng trong STUDENTS." sqref="A2:A294 A302:A1005">
      <formula1>COUNTIF($A$2:$A$1005,A2)&lt;=1</formula1>
    </dataValidation>
  </dataValidations>
  <printOptions/>
  <pageMargins bottom="1.0" footer="0.0" header="0.0" left="0.75" right="0.75" top="1.0"/>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43"/>
    <col customWidth="1" min="2" max="2" width="31.14"/>
    <col customWidth="1" min="3" max="3" width="9.86"/>
    <col customWidth="1" min="5" max="5" width="17.86"/>
    <col customWidth="1" min="6" max="6" width="23.29"/>
    <col customWidth="1" min="7" max="7" width="24.86"/>
    <col hidden="1" min="8" max="9" width="14.43"/>
    <col customWidth="1" hidden="1" min="10" max="11" width="13.86"/>
    <col customWidth="1" hidden="1" min="12" max="12" width="11.57"/>
    <col customWidth="1" hidden="1" min="13" max="13" width="12.57"/>
    <col hidden="1" min="14" max="14" width="14.43"/>
    <col customWidth="1" hidden="1" min="15" max="15" width="12.29"/>
    <col customWidth="1" hidden="1" min="16" max="16" width="13.57"/>
    <col customWidth="1" hidden="1" min="17" max="17" width="13.43"/>
    <col customWidth="1" min="18" max="19" width="18.86"/>
    <col customWidth="1" min="20" max="20" width="29.86"/>
    <col customWidth="1" min="21" max="21" width="17.86"/>
    <col customWidth="1" min="22" max="23" width="12.71"/>
    <col customWidth="1" min="24" max="24" width="13.14"/>
    <col customWidth="1" min="25" max="25" width="11.14"/>
    <col customWidth="1" min="26" max="26" width="12.43"/>
    <col customWidth="1" min="27" max="28" width="11.14"/>
    <col customWidth="1" min="29" max="35" width="10.14"/>
    <col customWidth="1" min="36" max="37" width="11.14"/>
    <col customWidth="1" min="38" max="39" width="16.14"/>
    <col customWidth="1" min="40" max="40" width="5.43"/>
    <col customWidth="1" min="41" max="41" width="13.57"/>
    <col customWidth="1" min="42" max="44" width="11.14"/>
    <col customWidth="1" min="45" max="45" width="5.71"/>
    <col customWidth="1" min="46" max="90" width="11.14"/>
  </cols>
  <sheetData>
    <row r="1">
      <c r="A1" s="154" t="s">
        <v>165</v>
      </c>
      <c r="B1" s="155" t="s">
        <v>166</v>
      </c>
      <c r="C1" s="155" t="s">
        <v>45</v>
      </c>
      <c r="D1" s="155" t="s">
        <v>46</v>
      </c>
      <c r="E1" s="155" t="s">
        <v>15</v>
      </c>
      <c r="F1" s="155" t="s">
        <v>169</v>
      </c>
      <c r="G1" s="155" t="s">
        <v>821</v>
      </c>
      <c r="H1" s="156" t="s">
        <v>822</v>
      </c>
      <c r="I1" s="156" t="s">
        <v>823</v>
      </c>
      <c r="J1" s="156" t="s">
        <v>824</v>
      </c>
      <c r="K1" s="156" t="s">
        <v>825</v>
      </c>
      <c r="L1" s="156" t="s">
        <v>826</v>
      </c>
      <c r="M1" s="156" t="s">
        <v>141</v>
      </c>
      <c r="N1" s="156" t="s">
        <v>827</v>
      </c>
      <c r="O1" s="156" t="s">
        <v>828</v>
      </c>
      <c r="P1" s="156" t="s">
        <v>829</v>
      </c>
      <c r="Q1" s="156" t="s">
        <v>830</v>
      </c>
      <c r="R1" s="156" t="s">
        <v>831</v>
      </c>
      <c r="S1" s="157" t="s">
        <v>832</v>
      </c>
      <c r="T1" s="158"/>
      <c r="U1" s="157"/>
      <c r="V1" s="159"/>
      <c r="W1" s="97" t="s">
        <v>833</v>
      </c>
      <c r="X1" s="97" t="s">
        <v>834</v>
      </c>
      <c r="Y1" s="97" t="s">
        <v>835</v>
      </c>
      <c r="Z1" s="97" t="s">
        <v>836</v>
      </c>
      <c r="AA1" s="159"/>
      <c r="AE1" s="160"/>
      <c r="AF1" s="160"/>
      <c r="AG1" s="160"/>
      <c r="AH1" s="160"/>
      <c r="AI1" s="160"/>
      <c r="AJ1" s="160"/>
      <c r="AK1" s="160" t="s">
        <v>15</v>
      </c>
      <c r="AL1" s="162" t="s">
        <v>839</v>
      </c>
      <c r="AM1" s="163" t="s">
        <v>840</v>
      </c>
      <c r="AN1" s="164"/>
      <c r="AO1" s="165" t="s">
        <v>841</v>
      </c>
      <c r="AP1" s="97" t="s">
        <v>842</v>
      </c>
      <c r="AQ1" s="97" t="s">
        <v>835</v>
      </c>
      <c r="AR1" s="97" t="s">
        <v>843</v>
      </c>
      <c r="AS1" s="160"/>
      <c r="BA1" s="160"/>
      <c r="BB1" s="160"/>
      <c r="BC1" s="160"/>
      <c r="BD1" s="160"/>
      <c r="BE1" s="160"/>
      <c r="BF1" s="160"/>
      <c r="BG1" s="160"/>
      <c r="BH1" s="160"/>
      <c r="BI1" s="160"/>
      <c r="BJ1" s="160"/>
      <c r="BK1" s="160"/>
      <c r="BL1" s="160"/>
      <c r="BM1" s="160"/>
      <c r="BN1" s="160"/>
      <c r="BO1" s="160"/>
      <c r="BP1" s="160"/>
      <c r="BQ1" s="160"/>
      <c r="BR1" s="160"/>
      <c r="BS1" s="160"/>
      <c r="BT1" s="160"/>
      <c r="BU1" s="160"/>
      <c r="BV1" s="160"/>
      <c r="BW1" s="160"/>
      <c r="BX1" s="160"/>
      <c r="BY1" s="160"/>
      <c r="BZ1" s="160"/>
      <c r="CA1" s="160"/>
      <c r="CB1" s="160"/>
      <c r="CC1" s="160"/>
      <c r="CD1" s="160"/>
      <c r="CE1" s="160"/>
      <c r="CF1" s="160"/>
      <c r="CG1" s="160"/>
      <c r="CH1" s="160"/>
      <c r="CI1" s="160"/>
      <c r="CJ1" s="160"/>
      <c r="CK1" s="160"/>
      <c r="CL1" s="160"/>
    </row>
    <row r="2">
      <c r="A2" s="166" t="s">
        <v>224</v>
      </c>
      <c r="B2" s="167" t="s">
        <v>225</v>
      </c>
      <c r="C2" s="168" t="s">
        <v>52</v>
      </c>
      <c r="D2" s="169" t="str">
        <f>IFERROR(VLOOKUP(C2, PIC!A:B, 2, 0), "")</f>
        <v>Anh Vu</v>
      </c>
      <c r="E2" s="167" t="s">
        <v>22</v>
      </c>
      <c r="F2" s="16" t="s">
        <v>845</v>
      </c>
      <c r="G2" s="16" t="s">
        <v>846</v>
      </c>
      <c r="H2" s="170">
        <f>IFERROR(
  MINIFS(ATTENDANCE_LOG!$F:$F,
         ATTENDANCE_LOG!$A:$A, C2,
         ATTENDANCE_LOG!$B:$B, E2),
"")</f>
        <v>45700.41667</v>
      </c>
      <c r="I2" s="170">
        <f t="shared" ref="I2:I531" si="2">IFERROR(
  MINIFS($H:$H, $A:$A, A2, $H:$H, "&gt;"&amp;0),
"")</f>
        <v>45700.41667</v>
      </c>
      <c r="J2" s="11">
        <f>IFERROR(VLOOKUP(F2, LEVEL_HELPER!$A:$B, 2, 0), "")</f>
        <v>2.5</v>
      </c>
      <c r="K2" s="11">
        <f>IFERROR(VLOOKUP(G2, LEVEL_HELPER!$A:$B, 2, 0), "")</f>
        <v>3</v>
      </c>
      <c r="L2" s="171" t="s">
        <v>847</v>
      </c>
      <c r="M2" s="171" t="s">
        <v>153</v>
      </c>
      <c r="N2" s="11">
        <f t="array" ref="N2">IFERROR(
  INDEX($J$2:$J$531,
    MATCH(A2&amp;TEXT(I2,"yyyy-mm-dd"),
          $A$2:$A$531&amp;TEXT($H$2:$H$531,"yyyy-mm-dd"),
          0)),
"")</f>
        <v>2.5</v>
      </c>
      <c r="O2" s="160">
        <f t="shared" ref="O2:O531" si="3">IFERROR(MAXIFS($K:$K, $A:$A, A2), "")</f>
        <v>3.5</v>
      </c>
      <c r="P2" s="160">
        <f t="shared" ref="P2:Q2" si="1">IF(N2="",0,IF(N2&lt;=2,1,IF(N2&lt;=4,2,IF(N2&lt;=5.5,3,4))))</f>
        <v>2</v>
      </c>
      <c r="Q2" s="160">
        <f t="shared" si="1"/>
        <v>2</v>
      </c>
      <c r="R2" s="160" t="str">
        <f t="shared" ref="R2:R531" si="5">IF(OR(O2=0, O2=""), "Not tested yet", IF(P2=0, "No Data", IF(Q2&lt;P2, "Regressed", IF(Q2=P2, IF(O2&gt;N2, "Progress within level", "No Progress"), IF(Q2-P2=1, "Lv"&amp;P2&amp;" → Lv"&amp;Q2, "Lv"&amp;P2&amp;" → Lv"&amp;Q2&amp;" (multi)")))))</f>
        <v>Progress within level</v>
      </c>
      <c r="S2" s="160">
        <f t="shared" ref="S2:S531" si="6">IF(COUNTIF($A$2:A2,A2)=1,1,0)</f>
        <v>1</v>
      </c>
      <c r="T2" s="172" t="s">
        <v>848</v>
      </c>
      <c r="U2" s="160">
        <f>COUNTIFS(sheet2!$A:$A,A2,sheet2!$E:$E,E2)</f>
        <v>1</v>
      </c>
      <c r="V2" s="160"/>
      <c r="W2" s="161" t="str">
        <f t="array" ref="W2:W154">unique(A2:A1593)</f>
        <v>#REF!</v>
      </c>
      <c r="X2" s="160" t="str">
        <f t="shared" ref="X2:X296" si="7">VLOOKUP(W2,$A$2:$P1593,12,0)</f>
        <v>#REF!</v>
      </c>
      <c r="Y2" s="160" t="str">
        <f t="shared" ref="Y2:Y296" si="8">IFS(X2="QC","QC",OR(X2="BA",X2="BC"),"BA, BC",OR(X2="DEV",X2="TA"),"DEV, TA",OR(X2="HR",X2="Admin",X2="Management"),"HR, GA, Mgt",X2="GSD","GSD",OR(X2="PPO",X2="SM",X2="IM"),"PPO, SM, IM ",OR(X2="UI/UX",X2="Designer"),"UI/UX, Des")</f>
        <v>#REF!</v>
      </c>
      <c r="Z2" s="160" t="str">
        <f t="shared" ref="Z2:Z296" si="9">VLOOKUP(W2,$A$2:$P1593,13,0)</f>
        <v>#REF!</v>
      </c>
      <c r="AA2" s="160"/>
      <c r="AE2" s="160"/>
      <c r="AF2" s="160"/>
      <c r="AG2" s="160"/>
      <c r="AH2" s="160"/>
      <c r="AI2" s="160"/>
      <c r="AJ2" s="160"/>
      <c r="AK2" s="173"/>
      <c r="AL2" s="171">
        <v>1.0</v>
      </c>
      <c r="AM2" s="160">
        <v>7.0</v>
      </c>
      <c r="AN2" s="164"/>
      <c r="AO2" s="161" t="str">
        <f>IFERROR(__xludf.DUMMYFUNCTION("filter(STUDENTS!A2:A1593,STUDENTS!E2:E1593=""Active"")"),"237050")</f>
        <v>237050</v>
      </c>
      <c r="AP2" s="160" t="str">
        <f t="shared" ref="AP2:AP234" si="10">VLOOKUP(AO2,$A$2:$P1593,12,0)</f>
        <v>QC</v>
      </c>
      <c r="AQ2" s="160" t="str">
        <f t="shared" ref="AQ2:AQ234" si="11">IFS(AP2="QC","QC",OR(AP2="BA",AP2="BC"),"BA, BC",OR(AP2="DEV",AP2="TA"),"DEV, TA",OR(AP2="HR",AP2="Admin",AP2="Management"),"HR, GA, Mgt",AP2="GSD","GSD",OR(AP2="PPO",AP2="SM",AP2="IM"),"PPO, SM, IM ",OR(AP2="UI/UX",AP2="Designer"),"UI/UX, Des")</f>
        <v>QC</v>
      </c>
      <c r="AR2" s="160" t="str">
        <f t="shared" ref="AR2:AR234" si="12">VLOOKUP(AO2,$A$2:$P1593,13,0)</f>
        <v>POC</v>
      </c>
      <c r="AS2" s="160"/>
      <c r="BA2" s="160"/>
      <c r="BB2" s="160"/>
      <c r="BC2" s="160"/>
      <c r="BD2" s="160"/>
      <c r="BE2" s="160"/>
      <c r="BF2" s="160"/>
      <c r="BG2" s="160"/>
      <c r="BH2" s="160"/>
      <c r="BI2" s="160"/>
      <c r="BJ2" s="160"/>
      <c r="BK2" s="160"/>
      <c r="BL2" s="160"/>
      <c r="BM2" s="160"/>
      <c r="BN2" s="160"/>
      <c r="BO2" s="160"/>
      <c r="BP2" s="160"/>
      <c r="BQ2" s="160"/>
      <c r="BR2" s="160"/>
      <c r="BS2" s="160"/>
      <c r="BT2" s="160"/>
      <c r="BU2" s="160"/>
      <c r="BV2" s="160"/>
      <c r="BW2" s="160"/>
      <c r="BX2" s="160"/>
      <c r="BY2" s="160"/>
      <c r="BZ2" s="160"/>
      <c r="CA2" s="160"/>
      <c r="CB2" s="160"/>
      <c r="CC2" s="160"/>
      <c r="CD2" s="160"/>
      <c r="CE2" s="160"/>
      <c r="CF2" s="160"/>
      <c r="CG2" s="160"/>
      <c r="CH2" s="160"/>
      <c r="CI2" s="160"/>
      <c r="CJ2" s="160"/>
      <c r="CK2" s="160"/>
      <c r="CL2" s="160"/>
    </row>
    <row r="3">
      <c r="A3" s="174" t="s">
        <v>656</v>
      </c>
      <c r="B3" s="11" t="s">
        <v>657</v>
      </c>
      <c r="C3" s="175" t="s">
        <v>52</v>
      </c>
      <c r="D3" s="176" t="str">
        <f>IFERROR(VLOOKUP(C3, PIC!A:B, 2, 0), "")</f>
        <v>Anh Vu</v>
      </c>
      <c r="E3" s="11" t="s">
        <v>22</v>
      </c>
      <c r="F3" s="16" t="s">
        <v>849</v>
      </c>
      <c r="G3" s="16" t="s">
        <v>846</v>
      </c>
      <c r="H3" s="170">
        <f>IFERROR(
  MINIFS(ATTENDANCE_LOG!$F:$F,
         ATTENDANCE_LOG!$A:$A, C3,
         ATTENDANCE_LOG!$B:$B, E3),
"")</f>
        <v>45700.41667</v>
      </c>
      <c r="I3" s="170">
        <f t="shared" si="2"/>
        <v>45700.41667</v>
      </c>
      <c r="J3" s="11">
        <f>IFERROR(VLOOKUP(F3, LEVEL_HELPER!$A:$B, 2, 0), "")</f>
        <v>1</v>
      </c>
      <c r="K3" s="11">
        <f>IFERROR(VLOOKUP(G3, LEVEL_HELPER!$A:$B, 2, 0), "")</f>
        <v>3</v>
      </c>
      <c r="L3" s="171" t="s">
        <v>847</v>
      </c>
      <c r="M3" s="171" t="s">
        <v>153</v>
      </c>
      <c r="N3" s="11">
        <f t="array" ref="N3">IFERROR(
  INDEX($J$2:$J$531,
    MATCH(A3&amp;TEXT(I3,"yyyy-mm-dd"),
          $A$2:$A$531&amp;TEXT($H$2:$H$531,"yyyy-mm-dd"),
          0)),
"")</f>
        <v>1</v>
      </c>
      <c r="O3" s="160">
        <f t="shared" si="3"/>
        <v>3.5</v>
      </c>
      <c r="P3" s="160">
        <f t="shared" ref="P3:Q3" si="4">IF(N3="",0,IF(N3&lt;=2,1,IF(N3&lt;=4,2,IF(N3&lt;=5.5,3,4))))</f>
        <v>1</v>
      </c>
      <c r="Q3" s="160">
        <f t="shared" si="4"/>
        <v>2</v>
      </c>
      <c r="R3" s="160" t="str">
        <f t="shared" si="5"/>
        <v>Lv1 → Lv2</v>
      </c>
      <c r="S3" s="160">
        <f t="shared" si="6"/>
        <v>1</v>
      </c>
      <c r="T3" s="177" t="s">
        <v>850</v>
      </c>
      <c r="U3" s="160">
        <f>COUNTIFS(sheet2!$A:$A,A3,sheet2!$E:$E,E3)</f>
        <v>1</v>
      </c>
      <c r="V3" s="178"/>
      <c r="W3" s="178"/>
      <c r="X3" s="160" t="str">
        <f t="shared" si="7"/>
        <v>#N/A</v>
      </c>
      <c r="Y3" s="160" t="str">
        <f t="shared" si="8"/>
        <v>#N/A</v>
      </c>
      <c r="Z3" s="160" t="str">
        <f t="shared" si="9"/>
        <v>#N/A</v>
      </c>
      <c r="AA3" s="160"/>
      <c r="AE3" s="160"/>
      <c r="AF3" s="160"/>
      <c r="AG3" s="160"/>
      <c r="AH3" s="160"/>
      <c r="AI3" s="160"/>
      <c r="AJ3" s="160"/>
      <c r="AK3" s="173" t="s">
        <v>25</v>
      </c>
      <c r="AL3" s="171">
        <v>4.0</v>
      </c>
      <c r="AM3" s="160">
        <v>24.0</v>
      </c>
      <c r="AN3" s="164">
        <f t="shared" ref="AN3:AN9" si="14">AM3/AL3</f>
        <v>6</v>
      </c>
      <c r="AO3" s="161" t="str">
        <f>IFERROR(__xludf.DUMMYFUNCTION("""COMPUTED_VALUE"""),"227148")</f>
        <v>227148</v>
      </c>
      <c r="AP3" s="160" t="str">
        <f t="shared" si="10"/>
        <v>QC</v>
      </c>
      <c r="AQ3" s="160" t="str">
        <f t="shared" si="11"/>
        <v>QC</v>
      </c>
      <c r="AR3" s="160" t="str">
        <f t="shared" si="12"/>
        <v>POC</v>
      </c>
      <c r="AS3" s="160"/>
      <c r="BA3" s="160"/>
      <c r="BB3" s="160"/>
      <c r="BC3" s="160"/>
      <c r="BD3" s="160"/>
      <c r="BE3" s="160"/>
      <c r="BF3" s="160"/>
      <c r="BG3" s="160"/>
      <c r="BH3" s="160"/>
      <c r="BI3" s="160"/>
      <c r="BJ3" s="160"/>
      <c r="BK3" s="160"/>
      <c r="BL3" s="160"/>
      <c r="BM3" s="160"/>
      <c r="BN3" s="160"/>
      <c r="BO3" s="160"/>
      <c r="BP3" s="160"/>
      <c r="BQ3" s="160"/>
      <c r="BR3" s="160"/>
      <c r="BS3" s="160"/>
      <c r="BT3" s="160"/>
      <c r="BU3" s="160"/>
      <c r="BV3" s="160"/>
      <c r="BW3" s="160"/>
      <c r="BX3" s="160"/>
      <c r="BY3" s="160"/>
      <c r="BZ3" s="160"/>
      <c r="CA3" s="160"/>
      <c r="CB3" s="160"/>
      <c r="CC3" s="160"/>
      <c r="CD3" s="160"/>
      <c r="CE3" s="160"/>
      <c r="CF3" s="160"/>
      <c r="CG3" s="160"/>
      <c r="CH3" s="160"/>
      <c r="CI3" s="160"/>
      <c r="CJ3" s="160"/>
      <c r="CK3" s="160"/>
      <c r="CL3" s="160"/>
    </row>
    <row r="4">
      <c r="A4" s="174" t="s">
        <v>660</v>
      </c>
      <c r="B4" s="11" t="s">
        <v>661</v>
      </c>
      <c r="C4" s="175" t="s">
        <v>52</v>
      </c>
      <c r="D4" s="176" t="str">
        <f>IFERROR(VLOOKUP(C4, PIC!A:B, 2, 0), "")</f>
        <v>Anh Vu</v>
      </c>
      <c r="E4" s="11" t="s">
        <v>22</v>
      </c>
      <c r="F4" s="16" t="s">
        <v>849</v>
      </c>
      <c r="G4" s="16" t="s">
        <v>853</v>
      </c>
      <c r="H4" s="170">
        <f>IFERROR(
  MINIFS(ATTENDANCE_LOG!$F:$F,
         ATTENDANCE_LOG!$A:$A, C4,
         ATTENDANCE_LOG!$B:$B, E4),
"")</f>
        <v>45700.41667</v>
      </c>
      <c r="I4" s="170">
        <f t="shared" si="2"/>
        <v>45700.41667</v>
      </c>
      <c r="J4" s="11">
        <f>IFERROR(VLOOKUP(F4, LEVEL_HELPER!$A:$B, 2, 0), "")</f>
        <v>1</v>
      </c>
      <c r="K4" s="11">
        <f>IFERROR(VLOOKUP(G4, LEVEL_HELPER!$A:$B, 2, 0), "")</f>
        <v>1.5</v>
      </c>
      <c r="L4" s="171" t="s">
        <v>847</v>
      </c>
      <c r="M4" s="171" t="s">
        <v>153</v>
      </c>
      <c r="N4" s="11">
        <f t="array" ref="N4">IFERROR(
  INDEX($J$2:$J$531,
    MATCH(A4&amp;TEXT(I4,"yyyy-mm-dd"),
          $A$2:$A$531&amp;TEXT($H$2:$H$531,"yyyy-mm-dd"),
          0)),
"")</f>
        <v>1</v>
      </c>
      <c r="O4" s="160">
        <f t="shared" si="3"/>
        <v>2</v>
      </c>
      <c r="P4" s="160">
        <f t="shared" ref="P4:Q4" si="13">IF(N4="",0,IF(N4&lt;=2,1,IF(N4&lt;=4,2,IF(N4&lt;=5.5,3,4))))</f>
        <v>1</v>
      </c>
      <c r="Q4" s="160">
        <f t="shared" si="13"/>
        <v>1</v>
      </c>
      <c r="R4" s="160" t="str">
        <f t="shared" si="5"/>
        <v>Progress within level</v>
      </c>
      <c r="S4" s="160">
        <f t="shared" si="6"/>
        <v>1</v>
      </c>
      <c r="T4" s="177" t="s">
        <v>854</v>
      </c>
      <c r="U4" s="160">
        <f>COUNTIFS(sheet2!$A:$A,A4,sheet2!$E:$E,E4)</f>
        <v>1</v>
      </c>
      <c r="V4" s="160"/>
      <c r="W4" s="160"/>
      <c r="X4" s="160" t="str">
        <f t="shared" si="7"/>
        <v>#N/A</v>
      </c>
      <c r="Y4" s="160" t="str">
        <f t="shared" si="8"/>
        <v>#N/A</v>
      </c>
      <c r="Z4" s="160" t="str">
        <f t="shared" si="9"/>
        <v>#N/A</v>
      </c>
      <c r="AA4" s="160"/>
      <c r="AE4" s="160"/>
      <c r="AF4" s="160"/>
      <c r="AG4" s="160"/>
      <c r="AH4" s="160"/>
      <c r="AI4" s="160"/>
      <c r="AJ4" s="160"/>
      <c r="AK4" s="173" t="s">
        <v>22</v>
      </c>
      <c r="AL4" s="171">
        <v>46.0</v>
      </c>
      <c r="AM4" s="160">
        <v>278.0</v>
      </c>
      <c r="AN4" s="164">
        <f t="shared" si="14"/>
        <v>6.043478261</v>
      </c>
      <c r="AO4" s="161" t="str">
        <f>IFERROR(__xludf.DUMMYFUNCTION("""COMPUTED_VALUE"""),"227155")</f>
        <v>227155</v>
      </c>
      <c r="AP4" s="160" t="str">
        <f t="shared" si="10"/>
        <v>QC</v>
      </c>
      <c r="AQ4" s="160" t="str">
        <f t="shared" si="11"/>
        <v>QC</v>
      </c>
      <c r="AR4" s="160" t="str">
        <f t="shared" si="12"/>
        <v>POC</v>
      </c>
      <c r="AS4" s="160"/>
      <c r="BA4" s="160"/>
      <c r="BB4" s="160"/>
      <c r="BC4" s="160"/>
      <c r="BD4" s="160"/>
      <c r="BE4" s="160"/>
      <c r="BF4" s="160"/>
      <c r="BG4" s="160"/>
      <c r="BH4" s="160"/>
      <c r="BI4" s="160"/>
      <c r="BJ4" s="160"/>
      <c r="BK4" s="160"/>
      <c r="BL4" s="160"/>
      <c r="BM4" s="160"/>
      <c r="BN4" s="160"/>
      <c r="BO4" s="160"/>
      <c r="BP4" s="160"/>
      <c r="BQ4" s="160"/>
      <c r="BR4" s="160"/>
      <c r="BS4" s="160"/>
      <c r="BT4" s="160"/>
      <c r="BU4" s="160"/>
      <c r="BV4" s="160"/>
      <c r="BW4" s="160"/>
      <c r="BX4" s="160"/>
      <c r="BY4" s="160"/>
      <c r="BZ4" s="160"/>
      <c r="CA4" s="160"/>
      <c r="CB4" s="160"/>
      <c r="CC4" s="160"/>
      <c r="CD4" s="160"/>
      <c r="CE4" s="160"/>
      <c r="CF4" s="160"/>
      <c r="CG4" s="160"/>
      <c r="CH4" s="160"/>
      <c r="CI4" s="160"/>
      <c r="CJ4" s="160"/>
      <c r="CK4" s="160"/>
      <c r="CL4" s="160"/>
    </row>
    <row r="5">
      <c r="A5" s="174" t="s">
        <v>664</v>
      </c>
      <c r="B5" s="11" t="s">
        <v>665</v>
      </c>
      <c r="C5" s="175" t="s">
        <v>52</v>
      </c>
      <c r="D5" s="176" t="str">
        <f>IFERROR(VLOOKUP(C5, PIC!A:B, 2, 0), "")</f>
        <v>Anh Vu</v>
      </c>
      <c r="E5" s="11" t="s">
        <v>22</v>
      </c>
      <c r="F5" s="16" t="s">
        <v>849</v>
      </c>
      <c r="G5" s="16" t="s">
        <v>846</v>
      </c>
      <c r="H5" s="170">
        <f>IFERROR(
  MINIFS(ATTENDANCE_LOG!$F:$F,
         ATTENDANCE_LOG!$A:$A, C5,
         ATTENDANCE_LOG!$B:$B, E5),
"")</f>
        <v>45700.41667</v>
      </c>
      <c r="I5" s="170">
        <f t="shared" si="2"/>
        <v>45700.41667</v>
      </c>
      <c r="J5" s="11">
        <f>IFERROR(VLOOKUP(F5, LEVEL_HELPER!$A:$B, 2, 0), "")</f>
        <v>1</v>
      </c>
      <c r="K5" s="11">
        <f>IFERROR(VLOOKUP(G5, LEVEL_HELPER!$A:$B, 2, 0), "")</f>
        <v>3</v>
      </c>
      <c r="L5" s="171" t="s">
        <v>847</v>
      </c>
      <c r="M5" s="171" t="s">
        <v>153</v>
      </c>
      <c r="N5" s="11">
        <f t="array" ref="N5">IFERROR(
  INDEX($J$2:$J$531,
    MATCH(A5&amp;TEXT(I5,"yyyy-mm-dd"),
          $A$2:$A$531&amp;TEXT($H$2:$H$531,"yyyy-mm-dd"),
          0)),
"")</f>
        <v>1</v>
      </c>
      <c r="O5" s="160">
        <f t="shared" si="3"/>
        <v>3.5</v>
      </c>
      <c r="P5" s="160">
        <f t="shared" ref="P5:Q5" si="15">IF(N5="",0,IF(N5&lt;=2,1,IF(N5&lt;=4,2,IF(N5&lt;=5.5,3,4))))</f>
        <v>1</v>
      </c>
      <c r="Q5" s="160">
        <f t="shared" si="15"/>
        <v>2</v>
      </c>
      <c r="R5" s="160" t="str">
        <f t="shared" si="5"/>
        <v>Lv1 → Lv2</v>
      </c>
      <c r="S5" s="160">
        <f t="shared" si="6"/>
        <v>1</v>
      </c>
      <c r="T5" s="177" t="s">
        <v>855</v>
      </c>
      <c r="U5" s="160">
        <f>COUNTIFS(sheet2!$A:$A,A5,sheet2!$E:$E,E5)</f>
        <v>1</v>
      </c>
      <c r="V5" s="160"/>
      <c r="W5" s="160"/>
      <c r="X5" s="160" t="str">
        <f t="shared" si="7"/>
        <v>#N/A</v>
      </c>
      <c r="Y5" s="160" t="str">
        <f t="shared" si="8"/>
        <v>#N/A</v>
      </c>
      <c r="Z5" s="160" t="str">
        <f t="shared" si="9"/>
        <v>#N/A</v>
      </c>
      <c r="AA5" s="160"/>
      <c r="AE5" s="160"/>
      <c r="AF5" s="160"/>
      <c r="AG5" s="160"/>
      <c r="AH5" s="160"/>
      <c r="AI5" s="160"/>
      <c r="AJ5" s="160"/>
      <c r="AK5" s="173" t="s">
        <v>23</v>
      </c>
      <c r="AL5" s="171">
        <v>22.0</v>
      </c>
      <c r="AM5" s="160">
        <v>143.0</v>
      </c>
      <c r="AN5" s="164">
        <f t="shared" si="14"/>
        <v>6.5</v>
      </c>
      <c r="AO5" s="161" t="str">
        <f>IFERROR(__xludf.DUMMYFUNCTION("""COMPUTED_VALUE"""),"213835")</f>
        <v>213835</v>
      </c>
      <c r="AP5" s="160" t="str">
        <f t="shared" si="10"/>
        <v>DEV</v>
      </c>
      <c r="AQ5" s="160" t="str">
        <f t="shared" si="11"/>
        <v>DEV, TA</v>
      </c>
      <c r="AR5" s="160" t="str">
        <f t="shared" si="12"/>
        <v>MOC</v>
      </c>
      <c r="AS5" s="160"/>
      <c r="BA5" s="160"/>
      <c r="BB5" s="160"/>
      <c r="BC5" s="160"/>
      <c r="BD5" s="160"/>
      <c r="BE5" s="160"/>
      <c r="BF5" s="160"/>
      <c r="BG5" s="160"/>
      <c r="BH5" s="160"/>
      <c r="BI5" s="160"/>
      <c r="BJ5" s="160"/>
      <c r="BK5" s="160"/>
      <c r="BL5" s="160"/>
      <c r="BM5" s="160"/>
      <c r="BN5" s="160"/>
      <c r="BO5" s="160"/>
      <c r="BP5" s="160"/>
      <c r="BQ5" s="160"/>
      <c r="BR5" s="160"/>
      <c r="BS5" s="160"/>
      <c r="BT5" s="160"/>
      <c r="BU5" s="160"/>
      <c r="BV5" s="160"/>
      <c r="BW5" s="160"/>
      <c r="BX5" s="160"/>
      <c r="BY5" s="160"/>
      <c r="BZ5" s="160"/>
      <c r="CA5" s="160"/>
      <c r="CB5" s="160"/>
      <c r="CC5" s="160"/>
      <c r="CD5" s="160"/>
      <c r="CE5" s="160"/>
      <c r="CF5" s="160"/>
      <c r="CG5" s="160"/>
      <c r="CH5" s="160"/>
      <c r="CI5" s="160"/>
      <c r="CJ5" s="160"/>
      <c r="CK5" s="160"/>
      <c r="CL5" s="160"/>
    </row>
    <row r="6">
      <c r="A6" s="174" t="s">
        <v>220</v>
      </c>
      <c r="B6" s="11" t="s">
        <v>221</v>
      </c>
      <c r="C6" s="175" t="s">
        <v>52</v>
      </c>
      <c r="D6" s="176" t="str">
        <f>IFERROR(VLOOKUP(C6, PIC!A:B, 2, 0), "")</f>
        <v>Anh Vu</v>
      </c>
      <c r="E6" s="11" t="s">
        <v>22</v>
      </c>
      <c r="F6" s="16" t="s">
        <v>858</v>
      </c>
      <c r="G6" s="16" t="s">
        <v>858</v>
      </c>
      <c r="H6" s="170">
        <f>IFERROR(
  MINIFS(ATTENDANCE_LOG!$F:$F,
         ATTENDANCE_LOG!$A:$A, C6,
         ATTENDANCE_LOG!$B:$B, E6),
"")</f>
        <v>45700.41667</v>
      </c>
      <c r="I6" s="170">
        <f t="shared" si="2"/>
        <v>45700.41667</v>
      </c>
      <c r="J6" s="11">
        <f>IFERROR(VLOOKUP(F6, LEVEL_HELPER!$A:$B, 2, 0), "")</f>
        <v>4.5</v>
      </c>
      <c r="K6" s="11">
        <f>IFERROR(VLOOKUP(G6, LEVEL_HELPER!$A:$B, 2, 0), "")</f>
        <v>4.5</v>
      </c>
      <c r="L6" s="171" t="s">
        <v>847</v>
      </c>
      <c r="M6" s="171" t="s">
        <v>153</v>
      </c>
      <c r="N6" s="11">
        <f t="array" ref="N6">IFERROR(
  INDEX($J$2:$J$531,
    MATCH(A6&amp;TEXT(I6,"yyyy-mm-dd"),
          $A$2:$A$531&amp;TEXT($H$2:$H$531,"yyyy-mm-dd"),
          0)),
"")</f>
        <v>4.5</v>
      </c>
      <c r="O6" s="160">
        <f t="shared" si="3"/>
        <v>5.5</v>
      </c>
      <c r="P6" s="160">
        <f t="shared" ref="P6:Q6" si="16">IF(N6="",0,IF(N6&lt;=2,1,IF(N6&lt;=4,2,IF(N6&lt;=5.5,3,4))))</f>
        <v>3</v>
      </c>
      <c r="Q6" s="160">
        <f t="shared" si="16"/>
        <v>3</v>
      </c>
      <c r="R6" s="160" t="str">
        <f t="shared" si="5"/>
        <v>Progress within level</v>
      </c>
      <c r="S6" s="160">
        <f t="shared" si="6"/>
        <v>1</v>
      </c>
      <c r="T6" s="177" t="s">
        <v>859</v>
      </c>
      <c r="U6" s="160">
        <f>COUNTIFS(sheet2!$A:$A,A6,sheet2!$E:$E,E6)</f>
        <v>1</v>
      </c>
      <c r="V6" s="160"/>
      <c r="W6" s="160"/>
      <c r="X6" s="160" t="str">
        <f t="shared" si="7"/>
        <v>#N/A</v>
      </c>
      <c r="Y6" s="160" t="str">
        <f t="shared" si="8"/>
        <v>#N/A</v>
      </c>
      <c r="Z6" s="160" t="str">
        <f t="shared" si="9"/>
        <v>#N/A</v>
      </c>
      <c r="AA6" s="160"/>
      <c r="AB6" s="160"/>
      <c r="AC6" s="160"/>
      <c r="AD6" s="160"/>
      <c r="AE6" s="160"/>
      <c r="AF6" s="160"/>
      <c r="AG6" s="160"/>
      <c r="AH6" s="160"/>
      <c r="AI6" s="160"/>
      <c r="AJ6" s="160"/>
      <c r="AK6" s="173" t="s">
        <v>24</v>
      </c>
      <c r="AL6" s="171">
        <v>3.0</v>
      </c>
      <c r="AM6" s="160">
        <v>22.0</v>
      </c>
      <c r="AN6" s="164">
        <f t="shared" si="14"/>
        <v>7.333333333</v>
      </c>
      <c r="AO6" s="161" t="str">
        <f>IFERROR(__xludf.DUMMYFUNCTION("""COMPUTED_VALUE"""),"213901")</f>
        <v>213901</v>
      </c>
      <c r="AP6" s="160" t="str">
        <f t="shared" si="10"/>
        <v>DEV</v>
      </c>
      <c r="AQ6" s="160" t="str">
        <f t="shared" si="11"/>
        <v>DEV, TA</v>
      </c>
      <c r="AR6" s="160" t="str">
        <f t="shared" si="12"/>
        <v>LBU</v>
      </c>
      <c r="AS6" s="160"/>
      <c r="BA6" s="160"/>
      <c r="BB6" s="160"/>
      <c r="BC6" s="160"/>
      <c r="BD6" s="160"/>
      <c r="BE6" s="160"/>
      <c r="BF6" s="160"/>
      <c r="BG6" s="160"/>
      <c r="BH6" s="160"/>
      <c r="BI6" s="160"/>
      <c r="BJ6" s="160"/>
      <c r="BK6" s="160"/>
      <c r="BL6" s="160"/>
      <c r="BM6" s="160"/>
      <c r="BN6" s="160"/>
      <c r="BO6" s="160"/>
      <c r="BP6" s="160"/>
      <c r="BQ6" s="160"/>
      <c r="BR6" s="160"/>
      <c r="BS6" s="160"/>
      <c r="BT6" s="160"/>
      <c r="BU6" s="160"/>
      <c r="BV6" s="160"/>
      <c r="BW6" s="160"/>
      <c r="BX6" s="160"/>
      <c r="BY6" s="160"/>
      <c r="BZ6" s="160"/>
      <c r="CA6" s="160"/>
      <c r="CB6" s="160"/>
      <c r="CC6" s="160"/>
      <c r="CD6" s="160"/>
      <c r="CE6" s="160"/>
      <c r="CF6" s="160"/>
      <c r="CG6" s="160"/>
      <c r="CH6" s="160"/>
      <c r="CI6" s="160"/>
      <c r="CJ6" s="160"/>
      <c r="CK6" s="160"/>
      <c r="CL6" s="160"/>
    </row>
    <row r="7">
      <c r="A7" s="174" t="s">
        <v>222</v>
      </c>
      <c r="B7" s="11" t="s">
        <v>223</v>
      </c>
      <c r="C7" s="175" t="s">
        <v>52</v>
      </c>
      <c r="D7" s="176" t="str">
        <f>IFERROR(VLOOKUP(C7, PIC!A:B, 2, 0), "")</f>
        <v>Anh Vu</v>
      </c>
      <c r="E7" s="11" t="s">
        <v>22</v>
      </c>
      <c r="F7" s="16" t="s">
        <v>849</v>
      </c>
      <c r="G7" s="16" t="s">
        <v>861</v>
      </c>
      <c r="H7" s="170">
        <f>IFERROR(
  MINIFS(ATTENDANCE_LOG!$F:$F,
         ATTENDANCE_LOG!$A:$A, C7,
         ATTENDANCE_LOG!$B:$B, E7),
"")</f>
        <v>45700.41667</v>
      </c>
      <c r="I7" s="170">
        <f t="shared" si="2"/>
        <v>45700.41667</v>
      </c>
      <c r="J7" s="11">
        <f>IFERROR(VLOOKUP(F7, LEVEL_HELPER!$A:$B, 2, 0), "")</f>
        <v>1</v>
      </c>
      <c r="K7" s="11">
        <f>IFERROR(VLOOKUP(G7, LEVEL_HELPER!$A:$B, 2, 0), "")</f>
        <v>3.5</v>
      </c>
      <c r="L7" s="171" t="s">
        <v>847</v>
      </c>
      <c r="M7" s="171" t="s">
        <v>153</v>
      </c>
      <c r="N7" s="11">
        <f t="array" ref="N7">IFERROR(
  INDEX($J$2:$J$531,
    MATCH(A7&amp;TEXT(I7,"yyyy-mm-dd"),
          $A$2:$A$531&amp;TEXT($H$2:$H$531,"yyyy-mm-dd"),
          0)),
"")</f>
        <v>1</v>
      </c>
      <c r="O7" s="160">
        <f t="shared" si="3"/>
        <v>5</v>
      </c>
      <c r="P7" s="160">
        <f t="shared" ref="P7:Q7" si="17">IF(N7="",0,IF(N7&lt;=2,1,IF(N7&lt;=4,2,IF(N7&lt;=5.5,3,4))))</f>
        <v>1</v>
      </c>
      <c r="Q7" s="160">
        <f t="shared" si="17"/>
        <v>3</v>
      </c>
      <c r="R7" s="160" t="str">
        <f t="shared" si="5"/>
        <v>Lv1 → Lv3 (multi)</v>
      </c>
      <c r="S7" s="160">
        <f t="shared" si="6"/>
        <v>1</v>
      </c>
      <c r="T7" s="177" t="s">
        <v>862</v>
      </c>
      <c r="U7" s="160">
        <f>COUNTIFS(sheet2!$A:$A,A7,sheet2!$E:$E,E7)</f>
        <v>1</v>
      </c>
      <c r="V7" s="160"/>
      <c r="W7" s="160"/>
      <c r="X7" s="160" t="str">
        <f t="shared" si="7"/>
        <v>#N/A</v>
      </c>
      <c r="Y7" s="160" t="str">
        <f t="shared" si="8"/>
        <v>#N/A</v>
      </c>
      <c r="Z7" s="160" t="str">
        <f t="shared" si="9"/>
        <v>#N/A</v>
      </c>
      <c r="AA7" s="160"/>
      <c r="AB7" s="160"/>
      <c r="AC7" s="160"/>
      <c r="AD7" s="160"/>
      <c r="AE7" s="160"/>
      <c r="AF7" s="160"/>
      <c r="AG7" s="160"/>
      <c r="AH7" s="160"/>
      <c r="AI7" s="160"/>
      <c r="AJ7" s="160"/>
      <c r="AK7" s="160" t="s">
        <v>27</v>
      </c>
      <c r="AL7" s="160">
        <v>1.0</v>
      </c>
      <c r="AM7" s="160">
        <v>3.0</v>
      </c>
      <c r="AN7" s="164">
        <f t="shared" si="14"/>
        <v>3</v>
      </c>
      <c r="AO7" s="161" t="str">
        <f>IFERROR(__xludf.DUMMYFUNCTION("""COMPUTED_VALUE"""),"227081")</f>
        <v>227081</v>
      </c>
      <c r="AP7" s="160" t="str">
        <f t="shared" si="10"/>
        <v>DEV</v>
      </c>
      <c r="AQ7" s="160" t="str">
        <f t="shared" si="11"/>
        <v>DEV, TA</v>
      </c>
      <c r="AR7" s="160" t="str">
        <f t="shared" si="12"/>
        <v>MOC</v>
      </c>
      <c r="AS7" s="160"/>
      <c r="BA7" s="160"/>
      <c r="BB7" s="160"/>
      <c r="BC7" s="160"/>
      <c r="BD7" s="160"/>
      <c r="BE7" s="160"/>
      <c r="BF7" s="160"/>
      <c r="BG7" s="160"/>
      <c r="BH7" s="160"/>
      <c r="BI7" s="160"/>
      <c r="BJ7" s="160"/>
      <c r="BK7" s="160"/>
      <c r="BL7" s="160"/>
      <c r="BM7" s="160"/>
      <c r="BN7" s="160"/>
      <c r="BO7" s="160"/>
      <c r="BP7" s="160"/>
      <c r="BQ7" s="160"/>
      <c r="BR7" s="160"/>
      <c r="BS7" s="160"/>
      <c r="BT7" s="160"/>
      <c r="BU7" s="160"/>
      <c r="BV7" s="160"/>
      <c r="BW7" s="160"/>
      <c r="BX7" s="160"/>
      <c r="BY7" s="160"/>
      <c r="BZ7" s="160"/>
      <c r="CA7" s="160"/>
      <c r="CB7" s="160"/>
      <c r="CC7" s="160"/>
      <c r="CD7" s="160"/>
      <c r="CE7" s="160"/>
      <c r="CF7" s="160"/>
      <c r="CG7" s="160"/>
      <c r="CH7" s="160"/>
      <c r="CI7" s="160"/>
      <c r="CJ7" s="160"/>
      <c r="CK7" s="160"/>
      <c r="CL7" s="160"/>
    </row>
    <row r="8">
      <c r="A8" s="166" t="s">
        <v>224</v>
      </c>
      <c r="B8" s="167" t="s">
        <v>225</v>
      </c>
      <c r="C8" s="168" t="s">
        <v>52</v>
      </c>
      <c r="D8" s="169" t="str">
        <f>IFERROR(VLOOKUP(C8, PIC!A:B, 2, 0), "")</f>
        <v>Anh Vu</v>
      </c>
      <c r="E8" s="167" t="s">
        <v>23</v>
      </c>
      <c r="F8" s="16" t="s">
        <v>846</v>
      </c>
      <c r="G8" s="16" t="s">
        <v>861</v>
      </c>
      <c r="H8" s="170">
        <f>IFERROR(
  MINIFS(ATTENDANCE_LOG!$F:$F,
         ATTENDANCE_LOG!$A:$A, C8,
         ATTENDANCE_LOG!$B:$B, E8),
"")</f>
        <v>45889.45833</v>
      </c>
      <c r="I8" s="170">
        <f t="shared" si="2"/>
        <v>45700.41667</v>
      </c>
      <c r="J8" s="11">
        <f>IFERROR(VLOOKUP(F8, LEVEL_HELPER!$A:$B, 2, 0), "")</f>
        <v>3</v>
      </c>
      <c r="K8" s="11">
        <f>IFERROR(VLOOKUP(G8, LEVEL_HELPER!$A:$B, 2, 0), "")</f>
        <v>3.5</v>
      </c>
      <c r="L8" s="171" t="s">
        <v>847</v>
      </c>
      <c r="M8" s="171" t="s">
        <v>153</v>
      </c>
      <c r="N8" s="11">
        <f t="array" ref="N8">IFERROR(
  INDEX($J$2:$J$531,
    MATCH(A8&amp;TEXT(I8,"yyyy-mm-dd"),
          $A$2:$A$531&amp;TEXT($H$2:$H$531,"yyyy-mm-dd"),
          0)),
"")</f>
        <v>2.5</v>
      </c>
      <c r="O8" s="160">
        <f t="shared" si="3"/>
        <v>3.5</v>
      </c>
      <c r="P8" s="160">
        <f t="shared" ref="P8:Q8" si="18">IF(N8="",0,IF(N8&lt;=2,1,IF(N8&lt;=4,2,IF(N8&lt;=5.5,3,4))))</f>
        <v>2</v>
      </c>
      <c r="Q8" s="160">
        <f t="shared" si="18"/>
        <v>2</v>
      </c>
      <c r="R8" s="160" t="str">
        <f t="shared" si="5"/>
        <v>Progress within level</v>
      </c>
      <c r="S8" s="160">
        <f t="shared" si="6"/>
        <v>0</v>
      </c>
      <c r="T8" s="172" t="s">
        <v>848</v>
      </c>
      <c r="U8" s="160">
        <f>COUNTIFS(sheet2!$A:$A,A8,sheet2!$E:$E,E8)</f>
        <v>1</v>
      </c>
      <c r="V8" s="160"/>
      <c r="W8" s="160"/>
      <c r="X8" s="160" t="str">
        <f t="shared" si="7"/>
        <v>#N/A</v>
      </c>
      <c r="Y8" s="160" t="str">
        <f t="shared" si="8"/>
        <v>#N/A</v>
      </c>
      <c r="Z8" s="160" t="str">
        <f t="shared" si="9"/>
        <v>#N/A</v>
      </c>
      <c r="AA8" s="160"/>
      <c r="AB8" s="160"/>
      <c r="AC8" s="160"/>
      <c r="AD8" s="160"/>
      <c r="AE8" s="160"/>
      <c r="AF8" s="160"/>
      <c r="AG8" s="160"/>
      <c r="AH8" s="160"/>
      <c r="AI8" s="160"/>
      <c r="AJ8" s="160"/>
      <c r="AK8" s="160" t="s">
        <v>26</v>
      </c>
      <c r="AL8" s="160">
        <v>5.0</v>
      </c>
      <c r="AM8" s="160">
        <v>40.0</v>
      </c>
      <c r="AN8" s="164">
        <f t="shared" si="14"/>
        <v>8</v>
      </c>
      <c r="AO8" s="161" t="str">
        <f>IFERROR(__xludf.DUMMYFUNCTION("""COMPUTED_VALUE"""),"247332")</f>
        <v>247332</v>
      </c>
      <c r="AP8" s="160" t="str">
        <f t="shared" si="10"/>
        <v>DEV</v>
      </c>
      <c r="AQ8" s="160" t="str">
        <f t="shared" si="11"/>
        <v>DEV, TA</v>
      </c>
      <c r="AR8" s="160" t="str">
        <f t="shared" si="12"/>
        <v>LBU</v>
      </c>
      <c r="AS8" s="160"/>
      <c r="BA8" s="160"/>
      <c r="BB8" s="160"/>
      <c r="BC8" s="160"/>
      <c r="BD8" s="160"/>
      <c r="BE8" s="160"/>
      <c r="BF8" s="160"/>
      <c r="BG8" s="160"/>
      <c r="BH8" s="160"/>
      <c r="BI8" s="160"/>
      <c r="BJ8" s="160"/>
      <c r="BK8" s="160"/>
      <c r="BL8" s="160"/>
      <c r="BM8" s="160"/>
      <c r="BN8" s="160"/>
      <c r="BO8" s="160"/>
      <c r="BP8" s="160"/>
      <c r="BQ8" s="160"/>
      <c r="BR8" s="160"/>
      <c r="BS8" s="160"/>
      <c r="BT8" s="160"/>
      <c r="BU8" s="160"/>
      <c r="BV8" s="160"/>
      <c r="BW8" s="160"/>
      <c r="BX8" s="160"/>
      <c r="BY8" s="160"/>
      <c r="BZ8" s="160"/>
      <c r="CA8" s="160"/>
      <c r="CB8" s="160"/>
      <c r="CC8" s="160"/>
      <c r="CD8" s="160"/>
      <c r="CE8" s="160"/>
      <c r="CF8" s="160"/>
      <c r="CG8" s="160"/>
      <c r="CH8" s="160"/>
      <c r="CI8" s="160"/>
      <c r="CJ8" s="160"/>
      <c r="CK8" s="160"/>
      <c r="CL8" s="160"/>
    </row>
    <row r="9">
      <c r="A9" s="174" t="s">
        <v>656</v>
      </c>
      <c r="B9" s="11" t="s">
        <v>657</v>
      </c>
      <c r="C9" s="175" t="s">
        <v>52</v>
      </c>
      <c r="D9" s="176" t="str">
        <f>IFERROR(VLOOKUP(C9, PIC!A:B, 2, 0), "")</f>
        <v>Anh Vu</v>
      </c>
      <c r="E9" s="11" t="s">
        <v>23</v>
      </c>
      <c r="F9" s="16" t="s">
        <v>846</v>
      </c>
      <c r="G9" s="16" t="s">
        <v>861</v>
      </c>
      <c r="H9" s="170">
        <f>IFERROR(
  MINIFS(ATTENDANCE_LOG!$F:$F,
         ATTENDANCE_LOG!$A:$A, C9,
         ATTENDANCE_LOG!$B:$B, E9),
"")</f>
        <v>45889.45833</v>
      </c>
      <c r="I9" s="170">
        <f t="shared" si="2"/>
        <v>45700.41667</v>
      </c>
      <c r="J9" s="11">
        <f>IFERROR(VLOOKUP(F9, LEVEL_HELPER!$A:$B, 2, 0), "")</f>
        <v>3</v>
      </c>
      <c r="K9" s="11">
        <f>IFERROR(VLOOKUP(G9, LEVEL_HELPER!$A:$B, 2, 0), "")</f>
        <v>3.5</v>
      </c>
      <c r="L9" s="171" t="s">
        <v>847</v>
      </c>
      <c r="M9" s="171" t="s">
        <v>153</v>
      </c>
      <c r="N9" s="11">
        <f t="array" ref="N9">IFERROR(
  INDEX($J$2:$J$531,
    MATCH(A9&amp;TEXT(I9,"yyyy-mm-dd"),
          $A$2:$A$531&amp;TEXT($H$2:$H$531,"yyyy-mm-dd"),
          0)),
"")</f>
        <v>1</v>
      </c>
      <c r="O9" s="160">
        <f t="shared" si="3"/>
        <v>3.5</v>
      </c>
      <c r="P9" s="160">
        <f t="shared" ref="P9:Q9" si="19">IF(N9="",0,IF(N9&lt;=2,1,IF(N9&lt;=4,2,IF(N9&lt;=5.5,3,4))))</f>
        <v>1</v>
      </c>
      <c r="Q9" s="160">
        <f t="shared" si="19"/>
        <v>2</v>
      </c>
      <c r="R9" s="160" t="str">
        <f t="shared" si="5"/>
        <v>Lv1 → Lv2</v>
      </c>
      <c r="S9" s="160">
        <f t="shared" si="6"/>
        <v>0</v>
      </c>
      <c r="T9" s="177" t="s">
        <v>850</v>
      </c>
      <c r="U9" s="160">
        <f>COUNTIFS(sheet2!$A:$A,A9,sheet2!$E:$E,E9)</f>
        <v>1</v>
      </c>
      <c r="V9" s="160"/>
      <c r="W9" s="160"/>
      <c r="X9" s="160" t="str">
        <f t="shared" si="7"/>
        <v>#N/A</v>
      </c>
      <c r="Y9" s="160" t="str">
        <f t="shared" si="8"/>
        <v>#N/A</v>
      </c>
      <c r="Z9" s="160" t="str">
        <f t="shared" si="9"/>
        <v>#N/A</v>
      </c>
      <c r="AA9" s="160"/>
      <c r="AB9" s="160"/>
      <c r="AC9" s="160"/>
      <c r="AD9" s="160"/>
      <c r="AE9" s="160"/>
      <c r="AF9" s="160"/>
      <c r="AG9" s="160"/>
      <c r="AH9" s="160"/>
      <c r="AI9" s="160"/>
      <c r="AJ9" s="179">
        <f>AJ10/1200</f>
        <v>0</v>
      </c>
      <c r="AK9" s="160" t="s">
        <v>856</v>
      </c>
      <c r="AL9" s="160">
        <v>51.0</v>
      </c>
      <c r="AM9" s="180">
        <v>308.0</v>
      </c>
      <c r="AN9" s="164">
        <f t="shared" si="14"/>
        <v>6.039215686</v>
      </c>
      <c r="AO9" s="179" t="str">
        <f>IFERROR(__xludf.DUMMYFUNCTION("""COMPUTED_VALUE"""),"193613")</f>
        <v>193613</v>
      </c>
      <c r="AP9" s="160" t="str">
        <f t="shared" si="10"/>
        <v>DEV</v>
      </c>
      <c r="AQ9" s="160" t="str">
        <f t="shared" si="11"/>
        <v>DEV, TA</v>
      </c>
      <c r="AR9" s="160" t="str">
        <f t="shared" si="12"/>
        <v>MOC</v>
      </c>
      <c r="AS9" s="179"/>
      <c r="BA9" s="160"/>
      <c r="BB9" s="179">
        <f>BB10/1200</f>
        <v>0.07916666667</v>
      </c>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row>
    <row r="10">
      <c r="A10" s="174" t="s">
        <v>660</v>
      </c>
      <c r="B10" s="11" t="s">
        <v>661</v>
      </c>
      <c r="C10" s="175" t="s">
        <v>52</v>
      </c>
      <c r="D10" s="176" t="str">
        <f>IFERROR(VLOOKUP(C10, PIC!A:B, 2, 0), "")</f>
        <v>Anh Vu</v>
      </c>
      <c r="E10" s="11" t="s">
        <v>23</v>
      </c>
      <c r="F10" s="16" t="s">
        <v>853</v>
      </c>
      <c r="G10" s="16" t="s">
        <v>864</v>
      </c>
      <c r="H10" s="170">
        <f>IFERROR(
  MINIFS(ATTENDANCE_LOG!$F:$F,
         ATTENDANCE_LOG!$A:$A, C10,
         ATTENDANCE_LOG!$B:$B, E10),
"")</f>
        <v>45889.45833</v>
      </c>
      <c r="I10" s="170">
        <f t="shared" si="2"/>
        <v>45700.41667</v>
      </c>
      <c r="J10" s="11">
        <f>IFERROR(VLOOKUP(F10, LEVEL_HELPER!$A:$B, 2, 0), "")</f>
        <v>1.5</v>
      </c>
      <c r="K10" s="11">
        <f>IFERROR(VLOOKUP(G10, LEVEL_HELPER!$A:$B, 2, 0), "")</f>
        <v>2</v>
      </c>
      <c r="L10" s="171" t="s">
        <v>847</v>
      </c>
      <c r="M10" s="171" t="s">
        <v>153</v>
      </c>
      <c r="N10" s="11">
        <f t="array" ref="N10">IFERROR(
  INDEX($J$2:$J$531,
    MATCH(A10&amp;TEXT(I10,"yyyy-mm-dd"),
          $A$2:$A$531&amp;TEXT($H$2:$H$531,"yyyy-mm-dd"),
          0)),
"")</f>
        <v>1</v>
      </c>
      <c r="O10" s="160">
        <f t="shared" si="3"/>
        <v>2</v>
      </c>
      <c r="P10" s="160">
        <f t="shared" ref="P10:Q10" si="20">IF(N10="",0,IF(N10&lt;=2,1,IF(N10&lt;=4,2,IF(N10&lt;=5.5,3,4))))</f>
        <v>1</v>
      </c>
      <c r="Q10" s="160">
        <f t="shared" si="20"/>
        <v>1</v>
      </c>
      <c r="R10" s="160" t="str">
        <f t="shared" si="5"/>
        <v>Progress within level</v>
      </c>
      <c r="S10" s="160">
        <f t="shared" si="6"/>
        <v>0</v>
      </c>
      <c r="T10" s="177" t="s">
        <v>854</v>
      </c>
      <c r="U10" s="160">
        <f>COUNTIFS(sheet2!$A:$A,A10,sheet2!$E:$E,E10)</f>
        <v>1</v>
      </c>
      <c r="V10" s="160"/>
      <c r="W10" s="160"/>
      <c r="X10" s="160" t="str">
        <f t="shared" si="7"/>
        <v>#N/A</v>
      </c>
      <c r="Y10" s="160" t="str">
        <f t="shared" si="8"/>
        <v>#N/A</v>
      </c>
      <c r="Z10" s="160" t="str">
        <f t="shared" si="9"/>
        <v>#N/A</v>
      </c>
      <c r="AA10" s="160"/>
      <c r="AB10" s="160"/>
      <c r="AC10" s="160"/>
      <c r="AD10" s="160"/>
      <c r="AE10" s="160"/>
      <c r="AF10" s="160"/>
      <c r="AG10" s="160"/>
      <c r="AH10" s="160"/>
      <c r="AI10" s="160"/>
      <c r="AJ10" s="181">
        <f>sum(AC10:AI10)</f>
        <v>0</v>
      </c>
      <c r="AK10" s="181"/>
      <c r="AL10" s="181"/>
      <c r="AM10" s="181"/>
      <c r="AN10" s="164"/>
      <c r="AO10" s="161" t="str">
        <f>IFERROR(__xludf.DUMMYFUNCTION("""COMPUTED_VALUE"""),"247097")</f>
        <v>247097</v>
      </c>
      <c r="AP10" s="160" t="str">
        <f t="shared" si="10"/>
        <v>DEV</v>
      </c>
      <c r="AQ10" s="160" t="str">
        <f t="shared" si="11"/>
        <v>DEV, TA</v>
      </c>
      <c r="AR10" s="160" t="str">
        <f t="shared" si="12"/>
        <v>MOC</v>
      </c>
      <c r="AS10" s="181"/>
      <c r="AT10" s="160"/>
      <c r="AU10" s="160"/>
      <c r="AV10" s="160"/>
      <c r="AW10" s="160"/>
      <c r="AX10" s="160"/>
      <c r="AY10" s="160"/>
      <c r="AZ10" s="160"/>
      <c r="BA10" s="160"/>
      <c r="BB10" s="181">
        <f>sum(AU9:BA9)</f>
        <v>95</v>
      </c>
      <c r="BC10" s="181"/>
      <c r="BD10" s="181"/>
      <c r="BE10" s="181"/>
      <c r="BF10" s="181"/>
      <c r="BG10" s="181"/>
      <c r="BH10" s="181"/>
      <c r="BI10" s="181"/>
      <c r="BJ10" s="181"/>
      <c r="BK10" s="181"/>
      <c r="BL10" s="181"/>
      <c r="BM10" s="181"/>
      <c r="BN10" s="181"/>
      <c r="BO10" s="181"/>
      <c r="BP10" s="181"/>
      <c r="BQ10" s="181"/>
      <c r="BR10" s="181"/>
      <c r="BS10" s="181"/>
      <c r="BT10" s="181"/>
      <c r="BU10" s="181"/>
      <c r="BV10" s="181"/>
      <c r="BW10" s="181"/>
      <c r="BX10" s="181"/>
      <c r="BY10" s="181"/>
      <c r="BZ10" s="181"/>
      <c r="CA10" s="181"/>
      <c r="CB10" s="181"/>
      <c r="CC10" s="181"/>
      <c r="CD10" s="181"/>
      <c r="CE10" s="181"/>
      <c r="CF10" s="181"/>
      <c r="CG10" s="181"/>
      <c r="CH10" s="181"/>
      <c r="CI10" s="181"/>
      <c r="CJ10" s="181"/>
      <c r="CK10" s="181"/>
      <c r="CL10" s="181"/>
    </row>
    <row r="11">
      <c r="A11" s="174" t="s">
        <v>664</v>
      </c>
      <c r="B11" s="11" t="s">
        <v>665</v>
      </c>
      <c r="C11" s="175" t="s">
        <v>52</v>
      </c>
      <c r="D11" s="176" t="str">
        <f>IFERROR(VLOOKUP(C11, PIC!A:B, 2, 0), "")</f>
        <v>Anh Vu</v>
      </c>
      <c r="E11" s="11" t="s">
        <v>23</v>
      </c>
      <c r="F11" s="16" t="s">
        <v>846</v>
      </c>
      <c r="G11" s="16" t="s">
        <v>861</v>
      </c>
      <c r="H11" s="170">
        <f>IFERROR(
  MINIFS(ATTENDANCE_LOG!$F:$F,
         ATTENDANCE_LOG!$A:$A, C11,
         ATTENDANCE_LOG!$B:$B, E11),
"")</f>
        <v>45889.45833</v>
      </c>
      <c r="I11" s="170">
        <f t="shared" si="2"/>
        <v>45700.41667</v>
      </c>
      <c r="J11" s="11">
        <f>IFERROR(VLOOKUP(F11, LEVEL_HELPER!$A:$B, 2, 0), "")</f>
        <v>3</v>
      </c>
      <c r="K11" s="11">
        <f>IFERROR(VLOOKUP(G11, LEVEL_HELPER!$A:$B, 2, 0), "")</f>
        <v>3.5</v>
      </c>
      <c r="L11" s="171" t="s">
        <v>847</v>
      </c>
      <c r="M11" s="171" t="s">
        <v>153</v>
      </c>
      <c r="N11" s="11">
        <f t="array" ref="N11">IFERROR(
  INDEX($J$2:$J$531,
    MATCH(A11&amp;TEXT(I11,"yyyy-mm-dd"),
          $A$2:$A$531&amp;TEXT($H$2:$H$531,"yyyy-mm-dd"),
          0)),
"")</f>
        <v>1</v>
      </c>
      <c r="O11" s="160">
        <f t="shared" si="3"/>
        <v>3.5</v>
      </c>
      <c r="P11" s="160">
        <f t="shared" ref="P11:Q11" si="21">IF(N11="",0,IF(N11&lt;=2,1,IF(N11&lt;=4,2,IF(N11&lt;=5.5,3,4))))</f>
        <v>1</v>
      </c>
      <c r="Q11" s="160">
        <f t="shared" si="21"/>
        <v>2</v>
      </c>
      <c r="R11" s="160" t="str">
        <f t="shared" si="5"/>
        <v>Lv1 → Lv2</v>
      </c>
      <c r="S11" s="160">
        <f t="shared" si="6"/>
        <v>0</v>
      </c>
      <c r="T11" s="177" t="s">
        <v>855</v>
      </c>
      <c r="U11" s="160">
        <f>COUNTIFS(sheet2!$A:$A,A11,sheet2!$E:$E,E11)</f>
        <v>1</v>
      </c>
      <c r="V11" s="160"/>
      <c r="W11" s="160"/>
      <c r="X11" s="160" t="str">
        <f t="shared" si="7"/>
        <v>#N/A</v>
      </c>
      <c r="Y11" s="160" t="str">
        <f t="shared" si="8"/>
        <v>#N/A</v>
      </c>
      <c r="Z11" s="160" t="str">
        <f t="shared" si="9"/>
        <v>#N/A</v>
      </c>
      <c r="AA11" s="160"/>
      <c r="AN11" s="12"/>
      <c r="AO11" s="174" t="str">
        <f>IFERROR(__xludf.DUMMYFUNCTION("""COMPUTED_VALUE"""),"237117")</f>
        <v>237117</v>
      </c>
      <c r="AP11" s="160" t="str">
        <f t="shared" si="10"/>
        <v>DEV</v>
      </c>
      <c r="AQ11" s="160" t="str">
        <f t="shared" si="11"/>
        <v>DEV, TA</v>
      </c>
      <c r="AR11" s="160" t="str">
        <f t="shared" si="12"/>
        <v>TBU</v>
      </c>
    </row>
    <row r="12">
      <c r="A12" s="174" t="s">
        <v>220</v>
      </c>
      <c r="B12" s="11" t="s">
        <v>221</v>
      </c>
      <c r="C12" s="175" t="s">
        <v>52</v>
      </c>
      <c r="D12" s="176" t="str">
        <f>IFERROR(VLOOKUP(C12, PIC!A:B, 2, 0), "")</f>
        <v>Anh Vu</v>
      </c>
      <c r="E12" s="11" t="s">
        <v>23</v>
      </c>
      <c r="F12" s="16" t="s">
        <v>858</v>
      </c>
      <c r="G12" s="16" t="s">
        <v>865</v>
      </c>
      <c r="H12" s="170">
        <f>IFERROR(
  MINIFS(ATTENDANCE_LOG!$F:$F,
         ATTENDANCE_LOG!$A:$A, C12,
         ATTENDANCE_LOG!$B:$B, E12),
"")</f>
        <v>45889.45833</v>
      </c>
      <c r="I12" s="170">
        <f t="shared" si="2"/>
        <v>45700.41667</v>
      </c>
      <c r="J12" s="11">
        <f>IFERROR(VLOOKUP(F12, LEVEL_HELPER!$A:$B, 2, 0), "")</f>
        <v>4.5</v>
      </c>
      <c r="K12" s="11">
        <f>IFERROR(VLOOKUP(G12, LEVEL_HELPER!$A:$B, 2, 0), "")</f>
        <v>5.5</v>
      </c>
      <c r="L12" s="171" t="s">
        <v>847</v>
      </c>
      <c r="M12" s="171" t="s">
        <v>153</v>
      </c>
      <c r="N12" s="11">
        <f t="array" ref="N12">IFERROR(
  INDEX($J$2:$J$531,
    MATCH(A12&amp;TEXT(I12,"yyyy-mm-dd"),
          $A$2:$A$531&amp;TEXT($H$2:$H$531,"yyyy-mm-dd"),
          0)),
"")</f>
        <v>4.5</v>
      </c>
      <c r="O12" s="160">
        <f t="shared" si="3"/>
        <v>5.5</v>
      </c>
      <c r="P12" s="160">
        <f t="shared" ref="P12:Q12" si="22">IF(N12="",0,IF(N12&lt;=2,1,IF(N12&lt;=4,2,IF(N12&lt;=5.5,3,4))))</f>
        <v>3</v>
      </c>
      <c r="Q12" s="160">
        <f t="shared" si="22"/>
        <v>3</v>
      </c>
      <c r="R12" s="160" t="str">
        <f t="shared" si="5"/>
        <v>Progress within level</v>
      </c>
      <c r="S12" s="160">
        <f t="shared" si="6"/>
        <v>0</v>
      </c>
      <c r="T12" s="177" t="s">
        <v>859</v>
      </c>
      <c r="U12" s="160">
        <f>COUNTIFS(sheet2!$A:$A,A12,sheet2!$E:$E,E12)</f>
        <v>1</v>
      </c>
      <c r="V12" s="160"/>
      <c r="W12" s="160"/>
      <c r="X12" s="160" t="str">
        <f t="shared" si="7"/>
        <v>#N/A</v>
      </c>
      <c r="Y12" s="160" t="str">
        <f t="shared" si="8"/>
        <v>#N/A</v>
      </c>
      <c r="Z12" s="160" t="str">
        <f t="shared" si="9"/>
        <v>#N/A</v>
      </c>
      <c r="AA12" s="160"/>
      <c r="AB12" s="182" t="s">
        <v>866</v>
      </c>
      <c r="AC12" s="160"/>
      <c r="AD12" s="160"/>
      <c r="AE12" s="160"/>
      <c r="AF12" s="160"/>
      <c r="AG12" s="160"/>
      <c r="AH12" s="160"/>
      <c r="AJ12" s="160"/>
      <c r="AK12" s="160"/>
      <c r="AL12" s="160"/>
      <c r="AM12" s="160"/>
      <c r="AN12" s="164"/>
      <c r="AO12" s="161" t="str">
        <f>IFERROR(__xludf.DUMMYFUNCTION("""COMPUTED_VALUE"""),"203780")</f>
        <v>203780</v>
      </c>
      <c r="AP12" s="160" t="str">
        <f t="shared" si="10"/>
        <v>QC</v>
      </c>
      <c r="AQ12" s="160" t="str">
        <f t="shared" si="11"/>
        <v>QC</v>
      </c>
      <c r="AR12" s="160" t="str">
        <f t="shared" si="12"/>
        <v>TBU</v>
      </c>
      <c r="AS12" s="160"/>
      <c r="AT12" s="182" t="s">
        <v>867</v>
      </c>
      <c r="AU12" s="182"/>
      <c r="AV12" s="160"/>
      <c r="AW12" s="160"/>
      <c r="AX12" s="160"/>
      <c r="AY12" s="160"/>
      <c r="AZ12" s="160"/>
      <c r="BA12" s="160"/>
      <c r="BB12" s="160"/>
      <c r="BC12" s="160"/>
      <c r="BD12" s="160"/>
      <c r="BE12" s="160"/>
      <c r="BF12" s="160"/>
      <c r="BG12" s="160"/>
      <c r="BH12" s="160"/>
      <c r="BI12" s="160"/>
      <c r="BJ12" s="160"/>
      <c r="BK12" s="160"/>
      <c r="BL12" s="160"/>
      <c r="BM12" s="160"/>
      <c r="BN12" s="160"/>
      <c r="BO12" s="160"/>
      <c r="BP12" s="160"/>
      <c r="BQ12" s="160"/>
      <c r="BR12" s="160"/>
      <c r="BS12" s="160"/>
      <c r="BT12" s="160"/>
      <c r="BU12" s="160"/>
      <c r="BV12" s="160"/>
      <c r="BW12" s="160"/>
      <c r="BX12" s="160"/>
      <c r="BY12" s="160"/>
      <c r="BZ12" s="160"/>
      <c r="CA12" s="160"/>
      <c r="CB12" s="160"/>
      <c r="CC12" s="160"/>
      <c r="CD12" s="160"/>
      <c r="CE12" s="160"/>
      <c r="CF12" s="160"/>
      <c r="CG12" s="160"/>
      <c r="CH12" s="160"/>
      <c r="CI12" s="160"/>
      <c r="CJ12" s="160"/>
      <c r="CK12" s="160"/>
      <c r="CL12" s="160"/>
    </row>
    <row r="13">
      <c r="A13" s="174" t="s">
        <v>222</v>
      </c>
      <c r="B13" s="11" t="s">
        <v>223</v>
      </c>
      <c r="C13" s="175" t="s">
        <v>52</v>
      </c>
      <c r="D13" s="176" t="str">
        <f>IFERROR(VLOOKUP(C13, PIC!A:B, 2, 0), "")</f>
        <v>Anh Vu</v>
      </c>
      <c r="E13" s="11" t="s">
        <v>23</v>
      </c>
      <c r="F13" s="16" t="s">
        <v>861</v>
      </c>
      <c r="G13" s="16" t="s">
        <v>868</v>
      </c>
      <c r="H13" s="170">
        <f>IFERROR(
  MINIFS(ATTENDANCE_LOG!$F:$F,
         ATTENDANCE_LOG!$A:$A, C13,
         ATTENDANCE_LOG!$B:$B, E13),
"")</f>
        <v>45889.45833</v>
      </c>
      <c r="I13" s="170">
        <f t="shared" si="2"/>
        <v>45700.41667</v>
      </c>
      <c r="J13" s="11">
        <f>IFERROR(VLOOKUP(F13, LEVEL_HELPER!$A:$B, 2, 0), "")</f>
        <v>3.5</v>
      </c>
      <c r="K13" s="11">
        <f>IFERROR(VLOOKUP(G13, LEVEL_HELPER!$A:$B, 2, 0), "")</f>
        <v>5</v>
      </c>
      <c r="L13" s="171" t="s">
        <v>847</v>
      </c>
      <c r="M13" s="171" t="s">
        <v>153</v>
      </c>
      <c r="N13" s="11">
        <f t="array" ref="N13">IFERROR(
  INDEX($J$2:$J$531,
    MATCH(A13&amp;TEXT(I13,"yyyy-mm-dd"),
          $A$2:$A$531&amp;TEXT($H$2:$H$531,"yyyy-mm-dd"),
          0)),
"")</f>
        <v>1</v>
      </c>
      <c r="O13" s="160">
        <f t="shared" si="3"/>
        <v>5</v>
      </c>
      <c r="P13" s="160">
        <f t="shared" ref="P13:Q13" si="23">IF(N13="",0,IF(N13&lt;=2,1,IF(N13&lt;=4,2,IF(N13&lt;=5.5,3,4))))</f>
        <v>1</v>
      </c>
      <c r="Q13" s="160">
        <f t="shared" si="23"/>
        <v>3</v>
      </c>
      <c r="R13" s="160" t="str">
        <f t="shared" si="5"/>
        <v>Lv1 → Lv3 (multi)</v>
      </c>
      <c r="S13" s="160">
        <f t="shared" si="6"/>
        <v>0</v>
      </c>
      <c r="T13" s="177" t="s">
        <v>862</v>
      </c>
      <c r="U13" s="160">
        <f>COUNTIFS(sheet2!$A:$A,A13,sheet2!$E:$E,E13)</f>
        <v>1</v>
      </c>
      <c r="V13" s="160"/>
      <c r="W13" s="160"/>
      <c r="X13" s="160" t="str">
        <f t="shared" si="7"/>
        <v>#N/A</v>
      </c>
      <c r="Y13" s="160" t="str">
        <f t="shared" si="8"/>
        <v>#N/A</v>
      </c>
      <c r="Z13" s="160" t="str">
        <f t="shared" si="9"/>
        <v>#N/A</v>
      </c>
      <c r="AA13" s="160"/>
      <c r="AB13" s="160"/>
      <c r="AC13" s="160"/>
      <c r="AD13" s="160"/>
      <c r="AE13" s="160"/>
      <c r="AF13" s="160"/>
      <c r="AG13" s="160"/>
      <c r="AH13" s="160"/>
      <c r="AI13" s="160"/>
      <c r="AJ13" s="160"/>
      <c r="AK13" s="160"/>
      <c r="AL13" s="160"/>
      <c r="AM13" s="160"/>
      <c r="AN13" s="164"/>
      <c r="AO13" s="161" t="str">
        <f>IFERROR(__xludf.DUMMYFUNCTION("""COMPUTED_VALUE"""),"193523")</f>
        <v>193523</v>
      </c>
      <c r="AP13" s="160" t="str">
        <f t="shared" si="10"/>
        <v>DEV</v>
      </c>
      <c r="AQ13" s="160" t="str">
        <f t="shared" si="11"/>
        <v>DEV, TA</v>
      </c>
      <c r="AR13" s="160" t="str">
        <f t="shared" si="12"/>
        <v>TBU</v>
      </c>
      <c r="AS13" s="160"/>
      <c r="AT13" s="160"/>
      <c r="AU13" s="160"/>
      <c r="AV13" s="160"/>
      <c r="AW13" s="160"/>
      <c r="AX13" s="160"/>
      <c r="AY13" s="160"/>
      <c r="AZ13" s="160"/>
      <c r="BA13" s="160"/>
      <c r="BB13" s="160"/>
      <c r="BC13" s="160"/>
      <c r="BD13" s="160"/>
      <c r="BE13" s="160"/>
      <c r="BF13" s="160"/>
      <c r="BG13" s="160"/>
      <c r="BH13" s="160"/>
      <c r="BI13" s="160"/>
      <c r="BJ13" s="160"/>
      <c r="BK13" s="160"/>
      <c r="BL13" s="160"/>
      <c r="BM13" s="160"/>
      <c r="BN13" s="160"/>
      <c r="BO13" s="160"/>
      <c r="BP13" s="160"/>
      <c r="BQ13" s="160"/>
      <c r="BR13" s="160"/>
      <c r="BS13" s="160"/>
      <c r="BT13" s="160"/>
      <c r="BU13" s="160"/>
      <c r="BV13" s="160"/>
      <c r="BW13" s="160"/>
      <c r="BX13" s="160"/>
      <c r="BY13" s="160"/>
      <c r="BZ13" s="160"/>
      <c r="CA13" s="160"/>
      <c r="CB13" s="160"/>
      <c r="CC13" s="160"/>
      <c r="CD13" s="160"/>
      <c r="CE13" s="160"/>
      <c r="CF13" s="160"/>
      <c r="CG13" s="160"/>
      <c r="CH13" s="160"/>
      <c r="CI13" s="160"/>
      <c r="CJ13" s="160"/>
      <c r="CK13" s="160"/>
      <c r="CL13" s="160"/>
    </row>
    <row r="14">
      <c r="A14" s="166" t="s">
        <v>224</v>
      </c>
      <c r="B14" s="167" t="s">
        <v>225</v>
      </c>
      <c r="C14" s="168" t="s">
        <v>52</v>
      </c>
      <c r="D14" s="169" t="str">
        <f>IFERROR(VLOOKUP(C14, PIC!A:B, 2, 0), "")</f>
        <v>Anh Vu</v>
      </c>
      <c r="E14" s="167" t="s">
        <v>25</v>
      </c>
      <c r="F14" s="11"/>
      <c r="G14" s="11"/>
      <c r="H14" s="170">
        <f>IFERROR(
  MINIFS(ATTENDANCE_LOG!$F:$F,
         ATTENDANCE_LOG!$A:$A, C14,
         ATTENDANCE_LOG!$B:$B, E14),
"")</f>
        <v>46084.54167</v>
      </c>
      <c r="I14" s="170">
        <f t="shared" si="2"/>
        <v>45700.41667</v>
      </c>
      <c r="J14" s="11" t="str">
        <f>IFERROR(VLOOKUP(F14, LEVEL_HELPER!$A:$B, 2, 0), "")</f>
        <v/>
      </c>
      <c r="K14" s="11" t="str">
        <f>IFERROR(VLOOKUP(G14, LEVEL_HELPER!$A:$B, 2, 0), "")</f>
        <v/>
      </c>
      <c r="L14" s="171" t="s">
        <v>847</v>
      </c>
      <c r="M14" s="171" t="s">
        <v>153</v>
      </c>
      <c r="N14" s="11">
        <f t="array" ref="N14">IFERROR(
  INDEX($J$2:$J$531,
    MATCH(A14&amp;TEXT(I14,"yyyy-mm-dd"),
          $A$2:$A$531&amp;TEXT($H$2:$H$531,"yyyy-mm-dd"),
          0)),
"")</f>
        <v>2.5</v>
      </c>
      <c r="O14" s="160">
        <f t="shared" si="3"/>
        <v>3.5</v>
      </c>
      <c r="P14" s="160">
        <f t="shared" ref="P14:Q14" si="24">IF(N14="",0,IF(N14&lt;=2,1,IF(N14&lt;=4,2,IF(N14&lt;=5.5,3,4))))</f>
        <v>2</v>
      </c>
      <c r="Q14" s="160">
        <f t="shared" si="24"/>
        <v>2</v>
      </c>
      <c r="R14" s="160" t="str">
        <f t="shared" si="5"/>
        <v>Progress within level</v>
      </c>
      <c r="S14" s="160">
        <f t="shared" si="6"/>
        <v>0</v>
      </c>
      <c r="T14" s="172" t="s">
        <v>848</v>
      </c>
      <c r="U14" s="160">
        <f>COUNTIFS(sheet2!$A:$A,A14,sheet2!$E:$E,E14)</f>
        <v>1</v>
      </c>
      <c r="V14" s="160"/>
      <c r="W14" s="160"/>
      <c r="X14" s="160" t="str">
        <f t="shared" si="7"/>
        <v>#N/A</v>
      </c>
      <c r="Y14" s="160" t="str">
        <f t="shared" si="8"/>
        <v>#N/A</v>
      </c>
      <c r="Z14" s="160" t="str">
        <f t="shared" si="9"/>
        <v>#N/A</v>
      </c>
      <c r="AA14" s="160"/>
      <c r="AB14" s="160"/>
      <c r="AC14" s="160"/>
      <c r="AD14" s="160"/>
      <c r="AE14" s="160"/>
      <c r="AF14" s="160"/>
      <c r="AG14" s="160"/>
      <c r="AH14" s="160"/>
      <c r="AI14" s="160"/>
      <c r="AJ14" s="160"/>
      <c r="AK14" s="160"/>
      <c r="AL14" s="160"/>
      <c r="AM14" s="160"/>
      <c r="AN14" s="164"/>
      <c r="AO14" s="161" t="str">
        <f>IFERROR(__xludf.DUMMYFUNCTION("""COMPUTED_VALUE"""),"193526")</f>
        <v>193526</v>
      </c>
      <c r="AP14" s="160" t="str">
        <f t="shared" si="10"/>
        <v>DEV</v>
      </c>
      <c r="AQ14" s="160" t="str">
        <f t="shared" si="11"/>
        <v>DEV, TA</v>
      </c>
      <c r="AR14" s="160" t="str">
        <f t="shared" si="12"/>
        <v>TBU</v>
      </c>
      <c r="AS14" s="160"/>
      <c r="AT14" s="160"/>
      <c r="AU14" s="160"/>
      <c r="AV14" s="160"/>
      <c r="AW14" s="160"/>
      <c r="AX14" s="160"/>
      <c r="AY14" s="160"/>
      <c r="AZ14" s="160"/>
      <c r="BA14" s="160"/>
      <c r="BB14" s="160"/>
      <c r="BC14" s="160"/>
      <c r="BD14" s="160"/>
      <c r="BE14" s="160"/>
      <c r="BF14" s="160"/>
      <c r="BG14" s="160"/>
      <c r="BH14" s="160"/>
      <c r="BI14" s="160"/>
      <c r="BJ14" s="160"/>
      <c r="BK14" s="160"/>
      <c r="BL14" s="160"/>
      <c r="BM14" s="160"/>
      <c r="BN14" s="160"/>
      <c r="BO14" s="160"/>
      <c r="BP14" s="160"/>
      <c r="BQ14" s="160"/>
      <c r="BR14" s="160"/>
      <c r="BS14" s="160"/>
      <c r="BT14" s="160"/>
      <c r="BU14" s="160"/>
      <c r="BV14" s="160"/>
      <c r="BW14" s="160"/>
      <c r="BX14" s="160"/>
      <c r="BY14" s="160"/>
      <c r="BZ14" s="160"/>
      <c r="CA14" s="160"/>
      <c r="CB14" s="160"/>
      <c r="CC14" s="160"/>
      <c r="CD14" s="160"/>
      <c r="CE14" s="160"/>
      <c r="CF14" s="160"/>
      <c r="CG14" s="160"/>
      <c r="CH14" s="160"/>
      <c r="CI14" s="160"/>
      <c r="CJ14" s="160"/>
      <c r="CK14" s="160"/>
      <c r="CL14" s="160"/>
    </row>
    <row r="15">
      <c r="A15" s="174" t="s">
        <v>220</v>
      </c>
      <c r="B15" s="11" t="s">
        <v>221</v>
      </c>
      <c r="C15" s="175" t="s">
        <v>52</v>
      </c>
      <c r="D15" s="176" t="str">
        <f>IFERROR(VLOOKUP(C15, PIC!A:B, 2, 0), "")</f>
        <v>Anh Vu</v>
      </c>
      <c r="E15" s="11" t="s">
        <v>25</v>
      </c>
      <c r="F15" s="11"/>
      <c r="G15" s="11"/>
      <c r="H15" s="170">
        <f>IFERROR(
  MINIFS(ATTENDANCE_LOG!$F:$F,
         ATTENDANCE_LOG!$A:$A, C15,
         ATTENDANCE_LOG!$B:$B, E15),
"")</f>
        <v>46084.54167</v>
      </c>
      <c r="I15" s="170">
        <f t="shared" si="2"/>
        <v>45700.41667</v>
      </c>
      <c r="J15" s="11" t="str">
        <f>IFERROR(VLOOKUP(F15, LEVEL_HELPER!$A:$B, 2, 0), "")</f>
        <v/>
      </c>
      <c r="K15" s="11" t="str">
        <f>IFERROR(VLOOKUP(G15, LEVEL_HELPER!$A:$B, 2, 0), "")</f>
        <v/>
      </c>
      <c r="L15" s="171" t="s">
        <v>847</v>
      </c>
      <c r="M15" s="171" t="s">
        <v>153</v>
      </c>
      <c r="N15" s="11">
        <f t="array" ref="N15">IFERROR(
  INDEX($J$2:$J$531,
    MATCH(A15&amp;TEXT(I15,"yyyy-mm-dd"),
          $A$2:$A$531&amp;TEXT($H$2:$H$531,"yyyy-mm-dd"),
          0)),
"")</f>
        <v>4.5</v>
      </c>
      <c r="O15" s="160">
        <f t="shared" si="3"/>
        <v>5.5</v>
      </c>
      <c r="P15" s="160">
        <f t="shared" ref="P15:Q15" si="25">IF(N15="",0,IF(N15&lt;=2,1,IF(N15&lt;=4,2,IF(N15&lt;=5.5,3,4))))</f>
        <v>3</v>
      </c>
      <c r="Q15" s="160">
        <f t="shared" si="25"/>
        <v>3</v>
      </c>
      <c r="R15" s="160" t="str">
        <f t="shared" si="5"/>
        <v>Progress within level</v>
      </c>
      <c r="S15" s="160">
        <f t="shared" si="6"/>
        <v>0</v>
      </c>
      <c r="T15" s="177" t="s">
        <v>859</v>
      </c>
      <c r="U15" s="160">
        <f>COUNTIFS(sheet2!$A:$A,A15,sheet2!$E:$E,E15)</f>
        <v>1</v>
      </c>
      <c r="V15" s="160"/>
      <c r="W15" s="160"/>
      <c r="X15" s="160" t="str">
        <f t="shared" si="7"/>
        <v>#N/A</v>
      </c>
      <c r="Y15" s="160" t="str">
        <f t="shared" si="8"/>
        <v>#N/A</v>
      </c>
      <c r="Z15" s="160" t="str">
        <f t="shared" si="9"/>
        <v>#N/A</v>
      </c>
      <c r="AA15" s="160"/>
      <c r="AB15" s="160"/>
      <c r="AC15" s="160"/>
      <c r="AD15" s="160"/>
      <c r="AE15" s="160"/>
      <c r="AF15" s="160"/>
      <c r="AG15" s="160"/>
      <c r="AH15" s="160"/>
      <c r="AI15" s="160"/>
      <c r="AJ15" s="160"/>
      <c r="AK15" s="160"/>
      <c r="AL15" s="160"/>
      <c r="AM15" s="160"/>
      <c r="AN15" s="164"/>
      <c r="AO15" s="161" t="str">
        <f>IFERROR(__xludf.DUMMYFUNCTION("""COMPUTED_VALUE"""),"213893")</f>
        <v>213893</v>
      </c>
      <c r="AP15" s="160" t="str">
        <f t="shared" si="10"/>
        <v>DEV</v>
      </c>
      <c r="AQ15" s="160" t="str">
        <f t="shared" si="11"/>
        <v>DEV, TA</v>
      </c>
      <c r="AR15" s="160" t="str">
        <f t="shared" si="12"/>
        <v>ONC</v>
      </c>
      <c r="AS15" s="160"/>
      <c r="AT15" s="160"/>
      <c r="AU15" s="160"/>
      <c r="AV15" s="160"/>
      <c r="AW15" s="160"/>
      <c r="AX15" s="160"/>
      <c r="AY15" s="160"/>
      <c r="AZ15" s="160"/>
      <c r="BA15" s="160"/>
      <c r="BB15" s="160"/>
      <c r="BC15" s="160"/>
      <c r="BD15" s="160"/>
      <c r="BE15" s="160"/>
      <c r="BF15" s="160"/>
      <c r="BG15" s="160"/>
      <c r="BH15" s="160"/>
      <c r="BI15" s="160"/>
      <c r="BJ15" s="160"/>
      <c r="BK15" s="160"/>
      <c r="BL15" s="160"/>
      <c r="BM15" s="160"/>
      <c r="BN15" s="160"/>
      <c r="BO15" s="160"/>
      <c r="BP15" s="160"/>
      <c r="BQ15" s="160"/>
      <c r="BR15" s="160"/>
      <c r="BS15" s="160"/>
      <c r="BT15" s="160"/>
      <c r="BU15" s="160"/>
      <c r="BV15" s="160"/>
      <c r="BW15" s="160"/>
      <c r="BX15" s="160"/>
      <c r="BY15" s="160"/>
      <c r="BZ15" s="160"/>
      <c r="CA15" s="160"/>
      <c r="CB15" s="160"/>
      <c r="CC15" s="160"/>
      <c r="CD15" s="160"/>
      <c r="CE15" s="160"/>
      <c r="CF15" s="160"/>
      <c r="CG15" s="160"/>
      <c r="CH15" s="160"/>
      <c r="CI15" s="160"/>
      <c r="CJ15" s="160"/>
      <c r="CK15" s="160"/>
      <c r="CL15" s="160"/>
    </row>
    <row r="16">
      <c r="A16" s="174" t="s">
        <v>222</v>
      </c>
      <c r="B16" s="11" t="s">
        <v>223</v>
      </c>
      <c r="C16" s="175" t="s">
        <v>52</v>
      </c>
      <c r="D16" s="176" t="str">
        <f>IFERROR(VLOOKUP(C16, PIC!A:B, 2, 0), "")</f>
        <v>Anh Vu</v>
      </c>
      <c r="E16" s="11" t="s">
        <v>25</v>
      </c>
      <c r="F16" s="11"/>
      <c r="G16" s="11"/>
      <c r="H16" s="170">
        <f>IFERROR(
  MINIFS(ATTENDANCE_LOG!$F:$F,
         ATTENDANCE_LOG!$A:$A, C16,
         ATTENDANCE_LOG!$B:$B, E16),
"")</f>
        <v>46084.54167</v>
      </c>
      <c r="I16" s="170">
        <f t="shared" si="2"/>
        <v>45700.41667</v>
      </c>
      <c r="J16" s="11" t="str">
        <f>IFERROR(VLOOKUP(F16, LEVEL_HELPER!$A:$B, 2, 0), "")</f>
        <v/>
      </c>
      <c r="K16" s="11" t="str">
        <f>IFERROR(VLOOKUP(G16, LEVEL_HELPER!$A:$B, 2, 0), "")</f>
        <v/>
      </c>
      <c r="L16" s="171" t="s">
        <v>847</v>
      </c>
      <c r="M16" s="171" t="s">
        <v>153</v>
      </c>
      <c r="N16" s="11">
        <f t="array" ref="N16">IFERROR(
  INDEX($J$2:$J$531,
    MATCH(A16&amp;TEXT(I16,"yyyy-mm-dd"),
          $A$2:$A$531&amp;TEXT($H$2:$H$531,"yyyy-mm-dd"),
          0)),
"")</f>
        <v>1</v>
      </c>
      <c r="O16" s="160">
        <f t="shared" si="3"/>
        <v>5</v>
      </c>
      <c r="P16" s="160">
        <f t="shared" ref="P16:Q16" si="26">IF(N16="",0,IF(N16&lt;=2,1,IF(N16&lt;=4,2,IF(N16&lt;=5.5,3,4))))</f>
        <v>1</v>
      </c>
      <c r="Q16" s="160">
        <f t="shared" si="26"/>
        <v>3</v>
      </c>
      <c r="R16" s="160" t="str">
        <f t="shared" si="5"/>
        <v>Lv1 → Lv3 (multi)</v>
      </c>
      <c r="S16" s="160">
        <f t="shared" si="6"/>
        <v>0</v>
      </c>
      <c r="T16" s="177" t="s">
        <v>862</v>
      </c>
      <c r="U16" s="160">
        <f>COUNTIFS(sheet2!$A:$A,A16,sheet2!$E:$E,E16)</f>
        <v>1</v>
      </c>
      <c r="V16" s="160"/>
      <c r="W16" s="160"/>
      <c r="X16" s="160" t="str">
        <f t="shared" si="7"/>
        <v>#N/A</v>
      </c>
      <c r="Y16" s="160" t="str">
        <f t="shared" si="8"/>
        <v>#N/A</v>
      </c>
      <c r="Z16" s="160" t="str">
        <f t="shared" si="9"/>
        <v>#N/A</v>
      </c>
      <c r="AA16" s="160"/>
      <c r="AB16" s="160"/>
      <c r="AC16" s="160"/>
      <c r="AD16" s="160"/>
      <c r="AE16" s="160"/>
      <c r="AF16" s="160"/>
      <c r="AG16" s="160"/>
      <c r="AH16" s="160"/>
      <c r="AI16" s="160"/>
      <c r="AJ16" s="160"/>
      <c r="AK16" s="160"/>
      <c r="AL16" s="160"/>
      <c r="AM16" s="160"/>
      <c r="AN16" s="164"/>
      <c r="AO16" s="161" t="str">
        <f>IFERROR(__xludf.DUMMYFUNCTION("""COMPUTED_VALUE"""),"227244")</f>
        <v>227244</v>
      </c>
      <c r="AP16" s="160" t="str">
        <f t="shared" si="10"/>
        <v>DEV</v>
      </c>
      <c r="AQ16" s="160" t="str">
        <f t="shared" si="11"/>
        <v>DEV, TA</v>
      </c>
      <c r="AR16" s="160" t="str">
        <f t="shared" si="12"/>
        <v>ONC</v>
      </c>
      <c r="AS16" s="160"/>
      <c r="AT16" s="160"/>
      <c r="AU16" s="160"/>
      <c r="AV16" s="160"/>
      <c r="AW16" s="160"/>
      <c r="AX16" s="160"/>
      <c r="AY16" s="160"/>
      <c r="AZ16" s="160"/>
      <c r="BA16" s="160"/>
      <c r="BB16" s="160"/>
      <c r="BC16" s="160"/>
      <c r="BD16" s="160"/>
      <c r="BE16" s="160"/>
      <c r="BF16" s="160"/>
      <c r="BG16" s="160"/>
      <c r="BH16" s="160"/>
      <c r="BI16" s="160"/>
      <c r="BJ16" s="160"/>
      <c r="BK16" s="160"/>
      <c r="BL16" s="160"/>
      <c r="BM16" s="160"/>
      <c r="BN16" s="160"/>
      <c r="BO16" s="160"/>
      <c r="BP16" s="160"/>
      <c r="BQ16" s="160"/>
      <c r="BR16" s="160"/>
      <c r="BS16" s="160"/>
      <c r="BT16" s="160"/>
      <c r="BU16" s="160"/>
      <c r="BV16" s="160"/>
      <c r="BW16" s="160"/>
      <c r="BX16" s="160"/>
      <c r="BY16" s="160"/>
      <c r="BZ16" s="160"/>
      <c r="CA16" s="160"/>
      <c r="CB16" s="160"/>
      <c r="CC16" s="160"/>
      <c r="CD16" s="160"/>
      <c r="CE16" s="160"/>
      <c r="CF16" s="160"/>
      <c r="CG16" s="160"/>
      <c r="CH16" s="160"/>
      <c r="CI16" s="160"/>
      <c r="CJ16" s="160"/>
      <c r="CK16" s="160"/>
      <c r="CL16" s="160"/>
    </row>
    <row r="17">
      <c r="A17" s="166" t="s">
        <v>240</v>
      </c>
      <c r="B17" s="167" t="s">
        <v>241</v>
      </c>
      <c r="C17" s="168" t="s">
        <v>53</v>
      </c>
      <c r="D17" s="169" t="str">
        <f>IFERROR(VLOOKUP(C17, PIC!A:B, 2, 0), "")</f>
        <v>Buu Do 1</v>
      </c>
      <c r="E17" s="167" t="s">
        <v>22</v>
      </c>
      <c r="F17" s="16" t="s">
        <v>845</v>
      </c>
      <c r="G17" s="11"/>
      <c r="H17" s="170">
        <f>IFERROR(
  MINIFS(ATTENDANCE_LOG!$F:$F,
         ATTENDANCE_LOG!$A:$A, C17,
         ATTENDANCE_LOG!$B:$B, E17),
"")</f>
        <v>45715.41667</v>
      </c>
      <c r="I17" s="170">
        <f t="shared" si="2"/>
        <v>45715.41667</v>
      </c>
      <c r="J17" s="11">
        <f>IFERROR(VLOOKUP(F17, LEVEL_HELPER!$A:$B, 2, 0), "")</f>
        <v>2.5</v>
      </c>
      <c r="K17" s="11" t="str">
        <f>IFERROR(VLOOKUP(G17, LEVEL_HELPER!$A:$B, 2, 0), "")</f>
        <v/>
      </c>
      <c r="L17" s="171" t="s">
        <v>869</v>
      </c>
      <c r="M17" s="183" t="s">
        <v>149</v>
      </c>
      <c r="N17" s="11">
        <f t="array" ref="N17">IFERROR(
  INDEX($J$2:$J$531,
    MATCH(A17&amp;TEXT(I17,"yyyy-mm-dd"),
          $A$2:$A$531&amp;TEXT($H$2:$H$531,"yyyy-mm-dd"),
          0)),
"")</f>
        <v>2.5</v>
      </c>
      <c r="O17" s="160">
        <f t="shared" si="3"/>
        <v>0</v>
      </c>
      <c r="P17" s="160">
        <f t="shared" ref="P17:Q17" si="27">IF(N17="",0,IF(N17&lt;=2,1,IF(N17&lt;=4,2,IF(N17&lt;=5.5,3,4))))</f>
        <v>2</v>
      </c>
      <c r="Q17" s="160">
        <f t="shared" si="27"/>
        <v>1</v>
      </c>
      <c r="R17" s="160" t="str">
        <f t="shared" si="5"/>
        <v>Not tested yet</v>
      </c>
      <c r="S17" s="160">
        <f t="shared" si="6"/>
        <v>1</v>
      </c>
      <c r="T17" s="172" t="s">
        <v>870</v>
      </c>
      <c r="U17" s="160">
        <f>COUNTIFS(sheet2!$A:$A,A17,sheet2!$E:$E,E17)</f>
        <v>1</v>
      </c>
      <c r="V17" s="160"/>
      <c r="W17" s="160"/>
      <c r="X17" s="160" t="str">
        <f t="shared" si="7"/>
        <v>#N/A</v>
      </c>
      <c r="Y17" s="160" t="str">
        <f t="shared" si="8"/>
        <v>#N/A</v>
      </c>
      <c r="Z17" s="160" t="str">
        <f t="shared" si="9"/>
        <v>#N/A</v>
      </c>
      <c r="AA17" s="160"/>
      <c r="AB17" s="160"/>
      <c r="AC17" s="160"/>
      <c r="AD17" s="160"/>
      <c r="AE17" s="160"/>
      <c r="AF17" s="160"/>
      <c r="AG17" s="160"/>
      <c r="AH17" s="160"/>
      <c r="AI17" s="160"/>
      <c r="AJ17" s="160"/>
      <c r="AK17" s="160"/>
      <c r="AL17" s="160"/>
      <c r="AM17" s="160"/>
      <c r="AN17" s="164"/>
      <c r="AO17" s="161" t="str">
        <f>IFERROR(__xludf.DUMMYFUNCTION("""COMPUTED_VALUE"""),"183422")</f>
        <v>183422</v>
      </c>
      <c r="AP17" s="160" t="str">
        <f t="shared" si="10"/>
        <v>DEV</v>
      </c>
      <c r="AQ17" s="160" t="str">
        <f t="shared" si="11"/>
        <v>DEV, TA</v>
      </c>
      <c r="AR17" s="160" t="str">
        <f t="shared" si="12"/>
        <v>ONC</v>
      </c>
      <c r="AS17" s="160"/>
      <c r="AT17" s="160"/>
      <c r="AU17" s="160"/>
      <c r="AV17" s="160"/>
      <c r="AW17" s="160"/>
      <c r="AX17" s="160"/>
      <c r="AY17" s="160"/>
      <c r="AZ17" s="160"/>
      <c r="BA17" s="160"/>
      <c r="BB17" s="160"/>
      <c r="BC17" s="160"/>
      <c r="BD17" s="160"/>
      <c r="BE17" s="160"/>
      <c r="BF17" s="160"/>
      <c r="BG17" s="160"/>
      <c r="BH17" s="160"/>
      <c r="BI17" s="160"/>
      <c r="BJ17" s="160"/>
      <c r="BK17" s="160"/>
      <c r="BL17" s="160"/>
      <c r="BM17" s="160"/>
      <c r="BN17" s="160"/>
      <c r="BO17" s="160"/>
      <c r="BP17" s="160"/>
      <c r="BQ17" s="160"/>
      <c r="BR17" s="160"/>
      <c r="BS17" s="160"/>
      <c r="BT17" s="160"/>
      <c r="BU17" s="160"/>
      <c r="BV17" s="160"/>
      <c r="BW17" s="160"/>
      <c r="BX17" s="160"/>
      <c r="BY17" s="160"/>
      <c r="BZ17" s="160"/>
      <c r="CA17" s="160"/>
      <c r="CB17" s="160"/>
      <c r="CC17" s="160"/>
      <c r="CD17" s="160"/>
      <c r="CE17" s="160"/>
      <c r="CF17" s="160"/>
      <c r="CG17" s="160"/>
      <c r="CH17" s="160"/>
      <c r="CI17" s="160"/>
      <c r="CJ17" s="160"/>
      <c r="CK17" s="160"/>
      <c r="CL17" s="160"/>
    </row>
    <row r="18">
      <c r="A18" s="174" t="s">
        <v>226</v>
      </c>
      <c r="B18" s="11" t="s">
        <v>227</v>
      </c>
      <c r="C18" s="175" t="s">
        <v>53</v>
      </c>
      <c r="D18" s="176" t="str">
        <f>IFERROR(VLOOKUP(C18, PIC!A:B, 2, 0), "")</f>
        <v>Buu Do 1</v>
      </c>
      <c r="E18" s="11" t="s">
        <v>22</v>
      </c>
      <c r="F18" s="16" t="s">
        <v>849</v>
      </c>
      <c r="G18" s="16" t="s">
        <v>858</v>
      </c>
      <c r="H18" s="170">
        <f>IFERROR(
  MINIFS(ATTENDANCE_LOG!$F:$F,
         ATTENDANCE_LOG!$A:$A, C18,
         ATTENDANCE_LOG!$B:$B, E18),
"")</f>
        <v>45715.41667</v>
      </c>
      <c r="I18" s="170">
        <f t="shared" si="2"/>
        <v>45715.41667</v>
      </c>
      <c r="J18" s="11">
        <f>IFERROR(VLOOKUP(F18, LEVEL_HELPER!$A:$B, 2, 0), "")</f>
        <v>1</v>
      </c>
      <c r="K18" s="11">
        <f>IFERROR(VLOOKUP(G18, LEVEL_HELPER!$A:$B, 2, 0), "")</f>
        <v>4.5</v>
      </c>
      <c r="L18" s="171" t="s">
        <v>400</v>
      </c>
      <c r="M18" s="183" t="s">
        <v>149</v>
      </c>
      <c r="N18" s="11">
        <f t="array" ref="N18">IFERROR(
  INDEX($J$2:$J$531,
    MATCH(A18&amp;TEXT(I18,"yyyy-mm-dd"),
          $A$2:$A$531&amp;TEXT($H$2:$H$531,"yyyy-mm-dd"),
          0)),
"")</f>
        <v>1</v>
      </c>
      <c r="O18" s="160">
        <f t="shared" si="3"/>
        <v>4.5</v>
      </c>
      <c r="P18" s="160">
        <f t="shared" ref="P18:Q18" si="28">IF(N18="",0,IF(N18&lt;=2,1,IF(N18&lt;=4,2,IF(N18&lt;=5.5,3,4))))</f>
        <v>1</v>
      </c>
      <c r="Q18" s="160">
        <f t="shared" si="28"/>
        <v>3</v>
      </c>
      <c r="R18" s="160" t="str">
        <f t="shared" si="5"/>
        <v>Lv1 → Lv3 (multi)</v>
      </c>
      <c r="S18" s="160">
        <f t="shared" si="6"/>
        <v>1</v>
      </c>
      <c r="T18" s="177" t="s">
        <v>871</v>
      </c>
      <c r="U18" s="160">
        <f>COUNTIFS(sheet2!$A:$A,A18,sheet2!$E:$E,E18)</f>
        <v>1</v>
      </c>
      <c r="V18" s="160"/>
      <c r="W18" s="160"/>
      <c r="X18" s="160" t="str">
        <f t="shared" si="7"/>
        <v>#N/A</v>
      </c>
      <c r="Y18" s="160" t="str">
        <f t="shared" si="8"/>
        <v>#N/A</v>
      </c>
      <c r="Z18" s="160" t="str">
        <f t="shared" si="9"/>
        <v>#N/A</v>
      </c>
      <c r="AA18" s="160"/>
      <c r="AB18" s="160"/>
      <c r="AC18" s="160"/>
      <c r="AD18" s="160"/>
      <c r="AE18" s="160"/>
      <c r="AF18" s="160"/>
      <c r="AG18" s="160"/>
      <c r="AH18" s="160"/>
      <c r="AI18" s="160"/>
      <c r="AJ18" s="160"/>
      <c r="AK18" s="160"/>
      <c r="AL18" s="160"/>
      <c r="AM18" s="160"/>
      <c r="AN18" s="164"/>
      <c r="AO18" s="161" t="str">
        <f>IFERROR(__xludf.DUMMYFUNCTION("""COMPUTED_VALUE"""),"183427")</f>
        <v>183427</v>
      </c>
      <c r="AP18" s="160" t="str">
        <f t="shared" si="10"/>
        <v>DEV</v>
      </c>
      <c r="AQ18" s="160" t="str">
        <f t="shared" si="11"/>
        <v>DEV, TA</v>
      </c>
      <c r="AR18" s="160" t="str">
        <f t="shared" si="12"/>
        <v>ONC</v>
      </c>
      <c r="AS18" s="160"/>
      <c r="AT18" s="160"/>
      <c r="AU18" s="160"/>
      <c r="AV18" s="160"/>
      <c r="AW18" s="160"/>
      <c r="AX18" s="160"/>
      <c r="AY18" s="160"/>
      <c r="AZ18" s="160"/>
      <c r="BA18" s="160"/>
      <c r="BB18" s="160"/>
      <c r="BC18" s="160"/>
      <c r="BD18" s="160"/>
      <c r="BE18" s="160"/>
      <c r="BF18" s="160"/>
      <c r="BG18" s="160"/>
      <c r="BH18" s="160"/>
      <c r="BI18" s="160"/>
      <c r="BJ18" s="160"/>
      <c r="BK18" s="160"/>
      <c r="BL18" s="160"/>
      <c r="BM18" s="160"/>
      <c r="BN18" s="160"/>
      <c r="BO18" s="160"/>
      <c r="BP18" s="160"/>
      <c r="BQ18" s="160"/>
      <c r="BR18" s="160"/>
      <c r="BS18" s="160"/>
      <c r="BT18" s="160"/>
      <c r="BU18" s="160"/>
      <c r="BV18" s="160"/>
      <c r="BW18" s="160"/>
      <c r="BX18" s="160"/>
      <c r="BY18" s="160"/>
      <c r="BZ18" s="160"/>
      <c r="CA18" s="160"/>
      <c r="CB18" s="160"/>
      <c r="CC18" s="160"/>
      <c r="CD18" s="160"/>
      <c r="CE18" s="160"/>
      <c r="CF18" s="160"/>
      <c r="CG18" s="160"/>
      <c r="CH18" s="160"/>
      <c r="CI18" s="160"/>
      <c r="CJ18" s="160"/>
      <c r="CK18" s="160"/>
      <c r="CL18" s="160"/>
    </row>
    <row r="19">
      <c r="A19" s="174" t="s">
        <v>228</v>
      </c>
      <c r="B19" s="11" t="s">
        <v>229</v>
      </c>
      <c r="C19" s="175" t="s">
        <v>53</v>
      </c>
      <c r="D19" s="176" t="str">
        <f>IFERROR(VLOOKUP(C19, PIC!A:B, 2, 0), "")</f>
        <v>Buu Do 1</v>
      </c>
      <c r="E19" s="11" t="s">
        <v>22</v>
      </c>
      <c r="F19" s="16" t="s">
        <v>849</v>
      </c>
      <c r="G19" s="16" t="s">
        <v>846</v>
      </c>
      <c r="H19" s="170">
        <f>IFERROR(
  MINIFS(ATTENDANCE_LOG!$F:$F,
         ATTENDANCE_LOG!$A:$A, C19,
         ATTENDANCE_LOG!$B:$B, E19),
"")</f>
        <v>45715.41667</v>
      </c>
      <c r="I19" s="170">
        <f t="shared" si="2"/>
        <v>45715.41667</v>
      </c>
      <c r="J19" s="11">
        <f>IFERROR(VLOOKUP(F19, LEVEL_HELPER!$A:$B, 2, 0), "")</f>
        <v>1</v>
      </c>
      <c r="K19" s="11">
        <f>IFERROR(VLOOKUP(G19, LEVEL_HELPER!$A:$B, 2, 0), "")</f>
        <v>3</v>
      </c>
      <c r="L19" s="171" t="s">
        <v>400</v>
      </c>
      <c r="M19" s="183" t="s">
        <v>149</v>
      </c>
      <c r="N19" s="11">
        <f t="array" ref="N19">IFERROR(
  INDEX($J$2:$J$531,
    MATCH(A19&amp;TEXT(I19,"yyyy-mm-dd"),
          $A$2:$A$531&amp;TEXT($H$2:$H$531,"yyyy-mm-dd"),
          0)),
"")</f>
        <v>1</v>
      </c>
      <c r="O19" s="160">
        <f t="shared" si="3"/>
        <v>3</v>
      </c>
      <c r="P19" s="160">
        <f t="shared" ref="P19:Q19" si="29">IF(N19="",0,IF(N19&lt;=2,1,IF(N19&lt;=4,2,IF(N19&lt;=5.5,3,4))))</f>
        <v>1</v>
      </c>
      <c r="Q19" s="160">
        <f t="shared" si="29"/>
        <v>2</v>
      </c>
      <c r="R19" s="160" t="str">
        <f t="shared" si="5"/>
        <v>Lv1 → Lv2</v>
      </c>
      <c r="S19" s="160">
        <f t="shared" si="6"/>
        <v>1</v>
      </c>
      <c r="T19" s="177" t="s">
        <v>872</v>
      </c>
      <c r="U19" s="160">
        <f>COUNTIFS(sheet2!$A:$A,A19,sheet2!$E:$E,E19)</f>
        <v>1</v>
      </c>
      <c r="V19" s="160"/>
      <c r="W19" s="160"/>
      <c r="X19" s="160" t="str">
        <f t="shared" si="7"/>
        <v>#N/A</v>
      </c>
      <c r="Y19" s="160" t="str">
        <f t="shared" si="8"/>
        <v>#N/A</v>
      </c>
      <c r="Z19" s="160" t="str">
        <f t="shared" si="9"/>
        <v>#N/A</v>
      </c>
      <c r="AA19" s="160"/>
      <c r="AB19" s="160"/>
      <c r="AC19" s="160"/>
      <c r="AD19" s="160"/>
      <c r="AE19" s="160"/>
      <c r="AF19" s="160"/>
      <c r="AG19" s="160"/>
      <c r="AH19" s="160"/>
      <c r="AI19" s="160"/>
      <c r="AJ19" s="160"/>
      <c r="AK19" s="160"/>
      <c r="AL19" s="160"/>
      <c r="AM19" s="160"/>
      <c r="AN19" s="164"/>
      <c r="AO19" s="161" t="str">
        <f>IFERROR(__xludf.DUMMYFUNCTION("""COMPUTED_VALUE"""),"193516")</f>
        <v>193516</v>
      </c>
      <c r="AP19" s="160" t="str">
        <f t="shared" si="10"/>
        <v>DEV</v>
      </c>
      <c r="AQ19" s="160" t="str">
        <f t="shared" si="11"/>
        <v>DEV, TA</v>
      </c>
      <c r="AR19" s="160" t="str">
        <f t="shared" si="12"/>
        <v>ONC</v>
      </c>
      <c r="AS19" s="160"/>
      <c r="AT19" s="160"/>
      <c r="AU19" s="160"/>
      <c r="AV19" s="160"/>
      <c r="AW19" s="160"/>
      <c r="AX19" s="160"/>
      <c r="AY19" s="160"/>
      <c r="AZ19" s="160"/>
      <c r="BA19" s="160"/>
      <c r="BB19" s="160"/>
      <c r="BC19" s="160"/>
      <c r="BD19" s="160"/>
      <c r="BE19" s="160"/>
      <c r="BF19" s="160"/>
      <c r="BG19" s="160"/>
      <c r="BH19" s="160"/>
      <c r="BI19" s="160"/>
      <c r="BJ19" s="160"/>
      <c r="BK19" s="160"/>
      <c r="BL19" s="160"/>
      <c r="BM19" s="160"/>
      <c r="BN19" s="160"/>
      <c r="BO19" s="160"/>
      <c r="BP19" s="160"/>
      <c r="BQ19" s="160"/>
      <c r="BR19" s="160"/>
      <c r="BS19" s="160"/>
      <c r="BT19" s="160"/>
      <c r="BU19" s="160"/>
      <c r="BV19" s="160"/>
      <c r="BW19" s="160"/>
      <c r="BX19" s="160"/>
      <c r="BY19" s="160"/>
      <c r="BZ19" s="160"/>
      <c r="CA19" s="160"/>
      <c r="CB19" s="160"/>
      <c r="CC19" s="160"/>
      <c r="CD19" s="160"/>
      <c r="CE19" s="160"/>
      <c r="CF19" s="160"/>
      <c r="CG19" s="160"/>
      <c r="CH19" s="160"/>
      <c r="CI19" s="160"/>
      <c r="CJ19" s="160"/>
      <c r="CK19" s="160"/>
      <c r="CL19" s="160"/>
    </row>
    <row r="20">
      <c r="A20" s="174" t="s">
        <v>230</v>
      </c>
      <c r="B20" s="11" t="s">
        <v>231</v>
      </c>
      <c r="C20" s="175" t="s">
        <v>53</v>
      </c>
      <c r="D20" s="176" t="str">
        <f>IFERROR(VLOOKUP(C20, PIC!A:B, 2, 0), "")</f>
        <v>Buu Do 1</v>
      </c>
      <c r="E20" s="11" t="s">
        <v>22</v>
      </c>
      <c r="F20" s="16" t="s">
        <v>849</v>
      </c>
      <c r="G20" s="11"/>
      <c r="H20" s="170">
        <f>IFERROR(
  MINIFS(ATTENDANCE_LOG!$F:$F,
         ATTENDANCE_LOG!$A:$A, C20,
         ATTENDANCE_LOG!$B:$B, E20),
"")</f>
        <v>45715.41667</v>
      </c>
      <c r="I20" s="170">
        <f t="shared" si="2"/>
        <v>45715.41667</v>
      </c>
      <c r="J20" s="11">
        <f>IFERROR(VLOOKUP(F20, LEVEL_HELPER!$A:$B, 2, 0), "")</f>
        <v>1</v>
      </c>
      <c r="K20" s="11" t="str">
        <f>IFERROR(VLOOKUP(G20, LEVEL_HELPER!$A:$B, 2, 0), "")</f>
        <v/>
      </c>
      <c r="L20" s="171" t="s">
        <v>873</v>
      </c>
      <c r="M20" s="183" t="s">
        <v>149</v>
      </c>
      <c r="N20" s="11">
        <f t="array" ref="N20">IFERROR(
  INDEX($J$2:$J$531,
    MATCH(A20&amp;TEXT(I20,"yyyy-mm-dd"),
          $A$2:$A$531&amp;TEXT($H$2:$H$531,"yyyy-mm-dd"),
          0)),
"")</f>
        <v>1</v>
      </c>
      <c r="O20" s="160">
        <f t="shared" si="3"/>
        <v>0</v>
      </c>
      <c r="P20" s="160">
        <f t="shared" ref="P20:Q20" si="30">IF(N20="",0,IF(N20&lt;=2,1,IF(N20&lt;=4,2,IF(N20&lt;=5.5,3,4))))</f>
        <v>1</v>
      </c>
      <c r="Q20" s="160">
        <f t="shared" si="30"/>
        <v>1</v>
      </c>
      <c r="R20" s="160" t="str">
        <f t="shared" si="5"/>
        <v>Not tested yet</v>
      </c>
      <c r="S20" s="160">
        <f t="shared" si="6"/>
        <v>1</v>
      </c>
      <c r="T20" s="177" t="s">
        <v>874</v>
      </c>
      <c r="U20" s="160">
        <f>COUNTIFS(sheet2!$A:$A,A20,sheet2!$E:$E,E20)</f>
        <v>1</v>
      </c>
      <c r="V20" s="160"/>
      <c r="W20" s="160"/>
      <c r="X20" s="160" t="str">
        <f t="shared" si="7"/>
        <v>#N/A</v>
      </c>
      <c r="Y20" s="160" t="str">
        <f t="shared" si="8"/>
        <v>#N/A</v>
      </c>
      <c r="Z20" s="160" t="str">
        <f t="shared" si="9"/>
        <v>#N/A</v>
      </c>
      <c r="AA20" s="160"/>
      <c r="AB20" s="160"/>
      <c r="AC20" s="160"/>
      <c r="AD20" s="160"/>
      <c r="AE20" s="160"/>
      <c r="AF20" s="160"/>
      <c r="AG20" s="160"/>
      <c r="AH20" s="160"/>
      <c r="AI20" s="160"/>
      <c r="AJ20" s="160"/>
      <c r="AK20" s="160"/>
      <c r="AL20" s="160"/>
      <c r="AM20" s="160"/>
      <c r="AN20" s="164"/>
      <c r="AO20" s="161" t="str">
        <f>IFERROR(__xludf.DUMMYFUNCTION("""COMPUTED_VALUE"""),"247234")</f>
        <v>247234</v>
      </c>
      <c r="AP20" s="160" t="str">
        <f t="shared" si="10"/>
        <v>QC</v>
      </c>
      <c r="AQ20" s="160" t="str">
        <f t="shared" si="11"/>
        <v>QC</v>
      </c>
      <c r="AR20" s="160" t="str">
        <f t="shared" si="12"/>
        <v>LBU</v>
      </c>
      <c r="AS20" s="160"/>
      <c r="AT20" s="160"/>
      <c r="AU20" s="160"/>
      <c r="AV20" s="160"/>
      <c r="AW20" s="160"/>
      <c r="AX20" s="160"/>
      <c r="AY20" s="160"/>
      <c r="AZ20" s="160"/>
      <c r="BA20" s="160"/>
      <c r="BB20" s="160"/>
      <c r="BC20" s="160"/>
      <c r="BD20" s="160"/>
      <c r="BE20" s="160"/>
      <c r="BF20" s="160"/>
      <c r="BG20" s="160"/>
      <c r="BH20" s="160"/>
      <c r="BI20" s="160"/>
      <c r="BJ20" s="160"/>
      <c r="BK20" s="160"/>
      <c r="BL20" s="160"/>
      <c r="BM20" s="160"/>
      <c r="BN20" s="160"/>
      <c r="BO20" s="160"/>
      <c r="BP20" s="160"/>
      <c r="BQ20" s="160"/>
      <c r="BR20" s="160"/>
      <c r="BS20" s="160"/>
      <c r="BT20" s="160"/>
      <c r="BU20" s="160"/>
      <c r="BV20" s="160"/>
      <c r="BW20" s="160"/>
      <c r="BX20" s="160"/>
      <c r="BY20" s="160"/>
      <c r="BZ20" s="160"/>
      <c r="CA20" s="160"/>
      <c r="CB20" s="160"/>
      <c r="CC20" s="160"/>
      <c r="CD20" s="160"/>
      <c r="CE20" s="160"/>
      <c r="CF20" s="160"/>
      <c r="CG20" s="160"/>
      <c r="CH20" s="160"/>
      <c r="CI20" s="160"/>
      <c r="CJ20" s="160"/>
      <c r="CK20" s="160"/>
      <c r="CL20" s="160"/>
    </row>
    <row r="21">
      <c r="A21" s="174" t="s">
        <v>232</v>
      </c>
      <c r="B21" s="11" t="s">
        <v>233</v>
      </c>
      <c r="C21" s="175" t="s">
        <v>53</v>
      </c>
      <c r="D21" s="176" t="str">
        <f>IFERROR(VLOOKUP(C21, PIC!A:B, 2, 0), "")</f>
        <v>Buu Do 1</v>
      </c>
      <c r="E21" s="11" t="s">
        <v>22</v>
      </c>
      <c r="F21" s="16" t="s">
        <v>849</v>
      </c>
      <c r="G21" s="11"/>
      <c r="H21" s="170">
        <f>IFERROR(
  MINIFS(ATTENDANCE_LOG!$F:$F,
         ATTENDANCE_LOG!$A:$A, C21,
         ATTENDANCE_LOG!$B:$B, E21),
"")</f>
        <v>45715.41667</v>
      </c>
      <c r="I21" s="170">
        <f t="shared" si="2"/>
        <v>45715.41667</v>
      </c>
      <c r="J21" s="11">
        <f>IFERROR(VLOOKUP(F21, LEVEL_HELPER!$A:$B, 2, 0), "")</f>
        <v>1</v>
      </c>
      <c r="K21" s="11" t="str">
        <f>IFERROR(VLOOKUP(G21, LEVEL_HELPER!$A:$B, 2, 0), "")</f>
        <v/>
      </c>
      <c r="L21" s="171" t="s">
        <v>400</v>
      </c>
      <c r="M21" s="171" t="s">
        <v>150</v>
      </c>
      <c r="N21" s="11">
        <f t="array" ref="N21">IFERROR(
  INDEX($J$2:$J$531,
    MATCH(A21&amp;TEXT(I21,"yyyy-mm-dd"),
          $A$2:$A$531&amp;TEXT($H$2:$H$531,"yyyy-mm-dd"),
          0)),
"")</f>
        <v>1</v>
      </c>
      <c r="O21" s="160">
        <f t="shared" si="3"/>
        <v>0</v>
      </c>
      <c r="P21" s="160">
        <f t="shared" ref="P21:Q21" si="31">IF(N21="",0,IF(N21&lt;=2,1,IF(N21&lt;=4,2,IF(N21&lt;=5.5,3,4))))</f>
        <v>1</v>
      </c>
      <c r="Q21" s="160">
        <f t="shared" si="31"/>
        <v>1</v>
      </c>
      <c r="R21" s="160" t="str">
        <f t="shared" si="5"/>
        <v>Not tested yet</v>
      </c>
      <c r="S21" s="160">
        <f t="shared" si="6"/>
        <v>1</v>
      </c>
      <c r="T21" s="177" t="s">
        <v>875</v>
      </c>
      <c r="U21" s="160">
        <f>COUNTIFS(sheet2!$A:$A,A21,sheet2!$E:$E,E21)</f>
        <v>1</v>
      </c>
      <c r="V21" s="160"/>
      <c r="W21" s="160"/>
      <c r="X21" s="160" t="str">
        <f t="shared" si="7"/>
        <v>#N/A</v>
      </c>
      <c r="Y21" s="160" t="str">
        <f t="shared" si="8"/>
        <v>#N/A</v>
      </c>
      <c r="Z21" s="160" t="str">
        <f t="shared" si="9"/>
        <v>#N/A</v>
      </c>
      <c r="AA21" s="160"/>
      <c r="AB21" s="160"/>
      <c r="AC21" s="160"/>
      <c r="AD21" s="160"/>
      <c r="AE21" s="160"/>
      <c r="AF21" s="160"/>
      <c r="AG21" s="160"/>
      <c r="AH21" s="160"/>
      <c r="AI21" s="160"/>
      <c r="AJ21" s="160"/>
      <c r="AK21" s="160"/>
      <c r="AL21" s="160"/>
      <c r="AM21" s="160"/>
      <c r="AN21" s="164"/>
      <c r="AO21" s="161" t="str">
        <f>IFERROR(__xludf.DUMMYFUNCTION("""COMPUTED_VALUE"""),"247185")</f>
        <v>247185</v>
      </c>
      <c r="AP21" s="160" t="str">
        <f t="shared" si="10"/>
        <v>QC</v>
      </c>
      <c r="AQ21" s="160" t="str">
        <f t="shared" si="11"/>
        <v>QC</v>
      </c>
      <c r="AR21" s="160" t="str">
        <f t="shared" si="12"/>
        <v>ONC</v>
      </c>
      <c r="AS21" s="160"/>
      <c r="AT21" s="160"/>
      <c r="AU21" s="160"/>
      <c r="AV21" s="160"/>
      <c r="AW21" s="160"/>
      <c r="AX21" s="160"/>
      <c r="AY21" s="160"/>
      <c r="AZ21" s="160"/>
      <c r="BA21" s="160"/>
      <c r="BB21" s="160"/>
      <c r="BC21" s="160"/>
      <c r="BD21" s="160"/>
      <c r="BE21" s="160"/>
      <c r="BF21" s="160"/>
      <c r="BG21" s="160"/>
      <c r="BH21" s="160"/>
      <c r="BI21" s="160"/>
      <c r="BJ21" s="160"/>
      <c r="BK21" s="160"/>
      <c r="BL21" s="160"/>
      <c r="BM21" s="160"/>
      <c r="BN21" s="160"/>
      <c r="BO21" s="160"/>
      <c r="BP21" s="160"/>
      <c r="BQ21" s="160"/>
      <c r="BR21" s="160"/>
      <c r="BS21" s="160"/>
      <c r="BT21" s="160"/>
      <c r="BU21" s="160"/>
      <c r="BV21" s="160"/>
      <c r="BW21" s="160"/>
      <c r="BX21" s="160"/>
      <c r="BY21" s="160"/>
      <c r="BZ21" s="160"/>
      <c r="CA21" s="160"/>
      <c r="CB21" s="160"/>
      <c r="CC21" s="160"/>
      <c r="CD21" s="160"/>
      <c r="CE21" s="160"/>
      <c r="CF21" s="160"/>
      <c r="CG21" s="160"/>
      <c r="CH21" s="160"/>
      <c r="CI21" s="160"/>
      <c r="CJ21" s="160"/>
      <c r="CK21" s="160"/>
      <c r="CL21" s="160"/>
    </row>
    <row r="22">
      <c r="A22" s="174" t="s">
        <v>234</v>
      </c>
      <c r="B22" s="11" t="s">
        <v>235</v>
      </c>
      <c r="C22" s="175" t="s">
        <v>53</v>
      </c>
      <c r="D22" s="176" t="str">
        <f>IFERROR(VLOOKUP(C22, PIC!A:B, 2, 0), "")</f>
        <v>Buu Do 1</v>
      </c>
      <c r="E22" s="11" t="s">
        <v>22</v>
      </c>
      <c r="F22" s="16" t="s">
        <v>849</v>
      </c>
      <c r="G22" s="16" t="s">
        <v>846</v>
      </c>
      <c r="H22" s="170">
        <f>IFERROR(
  MINIFS(ATTENDANCE_LOG!$F:$F,
         ATTENDANCE_LOG!$A:$A, C22,
         ATTENDANCE_LOG!$B:$B, E22),
"")</f>
        <v>45715.41667</v>
      </c>
      <c r="I22" s="170">
        <f t="shared" si="2"/>
        <v>45715.41667</v>
      </c>
      <c r="J22" s="11">
        <f>IFERROR(VLOOKUP(F22, LEVEL_HELPER!$A:$B, 2, 0), "")</f>
        <v>1</v>
      </c>
      <c r="K22" s="11">
        <f>IFERROR(VLOOKUP(G22, LEVEL_HELPER!$A:$B, 2, 0), "")</f>
        <v>3</v>
      </c>
      <c r="L22" s="171" t="s">
        <v>400</v>
      </c>
      <c r="M22" s="183" t="s">
        <v>149</v>
      </c>
      <c r="N22" s="11">
        <f t="array" ref="N22">IFERROR(
  INDEX($J$2:$J$531,
    MATCH(A22&amp;TEXT(I22,"yyyy-mm-dd"),
          $A$2:$A$531&amp;TEXT($H$2:$H$531,"yyyy-mm-dd"),
          0)),
"")</f>
        <v>1</v>
      </c>
      <c r="O22" s="160">
        <f t="shared" si="3"/>
        <v>3</v>
      </c>
      <c r="P22" s="160">
        <f t="shared" ref="P22:Q22" si="32">IF(N22="",0,IF(N22&lt;=2,1,IF(N22&lt;=4,2,IF(N22&lt;=5.5,3,4))))</f>
        <v>1</v>
      </c>
      <c r="Q22" s="160">
        <f t="shared" si="32"/>
        <v>2</v>
      </c>
      <c r="R22" s="160" t="str">
        <f t="shared" si="5"/>
        <v>Lv1 → Lv2</v>
      </c>
      <c r="S22" s="160">
        <f t="shared" si="6"/>
        <v>1</v>
      </c>
      <c r="T22" s="177" t="s">
        <v>876</v>
      </c>
      <c r="U22" s="160">
        <f>COUNTIFS(sheet2!$A:$A,A22,sheet2!$E:$E,E22)</f>
        <v>1</v>
      </c>
      <c r="V22" s="160"/>
      <c r="W22" s="160"/>
      <c r="X22" s="160" t="str">
        <f t="shared" si="7"/>
        <v>#N/A</v>
      </c>
      <c r="Y22" s="160" t="str">
        <f t="shared" si="8"/>
        <v>#N/A</v>
      </c>
      <c r="Z22" s="160" t="str">
        <f t="shared" si="9"/>
        <v>#N/A</v>
      </c>
      <c r="AA22" s="160"/>
      <c r="AB22" s="160"/>
      <c r="AC22" s="160"/>
      <c r="AD22" s="160"/>
      <c r="AE22" s="160"/>
      <c r="AF22" s="160"/>
      <c r="AG22" s="160"/>
      <c r="AH22" s="160"/>
      <c r="AI22" s="160"/>
      <c r="AJ22" s="160"/>
      <c r="AK22" s="160"/>
      <c r="AL22" s="160"/>
      <c r="AM22" s="160"/>
      <c r="AN22" s="164"/>
      <c r="AO22" s="161" t="str">
        <f>IFERROR(__xludf.DUMMYFUNCTION("""COMPUTED_VALUE"""),"257133")</f>
        <v>257133</v>
      </c>
      <c r="AP22" s="160" t="str">
        <f t="shared" si="10"/>
        <v>QC</v>
      </c>
      <c r="AQ22" s="160" t="str">
        <f t="shared" si="11"/>
        <v>QC</v>
      </c>
      <c r="AR22" s="160" t="str">
        <f t="shared" si="12"/>
        <v>ONC</v>
      </c>
      <c r="AS22" s="160"/>
      <c r="AT22" s="160"/>
      <c r="AU22" s="160"/>
      <c r="AV22" s="160"/>
      <c r="AW22" s="160"/>
      <c r="AX22" s="160"/>
      <c r="AY22" s="160"/>
      <c r="AZ22" s="160"/>
      <c r="BA22" s="160"/>
      <c r="BB22" s="160"/>
      <c r="BC22" s="160"/>
      <c r="BD22" s="160"/>
      <c r="BE22" s="160"/>
      <c r="BF22" s="160"/>
      <c r="BG22" s="160"/>
      <c r="BH22" s="160"/>
      <c r="BI22" s="160"/>
      <c r="BJ22" s="160"/>
      <c r="BK22" s="160"/>
      <c r="BL22" s="160"/>
      <c r="BM22" s="160"/>
      <c r="BN22" s="160"/>
      <c r="BO22" s="160"/>
      <c r="BP22" s="160"/>
      <c r="BQ22" s="160"/>
      <c r="BR22" s="160"/>
      <c r="BS22" s="160"/>
      <c r="BT22" s="160"/>
      <c r="BU22" s="160"/>
      <c r="BV22" s="160"/>
      <c r="BW22" s="160"/>
      <c r="BX22" s="160"/>
      <c r="BY22" s="160"/>
      <c r="BZ22" s="160"/>
      <c r="CA22" s="160"/>
      <c r="CB22" s="160"/>
      <c r="CC22" s="160"/>
      <c r="CD22" s="160"/>
      <c r="CE22" s="160"/>
      <c r="CF22" s="160"/>
      <c r="CG22" s="160"/>
      <c r="CH22" s="160"/>
      <c r="CI22" s="160"/>
      <c r="CJ22" s="160"/>
      <c r="CK22" s="160"/>
      <c r="CL22" s="160"/>
    </row>
    <row r="23">
      <c r="A23" s="174" t="s">
        <v>236</v>
      </c>
      <c r="B23" s="11" t="s">
        <v>237</v>
      </c>
      <c r="C23" s="175" t="s">
        <v>53</v>
      </c>
      <c r="D23" s="176" t="str">
        <f>IFERROR(VLOOKUP(C23, PIC!A:B, 2, 0), "")</f>
        <v>Buu Do 1</v>
      </c>
      <c r="E23" s="11" t="s">
        <v>22</v>
      </c>
      <c r="F23" s="16" t="s">
        <v>849</v>
      </c>
      <c r="G23" s="16" t="s">
        <v>846</v>
      </c>
      <c r="H23" s="170">
        <f>IFERROR(
  MINIFS(ATTENDANCE_LOG!$F:$F,
         ATTENDANCE_LOG!$A:$A, C23,
         ATTENDANCE_LOG!$B:$B, E23),
"")</f>
        <v>45715.41667</v>
      </c>
      <c r="I23" s="170">
        <f t="shared" si="2"/>
        <v>45715.41667</v>
      </c>
      <c r="J23" s="11">
        <f>IFERROR(VLOOKUP(F23, LEVEL_HELPER!$A:$B, 2, 0), "")</f>
        <v>1</v>
      </c>
      <c r="K23" s="11">
        <f>IFERROR(VLOOKUP(G23, LEVEL_HELPER!$A:$B, 2, 0), "")</f>
        <v>3</v>
      </c>
      <c r="L23" s="171" t="s">
        <v>400</v>
      </c>
      <c r="M23" s="183" t="s">
        <v>149</v>
      </c>
      <c r="N23" s="11">
        <f t="array" ref="N23">IFERROR(
  INDEX($J$2:$J$531,
    MATCH(A23&amp;TEXT(I23,"yyyy-mm-dd"),
          $A$2:$A$531&amp;TEXT($H$2:$H$531,"yyyy-mm-dd"),
          0)),
"")</f>
        <v>1</v>
      </c>
      <c r="O23" s="160">
        <f t="shared" si="3"/>
        <v>3</v>
      </c>
      <c r="P23" s="160">
        <f t="shared" ref="P23:Q23" si="33">IF(N23="",0,IF(N23&lt;=2,1,IF(N23&lt;=4,2,IF(N23&lt;=5.5,3,4))))</f>
        <v>1</v>
      </c>
      <c r="Q23" s="160">
        <f t="shared" si="33"/>
        <v>2</v>
      </c>
      <c r="R23" s="160" t="str">
        <f t="shared" si="5"/>
        <v>Lv1 → Lv2</v>
      </c>
      <c r="S23" s="160">
        <f t="shared" si="6"/>
        <v>1</v>
      </c>
      <c r="T23" s="177" t="s">
        <v>877</v>
      </c>
      <c r="U23" s="160">
        <f>COUNTIFS(sheet2!$A:$A,A23,sheet2!$E:$E,E23)</f>
        <v>1</v>
      </c>
      <c r="V23" s="160"/>
      <c r="W23" s="160"/>
      <c r="X23" s="160" t="str">
        <f t="shared" si="7"/>
        <v>#N/A</v>
      </c>
      <c r="Y23" s="160" t="str">
        <f t="shared" si="8"/>
        <v>#N/A</v>
      </c>
      <c r="Z23" s="160" t="str">
        <f t="shared" si="9"/>
        <v>#N/A</v>
      </c>
      <c r="AA23" s="160"/>
      <c r="AB23" s="160"/>
      <c r="AC23" s="160"/>
      <c r="AD23" s="160"/>
      <c r="AE23" s="160"/>
      <c r="AF23" s="160"/>
      <c r="AG23" s="160"/>
      <c r="AH23" s="160"/>
      <c r="AI23" s="160"/>
      <c r="AJ23" s="160"/>
      <c r="AK23" s="160"/>
      <c r="AL23" s="160"/>
      <c r="AM23" s="160"/>
      <c r="AN23" s="164"/>
      <c r="AO23" s="161" t="str">
        <f>IFERROR(__xludf.DUMMYFUNCTION("""COMPUTED_VALUE"""),"193633")</f>
        <v>193633</v>
      </c>
      <c r="AP23" s="160" t="str">
        <f t="shared" si="10"/>
        <v>QC</v>
      </c>
      <c r="AQ23" s="160" t="str">
        <f t="shared" si="11"/>
        <v>QC</v>
      </c>
      <c r="AR23" s="160" t="str">
        <f t="shared" si="12"/>
        <v>ONC</v>
      </c>
      <c r="AS23" s="160"/>
      <c r="AT23" s="160"/>
      <c r="AU23" s="160"/>
      <c r="AV23" s="160"/>
      <c r="AW23" s="160"/>
      <c r="AX23" s="160"/>
      <c r="AY23" s="160"/>
      <c r="AZ23" s="160"/>
      <c r="BA23" s="160"/>
      <c r="BB23" s="160"/>
      <c r="BC23" s="160"/>
      <c r="BD23" s="160"/>
      <c r="BE23" s="160"/>
      <c r="BF23" s="160"/>
      <c r="BG23" s="160"/>
      <c r="BH23" s="160"/>
      <c r="BI23" s="160"/>
      <c r="BJ23" s="160"/>
      <c r="BK23" s="160"/>
      <c r="BL23" s="160"/>
      <c r="BM23" s="160"/>
      <c r="BN23" s="160"/>
      <c r="BO23" s="160"/>
      <c r="BP23" s="160"/>
      <c r="BQ23" s="160"/>
      <c r="BR23" s="160"/>
      <c r="BS23" s="160"/>
      <c r="BT23" s="160"/>
      <c r="BU23" s="160"/>
      <c r="BV23" s="160"/>
      <c r="BW23" s="160"/>
      <c r="BX23" s="160"/>
      <c r="BY23" s="160"/>
      <c r="BZ23" s="160"/>
      <c r="CA23" s="160"/>
      <c r="CB23" s="160"/>
      <c r="CC23" s="160"/>
      <c r="CD23" s="160"/>
      <c r="CE23" s="160"/>
      <c r="CF23" s="160"/>
      <c r="CG23" s="160"/>
      <c r="CH23" s="160"/>
      <c r="CI23" s="160"/>
      <c r="CJ23" s="160"/>
      <c r="CK23" s="160"/>
      <c r="CL23" s="160"/>
    </row>
    <row r="24">
      <c r="A24" s="174" t="s">
        <v>238</v>
      </c>
      <c r="B24" s="11" t="s">
        <v>239</v>
      </c>
      <c r="C24" s="175" t="s">
        <v>53</v>
      </c>
      <c r="D24" s="176" t="str">
        <f>IFERROR(VLOOKUP(C24, PIC!A:B, 2, 0), "")</f>
        <v>Buu Do 1</v>
      </c>
      <c r="E24" s="11" t="s">
        <v>22</v>
      </c>
      <c r="F24" s="16" t="s">
        <v>849</v>
      </c>
      <c r="G24" s="16" t="s">
        <v>861</v>
      </c>
      <c r="H24" s="170">
        <f>IFERROR(
  MINIFS(ATTENDANCE_LOG!$F:$F,
         ATTENDANCE_LOG!$A:$A, C24,
         ATTENDANCE_LOG!$B:$B, E24),
"")</f>
        <v>45715.41667</v>
      </c>
      <c r="I24" s="170">
        <f t="shared" si="2"/>
        <v>45715.41667</v>
      </c>
      <c r="J24" s="11">
        <f>IFERROR(VLOOKUP(F24, LEVEL_HELPER!$A:$B, 2, 0), "")</f>
        <v>1</v>
      </c>
      <c r="K24" s="11">
        <f>IFERROR(VLOOKUP(G24, LEVEL_HELPER!$A:$B, 2, 0), "")</f>
        <v>3.5</v>
      </c>
      <c r="L24" s="171" t="s">
        <v>400</v>
      </c>
      <c r="M24" s="183" t="s">
        <v>149</v>
      </c>
      <c r="N24" s="11">
        <f t="array" ref="N24">IFERROR(
  INDEX($J$2:$J$531,
    MATCH(A24&amp;TEXT(I24,"yyyy-mm-dd"),
          $A$2:$A$531&amp;TEXT($H$2:$H$531,"yyyy-mm-dd"),
          0)),
"")</f>
        <v>1</v>
      </c>
      <c r="O24" s="160">
        <f t="shared" si="3"/>
        <v>3.5</v>
      </c>
      <c r="P24" s="160">
        <f t="shared" ref="P24:Q24" si="34">IF(N24="",0,IF(N24&lt;=2,1,IF(N24&lt;=4,2,IF(N24&lt;=5.5,3,4))))</f>
        <v>1</v>
      </c>
      <c r="Q24" s="160">
        <f t="shared" si="34"/>
        <v>2</v>
      </c>
      <c r="R24" s="160" t="str">
        <f t="shared" si="5"/>
        <v>Lv1 → Lv2</v>
      </c>
      <c r="S24" s="160">
        <f t="shared" si="6"/>
        <v>1</v>
      </c>
      <c r="T24" s="177" t="s">
        <v>878</v>
      </c>
      <c r="U24" s="160">
        <f>COUNTIFS(sheet2!$A:$A,A24,sheet2!$E:$E,E24)</f>
        <v>1</v>
      </c>
      <c r="V24" s="160"/>
      <c r="W24" s="160"/>
      <c r="X24" s="160" t="str">
        <f t="shared" si="7"/>
        <v>#N/A</v>
      </c>
      <c r="Y24" s="160" t="str">
        <f t="shared" si="8"/>
        <v>#N/A</v>
      </c>
      <c r="Z24" s="160" t="str">
        <f t="shared" si="9"/>
        <v>#N/A</v>
      </c>
      <c r="AA24" s="160"/>
      <c r="AB24" s="160"/>
      <c r="AC24" s="160"/>
      <c r="AD24" s="160"/>
      <c r="AE24" s="160"/>
      <c r="AF24" s="160"/>
      <c r="AG24" s="160"/>
      <c r="AH24" s="160"/>
      <c r="AI24" s="160"/>
      <c r="AJ24" s="160"/>
      <c r="AK24" s="160"/>
      <c r="AL24" s="160"/>
      <c r="AM24" s="160"/>
      <c r="AN24" s="164"/>
      <c r="AO24" s="161" t="str">
        <f>IFERROR(__xludf.DUMMYFUNCTION("""COMPUTED_VALUE"""),"227177")</f>
        <v>227177</v>
      </c>
      <c r="AP24" s="160" t="str">
        <f t="shared" si="10"/>
        <v>QC</v>
      </c>
      <c r="AQ24" s="160" t="str">
        <f t="shared" si="11"/>
        <v>QC</v>
      </c>
      <c r="AR24" s="160" t="str">
        <f t="shared" si="12"/>
        <v>ONC</v>
      </c>
      <c r="AS24" s="160"/>
      <c r="AT24" s="160"/>
      <c r="AU24" s="160"/>
      <c r="AV24" s="160"/>
      <c r="AW24" s="160"/>
      <c r="AX24" s="160"/>
      <c r="AY24" s="160"/>
      <c r="AZ24" s="160"/>
      <c r="BA24" s="160"/>
      <c r="BB24" s="160"/>
      <c r="BC24" s="160"/>
      <c r="BD24" s="160"/>
      <c r="BE24" s="160"/>
      <c r="BF24" s="160"/>
      <c r="BG24" s="160"/>
      <c r="BH24" s="160"/>
      <c r="BI24" s="160"/>
      <c r="BJ24" s="160"/>
      <c r="BK24" s="160"/>
      <c r="BL24" s="160"/>
      <c r="BM24" s="160"/>
      <c r="BN24" s="160"/>
      <c r="BO24" s="160"/>
      <c r="BP24" s="160"/>
      <c r="BQ24" s="160"/>
      <c r="BR24" s="160"/>
      <c r="BS24" s="160"/>
      <c r="BT24" s="160"/>
      <c r="BU24" s="160"/>
      <c r="BV24" s="160"/>
      <c r="BW24" s="160"/>
      <c r="BX24" s="160"/>
      <c r="BY24" s="160"/>
      <c r="BZ24" s="160"/>
      <c r="CA24" s="160"/>
      <c r="CB24" s="160"/>
      <c r="CC24" s="160"/>
      <c r="CD24" s="160"/>
      <c r="CE24" s="160"/>
      <c r="CF24" s="160"/>
      <c r="CG24" s="160"/>
      <c r="CH24" s="160"/>
      <c r="CI24" s="160"/>
      <c r="CJ24" s="160"/>
      <c r="CK24" s="160"/>
      <c r="CL24" s="160"/>
    </row>
    <row r="25">
      <c r="A25" s="166" t="s">
        <v>417</v>
      </c>
      <c r="B25" s="167" t="s">
        <v>418</v>
      </c>
      <c r="C25" s="168" t="s">
        <v>54</v>
      </c>
      <c r="D25" s="169" t="str">
        <f>IFERROR(VLOOKUP(C25, PIC!A:B, 2, 0), "")</f>
        <v>Buu Do 2</v>
      </c>
      <c r="E25" s="167" t="s">
        <v>22</v>
      </c>
      <c r="F25" s="16" t="s">
        <v>849</v>
      </c>
      <c r="G25" s="16" t="s">
        <v>846</v>
      </c>
      <c r="H25" s="170">
        <f>IFERROR(
  MINIFS(ATTENDANCE_LOG!$F:$F,
         ATTENDANCE_LOG!$A:$A, C25,
         ATTENDANCE_LOG!$B:$B, E25),
"")</f>
        <v>45715.45833</v>
      </c>
      <c r="I25" s="170">
        <f t="shared" si="2"/>
        <v>45715.45833</v>
      </c>
      <c r="J25" s="11">
        <f>IFERROR(VLOOKUP(F25, LEVEL_HELPER!$A:$B, 2, 0), "")</f>
        <v>1</v>
      </c>
      <c r="K25" s="11">
        <f>IFERROR(VLOOKUP(G25, LEVEL_HELPER!$A:$B, 2, 0), "")</f>
        <v>3</v>
      </c>
      <c r="L25" s="171" t="s">
        <v>847</v>
      </c>
      <c r="M25" s="171" t="s">
        <v>150</v>
      </c>
      <c r="N25" s="11">
        <f t="array" ref="N25">IFERROR(
  INDEX($J$2:$J$531,
    MATCH(A25&amp;TEXT(I25,"yyyy-mm-dd"),
          $A$2:$A$531&amp;TEXT($H$2:$H$531,"yyyy-mm-dd"),
          0)),
"")</f>
        <v>1</v>
      </c>
      <c r="O25" s="160">
        <f t="shared" si="3"/>
        <v>3</v>
      </c>
      <c r="P25" s="160">
        <f t="shared" ref="P25:Q25" si="35">IF(N25="",0,IF(N25&lt;=2,1,IF(N25&lt;=4,2,IF(N25&lt;=5.5,3,4))))</f>
        <v>1</v>
      </c>
      <c r="Q25" s="160">
        <f t="shared" si="35"/>
        <v>2</v>
      </c>
      <c r="R25" s="160" t="str">
        <f t="shared" si="5"/>
        <v>Lv1 → Lv2</v>
      </c>
      <c r="S25" s="160">
        <f t="shared" si="6"/>
        <v>1</v>
      </c>
      <c r="T25" s="172" t="s">
        <v>879</v>
      </c>
      <c r="U25" s="160">
        <f>COUNTIFS(sheet2!$A:$A,A25,sheet2!$E:$E,E25)</f>
        <v>1</v>
      </c>
      <c r="V25" s="160"/>
      <c r="W25" s="160"/>
      <c r="X25" s="160" t="str">
        <f t="shared" si="7"/>
        <v>#N/A</v>
      </c>
      <c r="Y25" s="160" t="str">
        <f t="shared" si="8"/>
        <v>#N/A</v>
      </c>
      <c r="Z25" s="160" t="str">
        <f t="shared" si="9"/>
        <v>#N/A</v>
      </c>
      <c r="AA25" s="160"/>
      <c r="AB25" s="160"/>
      <c r="AC25" s="160"/>
      <c r="AD25" s="160"/>
      <c r="AE25" s="160"/>
      <c r="AF25" s="160"/>
      <c r="AG25" s="160"/>
      <c r="AH25" s="160"/>
      <c r="AI25" s="160"/>
      <c r="AJ25" s="160"/>
      <c r="AK25" s="160"/>
      <c r="AL25" s="160"/>
      <c r="AM25" s="160"/>
      <c r="AN25" s="164"/>
      <c r="AO25" s="161" t="str">
        <f>IFERROR(__xludf.DUMMYFUNCTION("""COMPUTED_VALUE"""),"257132")</f>
        <v>257132</v>
      </c>
      <c r="AP25" s="160" t="str">
        <f t="shared" si="10"/>
        <v>QC</v>
      </c>
      <c r="AQ25" s="160" t="str">
        <f t="shared" si="11"/>
        <v>QC</v>
      </c>
      <c r="AR25" s="160" t="str">
        <f t="shared" si="12"/>
        <v>ONC</v>
      </c>
      <c r="AS25" s="160"/>
      <c r="AT25" s="160"/>
      <c r="AU25" s="160"/>
      <c r="AV25" s="160"/>
      <c r="AW25" s="160"/>
      <c r="AX25" s="160"/>
      <c r="AY25" s="160"/>
      <c r="AZ25" s="160"/>
      <c r="BA25" s="160"/>
      <c r="BB25" s="160"/>
      <c r="BC25" s="160"/>
      <c r="BD25" s="160"/>
      <c r="BE25" s="160"/>
      <c r="BF25" s="160"/>
      <c r="BG25" s="160"/>
      <c r="BH25" s="160"/>
      <c r="BI25" s="160"/>
      <c r="BJ25" s="160"/>
      <c r="BK25" s="160"/>
      <c r="BL25" s="160"/>
      <c r="BM25" s="160"/>
      <c r="BN25" s="160"/>
      <c r="BO25" s="160"/>
      <c r="BP25" s="160"/>
      <c r="BQ25" s="160"/>
      <c r="BR25" s="160"/>
      <c r="BS25" s="160"/>
      <c r="BT25" s="160"/>
      <c r="BU25" s="160"/>
      <c r="BV25" s="160"/>
      <c r="BW25" s="160"/>
      <c r="BX25" s="160"/>
      <c r="BY25" s="160"/>
      <c r="BZ25" s="160"/>
      <c r="CA25" s="160"/>
      <c r="CB25" s="160"/>
      <c r="CC25" s="160"/>
      <c r="CD25" s="160"/>
      <c r="CE25" s="160"/>
      <c r="CF25" s="160"/>
      <c r="CG25" s="160"/>
      <c r="CH25" s="160"/>
      <c r="CI25" s="160"/>
      <c r="CJ25" s="160"/>
      <c r="CK25" s="160"/>
      <c r="CL25" s="160"/>
    </row>
    <row r="26">
      <c r="A26" s="174" t="s">
        <v>316</v>
      </c>
      <c r="B26" s="11" t="s">
        <v>317</v>
      </c>
      <c r="C26" s="175" t="s">
        <v>54</v>
      </c>
      <c r="D26" s="176" t="str">
        <f>IFERROR(VLOOKUP(C26, PIC!A:B, 2, 0), "")</f>
        <v>Buu Do 2</v>
      </c>
      <c r="E26" s="11" t="s">
        <v>22</v>
      </c>
      <c r="F26" s="16" t="s">
        <v>849</v>
      </c>
      <c r="G26" s="16" t="s">
        <v>849</v>
      </c>
      <c r="H26" s="170">
        <f>IFERROR(
  MINIFS(ATTENDANCE_LOG!$F:$F,
         ATTENDANCE_LOG!$A:$A, C26,
         ATTENDANCE_LOG!$B:$B, E26),
"")</f>
        <v>45715.45833</v>
      </c>
      <c r="I26" s="170">
        <f t="shared" si="2"/>
        <v>45715.45833</v>
      </c>
      <c r="J26" s="11">
        <f>IFERROR(VLOOKUP(F26, LEVEL_HELPER!$A:$B, 2, 0), "")</f>
        <v>1</v>
      </c>
      <c r="K26" s="11">
        <f>IFERROR(VLOOKUP(G26, LEVEL_HELPER!$A:$B, 2, 0), "")</f>
        <v>1</v>
      </c>
      <c r="L26" s="171" t="s">
        <v>880</v>
      </c>
      <c r="M26" s="183" t="s">
        <v>149</v>
      </c>
      <c r="N26" s="11">
        <f t="array" ref="N26">IFERROR(
  INDEX($J$2:$J$531,
    MATCH(A26&amp;TEXT(I26,"yyyy-mm-dd"),
          $A$2:$A$531&amp;TEXT($H$2:$H$531,"yyyy-mm-dd"),
          0)),
"")</f>
        <v>1</v>
      </c>
      <c r="O26" s="160">
        <f t="shared" si="3"/>
        <v>3.5</v>
      </c>
      <c r="P26" s="160">
        <f t="shared" ref="P26:Q26" si="36">IF(N26="",0,IF(N26&lt;=2,1,IF(N26&lt;=4,2,IF(N26&lt;=5.5,3,4))))</f>
        <v>1</v>
      </c>
      <c r="Q26" s="160">
        <f t="shared" si="36"/>
        <v>2</v>
      </c>
      <c r="R26" s="160" t="str">
        <f t="shared" si="5"/>
        <v>Lv1 → Lv2</v>
      </c>
      <c r="S26" s="160">
        <f t="shared" si="6"/>
        <v>1</v>
      </c>
      <c r="T26" s="177" t="s">
        <v>881</v>
      </c>
      <c r="U26" s="160">
        <f>COUNTIFS(sheet2!$A:$A,A26,sheet2!$E:$E,E26)</f>
        <v>2</v>
      </c>
      <c r="V26" s="160"/>
      <c r="W26" s="160"/>
      <c r="X26" s="160" t="str">
        <f t="shared" si="7"/>
        <v>#N/A</v>
      </c>
      <c r="Y26" s="160" t="str">
        <f t="shared" si="8"/>
        <v>#N/A</v>
      </c>
      <c r="Z26" s="160" t="str">
        <f t="shared" si="9"/>
        <v>#N/A</v>
      </c>
      <c r="AA26" s="160"/>
      <c r="AB26" s="160"/>
      <c r="AC26" s="160"/>
      <c r="AD26" s="160"/>
      <c r="AE26" s="160"/>
      <c r="AF26" s="160"/>
      <c r="AG26" s="160"/>
      <c r="AH26" s="160"/>
      <c r="AI26" s="160"/>
      <c r="AJ26" s="160"/>
      <c r="AK26" s="160"/>
      <c r="AL26" s="160"/>
      <c r="AM26" s="160"/>
      <c r="AN26" s="164"/>
      <c r="AO26" s="161" t="str">
        <f>IFERROR(__xludf.DUMMYFUNCTION("""COMPUTED_VALUE"""),"193511")</f>
        <v>193511</v>
      </c>
      <c r="AP26" s="160" t="str">
        <f t="shared" si="10"/>
        <v>DEV</v>
      </c>
      <c r="AQ26" s="160" t="str">
        <f t="shared" si="11"/>
        <v>DEV, TA</v>
      </c>
      <c r="AR26" s="160" t="str">
        <f t="shared" si="12"/>
        <v>ONC</v>
      </c>
      <c r="AS26" s="160"/>
      <c r="AT26" s="160"/>
      <c r="AU26" s="160"/>
      <c r="AV26" s="160"/>
      <c r="AW26" s="160"/>
      <c r="AX26" s="160"/>
      <c r="AY26" s="160"/>
      <c r="AZ26" s="160"/>
      <c r="BA26" s="160"/>
      <c r="BB26" s="160"/>
      <c r="BC26" s="160"/>
      <c r="BD26" s="160"/>
      <c r="BE26" s="160"/>
      <c r="BF26" s="160"/>
      <c r="BG26" s="160"/>
      <c r="BH26" s="160"/>
      <c r="BI26" s="160"/>
      <c r="BJ26" s="160"/>
      <c r="BK26" s="160"/>
      <c r="BL26" s="160"/>
      <c r="BM26" s="160"/>
      <c r="BN26" s="160"/>
      <c r="BO26" s="160"/>
      <c r="BP26" s="160"/>
      <c r="BQ26" s="160"/>
      <c r="BR26" s="160"/>
      <c r="BS26" s="160"/>
      <c r="BT26" s="160"/>
      <c r="BU26" s="160"/>
      <c r="BV26" s="160"/>
      <c r="BW26" s="160"/>
      <c r="BX26" s="160"/>
      <c r="BY26" s="160"/>
      <c r="BZ26" s="160"/>
      <c r="CA26" s="160"/>
      <c r="CB26" s="160"/>
      <c r="CC26" s="160"/>
      <c r="CD26" s="160"/>
      <c r="CE26" s="160"/>
      <c r="CF26" s="160"/>
      <c r="CG26" s="160"/>
      <c r="CH26" s="160"/>
      <c r="CI26" s="160"/>
      <c r="CJ26" s="160"/>
      <c r="CK26" s="160"/>
      <c r="CL26" s="160"/>
    </row>
    <row r="27">
      <c r="A27" s="174" t="s">
        <v>242</v>
      </c>
      <c r="B27" s="11" t="s">
        <v>243</v>
      </c>
      <c r="C27" s="175" t="s">
        <v>54</v>
      </c>
      <c r="D27" s="176" t="str">
        <f>IFERROR(VLOOKUP(C27, PIC!A:B, 2, 0), "")</f>
        <v>Buu Do 2</v>
      </c>
      <c r="E27" s="11" t="s">
        <v>22</v>
      </c>
      <c r="F27" s="16" t="s">
        <v>849</v>
      </c>
      <c r="G27" s="16" t="s">
        <v>849</v>
      </c>
      <c r="H27" s="170">
        <f>IFERROR(
  MINIFS(ATTENDANCE_LOG!$F:$F,
         ATTENDANCE_LOG!$A:$A, C27,
         ATTENDANCE_LOG!$B:$B, E27),
"")</f>
        <v>45715.45833</v>
      </c>
      <c r="I27" s="170">
        <f t="shared" si="2"/>
        <v>45715.45833</v>
      </c>
      <c r="J27" s="11">
        <f>IFERROR(VLOOKUP(F27, LEVEL_HELPER!$A:$B, 2, 0), "")</f>
        <v>1</v>
      </c>
      <c r="K27" s="11">
        <f>IFERROR(VLOOKUP(G27, LEVEL_HELPER!$A:$B, 2, 0), "")</f>
        <v>1</v>
      </c>
      <c r="L27" s="171" t="s">
        <v>847</v>
      </c>
      <c r="M27" s="183" t="s">
        <v>149</v>
      </c>
      <c r="N27" s="11">
        <f t="array" ref="N27">IFERROR(
  INDEX($J$2:$J$531,
    MATCH(A27&amp;TEXT(I27,"yyyy-mm-dd"),
          $A$2:$A$531&amp;TEXT($H$2:$H$531,"yyyy-mm-dd"),
          0)),
"")</f>
        <v>1</v>
      </c>
      <c r="O27" s="160">
        <f t="shared" si="3"/>
        <v>1</v>
      </c>
      <c r="P27" s="160">
        <f t="shared" ref="P27:Q27" si="37">IF(N27="",0,IF(N27&lt;=2,1,IF(N27&lt;=4,2,IF(N27&lt;=5.5,3,4))))</f>
        <v>1</v>
      </c>
      <c r="Q27" s="160">
        <f t="shared" si="37"/>
        <v>1</v>
      </c>
      <c r="R27" s="160" t="str">
        <f t="shared" si="5"/>
        <v>No Progress</v>
      </c>
      <c r="S27" s="160">
        <f t="shared" si="6"/>
        <v>1</v>
      </c>
      <c r="T27" s="177" t="s">
        <v>882</v>
      </c>
      <c r="U27" s="160">
        <f>COUNTIFS(sheet2!$A:$A,A27,sheet2!$E:$E,E27)</f>
        <v>1</v>
      </c>
      <c r="V27" s="160"/>
      <c r="W27" s="160"/>
      <c r="X27" s="160" t="str">
        <f t="shared" si="7"/>
        <v>#N/A</v>
      </c>
      <c r="Y27" s="160" t="str">
        <f t="shared" si="8"/>
        <v>#N/A</v>
      </c>
      <c r="Z27" s="160" t="str">
        <f t="shared" si="9"/>
        <v>#N/A</v>
      </c>
      <c r="AA27" s="160"/>
      <c r="AB27" s="160"/>
      <c r="AC27" s="160"/>
      <c r="AD27" s="160"/>
      <c r="AE27" s="160"/>
      <c r="AF27" s="160"/>
      <c r="AG27" s="160"/>
      <c r="AH27" s="160"/>
      <c r="AI27" s="160"/>
      <c r="AJ27" s="160"/>
      <c r="AK27" s="160"/>
      <c r="AL27" s="160"/>
      <c r="AM27" s="160"/>
      <c r="AN27" s="164"/>
      <c r="AO27" s="161" t="str">
        <f>IFERROR(__xludf.DUMMYFUNCTION("""COMPUTED_VALUE"""),"247423")</f>
        <v>247423</v>
      </c>
      <c r="AP27" s="160" t="str">
        <f t="shared" si="10"/>
        <v>DEV</v>
      </c>
      <c r="AQ27" s="160" t="str">
        <f t="shared" si="11"/>
        <v>DEV, TA</v>
      </c>
      <c r="AR27" s="160" t="str">
        <f t="shared" si="12"/>
        <v>MOC</v>
      </c>
      <c r="AS27" s="160"/>
      <c r="AT27" s="160"/>
      <c r="AU27" s="160"/>
      <c r="AV27" s="160"/>
      <c r="AW27" s="160"/>
      <c r="AX27" s="160"/>
      <c r="AY27" s="160"/>
      <c r="AZ27" s="160"/>
      <c r="BA27" s="160"/>
      <c r="BB27" s="160"/>
      <c r="BC27" s="160"/>
      <c r="BD27" s="160"/>
      <c r="BE27" s="160"/>
      <c r="BF27" s="160"/>
      <c r="BG27" s="160"/>
      <c r="BH27" s="160"/>
      <c r="BI27" s="160"/>
      <c r="BJ27" s="160"/>
      <c r="BK27" s="160"/>
      <c r="BL27" s="160"/>
      <c r="BM27" s="160"/>
      <c r="BN27" s="160"/>
      <c r="BO27" s="160"/>
      <c r="BP27" s="160"/>
      <c r="BQ27" s="160"/>
      <c r="BR27" s="160"/>
      <c r="BS27" s="160"/>
      <c r="BT27" s="160"/>
      <c r="BU27" s="160"/>
      <c r="BV27" s="160"/>
      <c r="BW27" s="160"/>
      <c r="BX27" s="160"/>
      <c r="BY27" s="160"/>
      <c r="BZ27" s="160"/>
      <c r="CA27" s="160"/>
      <c r="CB27" s="160"/>
      <c r="CC27" s="160"/>
      <c r="CD27" s="160"/>
      <c r="CE27" s="160"/>
      <c r="CF27" s="160"/>
      <c r="CG27" s="160"/>
      <c r="CH27" s="160"/>
      <c r="CI27" s="160"/>
      <c r="CJ27" s="160"/>
      <c r="CK27" s="160"/>
      <c r="CL27" s="160"/>
    </row>
    <row r="28">
      <c r="A28" s="174" t="s">
        <v>318</v>
      </c>
      <c r="B28" s="11" t="s">
        <v>319</v>
      </c>
      <c r="C28" s="175" t="s">
        <v>54</v>
      </c>
      <c r="D28" s="176" t="str">
        <f>IFERROR(VLOOKUP(C28, PIC!A:B, 2, 0), "")</f>
        <v>Buu Do 2</v>
      </c>
      <c r="E28" s="11" t="s">
        <v>22</v>
      </c>
      <c r="F28" s="16" t="s">
        <v>849</v>
      </c>
      <c r="G28" s="16" t="s">
        <v>849</v>
      </c>
      <c r="H28" s="170">
        <f>IFERROR(
  MINIFS(ATTENDANCE_LOG!$F:$F,
         ATTENDANCE_LOG!$A:$A, C28,
         ATTENDANCE_LOG!$B:$B, E28),
"")</f>
        <v>45715.45833</v>
      </c>
      <c r="I28" s="170">
        <f t="shared" si="2"/>
        <v>45715.45833</v>
      </c>
      <c r="J28" s="11">
        <f>IFERROR(VLOOKUP(F28, LEVEL_HELPER!$A:$B, 2, 0), "")</f>
        <v>1</v>
      </c>
      <c r="K28" s="11">
        <f>IFERROR(VLOOKUP(G28, LEVEL_HELPER!$A:$B, 2, 0), "")</f>
        <v>1</v>
      </c>
      <c r="L28" s="171" t="s">
        <v>847</v>
      </c>
      <c r="M28" s="171" t="s">
        <v>150</v>
      </c>
      <c r="N28" s="11">
        <f t="array" ref="N28">IFERROR(
  INDEX($J$2:$J$531,
    MATCH(A28&amp;TEXT(I28,"yyyy-mm-dd"),
          $A$2:$A$531&amp;TEXT($H$2:$H$531,"yyyy-mm-dd"),
          0)),
"")</f>
        <v>1</v>
      </c>
      <c r="O28" s="160">
        <f t="shared" si="3"/>
        <v>3.5</v>
      </c>
      <c r="P28" s="160">
        <f t="shared" ref="P28:Q28" si="38">IF(N28="",0,IF(N28&lt;=2,1,IF(N28&lt;=4,2,IF(N28&lt;=5.5,3,4))))</f>
        <v>1</v>
      </c>
      <c r="Q28" s="160">
        <f t="shared" si="38"/>
        <v>2</v>
      </c>
      <c r="R28" s="160" t="str">
        <f t="shared" si="5"/>
        <v>Lv1 → Lv2</v>
      </c>
      <c r="S28" s="160">
        <f t="shared" si="6"/>
        <v>1</v>
      </c>
      <c r="T28" s="177" t="s">
        <v>883</v>
      </c>
      <c r="U28" s="160">
        <f>COUNTIFS(sheet2!$A:$A,A28,sheet2!$E:$E,E28)</f>
        <v>2</v>
      </c>
      <c r="V28" s="160"/>
      <c r="W28" s="160"/>
      <c r="X28" s="160" t="str">
        <f t="shared" si="7"/>
        <v>#N/A</v>
      </c>
      <c r="Y28" s="160" t="str">
        <f t="shared" si="8"/>
        <v>#N/A</v>
      </c>
      <c r="Z28" s="160" t="str">
        <f t="shared" si="9"/>
        <v>#N/A</v>
      </c>
      <c r="AA28" s="160"/>
      <c r="AB28" s="160"/>
      <c r="AC28" s="160"/>
      <c r="AD28" s="160"/>
      <c r="AE28" s="160"/>
      <c r="AF28" s="160"/>
      <c r="AG28" s="160"/>
      <c r="AH28" s="160"/>
      <c r="AI28" s="160"/>
      <c r="AJ28" s="160"/>
      <c r="AK28" s="160"/>
      <c r="AL28" s="160"/>
      <c r="AM28" s="160"/>
      <c r="AN28" s="164"/>
      <c r="AO28" s="161" t="str">
        <f>IFERROR(__xludf.DUMMYFUNCTION("""COMPUTED_VALUE"""),"257134")</f>
        <v>257134</v>
      </c>
      <c r="AP28" s="160" t="str">
        <f t="shared" si="10"/>
        <v>Designer</v>
      </c>
      <c r="AQ28" s="160" t="str">
        <f t="shared" si="11"/>
        <v>UI/UX, Des</v>
      </c>
      <c r="AR28" s="160" t="str">
        <f t="shared" si="12"/>
        <v>LBU</v>
      </c>
      <c r="AS28" s="160"/>
      <c r="AT28" s="160"/>
      <c r="AU28" s="160"/>
      <c r="AV28" s="160"/>
      <c r="AW28" s="160"/>
      <c r="AX28" s="160"/>
      <c r="AY28" s="160"/>
      <c r="AZ28" s="160"/>
      <c r="BA28" s="160"/>
      <c r="BB28" s="160"/>
      <c r="BC28" s="160"/>
      <c r="BD28" s="160"/>
      <c r="BE28" s="160"/>
      <c r="BF28" s="160"/>
      <c r="BG28" s="160"/>
      <c r="BH28" s="160"/>
      <c r="BI28" s="160"/>
      <c r="BJ28" s="160"/>
      <c r="BK28" s="160"/>
      <c r="BL28" s="160"/>
      <c r="BM28" s="160"/>
      <c r="BN28" s="160"/>
      <c r="BO28" s="160"/>
      <c r="BP28" s="160"/>
      <c r="BQ28" s="160"/>
      <c r="BR28" s="160"/>
      <c r="BS28" s="160"/>
      <c r="BT28" s="160"/>
      <c r="BU28" s="160"/>
      <c r="BV28" s="160"/>
      <c r="BW28" s="160"/>
      <c r="BX28" s="160"/>
      <c r="BY28" s="160"/>
      <c r="BZ28" s="160"/>
      <c r="CA28" s="160"/>
      <c r="CB28" s="160"/>
      <c r="CC28" s="160"/>
      <c r="CD28" s="160"/>
      <c r="CE28" s="160"/>
      <c r="CF28" s="160"/>
      <c r="CG28" s="160"/>
      <c r="CH28" s="160"/>
      <c r="CI28" s="160"/>
      <c r="CJ28" s="160"/>
      <c r="CK28" s="160"/>
      <c r="CL28" s="160"/>
    </row>
    <row r="29">
      <c r="A29" s="174" t="s">
        <v>244</v>
      </c>
      <c r="B29" s="11" t="s">
        <v>245</v>
      </c>
      <c r="C29" s="175" t="s">
        <v>54</v>
      </c>
      <c r="D29" s="176" t="str">
        <f>IFERROR(VLOOKUP(C29, PIC!A:B, 2, 0), "")</f>
        <v>Buu Do 2</v>
      </c>
      <c r="E29" s="11" t="s">
        <v>22</v>
      </c>
      <c r="F29" s="16" t="s">
        <v>849</v>
      </c>
      <c r="G29" s="16" t="s">
        <v>849</v>
      </c>
      <c r="H29" s="170">
        <f>IFERROR(
  MINIFS(ATTENDANCE_LOG!$F:$F,
         ATTENDANCE_LOG!$A:$A, C29,
         ATTENDANCE_LOG!$B:$B, E29),
"")</f>
        <v>45715.45833</v>
      </c>
      <c r="I29" s="170">
        <f t="shared" si="2"/>
        <v>45715.45833</v>
      </c>
      <c r="J29" s="11">
        <f>IFERROR(VLOOKUP(F29, LEVEL_HELPER!$A:$B, 2, 0), "")</f>
        <v>1</v>
      </c>
      <c r="K29" s="11">
        <f>IFERROR(VLOOKUP(G29, LEVEL_HELPER!$A:$B, 2, 0), "")</f>
        <v>1</v>
      </c>
      <c r="L29" s="171" t="s">
        <v>847</v>
      </c>
      <c r="M29" s="183" t="s">
        <v>149</v>
      </c>
      <c r="N29" s="11">
        <f t="array" ref="N29">IFERROR(
  INDEX($J$2:$J$531,
    MATCH(A29&amp;TEXT(I29,"yyyy-mm-dd"),
          $A$2:$A$531&amp;TEXT($H$2:$H$531,"yyyy-mm-dd"),
          0)),
"")</f>
        <v>1</v>
      </c>
      <c r="O29" s="160">
        <f t="shared" si="3"/>
        <v>1</v>
      </c>
      <c r="P29" s="160">
        <f t="shared" ref="P29:Q29" si="39">IF(N29="",0,IF(N29&lt;=2,1,IF(N29&lt;=4,2,IF(N29&lt;=5.5,3,4))))</f>
        <v>1</v>
      </c>
      <c r="Q29" s="160">
        <f t="shared" si="39"/>
        <v>1</v>
      </c>
      <c r="R29" s="160" t="str">
        <f t="shared" si="5"/>
        <v>No Progress</v>
      </c>
      <c r="S29" s="160">
        <f t="shared" si="6"/>
        <v>1</v>
      </c>
      <c r="T29" s="177" t="s">
        <v>884</v>
      </c>
      <c r="U29" s="160">
        <f>COUNTIFS(sheet2!$A:$A,A29,sheet2!$E:$E,E29)</f>
        <v>1</v>
      </c>
      <c r="V29" s="160"/>
      <c r="W29" s="160"/>
      <c r="X29" s="160" t="str">
        <f t="shared" si="7"/>
        <v>#N/A</v>
      </c>
      <c r="Y29" s="160" t="str">
        <f t="shared" si="8"/>
        <v>#N/A</v>
      </c>
      <c r="Z29" s="160" t="str">
        <f t="shared" si="9"/>
        <v>#N/A</v>
      </c>
      <c r="AA29" s="160"/>
      <c r="AB29" s="160"/>
      <c r="AC29" s="160"/>
      <c r="AD29" s="160"/>
      <c r="AE29" s="160"/>
      <c r="AF29" s="160"/>
      <c r="AG29" s="160"/>
      <c r="AH29" s="160"/>
      <c r="AI29" s="160"/>
      <c r="AJ29" s="160"/>
      <c r="AK29" s="160"/>
      <c r="AL29" s="160"/>
      <c r="AM29" s="160"/>
      <c r="AN29" s="164"/>
      <c r="AO29" s="161" t="str">
        <f>IFERROR(__xludf.DUMMYFUNCTION("""COMPUTED_VALUE"""),"237239")</f>
        <v>237239</v>
      </c>
      <c r="AP29" s="160" t="str">
        <f t="shared" si="10"/>
        <v>DEV</v>
      </c>
      <c r="AQ29" s="160" t="str">
        <f t="shared" si="11"/>
        <v>DEV, TA</v>
      </c>
      <c r="AR29" s="160" t="str">
        <f t="shared" si="12"/>
        <v>CHORUS</v>
      </c>
      <c r="AS29" s="160"/>
      <c r="AT29" s="160"/>
      <c r="AU29" s="160"/>
      <c r="AV29" s="160"/>
      <c r="AW29" s="160"/>
      <c r="AX29" s="160"/>
      <c r="AY29" s="160"/>
      <c r="AZ29" s="160"/>
      <c r="BA29" s="160"/>
      <c r="BB29" s="160"/>
      <c r="BC29" s="160"/>
      <c r="BD29" s="160"/>
      <c r="BE29" s="160"/>
      <c r="BF29" s="160"/>
      <c r="BG29" s="160"/>
      <c r="BH29" s="160"/>
      <c r="BI29" s="160"/>
      <c r="BJ29" s="160"/>
      <c r="BK29" s="160"/>
      <c r="BL29" s="160"/>
      <c r="BM29" s="160"/>
      <c r="BN29" s="160"/>
      <c r="BO29" s="160"/>
      <c r="BP29" s="160"/>
      <c r="BQ29" s="160"/>
      <c r="BR29" s="160"/>
      <c r="BS29" s="160"/>
      <c r="BT29" s="160"/>
      <c r="BU29" s="160"/>
      <c r="BV29" s="160"/>
      <c r="BW29" s="160"/>
      <c r="BX29" s="160"/>
      <c r="BY29" s="160"/>
      <c r="BZ29" s="160"/>
      <c r="CA29" s="160"/>
      <c r="CB29" s="160"/>
      <c r="CC29" s="160"/>
      <c r="CD29" s="160"/>
      <c r="CE29" s="160"/>
      <c r="CF29" s="160"/>
      <c r="CG29" s="160"/>
      <c r="CH29" s="160"/>
      <c r="CI29" s="160"/>
      <c r="CJ29" s="160"/>
      <c r="CK29" s="160"/>
      <c r="CL29" s="160"/>
    </row>
    <row r="30">
      <c r="A30" s="184" t="s">
        <v>423</v>
      </c>
      <c r="B30" s="16" t="s">
        <v>424</v>
      </c>
      <c r="C30" s="175" t="s">
        <v>54</v>
      </c>
      <c r="D30" s="176" t="str">
        <f>IFERROR(VLOOKUP(C30, PIC!A:B, 2, 0), "")</f>
        <v>Buu Do 2</v>
      </c>
      <c r="E30" s="11" t="s">
        <v>22</v>
      </c>
      <c r="F30" s="16" t="s">
        <v>845</v>
      </c>
      <c r="G30" s="16" t="s">
        <v>861</v>
      </c>
      <c r="H30" s="170">
        <f>IFERROR(
  MINIFS(ATTENDANCE_LOG!$F:$F,
         ATTENDANCE_LOG!$A:$A, C30,
         ATTENDANCE_LOG!$B:$B, E30),
"")</f>
        <v>45715.45833</v>
      </c>
      <c r="I30" s="170">
        <f t="shared" si="2"/>
        <v>45715.45833</v>
      </c>
      <c r="J30" s="11">
        <f>IFERROR(VLOOKUP(F30, LEVEL_HELPER!$A:$B, 2, 0), "")</f>
        <v>2.5</v>
      </c>
      <c r="K30" s="11">
        <f>IFERROR(VLOOKUP(G30, LEVEL_HELPER!$A:$B, 2, 0), "")</f>
        <v>3.5</v>
      </c>
      <c r="L30" s="171" t="s">
        <v>880</v>
      </c>
      <c r="M30" s="171" t="s">
        <v>150</v>
      </c>
      <c r="N30" s="11">
        <f t="array" ref="N30">IFERROR(
  INDEX($J$2:$J$531,
    MATCH(A30&amp;TEXT(I30,"yyyy-mm-dd"),
          $A$2:$A$531&amp;TEXT($H$2:$H$531,"yyyy-mm-dd"),
          0)),
"")</f>
        <v>2.5</v>
      </c>
      <c r="O30" s="160">
        <f t="shared" si="3"/>
        <v>3.5</v>
      </c>
      <c r="P30" s="160">
        <f t="shared" ref="P30:Q30" si="40">IF(N30="",0,IF(N30&lt;=2,1,IF(N30&lt;=4,2,IF(N30&lt;=5.5,3,4))))</f>
        <v>2</v>
      </c>
      <c r="Q30" s="160">
        <f t="shared" si="40"/>
        <v>2</v>
      </c>
      <c r="R30" s="160" t="str">
        <f t="shared" si="5"/>
        <v>Progress within level</v>
      </c>
      <c r="S30" s="160">
        <f t="shared" si="6"/>
        <v>1</v>
      </c>
      <c r="T30" s="177" t="s">
        <v>885</v>
      </c>
      <c r="U30" s="160">
        <f>COUNTIFS(sheet2!$A:$A,A30,sheet2!$E:$E,E30)</f>
        <v>1</v>
      </c>
      <c r="V30" s="160"/>
      <c r="W30" s="160"/>
      <c r="X30" s="160" t="str">
        <f t="shared" si="7"/>
        <v>#N/A</v>
      </c>
      <c r="Y30" s="160" t="str">
        <f t="shared" si="8"/>
        <v>#N/A</v>
      </c>
      <c r="Z30" s="160" t="str">
        <f t="shared" si="9"/>
        <v>#N/A</v>
      </c>
      <c r="AA30" s="160"/>
      <c r="AB30" s="160"/>
      <c r="AC30" s="160"/>
      <c r="AD30" s="160"/>
      <c r="AE30" s="160"/>
      <c r="AF30" s="160"/>
      <c r="AG30" s="160"/>
      <c r="AH30" s="160"/>
      <c r="AI30" s="160"/>
      <c r="AJ30" s="160"/>
      <c r="AK30" s="160"/>
      <c r="AL30" s="160"/>
      <c r="AM30" s="160"/>
      <c r="AN30" s="164"/>
      <c r="AO30" s="161" t="str">
        <f>IFERROR(__xludf.DUMMYFUNCTION("""COMPUTED_VALUE"""),"227116")</f>
        <v>227116</v>
      </c>
      <c r="AP30" s="160" t="str">
        <f t="shared" si="10"/>
        <v>DEV</v>
      </c>
      <c r="AQ30" s="160" t="str">
        <f t="shared" si="11"/>
        <v>DEV, TA</v>
      </c>
      <c r="AR30" s="160" t="str">
        <f t="shared" si="12"/>
        <v>CHORUS</v>
      </c>
      <c r="AS30" s="160"/>
      <c r="AT30" s="160"/>
      <c r="AU30" s="160"/>
      <c r="AV30" s="160"/>
      <c r="AW30" s="160"/>
      <c r="AX30" s="160"/>
      <c r="AY30" s="160"/>
      <c r="AZ30" s="160"/>
      <c r="BA30" s="160"/>
      <c r="BB30" s="160"/>
      <c r="BC30" s="160"/>
      <c r="BD30" s="160"/>
      <c r="BE30" s="160"/>
      <c r="BF30" s="160"/>
      <c r="BG30" s="160"/>
      <c r="BH30" s="160"/>
      <c r="BI30" s="160"/>
      <c r="BJ30" s="160"/>
      <c r="BK30" s="160"/>
      <c r="BL30" s="160"/>
      <c r="BM30" s="160"/>
      <c r="BN30" s="160"/>
      <c r="BO30" s="160"/>
      <c r="BP30" s="160"/>
      <c r="BQ30" s="160"/>
      <c r="BR30" s="160"/>
      <c r="BS30" s="160"/>
      <c r="BT30" s="160"/>
      <c r="BU30" s="160"/>
      <c r="BV30" s="160"/>
      <c r="BW30" s="160"/>
      <c r="BX30" s="160"/>
      <c r="BY30" s="160"/>
      <c r="BZ30" s="160"/>
      <c r="CA30" s="160"/>
      <c r="CB30" s="160"/>
      <c r="CC30" s="160"/>
      <c r="CD30" s="160"/>
      <c r="CE30" s="160"/>
      <c r="CF30" s="160"/>
      <c r="CG30" s="160"/>
      <c r="CH30" s="160"/>
      <c r="CI30" s="160"/>
      <c r="CJ30" s="160"/>
      <c r="CK30" s="160"/>
      <c r="CL30" s="160"/>
    </row>
    <row r="31">
      <c r="A31" s="166" t="s">
        <v>258</v>
      </c>
      <c r="B31" s="167" t="s">
        <v>259</v>
      </c>
      <c r="C31" s="168" t="s">
        <v>55</v>
      </c>
      <c r="D31" s="169" t="str">
        <f>IFERROR(VLOOKUP(C31, PIC!A:B, 2, 0), "")</f>
        <v>Cuong Nguyen</v>
      </c>
      <c r="E31" s="167" t="s">
        <v>22</v>
      </c>
      <c r="F31" s="16" t="s">
        <v>845</v>
      </c>
      <c r="G31" s="16" t="s">
        <v>861</v>
      </c>
      <c r="H31" s="170">
        <f>IFERROR(
  MINIFS(ATTENDANCE_LOG!$F:$F,
         ATTENDANCE_LOG!$A:$A, C31,
         ATTENDANCE_LOG!$B:$B, E31),
"")</f>
        <v>45639.58333</v>
      </c>
      <c r="I31" s="170">
        <f t="shared" si="2"/>
        <v>45639.58333</v>
      </c>
      <c r="J31" s="11">
        <f>IFERROR(VLOOKUP(F31, LEVEL_HELPER!$A:$B, 2, 0), "")</f>
        <v>2.5</v>
      </c>
      <c r="K31" s="11">
        <f>IFERROR(VLOOKUP(G31, LEVEL_HELPER!$A:$B, 2, 0), "")</f>
        <v>3.5</v>
      </c>
      <c r="L31" s="183" t="s">
        <v>400</v>
      </c>
      <c r="M31" s="171" t="s">
        <v>152</v>
      </c>
      <c r="N31" s="11">
        <f t="array" ref="N31">IFERROR(
  INDEX($J$2:$J$531,
    MATCH(A31&amp;TEXT(I31,"yyyy-mm-dd"),
          $A$2:$A$531&amp;TEXT($H$2:$H$531,"yyyy-mm-dd"),
          0)),
"")</f>
        <v>2.5</v>
      </c>
      <c r="O31" s="160">
        <f t="shared" si="3"/>
        <v>5</v>
      </c>
      <c r="P31" s="160">
        <f t="shared" ref="P31:Q31" si="41">IF(N31="",0,IF(N31&lt;=2,1,IF(N31&lt;=4,2,IF(N31&lt;=5.5,3,4))))</f>
        <v>2</v>
      </c>
      <c r="Q31" s="160">
        <f t="shared" si="41"/>
        <v>3</v>
      </c>
      <c r="R31" s="160" t="str">
        <f t="shared" si="5"/>
        <v>Lv2 → Lv3</v>
      </c>
      <c r="S31" s="160">
        <f t="shared" si="6"/>
        <v>1</v>
      </c>
      <c r="T31" s="177" t="s">
        <v>886</v>
      </c>
      <c r="U31" s="160">
        <f>COUNTIFS(sheet2!$A:$A,A31,sheet2!$E:$E,E31)</f>
        <v>1</v>
      </c>
      <c r="V31" s="160"/>
      <c r="W31" s="160"/>
      <c r="X31" s="160" t="str">
        <f t="shared" si="7"/>
        <v>#N/A</v>
      </c>
      <c r="Y31" s="160" t="str">
        <f t="shared" si="8"/>
        <v>#N/A</v>
      </c>
      <c r="Z31" s="160" t="str">
        <f t="shared" si="9"/>
        <v>#N/A</v>
      </c>
      <c r="AA31" s="160"/>
      <c r="AD31" s="178"/>
      <c r="AE31" s="160"/>
      <c r="AF31" s="160"/>
      <c r="AG31" s="160"/>
      <c r="AH31" s="160"/>
      <c r="AI31" s="160"/>
      <c r="AJ31" s="160"/>
      <c r="AK31" s="160"/>
      <c r="AL31" s="160"/>
      <c r="AM31" s="160"/>
      <c r="AN31" s="164"/>
      <c r="AO31" s="161" t="str">
        <f>IFERROR(__xludf.DUMMYFUNCTION("""COMPUTED_VALUE"""),"247413")</f>
        <v>247413</v>
      </c>
      <c r="AP31" s="160" t="str">
        <f t="shared" si="10"/>
        <v>DEV</v>
      </c>
      <c r="AQ31" s="160" t="str">
        <f t="shared" si="11"/>
        <v>DEV, TA</v>
      </c>
      <c r="AR31" s="160" t="str">
        <f t="shared" si="12"/>
        <v>CHORUS</v>
      </c>
      <c r="AS31" s="160"/>
      <c r="AT31" s="160"/>
      <c r="AU31" s="160"/>
      <c r="AV31" s="160"/>
      <c r="AW31" s="160"/>
      <c r="AX31" s="160"/>
      <c r="AY31" s="160"/>
      <c r="AZ31" s="160"/>
      <c r="BA31" s="160"/>
      <c r="BB31" s="160"/>
      <c r="BC31" s="160"/>
      <c r="BD31" s="160"/>
      <c r="BE31" s="160"/>
      <c r="BF31" s="160"/>
      <c r="BG31" s="160"/>
      <c r="BH31" s="160"/>
      <c r="BI31" s="160"/>
      <c r="BJ31" s="160"/>
      <c r="BK31" s="160"/>
      <c r="BL31" s="160"/>
      <c r="BM31" s="160"/>
      <c r="BN31" s="160"/>
      <c r="BO31" s="160"/>
      <c r="BP31" s="160"/>
      <c r="BQ31" s="160"/>
      <c r="BR31" s="160"/>
      <c r="BS31" s="160"/>
      <c r="BT31" s="160"/>
      <c r="BU31" s="160"/>
      <c r="BV31" s="160"/>
      <c r="BW31" s="160"/>
      <c r="BX31" s="160"/>
      <c r="BY31" s="160"/>
      <c r="BZ31" s="160"/>
      <c r="CA31" s="160"/>
      <c r="CB31" s="160"/>
      <c r="CC31" s="160"/>
      <c r="CD31" s="160"/>
      <c r="CE31" s="160"/>
      <c r="CF31" s="160"/>
      <c r="CG31" s="160"/>
      <c r="CH31" s="160"/>
      <c r="CI31" s="160"/>
      <c r="CJ31" s="160"/>
      <c r="CK31" s="160"/>
      <c r="CL31" s="160"/>
    </row>
    <row r="32">
      <c r="A32" s="174" t="s">
        <v>246</v>
      </c>
      <c r="B32" s="11" t="s">
        <v>247</v>
      </c>
      <c r="C32" s="175" t="s">
        <v>55</v>
      </c>
      <c r="D32" s="176" t="str">
        <f>IFERROR(VLOOKUP(C32, PIC!A:B, 2, 0), "")</f>
        <v>Cuong Nguyen</v>
      </c>
      <c r="E32" s="11" t="s">
        <v>22</v>
      </c>
      <c r="F32" s="16" t="s">
        <v>849</v>
      </c>
      <c r="G32" s="16" t="s">
        <v>849</v>
      </c>
      <c r="H32" s="170">
        <f>IFERROR(
  MINIFS(ATTENDANCE_LOG!$F:$F,
         ATTENDANCE_LOG!$A:$A, C32,
         ATTENDANCE_LOG!$B:$B, E32),
"")</f>
        <v>45639.58333</v>
      </c>
      <c r="I32" s="170">
        <f t="shared" si="2"/>
        <v>45639.58333</v>
      </c>
      <c r="J32" s="11">
        <f>IFERROR(VLOOKUP(F32, LEVEL_HELPER!$A:$B, 2, 0), "")</f>
        <v>1</v>
      </c>
      <c r="K32" s="11">
        <f>IFERROR(VLOOKUP(G32, LEVEL_HELPER!$A:$B, 2, 0), "")</f>
        <v>1</v>
      </c>
      <c r="L32" s="171" t="s">
        <v>400</v>
      </c>
      <c r="M32" s="171" t="s">
        <v>152</v>
      </c>
      <c r="N32" s="11">
        <f t="array" ref="N32">IFERROR(
  INDEX($J$2:$J$531,
    MATCH(A32&amp;TEXT(I32,"yyyy-mm-dd"),
          $A$2:$A$531&amp;TEXT($H$2:$H$531,"yyyy-mm-dd"),
          0)),
"")</f>
        <v>1</v>
      </c>
      <c r="O32" s="160">
        <f t="shared" si="3"/>
        <v>3.5</v>
      </c>
      <c r="P32" s="160">
        <f t="shared" ref="P32:Q32" si="42">IF(N32="",0,IF(N32&lt;=2,1,IF(N32&lt;=4,2,IF(N32&lt;=5.5,3,4))))</f>
        <v>1</v>
      </c>
      <c r="Q32" s="160">
        <f t="shared" si="42"/>
        <v>2</v>
      </c>
      <c r="R32" s="160" t="str">
        <f t="shared" si="5"/>
        <v>Lv1 → Lv2</v>
      </c>
      <c r="S32" s="160">
        <f t="shared" si="6"/>
        <v>1</v>
      </c>
      <c r="T32" s="177" t="s">
        <v>887</v>
      </c>
      <c r="U32" s="160">
        <f>COUNTIFS(sheet2!$A:$A,A32,sheet2!$E:$E,E32)</f>
        <v>1</v>
      </c>
      <c r="V32" s="160"/>
      <c r="W32" s="160"/>
      <c r="X32" s="160" t="str">
        <f t="shared" si="7"/>
        <v>#N/A</v>
      </c>
      <c r="Y32" s="160" t="str">
        <f t="shared" si="8"/>
        <v>#N/A</v>
      </c>
      <c r="Z32" s="160" t="str">
        <f t="shared" si="9"/>
        <v>#N/A</v>
      </c>
      <c r="AA32" s="160"/>
      <c r="AD32" s="160"/>
      <c r="AE32" s="160"/>
      <c r="AF32" s="160"/>
      <c r="AG32" s="160"/>
      <c r="AH32" s="160"/>
      <c r="AI32" s="160"/>
      <c r="AJ32" s="160"/>
      <c r="AK32" s="160"/>
      <c r="AL32" s="160"/>
      <c r="AM32" s="160"/>
      <c r="AN32" s="164"/>
      <c r="AO32" s="161" t="str">
        <f>IFERROR(__xludf.DUMMYFUNCTION("""COMPUTED_VALUE"""),"183382")</f>
        <v>183382</v>
      </c>
      <c r="AP32" s="160" t="str">
        <f t="shared" si="10"/>
        <v>DEV</v>
      </c>
      <c r="AQ32" s="160" t="str">
        <f t="shared" si="11"/>
        <v>DEV, TA</v>
      </c>
      <c r="AR32" s="160" t="str">
        <f t="shared" si="12"/>
        <v>CHORUS</v>
      </c>
      <c r="AS32" s="160"/>
      <c r="AT32" s="160"/>
      <c r="AU32" s="160"/>
      <c r="AV32" s="160"/>
      <c r="AW32" s="160"/>
      <c r="AX32" s="160"/>
      <c r="AY32" s="160"/>
      <c r="AZ32" s="160"/>
      <c r="BA32" s="160"/>
      <c r="BB32" s="160"/>
      <c r="BC32" s="160"/>
      <c r="BD32" s="160"/>
      <c r="BE32" s="160"/>
      <c r="BF32" s="160"/>
      <c r="BG32" s="160"/>
      <c r="BH32" s="160"/>
      <c r="BI32" s="160"/>
      <c r="BJ32" s="160"/>
      <c r="BK32" s="160"/>
      <c r="BL32" s="160"/>
      <c r="BM32" s="160"/>
      <c r="BN32" s="160"/>
      <c r="BO32" s="160"/>
      <c r="BP32" s="160"/>
      <c r="BQ32" s="160"/>
      <c r="BR32" s="160"/>
      <c r="BS32" s="160"/>
      <c r="BT32" s="160"/>
      <c r="BU32" s="160"/>
      <c r="BV32" s="160"/>
      <c r="BW32" s="160"/>
      <c r="BX32" s="160"/>
      <c r="BY32" s="160"/>
      <c r="BZ32" s="160"/>
      <c r="CA32" s="160"/>
      <c r="CB32" s="160"/>
      <c r="CC32" s="160"/>
      <c r="CD32" s="160"/>
      <c r="CE32" s="160"/>
      <c r="CF32" s="160"/>
      <c r="CG32" s="160"/>
      <c r="CH32" s="160"/>
      <c r="CI32" s="160"/>
      <c r="CJ32" s="160"/>
      <c r="CK32" s="160"/>
      <c r="CL32" s="160"/>
    </row>
    <row r="33">
      <c r="A33" s="174" t="s">
        <v>248</v>
      </c>
      <c r="B33" s="11" t="s">
        <v>249</v>
      </c>
      <c r="C33" s="175" t="s">
        <v>55</v>
      </c>
      <c r="D33" s="176" t="str">
        <f>IFERROR(VLOOKUP(C33, PIC!A:B, 2, 0), "")</f>
        <v>Cuong Nguyen</v>
      </c>
      <c r="E33" s="11" t="s">
        <v>22</v>
      </c>
      <c r="F33" s="16" t="s">
        <v>849</v>
      </c>
      <c r="G33" s="16" t="s">
        <v>868</v>
      </c>
      <c r="H33" s="170">
        <f>IFERROR(
  MINIFS(ATTENDANCE_LOG!$F:$F,
         ATTENDANCE_LOG!$A:$A, C33,
         ATTENDANCE_LOG!$B:$B, E33),
"")</f>
        <v>45639.58333</v>
      </c>
      <c r="I33" s="170">
        <f t="shared" si="2"/>
        <v>45639.58333</v>
      </c>
      <c r="J33" s="11">
        <f>IFERROR(VLOOKUP(F33, LEVEL_HELPER!$A:$B, 2, 0), "")</f>
        <v>1</v>
      </c>
      <c r="K33" s="11">
        <f>IFERROR(VLOOKUP(G33, LEVEL_HELPER!$A:$B, 2, 0), "")</f>
        <v>5</v>
      </c>
      <c r="L33" s="171" t="s">
        <v>400</v>
      </c>
      <c r="M33" s="171" t="s">
        <v>152</v>
      </c>
      <c r="N33" s="11">
        <f t="array" ref="N33">IFERROR(
  INDEX($J$2:$J$531,
    MATCH(A33&amp;TEXT(I33,"yyyy-mm-dd"),
          $A$2:$A$531&amp;TEXT($H$2:$H$531,"yyyy-mm-dd"),
          0)),
"")</f>
        <v>1</v>
      </c>
      <c r="O33" s="160">
        <f t="shared" si="3"/>
        <v>5</v>
      </c>
      <c r="P33" s="160">
        <f t="shared" ref="P33:Q33" si="43">IF(N33="",0,IF(N33&lt;=2,1,IF(N33&lt;=4,2,IF(N33&lt;=5.5,3,4))))</f>
        <v>1</v>
      </c>
      <c r="Q33" s="160">
        <f t="shared" si="43"/>
        <v>3</v>
      </c>
      <c r="R33" s="160" t="str">
        <f t="shared" si="5"/>
        <v>Lv1 → Lv3 (multi)</v>
      </c>
      <c r="S33" s="160">
        <f t="shared" si="6"/>
        <v>1</v>
      </c>
      <c r="T33" s="177" t="s">
        <v>888</v>
      </c>
      <c r="U33" s="160">
        <f>COUNTIFS(sheet2!$A:$A,A33,sheet2!$E:$E,E33)</f>
        <v>1</v>
      </c>
      <c r="V33" s="160"/>
      <c r="W33" s="160"/>
      <c r="X33" s="160" t="str">
        <f t="shared" si="7"/>
        <v>#N/A</v>
      </c>
      <c r="Y33" s="160" t="str">
        <f t="shared" si="8"/>
        <v>#N/A</v>
      </c>
      <c r="Z33" s="160" t="str">
        <f t="shared" si="9"/>
        <v>#N/A</v>
      </c>
      <c r="AA33" s="160"/>
      <c r="AD33" s="160"/>
      <c r="AE33" s="160"/>
      <c r="AF33" s="160"/>
      <c r="AG33" s="160"/>
      <c r="AH33" s="160"/>
      <c r="AI33" s="160"/>
      <c r="AJ33" s="160"/>
      <c r="AK33" s="160"/>
      <c r="AL33" s="160"/>
      <c r="AM33" s="160"/>
      <c r="AN33" s="164"/>
      <c r="AO33" s="161" t="str">
        <f>IFERROR(__xludf.DUMMYFUNCTION("""COMPUTED_VALUE"""),"227103")</f>
        <v>227103</v>
      </c>
      <c r="AP33" s="160" t="str">
        <f t="shared" si="10"/>
        <v>DEV</v>
      </c>
      <c r="AQ33" s="160" t="str">
        <f t="shared" si="11"/>
        <v>DEV, TA</v>
      </c>
      <c r="AR33" s="160" t="str">
        <f t="shared" si="12"/>
        <v>CHORUS</v>
      </c>
      <c r="AS33" s="160"/>
      <c r="AT33" s="160"/>
      <c r="AU33" s="160"/>
      <c r="AV33" s="160"/>
      <c r="AW33" s="160"/>
      <c r="AX33" s="160"/>
      <c r="AY33" s="160"/>
      <c r="AZ33" s="160"/>
      <c r="BA33" s="160"/>
      <c r="BB33" s="160"/>
      <c r="BC33" s="160"/>
      <c r="BD33" s="160"/>
      <c r="BE33" s="160"/>
      <c r="BF33" s="160"/>
      <c r="BG33" s="160"/>
      <c r="BH33" s="160"/>
      <c r="BI33" s="160"/>
      <c r="BJ33" s="160"/>
      <c r="BK33" s="160"/>
      <c r="BL33" s="160"/>
      <c r="BM33" s="160"/>
      <c r="BN33" s="160"/>
      <c r="BO33" s="160"/>
      <c r="BP33" s="160"/>
      <c r="BQ33" s="160"/>
      <c r="BR33" s="160"/>
      <c r="BS33" s="160"/>
      <c r="BT33" s="160"/>
      <c r="BU33" s="160"/>
      <c r="BV33" s="160"/>
      <c r="BW33" s="160"/>
      <c r="BX33" s="160"/>
      <c r="BY33" s="160"/>
      <c r="BZ33" s="160"/>
      <c r="CA33" s="160"/>
      <c r="CB33" s="160"/>
      <c r="CC33" s="160"/>
      <c r="CD33" s="160"/>
      <c r="CE33" s="160"/>
      <c r="CF33" s="160"/>
      <c r="CG33" s="160"/>
      <c r="CH33" s="160"/>
      <c r="CI33" s="160"/>
      <c r="CJ33" s="160"/>
      <c r="CK33" s="160"/>
      <c r="CL33" s="160"/>
    </row>
    <row r="34">
      <c r="A34" s="174" t="s">
        <v>250</v>
      </c>
      <c r="B34" s="11" t="s">
        <v>251</v>
      </c>
      <c r="C34" s="175" t="s">
        <v>55</v>
      </c>
      <c r="D34" s="176" t="str">
        <f>IFERROR(VLOOKUP(C34, PIC!A:B, 2, 0), "")</f>
        <v>Cuong Nguyen</v>
      </c>
      <c r="E34" s="11" t="s">
        <v>22</v>
      </c>
      <c r="F34" s="16" t="s">
        <v>849</v>
      </c>
      <c r="G34" s="16" t="s">
        <v>853</v>
      </c>
      <c r="H34" s="170">
        <f>IFERROR(
  MINIFS(ATTENDANCE_LOG!$F:$F,
         ATTENDANCE_LOG!$A:$A, C34,
         ATTENDANCE_LOG!$B:$B, E34),
"")</f>
        <v>45639.58333</v>
      </c>
      <c r="I34" s="170">
        <f t="shared" si="2"/>
        <v>45639.58333</v>
      </c>
      <c r="J34" s="11">
        <f>IFERROR(VLOOKUP(F34, LEVEL_HELPER!$A:$B, 2, 0), "")</f>
        <v>1</v>
      </c>
      <c r="K34" s="11">
        <f>IFERROR(VLOOKUP(G34, LEVEL_HELPER!$A:$B, 2, 0), "")</f>
        <v>1.5</v>
      </c>
      <c r="L34" s="171" t="s">
        <v>400</v>
      </c>
      <c r="M34" s="171" t="s">
        <v>152</v>
      </c>
      <c r="N34" s="11">
        <f t="array" ref="N34">IFERROR(
  INDEX($J$2:$J$531,
    MATCH(A34&amp;TEXT(I34,"yyyy-mm-dd"),
          $A$2:$A$531&amp;TEXT($H$2:$H$531,"yyyy-mm-dd"),
          0)),
"")</f>
        <v>1</v>
      </c>
      <c r="O34" s="160">
        <f t="shared" si="3"/>
        <v>3.5</v>
      </c>
      <c r="P34" s="160">
        <f t="shared" ref="P34:Q34" si="44">IF(N34="",0,IF(N34&lt;=2,1,IF(N34&lt;=4,2,IF(N34&lt;=5.5,3,4))))</f>
        <v>1</v>
      </c>
      <c r="Q34" s="160">
        <f t="shared" si="44"/>
        <v>2</v>
      </c>
      <c r="R34" s="160" t="str">
        <f t="shared" si="5"/>
        <v>Lv1 → Lv2</v>
      </c>
      <c r="S34" s="160">
        <f t="shared" si="6"/>
        <v>1</v>
      </c>
      <c r="T34" s="177" t="s">
        <v>889</v>
      </c>
      <c r="U34" s="160">
        <f>COUNTIFS(sheet2!$A:$A,A34,sheet2!$E:$E,E34)</f>
        <v>1</v>
      </c>
      <c r="V34" s="160"/>
      <c r="W34" s="160"/>
      <c r="X34" s="160" t="str">
        <f t="shared" si="7"/>
        <v>#N/A</v>
      </c>
      <c r="Y34" s="160" t="str">
        <f t="shared" si="8"/>
        <v>#N/A</v>
      </c>
      <c r="Z34" s="160" t="str">
        <f t="shared" si="9"/>
        <v>#N/A</v>
      </c>
      <c r="AA34" s="160"/>
      <c r="AD34" s="160"/>
      <c r="AE34" s="160"/>
      <c r="AF34" s="160"/>
      <c r="AG34" s="160"/>
      <c r="AH34" s="160"/>
      <c r="AI34" s="160"/>
      <c r="AJ34" s="160"/>
      <c r="AK34" s="160"/>
      <c r="AL34" s="160"/>
      <c r="AM34" s="160"/>
      <c r="AN34" s="164"/>
      <c r="AO34" s="161" t="str">
        <f>IFERROR(__xludf.DUMMYFUNCTION("""COMPUTED_VALUE"""),"237201")</f>
        <v>237201</v>
      </c>
      <c r="AP34" s="160" t="str">
        <f t="shared" si="10"/>
        <v>QC</v>
      </c>
      <c r="AQ34" s="160" t="str">
        <f t="shared" si="11"/>
        <v>QC</v>
      </c>
      <c r="AR34" s="160" t="str">
        <f t="shared" si="12"/>
        <v>CHORUS</v>
      </c>
      <c r="AS34" s="160"/>
      <c r="AT34" s="160"/>
      <c r="AU34" s="160"/>
      <c r="AV34" s="160"/>
      <c r="AW34" s="160"/>
      <c r="AX34" s="160"/>
      <c r="AY34" s="160"/>
      <c r="AZ34" s="160"/>
      <c r="BA34" s="160"/>
      <c r="BB34" s="160"/>
      <c r="BC34" s="160"/>
      <c r="BD34" s="160"/>
      <c r="BE34" s="160"/>
      <c r="BF34" s="160"/>
      <c r="BG34" s="160"/>
      <c r="BH34" s="160"/>
      <c r="BI34" s="160"/>
      <c r="BJ34" s="160"/>
      <c r="BK34" s="160"/>
      <c r="BL34" s="160"/>
      <c r="BM34" s="160"/>
      <c r="BN34" s="160"/>
      <c r="BO34" s="160"/>
      <c r="BP34" s="160"/>
      <c r="BQ34" s="160"/>
      <c r="BR34" s="160"/>
      <c r="BS34" s="160"/>
      <c r="BT34" s="160"/>
      <c r="BU34" s="160"/>
      <c r="BV34" s="160"/>
      <c r="BW34" s="160"/>
      <c r="BX34" s="160"/>
      <c r="BY34" s="160"/>
      <c r="BZ34" s="160"/>
      <c r="CA34" s="160"/>
      <c r="CB34" s="160"/>
      <c r="CC34" s="160"/>
      <c r="CD34" s="160"/>
      <c r="CE34" s="160"/>
      <c r="CF34" s="160"/>
      <c r="CG34" s="160"/>
      <c r="CH34" s="160"/>
      <c r="CI34" s="160"/>
      <c r="CJ34" s="160"/>
      <c r="CK34" s="160"/>
      <c r="CL34" s="160"/>
    </row>
    <row r="35">
      <c r="A35" s="174" t="s">
        <v>252</v>
      </c>
      <c r="B35" s="11" t="s">
        <v>253</v>
      </c>
      <c r="C35" s="175" t="s">
        <v>55</v>
      </c>
      <c r="D35" s="176" t="str">
        <f>IFERROR(VLOOKUP(C35, PIC!A:B, 2, 0), "")</f>
        <v>Cuong Nguyen</v>
      </c>
      <c r="E35" s="11" t="s">
        <v>22</v>
      </c>
      <c r="F35" s="16" t="s">
        <v>849</v>
      </c>
      <c r="G35" s="16" t="s">
        <v>849</v>
      </c>
      <c r="H35" s="170">
        <f>IFERROR(
  MINIFS(ATTENDANCE_LOG!$F:$F,
         ATTENDANCE_LOG!$A:$A, C35,
         ATTENDANCE_LOG!$B:$B, E35),
"")</f>
        <v>45639.58333</v>
      </c>
      <c r="I35" s="170">
        <f t="shared" si="2"/>
        <v>45639.58333</v>
      </c>
      <c r="J35" s="11">
        <f>IFERROR(VLOOKUP(F35, LEVEL_HELPER!$A:$B, 2, 0), "")</f>
        <v>1</v>
      </c>
      <c r="K35" s="11">
        <f>IFERROR(VLOOKUP(G35, LEVEL_HELPER!$A:$B, 2, 0), "")</f>
        <v>1</v>
      </c>
      <c r="L35" s="171" t="s">
        <v>400</v>
      </c>
      <c r="M35" s="171" t="s">
        <v>152</v>
      </c>
      <c r="N35" s="11">
        <f t="array" ref="N35">IFERROR(
  INDEX($J$2:$J$531,
    MATCH(A35&amp;TEXT(I35,"yyyy-mm-dd"),
          $A$2:$A$531&amp;TEXT($H$2:$H$531,"yyyy-mm-dd"),
          0)),
"")</f>
        <v>1</v>
      </c>
      <c r="O35" s="160">
        <f t="shared" si="3"/>
        <v>3</v>
      </c>
      <c r="P35" s="160">
        <f t="shared" ref="P35:Q35" si="45">IF(N35="",0,IF(N35&lt;=2,1,IF(N35&lt;=4,2,IF(N35&lt;=5.5,3,4))))</f>
        <v>1</v>
      </c>
      <c r="Q35" s="160">
        <f t="shared" si="45"/>
        <v>2</v>
      </c>
      <c r="R35" s="160" t="str">
        <f t="shared" si="5"/>
        <v>Lv1 → Lv2</v>
      </c>
      <c r="S35" s="160">
        <f t="shared" si="6"/>
        <v>1</v>
      </c>
      <c r="T35" s="177" t="s">
        <v>890</v>
      </c>
      <c r="U35" s="160">
        <f>COUNTIFS(sheet2!$A:$A,A35,sheet2!$E:$E,E35)</f>
        <v>1</v>
      </c>
      <c r="V35" s="160"/>
      <c r="W35" s="160"/>
      <c r="X35" s="160" t="str">
        <f t="shared" si="7"/>
        <v>#N/A</v>
      </c>
      <c r="Y35" s="160" t="str">
        <f t="shared" si="8"/>
        <v>#N/A</v>
      </c>
      <c r="Z35" s="160" t="str">
        <f t="shared" si="9"/>
        <v>#N/A</v>
      </c>
      <c r="AA35" s="160"/>
      <c r="AD35" s="160"/>
      <c r="AE35" s="160"/>
      <c r="AF35" s="160"/>
      <c r="AG35" s="160"/>
      <c r="AH35" s="160"/>
      <c r="AI35" s="160"/>
      <c r="AJ35" s="160"/>
      <c r="AK35" s="160"/>
      <c r="AL35" s="160"/>
      <c r="AM35" s="160"/>
      <c r="AN35" s="164"/>
      <c r="AO35" s="161" t="str">
        <f>IFERROR(__xludf.DUMMYFUNCTION("""COMPUTED_VALUE"""),"193495")</f>
        <v>193495</v>
      </c>
      <c r="AP35" s="160" t="str">
        <f t="shared" si="10"/>
        <v>DEV</v>
      </c>
      <c r="AQ35" s="160" t="str">
        <f t="shared" si="11"/>
        <v>DEV, TA</v>
      </c>
      <c r="AR35" s="160" t="str">
        <f t="shared" si="12"/>
        <v>CHORUS</v>
      </c>
      <c r="AS35" s="160"/>
      <c r="AT35" s="160"/>
      <c r="AU35" s="160"/>
      <c r="AV35" s="160"/>
      <c r="AW35" s="160"/>
      <c r="AX35" s="160"/>
      <c r="AY35" s="160"/>
      <c r="AZ35" s="160"/>
      <c r="BA35" s="160"/>
      <c r="BB35" s="160"/>
      <c r="BC35" s="160"/>
      <c r="BD35" s="160"/>
      <c r="BE35" s="160"/>
      <c r="BF35" s="160"/>
      <c r="BG35" s="160"/>
      <c r="BH35" s="160"/>
      <c r="BI35" s="160"/>
      <c r="BJ35" s="160"/>
      <c r="BK35" s="160"/>
      <c r="BL35" s="160"/>
      <c r="BM35" s="160"/>
      <c r="BN35" s="160"/>
      <c r="BO35" s="160"/>
      <c r="BP35" s="160"/>
      <c r="BQ35" s="160"/>
      <c r="BR35" s="160"/>
      <c r="BS35" s="160"/>
      <c r="BT35" s="160"/>
      <c r="BU35" s="160"/>
      <c r="BV35" s="160"/>
      <c r="BW35" s="160"/>
      <c r="BX35" s="160"/>
      <c r="BY35" s="160"/>
      <c r="BZ35" s="160"/>
      <c r="CA35" s="160"/>
      <c r="CB35" s="160"/>
      <c r="CC35" s="160"/>
      <c r="CD35" s="160"/>
      <c r="CE35" s="160"/>
      <c r="CF35" s="160"/>
      <c r="CG35" s="160"/>
      <c r="CH35" s="160"/>
      <c r="CI35" s="160"/>
      <c r="CJ35" s="160"/>
      <c r="CK35" s="160"/>
      <c r="CL35" s="160"/>
    </row>
    <row r="36">
      <c r="A36" s="174" t="s">
        <v>254</v>
      </c>
      <c r="B36" s="11" t="s">
        <v>255</v>
      </c>
      <c r="C36" s="175" t="s">
        <v>55</v>
      </c>
      <c r="D36" s="176" t="str">
        <f>IFERROR(VLOOKUP(C36, PIC!A:B, 2, 0), "")</f>
        <v>Cuong Nguyen</v>
      </c>
      <c r="E36" s="11" t="s">
        <v>22</v>
      </c>
      <c r="F36" s="16" t="s">
        <v>849</v>
      </c>
      <c r="G36" s="16" t="s">
        <v>853</v>
      </c>
      <c r="H36" s="170">
        <f>IFERROR(
  MINIFS(ATTENDANCE_LOG!$F:$F,
         ATTENDANCE_LOG!$A:$A, C36,
         ATTENDANCE_LOG!$B:$B, E36),
"")</f>
        <v>45639.58333</v>
      </c>
      <c r="I36" s="170">
        <f t="shared" si="2"/>
        <v>45639.58333</v>
      </c>
      <c r="J36" s="11">
        <f>IFERROR(VLOOKUP(F36, LEVEL_HELPER!$A:$B, 2, 0), "")</f>
        <v>1</v>
      </c>
      <c r="K36" s="11">
        <f>IFERROR(VLOOKUP(G36, LEVEL_HELPER!$A:$B, 2, 0), "")</f>
        <v>1.5</v>
      </c>
      <c r="L36" s="171" t="s">
        <v>400</v>
      </c>
      <c r="M36" s="171" t="s">
        <v>152</v>
      </c>
      <c r="N36" s="11">
        <f t="array" ref="N36">IFERROR(
  INDEX($J$2:$J$531,
    MATCH(A36&amp;TEXT(I36,"yyyy-mm-dd"),
          $A$2:$A$531&amp;TEXT($H$2:$H$531,"yyyy-mm-dd"),
          0)),
"")</f>
        <v>1</v>
      </c>
      <c r="O36" s="160">
        <f t="shared" si="3"/>
        <v>3</v>
      </c>
      <c r="P36" s="160">
        <f t="shared" ref="P36:Q36" si="46">IF(N36="",0,IF(N36&lt;=2,1,IF(N36&lt;=4,2,IF(N36&lt;=5.5,3,4))))</f>
        <v>1</v>
      </c>
      <c r="Q36" s="160">
        <f t="shared" si="46"/>
        <v>2</v>
      </c>
      <c r="R36" s="160" t="str">
        <f t="shared" si="5"/>
        <v>Lv1 → Lv2</v>
      </c>
      <c r="S36" s="160">
        <f t="shared" si="6"/>
        <v>1</v>
      </c>
      <c r="T36" s="177" t="s">
        <v>891</v>
      </c>
      <c r="U36" s="160">
        <f>COUNTIFS(sheet2!$A:$A,A36,sheet2!$E:$E,E36)</f>
        <v>1</v>
      </c>
      <c r="V36" s="160"/>
      <c r="W36" s="160"/>
      <c r="X36" s="160" t="str">
        <f t="shared" si="7"/>
        <v>#N/A</v>
      </c>
      <c r="Y36" s="160" t="str">
        <f t="shared" si="8"/>
        <v>#N/A</v>
      </c>
      <c r="Z36" s="160" t="str">
        <f t="shared" si="9"/>
        <v>#N/A</v>
      </c>
      <c r="AA36" s="160"/>
      <c r="AD36" s="160"/>
      <c r="AE36" s="160"/>
      <c r="AF36" s="160"/>
      <c r="AG36" s="160"/>
      <c r="AH36" s="160"/>
      <c r="AI36" s="160"/>
      <c r="AJ36" s="160"/>
      <c r="AK36" s="160"/>
      <c r="AL36" s="160"/>
      <c r="AM36" s="160"/>
      <c r="AN36" s="164"/>
      <c r="AO36" s="161" t="str">
        <f>IFERROR(__xludf.DUMMYFUNCTION("""COMPUTED_VALUE"""),"213856")</f>
        <v>213856</v>
      </c>
      <c r="AP36" s="160" t="str">
        <f t="shared" si="10"/>
        <v>QC</v>
      </c>
      <c r="AQ36" s="160" t="str">
        <f t="shared" si="11"/>
        <v>QC</v>
      </c>
      <c r="AR36" s="160" t="str">
        <f t="shared" si="12"/>
        <v>ONC</v>
      </c>
      <c r="AS36" s="160"/>
      <c r="AT36" s="160"/>
      <c r="AU36" s="160"/>
      <c r="AV36" s="160"/>
      <c r="AW36" s="160"/>
      <c r="AX36" s="160"/>
      <c r="AY36" s="160"/>
      <c r="AZ36" s="160"/>
      <c r="BA36" s="160"/>
      <c r="BB36" s="160"/>
      <c r="BC36" s="160"/>
      <c r="BD36" s="160"/>
      <c r="BE36" s="160"/>
      <c r="BF36" s="160"/>
      <c r="BG36" s="160"/>
      <c r="BH36" s="160"/>
      <c r="BI36" s="160"/>
      <c r="BJ36" s="160"/>
      <c r="BK36" s="160"/>
      <c r="BL36" s="160"/>
      <c r="BM36" s="160"/>
      <c r="BN36" s="160"/>
      <c r="BO36" s="160"/>
      <c r="BP36" s="160"/>
      <c r="BQ36" s="160"/>
      <c r="BR36" s="160"/>
      <c r="BS36" s="160"/>
      <c r="BT36" s="160"/>
      <c r="BU36" s="160"/>
      <c r="BV36" s="160"/>
      <c r="BW36" s="160"/>
      <c r="BX36" s="160"/>
      <c r="BY36" s="160"/>
      <c r="BZ36" s="160"/>
      <c r="CA36" s="160"/>
      <c r="CB36" s="160"/>
      <c r="CC36" s="160"/>
      <c r="CD36" s="160"/>
      <c r="CE36" s="160"/>
      <c r="CF36" s="160"/>
      <c r="CG36" s="160"/>
      <c r="CH36" s="160"/>
      <c r="CI36" s="160"/>
      <c r="CJ36" s="160"/>
      <c r="CK36" s="160"/>
      <c r="CL36" s="160"/>
    </row>
    <row r="37">
      <c r="A37" s="174" t="s">
        <v>373</v>
      </c>
      <c r="B37" s="11" t="s">
        <v>374</v>
      </c>
      <c r="C37" s="175" t="s">
        <v>55</v>
      </c>
      <c r="D37" s="176" t="str">
        <f>IFERROR(VLOOKUP(C37, PIC!A:B, 2, 0), "")</f>
        <v>Cuong Nguyen</v>
      </c>
      <c r="E37" s="11" t="s">
        <v>22</v>
      </c>
      <c r="F37" s="16" t="s">
        <v>849</v>
      </c>
      <c r="G37" s="16" t="s">
        <v>861</v>
      </c>
      <c r="H37" s="170">
        <f>IFERROR(
  MINIFS(ATTENDANCE_LOG!$F:$F,
         ATTENDANCE_LOG!$A:$A, C37,
         ATTENDANCE_LOG!$B:$B, E37),
"")</f>
        <v>45639.58333</v>
      </c>
      <c r="I37" s="170">
        <f t="shared" si="2"/>
        <v>45639.58333</v>
      </c>
      <c r="J37" s="11">
        <f>IFERROR(VLOOKUP(F37, LEVEL_HELPER!$A:$B, 2, 0), "")</f>
        <v>1</v>
      </c>
      <c r="K37" s="11">
        <f>IFERROR(VLOOKUP(G37, LEVEL_HELPER!$A:$B, 2, 0), "")</f>
        <v>3.5</v>
      </c>
      <c r="L37" s="171" t="s">
        <v>400</v>
      </c>
      <c r="M37" s="171" t="s">
        <v>152</v>
      </c>
      <c r="N37" s="11">
        <f t="array" ref="N37">IFERROR(
  INDEX($J$2:$J$531,
    MATCH(A37&amp;TEXT(I37,"yyyy-mm-dd"),
          $A$2:$A$531&amp;TEXT($H$2:$H$531,"yyyy-mm-dd"),
          0)),
"")</f>
        <v>1</v>
      </c>
      <c r="O37" s="160">
        <f t="shared" si="3"/>
        <v>5</v>
      </c>
      <c r="P37" s="160">
        <f t="shared" ref="P37:Q37" si="47">IF(N37="",0,IF(N37&lt;=2,1,IF(N37&lt;=4,2,IF(N37&lt;=5.5,3,4))))</f>
        <v>1</v>
      </c>
      <c r="Q37" s="160">
        <f t="shared" si="47"/>
        <v>3</v>
      </c>
      <c r="R37" s="160" t="str">
        <f t="shared" si="5"/>
        <v>Lv1 → Lv3 (multi)</v>
      </c>
      <c r="S37" s="160">
        <f t="shared" si="6"/>
        <v>1</v>
      </c>
      <c r="T37" s="177" t="s">
        <v>892</v>
      </c>
      <c r="U37" s="160">
        <f>COUNTIFS(sheet2!$A:$A,A37,sheet2!$E:$E,E37)</f>
        <v>1</v>
      </c>
      <c r="V37" s="160"/>
      <c r="W37" s="160"/>
      <c r="X37" s="160" t="str">
        <f t="shared" si="7"/>
        <v>#N/A</v>
      </c>
      <c r="Y37" s="160" t="str">
        <f t="shared" si="8"/>
        <v>#N/A</v>
      </c>
      <c r="Z37" s="160" t="str">
        <f t="shared" si="9"/>
        <v>#N/A</v>
      </c>
      <c r="AA37" s="160"/>
      <c r="AD37" s="160"/>
      <c r="AE37" s="160"/>
      <c r="AF37" s="160"/>
      <c r="AG37" s="160"/>
      <c r="AH37" s="160"/>
      <c r="AI37" s="160"/>
      <c r="AJ37" s="160"/>
      <c r="AK37" s="160"/>
      <c r="AL37" s="160"/>
      <c r="AM37" s="160"/>
      <c r="AN37" s="164"/>
      <c r="AO37" s="161" t="str">
        <f>IFERROR(__xludf.DUMMYFUNCTION("""COMPUTED_VALUE"""),"237035")</f>
        <v>237035</v>
      </c>
      <c r="AP37" s="160" t="str">
        <f t="shared" si="10"/>
        <v>DEV</v>
      </c>
      <c r="AQ37" s="160" t="str">
        <f t="shared" si="11"/>
        <v>DEV, TA</v>
      </c>
      <c r="AR37" s="160" t="str">
        <f t="shared" si="12"/>
        <v>ONC</v>
      </c>
      <c r="AS37" s="160"/>
      <c r="AT37" s="160"/>
      <c r="AU37" s="160"/>
      <c r="AV37" s="160"/>
      <c r="AW37" s="160"/>
      <c r="AX37" s="160"/>
      <c r="AY37" s="160"/>
      <c r="AZ37" s="160"/>
      <c r="BA37" s="160"/>
      <c r="BB37" s="160"/>
      <c r="BC37" s="160"/>
      <c r="BD37" s="160"/>
      <c r="BE37" s="160"/>
      <c r="BF37" s="160"/>
      <c r="BG37" s="160"/>
      <c r="BH37" s="160"/>
      <c r="BI37" s="160"/>
      <c r="BJ37" s="160"/>
      <c r="BK37" s="160"/>
      <c r="BL37" s="160"/>
      <c r="BM37" s="160"/>
      <c r="BN37" s="160"/>
      <c r="BO37" s="160"/>
      <c r="BP37" s="160"/>
      <c r="BQ37" s="160"/>
      <c r="BR37" s="160"/>
      <c r="BS37" s="160"/>
      <c r="BT37" s="160"/>
      <c r="BU37" s="160"/>
      <c r="BV37" s="160"/>
      <c r="BW37" s="160"/>
      <c r="BX37" s="160"/>
      <c r="BY37" s="160"/>
      <c r="BZ37" s="160"/>
      <c r="CA37" s="160"/>
      <c r="CB37" s="160"/>
      <c r="CC37" s="160"/>
      <c r="CD37" s="160"/>
      <c r="CE37" s="160"/>
      <c r="CF37" s="160"/>
      <c r="CG37" s="160"/>
      <c r="CH37" s="160"/>
      <c r="CI37" s="160"/>
      <c r="CJ37" s="160"/>
      <c r="CK37" s="160"/>
      <c r="CL37" s="160"/>
    </row>
    <row r="38">
      <c r="A38" s="174" t="s">
        <v>260</v>
      </c>
      <c r="B38" s="11" t="s">
        <v>261</v>
      </c>
      <c r="C38" s="175" t="s">
        <v>55</v>
      </c>
      <c r="D38" s="176" t="str">
        <f>IFERROR(VLOOKUP(C38, PIC!A:B, 2, 0), "")</f>
        <v>Cuong Nguyen</v>
      </c>
      <c r="E38" s="11" t="s">
        <v>22</v>
      </c>
      <c r="F38" s="16" t="s">
        <v>849</v>
      </c>
      <c r="G38" s="16" t="s">
        <v>846</v>
      </c>
      <c r="H38" s="170">
        <f>IFERROR(
  MINIFS(ATTENDANCE_LOG!$F:$F,
         ATTENDANCE_LOG!$A:$A, C38,
         ATTENDANCE_LOG!$B:$B, E38),
"")</f>
        <v>45639.58333</v>
      </c>
      <c r="I38" s="170">
        <f t="shared" si="2"/>
        <v>45639.58333</v>
      </c>
      <c r="J38" s="11">
        <f>IFERROR(VLOOKUP(F38, LEVEL_HELPER!$A:$B, 2, 0), "")</f>
        <v>1</v>
      </c>
      <c r="K38" s="11">
        <f>IFERROR(VLOOKUP(G38, LEVEL_HELPER!$A:$B, 2, 0), "")</f>
        <v>3</v>
      </c>
      <c r="L38" s="171" t="s">
        <v>400</v>
      </c>
      <c r="M38" s="171" t="s">
        <v>152</v>
      </c>
      <c r="N38" s="11">
        <f t="array" ref="N38">IFERROR(
  INDEX($J$2:$J$531,
    MATCH(A38&amp;TEXT(I38,"yyyy-mm-dd"),
          $A$2:$A$531&amp;TEXT($H$2:$H$531,"yyyy-mm-dd"),
          0)),
"")</f>
        <v>1</v>
      </c>
      <c r="O38" s="160">
        <f t="shared" si="3"/>
        <v>3.5</v>
      </c>
      <c r="P38" s="160">
        <f t="shared" ref="P38:Q38" si="48">IF(N38="",0,IF(N38&lt;=2,1,IF(N38&lt;=4,2,IF(N38&lt;=5.5,3,4))))</f>
        <v>1</v>
      </c>
      <c r="Q38" s="160">
        <f t="shared" si="48"/>
        <v>2</v>
      </c>
      <c r="R38" s="160" t="str">
        <f t="shared" si="5"/>
        <v>Lv1 → Lv2</v>
      </c>
      <c r="S38" s="160">
        <f t="shared" si="6"/>
        <v>1</v>
      </c>
      <c r="T38" s="177" t="s">
        <v>893</v>
      </c>
      <c r="U38" s="160">
        <f>COUNTIFS(sheet2!$A:$A,A38,sheet2!$E:$E,E38)</f>
        <v>1</v>
      </c>
      <c r="V38" s="160"/>
      <c r="W38" s="160"/>
      <c r="X38" s="160" t="str">
        <f t="shared" si="7"/>
        <v>#N/A</v>
      </c>
      <c r="Y38" s="160" t="str">
        <f t="shared" si="8"/>
        <v>#N/A</v>
      </c>
      <c r="Z38" s="160" t="str">
        <f t="shared" si="9"/>
        <v>#N/A</v>
      </c>
      <c r="AA38" s="160"/>
      <c r="AD38" s="160"/>
      <c r="AE38" s="160"/>
      <c r="AF38" s="160"/>
      <c r="AG38" s="160"/>
      <c r="AH38" s="160"/>
      <c r="AI38" s="160"/>
      <c r="AJ38" s="160"/>
      <c r="AK38" s="160"/>
      <c r="AL38" s="160"/>
      <c r="AM38" s="160"/>
      <c r="AN38" s="164"/>
      <c r="AO38" s="161" t="str">
        <f>IFERROR(__xludf.DUMMYFUNCTION("""COMPUTED_VALUE"""),"203664")</f>
        <v>203664</v>
      </c>
      <c r="AP38" s="160" t="str">
        <f t="shared" si="10"/>
        <v>DEV</v>
      </c>
      <c r="AQ38" s="160" t="str">
        <f t="shared" si="11"/>
        <v>DEV, TA</v>
      </c>
      <c r="AR38" s="160" t="str">
        <f t="shared" si="12"/>
        <v>ONC</v>
      </c>
      <c r="AS38" s="160"/>
      <c r="AT38" s="160"/>
      <c r="AU38" s="160"/>
      <c r="AV38" s="160"/>
      <c r="AW38" s="160"/>
      <c r="AX38" s="160"/>
      <c r="AY38" s="160"/>
      <c r="AZ38" s="160"/>
      <c r="BA38" s="160"/>
      <c r="BB38" s="160"/>
      <c r="BC38" s="160"/>
      <c r="BD38" s="160"/>
      <c r="BE38" s="160"/>
      <c r="BF38" s="160"/>
      <c r="BG38" s="160"/>
      <c r="BH38" s="160"/>
      <c r="BI38" s="160"/>
      <c r="BJ38" s="160"/>
      <c r="BK38" s="160"/>
      <c r="BL38" s="160"/>
      <c r="BM38" s="160"/>
      <c r="BN38" s="160"/>
      <c r="BO38" s="160"/>
      <c r="BP38" s="160"/>
      <c r="BQ38" s="160"/>
      <c r="BR38" s="160"/>
      <c r="BS38" s="160"/>
      <c r="BT38" s="160"/>
      <c r="BU38" s="160"/>
      <c r="BV38" s="160"/>
      <c r="BW38" s="160"/>
      <c r="BX38" s="160"/>
      <c r="BY38" s="160"/>
      <c r="BZ38" s="160"/>
      <c r="CA38" s="160"/>
      <c r="CB38" s="160"/>
      <c r="CC38" s="160"/>
      <c r="CD38" s="160"/>
      <c r="CE38" s="160"/>
      <c r="CF38" s="160"/>
      <c r="CG38" s="160"/>
      <c r="CH38" s="160"/>
      <c r="CI38" s="160"/>
      <c r="CJ38" s="160"/>
      <c r="CK38" s="160"/>
      <c r="CL38" s="160"/>
    </row>
    <row r="39">
      <c r="A39" s="174" t="s">
        <v>262</v>
      </c>
      <c r="B39" s="11" t="s">
        <v>263</v>
      </c>
      <c r="C39" s="175" t="s">
        <v>55</v>
      </c>
      <c r="D39" s="176" t="str">
        <f>IFERROR(VLOOKUP(C39, PIC!A:B, 2, 0), "")</f>
        <v>Cuong Nguyen</v>
      </c>
      <c r="E39" s="11" t="s">
        <v>22</v>
      </c>
      <c r="F39" s="11"/>
      <c r="G39" s="11"/>
      <c r="H39" s="170">
        <f>IFERROR(
  MINIFS(ATTENDANCE_LOG!$F:$F,
         ATTENDANCE_LOG!$A:$A, C39,
         ATTENDANCE_LOG!$B:$B, E39),
"")</f>
        <v>45639.58333</v>
      </c>
      <c r="I39" s="170">
        <f t="shared" si="2"/>
        <v>45639.58333</v>
      </c>
      <c r="J39" s="11" t="str">
        <f>IFERROR(VLOOKUP(F39, LEVEL_HELPER!$A:$B, 2, 0), "")</f>
        <v/>
      </c>
      <c r="K39" s="11" t="str">
        <f>IFERROR(VLOOKUP(G39, LEVEL_HELPER!$A:$B, 2, 0), "")</f>
        <v/>
      </c>
      <c r="L39" s="183" t="s">
        <v>400</v>
      </c>
      <c r="M39" s="171" t="s">
        <v>152</v>
      </c>
      <c r="N39" s="11" t="str">
        <f t="array" ref="N39">IFERROR(
  INDEX($J$2:$J$531,
    MATCH(A39&amp;TEXT(I39,"yyyy-mm-dd"),
          $A$2:$A$531&amp;TEXT($H$2:$H$531,"yyyy-mm-dd"),
          0)),
"")</f>
        <v/>
      </c>
      <c r="O39" s="160">
        <f t="shared" si="3"/>
        <v>0</v>
      </c>
      <c r="P39" s="160">
        <f t="shared" ref="P39:Q39" si="49">IF(N39="",0,IF(N39&lt;=2,1,IF(N39&lt;=4,2,IF(N39&lt;=5.5,3,4))))</f>
        <v>0</v>
      </c>
      <c r="Q39" s="160">
        <f t="shared" si="49"/>
        <v>1</v>
      </c>
      <c r="R39" s="160" t="str">
        <f t="shared" si="5"/>
        <v>Not tested yet</v>
      </c>
      <c r="S39" s="160">
        <f t="shared" si="6"/>
        <v>1</v>
      </c>
      <c r="T39" s="185"/>
      <c r="U39" s="160">
        <f>COUNTIFS(sheet2!$A:$A,A39,sheet2!$E:$E,E39)</f>
        <v>1</v>
      </c>
      <c r="V39" s="160"/>
      <c r="W39" s="160"/>
      <c r="X39" s="160" t="str">
        <f t="shared" si="7"/>
        <v>#N/A</v>
      </c>
      <c r="Y39" s="160" t="str">
        <f t="shared" si="8"/>
        <v>#N/A</v>
      </c>
      <c r="Z39" s="160" t="str">
        <f t="shared" si="9"/>
        <v>#N/A</v>
      </c>
      <c r="AA39" s="160"/>
      <c r="AD39" s="160"/>
      <c r="AE39" s="160"/>
      <c r="AF39" s="160"/>
      <c r="AG39" s="160"/>
      <c r="AH39" s="160"/>
      <c r="AI39" s="160"/>
      <c r="AJ39" s="160"/>
      <c r="AK39" s="160"/>
      <c r="AL39" s="160"/>
      <c r="AM39" s="160"/>
      <c r="AN39" s="164"/>
      <c r="AO39" s="161" t="str">
        <f>IFERROR(__xludf.DUMMYFUNCTION("""COMPUTED_VALUE"""),"247065")</f>
        <v>247065</v>
      </c>
      <c r="AP39" s="160" t="str">
        <f t="shared" si="10"/>
        <v>DEV</v>
      </c>
      <c r="AQ39" s="160" t="str">
        <f t="shared" si="11"/>
        <v>DEV, TA</v>
      </c>
      <c r="AR39" s="160" t="str">
        <f t="shared" si="12"/>
        <v>ONC</v>
      </c>
      <c r="AS39" s="160"/>
      <c r="AT39" s="160"/>
      <c r="AU39" s="160"/>
      <c r="AV39" s="160"/>
      <c r="AW39" s="160"/>
      <c r="AX39" s="160"/>
      <c r="AY39" s="160"/>
      <c r="AZ39" s="160"/>
      <c r="BA39" s="160"/>
      <c r="BB39" s="160"/>
      <c r="BC39" s="160"/>
      <c r="BD39" s="160"/>
      <c r="BE39" s="160"/>
      <c r="BF39" s="160"/>
      <c r="BG39" s="160"/>
      <c r="BH39" s="160"/>
      <c r="BI39" s="160"/>
      <c r="BJ39" s="160"/>
      <c r="BK39" s="160"/>
      <c r="BL39" s="160"/>
      <c r="BM39" s="160"/>
      <c r="BN39" s="160"/>
      <c r="BO39" s="160"/>
      <c r="BP39" s="160"/>
      <c r="BQ39" s="160"/>
      <c r="BR39" s="160"/>
      <c r="BS39" s="160"/>
      <c r="BT39" s="160"/>
      <c r="BU39" s="160"/>
      <c r="BV39" s="160"/>
      <c r="BW39" s="160"/>
      <c r="BX39" s="160"/>
      <c r="BY39" s="160"/>
      <c r="BZ39" s="160"/>
      <c r="CA39" s="160"/>
      <c r="CB39" s="160"/>
      <c r="CC39" s="160"/>
      <c r="CD39" s="160"/>
      <c r="CE39" s="160"/>
      <c r="CF39" s="160"/>
      <c r="CG39" s="160"/>
      <c r="CH39" s="160"/>
      <c r="CI39" s="160"/>
      <c r="CJ39" s="160"/>
      <c r="CK39" s="160"/>
      <c r="CL39" s="160"/>
    </row>
    <row r="40">
      <c r="A40" s="166" t="s">
        <v>258</v>
      </c>
      <c r="B40" s="167" t="s">
        <v>259</v>
      </c>
      <c r="C40" s="168" t="s">
        <v>55</v>
      </c>
      <c r="D40" s="169" t="str">
        <f>IFERROR(VLOOKUP(C40, PIC!A:B, 2, 0), "")</f>
        <v>Cuong Nguyen</v>
      </c>
      <c r="E40" s="167" t="s">
        <v>23</v>
      </c>
      <c r="F40" s="16" t="s">
        <v>861</v>
      </c>
      <c r="G40" s="16" t="s">
        <v>868</v>
      </c>
      <c r="H40" s="170">
        <f>IFERROR(
  MINIFS(ATTENDANCE_LOG!$F:$F,
         ATTENDANCE_LOG!$A:$A, C40,
         ATTENDANCE_LOG!$B:$B, E40),
"")</f>
        <v>45869.58333</v>
      </c>
      <c r="I40" s="170">
        <f t="shared" si="2"/>
        <v>45639.58333</v>
      </c>
      <c r="J40" s="11">
        <f>IFERROR(VLOOKUP(F40, LEVEL_HELPER!$A:$B, 2, 0), "")</f>
        <v>3.5</v>
      </c>
      <c r="K40" s="11">
        <f>IFERROR(VLOOKUP(G40, LEVEL_HELPER!$A:$B, 2, 0), "")</f>
        <v>5</v>
      </c>
      <c r="L40" s="171" t="s">
        <v>400</v>
      </c>
      <c r="M40" s="171" t="s">
        <v>152</v>
      </c>
      <c r="N40" s="11">
        <f t="array" ref="N40">IFERROR(
  INDEX($J$2:$J$531,
    MATCH(A40&amp;TEXT(I40,"yyyy-mm-dd"),
          $A$2:$A$531&amp;TEXT($H$2:$H$531,"yyyy-mm-dd"),
          0)),
"")</f>
        <v>2.5</v>
      </c>
      <c r="O40" s="160">
        <f t="shared" si="3"/>
        <v>5</v>
      </c>
      <c r="P40" s="160">
        <f t="shared" ref="P40:Q40" si="50">IF(N40="",0,IF(N40&lt;=2,1,IF(N40&lt;=4,2,IF(N40&lt;=5.5,3,4))))</f>
        <v>2</v>
      </c>
      <c r="Q40" s="160">
        <f t="shared" si="50"/>
        <v>3</v>
      </c>
      <c r="R40" s="160" t="str">
        <f t="shared" si="5"/>
        <v>Lv2 → Lv3</v>
      </c>
      <c r="S40" s="160">
        <f t="shared" si="6"/>
        <v>0</v>
      </c>
      <c r="T40" s="177" t="s">
        <v>886</v>
      </c>
      <c r="U40" s="160">
        <f>COUNTIFS(sheet2!$A:$A,A40,sheet2!$E:$E,E40)</f>
        <v>1</v>
      </c>
      <c r="V40" s="160"/>
      <c r="W40" s="160"/>
      <c r="X40" s="160" t="str">
        <f t="shared" si="7"/>
        <v>#N/A</v>
      </c>
      <c r="Y40" s="160" t="str">
        <f t="shared" si="8"/>
        <v>#N/A</v>
      </c>
      <c r="Z40" s="160" t="str">
        <f t="shared" si="9"/>
        <v>#N/A</v>
      </c>
      <c r="AA40" s="160"/>
      <c r="AB40" s="160"/>
      <c r="AC40" s="160"/>
      <c r="AD40" s="160"/>
      <c r="AE40" s="160"/>
      <c r="AF40" s="160"/>
      <c r="AG40" s="160"/>
      <c r="AH40" s="160"/>
      <c r="AI40" s="160"/>
      <c r="AJ40" s="160"/>
      <c r="AK40" s="160"/>
      <c r="AL40" s="160"/>
      <c r="AM40" s="160"/>
      <c r="AN40" s="164"/>
      <c r="AO40" s="161" t="str">
        <f>IFERROR(__xludf.DUMMYFUNCTION("""COMPUTED_VALUE"""),"183379")</f>
        <v>183379</v>
      </c>
      <c r="AP40" s="160" t="str">
        <f t="shared" si="10"/>
        <v>DEV</v>
      </c>
      <c r="AQ40" s="160" t="str">
        <f t="shared" si="11"/>
        <v>DEV, TA</v>
      </c>
      <c r="AR40" s="160" t="str">
        <f t="shared" si="12"/>
        <v>ONC</v>
      </c>
      <c r="AS40" s="160"/>
      <c r="AT40" s="160"/>
      <c r="AU40" s="160"/>
      <c r="AV40" s="160"/>
      <c r="AW40" s="160"/>
      <c r="AX40" s="160"/>
      <c r="AY40" s="160"/>
      <c r="AZ40" s="160"/>
      <c r="BA40" s="160"/>
      <c r="BB40" s="160"/>
      <c r="BC40" s="160"/>
      <c r="BD40" s="160"/>
      <c r="BE40" s="160"/>
      <c r="BF40" s="160"/>
      <c r="BG40" s="160"/>
      <c r="BH40" s="160"/>
      <c r="BI40" s="160"/>
      <c r="BJ40" s="160"/>
      <c r="BK40" s="160"/>
      <c r="BL40" s="160"/>
      <c r="BM40" s="160"/>
      <c r="BN40" s="160"/>
      <c r="BO40" s="160"/>
      <c r="BP40" s="160"/>
      <c r="BQ40" s="160"/>
      <c r="BR40" s="160"/>
      <c r="BS40" s="160"/>
      <c r="BT40" s="160"/>
      <c r="BU40" s="160"/>
      <c r="BV40" s="160"/>
      <c r="BW40" s="160"/>
      <c r="BX40" s="160"/>
      <c r="BY40" s="160"/>
      <c r="BZ40" s="160"/>
      <c r="CA40" s="160"/>
      <c r="CB40" s="160"/>
      <c r="CC40" s="160"/>
      <c r="CD40" s="160"/>
      <c r="CE40" s="160"/>
      <c r="CF40" s="160"/>
      <c r="CG40" s="160"/>
      <c r="CH40" s="160"/>
      <c r="CI40" s="160"/>
      <c r="CJ40" s="160"/>
      <c r="CK40" s="160"/>
      <c r="CL40" s="160"/>
    </row>
    <row r="41">
      <c r="A41" s="174" t="s">
        <v>246</v>
      </c>
      <c r="B41" s="11" t="s">
        <v>247</v>
      </c>
      <c r="C41" s="175" t="s">
        <v>55</v>
      </c>
      <c r="D41" s="176" t="str">
        <f>IFERROR(VLOOKUP(C41, PIC!A:B, 2, 0), "")</f>
        <v>Cuong Nguyen</v>
      </c>
      <c r="E41" s="11" t="s">
        <v>23</v>
      </c>
      <c r="F41" s="16" t="s">
        <v>849</v>
      </c>
      <c r="G41" s="16" t="s">
        <v>861</v>
      </c>
      <c r="H41" s="170">
        <f>IFERROR(
  MINIFS(ATTENDANCE_LOG!$F:$F,
         ATTENDANCE_LOG!$A:$A, C41,
         ATTENDANCE_LOG!$B:$B, E41),
"")</f>
        <v>45869.58333</v>
      </c>
      <c r="I41" s="170">
        <f t="shared" si="2"/>
        <v>45639.58333</v>
      </c>
      <c r="J41" s="11">
        <f>IFERROR(VLOOKUP(F41, LEVEL_HELPER!$A:$B, 2, 0), "")</f>
        <v>1</v>
      </c>
      <c r="K41" s="11">
        <f>IFERROR(VLOOKUP(G41, LEVEL_HELPER!$A:$B, 2, 0), "")</f>
        <v>3.5</v>
      </c>
      <c r="L41" s="171" t="s">
        <v>400</v>
      </c>
      <c r="M41" s="171" t="s">
        <v>152</v>
      </c>
      <c r="N41" s="11">
        <f t="array" ref="N41">IFERROR(
  INDEX($J$2:$J$531,
    MATCH(A41&amp;TEXT(I41,"yyyy-mm-dd"),
          $A$2:$A$531&amp;TEXT($H$2:$H$531,"yyyy-mm-dd"),
          0)),
"")</f>
        <v>1</v>
      </c>
      <c r="O41" s="160">
        <f t="shared" si="3"/>
        <v>3.5</v>
      </c>
      <c r="P41" s="160">
        <f t="shared" ref="P41:Q41" si="51">IF(N41="",0,IF(N41&lt;=2,1,IF(N41&lt;=4,2,IF(N41&lt;=5.5,3,4))))</f>
        <v>1</v>
      </c>
      <c r="Q41" s="160">
        <f t="shared" si="51"/>
        <v>2</v>
      </c>
      <c r="R41" s="160" t="str">
        <f t="shared" si="5"/>
        <v>Lv1 → Lv2</v>
      </c>
      <c r="S41" s="160">
        <f t="shared" si="6"/>
        <v>0</v>
      </c>
      <c r="T41" s="177" t="s">
        <v>887</v>
      </c>
      <c r="U41" s="160">
        <f>COUNTIFS(sheet2!$A:$A,A41,sheet2!$E:$E,E41)</f>
        <v>1</v>
      </c>
      <c r="V41" s="160"/>
      <c r="W41" s="160"/>
      <c r="X41" s="160" t="str">
        <f t="shared" si="7"/>
        <v>#N/A</v>
      </c>
      <c r="Y41" s="160" t="str">
        <f t="shared" si="8"/>
        <v>#N/A</v>
      </c>
      <c r="Z41" s="160" t="str">
        <f t="shared" si="9"/>
        <v>#N/A</v>
      </c>
      <c r="AA41" s="160"/>
      <c r="AB41" s="160"/>
      <c r="AC41" s="160"/>
      <c r="AD41" s="160"/>
      <c r="AE41" s="160"/>
      <c r="AF41" s="160"/>
      <c r="AG41" s="160"/>
      <c r="AH41" s="160"/>
      <c r="AI41" s="160"/>
      <c r="AJ41" s="160"/>
      <c r="AK41" s="160"/>
      <c r="AL41" s="160"/>
      <c r="AM41" s="160"/>
      <c r="AN41" s="164"/>
      <c r="AO41" s="161" t="str">
        <f>IFERROR(__xludf.DUMMYFUNCTION("""COMPUTED_VALUE"""),"227101")</f>
        <v>227101</v>
      </c>
      <c r="AP41" s="160" t="str">
        <f t="shared" si="10"/>
        <v>DEV</v>
      </c>
      <c r="AQ41" s="160" t="str">
        <f t="shared" si="11"/>
        <v>DEV, TA</v>
      </c>
      <c r="AR41" s="160" t="str">
        <f t="shared" si="12"/>
        <v>ONC</v>
      </c>
      <c r="AS41" s="160"/>
      <c r="AT41" s="160"/>
      <c r="AU41" s="160"/>
      <c r="AV41" s="160"/>
      <c r="AW41" s="160"/>
      <c r="AX41" s="160"/>
      <c r="AY41" s="160"/>
      <c r="AZ41" s="160"/>
      <c r="BA41" s="160"/>
      <c r="BB41" s="160"/>
      <c r="BC41" s="160"/>
      <c r="BD41" s="160"/>
      <c r="BE41" s="160"/>
      <c r="BF41" s="160"/>
      <c r="BG41" s="160"/>
      <c r="BH41" s="160"/>
      <c r="BI41" s="160"/>
      <c r="BJ41" s="160"/>
      <c r="BK41" s="160"/>
      <c r="BL41" s="160"/>
      <c r="BM41" s="160"/>
      <c r="BN41" s="160"/>
      <c r="BO41" s="160"/>
      <c r="BP41" s="160"/>
      <c r="BQ41" s="160"/>
      <c r="BR41" s="160"/>
      <c r="BS41" s="160"/>
      <c r="BT41" s="160"/>
      <c r="BU41" s="160"/>
      <c r="BV41" s="160"/>
      <c r="BW41" s="160"/>
      <c r="BX41" s="160"/>
      <c r="BY41" s="160"/>
      <c r="BZ41" s="160"/>
      <c r="CA41" s="160"/>
      <c r="CB41" s="160"/>
      <c r="CC41" s="160"/>
      <c r="CD41" s="160"/>
      <c r="CE41" s="160"/>
      <c r="CF41" s="160"/>
      <c r="CG41" s="160"/>
      <c r="CH41" s="160"/>
      <c r="CI41" s="160"/>
      <c r="CJ41" s="160"/>
      <c r="CK41" s="160"/>
      <c r="CL41" s="160"/>
    </row>
    <row r="42">
      <c r="A42" s="174" t="s">
        <v>248</v>
      </c>
      <c r="B42" s="11" t="s">
        <v>249</v>
      </c>
      <c r="C42" s="175" t="s">
        <v>55</v>
      </c>
      <c r="D42" s="176" t="str">
        <f>IFERROR(VLOOKUP(C42, PIC!A:B, 2, 0), "")</f>
        <v>Cuong Nguyen</v>
      </c>
      <c r="E42" s="11" t="s">
        <v>23</v>
      </c>
      <c r="F42" s="16" t="s">
        <v>846</v>
      </c>
      <c r="G42" s="16" t="s">
        <v>846</v>
      </c>
      <c r="H42" s="170">
        <f>IFERROR(
  MINIFS(ATTENDANCE_LOG!$F:$F,
         ATTENDANCE_LOG!$A:$A, C42,
         ATTENDANCE_LOG!$B:$B, E42),
"")</f>
        <v>45869.58333</v>
      </c>
      <c r="I42" s="170">
        <f t="shared" si="2"/>
        <v>45639.58333</v>
      </c>
      <c r="J42" s="11">
        <f>IFERROR(VLOOKUP(F42, LEVEL_HELPER!$A:$B, 2, 0), "")</f>
        <v>3</v>
      </c>
      <c r="K42" s="11">
        <f>IFERROR(VLOOKUP(G42, LEVEL_HELPER!$A:$B, 2, 0), "")</f>
        <v>3</v>
      </c>
      <c r="L42" s="171" t="s">
        <v>400</v>
      </c>
      <c r="M42" s="171" t="s">
        <v>152</v>
      </c>
      <c r="N42" s="11">
        <f t="array" ref="N42">IFERROR(
  INDEX($J$2:$J$531,
    MATCH(A42&amp;TEXT(I42,"yyyy-mm-dd"),
          $A$2:$A$531&amp;TEXT($H$2:$H$531,"yyyy-mm-dd"),
          0)),
"")</f>
        <v>1</v>
      </c>
      <c r="O42" s="160">
        <f t="shared" si="3"/>
        <v>5</v>
      </c>
      <c r="P42" s="160">
        <f t="shared" ref="P42:Q42" si="52">IF(N42="",0,IF(N42&lt;=2,1,IF(N42&lt;=4,2,IF(N42&lt;=5.5,3,4))))</f>
        <v>1</v>
      </c>
      <c r="Q42" s="160">
        <f t="shared" si="52"/>
        <v>3</v>
      </c>
      <c r="R42" s="160" t="str">
        <f t="shared" si="5"/>
        <v>Lv1 → Lv3 (multi)</v>
      </c>
      <c r="S42" s="160">
        <f t="shared" si="6"/>
        <v>0</v>
      </c>
      <c r="T42" s="177" t="s">
        <v>888</v>
      </c>
      <c r="U42" s="160">
        <f>COUNTIFS(sheet2!$A:$A,A42,sheet2!$E:$E,E42)</f>
        <v>1</v>
      </c>
      <c r="V42" s="160"/>
      <c r="W42" s="160"/>
      <c r="X42" s="160" t="str">
        <f t="shared" si="7"/>
        <v>#N/A</v>
      </c>
      <c r="Y42" s="160" t="str">
        <f t="shared" si="8"/>
        <v>#N/A</v>
      </c>
      <c r="Z42" s="160" t="str">
        <f t="shared" si="9"/>
        <v>#N/A</v>
      </c>
      <c r="AA42" s="160"/>
      <c r="AB42" s="160"/>
      <c r="AC42" s="160"/>
      <c r="AD42" s="160"/>
      <c r="AE42" s="160"/>
      <c r="AF42" s="160"/>
      <c r="AG42" s="160"/>
      <c r="AH42" s="160"/>
      <c r="AI42" s="160"/>
      <c r="AJ42" s="160"/>
      <c r="AK42" s="160"/>
      <c r="AL42" s="160"/>
      <c r="AM42" s="160"/>
      <c r="AN42" s="164"/>
      <c r="AO42" s="161" t="str">
        <f>IFERROR(__xludf.DUMMYFUNCTION("""COMPUTED_VALUE"""),"193530")</f>
        <v>193530</v>
      </c>
      <c r="AP42" s="160" t="str">
        <f t="shared" si="10"/>
        <v>DEV</v>
      </c>
      <c r="AQ42" s="160" t="str">
        <f t="shared" si="11"/>
        <v>DEV, TA</v>
      </c>
      <c r="AR42" s="160" t="str">
        <f t="shared" si="12"/>
        <v>ONC</v>
      </c>
      <c r="AS42" s="160"/>
      <c r="AT42" s="160"/>
      <c r="AU42" s="160"/>
      <c r="AV42" s="160"/>
      <c r="AW42" s="160"/>
      <c r="AX42" s="160"/>
      <c r="AY42" s="160"/>
      <c r="AZ42" s="160"/>
      <c r="BA42" s="160"/>
      <c r="BB42" s="160"/>
      <c r="BC42" s="160"/>
      <c r="BD42" s="160"/>
      <c r="BE42" s="160"/>
      <c r="BF42" s="160"/>
      <c r="BG42" s="160"/>
      <c r="BH42" s="160"/>
      <c r="BI42" s="160"/>
      <c r="BJ42" s="160"/>
      <c r="BK42" s="160"/>
      <c r="BL42" s="160"/>
      <c r="BM42" s="160"/>
      <c r="BN42" s="160"/>
      <c r="BO42" s="160"/>
      <c r="BP42" s="160"/>
      <c r="BQ42" s="160"/>
      <c r="BR42" s="160"/>
      <c r="BS42" s="160"/>
      <c r="BT42" s="160"/>
      <c r="BU42" s="160"/>
      <c r="BV42" s="160"/>
      <c r="BW42" s="160"/>
      <c r="BX42" s="160"/>
      <c r="BY42" s="160"/>
      <c r="BZ42" s="160"/>
      <c r="CA42" s="160"/>
      <c r="CB42" s="160"/>
      <c r="CC42" s="160"/>
      <c r="CD42" s="160"/>
      <c r="CE42" s="160"/>
      <c r="CF42" s="160"/>
      <c r="CG42" s="160"/>
      <c r="CH42" s="160"/>
      <c r="CI42" s="160"/>
      <c r="CJ42" s="160"/>
      <c r="CK42" s="160"/>
      <c r="CL42" s="160"/>
    </row>
    <row r="43">
      <c r="A43" s="174" t="s">
        <v>250</v>
      </c>
      <c r="B43" s="11" t="s">
        <v>251</v>
      </c>
      <c r="C43" s="175" t="s">
        <v>55</v>
      </c>
      <c r="D43" s="176" t="str">
        <f>IFERROR(VLOOKUP(C43, PIC!A:B, 2, 0), "")</f>
        <v>Cuong Nguyen</v>
      </c>
      <c r="E43" s="11" t="s">
        <v>23</v>
      </c>
      <c r="F43" s="16" t="s">
        <v>853</v>
      </c>
      <c r="G43" s="16" t="s">
        <v>861</v>
      </c>
      <c r="H43" s="170">
        <f>IFERROR(
  MINIFS(ATTENDANCE_LOG!$F:$F,
         ATTENDANCE_LOG!$A:$A, C43,
         ATTENDANCE_LOG!$B:$B, E43),
"")</f>
        <v>45869.58333</v>
      </c>
      <c r="I43" s="170">
        <f t="shared" si="2"/>
        <v>45639.58333</v>
      </c>
      <c r="J43" s="11">
        <f>IFERROR(VLOOKUP(F43, LEVEL_HELPER!$A:$B, 2, 0), "")</f>
        <v>1.5</v>
      </c>
      <c r="K43" s="11">
        <f>IFERROR(VLOOKUP(G43, LEVEL_HELPER!$A:$B, 2, 0), "")</f>
        <v>3.5</v>
      </c>
      <c r="L43" s="171" t="s">
        <v>400</v>
      </c>
      <c r="M43" s="171" t="s">
        <v>152</v>
      </c>
      <c r="N43" s="11">
        <f t="array" ref="N43">IFERROR(
  INDEX($J$2:$J$531,
    MATCH(A43&amp;TEXT(I43,"yyyy-mm-dd"),
          $A$2:$A$531&amp;TEXT($H$2:$H$531,"yyyy-mm-dd"),
          0)),
"")</f>
        <v>1</v>
      </c>
      <c r="O43" s="160">
        <f t="shared" si="3"/>
        <v>3.5</v>
      </c>
      <c r="P43" s="160">
        <f t="shared" ref="P43:Q43" si="53">IF(N43="",0,IF(N43&lt;=2,1,IF(N43&lt;=4,2,IF(N43&lt;=5.5,3,4))))</f>
        <v>1</v>
      </c>
      <c r="Q43" s="160">
        <f t="shared" si="53"/>
        <v>2</v>
      </c>
      <c r="R43" s="160" t="str">
        <f t="shared" si="5"/>
        <v>Lv1 → Lv2</v>
      </c>
      <c r="S43" s="160">
        <f t="shared" si="6"/>
        <v>0</v>
      </c>
      <c r="T43" s="177" t="s">
        <v>889</v>
      </c>
      <c r="U43" s="160">
        <f>COUNTIFS(sheet2!$A:$A,A43,sheet2!$E:$E,E43)</f>
        <v>1</v>
      </c>
      <c r="V43" s="160"/>
      <c r="W43" s="160"/>
      <c r="X43" s="160" t="str">
        <f t="shared" si="7"/>
        <v>#N/A</v>
      </c>
      <c r="Y43" s="160" t="str">
        <f t="shared" si="8"/>
        <v>#N/A</v>
      </c>
      <c r="Z43" s="160" t="str">
        <f t="shared" si="9"/>
        <v>#N/A</v>
      </c>
      <c r="AA43" s="160"/>
      <c r="AB43" s="160"/>
      <c r="AC43" s="160"/>
      <c r="AD43" s="160"/>
      <c r="AE43" s="160"/>
      <c r="AF43" s="160"/>
      <c r="AG43" s="160"/>
      <c r="AH43" s="160"/>
      <c r="AI43" s="160"/>
      <c r="AJ43" s="160"/>
      <c r="AK43" s="160"/>
      <c r="AL43" s="160"/>
      <c r="AM43" s="160"/>
      <c r="AN43" s="164"/>
      <c r="AO43" s="161" t="str">
        <f>IFERROR(__xludf.DUMMYFUNCTION("""COMPUTED_VALUE"""),"247172")</f>
        <v>247172</v>
      </c>
      <c r="AP43" s="160" t="str">
        <f t="shared" si="10"/>
        <v>DEV</v>
      </c>
      <c r="AQ43" s="160" t="str">
        <f t="shared" si="11"/>
        <v>DEV, TA</v>
      </c>
      <c r="AR43" s="160" t="str">
        <f t="shared" si="12"/>
        <v>MOC</v>
      </c>
      <c r="AS43" s="160"/>
      <c r="AT43" s="160"/>
      <c r="AU43" s="160"/>
      <c r="AV43" s="160"/>
      <c r="AW43" s="160"/>
      <c r="AX43" s="160"/>
      <c r="AY43" s="160"/>
      <c r="AZ43" s="160"/>
      <c r="BA43" s="160"/>
      <c r="BB43" s="160"/>
      <c r="BC43" s="160"/>
      <c r="BD43" s="160"/>
      <c r="BE43" s="160"/>
      <c r="BF43" s="160"/>
      <c r="BG43" s="160"/>
      <c r="BH43" s="160"/>
      <c r="BI43" s="160"/>
      <c r="BJ43" s="160"/>
      <c r="BK43" s="160"/>
      <c r="BL43" s="160"/>
      <c r="BM43" s="160"/>
      <c r="BN43" s="160"/>
      <c r="BO43" s="160"/>
      <c r="BP43" s="160"/>
      <c r="BQ43" s="160"/>
      <c r="BR43" s="160"/>
      <c r="BS43" s="160"/>
      <c r="BT43" s="160"/>
      <c r="BU43" s="160"/>
      <c r="BV43" s="160"/>
      <c r="BW43" s="160"/>
      <c r="BX43" s="160"/>
      <c r="BY43" s="160"/>
      <c r="BZ43" s="160"/>
      <c r="CA43" s="160"/>
      <c r="CB43" s="160"/>
      <c r="CC43" s="160"/>
      <c r="CD43" s="160"/>
      <c r="CE43" s="160"/>
      <c r="CF43" s="160"/>
      <c r="CG43" s="160"/>
      <c r="CH43" s="160"/>
      <c r="CI43" s="160"/>
      <c r="CJ43" s="160"/>
      <c r="CK43" s="160"/>
      <c r="CL43" s="160"/>
    </row>
    <row r="44">
      <c r="A44" s="174" t="s">
        <v>252</v>
      </c>
      <c r="B44" s="11" t="s">
        <v>253</v>
      </c>
      <c r="C44" s="175" t="s">
        <v>55</v>
      </c>
      <c r="D44" s="176" t="str">
        <f>IFERROR(VLOOKUP(C44, PIC!A:B, 2, 0), "")</f>
        <v>Cuong Nguyen</v>
      </c>
      <c r="E44" s="11" t="s">
        <v>23</v>
      </c>
      <c r="F44" s="16" t="s">
        <v>849</v>
      </c>
      <c r="G44" s="16" t="s">
        <v>846</v>
      </c>
      <c r="H44" s="170">
        <f>IFERROR(
  MINIFS(ATTENDANCE_LOG!$F:$F,
         ATTENDANCE_LOG!$A:$A, C44,
         ATTENDANCE_LOG!$B:$B, E44),
"")</f>
        <v>45869.58333</v>
      </c>
      <c r="I44" s="170">
        <f t="shared" si="2"/>
        <v>45639.58333</v>
      </c>
      <c r="J44" s="11">
        <f>IFERROR(VLOOKUP(F44, LEVEL_HELPER!$A:$B, 2, 0), "")</f>
        <v>1</v>
      </c>
      <c r="K44" s="11">
        <f>IFERROR(VLOOKUP(G44, LEVEL_HELPER!$A:$B, 2, 0), "")</f>
        <v>3</v>
      </c>
      <c r="L44" s="171" t="s">
        <v>400</v>
      </c>
      <c r="M44" s="171" t="s">
        <v>152</v>
      </c>
      <c r="N44" s="11">
        <f t="array" ref="N44">IFERROR(
  INDEX($J$2:$J$531,
    MATCH(A44&amp;TEXT(I44,"yyyy-mm-dd"),
          $A$2:$A$531&amp;TEXT($H$2:$H$531,"yyyy-mm-dd"),
          0)),
"")</f>
        <v>1</v>
      </c>
      <c r="O44" s="160">
        <f t="shared" si="3"/>
        <v>3</v>
      </c>
      <c r="P44" s="160">
        <f t="shared" ref="P44:Q44" si="54">IF(N44="",0,IF(N44&lt;=2,1,IF(N44&lt;=4,2,IF(N44&lt;=5.5,3,4))))</f>
        <v>1</v>
      </c>
      <c r="Q44" s="160">
        <f t="shared" si="54"/>
        <v>2</v>
      </c>
      <c r="R44" s="160" t="str">
        <f t="shared" si="5"/>
        <v>Lv1 → Lv2</v>
      </c>
      <c r="S44" s="160">
        <f t="shared" si="6"/>
        <v>0</v>
      </c>
      <c r="T44" s="177" t="s">
        <v>890</v>
      </c>
      <c r="U44" s="160">
        <f>COUNTIFS(sheet2!$A:$A,A44,sheet2!$E:$E,E44)</f>
        <v>1</v>
      </c>
      <c r="V44" s="160"/>
      <c r="W44" s="160"/>
      <c r="X44" s="160" t="str">
        <f t="shared" si="7"/>
        <v>#N/A</v>
      </c>
      <c r="Y44" s="160" t="str">
        <f t="shared" si="8"/>
        <v>#N/A</v>
      </c>
      <c r="Z44" s="160" t="str">
        <f t="shared" si="9"/>
        <v>#N/A</v>
      </c>
      <c r="AA44" s="160"/>
      <c r="AB44" s="160"/>
      <c r="AC44" s="160"/>
      <c r="AD44" s="160"/>
      <c r="AE44" s="160"/>
      <c r="AF44" s="160"/>
      <c r="AG44" s="160"/>
      <c r="AH44" s="160"/>
      <c r="AI44" s="160"/>
      <c r="AJ44" s="160"/>
      <c r="AK44" s="160"/>
      <c r="AL44" s="160"/>
      <c r="AM44" s="160"/>
      <c r="AN44" s="164"/>
      <c r="AO44" s="161" t="str">
        <f>IFERROR(__xludf.DUMMYFUNCTION("""COMPUTED_VALUE"""),"173232")</f>
        <v>173232</v>
      </c>
      <c r="AP44" s="160" t="str">
        <f t="shared" si="10"/>
        <v>TA</v>
      </c>
      <c r="AQ44" s="160" t="str">
        <f t="shared" si="11"/>
        <v>DEV, TA</v>
      </c>
      <c r="AR44" s="160" t="str">
        <f t="shared" si="12"/>
        <v>MOC</v>
      </c>
      <c r="AS44" s="160"/>
      <c r="AT44" s="160"/>
      <c r="AU44" s="160"/>
      <c r="AV44" s="160"/>
      <c r="AW44" s="160"/>
      <c r="AX44" s="160"/>
      <c r="AY44" s="160"/>
      <c r="AZ44" s="160"/>
      <c r="BA44" s="160"/>
      <c r="BB44" s="160"/>
      <c r="BC44" s="160"/>
      <c r="BD44" s="160"/>
      <c r="BE44" s="160"/>
      <c r="BF44" s="160"/>
      <c r="BG44" s="160"/>
      <c r="BH44" s="160"/>
      <c r="BI44" s="160"/>
      <c r="BJ44" s="160"/>
      <c r="BK44" s="160"/>
      <c r="BL44" s="160"/>
      <c r="BM44" s="160"/>
      <c r="BN44" s="160"/>
      <c r="BO44" s="160"/>
      <c r="BP44" s="160"/>
      <c r="BQ44" s="160"/>
      <c r="BR44" s="160"/>
      <c r="BS44" s="160"/>
      <c r="BT44" s="160"/>
      <c r="BU44" s="160"/>
      <c r="BV44" s="160"/>
      <c r="BW44" s="160"/>
      <c r="BX44" s="160"/>
      <c r="BY44" s="160"/>
      <c r="BZ44" s="160"/>
      <c r="CA44" s="160"/>
      <c r="CB44" s="160"/>
      <c r="CC44" s="160"/>
      <c r="CD44" s="160"/>
      <c r="CE44" s="160"/>
      <c r="CF44" s="160"/>
      <c r="CG44" s="160"/>
      <c r="CH44" s="160"/>
      <c r="CI44" s="160"/>
      <c r="CJ44" s="160"/>
      <c r="CK44" s="160"/>
      <c r="CL44" s="160"/>
    </row>
    <row r="45">
      <c r="A45" s="174" t="s">
        <v>254</v>
      </c>
      <c r="B45" s="11" t="s">
        <v>255</v>
      </c>
      <c r="C45" s="175" t="s">
        <v>55</v>
      </c>
      <c r="D45" s="176" t="str">
        <f>IFERROR(VLOOKUP(C45, PIC!A:B, 2, 0), "")</f>
        <v>Cuong Nguyen</v>
      </c>
      <c r="E45" s="11" t="s">
        <v>23</v>
      </c>
      <c r="F45" s="16" t="s">
        <v>853</v>
      </c>
      <c r="G45" s="16" t="s">
        <v>846</v>
      </c>
      <c r="H45" s="170">
        <f>IFERROR(
  MINIFS(ATTENDANCE_LOG!$F:$F,
         ATTENDANCE_LOG!$A:$A, C45,
         ATTENDANCE_LOG!$B:$B, E45),
"")</f>
        <v>45869.58333</v>
      </c>
      <c r="I45" s="170">
        <f t="shared" si="2"/>
        <v>45639.58333</v>
      </c>
      <c r="J45" s="11">
        <f>IFERROR(VLOOKUP(F45, LEVEL_HELPER!$A:$B, 2, 0), "")</f>
        <v>1.5</v>
      </c>
      <c r="K45" s="11">
        <f>IFERROR(VLOOKUP(G45, LEVEL_HELPER!$A:$B, 2, 0), "")</f>
        <v>3</v>
      </c>
      <c r="L45" s="171" t="s">
        <v>400</v>
      </c>
      <c r="M45" s="171" t="s">
        <v>152</v>
      </c>
      <c r="N45" s="11">
        <f t="array" ref="N45">IFERROR(
  INDEX($J$2:$J$531,
    MATCH(A45&amp;TEXT(I45,"yyyy-mm-dd"),
          $A$2:$A$531&amp;TEXT($H$2:$H$531,"yyyy-mm-dd"),
          0)),
"")</f>
        <v>1</v>
      </c>
      <c r="O45" s="160">
        <f t="shared" si="3"/>
        <v>3</v>
      </c>
      <c r="P45" s="160">
        <f t="shared" ref="P45:Q45" si="55">IF(N45="",0,IF(N45&lt;=2,1,IF(N45&lt;=4,2,IF(N45&lt;=5.5,3,4))))</f>
        <v>1</v>
      </c>
      <c r="Q45" s="160">
        <f t="shared" si="55"/>
        <v>2</v>
      </c>
      <c r="R45" s="160" t="str">
        <f t="shared" si="5"/>
        <v>Lv1 → Lv2</v>
      </c>
      <c r="S45" s="160">
        <f t="shared" si="6"/>
        <v>0</v>
      </c>
      <c r="T45" s="177" t="s">
        <v>891</v>
      </c>
      <c r="U45" s="160">
        <f>COUNTIFS(sheet2!$A:$A,A45,sheet2!$E:$E,E45)</f>
        <v>1</v>
      </c>
      <c r="V45" s="160"/>
      <c r="W45" s="160"/>
      <c r="X45" s="160" t="str">
        <f t="shared" si="7"/>
        <v>#N/A</v>
      </c>
      <c r="Y45" s="160" t="str">
        <f t="shared" si="8"/>
        <v>#N/A</v>
      </c>
      <c r="Z45" s="160" t="str">
        <f t="shared" si="9"/>
        <v>#N/A</v>
      </c>
      <c r="AA45" s="160"/>
      <c r="AB45" s="160"/>
      <c r="AC45" s="160"/>
      <c r="AD45" s="160"/>
      <c r="AE45" s="160"/>
      <c r="AF45" s="160"/>
      <c r="AG45" s="160"/>
      <c r="AH45" s="160"/>
      <c r="AI45" s="160"/>
      <c r="AJ45" s="160"/>
      <c r="AK45" s="160"/>
      <c r="AL45" s="160"/>
      <c r="AM45" s="160"/>
      <c r="AN45" s="164"/>
      <c r="AO45" s="161" t="str">
        <f>IFERROR(__xludf.DUMMYFUNCTION("""COMPUTED_VALUE"""),"203701")</f>
        <v>203701</v>
      </c>
      <c r="AP45" s="160" t="str">
        <f t="shared" si="10"/>
        <v>DEV</v>
      </c>
      <c r="AQ45" s="160" t="str">
        <f t="shared" si="11"/>
        <v>DEV, TA</v>
      </c>
      <c r="AR45" s="160" t="str">
        <f t="shared" si="12"/>
        <v>MOC</v>
      </c>
      <c r="AS45" s="160"/>
      <c r="AT45" s="160"/>
      <c r="AU45" s="160"/>
      <c r="AV45" s="160"/>
      <c r="AW45" s="160"/>
      <c r="AX45" s="160"/>
      <c r="AY45" s="160"/>
      <c r="AZ45" s="160"/>
      <c r="BA45" s="160"/>
      <c r="BB45" s="160"/>
      <c r="BC45" s="160"/>
      <c r="BD45" s="160"/>
      <c r="BE45" s="160"/>
      <c r="BF45" s="160"/>
      <c r="BG45" s="160"/>
      <c r="BH45" s="160"/>
      <c r="BI45" s="160"/>
      <c r="BJ45" s="160"/>
      <c r="BK45" s="160"/>
      <c r="BL45" s="160"/>
      <c r="BM45" s="160"/>
      <c r="BN45" s="160"/>
      <c r="BO45" s="160"/>
      <c r="BP45" s="160"/>
      <c r="BQ45" s="160"/>
      <c r="BR45" s="160"/>
      <c r="BS45" s="160"/>
      <c r="BT45" s="160"/>
      <c r="BU45" s="160"/>
      <c r="BV45" s="160"/>
      <c r="BW45" s="160"/>
      <c r="BX45" s="160"/>
      <c r="BY45" s="160"/>
      <c r="BZ45" s="160"/>
      <c r="CA45" s="160"/>
      <c r="CB45" s="160"/>
      <c r="CC45" s="160"/>
      <c r="CD45" s="160"/>
      <c r="CE45" s="160"/>
      <c r="CF45" s="160"/>
      <c r="CG45" s="160"/>
      <c r="CH45" s="160"/>
      <c r="CI45" s="160"/>
      <c r="CJ45" s="160"/>
      <c r="CK45" s="160"/>
      <c r="CL45" s="160"/>
    </row>
    <row r="46">
      <c r="A46" s="174" t="s">
        <v>373</v>
      </c>
      <c r="B46" s="11" t="s">
        <v>374</v>
      </c>
      <c r="C46" s="175" t="s">
        <v>55</v>
      </c>
      <c r="D46" s="176" t="str">
        <f>IFERROR(VLOOKUP(C46, PIC!A:B, 2, 0), "")</f>
        <v>Cuong Nguyen</v>
      </c>
      <c r="E46" s="11" t="s">
        <v>23</v>
      </c>
      <c r="F46" s="16" t="s">
        <v>861</v>
      </c>
      <c r="G46" s="16" t="s">
        <v>868</v>
      </c>
      <c r="H46" s="170">
        <f>IFERROR(
  MINIFS(ATTENDANCE_LOG!$F:$F,
         ATTENDANCE_LOG!$A:$A, C46,
         ATTENDANCE_LOG!$B:$B, E46),
"")</f>
        <v>45869.58333</v>
      </c>
      <c r="I46" s="170">
        <f t="shared" si="2"/>
        <v>45639.58333</v>
      </c>
      <c r="J46" s="11">
        <f>IFERROR(VLOOKUP(F46, LEVEL_HELPER!$A:$B, 2, 0), "")</f>
        <v>3.5</v>
      </c>
      <c r="K46" s="11">
        <f>IFERROR(VLOOKUP(G46, LEVEL_HELPER!$A:$B, 2, 0), "")</f>
        <v>5</v>
      </c>
      <c r="L46" s="171" t="s">
        <v>400</v>
      </c>
      <c r="M46" s="171" t="s">
        <v>152</v>
      </c>
      <c r="N46" s="11">
        <f t="array" ref="N46">IFERROR(
  INDEX($J$2:$J$531,
    MATCH(A46&amp;TEXT(I46,"yyyy-mm-dd"),
          $A$2:$A$531&amp;TEXT($H$2:$H$531,"yyyy-mm-dd"),
          0)),
"")</f>
        <v>1</v>
      </c>
      <c r="O46" s="160">
        <f t="shared" si="3"/>
        <v>5</v>
      </c>
      <c r="P46" s="160">
        <f t="shared" ref="P46:Q46" si="56">IF(N46="",0,IF(N46&lt;=2,1,IF(N46&lt;=4,2,IF(N46&lt;=5.5,3,4))))</f>
        <v>1</v>
      </c>
      <c r="Q46" s="160">
        <f t="shared" si="56"/>
        <v>3</v>
      </c>
      <c r="R46" s="160" t="str">
        <f t="shared" si="5"/>
        <v>Lv1 → Lv3 (multi)</v>
      </c>
      <c r="S46" s="160">
        <f t="shared" si="6"/>
        <v>0</v>
      </c>
      <c r="T46" s="177" t="s">
        <v>892</v>
      </c>
      <c r="U46" s="160">
        <f>COUNTIFS(sheet2!$A:$A,A46,sheet2!$E:$E,E46)</f>
        <v>1</v>
      </c>
      <c r="V46" s="160"/>
      <c r="W46" s="160"/>
      <c r="X46" s="160" t="str">
        <f t="shared" si="7"/>
        <v>#N/A</v>
      </c>
      <c r="Y46" s="160" t="str">
        <f t="shared" si="8"/>
        <v>#N/A</v>
      </c>
      <c r="Z46" s="160" t="str">
        <f t="shared" si="9"/>
        <v>#N/A</v>
      </c>
      <c r="AA46" s="160"/>
      <c r="AB46" s="160"/>
      <c r="AC46" s="160"/>
      <c r="AD46" s="160"/>
      <c r="AE46" s="160"/>
      <c r="AF46" s="160"/>
      <c r="AG46" s="160"/>
      <c r="AH46" s="160"/>
      <c r="AI46" s="160"/>
      <c r="AJ46" s="160"/>
      <c r="AK46" s="160"/>
      <c r="AL46" s="160"/>
      <c r="AM46" s="160"/>
      <c r="AN46" s="164"/>
      <c r="AO46" s="161" t="str">
        <f>IFERROR(__xludf.DUMMYFUNCTION("""COMPUTED_VALUE"""),"213916")</f>
        <v>213916</v>
      </c>
      <c r="AP46" s="160" t="str">
        <f t="shared" si="10"/>
        <v>DEV</v>
      </c>
      <c r="AQ46" s="160" t="str">
        <f t="shared" si="11"/>
        <v>DEV, TA</v>
      </c>
      <c r="AR46" s="160" t="str">
        <f t="shared" si="12"/>
        <v>MOC</v>
      </c>
      <c r="AS46" s="160"/>
      <c r="AT46" s="160"/>
      <c r="AU46" s="160"/>
      <c r="AV46" s="160"/>
      <c r="AW46" s="160"/>
      <c r="AX46" s="160"/>
      <c r="AY46" s="160"/>
      <c r="AZ46" s="160"/>
      <c r="BA46" s="160"/>
      <c r="BB46" s="160"/>
      <c r="BC46" s="160"/>
      <c r="BD46" s="160"/>
      <c r="BE46" s="160"/>
      <c r="BF46" s="160"/>
      <c r="BG46" s="160"/>
      <c r="BH46" s="160"/>
      <c r="BI46" s="160"/>
      <c r="BJ46" s="160"/>
      <c r="BK46" s="160"/>
      <c r="BL46" s="160"/>
      <c r="BM46" s="160"/>
      <c r="BN46" s="160"/>
      <c r="BO46" s="160"/>
      <c r="BP46" s="160"/>
      <c r="BQ46" s="160"/>
      <c r="BR46" s="160"/>
      <c r="BS46" s="160"/>
      <c r="BT46" s="160"/>
      <c r="BU46" s="160"/>
      <c r="BV46" s="160"/>
      <c r="BW46" s="160"/>
      <c r="BX46" s="160"/>
      <c r="BY46" s="160"/>
      <c r="BZ46" s="160"/>
      <c r="CA46" s="160"/>
      <c r="CB46" s="160"/>
      <c r="CC46" s="160"/>
      <c r="CD46" s="160"/>
      <c r="CE46" s="160"/>
      <c r="CF46" s="160"/>
      <c r="CG46" s="160"/>
      <c r="CH46" s="160"/>
      <c r="CI46" s="160"/>
      <c r="CJ46" s="160"/>
      <c r="CK46" s="160"/>
      <c r="CL46" s="160"/>
    </row>
    <row r="47">
      <c r="A47" s="174" t="s">
        <v>260</v>
      </c>
      <c r="B47" s="11" t="s">
        <v>261</v>
      </c>
      <c r="C47" s="175" t="s">
        <v>55</v>
      </c>
      <c r="D47" s="176" t="str">
        <f>IFERROR(VLOOKUP(C47, PIC!A:B, 2, 0), "")</f>
        <v>Cuong Nguyen</v>
      </c>
      <c r="E47" s="11" t="s">
        <v>23</v>
      </c>
      <c r="F47" s="16" t="s">
        <v>846</v>
      </c>
      <c r="G47" s="16" t="s">
        <v>861</v>
      </c>
      <c r="H47" s="170">
        <f>IFERROR(
  MINIFS(ATTENDANCE_LOG!$F:$F,
         ATTENDANCE_LOG!$A:$A, C47,
         ATTENDANCE_LOG!$B:$B, E47),
"")</f>
        <v>45869.58333</v>
      </c>
      <c r="I47" s="170">
        <f t="shared" si="2"/>
        <v>45639.58333</v>
      </c>
      <c r="J47" s="11">
        <f>IFERROR(VLOOKUP(F47, LEVEL_HELPER!$A:$B, 2, 0), "")</f>
        <v>3</v>
      </c>
      <c r="K47" s="11">
        <f>IFERROR(VLOOKUP(G47, LEVEL_HELPER!$A:$B, 2, 0), "")</f>
        <v>3.5</v>
      </c>
      <c r="L47" s="171" t="s">
        <v>400</v>
      </c>
      <c r="M47" s="171" t="s">
        <v>152</v>
      </c>
      <c r="N47" s="11">
        <f t="array" ref="N47">IFERROR(
  INDEX($J$2:$J$531,
    MATCH(A47&amp;TEXT(I47,"yyyy-mm-dd"),
          $A$2:$A$531&amp;TEXT($H$2:$H$531,"yyyy-mm-dd"),
          0)),
"")</f>
        <v>1</v>
      </c>
      <c r="O47" s="160">
        <f t="shared" si="3"/>
        <v>3.5</v>
      </c>
      <c r="P47" s="160">
        <f t="shared" ref="P47:Q47" si="57">IF(N47="",0,IF(N47&lt;=2,1,IF(N47&lt;=4,2,IF(N47&lt;=5.5,3,4))))</f>
        <v>1</v>
      </c>
      <c r="Q47" s="160">
        <f t="shared" si="57"/>
        <v>2</v>
      </c>
      <c r="R47" s="160" t="str">
        <f t="shared" si="5"/>
        <v>Lv1 → Lv2</v>
      </c>
      <c r="S47" s="160">
        <f t="shared" si="6"/>
        <v>0</v>
      </c>
      <c r="T47" s="177" t="s">
        <v>893</v>
      </c>
      <c r="U47" s="160">
        <f>COUNTIFS(sheet2!$A:$A,A47,sheet2!$E:$E,E47)</f>
        <v>1</v>
      </c>
      <c r="V47" s="160"/>
      <c r="W47" s="160"/>
      <c r="X47" s="160" t="str">
        <f t="shared" si="7"/>
        <v>#N/A</v>
      </c>
      <c r="Y47" s="160" t="str">
        <f t="shared" si="8"/>
        <v>#N/A</v>
      </c>
      <c r="Z47" s="160" t="str">
        <f t="shared" si="9"/>
        <v>#N/A</v>
      </c>
      <c r="AA47" s="160"/>
      <c r="AB47" s="160"/>
      <c r="AC47" s="160"/>
      <c r="AD47" s="160"/>
      <c r="AE47" s="160"/>
      <c r="AF47" s="160"/>
      <c r="AG47" s="160"/>
      <c r="AH47" s="160"/>
      <c r="AI47" s="160"/>
      <c r="AJ47" s="160"/>
      <c r="AK47" s="160"/>
      <c r="AL47" s="160"/>
      <c r="AM47" s="160"/>
      <c r="AN47" s="164"/>
      <c r="AO47" s="161" t="str">
        <f>IFERROR(__xludf.DUMMYFUNCTION("""COMPUTED_VALUE"""),"213817")</f>
        <v>213817</v>
      </c>
      <c r="AP47" s="160" t="str">
        <f t="shared" si="10"/>
        <v>QC</v>
      </c>
      <c r="AQ47" s="160" t="str">
        <f t="shared" si="11"/>
        <v>QC</v>
      </c>
      <c r="AR47" s="160" t="str">
        <f t="shared" si="12"/>
        <v>ONC</v>
      </c>
      <c r="AS47" s="160"/>
      <c r="AT47" s="160"/>
      <c r="AU47" s="160"/>
      <c r="AV47" s="160"/>
      <c r="AW47" s="160"/>
      <c r="AX47" s="160"/>
      <c r="AY47" s="160"/>
      <c r="AZ47" s="160"/>
      <c r="BA47" s="160"/>
      <c r="BB47" s="160"/>
      <c r="BC47" s="160"/>
      <c r="BD47" s="160"/>
      <c r="BE47" s="160"/>
      <c r="BF47" s="160"/>
      <c r="BG47" s="160"/>
      <c r="BH47" s="160"/>
      <c r="BI47" s="160"/>
      <c r="BJ47" s="160"/>
      <c r="BK47" s="160"/>
      <c r="BL47" s="160"/>
      <c r="BM47" s="160"/>
      <c r="BN47" s="160"/>
      <c r="BO47" s="160"/>
      <c r="BP47" s="160"/>
      <c r="BQ47" s="160"/>
      <c r="BR47" s="160"/>
      <c r="BS47" s="160"/>
      <c r="BT47" s="160"/>
      <c r="BU47" s="160"/>
      <c r="BV47" s="160"/>
      <c r="BW47" s="160"/>
      <c r="BX47" s="160"/>
      <c r="BY47" s="160"/>
      <c r="BZ47" s="160"/>
      <c r="CA47" s="160"/>
      <c r="CB47" s="160"/>
      <c r="CC47" s="160"/>
      <c r="CD47" s="160"/>
      <c r="CE47" s="160"/>
      <c r="CF47" s="160"/>
      <c r="CG47" s="160"/>
      <c r="CH47" s="160"/>
      <c r="CI47" s="160"/>
      <c r="CJ47" s="160"/>
      <c r="CK47" s="160"/>
      <c r="CL47" s="160"/>
    </row>
    <row r="48">
      <c r="A48" s="174" t="s">
        <v>262</v>
      </c>
      <c r="B48" s="11" t="s">
        <v>263</v>
      </c>
      <c r="C48" s="175" t="s">
        <v>55</v>
      </c>
      <c r="D48" s="176" t="str">
        <f>IFERROR(VLOOKUP(C48, PIC!A:B, 2, 0), "")</f>
        <v>Cuong Nguyen</v>
      </c>
      <c r="E48" s="11" t="s">
        <v>23</v>
      </c>
      <c r="F48" s="11"/>
      <c r="G48" s="11"/>
      <c r="H48" s="170">
        <f>IFERROR(
  MINIFS(ATTENDANCE_LOG!$F:$F,
         ATTENDANCE_LOG!$A:$A, C48,
         ATTENDANCE_LOG!$B:$B, E48),
"")</f>
        <v>45869.58333</v>
      </c>
      <c r="I48" s="170">
        <f t="shared" si="2"/>
        <v>45639.58333</v>
      </c>
      <c r="J48" s="11" t="str">
        <f>IFERROR(VLOOKUP(F48, LEVEL_HELPER!$A:$B, 2, 0), "")</f>
        <v/>
      </c>
      <c r="K48" s="11" t="str">
        <f>IFERROR(VLOOKUP(G48, LEVEL_HELPER!$A:$B, 2, 0), "")</f>
        <v/>
      </c>
      <c r="L48" s="171" t="s">
        <v>400</v>
      </c>
      <c r="M48" s="171" t="s">
        <v>152</v>
      </c>
      <c r="N48" s="11" t="str">
        <f t="array" ref="N48">IFERROR(
  INDEX($J$2:$J$531,
    MATCH(A48&amp;TEXT(I48,"yyyy-mm-dd"),
          $A$2:$A$531&amp;TEXT($H$2:$H$531,"yyyy-mm-dd"),
          0)),
"")</f>
        <v/>
      </c>
      <c r="O48" s="160">
        <f t="shared" si="3"/>
        <v>0</v>
      </c>
      <c r="P48" s="160">
        <f t="shared" ref="P48:Q48" si="58">IF(N48="",0,IF(N48&lt;=2,1,IF(N48&lt;=4,2,IF(N48&lt;=5.5,3,4))))</f>
        <v>0</v>
      </c>
      <c r="Q48" s="160">
        <f t="shared" si="58"/>
        <v>1</v>
      </c>
      <c r="R48" s="160" t="str">
        <f t="shared" si="5"/>
        <v>Not tested yet</v>
      </c>
      <c r="S48" s="160">
        <f t="shared" si="6"/>
        <v>0</v>
      </c>
      <c r="T48" s="185"/>
      <c r="U48" s="160">
        <f>COUNTIFS(sheet2!$A:$A,A48,sheet2!$E:$E,E48)</f>
        <v>1</v>
      </c>
      <c r="V48" s="160"/>
      <c r="W48" s="160"/>
      <c r="X48" s="160" t="str">
        <f t="shared" si="7"/>
        <v>#N/A</v>
      </c>
      <c r="Y48" s="160" t="str">
        <f t="shared" si="8"/>
        <v>#N/A</v>
      </c>
      <c r="Z48" s="160" t="str">
        <f t="shared" si="9"/>
        <v>#N/A</v>
      </c>
      <c r="AA48" s="160"/>
      <c r="AB48" s="160"/>
      <c r="AC48" s="160"/>
      <c r="AD48" s="160"/>
      <c r="AE48" s="160"/>
      <c r="AF48" s="160"/>
      <c r="AG48" s="160"/>
      <c r="AH48" s="160"/>
      <c r="AI48" s="160"/>
      <c r="AJ48" s="160"/>
      <c r="AK48" s="160"/>
      <c r="AL48" s="160"/>
      <c r="AM48" s="160"/>
      <c r="AN48" s="164"/>
      <c r="AO48" s="161" t="str">
        <f>IFERROR(__xludf.DUMMYFUNCTION("""COMPUTED_VALUE"""),"193470")</f>
        <v>193470</v>
      </c>
      <c r="AP48" s="160" t="str">
        <f t="shared" si="10"/>
        <v>DEV</v>
      </c>
      <c r="AQ48" s="160" t="str">
        <f t="shared" si="11"/>
        <v>DEV, TA</v>
      </c>
      <c r="AR48" s="160" t="str">
        <f t="shared" si="12"/>
        <v>ONC</v>
      </c>
      <c r="AS48" s="160"/>
      <c r="AT48" s="160"/>
      <c r="AU48" s="160"/>
      <c r="AV48" s="160"/>
      <c r="AW48" s="160"/>
      <c r="AX48" s="160"/>
      <c r="AY48" s="160"/>
      <c r="AZ48" s="160"/>
      <c r="BA48" s="160"/>
      <c r="BB48" s="160"/>
      <c r="BC48" s="160"/>
      <c r="BD48" s="160"/>
      <c r="BE48" s="160"/>
      <c r="BF48" s="160"/>
      <c r="BG48" s="160"/>
      <c r="BH48" s="160"/>
      <c r="BI48" s="160"/>
      <c r="BJ48" s="160"/>
      <c r="BK48" s="160"/>
      <c r="BL48" s="160"/>
      <c r="BM48" s="160"/>
      <c r="BN48" s="160"/>
      <c r="BO48" s="160"/>
      <c r="BP48" s="160"/>
      <c r="BQ48" s="160"/>
      <c r="BR48" s="160"/>
      <c r="BS48" s="160"/>
      <c r="BT48" s="160"/>
      <c r="BU48" s="160"/>
      <c r="BV48" s="160"/>
      <c r="BW48" s="160"/>
      <c r="BX48" s="160"/>
      <c r="BY48" s="160"/>
      <c r="BZ48" s="160"/>
      <c r="CA48" s="160"/>
      <c r="CB48" s="160"/>
      <c r="CC48" s="160"/>
      <c r="CD48" s="160"/>
      <c r="CE48" s="160"/>
      <c r="CF48" s="160"/>
      <c r="CG48" s="160"/>
      <c r="CH48" s="160"/>
      <c r="CI48" s="160"/>
      <c r="CJ48" s="160"/>
      <c r="CK48" s="160"/>
      <c r="CL48" s="160"/>
    </row>
    <row r="49">
      <c r="A49" s="166" t="s">
        <v>304</v>
      </c>
      <c r="B49" s="167" t="s">
        <v>305</v>
      </c>
      <c r="C49" s="168" t="s">
        <v>56</v>
      </c>
      <c r="D49" s="169" t="str">
        <f>IFERROR(VLOOKUP(C49, PIC!A:B, 2, 0), "")</f>
        <v>Duc Nguyen</v>
      </c>
      <c r="E49" s="167" t="s">
        <v>22</v>
      </c>
      <c r="F49" s="16" t="s">
        <v>845</v>
      </c>
      <c r="G49" s="16" t="s">
        <v>858</v>
      </c>
      <c r="H49" s="170">
        <f>IFERROR(
  MINIFS(ATTENDANCE_LOG!$F:$F,
         ATTENDANCE_LOG!$A:$A, C49,
         ATTENDANCE_LOG!$B:$B, E49),
"")</f>
        <v>45637.41667</v>
      </c>
      <c r="I49" s="170">
        <f t="shared" si="2"/>
        <v>45637.41667</v>
      </c>
      <c r="J49" s="11">
        <f>IFERROR(VLOOKUP(F49, LEVEL_HELPER!$A:$B, 2, 0), "")</f>
        <v>2.5</v>
      </c>
      <c r="K49" s="11">
        <f>IFERROR(VLOOKUP(G49, LEVEL_HELPER!$A:$B, 2, 0), "")</f>
        <v>4.5</v>
      </c>
      <c r="L49" s="171" t="s">
        <v>400</v>
      </c>
      <c r="M49" s="171" t="s">
        <v>150</v>
      </c>
      <c r="N49" s="11">
        <f t="array" ref="N49">IFERROR(
  INDEX($J$2:$J$531,
    MATCH(A49&amp;TEXT(I49,"yyyy-mm-dd"),
          $A$2:$A$531&amp;TEXT($H$2:$H$531,"yyyy-mm-dd"),
          0)),
"")</f>
        <v>2.5</v>
      </c>
      <c r="O49" s="160">
        <f t="shared" si="3"/>
        <v>5.5</v>
      </c>
      <c r="P49" s="160">
        <f t="shared" ref="P49:Q49" si="59">IF(N49="",0,IF(N49&lt;=2,1,IF(N49&lt;=4,2,IF(N49&lt;=5.5,3,4))))</f>
        <v>2</v>
      </c>
      <c r="Q49" s="160">
        <f t="shared" si="59"/>
        <v>3</v>
      </c>
      <c r="R49" s="160" t="str">
        <f t="shared" si="5"/>
        <v>Lv2 → Lv3</v>
      </c>
      <c r="S49" s="160">
        <f t="shared" si="6"/>
        <v>1</v>
      </c>
      <c r="T49" s="172" t="s">
        <v>894</v>
      </c>
      <c r="U49" s="160">
        <f>COUNTIFS(sheet2!$A:$A,A49,sheet2!$E:$E,E49)</f>
        <v>1</v>
      </c>
      <c r="V49" s="160"/>
      <c r="W49" s="160"/>
      <c r="X49" s="160" t="str">
        <f t="shared" si="7"/>
        <v>#N/A</v>
      </c>
      <c r="Y49" s="160" t="str">
        <f t="shared" si="8"/>
        <v>#N/A</v>
      </c>
      <c r="Z49" s="160" t="str">
        <f t="shared" si="9"/>
        <v>#N/A</v>
      </c>
      <c r="AA49" s="160"/>
      <c r="AB49" s="160"/>
      <c r="AC49" s="160"/>
      <c r="AD49" s="160"/>
      <c r="AE49" s="160"/>
      <c r="AF49" s="160"/>
      <c r="AG49" s="160"/>
      <c r="AH49" s="160"/>
      <c r="AI49" s="160"/>
      <c r="AJ49" s="160"/>
      <c r="AK49" s="160"/>
      <c r="AL49" s="160"/>
      <c r="AM49" s="160"/>
      <c r="AN49" s="164"/>
      <c r="AO49" s="161" t="str">
        <f>IFERROR(__xludf.DUMMYFUNCTION("""COMPUTED_VALUE"""),"153138")</f>
        <v>153138</v>
      </c>
      <c r="AP49" s="160" t="str">
        <f t="shared" si="10"/>
        <v>DEV</v>
      </c>
      <c r="AQ49" s="160" t="str">
        <f t="shared" si="11"/>
        <v>DEV, TA</v>
      </c>
      <c r="AR49" s="160" t="str">
        <f t="shared" si="12"/>
        <v>ONC</v>
      </c>
      <c r="AS49" s="160"/>
      <c r="AT49" s="160"/>
      <c r="AU49" s="160"/>
      <c r="AV49" s="160"/>
      <c r="AW49" s="160"/>
      <c r="AX49" s="160"/>
      <c r="AY49" s="160"/>
      <c r="AZ49" s="160"/>
      <c r="BA49" s="160"/>
      <c r="BB49" s="160"/>
      <c r="BC49" s="160"/>
      <c r="BD49" s="160"/>
      <c r="BE49" s="160"/>
      <c r="BF49" s="160"/>
      <c r="BG49" s="160"/>
      <c r="BH49" s="160"/>
      <c r="BI49" s="160"/>
      <c r="BJ49" s="160"/>
      <c r="BK49" s="160"/>
      <c r="BL49" s="160"/>
      <c r="BM49" s="160"/>
      <c r="BN49" s="160"/>
      <c r="BO49" s="160"/>
      <c r="BP49" s="160"/>
      <c r="BQ49" s="160"/>
      <c r="BR49" s="160"/>
      <c r="BS49" s="160"/>
      <c r="BT49" s="160"/>
      <c r="BU49" s="160"/>
      <c r="BV49" s="160"/>
      <c r="BW49" s="160"/>
      <c r="BX49" s="160"/>
      <c r="BY49" s="160"/>
      <c r="BZ49" s="160"/>
      <c r="CA49" s="160"/>
      <c r="CB49" s="160"/>
      <c r="CC49" s="160"/>
      <c r="CD49" s="160"/>
      <c r="CE49" s="160"/>
      <c r="CF49" s="160"/>
      <c r="CG49" s="160"/>
      <c r="CH49" s="160"/>
      <c r="CI49" s="160"/>
      <c r="CJ49" s="160"/>
      <c r="CK49" s="160"/>
      <c r="CL49" s="160"/>
    </row>
    <row r="50">
      <c r="A50" s="174" t="s">
        <v>300</v>
      </c>
      <c r="B50" s="11" t="s">
        <v>301</v>
      </c>
      <c r="C50" s="175" t="s">
        <v>56</v>
      </c>
      <c r="D50" s="176" t="str">
        <f>IFERROR(VLOOKUP(C50, PIC!A:B, 2, 0), "")</f>
        <v>Duc Nguyen</v>
      </c>
      <c r="E50" s="11" t="s">
        <v>22</v>
      </c>
      <c r="F50" s="16" t="s">
        <v>849</v>
      </c>
      <c r="G50" s="16" t="s">
        <v>853</v>
      </c>
      <c r="H50" s="170">
        <f>IFERROR(
  MINIFS(ATTENDANCE_LOG!$F:$F,
         ATTENDANCE_LOG!$A:$A, C50,
         ATTENDANCE_LOG!$B:$B, E50),
"")</f>
        <v>45637.41667</v>
      </c>
      <c r="I50" s="170">
        <f t="shared" si="2"/>
        <v>45637.41667</v>
      </c>
      <c r="J50" s="11">
        <f>IFERROR(VLOOKUP(F50, LEVEL_HELPER!$A:$B, 2, 0), "")</f>
        <v>1</v>
      </c>
      <c r="K50" s="11">
        <f>IFERROR(VLOOKUP(G50, LEVEL_HELPER!$A:$B, 2, 0), "")</f>
        <v>1.5</v>
      </c>
      <c r="L50" s="171" t="s">
        <v>857</v>
      </c>
      <c r="M50" s="171" t="s">
        <v>150</v>
      </c>
      <c r="N50" s="11">
        <f t="array" ref="N50">IFERROR(
  INDEX($J$2:$J$531,
    MATCH(A50&amp;TEXT(I50,"yyyy-mm-dd"),
          $A$2:$A$531&amp;TEXT($H$2:$H$531,"yyyy-mm-dd"),
          0)),
"")</f>
        <v>1</v>
      </c>
      <c r="O50" s="160">
        <f t="shared" si="3"/>
        <v>3</v>
      </c>
      <c r="P50" s="160">
        <f t="shared" ref="P50:Q50" si="60">IF(N50="",0,IF(N50&lt;=2,1,IF(N50&lt;=4,2,IF(N50&lt;=5.5,3,4))))</f>
        <v>1</v>
      </c>
      <c r="Q50" s="160">
        <f t="shared" si="60"/>
        <v>2</v>
      </c>
      <c r="R50" s="160" t="str">
        <f t="shared" si="5"/>
        <v>Lv1 → Lv2</v>
      </c>
      <c r="S50" s="160">
        <f t="shared" si="6"/>
        <v>1</v>
      </c>
      <c r="T50" s="177" t="s">
        <v>895</v>
      </c>
      <c r="U50" s="160">
        <f>COUNTIFS(sheet2!$A:$A,A50,sheet2!$E:$E,E50)</f>
        <v>1</v>
      </c>
      <c r="V50" s="160"/>
      <c r="W50" s="160"/>
      <c r="X50" s="160" t="str">
        <f t="shared" si="7"/>
        <v>#N/A</v>
      </c>
      <c r="Y50" s="160" t="str">
        <f t="shared" si="8"/>
        <v>#N/A</v>
      </c>
      <c r="Z50" s="160" t="str">
        <f t="shared" si="9"/>
        <v>#N/A</v>
      </c>
      <c r="AA50" s="160"/>
      <c r="AB50" s="160"/>
      <c r="AC50" s="160"/>
      <c r="AD50" s="160"/>
      <c r="AE50" s="160"/>
      <c r="AF50" s="160"/>
      <c r="AG50" s="160"/>
      <c r="AH50" s="160"/>
      <c r="AI50" s="160"/>
      <c r="AJ50" s="160"/>
      <c r="AK50" s="160"/>
      <c r="AL50" s="160"/>
      <c r="AM50" s="160"/>
      <c r="AN50" s="164"/>
      <c r="AO50" s="161" t="str">
        <f>IFERROR(__xludf.DUMMYFUNCTION("""COMPUTED_VALUE"""),"193522")</f>
        <v>193522</v>
      </c>
      <c r="AP50" s="160" t="str">
        <f t="shared" si="10"/>
        <v>DEV</v>
      </c>
      <c r="AQ50" s="160" t="str">
        <f t="shared" si="11"/>
        <v>DEV, TA</v>
      </c>
      <c r="AR50" s="160" t="str">
        <f t="shared" si="12"/>
        <v>ONC</v>
      </c>
      <c r="AS50" s="160"/>
      <c r="AT50" s="160"/>
      <c r="AU50" s="160"/>
      <c r="AV50" s="160"/>
      <c r="AW50" s="160"/>
      <c r="AX50" s="160"/>
      <c r="AY50" s="160"/>
      <c r="AZ50" s="160"/>
      <c r="BA50" s="160"/>
      <c r="BB50" s="160"/>
      <c r="BC50" s="160"/>
      <c r="BD50" s="160"/>
      <c r="BE50" s="160"/>
      <c r="BF50" s="160"/>
      <c r="BG50" s="160"/>
      <c r="BH50" s="160"/>
      <c r="BI50" s="160"/>
      <c r="BJ50" s="160"/>
      <c r="BK50" s="160"/>
      <c r="BL50" s="160"/>
      <c r="BM50" s="160"/>
      <c r="BN50" s="160"/>
      <c r="BO50" s="160"/>
      <c r="BP50" s="160"/>
      <c r="BQ50" s="160"/>
      <c r="BR50" s="160"/>
      <c r="BS50" s="160"/>
      <c r="BT50" s="160"/>
      <c r="BU50" s="160"/>
      <c r="BV50" s="160"/>
      <c r="BW50" s="160"/>
      <c r="BX50" s="160"/>
      <c r="BY50" s="160"/>
      <c r="BZ50" s="160"/>
      <c r="CA50" s="160"/>
      <c r="CB50" s="160"/>
      <c r="CC50" s="160"/>
      <c r="CD50" s="160"/>
      <c r="CE50" s="160"/>
      <c r="CF50" s="160"/>
      <c r="CG50" s="160"/>
      <c r="CH50" s="160"/>
      <c r="CI50" s="160"/>
      <c r="CJ50" s="160"/>
      <c r="CK50" s="160"/>
      <c r="CL50" s="160"/>
    </row>
    <row r="51">
      <c r="A51" s="174" t="s">
        <v>306</v>
      </c>
      <c r="B51" s="11" t="s">
        <v>307</v>
      </c>
      <c r="C51" s="175" t="s">
        <v>56</v>
      </c>
      <c r="D51" s="176" t="str">
        <f>IFERROR(VLOOKUP(C51, PIC!A:B, 2, 0), "")</f>
        <v>Duc Nguyen</v>
      </c>
      <c r="E51" s="11" t="s">
        <v>22</v>
      </c>
      <c r="F51" s="16" t="s">
        <v>845</v>
      </c>
      <c r="G51" s="16" t="s">
        <v>853</v>
      </c>
      <c r="H51" s="170">
        <f>IFERROR(
  MINIFS(ATTENDANCE_LOG!$F:$F,
         ATTENDANCE_LOG!$A:$A, C51,
         ATTENDANCE_LOG!$B:$B, E51),
"")</f>
        <v>45637.41667</v>
      </c>
      <c r="I51" s="170">
        <f t="shared" si="2"/>
        <v>45637.41667</v>
      </c>
      <c r="J51" s="11">
        <f>IFERROR(VLOOKUP(F51, LEVEL_HELPER!$A:$B, 2, 0), "")</f>
        <v>2.5</v>
      </c>
      <c r="K51" s="11">
        <f>IFERROR(VLOOKUP(G51, LEVEL_HELPER!$A:$B, 2, 0), "")</f>
        <v>1.5</v>
      </c>
      <c r="L51" s="171" t="s">
        <v>857</v>
      </c>
      <c r="M51" s="171" t="s">
        <v>150</v>
      </c>
      <c r="N51" s="11">
        <f t="array" ref="N51">IFERROR(
  INDEX($J$2:$J$531,
    MATCH(A51&amp;TEXT(I51,"yyyy-mm-dd"),
          $A$2:$A$531&amp;TEXT($H$2:$H$531,"yyyy-mm-dd"),
          0)),
"")</f>
        <v>2.5</v>
      </c>
      <c r="O51" s="160">
        <f t="shared" si="3"/>
        <v>5</v>
      </c>
      <c r="P51" s="160">
        <f t="shared" ref="P51:Q51" si="61">IF(N51="",0,IF(N51&lt;=2,1,IF(N51&lt;=4,2,IF(N51&lt;=5.5,3,4))))</f>
        <v>2</v>
      </c>
      <c r="Q51" s="160">
        <f t="shared" si="61"/>
        <v>3</v>
      </c>
      <c r="R51" s="160" t="str">
        <f t="shared" si="5"/>
        <v>Lv2 → Lv3</v>
      </c>
      <c r="S51" s="160">
        <f t="shared" si="6"/>
        <v>1</v>
      </c>
      <c r="T51" s="177" t="s">
        <v>896</v>
      </c>
      <c r="U51" s="160">
        <f>COUNTIFS(sheet2!$A:$A,A51,sheet2!$E:$E,E51)</f>
        <v>1</v>
      </c>
      <c r="V51" s="160"/>
      <c r="W51" s="160"/>
      <c r="X51" s="160" t="str">
        <f t="shared" si="7"/>
        <v>#N/A</v>
      </c>
      <c r="Y51" s="160" t="str">
        <f t="shared" si="8"/>
        <v>#N/A</v>
      </c>
      <c r="Z51" s="160" t="str">
        <f t="shared" si="9"/>
        <v>#N/A</v>
      </c>
      <c r="AA51" s="160"/>
      <c r="AB51" s="160"/>
      <c r="AC51" s="160"/>
      <c r="AD51" s="160"/>
      <c r="AE51" s="160"/>
      <c r="AF51" s="160"/>
      <c r="AG51" s="160"/>
      <c r="AH51" s="160"/>
      <c r="AI51" s="160"/>
      <c r="AJ51" s="160"/>
      <c r="AK51" s="160"/>
      <c r="AL51" s="160"/>
      <c r="AM51" s="160"/>
      <c r="AN51" s="164"/>
      <c r="AO51" s="161" t="str">
        <f>IFERROR(__xludf.DUMMYFUNCTION("""COMPUTED_VALUE"""),"237070")</f>
        <v>237070</v>
      </c>
      <c r="AP51" s="160" t="str">
        <f t="shared" si="10"/>
        <v>DEV</v>
      </c>
      <c r="AQ51" s="160" t="str">
        <f t="shared" si="11"/>
        <v>DEV, TA</v>
      </c>
      <c r="AR51" s="160" t="str">
        <f t="shared" si="12"/>
        <v>ONC</v>
      </c>
      <c r="AS51" s="160"/>
      <c r="AT51" s="160"/>
      <c r="AU51" s="160"/>
      <c r="AV51" s="160"/>
      <c r="AW51" s="160"/>
      <c r="AX51" s="160"/>
      <c r="AY51" s="160"/>
      <c r="AZ51" s="160"/>
      <c r="BA51" s="160"/>
      <c r="BB51" s="160"/>
      <c r="BC51" s="160"/>
      <c r="BD51" s="160"/>
      <c r="BE51" s="160"/>
      <c r="BF51" s="160"/>
      <c r="BG51" s="160"/>
      <c r="BH51" s="160"/>
      <c r="BI51" s="160"/>
      <c r="BJ51" s="160"/>
      <c r="BK51" s="160"/>
      <c r="BL51" s="160"/>
      <c r="BM51" s="160"/>
      <c r="BN51" s="160"/>
      <c r="BO51" s="160"/>
      <c r="BP51" s="160"/>
      <c r="BQ51" s="160"/>
      <c r="BR51" s="160"/>
      <c r="BS51" s="160"/>
      <c r="BT51" s="160"/>
      <c r="BU51" s="160"/>
      <c r="BV51" s="160"/>
      <c r="BW51" s="160"/>
      <c r="BX51" s="160"/>
      <c r="BY51" s="160"/>
      <c r="BZ51" s="160"/>
      <c r="CA51" s="160"/>
      <c r="CB51" s="160"/>
      <c r="CC51" s="160"/>
      <c r="CD51" s="160"/>
      <c r="CE51" s="160"/>
      <c r="CF51" s="160"/>
      <c r="CG51" s="160"/>
      <c r="CH51" s="160"/>
      <c r="CI51" s="160"/>
      <c r="CJ51" s="160"/>
      <c r="CK51" s="160"/>
      <c r="CL51" s="160"/>
    </row>
    <row r="52">
      <c r="A52" s="174" t="s">
        <v>272</v>
      </c>
      <c r="B52" s="11" t="s">
        <v>273</v>
      </c>
      <c r="C52" s="175" t="s">
        <v>56</v>
      </c>
      <c r="D52" s="176" t="str">
        <f>IFERROR(VLOOKUP(C52, PIC!A:B, 2, 0), "")</f>
        <v>Duc Nguyen</v>
      </c>
      <c r="E52" s="11" t="s">
        <v>22</v>
      </c>
      <c r="F52" s="11"/>
      <c r="G52" s="11"/>
      <c r="H52" s="170">
        <f>IFERROR(
  MINIFS(ATTENDANCE_LOG!$F:$F,
         ATTENDANCE_LOG!$A:$A, C52,
         ATTENDANCE_LOG!$B:$B, E52),
"")</f>
        <v>45637.41667</v>
      </c>
      <c r="I52" s="170">
        <f t="shared" si="2"/>
        <v>45637.41667</v>
      </c>
      <c r="J52" s="11" t="str">
        <f>IFERROR(VLOOKUP(F52, LEVEL_HELPER!$A:$B, 2, 0), "")</f>
        <v/>
      </c>
      <c r="K52" s="11" t="str">
        <f>IFERROR(VLOOKUP(G52, LEVEL_HELPER!$A:$B, 2, 0), "")</f>
        <v/>
      </c>
      <c r="L52" s="171" t="s">
        <v>857</v>
      </c>
      <c r="M52" s="171" t="s">
        <v>152</v>
      </c>
      <c r="N52" s="11" t="str">
        <f t="array" ref="N52">IFERROR(
  INDEX($J$2:$J$531,
    MATCH(A52&amp;TEXT(I52,"yyyy-mm-dd"),
          $A$2:$A$531&amp;TEXT($H$2:$H$531,"yyyy-mm-dd"),
          0)),
"")</f>
        <v/>
      </c>
      <c r="O52" s="160">
        <f t="shared" si="3"/>
        <v>0</v>
      </c>
      <c r="P52" s="160">
        <f t="shared" ref="P52:Q52" si="62">IF(N52="",0,IF(N52&lt;=2,1,IF(N52&lt;=4,2,IF(N52&lt;=5.5,3,4))))</f>
        <v>0</v>
      </c>
      <c r="Q52" s="160">
        <f t="shared" si="62"/>
        <v>1</v>
      </c>
      <c r="R52" s="160" t="str">
        <f t="shared" si="5"/>
        <v>Not tested yet</v>
      </c>
      <c r="S52" s="160">
        <f t="shared" si="6"/>
        <v>1</v>
      </c>
      <c r="T52" s="185"/>
      <c r="U52" s="160">
        <f>COUNTIFS(sheet2!$A:$A,A52,sheet2!$E:$E,E52)</f>
        <v>1</v>
      </c>
      <c r="V52" s="160"/>
      <c r="W52" s="160"/>
      <c r="X52" s="160" t="str">
        <f t="shared" si="7"/>
        <v>#N/A</v>
      </c>
      <c r="Y52" s="160" t="str">
        <f t="shared" si="8"/>
        <v>#N/A</v>
      </c>
      <c r="Z52" s="160" t="str">
        <f t="shared" si="9"/>
        <v>#N/A</v>
      </c>
      <c r="AA52" s="160"/>
      <c r="AB52" s="160"/>
      <c r="AC52" s="160"/>
      <c r="AD52" s="160"/>
      <c r="AE52" s="160"/>
      <c r="AF52" s="160"/>
      <c r="AG52" s="160"/>
      <c r="AH52" s="160"/>
      <c r="AI52" s="160"/>
      <c r="AJ52" s="160"/>
      <c r="AK52" s="160"/>
      <c r="AL52" s="160"/>
      <c r="AM52" s="160"/>
      <c r="AN52" s="164"/>
      <c r="AO52" s="161" t="str">
        <f>IFERROR(__xludf.DUMMYFUNCTION("""COMPUTED_VALUE"""),"203757")</f>
        <v>203757</v>
      </c>
      <c r="AP52" s="160" t="str">
        <f t="shared" si="10"/>
        <v>DEV</v>
      </c>
      <c r="AQ52" s="160" t="str">
        <f t="shared" si="11"/>
        <v>DEV, TA</v>
      </c>
      <c r="AR52" s="160" t="str">
        <f t="shared" si="12"/>
        <v>ONC</v>
      </c>
      <c r="AS52" s="160"/>
      <c r="AT52" s="160"/>
      <c r="AU52" s="160"/>
      <c r="AV52" s="160"/>
      <c r="AW52" s="160"/>
      <c r="AX52" s="160"/>
      <c r="AY52" s="160"/>
      <c r="AZ52" s="160"/>
      <c r="BA52" s="160"/>
      <c r="BB52" s="160"/>
      <c r="BC52" s="160"/>
      <c r="BD52" s="160"/>
      <c r="BE52" s="160"/>
      <c r="BF52" s="160"/>
      <c r="BG52" s="160"/>
      <c r="BH52" s="160"/>
      <c r="BI52" s="160"/>
      <c r="BJ52" s="160"/>
      <c r="BK52" s="160"/>
      <c r="BL52" s="160"/>
      <c r="BM52" s="160"/>
      <c r="BN52" s="160"/>
      <c r="BO52" s="160"/>
      <c r="BP52" s="160"/>
      <c r="BQ52" s="160"/>
      <c r="BR52" s="160"/>
      <c r="BS52" s="160"/>
      <c r="BT52" s="160"/>
      <c r="BU52" s="160"/>
      <c r="BV52" s="160"/>
      <c r="BW52" s="160"/>
      <c r="BX52" s="160"/>
      <c r="BY52" s="160"/>
      <c r="BZ52" s="160"/>
      <c r="CA52" s="160"/>
      <c r="CB52" s="160"/>
      <c r="CC52" s="160"/>
      <c r="CD52" s="160"/>
      <c r="CE52" s="160"/>
      <c r="CF52" s="160"/>
      <c r="CG52" s="160"/>
      <c r="CH52" s="160"/>
      <c r="CI52" s="160"/>
      <c r="CJ52" s="160"/>
      <c r="CK52" s="160"/>
      <c r="CL52" s="160"/>
    </row>
    <row r="53">
      <c r="A53" s="174" t="s">
        <v>312</v>
      </c>
      <c r="B53" s="11" t="s">
        <v>313</v>
      </c>
      <c r="C53" s="175" t="s">
        <v>56</v>
      </c>
      <c r="D53" s="176" t="str">
        <f>IFERROR(VLOOKUP(C53, PIC!A:B, 2, 0), "")</f>
        <v>Duc Nguyen</v>
      </c>
      <c r="E53" s="11" t="s">
        <v>22</v>
      </c>
      <c r="F53" s="16" t="s">
        <v>858</v>
      </c>
      <c r="G53" s="16" t="s">
        <v>858</v>
      </c>
      <c r="H53" s="170">
        <f>IFERROR(
  MINIFS(ATTENDANCE_LOG!$F:$F,
         ATTENDANCE_LOG!$A:$A, C53,
         ATTENDANCE_LOG!$B:$B, E53),
"")</f>
        <v>45637.41667</v>
      </c>
      <c r="I53" s="170">
        <f t="shared" si="2"/>
        <v>45637.41667</v>
      </c>
      <c r="J53" s="11">
        <f>IFERROR(VLOOKUP(F53, LEVEL_HELPER!$A:$B, 2, 0), "")</f>
        <v>4.5</v>
      </c>
      <c r="K53" s="11">
        <f>IFERROR(VLOOKUP(G53, LEVEL_HELPER!$A:$B, 2, 0), "")</f>
        <v>4.5</v>
      </c>
      <c r="L53" s="171" t="s">
        <v>857</v>
      </c>
      <c r="M53" s="171" t="s">
        <v>150</v>
      </c>
      <c r="N53" s="11">
        <f t="array" ref="N53">IFERROR(
  INDEX($J$2:$J$531,
    MATCH(A53&amp;TEXT(I53,"yyyy-mm-dd"),
          $A$2:$A$531&amp;TEXT($H$2:$H$531,"yyyy-mm-dd"),
          0)),
"")</f>
        <v>4.5</v>
      </c>
      <c r="O53" s="160">
        <f t="shared" si="3"/>
        <v>5</v>
      </c>
      <c r="P53" s="160">
        <f t="shared" ref="P53:Q53" si="63">IF(N53="",0,IF(N53&lt;=2,1,IF(N53&lt;=4,2,IF(N53&lt;=5.5,3,4))))</f>
        <v>3</v>
      </c>
      <c r="Q53" s="160">
        <f t="shared" si="63"/>
        <v>3</v>
      </c>
      <c r="R53" s="160" t="str">
        <f t="shared" si="5"/>
        <v>Progress within level</v>
      </c>
      <c r="S53" s="160">
        <f t="shared" si="6"/>
        <v>1</v>
      </c>
      <c r="T53" s="177" t="s">
        <v>897</v>
      </c>
      <c r="U53" s="160">
        <f>COUNTIFS(sheet2!$A:$A,A53,sheet2!$E:$E,E53)</f>
        <v>1</v>
      </c>
      <c r="V53" s="160"/>
      <c r="W53" s="160"/>
      <c r="X53" s="160" t="str">
        <f t="shared" si="7"/>
        <v>#N/A</v>
      </c>
      <c r="Y53" s="160" t="str">
        <f t="shared" si="8"/>
        <v>#N/A</v>
      </c>
      <c r="Z53" s="160" t="str">
        <f t="shared" si="9"/>
        <v>#N/A</v>
      </c>
      <c r="AA53" s="160"/>
      <c r="AB53" s="160"/>
      <c r="AC53" s="160"/>
      <c r="AD53" s="160"/>
      <c r="AE53" s="160"/>
      <c r="AF53" s="160"/>
      <c r="AG53" s="160"/>
      <c r="AH53" s="160"/>
      <c r="AI53" s="160"/>
      <c r="AJ53" s="160"/>
      <c r="AK53" s="160"/>
      <c r="AL53" s="160"/>
      <c r="AM53" s="160"/>
      <c r="AN53" s="164"/>
      <c r="AO53" s="161" t="str">
        <f>IFERROR(__xludf.DUMMYFUNCTION("""COMPUTED_VALUE"""),"213911")</f>
        <v>213911</v>
      </c>
      <c r="AP53" s="160" t="str">
        <f t="shared" si="10"/>
        <v>DEV</v>
      </c>
      <c r="AQ53" s="160" t="str">
        <f t="shared" si="11"/>
        <v>DEV, TA</v>
      </c>
      <c r="AR53" s="160" t="str">
        <f t="shared" si="12"/>
        <v>ONC</v>
      </c>
      <c r="AS53" s="160"/>
      <c r="AT53" s="160"/>
      <c r="AU53" s="160"/>
      <c r="AV53" s="160"/>
      <c r="AW53" s="160"/>
      <c r="AX53" s="160"/>
      <c r="AY53" s="160"/>
      <c r="AZ53" s="160"/>
      <c r="BA53" s="160"/>
      <c r="BB53" s="160"/>
      <c r="BC53" s="160"/>
      <c r="BD53" s="160"/>
      <c r="BE53" s="160"/>
      <c r="BF53" s="160"/>
      <c r="BG53" s="160"/>
      <c r="BH53" s="160"/>
      <c r="BI53" s="160"/>
      <c r="BJ53" s="160"/>
      <c r="BK53" s="160"/>
      <c r="BL53" s="160"/>
      <c r="BM53" s="160"/>
      <c r="BN53" s="160"/>
      <c r="BO53" s="160"/>
      <c r="BP53" s="160"/>
      <c r="BQ53" s="160"/>
      <c r="BR53" s="160"/>
      <c r="BS53" s="160"/>
      <c r="BT53" s="160"/>
      <c r="BU53" s="160"/>
      <c r="BV53" s="160"/>
      <c r="BW53" s="160"/>
      <c r="BX53" s="160"/>
      <c r="BY53" s="160"/>
      <c r="BZ53" s="160"/>
      <c r="CA53" s="160"/>
      <c r="CB53" s="160"/>
      <c r="CC53" s="160"/>
      <c r="CD53" s="160"/>
      <c r="CE53" s="160"/>
      <c r="CF53" s="160"/>
      <c r="CG53" s="160"/>
      <c r="CH53" s="160"/>
      <c r="CI53" s="160"/>
      <c r="CJ53" s="160"/>
      <c r="CK53" s="160"/>
      <c r="CL53" s="160"/>
    </row>
    <row r="54">
      <c r="A54" s="166" t="s">
        <v>267</v>
      </c>
      <c r="B54" s="167" t="s">
        <v>268</v>
      </c>
      <c r="C54" s="168" t="s">
        <v>57</v>
      </c>
      <c r="D54" s="169" t="str">
        <f>IFERROR(VLOOKUP(C54, PIC!A:B, 2, 0), "")</f>
        <v>Dat Nguyen</v>
      </c>
      <c r="E54" s="167" t="s">
        <v>22</v>
      </c>
      <c r="F54" s="16" t="s">
        <v>858</v>
      </c>
      <c r="G54" s="16" t="s">
        <v>858</v>
      </c>
      <c r="H54" s="170">
        <f>IFERROR(
  MINIFS(ATTENDANCE_LOG!$F:$F,
         ATTENDANCE_LOG!$A:$A, C54,
         ATTENDANCE_LOG!$B:$B, E54),
"")</f>
        <v>45639.41667</v>
      </c>
      <c r="I54" s="170">
        <f t="shared" si="2"/>
        <v>45639.41667</v>
      </c>
      <c r="J54" s="11">
        <f>IFERROR(VLOOKUP(F54, LEVEL_HELPER!$A:$B, 2, 0), "")</f>
        <v>4.5</v>
      </c>
      <c r="K54" s="11">
        <f>IFERROR(VLOOKUP(G54, LEVEL_HELPER!$A:$B, 2, 0), "")</f>
        <v>4.5</v>
      </c>
      <c r="L54" s="171" t="s">
        <v>400</v>
      </c>
      <c r="M54" s="171" t="s">
        <v>150</v>
      </c>
      <c r="N54" s="11">
        <f t="array" ref="N54">IFERROR(
  INDEX($J$2:$J$531,
    MATCH(A54&amp;TEXT(I54,"yyyy-mm-dd"),
          $A$2:$A$531&amp;TEXT($H$2:$H$531,"yyyy-mm-dd"),
          0)),
"")</f>
        <v>4.5</v>
      </c>
      <c r="O54" s="160">
        <f t="shared" si="3"/>
        <v>4.5</v>
      </c>
      <c r="P54" s="160">
        <f t="shared" ref="P54:Q54" si="64">IF(N54="",0,IF(N54&lt;=2,1,IF(N54&lt;=4,2,IF(N54&lt;=5.5,3,4))))</f>
        <v>3</v>
      </c>
      <c r="Q54" s="160">
        <f t="shared" si="64"/>
        <v>3</v>
      </c>
      <c r="R54" s="160" t="str">
        <f t="shared" si="5"/>
        <v>No Progress</v>
      </c>
      <c r="S54" s="160">
        <f t="shared" si="6"/>
        <v>1</v>
      </c>
      <c r="T54" s="172" t="s">
        <v>898</v>
      </c>
      <c r="U54" s="160">
        <f>COUNTIFS(sheet2!$A:$A,A54,sheet2!$E:$E,E54)</f>
        <v>1</v>
      </c>
      <c r="V54" s="160"/>
      <c r="W54" s="160"/>
      <c r="X54" s="160" t="str">
        <f t="shared" si="7"/>
        <v>#N/A</v>
      </c>
      <c r="Y54" s="160" t="str">
        <f t="shared" si="8"/>
        <v>#N/A</v>
      </c>
      <c r="Z54" s="160" t="str">
        <f t="shared" si="9"/>
        <v>#N/A</v>
      </c>
      <c r="AA54" s="160"/>
      <c r="AB54" s="160"/>
      <c r="AC54" s="160"/>
      <c r="AD54" s="160"/>
      <c r="AE54" s="160"/>
      <c r="AF54" s="160"/>
      <c r="AG54" s="160"/>
      <c r="AH54" s="160"/>
      <c r="AI54" s="160"/>
      <c r="AJ54" s="160"/>
      <c r="AK54" s="160"/>
      <c r="AL54" s="160"/>
      <c r="AM54" s="160"/>
      <c r="AN54" s="164"/>
      <c r="AO54" s="161" t="str">
        <f>IFERROR(__xludf.DUMMYFUNCTION("""COMPUTED_VALUE"""),"203791")</f>
        <v>203791</v>
      </c>
      <c r="AP54" s="160" t="str">
        <f t="shared" si="10"/>
        <v>DEV</v>
      </c>
      <c r="AQ54" s="160" t="str">
        <f t="shared" si="11"/>
        <v>DEV, TA</v>
      </c>
      <c r="AR54" s="160" t="str">
        <f t="shared" si="12"/>
        <v>ONC</v>
      </c>
      <c r="AS54" s="160"/>
      <c r="AT54" s="160"/>
      <c r="AU54" s="160"/>
      <c r="AV54" s="160"/>
      <c r="AW54" s="160"/>
      <c r="AX54" s="160"/>
      <c r="AY54" s="160"/>
      <c r="AZ54" s="160"/>
      <c r="BA54" s="160"/>
      <c r="BB54" s="160"/>
      <c r="BC54" s="160"/>
      <c r="BD54" s="160"/>
      <c r="BE54" s="160"/>
      <c r="BF54" s="160"/>
      <c r="BG54" s="160"/>
      <c r="BH54" s="160"/>
      <c r="BI54" s="160"/>
      <c r="BJ54" s="160"/>
      <c r="BK54" s="160"/>
      <c r="BL54" s="160"/>
      <c r="BM54" s="160"/>
      <c r="BN54" s="160"/>
      <c r="BO54" s="160"/>
      <c r="BP54" s="160"/>
      <c r="BQ54" s="160"/>
      <c r="BR54" s="160"/>
      <c r="BS54" s="160"/>
      <c r="BT54" s="160"/>
      <c r="BU54" s="160"/>
      <c r="BV54" s="160"/>
      <c r="BW54" s="160"/>
      <c r="BX54" s="160"/>
      <c r="BY54" s="160"/>
      <c r="BZ54" s="160"/>
      <c r="CA54" s="160"/>
      <c r="CB54" s="160"/>
      <c r="CC54" s="160"/>
      <c r="CD54" s="160"/>
      <c r="CE54" s="160"/>
      <c r="CF54" s="160"/>
      <c r="CG54" s="160"/>
      <c r="CH54" s="160"/>
      <c r="CI54" s="160"/>
      <c r="CJ54" s="160"/>
      <c r="CK54" s="160"/>
      <c r="CL54" s="160"/>
    </row>
    <row r="55">
      <c r="A55" s="174" t="s">
        <v>264</v>
      </c>
      <c r="B55" s="11" t="s">
        <v>265</v>
      </c>
      <c r="C55" s="175" t="s">
        <v>57</v>
      </c>
      <c r="D55" s="176" t="str">
        <f>IFERROR(VLOOKUP(C55, PIC!A:B, 2, 0), "")</f>
        <v>Dat Nguyen</v>
      </c>
      <c r="E55" s="11" t="s">
        <v>22</v>
      </c>
      <c r="F55" s="16" t="s">
        <v>845</v>
      </c>
      <c r="G55" s="16" t="s">
        <v>858</v>
      </c>
      <c r="H55" s="170">
        <f>IFERROR(
  MINIFS(ATTENDANCE_LOG!$F:$F,
         ATTENDANCE_LOG!$A:$A, C55,
         ATTENDANCE_LOG!$B:$B, E55),
"")</f>
        <v>45639.41667</v>
      </c>
      <c r="I55" s="170">
        <f t="shared" si="2"/>
        <v>45639.41667</v>
      </c>
      <c r="J55" s="11">
        <f>IFERROR(VLOOKUP(F55, LEVEL_HELPER!$A:$B, 2, 0), "")</f>
        <v>2.5</v>
      </c>
      <c r="K55" s="11">
        <f>IFERROR(VLOOKUP(G55, LEVEL_HELPER!$A:$B, 2, 0), "")</f>
        <v>4.5</v>
      </c>
      <c r="L55" s="171" t="s">
        <v>857</v>
      </c>
      <c r="M55" s="171" t="s">
        <v>150</v>
      </c>
      <c r="N55" s="11">
        <f t="array" ref="N55">IFERROR(
  INDEX($J$2:$J$531,
    MATCH(A55&amp;TEXT(I55,"yyyy-mm-dd"),
          $A$2:$A$531&amp;TEXT($H$2:$H$531,"yyyy-mm-dd"),
          0)),
"")</f>
        <v>2.5</v>
      </c>
      <c r="O55" s="160">
        <f t="shared" si="3"/>
        <v>4.5</v>
      </c>
      <c r="P55" s="160">
        <f t="shared" ref="P55:Q55" si="65">IF(N55="",0,IF(N55&lt;=2,1,IF(N55&lt;=4,2,IF(N55&lt;=5.5,3,4))))</f>
        <v>2</v>
      </c>
      <c r="Q55" s="160">
        <f t="shared" si="65"/>
        <v>3</v>
      </c>
      <c r="R55" s="160" t="str">
        <f t="shared" si="5"/>
        <v>Lv2 → Lv3</v>
      </c>
      <c r="S55" s="160">
        <f t="shared" si="6"/>
        <v>1</v>
      </c>
      <c r="T55" s="177" t="s">
        <v>899</v>
      </c>
      <c r="U55" s="160">
        <f>COUNTIFS(sheet2!$A:$A,A55,sheet2!$E:$E,E55)</f>
        <v>1</v>
      </c>
      <c r="V55" s="160"/>
      <c r="W55" s="160"/>
      <c r="X55" s="160" t="str">
        <f t="shared" si="7"/>
        <v>#N/A</v>
      </c>
      <c r="Y55" s="160" t="str">
        <f t="shared" si="8"/>
        <v>#N/A</v>
      </c>
      <c r="Z55" s="160" t="str">
        <f t="shared" si="9"/>
        <v>#N/A</v>
      </c>
      <c r="AA55" s="160"/>
      <c r="AB55" s="160"/>
      <c r="AC55" s="160"/>
      <c r="AD55" s="160"/>
      <c r="AE55" s="160"/>
      <c r="AF55" s="160"/>
      <c r="AG55" s="160"/>
      <c r="AH55" s="160"/>
      <c r="AI55" s="160"/>
      <c r="AJ55" s="160"/>
      <c r="AK55" s="160"/>
      <c r="AL55" s="160"/>
      <c r="AM55" s="160"/>
      <c r="AN55" s="164"/>
      <c r="AO55" s="161" t="str">
        <f>IFERROR(__xludf.DUMMYFUNCTION("""COMPUTED_VALUE"""),"237031")</f>
        <v>237031</v>
      </c>
      <c r="AP55" s="160" t="str">
        <f t="shared" si="10"/>
        <v>DEV</v>
      </c>
      <c r="AQ55" s="160" t="str">
        <f t="shared" si="11"/>
        <v>DEV, TA</v>
      </c>
      <c r="AR55" s="160" t="str">
        <f t="shared" si="12"/>
        <v>ONC</v>
      </c>
      <c r="AS55" s="160"/>
      <c r="AT55" s="160"/>
      <c r="AU55" s="160"/>
      <c r="AV55" s="160"/>
      <c r="AW55" s="160"/>
      <c r="AX55" s="160"/>
      <c r="AY55" s="160"/>
      <c r="AZ55" s="160"/>
      <c r="BA55" s="160"/>
      <c r="BB55" s="160"/>
      <c r="BC55" s="160"/>
      <c r="BD55" s="160"/>
      <c r="BE55" s="160"/>
      <c r="BF55" s="160"/>
      <c r="BG55" s="160"/>
      <c r="BH55" s="160"/>
      <c r="BI55" s="160"/>
      <c r="BJ55" s="160"/>
      <c r="BK55" s="160"/>
      <c r="BL55" s="160"/>
      <c r="BM55" s="160"/>
      <c r="BN55" s="160"/>
      <c r="BO55" s="160"/>
      <c r="BP55" s="160"/>
      <c r="BQ55" s="160"/>
      <c r="BR55" s="160"/>
      <c r="BS55" s="160"/>
      <c r="BT55" s="160"/>
      <c r="BU55" s="160"/>
      <c r="BV55" s="160"/>
      <c r="BW55" s="160"/>
      <c r="BX55" s="160"/>
      <c r="BY55" s="160"/>
      <c r="BZ55" s="160"/>
      <c r="CA55" s="160"/>
      <c r="CB55" s="160"/>
      <c r="CC55" s="160"/>
      <c r="CD55" s="160"/>
      <c r="CE55" s="160"/>
      <c r="CF55" s="160"/>
      <c r="CG55" s="160"/>
      <c r="CH55" s="160"/>
      <c r="CI55" s="160"/>
      <c r="CJ55" s="160"/>
      <c r="CK55" s="160"/>
      <c r="CL55" s="160"/>
    </row>
    <row r="56">
      <c r="A56" s="174" t="s">
        <v>421</v>
      </c>
      <c r="B56" s="11" t="s">
        <v>422</v>
      </c>
      <c r="C56" s="175" t="s">
        <v>57</v>
      </c>
      <c r="D56" s="176" t="str">
        <f>IFERROR(VLOOKUP(C56, PIC!A:B, 2, 0), "")</f>
        <v>Dat Nguyen</v>
      </c>
      <c r="E56" s="11" t="s">
        <v>22</v>
      </c>
      <c r="F56" s="16" t="s">
        <v>849</v>
      </c>
      <c r="G56" s="16" t="s">
        <v>846</v>
      </c>
      <c r="H56" s="170">
        <f>IFERROR(
  MINIFS(ATTENDANCE_LOG!$F:$F,
         ATTENDANCE_LOG!$A:$A, C56,
         ATTENDANCE_LOG!$B:$B, E56),
"")</f>
        <v>45639.41667</v>
      </c>
      <c r="I56" s="170">
        <f t="shared" si="2"/>
        <v>45639.41667</v>
      </c>
      <c r="J56" s="11">
        <f>IFERROR(VLOOKUP(F56, LEVEL_HELPER!$A:$B, 2, 0), "")</f>
        <v>1</v>
      </c>
      <c r="K56" s="11">
        <f>IFERROR(VLOOKUP(G56, LEVEL_HELPER!$A:$B, 2, 0), "")</f>
        <v>3</v>
      </c>
      <c r="L56" s="171" t="s">
        <v>400</v>
      </c>
      <c r="M56" s="171" t="s">
        <v>150</v>
      </c>
      <c r="N56" s="11">
        <f t="array" ref="N56">IFERROR(
  INDEX($J$2:$J$531,
    MATCH(A56&amp;TEXT(I56,"yyyy-mm-dd"),
          $A$2:$A$531&amp;TEXT($H$2:$H$531,"yyyy-mm-dd"),
          0)),
"")</f>
        <v>1</v>
      </c>
      <c r="O56" s="160">
        <f t="shared" si="3"/>
        <v>3</v>
      </c>
      <c r="P56" s="160">
        <f t="shared" ref="P56:Q56" si="66">IF(N56="",0,IF(N56&lt;=2,1,IF(N56&lt;=4,2,IF(N56&lt;=5.5,3,4))))</f>
        <v>1</v>
      </c>
      <c r="Q56" s="160">
        <f t="shared" si="66"/>
        <v>2</v>
      </c>
      <c r="R56" s="160" t="str">
        <f t="shared" si="5"/>
        <v>Lv1 → Lv2</v>
      </c>
      <c r="S56" s="160">
        <f t="shared" si="6"/>
        <v>1</v>
      </c>
      <c r="T56" s="177" t="s">
        <v>900</v>
      </c>
      <c r="U56" s="160">
        <f>COUNTIFS(sheet2!$A:$A,A56,sheet2!$E:$E,E56)</f>
        <v>1</v>
      </c>
      <c r="V56" s="160"/>
      <c r="W56" s="160"/>
      <c r="X56" s="160" t="str">
        <f t="shared" si="7"/>
        <v>#N/A</v>
      </c>
      <c r="Y56" s="160" t="str">
        <f t="shared" si="8"/>
        <v>#N/A</v>
      </c>
      <c r="Z56" s="160" t="str">
        <f t="shared" si="9"/>
        <v>#N/A</v>
      </c>
      <c r="AA56" s="160"/>
      <c r="AB56" s="160"/>
      <c r="AC56" s="160"/>
      <c r="AD56" s="160"/>
      <c r="AE56" s="160"/>
      <c r="AF56" s="160"/>
      <c r="AG56" s="160"/>
      <c r="AH56" s="160"/>
      <c r="AI56" s="160"/>
      <c r="AJ56" s="160"/>
      <c r="AK56" s="160"/>
      <c r="AL56" s="160"/>
      <c r="AM56" s="160"/>
      <c r="AN56" s="164"/>
      <c r="AO56" s="161" t="str">
        <f>IFERROR(__xludf.DUMMYFUNCTION("""COMPUTED_VALUE"""),"203713")</f>
        <v>203713</v>
      </c>
      <c r="AP56" s="160" t="str">
        <f t="shared" si="10"/>
        <v>DEV</v>
      </c>
      <c r="AQ56" s="160" t="str">
        <f t="shared" si="11"/>
        <v>DEV, TA</v>
      </c>
      <c r="AR56" s="160" t="str">
        <f t="shared" si="12"/>
        <v>ONC</v>
      </c>
      <c r="AS56" s="160"/>
      <c r="AT56" s="160"/>
      <c r="AU56" s="160"/>
      <c r="AV56" s="160"/>
      <c r="AW56" s="160"/>
      <c r="AX56" s="160"/>
      <c r="AY56" s="160"/>
      <c r="AZ56" s="160"/>
      <c r="BA56" s="160"/>
      <c r="BB56" s="160"/>
      <c r="BC56" s="160"/>
      <c r="BD56" s="160"/>
      <c r="BE56" s="160"/>
      <c r="BF56" s="160"/>
      <c r="BG56" s="160"/>
      <c r="BH56" s="160"/>
      <c r="BI56" s="160"/>
      <c r="BJ56" s="160"/>
      <c r="BK56" s="160"/>
      <c r="BL56" s="160"/>
      <c r="BM56" s="160"/>
      <c r="BN56" s="160"/>
      <c r="BO56" s="160"/>
      <c r="BP56" s="160"/>
      <c r="BQ56" s="160"/>
      <c r="BR56" s="160"/>
      <c r="BS56" s="160"/>
      <c r="BT56" s="160"/>
      <c r="BU56" s="160"/>
      <c r="BV56" s="160"/>
      <c r="BW56" s="160"/>
      <c r="BX56" s="160"/>
      <c r="BY56" s="160"/>
      <c r="BZ56" s="160"/>
      <c r="CA56" s="160"/>
      <c r="CB56" s="160"/>
      <c r="CC56" s="160"/>
      <c r="CD56" s="160"/>
      <c r="CE56" s="160"/>
      <c r="CF56" s="160"/>
      <c r="CG56" s="160"/>
      <c r="CH56" s="160"/>
      <c r="CI56" s="160"/>
      <c r="CJ56" s="160"/>
      <c r="CK56" s="160"/>
      <c r="CL56" s="160"/>
    </row>
    <row r="57">
      <c r="A57" s="174" t="s">
        <v>270</v>
      </c>
      <c r="B57" s="11" t="s">
        <v>271</v>
      </c>
      <c r="C57" s="175" t="s">
        <v>57</v>
      </c>
      <c r="D57" s="176" t="str">
        <f>IFERROR(VLOOKUP(C57, PIC!A:B, 2, 0), "")</f>
        <v>Dat Nguyen</v>
      </c>
      <c r="E57" s="11" t="s">
        <v>22</v>
      </c>
      <c r="F57" s="16" t="s">
        <v>845</v>
      </c>
      <c r="G57" s="16" t="s">
        <v>861</v>
      </c>
      <c r="H57" s="170">
        <f>IFERROR(
  MINIFS(ATTENDANCE_LOG!$F:$F,
         ATTENDANCE_LOG!$A:$A, C57,
         ATTENDANCE_LOG!$B:$B, E57),
"")</f>
        <v>45639.41667</v>
      </c>
      <c r="I57" s="170">
        <f t="shared" si="2"/>
        <v>45639.41667</v>
      </c>
      <c r="J57" s="11">
        <f>IFERROR(VLOOKUP(F57, LEVEL_HELPER!$A:$B, 2, 0), "")</f>
        <v>2.5</v>
      </c>
      <c r="K57" s="11">
        <f>IFERROR(VLOOKUP(G57, LEVEL_HELPER!$A:$B, 2, 0), "")</f>
        <v>3.5</v>
      </c>
      <c r="L57" s="171" t="s">
        <v>847</v>
      </c>
      <c r="M57" s="171" t="s">
        <v>154</v>
      </c>
      <c r="N57" s="11">
        <f t="array" ref="N57">IFERROR(
  INDEX($J$2:$J$531,
    MATCH(A57&amp;TEXT(I57,"yyyy-mm-dd"),
          $A$2:$A$531&amp;TEXT($H$2:$H$531,"yyyy-mm-dd"),
          0)),
"")</f>
        <v>2.5</v>
      </c>
      <c r="O57" s="160">
        <f t="shared" si="3"/>
        <v>3.5</v>
      </c>
      <c r="P57" s="160">
        <f t="shared" ref="P57:Q57" si="67">IF(N57="",0,IF(N57&lt;=2,1,IF(N57&lt;=4,2,IF(N57&lt;=5.5,3,4))))</f>
        <v>2</v>
      </c>
      <c r="Q57" s="160">
        <f t="shared" si="67"/>
        <v>2</v>
      </c>
      <c r="R57" s="160" t="str">
        <f t="shared" si="5"/>
        <v>Progress within level</v>
      </c>
      <c r="S57" s="160">
        <f t="shared" si="6"/>
        <v>1</v>
      </c>
      <c r="T57" s="177" t="s">
        <v>901</v>
      </c>
      <c r="U57" s="160">
        <f>COUNTIFS(sheet2!$A:$A,A57,sheet2!$E:$E,E57)</f>
        <v>1</v>
      </c>
      <c r="V57" s="160"/>
      <c r="W57" s="160"/>
      <c r="X57" s="160" t="str">
        <f t="shared" si="7"/>
        <v>#N/A</v>
      </c>
      <c r="Y57" s="160" t="str">
        <f t="shared" si="8"/>
        <v>#N/A</v>
      </c>
      <c r="Z57" s="160" t="str">
        <f t="shared" si="9"/>
        <v>#N/A</v>
      </c>
      <c r="AA57" s="160"/>
      <c r="AB57" s="160"/>
      <c r="AC57" s="160"/>
      <c r="AD57" s="160"/>
      <c r="AE57" s="160"/>
      <c r="AF57" s="160"/>
      <c r="AG57" s="160"/>
      <c r="AH57" s="160"/>
      <c r="AI57" s="160"/>
      <c r="AJ57" s="160"/>
      <c r="AK57" s="160"/>
      <c r="AL57" s="160"/>
      <c r="AM57" s="160"/>
      <c r="AN57" s="164"/>
      <c r="AO57" s="161" t="str">
        <f>IFERROR(__xludf.DUMMYFUNCTION("""COMPUTED_VALUE"""),"213874")</f>
        <v>213874</v>
      </c>
      <c r="AP57" s="160" t="str">
        <f t="shared" si="10"/>
        <v>DEV</v>
      </c>
      <c r="AQ57" s="160" t="str">
        <f t="shared" si="11"/>
        <v>DEV, TA</v>
      </c>
      <c r="AR57" s="160" t="str">
        <f t="shared" si="12"/>
        <v>ONC</v>
      </c>
      <c r="AS57" s="160"/>
      <c r="AT57" s="160"/>
      <c r="AU57" s="160"/>
      <c r="AV57" s="160"/>
      <c r="AW57" s="160"/>
      <c r="AX57" s="160"/>
      <c r="AY57" s="160"/>
      <c r="AZ57" s="160"/>
      <c r="BA57" s="160"/>
      <c r="BB57" s="160"/>
      <c r="BC57" s="160"/>
      <c r="BD57" s="160"/>
      <c r="BE57" s="160"/>
      <c r="BF57" s="160"/>
      <c r="BG57" s="160"/>
      <c r="BH57" s="160"/>
      <c r="BI57" s="160"/>
      <c r="BJ57" s="160"/>
      <c r="BK57" s="160"/>
      <c r="BL57" s="160"/>
      <c r="BM57" s="160"/>
      <c r="BN57" s="160"/>
      <c r="BO57" s="160"/>
      <c r="BP57" s="160"/>
      <c r="BQ57" s="160"/>
      <c r="BR57" s="160"/>
      <c r="BS57" s="160"/>
      <c r="BT57" s="160"/>
      <c r="BU57" s="160"/>
      <c r="BV57" s="160"/>
      <c r="BW57" s="160"/>
      <c r="BX57" s="160"/>
      <c r="BY57" s="160"/>
      <c r="BZ57" s="160"/>
      <c r="CA57" s="160"/>
      <c r="CB57" s="160"/>
      <c r="CC57" s="160"/>
      <c r="CD57" s="160"/>
      <c r="CE57" s="160"/>
      <c r="CF57" s="160"/>
      <c r="CG57" s="160"/>
      <c r="CH57" s="160"/>
      <c r="CI57" s="160"/>
      <c r="CJ57" s="160"/>
      <c r="CK57" s="160"/>
      <c r="CL57" s="160"/>
    </row>
    <row r="58">
      <c r="A58" s="166" t="s">
        <v>468</v>
      </c>
      <c r="B58" s="167" t="s">
        <v>469</v>
      </c>
      <c r="C58" s="168" t="s">
        <v>58</v>
      </c>
      <c r="D58" s="169" t="str">
        <f>IFERROR(VLOOKUP(C58, PIC!A:B, 2, 0), "")</f>
        <v>Nhat Nguyen</v>
      </c>
      <c r="E58" s="167" t="s">
        <v>22</v>
      </c>
      <c r="F58" s="16" t="s">
        <v>845</v>
      </c>
      <c r="G58" s="16" t="s">
        <v>861</v>
      </c>
      <c r="H58" s="170">
        <f>IFERROR(
  MINIFS(ATTENDANCE_LOG!$F:$F,
         ATTENDANCE_LOG!$A:$A, C58,
         ATTENDANCE_LOG!$B:$B, E58),
"")</f>
        <v>45702.45833</v>
      </c>
      <c r="I58" s="170">
        <f t="shared" si="2"/>
        <v>45702.45833</v>
      </c>
      <c r="J58" s="11">
        <f>IFERROR(VLOOKUP(F58, LEVEL_HELPER!$A:$B, 2, 0), "")</f>
        <v>2.5</v>
      </c>
      <c r="K58" s="11">
        <f>IFERROR(VLOOKUP(G58, LEVEL_HELPER!$A:$B, 2, 0), "")</f>
        <v>3.5</v>
      </c>
      <c r="L58" s="171" t="s">
        <v>400</v>
      </c>
      <c r="M58" s="183" t="s">
        <v>149</v>
      </c>
      <c r="N58" s="11">
        <f t="array" ref="N58">IFERROR(
  INDEX($J$2:$J$531,
    MATCH(A58&amp;TEXT(I58,"yyyy-mm-dd"),
          $A$2:$A$531&amp;TEXT($H$2:$H$531,"yyyy-mm-dd"),
          0)),
"")</f>
        <v>2.5</v>
      </c>
      <c r="O58" s="160">
        <f t="shared" si="3"/>
        <v>3.5</v>
      </c>
      <c r="P58" s="160">
        <f t="shared" ref="P58:Q58" si="68">IF(N58="",0,IF(N58&lt;=2,1,IF(N58&lt;=4,2,IF(N58&lt;=5.5,3,4))))</f>
        <v>2</v>
      </c>
      <c r="Q58" s="160">
        <f t="shared" si="68"/>
        <v>2</v>
      </c>
      <c r="R58" s="160" t="str">
        <f t="shared" si="5"/>
        <v>Progress within level</v>
      </c>
      <c r="S58" s="160">
        <f t="shared" si="6"/>
        <v>1</v>
      </c>
      <c r="T58" s="177" t="s">
        <v>902</v>
      </c>
      <c r="U58" s="160">
        <f>COUNTIFS(sheet2!$A:$A,A58,sheet2!$E:$E,E58)</f>
        <v>1</v>
      </c>
      <c r="V58" s="160"/>
      <c r="W58" s="160"/>
      <c r="X58" s="160" t="str">
        <f t="shared" si="7"/>
        <v>#N/A</v>
      </c>
      <c r="Y58" s="160" t="str">
        <f t="shared" si="8"/>
        <v>#N/A</v>
      </c>
      <c r="Z58" s="160" t="str">
        <f t="shared" si="9"/>
        <v>#N/A</v>
      </c>
      <c r="AA58" s="160"/>
      <c r="AB58" s="160"/>
      <c r="AC58" s="160"/>
      <c r="AD58" s="160"/>
      <c r="AE58" s="160"/>
      <c r="AF58" s="160"/>
      <c r="AG58" s="160"/>
      <c r="AH58" s="160"/>
      <c r="AI58" s="160"/>
      <c r="AJ58" s="160"/>
      <c r="AK58" s="160"/>
      <c r="AL58" s="160"/>
      <c r="AM58" s="160"/>
      <c r="AN58" s="164"/>
      <c r="AO58" s="161" t="str">
        <f>IFERROR(__xludf.DUMMYFUNCTION("""COMPUTED_VALUE"""),"203725")</f>
        <v>203725</v>
      </c>
      <c r="AP58" s="160" t="str">
        <f t="shared" si="10"/>
        <v>DEV</v>
      </c>
      <c r="AQ58" s="160" t="str">
        <f t="shared" si="11"/>
        <v>DEV, TA</v>
      </c>
      <c r="AR58" s="160" t="str">
        <f t="shared" si="12"/>
        <v>ONC</v>
      </c>
      <c r="AS58" s="160"/>
      <c r="AT58" s="160"/>
      <c r="AU58" s="160"/>
      <c r="AV58" s="160"/>
      <c r="AW58" s="160"/>
      <c r="AX58" s="160"/>
      <c r="AY58" s="160"/>
      <c r="AZ58" s="160"/>
      <c r="BA58" s="160"/>
      <c r="BB58" s="160"/>
      <c r="BC58" s="160"/>
      <c r="BD58" s="160"/>
      <c r="BE58" s="160"/>
      <c r="BF58" s="160"/>
      <c r="BG58" s="160"/>
      <c r="BH58" s="160"/>
      <c r="BI58" s="160"/>
      <c r="BJ58" s="160"/>
      <c r="BK58" s="160"/>
      <c r="BL58" s="160"/>
      <c r="BM58" s="160"/>
      <c r="BN58" s="160"/>
      <c r="BO58" s="160"/>
      <c r="BP58" s="160"/>
      <c r="BQ58" s="160"/>
      <c r="BR58" s="160"/>
      <c r="BS58" s="160"/>
      <c r="BT58" s="160"/>
      <c r="BU58" s="160"/>
      <c r="BV58" s="160"/>
      <c r="BW58" s="160"/>
      <c r="BX58" s="160"/>
      <c r="BY58" s="160"/>
      <c r="BZ58" s="160"/>
      <c r="CA58" s="160"/>
      <c r="CB58" s="160"/>
      <c r="CC58" s="160"/>
      <c r="CD58" s="160"/>
      <c r="CE58" s="160"/>
      <c r="CF58" s="160"/>
      <c r="CG58" s="160"/>
      <c r="CH58" s="160"/>
      <c r="CI58" s="160"/>
      <c r="CJ58" s="160"/>
      <c r="CK58" s="160"/>
      <c r="CL58" s="160"/>
    </row>
    <row r="59">
      <c r="A59" s="174" t="s">
        <v>466</v>
      </c>
      <c r="B59" s="11" t="s">
        <v>467</v>
      </c>
      <c r="C59" s="175" t="s">
        <v>58</v>
      </c>
      <c r="D59" s="176" t="str">
        <f>IFERROR(VLOOKUP(C59, PIC!A:B, 2, 0), "")</f>
        <v>Nhat Nguyen</v>
      </c>
      <c r="E59" s="11" t="s">
        <v>22</v>
      </c>
      <c r="F59" s="16" t="s">
        <v>849</v>
      </c>
      <c r="G59" s="16" t="s">
        <v>846</v>
      </c>
      <c r="H59" s="170">
        <f>IFERROR(
  MINIFS(ATTENDANCE_LOG!$F:$F,
         ATTENDANCE_LOG!$A:$A, C59,
         ATTENDANCE_LOG!$B:$B, E59),
"")</f>
        <v>45702.45833</v>
      </c>
      <c r="I59" s="170">
        <f t="shared" si="2"/>
        <v>45702.45833</v>
      </c>
      <c r="J59" s="11">
        <f>IFERROR(VLOOKUP(F59, LEVEL_HELPER!$A:$B, 2, 0), "")</f>
        <v>1</v>
      </c>
      <c r="K59" s="11">
        <f>IFERROR(VLOOKUP(G59, LEVEL_HELPER!$A:$B, 2, 0), "")</f>
        <v>3</v>
      </c>
      <c r="L59" s="171" t="s">
        <v>400</v>
      </c>
      <c r="M59" s="183" t="s">
        <v>149</v>
      </c>
      <c r="N59" s="11">
        <f t="array" ref="N59">IFERROR(
  INDEX($J$2:$J$531,
    MATCH(A59&amp;TEXT(I59,"yyyy-mm-dd"),
          $A$2:$A$531&amp;TEXT($H$2:$H$531,"yyyy-mm-dd"),
          0)),
"")</f>
        <v>1</v>
      </c>
      <c r="O59" s="160">
        <f t="shared" si="3"/>
        <v>3</v>
      </c>
      <c r="P59" s="160">
        <f t="shared" ref="P59:Q59" si="69">IF(N59="",0,IF(N59&lt;=2,1,IF(N59&lt;=4,2,IF(N59&lt;=5.5,3,4))))</f>
        <v>1</v>
      </c>
      <c r="Q59" s="160">
        <f t="shared" si="69"/>
        <v>2</v>
      </c>
      <c r="R59" s="160" t="str">
        <f t="shared" si="5"/>
        <v>Lv1 → Lv2</v>
      </c>
      <c r="S59" s="160">
        <f t="shared" si="6"/>
        <v>1</v>
      </c>
      <c r="T59" s="172" t="s">
        <v>903</v>
      </c>
      <c r="U59" s="160">
        <f>COUNTIFS(sheet2!$A:$A,A59,sheet2!$E:$E,E59)</f>
        <v>1</v>
      </c>
      <c r="V59" s="160"/>
      <c r="W59" s="160"/>
      <c r="X59" s="160" t="str">
        <f t="shared" si="7"/>
        <v>#N/A</v>
      </c>
      <c r="Y59" s="160" t="str">
        <f t="shared" si="8"/>
        <v>#N/A</v>
      </c>
      <c r="Z59" s="160" t="str">
        <f t="shared" si="9"/>
        <v>#N/A</v>
      </c>
      <c r="AA59" s="160"/>
      <c r="AB59" s="160"/>
      <c r="AC59" s="160"/>
      <c r="AD59" s="160"/>
      <c r="AE59" s="160"/>
      <c r="AF59" s="160"/>
      <c r="AG59" s="160"/>
      <c r="AH59" s="160"/>
      <c r="AI59" s="160"/>
      <c r="AJ59" s="160"/>
      <c r="AK59" s="160"/>
      <c r="AL59" s="160"/>
      <c r="AM59" s="160"/>
      <c r="AN59" s="164"/>
      <c r="AO59" s="161" t="str">
        <f>IFERROR(__xludf.DUMMYFUNCTION("""COMPUTED_VALUE"""),"193496")</f>
        <v>193496</v>
      </c>
      <c r="AP59" s="160" t="str">
        <f t="shared" si="10"/>
        <v>GSD</v>
      </c>
      <c r="AQ59" s="160" t="str">
        <f t="shared" si="11"/>
        <v>GSD</v>
      </c>
      <c r="AR59" s="160" t="str">
        <f t="shared" si="12"/>
        <v>POC</v>
      </c>
      <c r="AS59" s="160"/>
      <c r="AT59" s="160"/>
      <c r="AU59" s="160"/>
      <c r="AV59" s="160"/>
      <c r="AW59" s="160"/>
      <c r="AX59" s="160"/>
      <c r="AY59" s="160"/>
      <c r="AZ59" s="160"/>
      <c r="BA59" s="160"/>
      <c r="BB59" s="160"/>
      <c r="BC59" s="160"/>
      <c r="BD59" s="160"/>
      <c r="BE59" s="160"/>
      <c r="BF59" s="160"/>
      <c r="BG59" s="160"/>
      <c r="BH59" s="160"/>
      <c r="BI59" s="160"/>
      <c r="BJ59" s="160"/>
      <c r="BK59" s="160"/>
      <c r="BL59" s="160"/>
      <c r="BM59" s="160"/>
      <c r="BN59" s="160"/>
      <c r="BO59" s="160"/>
      <c r="BP59" s="160"/>
      <c r="BQ59" s="160"/>
      <c r="BR59" s="160"/>
      <c r="BS59" s="160"/>
      <c r="BT59" s="160"/>
      <c r="BU59" s="160"/>
      <c r="BV59" s="160"/>
      <c r="BW59" s="160"/>
      <c r="BX59" s="160"/>
      <c r="BY59" s="160"/>
      <c r="BZ59" s="160"/>
      <c r="CA59" s="160"/>
      <c r="CB59" s="160"/>
      <c r="CC59" s="160"/>
      <c r="CD59" s="160"/>
      <c r="CE59" s="160"/>
      <c r="CF59" s="160"/>
      <c r="CG59" s="160"/>
      <c r="CH59" s="160"/>
      <c r="CI59" s="160"/>
      <c r="CJ59" s="160"/>
      <c r="CK59" s="160"/>
      <c r="CL59" s="160"/>
    </row>
    <row r="60">
      <c r="A60" s="174" t="s">
        <v>476</v>
      </c>
      <c r="B60" s="11" t="s">
        <v>477</v>
      </c>
      <c r="C60" s="175" t="s">
        <v>58</v>
      </c>
      <c r="D60" s="176" t="str">
        <f>IFERROR(VLOOKUP(C60, PIC!A:B, 2, 0), "")</f>
        <v>Nhat Nguyen</v>
      </c>
      <c r="E60" s="11" t="s">
        <v>22</v>
      </c>
      <c r="F60" s="16" t="s">
        <v>849</v>
      </c>
      <c r="G60" s="16" t="s">
        <v>846</v>
      </c>
      <c r="H60" s="170">
        <f>IFERROR(
  MINIFS(ATTENDANCE_LOG!$F:$F,
         ATTENDANCE_LOG!$A:$A, C60,
         ATTENDANCE_LOG!$B:$B, E60),
"")</f>
        <v>45702.45833</v>
      </c>
      <c r="I60" s="170">
        <f t="shared" si="2"/>
        <v>45702.45833</v>
      </c>
      <c r="J60" s="11">
        <f>IFERROR(VLOOKUP(F60, LEVEL_HELPER!$A:$B, 2, 0), "")</f>
        <v>1</v>
      </c>
      <c r="K60" s="11">
        <f>IFERROR(VLOOKUP(G60, LEVEL_HELPER!$A:$B, 2, 0), "")</f>
        <v>3</v>
      </c>
      <c r="L60" s="171" t="s">
        <v>400</v>
      </c>
      <c r="M60" s="171" t="s">
        <v>150</v>
      </c>
      <c r="N60" s="11">
        <f t="array" ref="N60">IFERROR(
  INDEX($J$2:$J$531,
    MATCH(A60&amp;TEXT(I60,"yyyy-mm-dd"),
          $A$2:$A$531&amp;TEXT($H$2:$H$531,"yyyy-mm-dd"),
          0)),
"")</f>
        <v>1</v>
      </c>
      <c r="O60" s="160">
        <f t="shared" si="3"/>
        <v>5</v>
      </c>
      <c r="P60" s="160">
        <f t="shared" ref="P60:Q60" si="70">IF(N60="",0,IF(N60&lt;=2,1,IF(N60&lt;=4,2,IF(N60&lt;=5.5,3,4))))</f>
        <v>1</v>
      </c>
      <c r="Q60" s="160">
        <f t="shared" si="70"/>
        <v>3</v>
      </c>
      <c r="R60" s="160" t="str">
        <f t="shared" si="5"/>
        <v>Lv1 → Lv3 (multi)</v>
      </c>
      <c r="S60" s="160">
        <f t="shared" si="6"/>
        <v>1</v>
      </c>
      <c r="T60" s="177" t="s">
        <v>904</v>
      </c>
      <c r="U60" s="160">
        <f>COUNTIFS(sheet2!$A:$A,A60,sheet2!$E:$E,E60)</f>
        <v>1</v>
      </c>
      <c r="V60" s="160"/>
      <c r="W60" s="160"/>
      <c r="X60" s="160" t="str">
        <f t="shared" si="7"/>
        <v>#N/A</v>
      </c>
      <c r="Y60" s="160" t="str">
        <f t="shared" si="8"/>
        <v>#N/A</v>
      </c>
      <c r="Z60" s="160" t="str">
        <f t="shared" si="9"/>
        <v>#N/A</v>
      </c>
      <c r="AA60" s="160"/>
      <c r="AB60" s="160"/>
      <c r="AC60" s="160"/>
      <c r="AD60" s="160"/>
      <c r="AE60" s="160"/>
      <c r="AF60" s="160"/>
      <c r="AG60" s="160"/>
      <c r="AH60" s="160"/>
      <c r="AI60" s="160"/>
      <c r="AJ60" s="160"/>
      <c r="AK60" s="160"/>
      <c r="AL60" s="160"/>
      <c r="AM60" s="160"/>
      <c r="AN60" s="164"/>
      <c r="AO60" s="161" t="str">
        <f>IFERROR(__xludf.DUMMYFUNCTION("""COMPUTED_VALUE"""),"193490")</f>
        <v>193490</v>
      </c>
      <c r="AP60" s="160" t="str">
        <f t="shared" si="10"/>
        <v>GSD</v>
      </c>
      <c r="AQ60" s="160" t="str">
        <f t="shared" si="11"/>
        <v>GSD</v>
      </c>
      <c r="AR60" s="160" t="str">
        <f t="shared" si="12"/>
        <v>POC</v>
      </c>
      <c r="AS60" s="160"/>
      <c r="AT60" s="160"/>
      <c r="AU60" s="160"/>
      <c r="AV60" s="160"/>
      <c r="AW60" s="160"/>
      <c r="AX60" s="160"/>
      <c r="AY60" s="160"/>
      <c r="AZ60" s="160"/>
      <c r="BA60" s="160"/>
      <c r="BB60" s="160"/>
      <c r="BC60" s="160"/>
      <c r="BD60" s="160"/>
      <c r="BE60" s="160"/>
      <c r="BF60" s="160"/>
      <c r="BG60" s="160"/>
      <c r="BH60" s="160"/>
      <c r="BI60" s="160"/>
      <c r="BJ60" s="160"/>
      <c r="BK60" s="160"/>
      <c r="BL60" s="160"/>
      <c r="BM60" s="160"/>
      <c r="BN60" s="160"/>
      <c r="BO60" s="160"/>
      <c r="BP60" s="160"/>
      <c r="BQ60" s="160"/>
      <c r="BR60" s="160"/>
      <c r="BS60" s="160"/>
      <c r="BT60" s="160"/>
      <c r="BU60" s="160"/>
      <c r="BV60" s="160"/>
      <c r="BW60" s="160"/>
      <c r="BX60" s="160"/>
      <c r="BY60" s="160"/>
      <c r="BZ60" s="160"/>
      <c r="CA60" s="160"/>
      <c r="CB60" s="160"/>
      <c r="CC60" s="160"/>
      <c r="CD60" s="160"/>
      <c r="CE60" s="160"/>
      <c r="CF60" s="160"/>
      <c r="CG60" s="160"/>
      <c r="CH60" s="160"/>
      <c r="CI60" s="160"/>
      <c r="CJ60" s="160"/>
      <c r="CK60" s="160"/>
      <c r="CL60" s="160"/>
    </row>
    <row r="61">
      <c r="A61" s="174" t="s">
        <v>470</v>
      </c>
      <c r="B61" s="11" t="s">
        <v>471</v>
      </c>
      <c r="C61" s="175" t="s">
        <v>58</v>
      </c>
      <c r="D61" s="176" t="str">
        <f>IFERROR(VLOOKUP(C61, PIC!A:B, 2, 0), "")</f>
        <v>Nhat Nguyen</v>
      </c>
      <c r="E61" s="11" t="s">
        <v>22</v>
      </c>
      <c r="F61" s="16" t="s">
        <v>849</v>
      </c>
      <c r="G61" s="16" t="s">
        <v>846</v>
      </c>
      <c r="H61" s="170">
        <f>IFERROR(
  MINIFS(ATTENDANCE_LOG!$F:$F,
         ATTENDANCE_LOG!$A:$A, C61,
         ATTENDANCE_LOG!$B:$B, E61),
"")</f>
        <v>45702.45833</v>
      </c>
      <c r="I61" s="170">
        <f t="shared" si="2"/>
        <v>45702.45833</v>
      </c>
      <c r="J61" s="11">
        <f>IFERROR(VLOOKUP(F61, LEVEL_HELPER!$A:$B, 2, 0), "")</f>
        <v>1</v>
      </c>
      <c r="K61" s="11">
        <f>IFERROR(VLOOKUP(G61, LEVEL_HELPER!$A:$B, 2, 0), "")</f>
        <v>3</v>
      </c>
      <c r="L61" s="171" t="s">
        <v>400</v>
      </c>
      <c r="M61" s="183" t="s">
        <v>149</v>
      </c>
      <c r="N61" s="11">
        <f t="array" ref="N61">IFERROR(
  INDEX($J$2:$J$531,
    MATCH(A61&amp;TEXT(I61,"yyyy-mm-dd"),
          $A$2:$A$531&amp;TEXT($H$2:$H$531,"yyyy-mm-dd"),
          0)),
"")</f>
        <v>1</v>
      </c>
      <c r="O61" s="160">
        <f t="shared" si="3"/>
        <v>3</v>
      </c>
      <c r="P61" s="160">
        <f t="shared" ref="P61:Q61" si="71">IF(N61="",0,IF(N61&lt;=2,1,IF(N61&lt;=4,2,IF(N61&lt;=5.5,3,4))))</f>
        <v>1</v>
      </c>
      <c r="Q61" s="160">
        <f t="shared" si="71"/>
        <v>2</v>
      </c>
      <c r="R61" s="160" t="str">
        <f t="shared" si="5"/>
        <v>Lv1 → Lv2</v>
      </c>
      <c r="S61" s="160">
        <f t="shared" si="6"/>
        <v>1</v>
      </c>
      <c r="T61" s="177" t="s">
        <v>905</v>
      </c>
      <c r="U61" s="160">
        <f>COUNTIFS(sheet2!$A:$A,A61,sheet2!$E:$E,E61)</f>
        <v>1</v>
      </c>
      <c r="V61" s="160"/>
      <c r="W61" s="160"/>
      <c r="X61" s="160" t="str">
        <f t="shared" si="7"/>
        <v>#N/A</v>
      </c>
      <c r="Y61" s="160" t="str">
        <f t="shared" si="8"/>
        <v>#N/A</v>
      </c>
      <c r="Z61" s="160" t="str">
        <f t="shared" si="9"/>
        <v>#N/A</v>
      </c>
      <c r="AA61" s="160"/>
      <c r="AB61" s="160"/>
      <c r="AC61" s="160"/>
      <c r="AD61" s="160"/>
      <c r="AE61" s="160"/>
      <c r="AF61" s="160"/>
      <c r="AG61" s="160"/>
      <c r="AH61" s="160"/>
      <c r="AI61" s="160"/>
      <c r="AJ61" s="160"/>
      <c r="AK61" s="160"/>
      <c r="AL61" s="160"/>
      <c r="AM61" s="160"/>
      <c r="AN61" s="164"/>
      <c r="AO61" s="161" t="str">
        <f>IFERROR(__xludf.DUMMYFUNCTION("""COMPUTED_VALUE"""),"173268")</f>
        <v>173268</v>
      </c>
      <c r="AP61" s="160" t="str">
        <f t="shared" si="10"/>
        <v>GSD</v>
      </c>
      <c r="AQ61" s="160" t="str">
        <f t="shared" si="11"/>
        <v>GSD</v>
      </c>
      <c r="AR61" s="160" t="str">
        <f t="shared" si="12"/>
        <v>TBU</v>
      </c>
      <c r="AS61" s="160"/>
      <c r="AT61" s="160"/>
      <c r="AU61" s="160"/>
      <c r="AV61" s="160"/>
      <c r="AW61" s="160"/>
      <c r="AX61" s="160"/>
      <c r="AY61" s="160"/>
      <c r="AZ61" s="160"/>
      <c r="BA61" s="160"/>
      <c r="BB61" s="160"/>
      <c r="BC61" s="160"/>
      <c r="BD61" s="160"/>
      <c r="BE61" s="160"/>
      <c r="BF61" s="160"/>
      <c r="BG61" s="160"/>
      <c r="BH61" s="160"/>
      <c r="BI61" s="160"/>
      <c r="BJ61" s="160"/>
      <c r="BK61" s="160"/>
      <c r="BL61" s="160"/>
      <c r="BM61" s="160"/>
      <c r="BN61" s="160"/>
      <c r="BO61" s="160"/>
      <c r="BP61" s="160"/>
      <c r="BQ61" s="160"/>
      <c r="BR61" s="160"/>
      <c r="BS61" s="160"/>
      <c r="BT61" s="160"/>
      <c r="BU61" s="160"/>
      <c r="BV61" s="160"/>
      <c r="BW61" s="160"/>
      <c r="BX61" s="160"/>
      <c r="BY61" s="160"/>
      <c r="BZ61" s="160"/>
      <c r="CA61" s="160"/>
      <c r="CB61" s="160"/>
      <c r="CC61" s="160"/>
      <c r="CD61" s="160"/>
      <c r="CE61" s="160"/>
      <c r="CF61" s="160"/>
      <c r="CG61" s="160"/>
      <c r="CH61" s="160"/>
      <c r="CI61" s="160"/>
      <c r="CJ61" s="160"/>
      <c r="CK61" s="160"/>
      <c r="CL61" s="160"/>
    </row>
    <row r="62">
      <c r="A62" s="174" t="s">
        <v>459</v>
      </c>
      <c r="B62" s="11" t="s">
        <v>460</v>
      </c>
      <c r="C62" s="175" t="s">
        <v>58</v>
      </c>
      <c r="D62" s="176" t="str">
        <f>IFERROR(VLOOKUP(C62, PIC!A:B, 2, 0), "")</f>
        <v>Nhat Nguyen</v>
      </c>
      <c r="E62" s="11" t="s">
        <v>22</v>
      </c>
      <c r="F62" s="16" t="s">
        <v>845</v>
      </c>
      <c r="G62" s="16" t="s">
        <v>846</v>
      </c>
      <c r="H62" s="170">
        <f>IFERROR(
  MINIFS(ATTENDANCE_LOG!$F:$F,
         ATTENDANCE_LOG!$A:$A, C62,
         ATTENDANCE_LOG!$B:$B, E62),
"")</f>
        <v>45702.45833</v>
      </c>
      <c r="I62" s="170">
        <f t="shared" si="2"/>
        <v>45702.45833</v>
      </c>
      <c r="J62" s="11">
        <f>IFERROR(VLOOKUP(F62, LEVEL_HELPER!$A:$B, 2, 0), "")</f>
        <v>2.5</v>
      </c>
      <c r="K62" s="11">
        <f>IFERROR(VLOOKUP(G62, LEVEL_HELPER!$A:$B, 2, 0), "")</f>
        <v>3</v>
      </c>
      <c r="L62" s="171" t="s">
        <v>847</v>
      </c>
      <c r="M62" s="171" t="s">
        <v>151</v>
      </c>
      <c r="N62" s="11">
        <f t="array" ref="N62">IFERROR(
  INDEX($J$2:$J$531,
    MATCH(A62&amp;TEXT(I62,"yyyy-mm-dd"),
          $A$2:$A$531&amp;TEXT($H$2:$H$531,"yyyy-mm-dd"),
          0)),
"")</f>
        <v>2.5</v>
      </c>
      <c r="O62" s="160">
        <f t="shared" si="3"/>
        <v>3</v>
      </c>
      <c r="P62" s="160">
        <f t="shared" ref="P62:Q62" si="72">IF(N62="",0,IF(N62&lt;=2,1,IF(N62&lt;=4,2,IF(N62&lt;=5.5,3,4))))</f>
        <v>2</v>
      </c>
      <c r="Q62" s="160">
        <f t="shared" si="72"/>
        <v>2</v>
      </c>
      <c r="R62" s="160" t="str">
        <f t="shared" si="5"/>
        <v>Progress within level</v>
      </c>
      <c r="S62" s="160">
        <f t="shared" si="6"/>
        <v>1</v>
      </c>
      <c r="T62" s="177" t="s">
        <v>906</v>
      </c>
      <c r="U62" s="160">
        <f>COUNTIFS(sheet2!$A:$A,A62,sheet2!$E:$E,E62)</f>
        <v>1</v>
      </c>
      <c r="V62" s="160"/>
      <c r="W62" s="160"/>
      <c r="X62" s="160" t="str">
        <f t="shared" si="7"/>
        <v>#N/A</v>
      </c>
      <c r="Y62" s="160" t="str">
        <f t="shared" si="8"/>
        <v>#N/A</v>
      </c>
      <c r="Z62" s="160" t="str">
        <f t="shared" si="9"/>
        <v>#N/A</v>
      </c>
      <c r="AA62" s="160"/>
      <c r="AB62" s="160"/>
      <c r="AC62" s="160"/>
      <c r="AD62" s="160"/>
      <c r="AE62" s="160"/>
      <c r="AF62" s="160"/>
      <c r="AG62" s="160"/>
      <c r="AH62" s="160"/>
      <c r="AI62" s="160"/>
      <c r="AJ62" s="160"/>
      <c r="AK62" s="160"/>
      <c r="AL62" s="160"/>
      <c r="AM62" s="160"/>
      <c r="AN62" s="164"/>
      <c r="AO62" s="161" t="str">
        <f>IFERROR(__xludf.DUMMYFUNCTION("""COMPUTED_VALUE"""),"173230")</f>
        <v>173230</v>
      </c>
      <c r="AP62" s="160" t="str">
        <f t="shared" si="10"/>
        <v>QC</v>
      </c>
      <c r="AQ62" s="160" t="str">
        <f t="shared" si="11"/>
        <v>QC</v>
      </c>
      <c r="AR62" s="160" t="str">
        <f t="shared" si="12"/>
        <v>POC</v>
      </c>
      <c r="AS62" s="160"/>
      <c r="AT62" s="160"/>
      <c r="AU62" s="160"/>
      <c r="AV62" s="160"/>
      <c r="AW62" s="160"/>
      <c r="AX62" s="160"/>
      <c r="AY62" s="160"/>
      <c r="AZ62" s="160"/>
      <c r="BA62" s="160"/>
      <c r="BB62" s="160"/>
      <c r="BC62" s="160"/>
      <c r="BD62" s="160"/>
      <c r="BE62" s="160"/>
      <c r="BF62" s="160"/>
      <c r="BG62" s="160"/>
      <c r="BH62" s="160"/>
      <c r="BI62" s="160"/>
      <c r="BJ62" s="160"/>
      <c r="BK62" s="160"/>
      <c r="BL62" s="160"/>
      <c r="BM62" s="160"/>
      <c r="BN62" s="160"/>
      <c r="BO62" s="160"/>
      <c r="BP62" s="160"/>
      <c r="BQ62" s="160"/>
      <c r="BR62" s="160"/>
      <c r="BS62" s="160"/>
      <c r="BT62" s="160"/>
      <c r="BU62" s="160"/>
      <c r="BV62" s="160"/>
      <c r="BW62" s="160"/>
      <c r="BX62" s="160"/>
      <c r="BY62" s="160"/>
      <c r="BZ62" s="160"/>
      <c r="CA62" s="160"/>
      <c r="CB62" s="160"/>
      <c r="CC62" s="160"/>
      <c r="CD62" s="160"/>
      <c r="CE62" s="160"/>
      <c r="CF62" s="160"/>
      <c r="CG62" s="160"/>
      <c r="CH62" s="160"/>
      <c r="CI62" s="160"/>
      <c r="CJ62" s="160"/>
      <c r="CK62" s="160"/>
      <c r="CL62" s="160"/>
    </row>
    <row r="63">
      <c r="A63" s="166" t="s">
        <v>468</v>
      </c>
      <c r="B63" s="167" t="s">
        <v>469</v>
      </c>
      <c r="C63" s="168" t="s">
        <v>58</v>
      </c>
      <c r="D63" s="169" t="str">
        <f>IFERROR(VLOOKUP(C63, PIC!A:B, 2, 0), "")</f>
        <v>Nhat Nguyen</v>
      </c>
      <c r="E63" s="167" t="s">
        <v>23</v>
      </c>
      <c r="F63" s="16" t="s">
        <v>861</v>
      </c>
      <c r="G63" s="11"/>
      <c r="H63" s="170">
        <f>IFERROR(
  MINIFS(ATTENDANCE_LOG!$F:$F,
         ATTENDANCE_LOG!$A:$A, C63,
         ATTENDANCE_LOG!$B:$B, E63),
"")</f>
        <v>45841.58333</v>
      </c>
      <c r="I63" s="170">
        <f t="shared" si="2"/>
        <v>45702.45833</v>
      </c>
      <c r="J63" s="11">
        <f>IFERROR(VLOOKUP(F63, LEVEL_HELPER!$A:$B, 2, 0), "")</f>
        <v>3.5</v>
      </c>
      <c r="K63" s="11" t="str">
        <f>IFERROR(VLOOKUP(G63, LEVEL_HELPER!$A:$B, 2, 0), "")</f>
        <v/>
      </c>
      <c r="L63" s="171" t="s">
        <v>400</v>
      </c>
      <c r="M63" s="183" t="s">
        <v>149</v>
      </c>
      <c r="N63" s="11">
        <f t="array" ref="N63">IFERROR(
  INDEX($J$2:$J$531,
    MATCH(A63&amp;TEXT(I63,"yyyy-mm-dd"),
          $A$2:$A$531&amp;TEXT($H$2:$H$531,"yyyy-mm-dd"),
          0)),
"")</f>
        <v>2.5</v>
      </c>
      <c r="O63" s="160">
        <f t="shared" si="3"/>
        <v>3.5</v>
      </c>
      <c r="P63" s="160">
        <f t="shared" ref="P63:Q63" si="73">IF(N63="",0,IF(N63&lt;=2,1,IF(N63&lt;=4,2,IF(N63&lt;=5.5,3,4))))</f>
        <v>2</v>
      </c>
      <c r="Q63" s="160">
        <f t="shared" si="73"/>
        <v>2</v>
      </c>
      <c r="R63" s="160" t="str">
        <f t="shared" si="5"/>
        <v>Progress within level</v>
      </c>
      <c r="S63" s="160">
        <f t="shared" si="6"/>
        <v>0</v>
      </c>
      <c r="T63" s="177" t="s">
        <v>902</v>
      </c>
      <c r="U63" s="160">
        <f>COUNTIFS(sheet2!$A:$A,A63,sheet2!$E:$E,E63)</f>
        <v>1</v>
      </c>
      <c r="V63" s="160"/>
      <c r="W63" s="160"/>
      <c r="X63" s="160" t="str">
        <f t="shared" si="7"/>
        <v>#N/A</v>
      </c>
      <c r="Y63" s="160" t="str">
        <f t="shared" si="8"/>
        <v>#N/A</v>
      </c>
      <c r="Z63" s="160" t="str">
        <f t="shared" si="9"/>
        <v>#N/A</v>
      </c>
      <c r="AA63" s="160"/>
      <c r="AB63" s="160"/>
      <c r="AC63" s="160"/>
      <c r="AD63" s="160"/>
      <c r="AE63" s="160"/>
      <c r="AF63" s="160"/>
      <c r="AG63" s="160"/>
      <c r="AH63" s="160"/>
      <c r="AI63" s="160"/>
      <c r="AJ63" s="160"/>
      <c r="AK63" s="160"/>
      <c r="AL63" s="160"/>
      <c r="AM63" s="160"/>
      <c r="AN63" s="164"/>
      <c r="AO63" s="161" t="str">
        <f>IFERROR(__xludf.DUMMYFUNCTION("""COMPUTED_VALUE"""),"143079")</f>
        <v>143079</v>
      </c>
      <c r="AP63" s="160" t="str">
        <f t="shared" si="10"/>
        <v>QC</v>
      </c>
      <c r="AQ63" s="160" t="str">
        <f t="shared" si="11"/>
        <v>QC</v>
      </c>
      <c r="AR63" s="160" t="str">
        <f t="shared" si="12"/>
        <v>POC</v>
      </c>
      <c r="AS63" s="160"/>
      <c r="AT63" s="160"/>
      <c r="AU63" s="160"/>
      <c r="AV63" s="160"/>
      <c r="AW63" s="160"/>
      <c r="AX63" s="160"/>
      <c r="AY63" s="160"/>
      <c r="AZ63" s="160"/>
      <c r="BA63" s="160"/>
      <c r="BB63" s="160"/>
      <c r="BC63" s="160"/>
      <c r="BD63" s="160"/>
      <c r="BE63" s="160"/>
      <c r="BF63" s="160"/>
      <c r="BG63" s="160"/>
      <c r="BH63" s="160"/>
      <c r="BI63" s="160"/>
      <c r="BJ63" s="160"/>
      <c r="BK63" s="160"/>
      <c r="BL63" s="160"/>
      <c r="BM63" s="160"/>
      <c r="BN63" s="160"/>
      <c r="BO63" s="160"/>
      <c r="BP63" s="160"/>
      <c r="BQ63" s="160"/>
      <c r="BR63" s="160"/>
      <c r="BS63" s="160"/>
      <c r="BT63" s="160"/>
      <c r="BU63" s="160"/>
      <c r="BV63" s="160"/>
      <c r="BW63" s="160"/>
      <c r="BX63" s="160"/>
      <c r="BY63" s="160"/>
      <c r="BZ63" s="160"/>
      <c r="CA63" s="160"/>
      <c r="CB63" s="160"/>
      <c r="CC63" s="160"/>
      <c r="CD63" s="160"/>
      <c r="CE63" s="160"/>
      <c r="CF63" s="160"/>
      <c r="CG63" s="160"/>
      <c r="CH63" s="160"/>
      <c r="CI63" s="160"/>
      <c r="CJ63" s="160"/>
      <c r="CK63" s="160"/>
      <c r="CL63" s="160"/>
    </row>
    <row r="64">
      <c r="A64" s="174" t="s">
        <v>461</v>
      </c>
      <c r="B64" s="11" t="s">
        <v>462</v>
      </c>
      <c r="C64" s="175" t="s">
        <v>58</v>
      </c>
      <c r="D64" s="176" t="str">
        <f>IFERROR(VLOOKUP(C64, PIC!A:B, 2, 0), "")</f>
        <v>Nhat Nguyen</v>
      </c>
      <c r="E64" s="11" t="s">
        <v>23</v>
      </c>
      <c r="F64" s="11"/>
      <c r="G64" s="11"/>
      <c r="H64" s="170">
        <f>IFERROR(
  MINIFS(ATTENDANCE_LOG!$F:$F,
         ATTENDANCE_LOG!$A:$A, C64,
         ATTENDANCE_LOG!$B:$B, E64),
"")</f>
        <v>45841.58333</v>
      </c>
      <c r="I64" s="170">
        <f t="shared" si="2"/>
        <v>45638.41667</v>
      </c>
      <c r="J64" s="11" t="str">
        <f>IFERROR(VLOOKUP(F64, LEVEL_HELPER!$A:$B, 2, 0), "")</f>
        <v/>
      </c>
      <c r="K64" s="11" t="str">
        <f>IFERROR(VLOOKUP(G64, LEVEL_HELPER!$A:$B, 2, 0), "")</f>
        <v/>
      </c>
      <c r="L64" s="171" t="s">
        <v>847</v>
      </c>
      <c r="M64" s="171" t="s">
        <v>150</v>
      </c>
      <c r="N64" s="11">
        <f t="array" ref="N64">IFERROR(
  INDEX($J$2:$J$531,
    MATCH(A64&amp;TEXT(I64,"yyyy-mm-dd"),
          $A$2:$A$531&amp;TEXT($H$2:$H$531,"yyyy-mm-dd"),
          0)),
"")</f>
        <v>1</v>
      </c>
      <c r="O64" s="160">
        <f t="shared" si="3"/>
        <v>1.5</v>
      </c>
      <c r="P64" s="160">
        <f t="shared" ref="P64:Q64" si="74">IF(N64="",0,IF(N64&lt;=2,1,IF(N64&lt;=4,2,IF(N64&lt;=5.5,3,4))))</f>
        <v>1</v>
      </c>
      <c r="Q64" s="160">
        <f t="shared" si="74"/>
        <v>1</v>
      </c>
      <c r="R64" s="160" t="str">
        <f t="shared" si="5"/>
        <v>Progress within level</v>
      </c>
      <c r="S64" s="160">
        <f t="shared" si="6"/>
        <v>1</v>
      </c>
      <c r="T64" s="177" t="s">
        <v>907</v>
      </c>
      <c r="U64" s="160">
        <f>COUNTIFS(sheet2!$A:$A,A64,sheet2!$E:$E,E64)</f>
        <v>2</v>
      </c>
      <c r="V64" s="160"/>
      <c r="W64" s="160"/>
      <c r="X64" s="160" t="str">
        <f t="shared" si="7"/>
        <v>#N/A</v>
      </c>
      <c r="Y64" s="160" t="str">
        <f t="shared" si="8"/>
        <v>#N/A</v>
      </c>
      <c r="Z64" s="160" t="str">
        <f t="shared" si="9"/>
        <v>#N/A</v>
      </c>
      <c r="AA64" s="160"/>
      <c r="AB64" s="160"/>
      <c r="AC64" s="160"/>
      <c r="AD64" s="160"/>
      <c r="AE64" s="160"/>
      <c r="AF64" s="160"/>
      <c r="AG64" s="160"/>
      <c r="AH64" s="160"/>
      <c r="AI64" s="160"/>
      <c r="AJ64" s="160"/>
      <c r="AK64" s="160"/>
      <c r="AL64" s="160"/>
      <c r="AM64" s="160"/>
      <c r="AN64" s="164"/>
      <c r="AO64" s="161" t="str">
        <f>IFERROR(__xludf.DUMMYFUNCTION("""COMPUTED_VALUE"""),"227122")</f>
        <v>227122</v>
      </c>
      <c r="AP64" s="160" t="str">
        <f t="shared" si="10"/>
        <v>QC</v>
      </c>
      <c r="AQ64" s="160" t="str">
        <f t="shared" si="11"/>
        <v>QC</v>
      </c>
      <c r="AR64" s="160" t="str">
        <f t="shared" si="12"/>
        <v>POC</v>
      </c>
      <c r="AS64" s="160"/>
      <c r="AT64" s="160"/>
      <c r="AU64" s="160"/>
      <c r="AV64" s="160"/>
      <c r="AW64" s="160"/>
      <c r="AX64" s="160"/>
      <c r="AY64" s="160"/>
      <c r="AZ64" s="160"/>
      <c r="BA64" s="160"/>
      <c r="BB64" s="160"/>
      <c r="BC64" s="160"/>
      <c r="BD64" s="160"/>
      <c r="BE64" s="160"/>
      <c r="BF64" s="160"/>
      <c r="BG64" s="160"/>
      <c r="BH64" s="160"/>
      <c r="BI64" s="160"/>
      <c r="BJ64" s="160"/>
      <c r="BK64" s="160"/>
      <c r="BL64" s="160"/>
      <c r="BM64" s="160"/>
      <c r="BN64" s="160"/>
      <c r="BO64" s="160"/>
      <c r="BP64" s="160"/>
      <c r="BQ64" s="160"/>
      <c r="BR64" s="160"/>
      <c r="BS64" s="160"/>
      <c r="BT64" s="160"/>
      <c r="BU64" s="160"/>
      <c r="BV64" s="160"/>
      <c r="BW64" s="160"/>
      <c r="BX64" s="160"/>
      <c r="BY64" s="160"/>
      <c r="BZ64" s="160"/>
      <c r="CA64" s="160"/>
      <c r="CB64" s="160"/>
      <c r="CC64" s="160"/>
      <c r="CD64" s="160"/>
      <c r="CE64" s="160"/>
      <c r="CF64" s="160"/>
      <c r="CG64" s="160"/>
      <c r="CH64" s="160"/>
      <c r="CI64" s="160"/>
      <c r="CJ64" s="160"/>
      <c r="CK64" s="160"/>
      <c r="CL64" s="160"/>
    </row>
    <row r="65">
      <c r="A65" s="174" t="s">
        <v>474</v>
      </c>
      <c r="B65" s="11" t="s">
        <v>475</v>
      </c>
      <c r="C65" s="175" t="s">
        <v>58</v>
      </c>
      <c r="D65" s="176" t="str">
        <f>IFERROR(VLOOKUP(C65, PIC!A:B, 2, 0), "")</f>
        <v>Nhat Nguyen</v>
      </c>
      <c r="E65" s="11" t="s">
        <v>23</v>
      </c>
      <c r="F65" s="11"/>
      <c r="G65" s="11"/>
      <c r="H65" s="170">
        <f>IFERROR(
  MINIFS(ATTENDANCE_LOG!$F:$F,
         ATTENDANCE_LOG!$A:$A, C65,
         ATTENDANCE_LOG!$B:$B, E65),
"")</f>
        <v>45841.58333</v>
      </c>
      <c r="I65" s="170">
        <f t="shared" si="2"/>
        <v>45638.41667</v>
      </c>
      <c r="J65" s="11" t="str">
        <f>IFERROR(VLOOKUP(F65, LEVEL_HELPER!$A:$B, 2, 0), "")</f>
        <v/>
      </c>
      <c r="K65" s="11" t="str">
        <f>IFERROR(VLOOKUP(G65, LEVEL_HELPER!$A:$B, 2, 0), "")</f>
        <v/>
      </c>
      <c r="L65" s="171" t="s">
        <v>400</v>
      </c>
      <c r="M65" s="171" t="s">
        <v>154</v>
      </c>
      <c r="N65" s="11">
        <f t="array" ref="N65">IFERROR(
  INDEX($J$2:$J$531,
    MATCH(A65&amp;TEXT(I65,"yyyy-mm-dd"),
          $A$2:$A$531&amp;TEXT($H$2:$H$531,"yyyy-mm-dd"),
          0)),
"")</f>
        <v>1</v>
      </c>
      <c r="O65" s="160">
        <f t="shared" si="3"/>
        <v>3.5</v>
      </c>
      <c r="P65" s="160">
        <f t="shared" ref="P65:Q65" si="75">IF(N65="",0,IF(N65&lt;=2,1,IF(N65&lt;=4,2,IF(N65&lt;=5.5,3,4))))</f>
        <v>1</v>
      </c>
      <c r="Q65" s="160">
        <f t="shared" si="75"/>
        <v>2</v>
      </c>
      <c r="R65" s="160" t="str">
        <f t="shared" si="5"/>
        <v>Lv1 → Lv2</v>
      </c>
      <c r="S65" s="160">
        <f t="shared" si="6"/>
        <v>1</v>
      </c>
      <c r="T65" s="177" t="s">
        <v>908</v>
      </c>
      <c r="U65" s="160">
        <f>COUNTIFS(sheet2!$A:$A,A65,sheet2!$E:$E,E65)</f>
        <v>2</v>
      </c>
      <c r="V65" s="160"/>
      <c r="W65" s="160"/>
      <c r="X65" s="160" t="str">
        <f t="shared" si="7"/>
        <v>#N/A</v>
      </c>
      <c r="Y65" s="160" t="str">
        <f t="shared" si="8"/>
        <v>#N/A</v>
      </c>
      <c r="Z65" s="160" t="str">
        <f t="shared" si="9"/>
        <v>#N/A</v>
      </c>
      <c r="AA65" s="160"/>
      <c r="AB65" s="160"/>
      <c r="AC65" s="160"/>
      <c r="AD65" s="160"/>
      <c r="AE65" s="160"/>
      <c r="AF65" s="160"/>
      <c r="AG65" s="160"/>
      <c r="AH65" s="160"/>
      <c r="AI65" s="160"/>
      <c r="AJ65" s="160"/>
      <c r="AK65" s="160"/>
      <c r="AL65" s="160"/>
      <c r="AM65" s="160"/>
      <c r="AN65" s="164"/>
      <c r="AO65" s="161" t="str">
        <f>IFERROR(__xludf.DUMMYFUNCTION("""COMPUTED_VALUE"""),"213859")</f>
        <v>213859</v>
      </c>
      <c r="AP65" s="160" t="str">
        <f t="shared" si="10"/>
        <v>GSD</v>
      </c>
      <c r="AQ65" s="160" t="str">
        <f t="shared" si="11"/>
        <v>GSD</v>
      </c>
      <c r="AR65" s="160" t="str">
        <f t="shared" si="12"/>
        <v>MOC</v>
      </c>
      <c r="AS65" s="160"/>
      <c r="AT65" s="160"/>
      <c r="AU65" s="160"/>
      <c r="AV65" s="160"/>
      <c r="AW65" s="160"/>
      <c r="AX65" s="160"/>
      <c r="AY65" s="160"/>
      <c r="AZ65" s="160"/>
      <c r="BA65" s="160"/>
      <c r="BB65" s="160"/>
      <c r="BC65" s="160"/>
      <c r="BD65" s="160"/>
      <c r="BE65" s="160"/>
      <c r="BF65" s="160"/>
      <c r="BG65" s="160"/>
      <c r="BH65" s="160"/>
      <c r="BI65" s="160"/>
      <c r="BJ65" s="160"/>
      <c r="BK65" s="160"/>
      <c r="BL65" s="160"/>
      <c r="BM65" s="160"/>
      <c r="BN65" s="160"/>
      <c r="BO65" s="160"/>
      <c r="BP65" s="160"/>
      <c r="BQ65" s="160"/>
      <c r="BR65" s="160"/>
      <c r="BS65" s="160"/>
      <c r="BT65" s="160"/>
      <c r="BU65" s="160"/>
      <c r="BV65" s="160"/>
      <c r="BW65" s="160"/>
      <c r="BX65" s="160"/>
      <c r="BY65" s="160"/>
      <c r="BZ65" s="160"/>
      <c r="CA65" s="160"/>
      <c r="CB65" s="160"/>
      <c r="CC65" s="160"/>
      <c r="CD65" s="160"/>
      <c r="CE65" s="160"/>
      <c r="CF65" s="160"/>
      <c r="CG65" s="160"/>
      <c r="CH65" s="160"/>
      <c r="CI65" s="160"/>
      <c r="CJ65" s="160"/>
      <c r="CK65" s="160"/>
      <c r="CL65" s="160"/>
    </row>
    <row r="66">
      <c r="A66" s="174" t="s">
        <v>464</v>
      </c>
      <c r="B66" s="11" t="s">
        <v>465</v>
      </c>
      <c r="C66" s="175" t="s">
        <v>58</v>
      </c>
      <c r="D66" s="176" t="str">
        <f>IFERROR(VLOOKUP(C66, PIC!A:B, 2, 0), "")</f>
        <v>Nhat Nguyen</v>
      </c>
      <c r="E66" s="11" t="s">
        <v>23</v>
      </c>
      <c r="F66" s="11"/>
      <c r="G66" s="11"/>
      <c r="H66" s="170">
        <f>IFERROR(
  MINIFS(ATTENDANCE_LOG!$F:$F,
         ATTENDANCE_LOG!$A:$A, C66,
         ATTENDANCE_LOG!$B:$B, E66),
"")</f>
        <v>45841.58333</v>
      </c>
      <c r="I66" s="170">
        <f t="shared" si="2"/>
        <v>45638.41667</v>
      </c>
      <c r="J66" s="11" t="str">
        <f>IFERROR(VLOOKUP(F66, LEVEL_HELPER!$A:$B, 2, 0), "")</f>
        <v/>
      </c>
      <c r="K66" s="11" t="str">
        <f>IFERROR(VLOOKUP(G66, LEVEL_HELPER!$A:$B, 2, 0), "")</f>
        <v/>
      </c>
      <c r="L66" s="171" t="s">
        <v>847</v>
      </c>
      <c r="M66" s="171" t="s">
        <v>150</v>
      </c>
      <c r="N66" s="11">
        <f t="array" ref="N66">IFERROR(
  INDEX($J$2:$J$531,
    MATCH(A66&amp;TEXT(I66,"yyyy-mm-dd"),
          $A$2:$A$531&amp;TEXT($H$2:$H$531,"yyyy-mm-dd"),
          0)),
"")</f>
        <v>1</v>
      </c>
      <c r="O66" s="160">
        <f t="shared" si="3"/>
        <v>3.5</v>
      </c>
      <c r="P66" s="160">
        <f t="shared" ref="P66:Q66" si="76">IF(N66="",0,IF(N66&lt;=2,1,IF(N66&lt;=4,2,IF(N66&lt;=5.5,3,4))))</f>
        <v>1</v>
      </c>
      <c r="Q66" s="160">
        <f t="shared" si="76"/>
        <v>2</v>
      </c>
      <c r="R66" s="160" t="str">
        <f t="shared" si="5"/>
        <v>Lv1 → Lv2</v>
      </c>
      <c r="S66" s="160">
        <f t="shared" si="6"/>
        <v>1</v>
      </c>
      <c r="T66" s="177" t="s">
        <v>909</v>
      </c>
      <c r="U66" s="160">
        <f>COUNTIFS(sheet2!$A:$A,A66,sheet2!$E:$E,E66)</f>
        <v>2</v>
      </c>
      <c r="V66" s="160"/>
      <c r="W66" s="160"/>
      <c r="X66" s="160" t="str">
        <f t="shared" si="7"/>
        <v>#N/A</v>
      </c>
      <c r="Y66" s="160" t="str">
        <f t="shared" si="8"/>
        <v>#N/A</v>
      </c>
      <c r="Z66" s="160" t="str">
        <f t="shared" si="9"/>
        <v>#N/A</v>
      </c>
      <c r="AA66" s="160"/>
      <c r="AB66" s="160"/>
      <c r="AC66" s="160"/>
      <c r="AD66" s="160"/>
      <c r="AE66" s="160"/>
      <c r="AF66" s="160"/>
      <c r="AG66" s="160"/>
      <c r="AH66" s="160"/>
      <c r="AI66" s="160"/>
      <c r="AJ66" s="160"/>
      <c r="AK66" s="160"/>
      <c r="AL66" s="160"/>
      <c r="AM66" s="160"/>
      <c r="AN66" s="164"/>
      <c r="AO66" s="161" t="str">
        <f>IFERROR(__xludf.DUMMYFUNCTION("""COMPUTED_VALUE"""),"193632")</f>
        <v>193632</v>
      </c>
      <c r="AP66" s="160" t="str">
        <f t="shared" si="10"/>
        <v>GSD</v>
      </c>
      <c r="AQ66" s="160" t="str">
        <f t="shared" si="11"/>
        <v>GSD</v>
      </c>
      <c r="AR66" s="160" t="str">
        <f t="shared" si="12"/>
        <v>MOC</v>
      </c>
      <c r="AS66" s="160"/>
      <c r="AT66" s="160"/>
      <c r="AU66" s="160"/>
      <c r="AV66" s="160"/>
      <c r="AW66" s="160"/>
      <c r="AX66" s="160"/>
      <c r="AY66" s="160"/>
      <c r="AZ66" s="160"/>
      <c r="BA66" s="160"/>
      <c r="BB66" s="160"/>
      <c r="BC66" s="160"/>
      <c r="BD66" s="160"/>
      <c r="BE66" s="160"/>
      <c r="BF66" s="160"/>
      <c r="BG66" s="160"/>
      <c r="BH66" s="160"/>
      <c r="BI66" s="160"/>
      <c r="BJ66" s="160"/>
      <c r="BK66" s="160"/>
      <c r="BL66" s="160"/>
      <c r="BM66" s="160"/>
      <c r="BN66" s="160"/>
      <c r="BO66" s="160"/>
      <c r="BP66" s="160"/>
      <c r="BQ66" s="160"/>
      <c r="BR66" s="160"/>
      <c r="BS66" s="160"/>
      <c r="BT66" s="160"/>
      <c r="BU66" s="160"/>
      <c r="BV66" s="160"/>
      <c r="BW66" s="160"/>
      <c r="BX66" s="160"/>
      <c r="BY66" s="160"/>
      <c r="BZ66" s="160"/>
      <c r="CA66" s="160"/>
      <c r="CB66" s="160"/>
      <c r="CC66" s="160"/>
      <c r="CD66" s="160"/>
      <c r="CE66" s="160"/>
      <c r="CF66" s="160"/>
      <c r="CG66" s="160"/>
      <c r="CH66" s="160"/>
      <c r="CI66" s="160"/>
      <c r="CJ66" s="160"/>
      <c r="CK66" s="160"/>
      <c r="CL66" s="160"/>
    </row>
    <row r="67">
      <c r="A67" s="174" t="s">
        <v>466</v>
      </c>
      <c r="B67" s="11" t="s">
        <v>467</v>
      </c>
      <c r="C67" s="175" t="s">
        <v>58</v>
      </c>
      <c r="D67" s="176" t="str">
        <f>IFERROR(VLOOKUP(C67, PIC!A:B, 2, 0), "")</f>
        <v>Nhat Nguyen</v>
      </c>
      <c r="E67" s="11" t="s">
        <v>23</v>
      </c>
      <c r="F67" s="16" t="s">
        <v>846</v>
      </c>
      <c r="G67" s="11"/>
      <c r="H67" s="170">
        <f>IFERROR(
  MINIFS(ATTENDANCE_LOG!$F:$F,
         ATTENDANCE_LOG!$A:$A, C67,
         ATTENDANCE_LOG!$B:$B, E67),
"")</f>
        <v>45841.58333</v>
      </c>
      <c r="I67" s="170">
        <f t="shared" si="2"/>
        <v>45702.45833</v>
      </c>
      <c r="J67" s="11">
        <f>IFERROR(VLOOKUP(F67, LEVEL_HELPER!$A:$B, 2, 0), "")</f>
        <v>3</v>
      </c>
      <c r="K67" s="11" t="str">
        <f>IFERROR(VLOOKUP(G67, LEVEL_HELPER!$A:$B, 2, 0), "")</f>
        <v/>
      </c>
      <c r="L67" s="171" t="s">
        <v>400</v>
      </c>
      <c r="M67" s="183" t="s">
        <v>149</v>
      </c>
      <c r="N67" s="11">
        <f t="array" ref="N67">IFERROR(
  INDEX($J$2:$J$531,
    MATCH(A67&amp;TEXT(I67,"yyyy-mm-dd"),
          $A$2:$A$531&amp;TEXT($H$2:$H$531,"yyyy-mm-dd"),
          0)),
"")</f>
        <v>1</v>
      </c>
      <c r="O67" s="160">
        <f t="shared" si="3"/>
        <v>3</v>
      </c>
      <c r="P67" s="160">
        <f t="shared" ref="P67:Q67" si="77">IF(N67="",0,IF(N67&lt;=2,1,IF(N67&lt;=4,2,IF(N67&lt;=5.5,3,4))))</f>
        <v>1</v>
      </c>
      <c r="Q67" s="160">
        <f t="shared" si="77"/>
        <v>2</v>
      </c>
      <c r="R67" s="160" t="str">
        <f t="shared" si="5"/>
        <v>Lv1 → Lv2</v>
      </c>
      <c r="S67" s="160">
        <f t="shared" si="6"/>
        <v>0</v>
      </c>
      <c r="T67" s="172" t="s">
        <v>903</v>
      </c>
      <c r="U67" s="160">
        <f>COUNTIFS(sheet2!$A:$A,A67,sheet2!$E:$E,E67)</f>
        <v>1</v>
      </c>
      <c r="V67" s="160"/>
      <c r="W67" s="160"/>
      <c r="X67" s="160" t="str">
        <f t="shared" si="7"/>
        <v>#N/A</v>
      </c>
      <c r="Y67" s="160" t="str">
        <f t="shared" si="8"/>
        <v>#N/A</v>
      </c>
      <c r="Z67" s="160" t="str">
        <f t="shared" si="9"/>
        <v>#N/A</v>
      </c>
      <c r="AA67" s="160"/>
      <c r="AB67" s="160"/>
      <c r="AC67" s="160"/>
      <c r="AD67" s="160"/>
      <c r="AE67" s="160"/>
      <c r="AF67" s="160"/>
      <c r="AG67" s="160"/>
      <c r="AH67" s="160"/>
      <c r="AI67" s="160"/>
      <c r="AJ67" s="160"/>
      <c r="AK67" s="160"/>
      <c r="AL67" s="160"/>
      <c r="AM67" s="160"/>
      <c r="AN67" s="164"/>
      <c r="AO67" s="161" t="str">
        <f>IFERROR(__xludf.DUMMYFUNCTION("""COMPUTED_VALUE"""),"247263")</f>
        <v>247263</v>
      </c>
      <c r="AP67" s="160" t="str">
        <f t="shared" si="10"/>
        <v>GSD</v>
      </c>
      <c r="AQ67" s="160" t="str">
        <f t="shared" si="11"/>
        <v>GSD</v>
      </c>
      <c r="AR67" s="160" t="str">
        <f t="shared" si="12"/>
        <v>MOC</v>
      </c>
      <c r="AS67" s="160"/>
      <c r="AT67" s="160"/>
      <c r="AU67" s="160"/>
      <c r="AV67" s="160"/>
      <c r="AW67" s="160"/>
      <c r="AX67" s="160"/>
      <c r="AY67" s="160"/>
      <c r="AZ67" s="160"/>
      <c r="BA67" s="160"/>
      <c r="BB67" s="160"/>
      <c r="BC67" s="160"/>
      <c r="BD67" s="160"/>
      <c r="BE67" s="160"/>
      <c r="BF67" s="160"/>
      <c r="BG67" s="160"/>
      <c r="BH67" s="160"/>
      <c r="BI67" s="160"/>
      <c r="BJ67" s="160"/>
      <c r="BK67" s="160"/>
      <c r="BL67" s="160"/>
      <c r="BM67" s="160"/>
      <c r="BN67" s="160"/>
      <c r="BO67" s="160"/>
      <c r="BP67" s="160"/>
      <c r="BQ67" s="160"/>
      <c r="BR67" s="160"/>
      <c r="BS67" s="160"/>
      <c r="BT67" s="160"/>
      <c r="BU67" s="160"/>
      <c r="BV67" s="160"/>
      <c r="BW67" s="160"/>
      <c r="BX67" s="160"/>
      <c r="BY67" s="160"/>
      <c r="BZ67" s="160"/>
      <c r="CA67" s="160"/>
      <c r="CB67" s="160"/>
      <c r="CC67" s="160"/>
      <c r="CD67" s="160"/>
      <c r="CE67" s="160"/>
      <c r="CF67" s="160"/>
      <c r="CG67" s="160"/>
      <c r="CH67" s="160"/>
      <c r="CI67" s="160"/>
      <c r="CJ67" s="160"/>
      <c r="CK67" s="160"/>
      <c r="CL67" s="160"/>
    </row>
    <row r="68">
      <c r="A68" s="174" t="s">
        <v>476</v>
      </c>
      <c r="B68" s="11" t="s">
        <v>477</v>
      </c>
      <c r="C68" s="175" t="s">
        <v>58</v>
      </c>
      <c r="D68" s="176" t="str">
        <f>IFERROR(VLOOKUP(C68, PIC!A:B, 2, 0), "")</f>
        <v>Nhat Nguyen</v>
      </c>
      <c r="E68" s="11" t="s">
        <v>23</v>
      </c>
      <c r="F68" s="16" t="s">
        <v>846</v>
      </c>
      <c r="G68" s="16" t="s">
        <v>868</v>
      </c>
      <c r="H68" s="170">
        <f>IFERROR(
  MINIFS(ATTENDANCE_LOG!$F:$F,
         ATTENDANCE_LOG!$A:$A, C68,
         ATTENDANCE_LOG!$B:$B, E68),
"")</f>
        <v>45841.58333</v>
      </c>
      <c r="I68" s="170">
        <f t="shared" si="2"/>
        <v>45702.45833</v>
      </c>
      <c r="J68" s="11">
        <f>IFERROR(VLOOKUP(F68, LEVEL_HELPER!$A:$B, 2, 0), "")</f>
        <v>3</v>
      </c>
      <c r="K68" s="11">
        <f>IFERROR(VLOOKUP(G68, LEVEL_HELPER!$A:$B, 2, 0), "")</f>
        <v>5</v>
      </c>
      <c r="L68" s="171" t="s">
        <v>400</v>
      </c>
      <c r="M68" s="171" t="s">
        <v>150</v>
      </c>
      <c r="N68" s="11">
        <f t="array" ref="N68">IFERROR(
  INDEX($J$2:$J$531,
    MATCH(A68&amp;TEXT(I68,"yyyy-mm-dd"),
          $A$2:$A$531&amp;TEXT($H$2:$H$531,"yyyy-mm-dd"),
          0)),
"")</f>
        <v>1</v>
      </c>
      <c r="O68" s="160">
        <f t="shared" si="3"/>
        <v>5</v>
      </c>
      <c r="P68" s="160">
        <f t="shared" ref="P68:Q68" si="78">IF(N68="",0,IF(N68&lt;=2,1,IF(N68&lt;=4,2,IF(N68&lt;=5.5,3,4))))</f>
        <v>1</v>
      </c>
      <c r="Q68" s="160">
        <f t="shared" si="78"/>
        <v>3</v>
      </c>
      <c r="R68" s="160" t="str">
        <f t="shared" si="5"/>
        <v>Lv1 → Lv3 (multi)</v>
      </c>
      <c r="S68" s="160">
        <f t="shared" si="6"/>
        <v>0</v>
      </c>
      <c r="T68" s="177" t="s">
        <v>904</v>
      </c>
      <c r="U68" s="160">
        <f>COUNTIFS(sheet2!$A:$A,A68,sheet2!$E:$E,E68)</f>
        <v>1</v>
      </c>
      <c r="V68" s="160"/>
      <c r="W68" s="160"/>
      <c r="X68" s="160" t="str">
        <f t="shared" si="7"/>
        <v>#N/A</v>
      </c>
      <c r="Y68" s="160" t="str">
        <f t="shared" si="8"/>
        <v>#N/A</v>
      </c>
      <c r="Z68" s="160" t="str">
        <f t="shared" si="9"/>
        <v>#N/A</v>
      </c>
      <c r="AA68" s="160"/>
      <c r="AB68" s="160"/>
      <c r="AC68" s="160"/>
      <c r="AD68" s="160"/>
      <c r="AE68" s="160"/>
      <c r="AF68" s="160"/>
      <c r="AG68" s="160"/>
      <c r="AH68" s="160"/>
      <c r="AI68" s="160"/>
      <c r="AJ68" s="160"/>
      <c r="AK68" s="160"/>
      <c r="AL68" s="160"/>
      <c r="AM68" s="160"/>
      <c r="AN68" s="164"/>
      <c r="AO68" s="161" t="str">
        <f>IFERROR(__xludf.DUMMYFUNCTION("""COMPUTED_VALUE"""),"247262")</f>
        <v>247262</v>
      </c>
      <c r="AP68" s="160" t="str">
        <f t="shared" si="10"/>
        <v>GSD</v>
      </c>
      <c r="AQ68" s="160" t="str">
        <f t="shared" si="11"/>
        <v>GSD</v>
      </c>
      <c r="AR68" s="160" t="str">
        <f t="shared" si="12"/>
        <v>MOC</v>
      </c>
      <c r="AS68" s="160"/>
      <c r="AT68" s="160"/>
      <c r="AU68" s="160"/>
      <c r="AV68" s="160"/>
      <c r="AW68" s="160"/>
      <c r="AX68" s="160"/>
      <c r="AY68" s="160"/>
      <c r="AZ68" s="160"/>
      <c r="BA68" s="160"/>
      <c r="BB68" s="160"/>
      <c r="BC68" s="160"/>
      <c r="BD68" s="160"/>
      <c r="BE68" s="160"/>
      <c r="BF68" s="160"/>
      <c r="BG68" s="160"/>
      <c r="BH68" s="160"/>
      <c r="BI68" s="160"/>
      <c r="BJ68" s="160"/>
      <c r="BK68" s="160"/>
      <c r="BL68" s="160"/>
      <c r="BM68" s="160"/>
      <c r="BN68" s="160"/>
      <c r="BO68" s="160"/>
      <c r="BP68" s="160"/>
      <c r="BQ68" s="160"/>
      <c r="BR68" s="160"/>
      <c r="BS68" s="160"/>
      <c r="BT68" s="160"/>
      <c r="BU68" s="160"/>
      <c r="BV68" s="160"/>
      <c r="BW68" s="160"/>
      <c r="BX68" s="160"/>
      <c r="BY68" s="160"/>
      <c r="BZ68" s="160"/>
      <c r="CA68" s="160"/>
      <c r="CB68" s="160"/>
      <c r="CC68" s="160"/>
      <c r="CD68" s="160"/>
      <c r="CE68" s="160"/>
      <c r="CF68" s="160"/>
      <c r="CG68" s="160"/>
      <c r="CH68" s="160"/>
      <c r="CI68" s="160"/>
      <c r="CJ68" s="160"/>
      <c r="CK68" s="160"/>
      <c r="CL68" s="160"/>
    </row>
    <row r="69">
      <c r="A69" s="174" t="s">
        <v>470</v>
      </c>
      <c r="B69" s="11" t="s">
        <v>471</v>
      </c>
      <c r="C69" s="175" t="s">
        <v>58</v>
      </c>
      <c r="D69" s="176" t="str">
        <f>IFERROR(VLOOKUP(C69, PIC!A:B, 2, 0), "")</f>
        <v>Nhat Nguyen</v>
      </c>
      <c r="E69" s="11" t="s">
        <v>23</v>
      </c>
      <c r="F69" s="16" t="s">
        <v>846</v>
      </c>
      <c r="G69" s="11"/>
      <c r="H69" s="170">
        <f>IFERROR(
  MINIFS(ATTENDANCE_LOG!$F:$F,
         ATTENDANCE_LOG!$A:$A, C69,
         ATTENDANCE_LOG!$B:$B, E69),
"")</f>
        <v>45841.58333</v>
      </c>
      <c r="I69" s="170">
        <f t="shared" si="2"/>
        <v>45702.45833</v>
      </c>
      <c r="J69" s="11">
        <f>IFERROR(VLOOKUP(F69, LEVEL_HELPER!$A:$B, 2, 0), "")</f>
        <v>3</v>
      </c>
      <c r="K69" s="11" t="str">
        <f>IFERROR(VLOOKUP(G69, LEVEL_HELPER!$A:$B, 2, 0), "")</f>
        <v/>
      </c>
      <c r="L69" s="171" t="s">
        <v>400</v>
      </c>
      <c r="M69" s="183" t="s">
        <v>149</v>
      </c>
      <c r="N69" s="11">
        <f t="array" ref="N69">IFERROR(
  INDEX($J$2:$J$531,
    MATCH(A69&amp;TEXT(I69,"yyyy-mm-dd"),
          $A$2:$A$531&amp;TEXT($H$2:$H$531,"yyyy-mm-dd"),
          0)),
"")</f>
        <v>1</v>
      </c>
      <c r="O69" s="160">
        <f t="shared" si="3"/>
        <v>3</v>
      </c>
      <c r="P69" s="160">
        <f t="shared" ref="P69:Q69" si="79">IF(N69="",0,IF(N69&lt;=2,1,IF(N69&lt;=4,2,IF(N69&lt;=5.5,3,4))))</f>
        <v>1</v>
      </c>
      <c r="Q69" s="160">
        <f t="shared" si="79"/>
        <v>2</v>
      </c>
      <c r="R69" s="160" t="str">
        <f t="shared" si="5"/>
        <v>Lv1 → Lv2</v>
      </c>
      <c r="S69" s="160">
        <f t="shared" si="6"/>
        <v>0</v>
      </c>
      <c r="T69" s="177" t="s">
        <v>905</v>
      </c>
      <c r="U69" s="160">
        <f>COUNTIFS(sheet2!$A:$A,A69,sheet2!$E:$E,E69)</f>
        <v>1</v>
      </c>
      <c r="V69" s="160"/>
      <c r="W69" s="160"/>
      <c r="X69" s="160" t="str">
        <f t="shared" si="7"/>
        <v>#N/A</v>
      </c>
      <c r="Y69" s="160" t="str">
        <f t="shared" si="8"/>
        <v>#N/A</v>
      </c>
      <c r="Z69" s="160" t="str">
        <f t="shared" si="9"/>
        <v>#N/A</v>
      </c>
      <c r="AA69" s="160"/>
      <c r="AB69" s="160"/>
      <c r="AC69" s="160"/>
      <c r="AD69" s="160"/>
      <c r="AE69" s="160"/>
      <c r="AF69" s="160"/>
      <c r="AG69" s="160"/>
      <c r="AH69" s="160"/>
      <c r="AI69" s="160"/>
      <c r="AJ69" s="160"/>
      <c r="AK69" s="160"/>
      <c r="AL69" s="160"/>
      <c r="AM69" s="160"/>
      <c r="AN69" s="164"/>
      <c r="AO69" s="161" t="str">
        <f>IFERROR(__xludf.DUMMYFUNCTION("""COMPUTED_VALUE"""),"237147")</f>
        <v>237147</v>
      </c>
      <c r="AP69" s="160" t="str">
        <f t="shared" si="10"/>
        <v>GSD</v>
      </c>
      <c r="AQ69" s="160" t="str">
        <f t="shared" si="11"/>
        <v>GSD</v>
      </c>
      <c r="AR69" s="160" t="str">
        <f t="shared" si="12"/>
        <v>MOC</v>
      </c>
      <c r="AS69" s="160"/>
      <c r="AT69" s="160"/>
      <c r="AU69" s="160"/>
      <c r="AV69" s="160"/>
      <c r="AW69" s="160"/>
      <c r="AX69" s="160"/>
      <c r="AY69" s="160"/>
      <c r="AZ69" s="160"/>
      <c r="BA69" s="160"/>
      <c r="BB69" s="160"/>
      <c r="BC69" s="160"/>
      <c r="BD69" s="160"/>
      <c r="BE69" s="160"/>
      <c r="BF69" s="160"/>
      <c r="BG69" s="160"/>
      <c r="BH69" s="160"/>
      <c r="BI69" s="160"/>
      <c r="BJ69" s="160"/>
      <c r="BK69" s="160"/>
      <c r="BL69" s="160"/>
      <c r="BM69" s="160"/>
      <c r="BN69" s="160"/>
      <c r="BO69" s="160"/>
      <c r="BP69" s="160"/>
      <c r="BQ69" s="160"/>
      <c r="BR69" s="160"/>
      <c r="BS69" s="160"/>
      <c r="BT69" s="160"/>
      <c r="BU69" s="160"/>
      <c r="BV69" s="160"/>
      <c r="BW69" s="160"/>
      <c r="BX69" s="160"/>
      <c r="BY69" s="160"/>
      <c r="BZ69" s="160"/>
      <c r="CA69" s="160"/>
      <c r="CB69" s="160"/>
      <c r="CC69" s="160"/>
      <c r="CD69" s="160"/>
      <c r="CE69" s="160"/>
      <c r="CF69" s="160"/>
      <c r="CG69" s="160"/>
      <c r="CH69" s="160"/>
      <c r="CI69" s="160"/>
      <c r="CJ69" s="160"/>
      <c r="CK69" s="160"/>
      <c r="CL69" s="160"/>
    </row>
    <row r="70">
      <c r="A70" s="174" t="s">
        <v>472</v>
      </c>
      <c r="B70" s="11" t="s">
        <v>473</v>
      </c>
      <c r="C70" s="175" t="s">
        <v>58</v>
      </c>
      <c r="D70" s="176" t="str">
        <f>IFERROR(VLOOKUP(C70, PIC!A:B, 2, 0), "")</f>
        <v>Nhat Nguyen</v>
      </c>
      <c r="E70" s="11" t="s">
        <v>23</v>
      </c>
      <c r="F70" s="11"/>
      <c r="G70" s="11"/>
      <c r="H70" s="170">
        <f>IFERROR(
  MINIFS(ATTENDANCE_LOG!$F:$F,
         ATTENDANCE_LOG!$A:$A, C70,
         ATTENDANCE_LOG!$B:$B, E70),
"")</f>
        <v>45841.58333</v>
      </c>
      <c r="I70" s="170">
        <f t="shared" si="2"/>
        <v>45638.41667</v>
      </c>
      <c r="J70" s="11" t="str">
        <f>IFERROR(VLOOKUP(F70, LEVEL_HELPER!$A:$B, 2, 0), "")</f>
        <v/>
      </c>
      <c r="K70" s="11" t="str">
        <f>IFERROR(VLOOKUP(G70, LEVEL_HELPER!$A:$B, 2, 0), "")</f>
        <v/>
      </c>
      <c r="L70" s="171" t="s">
        <v>400</v>
      </c>
      <c r="M70" s="171" t="s">
        <v>154</v>
      </c>
      <c r="N70" s="11">
        <f t="array" ref="N70">IFERROR(
  INDEX($J$2:$J$531,
    MATCH(A70&amp;TEXT(I70,"yyyy-mm-dd"),
          $A$2:$A$531&amp;TEXT($H$2:$H$531,"yyyy-mm-dd"),
          0)),
"")</f>
        <v>1</v>
      </c>
      <c r="O70" s="160">
        <f t="shared" si="3"/>
        <v>3</v>
      </c>
      <c r="P70" s="160">
        <f t="shared" ref="P70:Q70" si="80">IF(N70="",0,IF(N70&lt;=2,1,IF(N70&lt;=4,2,IF(N70&lt;=5.5,3,4))))</f>
        <v>1</v>
      </c>
      <c r="Q70" s="160">
        <f t="shared" si="80"/>
        <v>2</v>
      </c>
      <c r="R70" s="160" t="str">
        <f t="shared" si="5"/>
        <v>Lv1 → Lv2</v>
      </c>
      <c r="S70" s="160">
        <f t="shared" si="6"/>
        <v>1</v>
      </c>
      <c r="T70" s="177" t="s">
        <v>910</v>
      </c>
      <c r="U70" s="160">
        <f>COUNTIFS(sheet2!$A:$A,A70,sheet2!$E:$E,E70)</f>
        <v>2</v>
      </c>
      <c r="V70" s="160"/>
      <c r="W70" s="160"/>
      <c r="X70" s="160" t="str">
        <f t="shared" si="7"/>
        <v>#N/A</v>
      </c>
      <c r="Y70" s="160" t="str">
        <f t="shared" si="8"/>
        <v>#N/A</v>
      </c>
      <c r="Z70" s="160" t="str">
        <f t="shared" si="9"/>
        <v>#N/A</v>
      </c>
      <c r="AA70" s="160"/>
      <c r="AB70" s="160"/>
      <c r="AC70" s="160"/>
      <c r="AD70" s="160"/>
      <c r="AE70" s="160"/>
      <c r="AF70" s="160"/>
      <c r="AG70" s="160"/>
      <c r="AH70" s="160"/>
      <c r="AI70" s="160"/>
      <c r="AJ70" s="160"/>
      <c r="AK70" s="160"/>
      <c r="AL70" s="160"/>
      <c r="AM70" s="160"/>
      <c r="AN70" s="164"/>
      <c r="AO70" s="161" t="str">
        <f>IFERROR(__xludf.DUMMYFUNCTION("""COMPUTED_VALUE"""),"227005")</f>
        <v>227005</v>
      </c>
      <c r="AP70" s="160" t="str">
        <f t="shared" si="10"/>
        <v>IM</v>
      </c>
      <c r="AQ70" s="160" t="str">
        <f t="shared" si="11"/>
        <v>PPO, SM, IM </v>
      </c>
      <c r="AR70" s="160" t="str">
        <f t="shared" si="12"/>
        <v>CHORUS</v>
      </c>
      <c r="AS70" s="160"/>
      <c r="AT70" s="160"/>
      <c r="AU70" s="160"/>
      <c r="AV70" s="160"/>
      <c r="AW70" s="160"/>
      <c r="AX70" s="160"/>
      <c r="AY70" s="160"/>
      <c r="AZ70" s="160"/>
      <c r="BA70" s="160"/>
      <c r="BB70" s="160"/>
      <c r="BC70" s="160"/>
      <c r="BD70" s="160"/>
      <c r="BE70" s="160"/>
      <c r="BF70" s="160"/>
      <c r="BG70" s="160"/>
      <c r="BH70" s="160"/>
      <c r="BI70" s="160"/>
      <c r="BJ70" s="160"/>
      <c r="BK70" s="160"/>
      <c r="BL70" s="160"/>
      <c r="BM70" s="160"/>
      <c r="BN70" s="160"/>
      <c r="BO70" s="160"/>
      <c r="BP70" s="160"/>
      <c r="BQ70" s="160"/>
      <c r="BR70" s="160"/>
      <c r="BS70" s="160"/>
      <c r="BT70" s="160"/>
      <c r="BU70" s="160"/>
      <c r="BV70" s="160"/>
      <c r="BW70" s="160"/>
      <c r="BX70" s="160"/>
      <c r="BY70" s="160"/>
      <c r="BZ70" s="160"/>
      <c r="CA70" s="160"/>
      <c r="CB70" s="160"/>
      <c r="CC70" s="160"/>
      <c r="CD70" s="160"/>
      <c r="CE70" s="160"/>
      <c r="CF70" s="160"/>
      <c r="CG70" s="160"/>
      <c r="CH70" s="160"/>
      <c r="CI70" s="160"/>
      <c r="CJ70" s="160"/>
      <c r="CK70" s="160"/>
      <c r="CL70" s="160"/>
    </row>
    <row r="71">
      <c r="A71" s="166" t="s">
        <v>294</v>
      </c>
      <c r="B71" s="167" t="s">
        <v>295</v>
      </c>
      <c r="C71" s="168" t="s">
        <v>59</v>
      </c>
      <c r="D71" s="169" t="str">
        <f>IFERROR(VLOOKUP(C71, PIC!A:B, 2, 0), "")</f>
        <v>Hung Nguyen</v>
      </c>
      <c r="E71" s="167" t="s">
        <v>22</v>
      </c>
      <c r="F71" s="16" t="s">
        <v>849</v>
      </c>
      <c r="G71" s="16" t="s">
        <v>846</v>
      </c>
      <c r="H71" s="170">
        <f>IFERROR(
  MINIFS(ATTENDANCE_LOG!$F:$F,
         ATTENDANCE_LOG!$A:$A, C71,
         ATTENDANCE_LOG!$B:$B, E71),
"")</f>
        <v>45772.58333</v>
      </c>
      <c r="I71" s="170">
        <f t="shared" si="2"/>
        <v>45772.58333</v>
      </c>
      <c r="J71" s="11">
        <f>IFERROR(VLOOKUP(F71, LEVEL_HELPER!$A:$B, 2, 0), "")</f>
        <v>1</v>
      </c>
      <c r="K71" s="11">
        <f>IFERROR(VLOOKUP(G71, LEVEL_HELPER!$A:$B, 2, 0), "")</f>
        <v>3</v>
      </c>
      <c r="L71" s="171" t="s">
        <v>400</v>
      </c>
      <c r="M71" s="171" t="s">
        <v>154</v>
      </c>
      <c r="N71" s="11">
        <f t="array" ref="N71">IFERROR(
  INDEX($J$2:$J$531,
    MATCH(A71&amp;TEXT(I71,"yyyy-mm-dd"),
          $A$2:$A$531&amp;TEXT($H$2:$H$531,"yyyy-mm-dd"),
          0)),
"")</f>
        <v>1</v>
      </c>
      <c r="O71" s="160">
        <f t="shared" si="3"/>
        <v>5</v>
      </c>
      <c r="P71" s="160">
        <f t="shared" ref="P71:Q71" si="81">IF(N71="",0,IF(N71&lt;=2,1,IF(N71&lt;=4,2,IF(N71&lt;=5.5,3,4))))</f>
        <v>1</v>
      </c>
      <c r="Q71" s="160">
        <f t="shared" si="81"/>
        <v>3</v>
      </c>
      <c r="R71" s="160" t="str">
        <f t="shared" si="5"/>
        <v>Lv1 → Lv3 (multi)</v>
      </c>
      <c r="S71" s="160">
        <f t="shared" si="6"/>
        <v>1</v>
      </c>
      <c r="T71" s="186" t="s">
        <v>911</v>
      </c>
      <c r="U71" s="160">
        <f>COUNTIFS(sheet2!$A:$A,A71,sheet2!$E:$E,E71)</f>
        <v>1</v>
      </c>
      <c r="V71" s="160"/>
      <c r="W71" s="160"/>
      <c r="X71" s="160" t="str">
        <f t="shared" si="7"/>
        <v>#N/A</v>
      </c>
      <c r="Y71" s="160" t="str">
        <f t="shared" si="8"/>
        <v>#N/A</v>
      </c>
      <c r="Z71" s="160" t="str">
        <f t="shared" si="9"/>
        <v>#N/A</v>
      </c>
      <c r="AA71" s="160"/>
      <c r="AB71" s="160"/>
      <c r="AC71" s="160"/>
      <c r="AD71" s="160"/>
      <c r="AE71" s="160"/>
      <c r="AF71" s="160"/>
      <c r="AG71" s="160"/>
      <c r="AH71" s="160"/>
      <c r="AI71" s="160"/>
      <c r="AJ71" s="160"/>
      <c r="AK71" s="160"/>
      <c r="AL71" s="160"/>
      <c r="AM71" s="160"/>
      <c r="AN71" s="164"/>
      <c r="AO71" s="161" t="str">
        <f>IFERROR(__xludf.DUMMYFUNCTION("""COMPUTED_VALUE"""),"213813")</f>
        <v>213813</v>
      </c>
      <c r="AP71" s="160" t="str">
        <f t="shared" si="10"/>
        <v>DEV</v>
      </c>
      <c r="AQ71" s="160" t="str">
        <f t="shared" si="11"/>
        <v>DEV, TA</v>
      </c>
      <c r="AR71" s="160" t="str">
        <f t="shared" si="12"/>
        <v>LBU</v>
      </c>
      <c r="AS71" s="160"/>
      <c r="AT71" s="160"/>
      <c r="AU71" s="160"/>
      <c r="AV71" s="160"/>
      <c r="AW71" s="160"/>
      <c r="AX71" s="160"/>
      <c r="AY71" s="160"/>
      <c r="AZ71" s="160"/>
      <c r="BA71" s="160"/>
      <c r="BB71" s="160"/>
      <c r="BC71" s="160"/>
      <c r="BD71" s="160"/>
      <c r="BE71" s="160"/>
      <c r="BF71" s="160"/>
      <c r="BG71" s="160"/>
      <c r="BH71" s="160"/>
      <c r="BI71" s="160"/>
      <c r="BJ71" s="160"/>
      <c r="BK71" s="160"/>
      <c r="BL71" s="160"/>
      <c r="BM71" s="160"/>
      <c r="BN71" s="160"/>
      <c r="BO71" s="160"/>
      <c r="BP71" s="160"/>
      <c r="BQ71" s="160"/>
      <c r="BR71" s="160"/>
      <c r="BS71" s="160"/>
      <c r="BT71" s="160"/>
      <c r="BU71" s="160"/>
      <c r="BV71" s="160"/>
      <c r="BW71" s="160"/>
      <c r="BX71" s="160"/>
      <c r="BY71" s="160"/>
      <c r="BZ71" s="160"/>
      <c r="CA71" s="160"/>
      <c r="CB71" s="160"/>
      <c r="CC71" s="160"/>
      <c r="CD71" s="160"/>
      <c r="CE71" s="160"/>
      <c r="CF71" s="160"/>
      <c r="CG71" s="160"/>
      <c r="CH71" s="160"/>
      <c r="CI71" s="160"/>
      <c r="CJ71" s="160"/>
      <c r="CK71" s="160"/>
      <c r="CL71" s="160"/>
    </row>
    <row r="72">
      <c r="A72" s="174" t="s">
        <v>288</v>
      </c>
      <c r="B72" s="11" t="s">
        <v>289</v>
      </c>
      <c r="C72" s="175" t="s">
        <v>59</v>
      </c>
      <c r="D72" s="176" t="str">
        <f>IFERROR(VLOOKUP(C72, PIC!A:B, 2, 0), "")</f>
        <v>Hung Nguyen</v>
      </c>
      <c r="E72" s="11" t="s">
        <v>22</v>
      </c>
      <c r="F72" s="16" t="s">
        <v>849</v>
      </c>
      <c r="G72" s="16" t="s">
        <v>853</v>
      </c>
      <c r="H72" s="170">
        <f>IFERROR(
  MINIFS(ATTENDANCE_LOG!$F:$F,
         ATTENDANCE_LOG!$A:$A, C72,
         ATTENDANCE_LOG!$B:$B, E72),
"")</f>
        <v>45772.58333</v>
      </c>
      <c r="I72" s="170">
        <f t="shared" si="2"/>
        <v>45772.58333</v>
      </c>
      <c r="J72" s="11">
        <f>IFERROR(VLOOKUP(F72, LEVEL_HELPER!$A:$B, 2, 0), "")</f>
        <v>1</v>
      </c>
      <c r="K72" s="11">
        <f>IFERROR(VLOOKUP(G72, LEVEL_HELPER!$A:$B, 2, 0), "")</f>
        <v>1.5</v>
      </c>
      <c r="L72" s="171" t="s">
        <v>400</v>
      </c>
      <c r="M72" s="171" t="s">
        <v>154</v>
      </c>
      <c r="N72" s="11">
        <f t="array" ref="N72">IFERROR(
  INDEX($J$2:$J$531,
    MATCH(A72&amp;TEXT(I72,"yyyy-mm-dd"),
          $A$2:$A$531&amp;TEXT($H$2:$H$531,"yyyy-mm-dd"),
          0)),
"")</f>
        <v>1</v>
      </c>
      <c r="O72" s="160">
        <f t="shared" si="3"/>
        <v>5</v>
      </c>
      <c r="P72" s="160">
        <f t="shared" ref="P72:Q72" si="82">IF(N72="",0,IF(N72&lt;=2,1,IF(N72&lt;=4,2,IF(N72&lt;=5.5,3,4))))</f>
        <v>1</v>
      </c>
      <c r="Q72" s="160">
        <f t="shared" si="82"/>
        <v>3</v>
      </c>
      <c r="R72" s="160" t="str">
        <f t="shared" si="5"/>
        <v>Lv1 → Lv3 (multi)</v>
      </c>
      <c r="S72" s="160">
        <f t="shared" si="6"/>
        <v>1</v>
      </c>
      <c r="T72" s="187" t="s">
        <v>912</v>
      </c>
      <c r="U72" s="160">
        <f>COUNTIFS(sheet2!$A:$A,A72,sheet2!$E:$E,E72)</f>
        <v>1</v>
      </c>
      <c r="V72" s="160"/>
      <c r="W72" s="160"/>
      <c r="X72" s="160" t="str">
        <f t="shared" si="7"/>
        <v>#N/A</v>
      </c>
      <c r="Y72" s="160" t="str">
        <f t="shared" si="8"/>
        <v>#N/A</v>
      </c>
      <c r="Z72" s="160" t="str">
        <f t="shared" si="9"/>
        <v>#N/A</v>
      </c>
      <c r="AA72" s="160"/>
      <c r="AB72" s="160"/>
      <c r="AC72" s="160"/>
      <c r="AD72" s="160"/>
      <c r="AE72" s="160"/>
      <c r="AF72" s="160"/>
      <c r="AG72" s="160"/>
      <c r="AH72" s="160"/>
      <c r="AI72" s="160"/>
      <c r="AJ72" s="160"/>
      <c r="AK72" s="160"/>
      <c r="AL72" s="160"/>
      <c r="AM72" s="160"/>
      <c r="AN72" s="164"/>
      <c r="AO72" s="161" t="str">
        <f>IFERROR(__xludf.DUMMYFUNCTION("""COMPUTED_VALUE"""),"203786")</f>
        <v>203786</v>
      </c>
      <c r="AP72" s="160" t="str">
        <f t="shared" si="10"/>
        <v>BA</v>
      </c>
      <c r="AQ72" s="160" t="str">
        <f t="shared" si="11"/>
        <v>BA, BC</v>
      </c>
      <c r="AR72" s="160" t="str">
        <f t="shared" si="12"/>
        <v>LBU</v>
      </c>
      <c r="AS72" s="160"/>
      <c r="AT72" s="160"/>
      <c r="AU72" s="160"/>
      <c r="AV72" s="160"/>
      <c r="AW72" s="160"/>
      <c r="AX72" s="160"/>
      <c r="AY72" s="160"/>
      <c r="AZ72" s="160"/>
      <c r="BA72" s="160"/>
      <c r="BB72" s="160"/>
      <c r="BC72" s="160"/>
      <c r="BD72" s="160"/>
      <c r="BE72" s="160"/>
      <c r="BF72" s="160"/>
      <c r="BG72" s="160"/>
      <c r="BH72" s="160"/>
      <c r="BI72" s="160"/>
      <c r="BJ72" s="160"/>
      <c r="BK72" s="160"/>
      <c r="BL72" s="160"/>
      <c r="BM72" s="160"/>
      <c r="BN72" s="160"/>
      <c r="BO72" s="160"/>
      <c r="BP72" s="160"/>
      <c r="BQ72" s="160"/>
      <c r="BR72" s="160"/>
      <c r="BS72" s="160"/>
      <c r="BT72" s="160"/>
      <c r="BU72" s="160"/>
      <c r="BV72" s="160"/>
      <c r="BW72" s="160"/>
      <c r="BX72" s="160"/>
      <c r="BY72" s="160"/>
      <c r="BZ72" s="160"/>
      <c r="CA72" s="160"/>
      <c r="CB72" s="160"/>
      <c r="CC72" s="160"/>
      <c r="CD72" s="160"/>
      <c r="CE72" s="160"/>
      <c r="CF72" s="160"/>
      <c r="CG72" s="160"/>
      <c r="CH72" s="160"/>
      <c r="CI72" s="160"/>
      <c r="CJ72" s="160"/>
      <c r="CK72" s="160"/>
      <c r="CL72" s="160"/>
    </row>
    <row r="73">
      <c r="A73" s="174" t="s">
        <v>290</v>
      </c>
      <c r="B73" s="11" t="s">
        <v>291</v>
      </c>
      <c r="C73" s="175" t="s">
        <v>59</v>
      </c>
      <c r="D73" s="176" t="str">
        <f>IFERROR(VLOOKUP(C73, PIC!A:B, 2, 0), "")</f>
        <v>Hung Nguyen</v>
      </c>
      <c r="E73" s="11" t="s">
        <v>22</v>
      </c>
      <c r="F73" s="16" t="s">
        <v>849</v>
      </c>
      <c r="G73" s="16" t="s">
        <v>846</v>
      </c>
      <c r="H73" s="170">
        <f>IFERROR(
  MINIFS(ATTENDANCE_LOG!$F:$F,
         ATTENDANCE_LOG!$A:$A, C73,
         ATTENDANCE_LOG!$B:$B, E73),
"")</f>
        <v>45772.58333</v>
      </c>
      <c r="I73" s="170">
        <f t="shared" si="2"/>
        <v>45772.58333</v>
      </c>
      <c r="J73" s="11">
        <f>IFERROR(VLOOKUP(F73, LEVEL_HELPER!$A:$B, 2, 0), "")</f>
        <v>1</v>
      </c>
      <c r="K73" s="11">
        <f>IFERROR(VLOOKUP(G73, LEVEL_HELPER!$A:$B, 2, 0), "")</f>
        <v>3</v>
      </c>
      <c r="L73" s="171" t="s">
        <v>847</v>
      </c>
      <c r="M73" s="171" t="s">
        <v>154</v>
      </c>
      <c r="N73" s="11">
        <f t="array" ref="N73">IFERROR(
  INDEX($J$2:$J$531,
    MATCH(A73&amp;TEXT(I73,"yyyy-mm-dd"),
          $A$2:$A$531&amp;TEXT($H$2:$H$531,"yyyy-mm-dd"),
          0)),
"")</f>
        <v>1</v>
      </c>
      <c r="O73" s="160">
        <f t="shared" si="3"/>
        <v>4.5</v>
      </c>
      <c r="P73" s="160">
        <f t="shared" ref="P73:Q73" si="83">IF(N73="",0,IF(N73&lt;=2,1,IF(N73&lt;=4,2,IF(N73&lt;=5.5,3,4))))</f>
        <v>1</v>
      </c>
      <c r="Q73" s="160">
        <f t="shared" si="83"/>
        <v>3</v>
      </c>
      <c r="R73" s="160" t="str">
        <f t="shared" si="5"/>
        <v>Lv1 → Lv3 (multi)</v>
      </c>
      <c r="S73" s="160">
        <f t="shared" si="6"/>
        <v>1</v>
      </c>
      <c r="T73" s="187" t="s">
        <v>913</v>
      </c>
      <c r="U73" s="160">
        <f>COUNTIFS(sheet2!$A:$A,A73,sheet2!$E:$E,E73)</f>
        <v>1</v>
      </c>
      <c r="V73" s="160"/>
      <c r="W73" s="160"/>
      <c r="X73" s="160" t="str">
        <f t="shared" si="7"/>
        <v>#N/A</v>
      </c>
      <c r="Y73" s="160" t="str">
        <f t="shared" si="8"/>
        <v>#N/A</v>
      </c>
      <c r="Z73" s="160" t="str">
        <f t="shared" si="9"/>
        <v>#N/A</v>
      </c>
      <c r="AA73" s="160"/>
      <c r="AB73" s="160"/>
      <c r="AC73" s="160"/>
      <c r="AD73" s="160"/>
      <c r="AE73" s="160"/>
      <c r="AF73" s="160"/>
      <c r="AG73" s="160"/>
      <c r="AH73" s="160"/>
      <c r="AI73" s="160"/>
      <c r="AJ73" s="160"/>
      <c r="AK73" s="160"/>
      <c r="AL73" s="160"/>
      <c r="AM73" s="160"/>
      <c r="AN73" s="164"/>
      <c r="AO73" s="161" t="str">
        <f>IFERROR(__xludf.DUMMYFUNCTION("""COMPUTED_VALUE"""),"257121")</f>
        <v>257121</v>
      </c>
      <c r="AP73" s="160" t="str">
        <f t="shared" si="10"/>
        <v>GSD</v>
      </c>
      <c r="AQ73" s="160" t="str">
        <f t="shared" si="11"/>
        <v>GSD</v>
      </c>
      <c r="AR73" s="160" t="str">
        <f t="shared" si="12"/>
        <v>POC</v>
      </c>
      <c r="AS73" s="160"/>
      <c r="AT73" s="160"/>
      <c r="AU73" s="160"/>
      <c r="AV73" s="160"/>
      <c r="AW73" s="160"/>
      <c r="AX73" s="160"/>
      <c r="AY73" s="160"/>
      <c r="AZ73" s="160"/>
      <c r="BA73" s="160"/>
      <c r="BB73" s="160"/>
      <c r="BC73" s="160"/>
      <c r="BD73" s="160"/>
      <c r="BE73" s="160"/>
      <c r="BF73" s="160"/>
      <c r="BG73" s="160"/>
      <c r="BH73" s="160"/>
      <c r="BI73" s="160"/>
      <c r="BJ73" s="160"/>
      <c r="BK73" s="160"/>
      <c r="BL73" s="160"/>
      <c r="BM73" s="160"/>
      <c r="BN73" s="160"/>
      <c r="BO73" s="160"/>
      <c r="BP73" s="160"/>
      <c r="BQ73" s="160"/>
      <c r="BR73" s="160"/>
      <c r="BS73" s="160"/>
      <c r="BT73" s="160"/>
      <c r="BU73" s="160"/>
      <c r="BV73" s="160"/>
      <c r="BW73" s="160"/>
      <c r="BX73" s="160"/>
      <c r="BY73" s="160"/>
      <c r="BZ73" s="160"/>
      <c r="CA73" s="160"/>
      <c r="CB73" s="160"/>
      <c r="CC73" s="160"/>
      <c r="CD73" s="160"/>
      <c r="CE73" s="160"/>
      <c r="CF73" s="160"/>
      <c r="CG73" s="160"/>
      <c r="CH73" s="160"/>
      <c r="CI73" s="160"/>
      <c r="CJ73" s="160"/>
      <c r="CK73" s="160"/>
      <c r="CL73" s="160"/>
    </row>
    <row r="74">
      <c r="A74" s="174" t="s">
        <v>292</v>
      </c>
      <c r="B74" s="11" t="s">
        <v>293</v>
      </c>
      <c r="C74" s="175" t="s">
        <v>59</v>
      </c>
      <c r="D74" s="176" t="str">
        <f>IFERROR(VLOOKUP(C74, PIC!A:B, 2, 0), "")</f>
        <v>Hung Nguyen</v>
      </c>
      <c r="E74" s="11" t="s">
        <v>22</v>
      </c>
      <c r="F74" s="16" t="s">
        <v>849</v>
      </c>
      <c r="G74" s="16" t="s">
        <v>853</v>
      </c>
      <c r="H74" s="170">
        <f>IFERROR(
  MINIFS(ATTENDANCE_LOG!$F:$F,
         ATTENDANCE_LOG!$A:$A, C74,
         ATTENDANCE_LOG!$B:$B, E74),
"")</f>
        <v>45772.58333</v>
      </c>
      <c r="I74" s="170">
        <f t="shared" si="2"/>
        <v>45772.58333</v>
      </c>
      <c r="J74" s="11">
        <f>IFERROR(VLOOKUP(F74, LEVEL_HELPER!$A:$B, 2, 0), "")</f>
        <v>1</v>
      </c>
      <c r="K74" s="11">
        <f>IFERROR(VLOOKUP(G74, LEVEL_HELPER!$A:$B, 2, 0), "")</f>
        <v>1.5</v>
      </c>
      <c r="L74" s="171" t="s">
        <v>400</v>
      </c>
      <c r="M74" s="171" t="s">
        <v>154</v>
      </c>
      <c r="N74" s="11">
        <f t="array" ref="N74">IFERROR(
  INDEX($J$2:$J$531,
    MATCH(A74&amp;TEXT(I74,"yyyy-mm-dd"),
          $A$2:$A$531&amp;TEXT($H$2:$H$531,"yyyy-mm-dd"),
          0)),
"")</f>
        <v>1</v>
      </c>
      <c r="O74" s="160">
        <f t="shared" si="3"/>
        <v>5</v>
      </c>
      <c r="P74" s="160">
        <f t="shared" ref="P74:Q74" si="84">IF(N74="",0,IF(N74&lt;=2,1,IF(N74&lt;=4,2,IF(N74&lt;=5.5,3,4))))</f>
        <v>1</v>
      </c>
      <c r="Q74" s="160">
        <f t="shared" si="84"/>
        <v>3</v>
      </c>
      <c r="R74" s="160" t="str">
        <f t="shared" si="5"/>
        <v>Lv1 → Lv3 (multi)</v>
      </c>
      <c r="S74" s="160">
        <f t="shared" si="6"/>
        <v>1</v>
      </c>
      <c r="T74" s="187" t="s">
        <v>914</v>
      </c>
      <c r="U74" s="160">
        <f>COUNTIFS(sheet2!$A:$A,A74,sheet2!$E:$E,E74)</f>
        <v>1</v>
      </c>
      <c r="V74" s="160"/>
      <c r="W74" s="160"/>
      <c r="X74" s="160" t="str">
        <f t="shared" si="7"/>
        <v>#N/A</v>
      </c>
      <c r="Y74" s="160" t="str">
        <f t="shared" si="8"/>
        <v>#N/A</v>
      </c>
      <c r="Z74" s="160" t="str">
        <f t="shared" si="9"/>
        <v>#N/A</v>
      </c>
      <c r="AA74" s="160"/>
      <c r="AB74" s="160"/>
      <c r="AC74" s="160"/>
      <c r="AD74" s="160"/>
      <c r="AE74" s="160"/>
      <c r="AF74" s="160"/>
      <c r="AG74" s="160"/>
      <c r="AH74" s="160"/>
      <c r="AI74" s="160"/>
      <c r="AJ74" s="160"/>
      <c r="AK74" s="160"/>
      <c r="AL74" s="160"/>
      <c r="AM74" s="160"/>
      <c r="AN74" s="164"/>
      <c r="AO74" s="161" t="str">
        <f>IFERROR(__xludf.DUMMYFUNCTION("""COMPUTED_VALUE"""),"257135")</f>
        <v>257135</v>
      </c>
      <c r="AP74" s="160" t="str">
        <f t="shared" si="10"/>
        <v>Designer</v>
      </c>
      <c r="AQ74" s="160" t="str">
        <f t="shared" si="11"/>
        <v>UI/UX, Des</v>
      </c>
      <c r="AR74" s="160" t="str">
        <f t="shared" si="12"/>
        <v>LBU</v>
      </c>
      <c r="AS74" s="160"/>
      <c r="AT74" s="160"/>
      <c r="AU74" s="160"/>
      <c r="AV74" s="160"/>
      <c r="AW74" s="160"/>
      <c r="AX74" s="160"/>
      <c r="AY74" s="160"/>
      <c r="AZ74" s="160"/>
      <c r="BA74" s="160"/>
      <c r="BB74" s="160"/>
      <c r="BC74" s="160"/>
      <c r="BD74" s="160"/>
      <c r="BE74" s="160"/>
      <c r="BF74" s="160"/>
      <c r="BG74" s="160"/>
      <c r="BH74" s="160"/>
      <c r="BI74" s="160"/>
      <c r="BJ74" s="160"/>
      <c r="BK74" s="160"/>
      <c r="BL74" s="160"/>
      <c r="BM74" s="160"/>
      <c r="BN74" s="160"/>
      <c r="BO74" s="160"/>
      <c r="BP74" s="160"/>
      <c r="BQ74" s="160"/>
      <c r="BR74" s="160"/>
      <c r="BS74" s="160"/>
      <c r="BT74" s="160"/>
      <c r="BU74" s="160"/>
      <c r="BV74" s="160"/>
      <c r="BW74" s="160"/>
      <c r="BX74" s="160"/>
      <c r="BY74" s="160"/>
      <c r="BZ74" s="160"/>
      <c r="CA74" s="160"/>
      <c r="CB74" s="160"/>
      <c r="CC74" s="160"/>
      <c r="CD74" s="160"/>
      <c r="CE74" s="160"/>
      <c r="CF74" s="160"/>
      <c r="CG74" s="160"/>
      <c r="CH74" s="160"/>
      <c r="CI74" s="160"/>
      <c r="CJ74" s="160"/>
      <c r="CK74" s="160"/>
      <c r="CL74" s="160"/>
    </row>
    <row r="75">
      <c r="A75" s="174" t="s">
        <v>296</v>
      </c>
      <c r="B75" s="11" t="s">
        <v>297</v>
      </c>
      <c r="C75" s="175" t="s">
        <v>59</v>
      </c>
      <c r="D75" s="176" t="str">
        <f>IFERROR(VLOOKUP(C75, PIC!A:B, 2, 0), "")</f>
        <v>Hung Nguyen</v>
      </c>
      <c r="E75" s="11" t="s">
        <v>22</v>
      </c>
      <c r="F75" s="16" t="s">
        <v>849</v>
      </c>
      <c r="G75" s="16" t="s">
        <v>861</v>
      </c>
      <c r="H75" s="170">
        <f>IFERROR(
  MINIFS(ATTENDANCE_LOG!$F:$F,
         ATTENDANCE_LOG!$A:$A, C75,
         ATTENDANCE_LOG!$B:$B, E75),
"")</f>
        <v>45772.58333</v>
      </c>
      <c r="I75" s="170">
        <f t="shared" si="2"/>
        <v>45772.58333</v>
      </c>
      <c r="J75" s="11">
        <f>IFERROR(VLOOKUP(F75, LEVEL_HELPER!$A:$B, 2, 0), "")</f>
        <v>1</v>
      </c>
      <c r="K75" s="11">
        <f>IFERROR(VLOOKUP(G75, LEVEL_HELPER!$A:$B, 2, 0), "")</f>
        <v>3.5</v>
      </c>
      <c r="L75" s="171" t="s">
        <v>400</v>
      </c>
      <c r="M75" s="171" t="s">
        <v>154</v>
      </c>
      <c r="N75" s="11">
        <f t="array" ref="N75">IFERROR(
  INDEX($J$2:$J$531,
    MATCH(A75&amp;TEXT(I75,"yyyy-mm-dd"),
          $A$2:$A$531&amp;TEXT($H$2:$H$531,"yyyy-mm-dd"),
          0)),
"")</f>
        <v>1</v>
      </c>
      <c r="O75" s="160">
        <f t="shared" si="3"/>
        <v>5</v>
      </c>
      <c r="P75" s="160">
        <f t="shared" ref="P75:Q75" si="85">IF(N75="",0,IF(N75&lt;=2,1,IF(N75&lt;=4,2,IF(N75&lt;=5.5,3,4))))</f>
        <v>1</v>
      </c>
      <c r="Q75" s="160">
        <f t="shared" si="85"/>
        <v>3</v>
      </c>
      <c r="R75" s="160" t="str">
        <f t="shared" si="5"/>
        <v>Lv1 → Lv3 (multi)</v>
      </c>
      <c r="S75" s="160">
        <f t="shared" si="6"/>
        <v>1</v>
      </c>
      <c r="T75" s="187" t="s">
        <v>915</v>
      </c>
      <c r="U75" s="160">
        <f>COUNTIFS(sheet2!$A:$A,A75,sheet2!$E:$E,E75)</f>
        <v>1</v>
      </c>
      <c r="V75" s="160"/>
      <c r="W75" s="160"/>
      <c r="X75" s="160" t="str">
        <f t="shared" si="7"/>
        <v>#N/A</v>
      </c>
      <c r="Y75" s="160" t="str">
        <f t="shared" si="8"/>
        <v>#N/A</v>
      </c>
      <c r="Z75" s="160" t="str">
        <f t="shared" si="9"/>
        <v>#N/A</v>
      </c>
      <c r="AA75" s="160"/>
      <c r="AB75" s="160"/>
      <c r="AC75" s="160"/>
      <c r="AD75" s="160"/>
      <c r="AE75" s="160"/>
      <c r="AF75" s="160"/>
      <c r="AG75" s="160"/>
      <c r="AH75" s="160"/>
      <c r="AI75" s="160"/>
      <c r="AJ75" s="160"/>
      <c r="AK75" s="160"/>
      <c r="AL75" s="160"/>
      <c r="AM75" s="160"/>
      <c r="AN75" s="164"/>
      <c r="AO75" s="161" t="str">
        <f>IFERROR(__xludf.DUMMYFUNCTION("""COMPUTED_VALUE"""),"257059")</f>
        <v>257059</v>
      </c>
      <c r="AP75" s="160" t="str">
        <f t="shared" si="10"/>
        <v>Designer</v>
      </c>
      <c r="AQ75" s="160" t="str">
        <f t="shared" si="11"/>
        <v>UI/UX, Des</v>
      </c>
      <c r="AR75" s="160" t="str">
        <f t="shared" si="12"/>
        <v>LBU</v>
      </c>
      <c r="AS75" s="160"/>
      <c r="AT75" s="160"/>
      <c r="AU75" s="160"/>
      <c r="AV75" s="160"/>
      <c r="AW75" s="160"/>
      <c r="AX75" s="160"/>
      <c r="AY75" s="160"/>
      <c r="AZ75" s="160"/>
      <c r="BA75" s="160"/>
      <c r="BB75" s="160"/>
      <c r="BC75" s="160"/>
      <c r="BD75" s="160"/>
      <c r="BE75" s="160"/>
      <c r="BF75" s="160"/>
      <c r="BG75" s="160"/>
      <c r="BH75" s="160"/>
      <c r="BI75" s="160"/>
      <c r="BJ75" s="160"/>
      <c r="BK75" s="160"/>
      <c r="BL75" s="160"/>
      <c r="BM75" s="160"/>
      <c r="BN75" s="160"/>
      <c r="BO75" s="160"/>
      <c r="BP75" s="160"/>
      <c r="BQ75" s="160"/>
      <c r="BR75" s="160"/>
      <c r="BS75" s="160"/>
      <c r="BT75" s="160"/>
      <c r="BU75" s="160"/>
      <c r="BV75" s="160"/>
      <c r="BW75" s="160"/>
      <c r="BX75" s="160"/>
      <c r="BY75" s="160"/>
      <c r="BZ75" s="160"/>
      <c r="CA75" s="160"/>
      <c r="CB75" s="160"/>
      <c r="CC75" s="160"/>
      <c r="CD75" s="160"/>
      <c r="CE75" s="160"/>
      <c r="CF75" s="160"/>
      <c r="CG75" s="160"/>
      <c r="CH75" s="160"/>
      <c r="CI75" s="160"/>
      <c r="CJ75" s="160"/>
      <c r="CK75" s="160"/>
      <c r="CL75" s="160"/>
    </row>
    <row r="76">
      <c r="A76" s="166" t="s">
        <v>294</v>
      </c>
      <c r="B76" s="167" t="s">
        <v>295</v>
      </c>
      <c r="C76" s="168" t="s">
        <v>59</v>
      </c>
      <c r="D76" s="169" t="str">
        <f>IFERROR(VLOOKUP(C76, PIC!A:B, 2, 0), "")</f>
        <v>Hung Nguyen</v>
      </c>
      <c r="E76" s="167" t="s">
        <v>23</v>
      </c>
      <c r="F76" s="16" t="s">
        <v>846</v>
      </c>
      <c r="G76" s="16" t="s">
        <v>868</v>
      </c>
      <c r="H76" s="170">
        <f>IFERROR(
  MINIFS(ATTENDANCE_LOG!$F:$F,
         ATTENDANCE_LOG!$A:$A, C76,
         ATTENDANCE_LOG!$B:$B, E76),
"")</f>
        <v>45946.45833</v>
      </c>
      <c r="I76" s="170">
        <f t="shared" si="2"/>
        <v>45772.58333</v>
      </c>
      <c r="J76" s="11">
        <f>IFERROR(VLOOKUP(F76, LEVEL_HELPER!$A:$B, 2, 0), "")</f>
        <v>3</v>
      </c>
      <c r="K76" s="11">
        <f>IFERROR(VLOOKUP(G76, LEVEL_HELPER!$A:$B, 2, 0), "")</f>
        <v>5</v>
      </c>
      <c r="L76" s="171" t="s">
        <v>400</v>
      </c>
      <c r="M76" s="171" t="s">
        <v>154</v>
      </c>
      <c r="N76" s="11">
        <f t="array" ref="N76">IFERROR(
  INDEX($J$2:$J$531,
    MATCH(A76&amp;TEXT(I76,"yyyy-mm-dd"),
          $A$2:$A$531&amp;TEXT($H$2:$H$531,"yyyy-mm-dd"),
          0)),
"")</f>
        <v>1</v>
      </c>
      <c r="O76" s="160">
        <f t="shared" si="3"/>
        <v>5</v>
      </c>
      <c r="P76" s="160">
        <f t="shared" ref="P76:Q76" si="86">IF(N76="",0,IF(N76&lt;=2,1,IF(N76&lt;=4,2,IF(N76&lt;=5.5,3,4))))</f>
        <v>1</v>
      </c>
      <c r="Q76" s="160">
        <f t="shared" si="86"/>
        <v>3</v>
      </c>
      <c r="R76" s="160" t="str">
        <f t="shared" si="5"/>
        <v>Lv1 → Lv3 (multi)</v>
      </c>
      <c r="S76" s="160">
        <f t="shared" si="6"/>
        <v>0</v>
      </c>
      <c r="T76" s="186" t="s">
        <v>911</v>
      </c>
      <c r="U76" s="160">
        <f>COUNTIFS(sheet2!$A:$A,A76,sheet2!$E:$E,E76)</f>
        <v>1</v>
      </c>
      <c r="V76" s="160"/>
      <c r="W76" s="160"/>
      <c r="X76" s="160" t="str">
        <f t="shared" si="7"/>
        <v>#N/A</v>
      </c>
      <c r="Y76" s="160" t="str">
        <f t="shared" si="8"/>
        <v>#N/A</v>
      </c>
      <c r="Z76" s="160" t="str">
        <f t="shared" si="9"/>
        <v>#N/A</v>
      </c>
      <c r="AA76" s="160"/>
      <c r="AB76" s="160"/>
      <c r="AC76" s="160"/>
      <c r="AD76" s="160"/>
      <c r="AE76" s="160"/>
      <c r="AF76" s="160"/>
      <c r="AG76" s="160"/>
      <c r="AH76" s="160"/>
      <c r="AI76" s="160"/>
      <c r="AJ76" s="160"/>
      <c r="AK76" s="160"/>
      <c r="AL76" s="160"/>
      <c r="AM76" s="160"/>
      <c r="AN76" s="164"/>
      <c r="AO76" s="161" t="str">
        <f>IFERROR(__xludf.DUMMYFUNCTION("""COMPUTED_VALUE"""),"237103")</f>
        <v>237103</v>
      </c>
      <c r="AP76" s="160" t="str">
        <f t="shared" si="10"/>
        <v>UI/UX</v>
      </c>
      <c r="AQ76" s="160" t="str">
        <f t="shared" si="11"/>
        <v>UI/UX, Des</v>
      </c>
      <c r="AR76" s="160" t="str">
        <f t="shared" si="12"/>
        <v>CHORUS</v>
      </c>
      <c r="AS76" s="160"/>
      <c r="AT76" s="160"/>
      <c r="AU76" s="160"/>
      <c r="AV76" s="160"/>
      <c r="AW76" s="160"/>
      <c r="AX76" s="160"/>
      <c r="AY76" s="160"/>
      <c r="AZ76" s="160"/>
      <c r="BA76" s="160"/>
      <c r="BB76" s="160"/>
      <c r="BC76" s="160"/>
      <c r="BD76" s="160"/>
      <c r="BE76" s="160"/>
      <c r="BF76" s="160"/>
      <c r="BG76" s="160"/>
      <c r="BH76" s="160"/>
      <c r="BI76" s="160"/>
      <c r="BJ76" s="160"/>
      <c r="BK76" s="160"/>
      <c r="BL76" s="160"/>
      <c r="BM76" s="160"/>
      <c r="BN76" s="160"/>
      <c r="BO76" s="160"/>
      <c r="BP76" s="160"/>
      <c r="BQ76" s="160"/>
      <c r="BR76" s="160"/>
      <c r="BS76" s="160"/>
      <c r="BT76" s="160"/>
      <c r="BU76" s="160"/>
      <c r="BV76" s="160"/>
      <c r="BW76" s="160"/>
      <c r="BX76" s="160"/>
      <c r="BY76" s="160"/>
      <c r="BZ76" s="160"/>
      <c r="CA76" s="160"/>
      <c r="CB76" s="160"/>
      <c r="CC76" s="160"/>
      <c r="CD76" s="160"/>
      <c r="CE76" s="160"/>
      <c r="CF76" s="160"/>
      <c r="CG76" s="160"/>
      <c r="CH76" s="160"/>
      <c r="CI76" s="160"/>
      <c r="CJ76" s="160"/>
      <c r="CK76" s="160"/>
      <c r="CL76" s="160"/>
    </row>
    <row r="77">
      <c r="A77" s="174" t="s">
        <v>288</v>
      </c>
      <c r="B77" s="11" t="s">
        <v>289</v>
      </c>
      <c r="C77" s="175" t="s">
        <v>59</v>
      </c>
      <c r="D77" s="176" t="str">
        <f>IFERROR(VLOOKUP(C77, PIC!A:B, 2, 0), "")</f>
        <v>Hung Nguyen</v>
      </c>
      <c r="E77" s="11" t="s">
        <v>23</v>
      </c>
      <c r="F77" s="16" t="s">
        <v>853</v>
      </c>
      <c r="G77" s="16" t="s">
        <v>868</v>
      </c>
      <c r="H77" s="170">
        <f>IFERROR(
  MINIFS(ATTENDANCE_LOG!$F:$F,
         ATTENDANCE_LOG!$A:$A, C77,
         ATTENDANCE_LOG!$B:$B, E77),
"")</f>
        <v>45946.45833</v>
      </c>
      <c r="I77" s="170">
        <f t="shared" si="2"/>
        <v>45772.58333</v>
      </c>
      <c r="J77" s="11">
        <f>IFERROR(VLOOKUP(F77, LEVEL_HELPER!$A:$B, 2, 0), "")</f>
        <v>1.5</v>
      </c>
      <c r="K77" s="11">
        <f>IFERROR(VLOOKUP(G77, LEVEL_HELPER!$A:$B, 2, 0), "")</f>
        <v>5</v>
      </c>
      <c r="L77" s="171" t="s">
        <v>400</v>
      </c>
      <c r="M77" s="171" t="s">
        <v>154</v>
      </c>
      <c r="N77" s="11">
        <f t="array" ref="N77">IFERROR(
  INDEX($J$2:$J$531,
    MATCH(A77&amp;TEXT(I77,"yyyy-mm-dd"),
          $A$2:$A$531&amp;TEXT($H$2:$H$531,"yyyy-mm-dd"),
          0)),
"")</f>
        <v>1</v>
      </c>
      <c r="O77" s="160">
        <f t="shared" si="3"/>
        <v>5</v>
      </c>
      <c r="P77" s="160">
        <f t="shared" ref="P77:Q77" si="87">IF(N77="",0,IF(N77&lt;=2,1,IF(N77&lt;=4,2,IF(N77&lt;=5.5,3,4))))</f>
        <v>1</v>
      </c>
      <c r="Q77" s="160">
        <f t="shared" si="87"/>
        <v>3</v>
      </c>
      <c r="R77" s="160" t="str">
        <f t="shared" si="5"/>
        <v>Lv1 → Lv3 (multi)</v>
      </c>
      <c r="S77" s="160">
        <f t="shared" si="6"/>
        <v>0</v>
      </c>
      <c r="T77" s="187" t="s">
        <v>912</v>
      </c>
      <c r="U77" s="160">
        <f>COUNTIFS(sheet2!$A:$A,A77,sheet2!$E:$E,E77)</f>
        <v>1</v>
      </c>
      <c r="V77" s="160"/>
      <c r="W77" s="160"/>
      <c r="X77" s="160" t="str">
        <f t="shared" si="7"/>
        <v>#N/A</v>
      </c>
      <c r="Y77" s="160" t="str">
        <f t="shared" si="8"/>
        <v>#N/A</v>
      </c>
      <c r="Z77" s="160" t="str">
        <f t="shared" si="9"/>
        <v>#N/A</v>
      </c>
      <c r="AA77" s="160"/>
      <c r="AB77" s="160"/>
      <c r="AC77" s="160"/>
      <c r="AD77" s="160"/>
      <c r="AE77" s="160"/>
      <c r="AF77" s="160"/>
      <c r="AG77" s="160"/>
      <c r="AH77" s="160"/>
      <c r="AI77" s="160"/>
      <c r="AJ77" s="160"/>
      <c r="AK77" s="160"/>
      <c r="AL77" s="160"/>
      <c r="AM77" s="160"/>
      <c r="AN77" s="164"/>
      <c r="AO77" s="161" t="str">
        <f>IFERROR(__xludf.DUMMYFUNCTION("""COMPUTED_VALUE"""),"183322")</f>
        <v>183322</v>
      </c>
      <c r="AP77" s="160" t="str">
        <f t="shared" si="10"/>
        <v>DEV</v>
      </c>
      <c r="AQ77" s="160" t="str">
        <f t="shared" si="11"/>
        <v>DEV, TA</v>
      </c>
      <c r="AR77" s="160" t="str">
        <f t="shared" si="12"/>
        <v>MOC</v>
      </c>
      <c r="AS77" s="160"/>
      <c r="AT77" s="160"/>
      <c r="AU77" s="160"/>
      <c r="AV77" s="160"/>
      <c r="AW77" s="160"/>
      <c r="AX77" s="160"/>
      <c r="AY77" s="160"/>
      <c r="AZ77" s="160"/>
      <c r="BA77" s="160"/>
      <c r="BB77" s="160"/>
      <c r="BC77" s="160"/>
      <c r="BD77" s="160"/>
      <c r="BE77" s="160"/>
      <c r="BF77" s="160"/>
      <c r="BG77" s="160"/>
      <c r="BH77" s="160"/>
      <c r="BI77" s="160"/>
      <c r="BJ77" s="160"/>
      <c r="BK77" s="160"/>
      <c r="BL77" s="160"/>
      <c r="BM77" s="160"/>
      <c r="BN77" s="160"/>
      <c r="BO77" s="160"/>
      <c r="BP77" s="160"/>
      <c r="BQ77" s="160"/>
      <c r="BR77" s="160"/>
      <c r="BS77" s="160"/>
      <c r="BT77" s="160"/>
      <c r="BU77" s="160"/>
      <c r="BV77" s="160"/>
      <c r="BW77" s="160"/>
      <c r="BX77" s="160"/>
      <c r="BY77" s="160"/>
      <c r="BZ77" s="160"/>
      <c r="CA77" s="160"/>
      <c r="CB77" s="160"/>
      <c r="CC77" s="160"/>
      <c r="CD77" s="160"/>
      <c r="CE77" s="160"/>
      <c r="CF77" s="160"/>
      <c r="CG77" s="160"/>
      <c r="CH77" s="160"/>
      <c r="CI77" s="160"/>
      <c r="CJ77" s="160"/>
      <c r="CK77" s="160"/>
      <c r="CL77" s="160"/>
    </row>
    <row r="78">
      <c r="A78" s="174" t="s">
        <v>290</v>
      </c>
      <c r="B78" s="11" t="s">
        <v>291</v>
      </c>
      <c r="C78" s="175" t="s">
        <v>59</v>
      </c>
      <c r="D78" s="176" t="str">
        <f>IFERROR(VLOOKUP(C78, PIC!A:B, 2, 0), "")</f>
        <v>Hung Nguyen</v>
      </c>
      <c r="E78" s="11" t="s">
        <v>23</v>
      </c>
      <c r="F78" s="16" t="s">
        <v>846</v>
      </c>
      <c r="G78" s="16" t="s">
        <v>858</v>
      </c>
      <c r="H78" s="170">
        <f>IFERROR(
  MINIFS(ATTENDANCE_LOG!$F:$F,
         ATTENDANCE_LOG!$A:$A, C78,
         ATTENDANCE_LOG!$B:$B, E78),
"")</f>
        <v>45946.45833</v>
      </c>
      <c r="I78" s="170">
        <f t="shared" si="2"/>
        <v>45772.58333</v>
      </c>
      <c r="J78" s="11">
        <f>IFERROR(VLOOKUP(F78, LEVEL_HELPER!$A:$B, 2, 0), "")</f>
        <v>3</v>
      </c>
      <c r="K78" s="11">
        <f>IFERROR(VLOOKUP(G78, LEVEL_HELPER!$A:$B, 2, 0), "")</f>
        <v>4.5</v>
      </c>
      <c r="L78" s="171" t="s">
        <v>847</v>
      </c>
      <c r="M78" s="171" t="s">
        <v>154</v>
      </c>
      <c r="N78" s="11">
        <f t="array" ref="N78">IFERROR(
  INDEX($J$2:$J$531,
    MATCH(A78&amp;TEXT(I78,"yyyy-mm-dd"),
          $A$2:$A$531&amp;TEXT($H$2:$H$531,"yyyy-mm-dd"),
          0)),
"")</f>
        <v>1</v>
      </c>
      <c r="O78" s="160">
        <f t="shared" si="3"/>
        <v>4.5</v>
      </c>
      <c r="P78" s="160">
        <f t="shared" ref="P78:Q78" si="88">IF(N78="",0,IF(N78&lt;=2,1,IF(N78&lt;=4,2,IF(N78&lt;=5.5,3,4))))</f>
        <v>1</v>
      </c>
      <c r="Q78" s="160">
        <f t="shared" si="88"/>
        <v>3</v>
      </c>
      <c r="R78" s="160" t="str">
        <f t="shared" si="5"/>
        <v>Lv1 → Lv3 (multi)</v>
      </c>
      <c r="S78" s="160">
        <f t="shared" si="6"/>
        <v>0</v>
      </c>
      <c r="T78" s="187" t="s">
        <v>913</v>
      </c>
      <c r="U78" s="160">
        <f>COUNTIFS(sheet2!$A:$A,A78,sheet2!$E:$E,E78)</f>
        <v>1</v>
      </c>
      <c r="V78" s="160"/>
      <c r="W78" s="160"/>
      <c r="X78" s="160" t="str">
        <f t="shared" si="7"/>
        <v>#N/A</v>
      </c>
      <c r="Y78" s="160" t="str">
        <f t="shared" si="8"/>
        <v>#N/A</v>
      </c>
      <c r="Z78" s="160" t="str">
        <f t="shared" si="9"/>
        <v>#N/A</v>
      </c>
      <c r="AA78" s="160"/>
      <c r="AB78" s="160"/>
      <c r="AC78" s="160"/>
      <c r="AD78" s="160"/>
      <c r="AE78" s="160"/>
      <c r="AF78" s="160"/>
      <c r="AG78" s="160"/>
      <c r="AH78" s="160"/>
      <c r="AI78" s="160"/>
      <c r="AJ78" s="160"/>
      <c r="AK78" s="160"/>
      <c r="AL78" s="160"/>
      <c r="AM78" s="160"/>
      <c r="AN78" s="164"/>
      <c r="AO78" s="161" t="str">
        <f>IFERROR(__xludf.DUMMYFUNCTION("""COMPUTED_VALUE"""),"213844")</f>
        <v>213844</v>
      </c>
      <c r="AP78" s="160" t="str">
        <f t="shared" si="10"/>
        <v>DEV</v>
      </c>
      <c r="AQ78" s="160" t="str">
        <f t="shared" si="11"/>
        <v>DEV, TA</v>
      </c>
      <c r="AR78" s="160" t="str">
        <f t="shared" si="12"/>
        <v>MOC</v>
      </c>
      <c r="AS78" s="160"/>
      <c r="AT78" s="160"/>
      <c r="AU78" s="160"/>
      <c r="AV78" s="160"/>
      <c r="AW78" s="160"/>
      <c r="AX78" s="160"/>
      <c r="AY78" s="160"/>
      <c r="AZ78" s="160"/>
      <c r="BA78" s="160"/>
      <c r="BB78" s="160"/>
      <c r="BC78" s="160"/>
      <c r="BD78" s="160"/>
      <c r="BE78" s="160"/>
      <c r="BF78" s="160"/>
      <c r="BG78" s="160"/>
      <c r="BH78" s="160"/>
      <c r="BI78" s="160"/>
      <c r="BJ78" s="160"/>
      <c r="BK78" s="160"/>
      <c r="BL78" s="160"/>
      <c r="BM78" s="160"/>
      <c r="BN78" s="160"/>
      <c r="BO78" s="160"/>
      <c r="BP78" s="160"/>
      <c r="BQ78" s="160"/>
      <c r="BR78" s="160"/>
      <c r="BS78" s="160"/>
      <c r="BT78" s="160"/>
      <c r="BU78" s="160"/>
      <c r="BV78" s="160"/>
      <c r="BW78" s="160"/>
      <c r="BX78" s="160"/>
      <c r="BY78" s="160"/>
      <c r="BZ78" s="160"/>
      <c r="CA78" s="160"/>
      <c r="CB78" s="160"/>
      <c r="CC78" s="160"/>
      <c r="CD78" s="160"/>
      <c r="CE78" s="160"/>
      <c r="CF78" s="160"/>
      <c r="CG78" s="160"/>
      <c r="CH78" s="160"/>
      <c r="CI78" s="160"/>
      <c r="CJ78" s="160"/>
      <c r="CK78" s="160"/>
      <c r="CL78" s="160"/>
    </row>
    <row r="79">
      <c r="A79" s="174" t="s">
        <v>292</v>
      </c>
      <c r="B79" s="11" t="s">
        <v>293</v>
      </c>
      <c r="C79" s="175" t="s">
        <v>59</v>
      </c>
      <c r="D79" s="176" t="str">
        <f>IFERROR(VLOOKUP(C79, PIC!A:B, 2, 0), "")</f>
        <v>Hung Nguyen</v>
      </c>
      <c r="E79" s="11" t="s">
        <v>23</v>
      </c>
      <c r="F79" s="16" t="s">
        <v>853</v>
      </c>
      <c r="G79" s="16" t="s">
        <v>868</v>
      </c>
      <c r="H79" s="170">
        <f>IFERROR(
  MINIFS(ATTENDANCE_LOG!$F:$F,
         ATTENDANCE_LOG!$A:$A, C79,
         ATTENDANCE_LOG!$B:$B, E79),
"")</f>
        <v>45946.45833</v>
      </c>
      <c r="I79" s="170">
        <f t="shared" si="2"/>
        <v>45772.58333</v>
      </c>
      <c r="J79" s="11">
        <f>IFERROR(VLOOKUP(F79, LEVEL_HELPER!$A:$B, 2, 0), "")</f>
        <v>1.5</v>
      </c>
      <c r="K79" s="11">
        <f>IFERROR(VLOOKUP(G79, LEVEL_HELPER!$A:$B, 2, 0), "")</f>
        <v>5</v>
      </c>
      <c r="L79" s="171" t="s">
        <v>400</v>
      </c>
      <c r="M79" s="171" t="s">
        <v>154</v>
      </c>
      <c r="N79" s="11">
        <f t="array" ref="N79">IFERROR(
  INDEX($J$2:$J$531,
    MATCH(A79&amp;TEXT(I79,"yyyy-mm-dd"),
          $A$2:$A$531&amp;TEXT($H$2:$H$531,"yyyy-mm-dd"),
          0)),
"")</f>
        <v>1</v>
      </c>
      <c r="O79" s="160">
        <f t="shared" si="3"/>
        <v>5</v>
      </c>
      <c r="P79" s="160">
        <f t="shared" ref="P79:Q79" si="89">IF(N79="",0,IF(N79&lt;=2,1,IF(N79&lt;=4,2,IF(N79&lt;=5.5,3,4))))</f>
        <v>1</v>
      </c>
      <c r="Q79" s="160">
        <f t="shared" si="89"/>
        <v>3</v>
      </c>
      <c r="R79" s="160" t="str">
        <f t="shared" si="5"/>
        <v>Lv1 → Lv3 (multi)</v>
      </c>
      <c r="S79" s="160">
        <f t="shared" si="6"/>
        <v>0</v>
      </c>
      <c r="T79" s="187" t="s">
        <v>914</v>
      </c>
      <c r="U79" s="160">
        <f>COUNTIFS(sheet2!$A:$A,A79,sheet2!$E:$E,E79)</f>
        <v>1</v>
      </c>
      <c r="V79" s="160"/>
      <c r="W79" s="160"/>
      <c r="X79" s="160" t="str">
        <f t="shared" si="7"/>
        <v>#N/A</v>
      </c>
      <c r="Y79" s="160" t="str">
        <f t="shared" si="8"/>
        <v>#N/A</v>
      </c>
      <c r="Z79" s="160" t="str">
        <f t="shared" si="9"/>
        <v>#N/A</v>
      </c>
      <c r="AA79" s="160"/>
      <c r="AB79" s="160"/>
      <c r="AC79" s="160"/>
      <c r="AD79" s="160"/>
      <c r="AE79" s="160"/>
      <c r="AF79" s="160"/>
      <c r="AG79" s="160"/>
      <c r="AH79" s="160"/>
      <c r="AI79" s="160"/>
      <c r="AJ79" s="160"/>
      <c r="AK79" s="160"/>
      <c r="AL79" s="160"/>
      <c r="AM79" s="160"/>
      <c r="AN79" s="164"/>
      <c r="AO79" s="161" t="str">
        <f>IFERROR(__xludf.DUMMYFUNCTION("""COMPUTED_VALUE"""),"173246")</f>
        <v>173246</v>
      </c>
      <c r="AP79" s="160" t="str">
        <f t="shared" si="10"/>
        <v>GSD</v>
      </c>
      <c r="AQ79" s="160" t="str">
        <f t="shared" si="11"/>
        <v>GSD</v>
      </c>
      <c r="AR79" s="160" t="str">
        <f t="shared" si="12"/>
        <v>POC</v>
      </c>
      <c r="AS79" s="160"/>
      <c r="AT79" s="160"/>
      <c r="AU79" s="160"/>
      <c r="AV79" s="160"/>
      <c r="AW79" s="160"/>
      <c r="AX79" s="160"/>
      <c r="AY79" s="160"/>
      <c r="AZ79" s="160"/>
      <c r="BA79" s="160"/>
      <c r="BB79" s="160"/>
      <c r="BC79" s="160"/>
      <c r="BD79" s="160"/>
      <c r="BE79" s="160"/>
      <c r="BF79" s="160"/>
      <c r="BG79" s="160"/>
      <c r="BH79" s="160"/>
      <c r="BI79" s="160"/>
      <c r="BJ79" s="160"/>
      <c r="BK79" s="160"/>
      <c r="BL79" s="160"/>
      <c r="BM79" s="160"/>
      <c r="BN79" s="160"/>
      <c r="BO79" s="160"/>
      <c r="BP79" s="160"/>
      <c r="BQ79" s="160"/>
      <c r="BR79" s="160"/>
      <c r="BS79" s="160"/>
      <c r="BT79" s="160"/>
      <c r="BU79" s="160"/>
      <c r="BV79" s="160"/>
      <c r="BW79" s="160"/>
      <c r="BX79" s="160"/>
      <c r="BY79" s="160"/>
      <c r="BZ79" s="160"/>
      <c r="CA79" s="160"/>
      <c r="CB79" s="160"/>
      <c r="CC79" s="160"/>
      <c r="CD79" s="160"/>
      <c r="CE79" s="160"/>
      <c r="CF79" s="160"/>
      <c r="CG79" s="160"/>
      <c r="CH79" s="160"/>
      <c r="CI79" s="160"/>
      <c r="CJ79" s="160"/>
      <c r="CK79" s="160"/>
      <c r="CL79" s="160"/>
    </row>
    <row r="80">
      <c r="A80" s="174" t="s">
        <v>296</v>
      </c>
      <c r="B80" s="11" t="s">
        <v>297</v>
      </c>
      <c r="C80" s="175" t="s">
        <v>59</v>
      </c>
      <c r="D80" s="176" t="str">
        <f>IFERROR(VLOOKUP(C80, PIC!A:B, 2, 0), "")</f>
        <v>Hung Nguyen</v>
      </c>
      <c r="E80" s="11" t="s">
        <v>23</v>
      </c>
      <c r="F80" s="16" t="s">
        <v>861</v>
      </c>
      <c r="G80" s="16" t="s">
        <v>868</v>
      </c>
      <c r="H80" s="170">
        <f>IFERROR(
  MINIFS(ATTENDANCE_LOG!$F:$F,
         ATTENDANCE_LOG!$A:$A, C80,
         ATTENDANCE_LOG!$B:$B, E80),
"")</f>
        <v>45946.45833</v>
      </c>
      <c r="I80" s="170">
        <f t="shared" si="2"/>
        <v>45772.58333</v>
      </c>
      <c r="J80" s="11">
        <f>IFERROR(VLOOKUP(F80, LEVEL_HELPER!$A:$B, 2, 0), "")</f>
        <v>3.5</v>
      </c>
      <c r="K80" s="11">
        <f>IFERROR(VLOOKUP(G80, LEVEL_HELPER!$A:$B, 2, 0), "")</f>
        <v>5</v>
      </c>
      <c r="L80" s="171" t="s">
        <v>400</v>
      </c>
      <c r="M80" s="171" t="s">
        <v>154</v>
      </c>
      <c r="N80" s="11">
        <f t="array" ref="N80">IFERROR(
  INDEX($J$2:$J$531,
    MATCH(A80&amp;TEXT(I80,"yyyy-mm-dd"),
          $A$2:$A$531&amp;TEXT($H$2:$H$531,"yyyy-mm-dd"),
          0)),
"")</f>
        <v>1</v>
      </c>
      <c r="O80" s="160">
        <f t="shared" si="3"/>
        <v>5</v>
      </c>
      <c r="P80" s="160">
        <f t="shared" ref="P80:Q80" si="90">IF(N80="",0,IF(N80&lt;=2,1,IF(N80&lt;=4,2,IF(N80&lt;=5.5,3,4))))</f>
        <v>1</v>
      </c>
      <c r="Q80" s="160">
        <f t="shared" si="90"/>
        <v>3</v>
      </c>
      <c r="R80" s="160" t="str">
        <f t="shared" si="5"/>
        <v>Lv1 → Lv3 (multi)</v>
      </c>
      <c r="S80" s="160">
        <f t="shared" si="6"/>
        <v>0</v>
      </c>
      <c r="T80" s="187" t="s">
        <v>915</v>
      </c>
      <c r="U80" s="160">
        <f>COUNTIFS(sheet2!$A:$A,A80,sheet2!$E:$E,E80)</f>
        <v>1</v>
      </c>
      <c r="V80" s="160"/>
      <c r="W80" s="160"/>
      <c r="X80" s="160" t="str">
        <f t="shared" si="7"/>
        <v>#N/A</v>
      </c>
      <c r="Y80" s="160" t="str">
        <f t="shared" si="8"/>
        <v>#N/A</v>
      </c>
      <c r="Z80" s="160" t="str">
        <f t="shared" si="9"/>
        <v>#N/A</v>
      </c>
      <c r="AA80" s="160"/>
      <c r="AB80" s="160"/>
      <c r="AC80" s="160"/>
      <c r="AD80" s="160"/>
      <c r="AE80" s="160"/>
      <c r="AF80" s="160"/>
      <c r="AG80" s="160"/>
      <c r="AH80" s="160"/>
      <c r="AI80" s="160"/>
      <c r="AJ80" s="160"/>
      <c r="AK80" s="160"/>
      <c r="AL80" s="160"/>
      <c r="AM80" s="160"/>
      <c r="AN80" s="164"/>
      <c r="AO80" s="161" t="str">
        <f>IFERROR(__xludf.DUMMYFUNCTION("""COMPUTED_VALUE"""),"247064")</f>
        <v>247064</v>
      </c>
      <c r="AP80" s="160" t="str">
        <f t="shared" si="10"/>
        <v>GSD</v>
      </c>
      <c r="AQ80" s="160" t="str">
        <f t="shared" si="11"/>
        <v>GSD</v>
      </c>
      <c r="AR80" s="160" t="str">
        <f t="shared" si="12"/>
        <v>POC</v>
      </c>
      <c r="AS80" s="160"/>
      <c r="AT80" s="160"/>
      <c r="AU80" s="160"/>
      <c r="AV80" s="160"/>
      <c r="AW80" s="160"/>
      <c r="AX80" s="160"/>
      <c r="AY80" s="160"/>
      <c r="AZ80" s="160"/>
      <c r="BA80" s="160"/>
      <c r="BB80" s="160"/>
      <c r="BC80" s="160"/>
      <c r="BD80" s="160"/>
      <c r="BE80" s="160"/>
      <c r="BF80" s="160"/>
      <c r="BG80" s="160"/>
      <c r="BH80" s="160"/>
      <c r="BI80" s="160"/>
      <c r="BJ80" s="160"/>
      <c r="BK80" s="160"/>
      <c r="BL80" s="160"/>
      <c r="BM80" s="160"/>
      <c r="BN80" s="160"/>
      <c r="BO80" s="160"/>
      <c r="BP80" s="160"/>
      <c r="BQ80" s="160"/>
      <c r="BR80" s="160"/>
      <c r="BS80" s="160"/>
      <c r="BT80" s="160"/>
      <c r="BU80" s="160"/>
      <c r="BV80" s="160"/>
      <c r="BW80" s="160"/>
      <c r="BX80" s="160"/>
      <c r="BY80" s="160"/>
      <c r="BZ80" s="160"/>
      <c r="CA80" s="160"/>
      <c r="CB80" s="160"/>
      <c r="CC80" s="160"/>
      <c r="CD80" s="160"/>
      <c r="CE80" s="160"/>
      <c r="CF80" s="160"/>
      <c r="CG80" s="160"/>
      <c r="CH80" s="160"/>
      <c r="CI80" s="160"/>
      <c r="CJ80" s="160"/>
      <c r="CK80" s="160"/>
      <c r="CL80" s="160"/>
    </row>
    <row r="81">
      <c r="A81" s="166" t="s">
        <v>314</v>
      </c>
      <c r="B81" s="167" t="s">
        <v>315</v>
      </c>
      <c r="C81" s="168" t="s">
        <v>60</v>
      </c>
      <c r="D81" s="169" t="str">
        <f>IFERROR(VLOOKUP(C81, PIC!A:B, 2, 0), "")</f>
        <v>Huong Le</v>
      </c>
      <c r="E81" s="167" t="s">
        <v>22</v>
      </c>
      <c r="F81" s="16" t="s">
        <v>845</v>
      </c>
      <c r="G81" s="16" t="s">
        <v>861</v>
      </c>
      <c r="H81" s="170">
        <f>IFERROR(
  MINIFS(ATTENDANCE_LOG!$F:$F,
         ATTENDANCE_LOG!$A:$A, C81,
         ATTENDANCE_LOG!$B:$B, E81),
"")</f>
        <v>45663.58333</v>
      </c>
      <c r="I81" s="170">
        <f t="shared" si="2"/>
        <v>45663.58333</v>
      </c>
      <c r="J81" s="11">
        <f>IFERROR(VLOOKUP(F81, LEVEL_HELPER!$A:$B, 2, 0), "")</f>
        <v>2.5</v>
      </c>
      <c r="K81" s="11">
        <f>IFERROR(VLOOKUP(G81, LEVEL_HELPER!$A:$B, 2, 0), "")</f>
        <v>3.5</v>
      </c>
      <c r="L81" s="171" t="s">
        <v>857</v>
      </c>
      <c r="M81" s="183" t="s">
        <v>152</v>
      </c>
      <c r="N81" s="11">
        <f t="array" ref="N81">IFERROR(
  INDEX($J$2:$J$531,
    MATCH(A81&amp;TEXT(I81,"yyyy-mm-dd"),
          $A$2:$A$531&amp;TEXT($H$2:$H$531,"yyyy-mm-dd"),
          0)),
"")</f>
        <v>2.5</v>
      </c>
      <c r="O81" s="160">
        <f t="shared" si="3"/>
        <v>3.5</v>
      </c>
      <c r="P81" s="160">
        <f t="shared" ref="P81:Q81" si="91">IF(N81="",0,IF(N81&lt;=2,1,IF(N81&lt;=4,2,IF(N81&lt;=5.5,3,4))))</f>
        <v>2</v>
      </c>
      <c r="Q81" s="160">
        <f t="shared" si="91"/>
        <v>2</v>
      </c>
      <c r="R81" s="160" t="str">
        <f t="shared" si="5"/>
        <v>Progress within level</v>
      </c>
      <c r="S81" s="160">
        <f t="shared" si="6"/>
        <v>1</v>
      </c>
      <c r="T81" s="172" t="s">
        <v>916</v>
      </c>
      <c r="U81" s="160">
        <f>COUNTIFS(sheet2!$A:$A,A81,sheet2!$E:$E,E81)</f>
        <v>1</v>
      </c>
      <c r="V81" s="160"/>
      <c r="W81" s="160"/>
      <c r="X81" s="160" t="str">
        <f t="shared" si="7"/>
        <v>#N/A</v>
      </c>
      <c r="Y81" s="160" t="str">
        <f t="shared" si="8"/>
        <v>#N/A</v>
      </c>
      <c r="Z81" s="160" t="str">
        <f t="shared" si="9"/>
        <v>#N/A</v>
      </c>
      <c r="AA81" s="160"/>
      <c r="AB81" s="160"/>
      <c r="AC81" s="160"/>
      <c r="AD81" s="160"/>
      <c r="AE81" s="160"/>
      <c r="AF81" s="160"/>
      <c r="AG81" s="160"/>
      <c r="AH81" s="160"/>
      <c r="AI81" s="160"/>
      <c r="AJ81" s="160"/>
      <c r="AK81" s="160"/>
      <c r="AL81" s="160"/>
      <c r="AM81" s="160"/>
      <c r="AN81" s="164"/>
      <c r="AO81" s="161" t="str">
        <f>IFERROR(__xludf.DUMMYFUNCTION("""COMPUTED_VALUE"""),"183330")</f>
        <v>183330</v>
      </c>
      <c r="AP81" s="160" t="str">
        <f t="shared" si="10"/>
        <v>GSD</v>
      </c>
      <c r="AQ81" s="160" t="str">
        <f t="shared" si="11"/>
        <v>GSD</v>
      </c>
      <c r="AR81" s="160" t="str">
        <f t="shared" si="12"/>
        <v>TBU</v>
      </c>
      <c r="AS81" s="160"/>
      <c r="AT81" s="160"/>
      <c r="AU81" s="160"/>
      <c r="AV81" s="160"/>
      <c r="AW81" s="160"/>
      <c r="AX81" s="160"/>
      <c r="AY81" s="160"/>
      <c r="AZ81" s="160"/>
      <c r="BA81" s="160"/>
      <c r="BB81" s="160"/>
      <c r="BC81" s="160"/>
      <c r="BD81" s="160"/>
      <c r="BE81" s="160"/>
      <c r="BF81" s="160"/>
      <c r="BG81" s="160"/>
      <c r="BH81" s="160"/>
      <c r="BI81" s="160"/>
      <c r="BJ81" s="160"/>
      <c r="BK81" s="160"/>
      <c r="BL81" s="160"/>
      <c r="BM81" s="160"/>
      <c r="BN81" s="160"/>
      <c r="BO81" s="160"/>
      <c r="BP81" s="160"/>
      <c r="BQ81" s="160"/>
      <c r="BR81" s="160"/>
      <c r="BS81" s="160"/>
      <c r="BT81" s="160"/>
      <c r="BU81" s="160"/>
      <c r="BV81" s="160"/>
      <c r="BW81" s="160"/>
      <c r="BX81" s="160"/>
      <c r="BY81" s="160"/>
      <c r="BZ81" s="160"/>
      <c r="CA81" s="160"/>
      <c r="CB81" s="160"/>
      <c r="CC81" s="160"/>
      <c r="CD81" s="160"/>
      <c r="CE81" s="160"/>
      <c r="CF81" s="160"/>
      <c r="CG81" s="160"/>
      <c r="CH81" s="160"/>
      <c r="CI81" s="160"/>
      <c r="CJ81" s="160"/>
      <c r="CK81" s="160"/>
      <c r="CL81" s="160"/>
    </row>
    <row r="82">
      <c r="A82" s="188" t="s">
        <v>752</v>
      </c>
      <c r="B82" s="189" t="s">
        <v>753</v>
      </c>
      <c r="C82" s="190" t="s">
        <v>60</v>
      </c>
      <c r="D82" s="176" t="str">
        <f>IFERROR(VLOOKUP(C82, PIC!A:B, 2, 0), "")</f>
        <v>Huong Le</v>
      </c>
      <c r="E82" s="189" t="s">
        <v>22</v>
      </c>
      <c r="F82" s="191" t="s">
        <v>849</v>
      </c>
      <c r="G82" s="191" t="s">
        <v>846</v>
      </c>
      <c r="H82" s="192">
        <f>IFERROR(
  MINIFS(ATTENDANCE_LOG!$F:$F,
         ATTENDANCE_LOG!$A:$A, C82,
         ATTENDANCE_LOG!$B:$B, E82),
"")</f>
        <v>45663.58333</v>
      </c>
      <c r="I82" s="192">
        <f t="shared" si="2"/>
        <v>45663.58333</v>
      </c>
      <c r="J82" s="189">
        <f>IFERROR(VLOOKUP(F82, LEVEL_HELPER!$A:$B, 2, 0), "")</f>
        <v>1</v>
      </c>
      <c r="K82" s="189">
        <f>IFERROR(VLOOKUP(G82, LEVEL_HELPER!$A:$B, 2, 0), "")</f>
        <v>3</v>
      </c>
      <c r="L82" s="193" t="s">
        <v>857</v>
      </c>
      <c r="M82" s="193" t="s">
        <v>150</v>
      </c>
      <c r="N82" s="189">
        <f t="array" ref="N82">IFERROR(
  INDEX($J$2:$J$531,
    MATCH(A82&amp;TEXT(I82,"yyyy-mm-dd"),
          $A$2:$A$531&amp;TEXT($H$2:$H$531,"yyyy-mm-dd"),
          0)),
"")</f>
        <v>1</v>
      </c>
      <c r="O82" s="194">
        <f t="shared" si="3"/>
        <v>3</v>
      </c>
      <c r="P82" s="194">
        <f t="shared" ref="P82:Q82" si="92">IF(N82="",0,IF(N82&lt;=2,1,IF(N82&lt;=4,2,IF(N82&lt;=5.5,3,4))))</f>
        <v>1</v>
      </c>
      <c r="Q82" s="194">
        <f t="shared" si="92"/>
        <v>2</v>
      </c>
      <c r="R82" s="194" t="str">
        <f t="shared" si="5"/>
        <v>Lv1 → Lv2</v>
      </c>
      <c r="S82" s="194">
        <f t="shared" si="6"/>
        <v>1</v>
      </c>
      <c r="T82" s="195" t="s">
        <v>917</v>
      </c>
      <c r="U82" s="160">
        <f>COUNTIFS(sheet2!$A:$A,A82,sheet2!$E:$E,E82)</f>
        <v>1</v>
      </c>
      <c r="V82" s="194"/>
      <c r="W82" s="194"/>
      <c r="X82" s="194" t="str">
        <f t="shared" si="7"/>
        <v>#N/A</v>
      </c>
      <c r="Y82" s="194" t="str">
        <f t="shared" si="8"/>
        <v>#N/A</v>
      </c>
      <c r="Z82" s="194" t="str">
        <f t="shared" si="9"/>
        <v>#N/A</v>
      </c>
      <c r="AA82" s="194"/>
      <c r="AB82" s="194"/>
      <c r="AC82" s="194"/>
      <c r="AD82" s="194"/>
      <c r="AE82" s="194"/>
      <c r="AF82" s="194"/>
      <c r="AG82" s="194"/>
      <c r="AH82" s="194"/>
      <c r="AI82" s="194"/>
      <c r="AJ82" s="194"/>
      <c r="AK82" s="194"/>
      <c r="AL82" s="194"/>
      <c r="AM82" s="194"/>
      <c r="AN82" s="196"/>
      <c r="AO82" s="197" t="str">
        <f>IFERROR(__xludf.DUMMYFUNCTION("""COMPUTED_VALUE"""),"227091")</f>
        <v>227091</v>
      </c>
      <c r="AP82" s="194" t="str">
        <f t="shared" si="10"/>
        <v>GSD</v>
      </c>
      <c r="AQ82" s="194" t="str">
        <f t="shared" si="11"/>
        <v>GSD</v>
      </c>
      <c r="AR82" s="194" t="str">
        <f t="shared" si="12"/>
        <v>POC</v>
      </c>
      <c r="AS82" s="194"/>
      <c r="AT82" s="194"/>
      <c r="AU82" s="194"/>
      <c r="AV82" s="194"/>
      <c r="AW82" s="194"/>
      <c r="AX82" s="194"/>
      <c r="AY82" s="194"/>
      <c r="AZ82" s="194"/>
      <c r="BA82" s="194"/>
      <c r="BB82" s="194"/>
      <c r="BC82" s="194"/>
      <c r="BD82" s="194"/>
      <c r="BE82" s="194"/>
      <c r="BF82" s="194"/>
      <c r="BG82" s="194"/>
      <c r="BH82" s="194"/>
      <c r="BI82" s="194"/>
      <c r="BJ82" s="194"/>
      <c r="BK82" s="194"/>
      <c r="BL82" s="194"/>
      <c r="BM82" s="194"/>
      <c r="BN82" s="194"/>
      <c r="BO82" s="194"/>
      <c r="BP82" s="194"/>
      <c r="BQ82" s="194"/>
      <c r="BR82" s="194"/>
      <c r="BS82" s="194"/>
      <c r="BT82" s="194"/>
      <c r="BU82" s="194"/>
      <c r="BV82" s="194"/>
      <c r="BW82" s="194"/>
      <c r="BX82" s="194"/>
      <c r="BY82" s="194"/>
      <c r="BZ82" s="194"/>
      <c r="CA82" s="194"/>
      <c r="CB82" s="194"/>
      <c r="CC82" s="194"/>
      <c r="CD82" s="194"/>
      <c r="CE82" s="194"/>
      <c r="CF82" s="194"/>
      <c r="CG82" s="194"/>
      <c r="CH82" s="194"/>
      <c r="CI82" s="194"/>
      <c r="CJ82" s="194"/>
      <c r="CK82" s="194"/>
      <c r="CL82" s="194"/>
    </row>
    <row r="83">
      <c r="A83" s="174" t="s">
        <v>302</v>
      </c>
      <c r="B83" s="11" t="s">
        <v>303</v>
      </c>
      <c r="C83" s="175" t="s">
        <v>60</v>
      </c>
      <c r="D83" s="176" t="str">
        <f>IFERROR(VLOOKUP(C83, PIC!A:B, 2, 0), "")</f>
        <v>Huong Le</v>
      </c>
      <c r="E83" s="11" t="s">
        <v>22</v>
      </c>
      <c r="F83" s="16" t="s">
        <v>849</v>
      </c>
      <c r="G83" s="16" t="s">
        <v>846</v>
      </c>
      <c r="H83" s="170">
        <f>IFERROR(
  MINIFS(ATTENDANCE_LOG!$F:$F,
         ATTENDANCE_LOG!$A:$A, C83,
         ATTENDANCE_LOG!$B:$B, E83),
"")</f>
        <v>45663.58333</v>
      </c>
      <c r="I83" s="170">
        <f t="shared" si="2"/>
        <v>45663.58333</v>
      </c>
      <c r="J83" s="11">
        <f>IFERROR(VLOOKUP(F83, LEVEL_HELPER!$A:$B, 2, 0), "")</f>
        <v>1</v>
      </c>
      <c r="K83" s="11">
        <f>IFERROR(VLOOKUP(G83, LEVEL_HELPER!$A:$B, 2, 0), "")</f>
        <v>3</v>
      </c>
      <c r="L83" s="171" t="s">
        <v>857</v>
      </c>
      <c r="M83" s="171" t="s">
        <v>150</v>
      </c>
      <c r="N83" s="11">
        <f t="array" ref="N83">IFERROR(
  INDEX($J$2:$J$531,
    MATCH(A83&amp;TEXT(I83,"yyyy-mm-dd"),
          $A$2:$A$531&amp;TEXT($H$2:$H$531,"yyyy-mm-dd"),
          0)),
"")</f>
        <v>1</v>
      </c>
      <c r="O83" s="160">
        <f t="shared" si="3"/>
        <v>5</v>
      </c>
      <c r="P83" s="160">
        <f t="shared" ref="P83:Q83" si="93">IF(N83="",0,IF(N83&lt;=2,1,IF(N83&lt;=4,2,IF(N83&lt;=5.5,3,4))))</f>
        <v>1</v>
      </c>
      <c r="Q83" s="160">
        <f t="shared" si="93"/>
        <v>3</v>
      </c>
      <c r="R83" s="160" t="str">
        <f t="shared" si="5"/>
        <v>Lv1 → Lv3 (multi)</v>
      </c>
      <c r="S83" s="160">
        <f t="shared" si="6"/>
        <v>1</v>
      </c>
      <c r="T83" s="177" t="s">
        <v>918</v>
      </c>
      <c r="U83" s="160">
        <f>COUNTIFS(sheet2!$A:$A,A83,sheet2!$E:$E,E83)</f>
        <v>1</v>
      </c>
      <c r="V83" s="160"/>
      <c r="W83" s="160"/>
      <c r="X83" s="160" t="str">
        <f t="shared" si="7"/>
        <v>#N/A</v>
      </c>
      <c r="Y83" s="160" t="str">
        <f t="shared" si="8"/>
        <v>#N/A</v>
      </c>
      <c r="Z83" s="160" t="str">
        <f t="shared" si="9"/>
        <v>#N/A</v>
      </c>
      <c r="AA83" s="160"/>
      <c r="AB83" s="160"/>
      <c r="AC83" s="160"/>
      <c r="AD83" s="160"/>
      <c r="AE83" s="160"/>
      <c r="AF83" s="160"/>
      <c r="AG83" s="160"/>
      <c r="AH83" s="160"/>
      <c r="AI83" s="160"/>
      <c r="AJ83" s="160"/>
      <c r="AK83" s="160"/>
      <c r="AL83" s="160"/>
      <c r="AM83" s="160"/>
      <c r="AN83" s="164"/>
      <c r="AO83" s="161" t="str">
        <f>IFERROR(__xludf.DUMMYFUNCTION("""COMPUTED_VALUE"""),"193588")</f>
        <v>193588</v>
      </c>
      <c r="AP83" s="160" t="str">
        <f t="shared" si="10"/>
        <v>DEV</v>
      </c>
      <c r="AQ83" s="160" t="str">
        <f t="shared" si="11"/>
        <v>DEV, TA</v>
      </c>
      <c r="AR83" s="160" t="str">
        <f t="shared" si="12"/>
        <v>MOC</v>
      </c>
      <c r="AS83" s="160"/>
      <c r="AT83" s="160"/>
      <c r="AU83" s="160"/>
      <c r="AV83" s="160"/>
      <c r="AW83" s="160"/>
      <c r="AX83" s="160"/>
      <c r="AY83" s="160"/>
      <c r="AZ83" s="160"/>
      <c r="BA83" s="160"/>
      <c r="BB83" s="160"/>
      <c r="BC83" s="160"/>
      <c r="BD83" s="160"/>
      <c r="BE83" s="160"/>
      <c r="BF83" s="160"/>
      <c r="BG83" s="160"/>
      <c r="BH83" s="160"/>
      <c r="BI83" s="160"/>
      <c r="BJ83" s="160"/>
      <c r="BK83" s="160"/>
      <c r="BL83" s="160"/>
      <c r="BM83" s="160"/>
      <c r="BN83" s="160"/>
      <c r="BO83" s="160"/>
      <c r="BP83" s="160"/>
      <c r="BQ83" s="160"/>
      <c r="BR83" s="160"/>
      <c r="BS83" s="160"/>
      <c r="BT83" s="160"/>
      <c r="BU83" s="160"/>
      <c r="BV83" s="160"/>
      <c r="BW83" s="160"/>
      <c r="BX83" s="160"/>
      <c r="BY83" s="160"/>
      <c r="BZ83" s="160"/>
      <c r="CA83" s="160"/>
      <c r="CB83" s="160"/>
      <c r="CC83" s="160"/>
      <c r="CD83" s="160"/>
      <c r="CE83" s="160"/>
      <c r="CF83" s="160"/>
      <c r="CG83" s="160"/>
      <c r="CH83" s="160"/>
      <c r="CI83" s="160"/>
      <c r="CJ83" s="160"/>
      <c r="CK83" s="160"/>
      <c r="CL83" s="160"/>
    </row>
    <row r="84">
      <c r="A84" s="174" t="s">
        <v>747</v>
      </c>
      <c r="B84" s="11" t="s">
        <v>283</v>
      </c>
      <c r="C84" s="175" t="s">
        <v>60</v>
      </c>
      <c r="D84" s="176" t="str">
        <f>IFERROR(VLOOKUP(C84, PIC!A:B, 2, 0), "")</f>
        <v>Huong Le</v>
      </c>
      <c r="E84" s="11" t="s">
        <v>22</v>
      </c>
      <c r="F84" s="16" t="s">
        <v>845</v>
      </c>
      <c r="G84" s="16" t="s">
        <v>846</v>
      </c>
      <c r="H84" s="170">
        <f>IFERROR(
  MINIFS(ATTENDANCE_LOG!$F:$F,
         ATTENDANCE_LOG!$A:$A, C84,
         ATTENDANCE_LOG!$B:$B, E84),
"")</f>
        <v>45663.58333</v>
      </c>
      <c r="I84" s="170">
        <f t="shared" si="2"/>
        <v>45663.58333</v>
      </c>
      <c r="J84" s="11">
        <f>IFERROR(VLOOKUP(F84, LEVEL_HELPER!$A:$B, 2, 0), "")</f>
        <v>2.5</v>
      </c>
      <c r="K84" s="11">
        <f>IFERROR(VLOOKUP(G84, LEVEL_HELPER!$A:$B, 2, 0), "")</f>
        <v>3</v>
      </c>
      <c r="L84" s="171" t="s">
        <v>857</v>
      </c>
      <c r="M84" s="171" t="s">
        <v>150</v>
      </c>
      <c r="N84" s="11">
        <f t="array" ref="N84">IFERROR(
  INDEX($J$2:$J$531,
    MATCH(A84&amp;TEXT(I84,"yyyy-mm-dd"),
          $A$2:$A$531&amp;TEXT($H$2:$H$531,"yyyy-mm-dd"),
          0)),
"")</f>
        <v>2.5</v>
      </c>
      <c r="O84" s="160">
        <f t="shared" si="3"/>
        <v>3.5</v>
      </c>
      <c r="P84" s="160">
        <f t="shared" ref="P84:Q84" si="94">IF(N84="",0,IF(N84&lt;=2,1,IF(N84&lt;=4,2,IF(N84&lt;=5.5,3,4))))</f>
        <v>2</v>
      </c>
      <c r="Q84" s="160">
        <f t="shared" si="94"/>
        <v>2</v>
      </c>
      <c r="R84" s="160" t="str">
        <f t="shared" si="5"/>
        <v>Progress within level</v>
      </c>
      <c r="S84" s="160">
        <f t="shared" si="6"/>
        <v>1</v>
      </c>
      <c r="T84" s="177" t="s">
        <v>919</v>
      </c>
      <c r="U84" s="160">
        <f>COUNTIFS(sheet2!$A:$A,A84,sheet2!$E:$E,E84)</f>
        <v>1</v>
      </c>
      <c r="V84" s="160"/>
      <c r="W84" s="160"/>
      <c r="X84" s="160" t="str">
        <f t="shared" si="7"/>
        <v>#N/A</v>
      </c>
      <c r="Y84" s="160" t="str">
        <f t="shared" si="8"/>
        <v>#N/A</v>
      </c>
      <c r="Z84" s="160" t="str">
        <f t="shared" si="9"/>
        <v>#N/A</v>
      </c>
      <c r="AA84" s="160"/>
      <c r="AB84" s="160"/>
      <c r="AC84" s="160"/>
      <c r="AD84" s="160"/>
      <c r="AE84" s="160"/>
      <c r="AF84" s="160"/>
      <c r="AG84" s="160"/>
      <c r="AH84" s="160"/>
      <c r="AI84" s="160"/>
      <c r="AJ84" s="160"/>
      <c r="AK84" s="160"/>
      <c r="AL84" s="160"/>
      <c r="AM84" s="160"/>
      <c r="AN84" s="164"/>
      <c r="AO84" s="161" t="str">
        <f>IFERROR(__xludf.DUMMYFUNCTION("""COMPUTED_VALUE"""),"163188")</f>
        <v>163188</v>
      </c>
      <c r="AP84" s="160" t="str">
        <f t="shared" si="10"/>
        <v>DEV</v>
      </c>
      <c r="AQ84" s="160" t="str">
        <f t="shared" si="11"/>
        <v>DEV, TA</v>
      </c>
      <c r="AR84" s="160" t="str">
        <f t="shared" si="12"/>
        <v>MOC</v>
      </c>
      <c r="AS84" s="160"/>
      <c r="AT84" s="160"/>
      <c r="AU84" s="160"/>
      <c r="AV84" s="160"/>
      <c r="AW84" s="160"/>
      <c r="AX84" s="160"/>
      <c r="AY84" s="160"/>
      <c r="AZ84" s="160"/>
      <c r="BA84" s="160"/>
      <c r="BB84" s="160"/>
      <c r="BC84" s="160"/>
      <c r="BD84" s="160"/>
      <c r="BE84" s="160"/>
      <c r="BF84" s="160"/>
      <c r="BG84" s="160"/>
      <c r="BH84" s="160"/>
      <c r="BI84" s="160"/>
      <c r="BJ84" s="160"/>
      <c r="BK84" s="160"/>
      <c r="BL84" s="160"/>
      <c r="BM84" s="160"/>
      <c r="BN84" s="160"/>
      <c r="BO84" s="160"/>
      <c r="BP84" s="160"/>
      <c r="BQ84" s="160"/>
      <c r="BR84" s="160"/>
      <c r="BS84" s="160"/>
      <c r="BT84" s="160"/>
      <c r="BU84" s="160"/>
      <c r="BV84" s="160"/>
      <c r="BW84" s="160"/>
      <c r="BX84" s="160"/>
      <c r="BY84" s="160"/>
      <c r="BZ84" s="160"/>
      <c r="CA84" s="160"/>
      <c r="CB84" s="160"/>
      <c r="CC84" s="160"/>
      <c r="CD84" s="160"/>
      <c r="CE84" s="160"/>
      <c r="CF84" s="160"/>
      <c r="CG84" s="160"/>
      <c r="CH84" s="160"/>
      <c r="CI84" s="160"/>
      <c r="CJ84" s="160"/>
      <c r="CK84" s="160"/>
      <c r="CL84" s="160"/>
    </row>
    <row r="85">
      <c r="A85" s="174" t="s">
        <v>308</v>
      </c>
      <c r="B85" s="11" t="s">
        <v>309</v>
      </c>
      <c r="C85" s="175" t="s">
        <v>60</v>
      </c>
      <c r="D85" s="176" t="str">
        <f>IFERROR(VLOOKUP(C85, PIC!A:B, 2, 0), "")</f>
        <v>Huong Le</v>
      </c>
      <c r="E85" s="11" t="s">
        <v>22</v>
      </c>
      <c r="F85" s="16" t="s">
        <v>849</v>
      </c>
      <c r="G85" s="16" t="s">
        <v>861</v>
      </c>
      <c r="H85" s="170">
        <f>IFERROR(
  MINIFS(ATTENDANCE_LOG!$F:$F,
         ATTENDANCE_LOG!$A:$A, C85,
         ATTENDANCE_LOG!$B:$B, E85),
"")</f>
        <v>45663.58333</v>
      </c>
      <c r="I85" s="170">
        <f t="shared" si="2"/>
        <v>45663.58333</v>
      </c>
      <c r="J85" s="11">
        <f>IFERROR(VLOOKUP(F85, LEVEL_HELPER!$A:$B, 2, 0), "")</f>
        <v>1</v>
      </c>
      <c r="K85" s="11">
        <f>IFERROR(VLOOKUP(G85, LEVEL_HELPER!$A:$B, 2, 0), "")</f>
        <v>3.5</v>
      </c>
      <c r="L85" s="171" t="s">
        <v>857</v>
      </c>
      <c r="M85" s="171" t="s">
        <v>150</v>
      </c>
      <c r="N85" s="11">
        <f t="array" ref="N85">IFERROR(
  INDEX($J$2:$J$531,
    MATCH(A85&amp;TEXT(I85,"yyyy-mm-dd"),
          $A$2:$A$531&amp;TEXT($H$2:$H$531,"yyyy-mm-dd"),
          0)),
"")</f>
        <v>1</v>
      </c>
      <c r="O85" s="160">
        <f t="shared" si="3"/>
        <v>5.5</v>
      </c>
      <c r="P85" s="160">
        <f t="shared" ref="P85:Q85" si="95">IF(N85="",0,IF(N85&lt;=2,1,IF(N85&lt;=4,2,IF(N85&lt;=5.5,3,4))))</f>
        <v>1</v>
      </c>
      <c r="Q85" s="160">
        <f t="shared" si="95"/>
        <v>3</v>
      </c>
      <c r="R85" s="160" t="str">
        <f t="shared" si="5"/>
        <v>Lv1 → Lv3 (multi)</v>
      </c>
      <c r="S85" s="160">
        <f t="shared" si="6"/>
        <v>1</v>
      </c>
      <c r="T85" s="177" t="s">
        <v>920</v>
      </c>
      <c r="U85" s="160">
        <f>COUNTIFS(sheet2!$A:$A,A85,sheet2!$E:$E,E85)</f>
        <v>1</v>
      </c>
      <c r="V85" s="160"/>
      <c r="W85" s="160"/>
      <c r="X85" s="160" t="str">
        <f t="shared" si="7"/>
        <v>#N/A</v>
      </c>
      <c r="Y85" s="160" t="str">
        <f t="shared" si="8"/>
        <v>#N/A</v>
      </c>
      <c r="Z85" s="160" t="str">
        <f t="shared" si="9"/>
        <v>#N/A</v>
      </c>
      <c r="AA85" s="160"/>
      <c r="AB85" s="160"/>
      <c r="AC85" s="160"/>
      <c r="AD85" s="160"/>
      <c r="AE85" s="160"/>
      <c r="AF85" s="160"/>
      <c r="AG85" s="160"/>
      <c r="AH85" s="160"/>
      <c r="AI85" s="160"/>
      <c r="AJ85" s="160"/>
      <c r="AK85" s="160"/>
      <c r="AL85" s="160"/>
      <c r="AM85" s="160"/>
      <c r="AN85" s="164"/>
      <c r="AO85" s="161" t="str">
        <f>IFERROR(__xludf.DUMMYFUNCTION("""COMPUTED_VALUE"""),"247119")</f>
        <v>247119</v>
      </c>
      <c r="AP85" s="160" t="str">
        <f t="shared" si="10"/>
        <v>DEV</v>
      </c>
      <c r="AQ85" s="160" t="str">
        <f t="shared" si="11"/>
        <v>DEV, TA</v>
      </c>
      <c r="AR85" s="160" t="str">
        <f t="shared" si="12"/>
        <v>MOC</v>
      </c>
      <c r="AS85" s="160"/>
      <c r="AT85" s="160"/>
      <c r="AU85" s="160"/>
      <c r="AV85" s="160"/>
      <c r="AW85" s="160"/>
      <c r="AX85" s="160"/>
      <c r="AY85" s="160"/>
      <c r="AZ85" s="160"/>
      <c r="BA85" s="160"/>
      <c r="BB85" s="160"/>
      <c r="BC85" s="160"/>
      <c r="BD85" s="160"/>
      <c r="BE85" s="160"/>
      <c r="BF85" s="160"/>
      <c r="BG85" s="160"/>
      <c r="BH85" s="160"/>
      <c r="BI85" s="160"/>
      <c r="BJ85" s="160"/>
      <c r="BK85" s="160"/>
      <c r="BL85" s="160"/>
      <c r="BM85" s="160"/>
      <c r="BN85" s="160"/>
      <c r="BO85" s="160"/>
      <c r="BP85" s="160"/>
      <c r="BQ85" s="160"/>
      <c r="BR85" s="160"/>
      <c r="BS85" s="160"/>
      <c r="BT85" s="160"/>
      <c r="BU85" s="160"/>
      <c r="BV85" s="160"/>
      <c r="BW85" s="160"/>
      <c r="BX85" s="160"/>
      <c r="BY85" s="160"/>
      <c r="BZ85" s="160"/>
      <c r="CA85" s="160"/>
      <c r="CB85" s="160"/>
      <c r="CC85" s="160"/>
      <c r="CD85" s="160"/>
      <c r="CE85" s="160"/>
      <c r="CF85" s="160"/>
      <c r="CG85" s="160"/>
      <c r="CH85" s="160"/>
      <c r="CI85" s="160"/>
      <c r="CJ85" s="160"/>
      <c r="CK85" s="160"/>
      <c r="CL85" s="160"/>
    </row>
    <row r="86">
      <c r="A86" s="174" t="s">
        <v>310</v>
      </c>
      <c r="B86" s="11" t="s">
        <v>311</v>
      </c>
      <c r="C86" s="175" t="s">
        <v>60</v>
      </c>
      <c r="D86" s="176" t="str">
        <f>IFERROR(VLOOKUP(C86, PIC!A:B, 2, 0), "")</f>
        <v>Huong Le</v>
      </c>
      <c r="E86" s="11" t="s">
        <v>22</v>
      </c>
      <c r="F86" s="16" t="s">
        <v>849</v>
      </c>
      <c r="G86" s="16" t="s">
        <v>853</v>
      </c>
      <c r="H86" s="170">
        <f>IFERROR(
  MINIFS(ATTENDANCE_LOG!$F:$F,
         ATTENDANCE_LOG!$A:$A, C86,
         ATTENDANCE_LOG!$B:$B, E86),
"")</f>
        <v>45663.58333</v>
      </c>
      <c r="I86" s="170">
        <f t="shared" si="2"/>
        <v>45663.58333</v>
      </c>
      <c r="J86" s="11">
        <f>IFERROR(VLOOKUP(F86, LEVEL_HELPER!$A:$B, 2, 0), "")</f>
        <v>1</v>
      </c>
      <c r="K86" s="11">
        <f>IFERROR(VLOOKUP(G86, LEVEL_HELPER!$A:$B, 2, 0), "")</f>
        <v>1.5</v>
      </c>
      <c r="L86" s="171" t="s">
        <v>857</v>
      </c>
      <c r="M86" s="171" t="s">
        <v>150</v>
      </c>
      <c r="N86" s="11">
        <f t="array" ref="N86">IFERROR(
  INDEX($J$2:$J$531,
    MATCH(A86&amp;TEXT(I86,"yyyy-mm-dd"),
          $A$2:$A$531&amp;TEXT($H$2:$H$531,"yyyy-mm-dd"),
          0)),
"")</f>
        <v>1</v>
      </c>
      <c r="O86" s="160">
        <f t="shared" si="3"/>
        <v>3</v>
      </c>
      <c r="P86" s="160">
        <f t="shared" ref="P86:Q86" si="96">IF(N86="",0,IF(N86&lt;=2,1,IF(N86&lt;=4,2,IF(N86&lt;=5.5,3,4))))</f>
        <v>1</v>
      </c>
      <c r="Q86" s="160">
        <f t="shared" si="96"/>
        <v>2</v>
      </c>
      <c r="R86" s="160" t="str">
        <f t="shared" si="5"/>
        <v>Lv1 → Lv2</v>
      </c>
      <c r="S86" s="160">
        <f t="shared" si="6"/>
        <v>1</v>
      </c>
      <c r="T86" s="177" t="s">
        <v>921</v>
      </c>
      <c r="U86" s="160">
        <f>COUNTIFS(sheet2!$A:$A,A86,sheet2!$E:$E,E86)</f>
        <v>1</v>
      </c>
      <c r="V86" s="160"/>
      <c r="W86" s="160"/>
      <c r="X86" s="160" t="str">
        <f t="shared" si="7"/>
        <v>#N/A</v>
      </c>
      <c r="Y86" s="160" t="str">
        <f t="shared" si="8"/>
        <v>#N/A</v>
      </c>
      <c r="Z86" s="160" t="str">
        <f t="shared" si="9"/>
        <v>#N/A</v>
      </c>
      <c r="AA86" s="160"/>
      <c r="AB86" s="160"/>
      <c r="AC86" s="160"/>
      <c r="AD86" s="160"/>
      <c r="AE86" s="160"/>
      <c r="AF86" s="160"/>
      <c r="AG86" s="160"/>
      <c r="AH86" s="160"/>
      <c r="AI86" s="160"/>
      <c r="AJ86" s="160"/>
      <c r="AK86" s="160"/>
      <c r="AL86" s="160"/>
      <c r="AM86" s="160"/>
      <c r="AN86" s="164"/>
      <c r="AO86" s="161" t="str">
        <f>IFERROR(__xludf.DUMMYFUNCTION("""COMPUTED_VALUE"""),"203764")</f>
        <v>203764</v>
      </c>
      <c r="AP86" s="160" t="str">
        <f t="shared" si="10"/>
        <v>DEV</v>
      </c>
      <c r="AQ86" s="160" t="str">
        <f t="shared" si="11"/>
        <v>DEV, TA</v>
      </c>
      <c r="AR86" s="160" t="str">
        <f t="shared" si="12"/>
        <v>MOC</v>
      </c>
      <c r="AS86" s="160"/>
      <c r="AT86" s="160"/>
      <c r="AU86" s="160"/>
      <c r="AV86" s="160"/>
      <c r="AW86" s="160"/>
      <c r="AX86" s="160"/>
      <c r="AY86" s="160"/>
      <c r="AZ86" s="160"/>
      <c r="BA86" s="160"/>
      <c r="BB86" s="160"/>
      <c r="BC86" s="160"/>
      <c r="BD86" s="160"/>
      <c r="BE86" s="160"/>
      <c r="BF86" s="160"/>
      <c r="BG86" s="160"/>
      <c r="BH86" s="160"/>
      <c r="BI86" s="160"/>
      <c r="BJ86" s="160"/>
      <c r="BK86" s="160"/>
      <c r="BL86" s="160"/>
      <c r="BM86" s="160"/>
      <c r="BN86" s="160"/>
      <c r="BO86" s="160"/>
      <c r="BP86" s="160"/>
      <c r="BQ86" s="160"/>
      <c r="BR86" s="160"/>
      <c r="BS86" s="160"/>
      <c r="BT86" s="160"/>
      <c r="BU86" s="160"/>
      <c r="BV86" s="160"/>
      <c r="BW86" s="160"/>
      <c r="BX86" s="160"/>
      <c r="BY86" s="160"/>
      <c r="BZ86" s="160"/>
      <c r="CA86" s="160"/>
      <c r="CB86" s="160"/>
      <c r="CC86" s="160"/>
      <c r="CD86" s="160"/>
      <c r="CE86" s="160"/>
      <c r="CF86" s="160"/>
      <c r="CG86" s="160"/>
      <c r="CH86" s="160"/>
      <c r="CI86" s="160"/>
      <c r="CJ86" s="160"/>
      <c r="CK86" s="160"/>
      <c r="CL86" s="160"/>
    </row>
    <row r="87">
      <c r="A87" s="166" t="s">
        <v>304</v>
      </c>
      <c r="B87" s="167" t="s">
        <v>305</v>
      </c>
      <c r="C87" s="168" t="s">
        <v>60</v>
      </c>
      <c r="D87" s="169" t="str">
        <f>IFERROR(VLOOKUP(C87, PIC!A:B, 2, 0), "")</f>
        <v>Huong Le</v>
      </c>
      <c r="E87" s="167" t="s">
        <v>23</v>
      </c>
      <c r="F87" s="16" t="s">
        <v>858</v>
      </c>
      <c r="G87" s="16" t="s">
        <v>865</v>
      </c>
      <c r="H87" s="170">
        <f>IFERROR(
  MINIFS(ATTENDANCE_LOG!$F:$F,
         ATTENDANCE_LOG!$A:$A, C87,
         ATTENDANCE_LOG!$B:$B, E87),
"")</f>
        <v>45915.54167</v>
      </c>
      <c r="I87" s="170">
        <f t="shared" si="2"/>
        <v>45637.41667</v>
      </c>
      <c r="J87" s="11">
        <f>IFERROR(VLOOKUP(F87, LEVEL_HELPER!$A:$B, 2, 0), "")</f>
        <v>4.5</v>
      </c>
      <c r="K87" s="11">
        <f>IFERROR(VLOOKUP(G87, LEVEL_HELPER!$A:$B, 2, 0), "")</f>
        <v>5.5</v>
      </c>
      <c r="L87" s="171" t="s">
        <v>400</v>
      </c>
      <c r="M87" s="171" t="s">
        <v>150</v>
      </c>
      <c r="N87" s="11">
        <f t="array" ref="N87">IFERROR(
  INDEX($J$2:$J$531,
    MATCH(A87&amp;TEXT(I87,"yyyy-mm-dd"),
          $A$2:$A$531&amp;TEXT($H$2:$H$531,"yyyy-mm-dd"),
          0)),
"")</f>
        <v>2.5</v>
      </c>
      <c r="O87" s="160">
        <f t="shared" si="3"/>
        <v>5.5</v>
      </c>
      <c r="P87" s="160">
        <f t="shared" ref="P87:Q87" si="97">IF(N87="",0,IF(N87&lt;=2,1,IF(N87&lt;=4,2,IF(N87&lt;=5.5,3,4))))</f>
        <v>2</v>
      </c>
      <c r="Q87" s="160">
        <f t="shared" si="97"/>
        <v>3</v>
      </c>
      <c r="R87" s="160" t="str">
        <f t="shared" si="5"/>
        <v>Lv2 → Lv3</v>
      </c>
      <c r="S87" s="160">
        <f t="shared" si="6"/>
        <v>0</v>
      </c>
      <c r="T87" s="172" t="s">
        <v>894</v>
      </c>
      <c r="U87" s="160">
        <f>COUNTIFS(sheet2!$A:$A,A87,sheet2!$E:$E,E87)</f>
        <v>1</v>
      </c>
      <c r="V87" s="160"/>
      <c r="W87" s="160"/>
      <c r="X87" s="160" t="str">
        <f t="shared" si="7"/>
        <v>#N/A</v>
      </c>
      <c r="Y87" s="160" t="str">
        <f t="shared" si="8"/>
        <v>#N/A</v>
      </c>
      <c r="Z87" s="160" t="str">
        <f t="shared" si="9"/>
        <v>#N/A</v>
      </c>
      <c r="AA87" s="160"/>
      <c r="AB87" s="160"/>
      <c r="AC87" s="160"/>
      <c r="AD87" s="160"/>
      <c r="AE87" s="160"/>
      <c r="AF87" s="160"/>
      <c r="AG87" s="160"/>
      <c r="AH87" s="160"/>
      <c r="AI87" s="160"/>
      <c r="AJ87" s="160"/>
      <c r="AK87" s="160"/>
      <c r="AL87" s="160"/>
      <c r="AM87" s="160"/>
      <c r="AN87" s="164"/>
      <c r="AO87" s="161" t="str">
        <f>IFERROR(__xludf.DUMMYFUNCTION("""COMPUTED_VALUE"""),"193584")</f>
        <v>193584</v>
      </c>
      <c r="AP87" s="160" t="str">
        <f t="shared" si="10"/>
        <v>GSD</v>
      </c>
      <c r="AQ87" s="160" t="str">
        <f t="shared" si="11"/>
        <v>GSD</v>
      </c>
      <c r="AR87" s="160" t="str">
        <f t="shared" si="12"/>
        <v>LBU</v>
      </c>
      <c r="AS87" s="160"/>
      <c r="AT87" s="160"/>
      <c r="AU87" s="160"/>
      <c r="AV87" s="160"/>
      <c r="AW87" s="160"/>
      <c r="AX87" s="160"/>
      <c r="AY87" s="160"/>
      <c r="AZ87" s="160"/>
      <c r="BA87" s="160"/>
      <c r="BB87" s="160"/>
      <c r="BC87" s="160"/>
      <c r="BD87" s="160"/>
      <c r="BE87" s="160"/>
      <c r="BF87" s="160"/>
      <c r="BG87" s="160"/>
      <c r="BH87" s="160"/>
      <c r="BI87" s="160"/>
      <c r="BJ87" s="160"/>
      <c r="BK87" s="160"/>
      <c r="BL87" s="160"/>
      <c r="BM87" s="160"/>
      <c r="BN87" s="160"/>
      <c r="BO87" s="160"/>
      <c r="BP87" s="160"/>
      <c r="BQ87" s="160"/>
      <c r="BR87" s="160"/>
      <c r="BS87" s="160"/>
      <c r="BT87" s="160"/>
      <c r="BU87" s="160"/>
      <c r="BV87" s="160"/>
      <c r="BW87" s="160"/>
      <c r="BX87" s="160"/>
      <c r="BY87" s="160"/>
      <c r="BZ87" s="160"/>
      <c r="CA87" s="160"/>
      <c r="CB87" s="160"/>
      <c r="CC87" s="160"/>
      <c r="CD87" s="160"/>
      <c r="CE87" s="160"/>
      <c r="CF87" s="160"/>
      <c r="CG87" s="160"/>
      <c r="CH87" s="160"/>
      <c r="CI87" s="160"/>
      <c r="CJ87" s="160"/>
      <c r="CK87" s="160"/>
      <c r="CL87" s="160"/>
    </row>
    <row r="88">
      <c r="A88" s="174" t="s">
        <v>298</v>
      </c>
      <c r="B88" s="11" t="s">
        <v>299</v>
      </c>
      <c r="C88" s="175" t="s">
        <v>60</v>
      </c>
      <c r="D88" s="176" t="str">
        <f>IFERROR(VLOOKUP(C88, PIC!A:B, 2, 0), "")</f>
        <v>Huong Le</v>
      </c>
      <c r="E88" s="11" t="s">
        <v>23</v>
      </c>
      <c r="F88" s="16" t="s">
        <v>853</v>
      </c>
      <c r="G88" s="16" t="s">
        <v>853</v>
      </c>
      <c r="H88" s="170">
        <f>IFERROR(
  MINIFS(ATTENDANCE_LOG!$F:$F,
         ATTENDANCE_LOG!$A:$A, C88,
         ATTENDANCE_LOG!$B:$B, E88),
"")</f>
        <v>45915.54167</v>
      </c>
      <c r="I88" s="170">
        <f t="shared" si="2"/>
        <v>45715.58333</v>
      </c>
      <c r="J88" s="11">
        <f>IFERROR(VLOOKUP(F88, LEVEL_HELPER!$A:$B, 2, 0), "")</f>
        <v>1.5</v>
      </c>
      <c r="K88" s="11">
        <f>IFERROR(VLOOKUP(G88, LEVEL_HELPER!$A:$B, 2, 0), "")</f>
        <v>1.5</v>
      </c>
      <c r="L88" s="171" t="s">
        <v>857</v>
      </c>
      <c r="M88" s="171" t="s">
        <v>150</v>
      </c>
      <c r="N88" s="11">
        <f t="array" ref="N88">IFERROR(
  INDEX($J$2:$J$531,
    MATCH(A88&amp;TEXT(I88,"yyyy-mm-dd"),
          $A$2:$A$531&amp;TEXT($H$2:$H$531,"yyyy-mm-dd"),
          0)),
"")</f>
        <v>1</v>
      </c>
      <c r="O88" s="160">
        <f t="shared" si="3"/>
        <v>1.5</v>
      </c>
      <c r="P88" s="160">
        <f t="shared" ref="P88:Q88" si="98">IF(N88="",0,IF(N88&lt;=2,1,IF(N88&lt;=4,2,IF(N88&lt;=5.5,3,4))))</f>
        <v>1</v>
      </c>
      <c r="Q88" s="160">
        <f t="shared" si="98"/>
        <v>1</v>
      </c>
      <c r="R88" s="160" t="str">
        <f t="shared" si="5"/>
        <v>Progress within level</v>
      </c>
      <c r="S88" s="160">
        <f t="shared" si="6"/>
        <v>1</v>
      </c>
      <c r="T88" s="177" t="s">
        <v>922</v>
      </c>
      <c r="U88" s="160">
        <f>COUNTIFS(sheet2!$A:$A,A88,sheet2!$E:$E,E88)</f>
        <v>1</v>
      </c>
      <c r="V88" s="160"/>
      <c r="W88" s="160"/>
      <c r="X88" s="160" t="str">
        <f t="shared" si="7"/>
        <v>#N/A</v>
      </c>
      <c r="Y88" s="160" t="str">
        <f t="shared" si="8"/>
        <v>#N/A</v>
      </c>
      <c r="Z88" s="160" t="str">
        <f t="shared" si="9"/>
        <v>#N/A</v>
      </c>
      <c r="AA88" s="160"/>
      <c r="AB88" s="160"/>
      <c r="AC88" s="160"/>
      <c r="AD88" s="160"/>
      <c r="AE88" s="160"/>
      <c r="AF88" s="160"/>
      <c r="AG88" s="160"/>
      <c r="AH88" s="160"/>
      <c r="AI88" s="160"/>
      <c r="AJ88" s="160"/>
      <c r="AK88" s="160"/>
      <c r="AL88" s="160"/>
      <c r="AM88" s="160"/>
      <c r="AN88" s="164"/>
      <c r="AO88" s="161" t="str">
        <f>IFERROR(__xludf.DUMMYFUNCTION("""COMPUTED_VALUE"""),"227214")</f>
        <v>227214</v>
      </c>
      <c r="AP88" s="160" t="str">
        <f t="shared" si="10"/>
        <v>GSD</v>
      </c>
      <c r="AQ88" s="160" t="str">
        <f t="shared" si="11"/>
        <v>GSD</v>
      </c>
      <c r="AR88" s="160" t="str">
        <f t="shared" si="12"/>
        <v>LBU</v>
      </c>
      <c r="AS88" s="160"/>
      <c r="AT88" s="160"/>
      <c r="AU88" s="160"/>
      <c r="AV88" s="160"/>
      <c r="AW88" s="160"/>
      <c r="AX88" s="160"/>
      <c r="AY88" s="160"/>
      <c r="AZ88" s="160"/>
      <c r="BA88" s="160"/>
      <c r="BB88" s="160"/>
      <c r="BC88" s="160"/>
      <c r="BD88" s="160"/>
      <c r="BE88" s="160"/>
      <c r="BF88" s="160"/>
      <c r="BG88" s="160"/>
      <c r="BH88" s="160"/>
      <c r="BI88" s="160"/>
      <c r="BJ88" s="160"/>
      <c r="BK88" s="160"/>
      <c r="BL88" s="160"/>
      <c r="BM88" s="160"/>
      <c r="BN88" s="160"/>
      <c r="BO88" s="160"/>
      <c r="BP88" s="160"/>
      <c r="BQ88" s="160"/>
      <c r="BR88" s="160"/>
      <c r="BS88" s="160"/>
      <c r="BT88" s="160"/>
      <c r="BU88" s="160"/>
      <c r="BV88" s="160"/>
      <c r="BW88" s="160"/>
      <c r="BX88" s="160"/>
      <c r="BY88" s="160"/>
      <c r="BZ88" s="160"/>
      <c r="CA88" s="160"/>
      <c r="CB88" s="160"/>
      <c r="CC88" s="160"/>
      <c r="CD88" s="160"/>
      <c r="CE88" s="160"/>
      <c r="CF88" s="160"/>
      <c r="CG88" s="160"/>
      <c r="CH88" s="160"/>
      <c r="CI88" s="160"/>
      <c r="CJ88" s="160"/>
      <c r="CK88" s="160"/>
      <c r="CL88" s="160"/>
    </row>
    <row r="89">
      <c r="A89" s="174" t="s">
        <v>300</v>
      </c>
      <c r="B89" s="11" t="s">
        <v>301</v>
      </c>
      <c r="C89" s="175" t="s">
        <v>60</v>
      </c>
      <c r="D89" s="176" t="str">
        <f>IFERROR(VLOOKUP(C89, PIC!A:B, 2, 0), "")</f>
        <v>Huong Le</v>
      </c>
      <c r="E89" s="11" t="s">
        <v>23</v>
      </c>
      <c r="F89" s="16" t="s">
        <v>853</v>
      </c>
      <c r="G89" s="16" t="s">
        <v>846</v>
      </c>
      <c r="H89" s="170">
        <f>IFERROR(
  MINIFS(ATTENDANCE_LOG!$F:$F,
         ATTENDANCE_LOG!$A:$A, C89,
         ATTENDANCE_LOG!$B:$B, E89),
"")</f>
        <v>45915.54167</v>
      </c>
      <c r="I89" s="170">
        <f t="shared" si="2"/>
        <v>45637.41667</v>
      </c>
      <c r="J89" s="11">
        <f>IFERROR(VLOOKUP(F89, LEVEL_HELPER!$A:$B, 2, 0), "")</f>
        <v>1.5</v>
      </c>
      <c r="K89" s="11">
        <f>IFERROR(VLOOKUP(G89, LEVEL_HELPER!$A:$B, 2, 0), "")</f>
        <v>3</v>
      </c>
      <c r="L89" s="171" t="s">
        <v>857</v>
      </c>
      <c r="M89" s="171" t="s">
        <v>150</v>
      </c>
      <c r="N89" s="11">
        <f t="array" ref="N89">IFERROR(
  INDEX($J$2:$J$531,
    MATCH(A89&amp;TEXT(I89,"yyyy-mm-dd"),
          $A$2:$A$531&amp;TEXT($H$2:$H$531,"yyyy-mm-dd"),
          0)),
"")</f>
        <v>1</v>
      </c>
      <c r="O89" s="160">
        <f t="shared" si="3"/>
        <v>3</v>
      </c>
      <c r="P89" s="160">
        <f t="shared" ref="P89:Q89" si="99">IF(N89="",0,IF(N89&lt;=2,1,IF(N89&lt;=4,2,IF(N89&lt;=5.5,3,4))))</f>
        <v>1</v>
      </c>
      <c r="Q89" s="160">
        <f t="shared" si="99"/>
        <v>2</v>
      </c>
      <c r="R89" s="160" t="str">
        <f t="shared" si="5"/>
        <v>Lv1 → Lv2</v>
      </c>
      <c r="S89" s="160">
        <f t="shared" si="6"/>
        <v>0</v>
      </c>
      <c r="T89" s="177" t="s">
        <v>895</v>
      </c>
      <c r="U89" s="160">
        <f>COUNTIFS(sheet2!$A:$A,A89,sheet2!$E:$E,E89)</f>
        <v>1</v>
      </c>
      <c r="V89" s="160"/>
      <c r="W89" s="160"/>
      <c r="X89" s="160" t="str">
        <f t="shared" si="7"/>
        <v>#N/A</v>
      </c>
      <c r="Y89" s="160" t="str">
        <f t="shared" si="8"/>
        <v>#N/A</v>
      </c>
      <c r="Z89" s="160" t="str">
        <f t="shared" si="9"/>
        <v>#N/A</v>
      </c>
      <c r="AA89" s="160"/>
      <c r="AB89" s="160"/>
      <c r="AC89" s="160"/>
      <c r="AD89" s="160"/>
      <c r="AE89" s="160"/>
      <c r="AF89" s="160"/>
      <c r="AG89" s="160"/>
      <c r="AH89" s="160"/>
      <c r="AI89" s="160"/>
      <c r="AJ89" s="160"/>
      <c r="AK89" s="160"/>
      <c r="AL89" s="160"/>
      <c r="AM89" s="160"/>
      <c r="AN89" s="164"/>
      <c r="AO89" s="161" t="str">
        <f>IFERROR(__xludf.DUMMYFUNCTION("""COMPUTED_VALUE"""),"203790")</f>
        <v>203790</v>
      </c>
      <c r="AP89" s="160" t="str">
        <f t="shared" si="10"/>
        <v>GSD</v>
      </c>
      <c r="AQ89" s="160" t="str">
        <f t="shared" si="11"/>
        <v>GSD</v>
      </c>
      <c r="AR89" s="160" t="str">
        <f t="shared" si="12"/>
        <v>LBU</v>
      </c>
      <c r="AS89" s="160"/>
      <c r="AT89" s="160"/>
      <c r="AU89" s="160"/>
      <c r="AV89" s="160"/>
      <c r="AW89" s="160"/>
      <c r="AX89" s="160"/>
      <c r="AY89" s="160"/>
      <c r="AZ89" s="160"/>
      <c r="BA89" s="160"/>
      <c r="BB89" s="160"/>
      <c r="BC89" s="160"/>
      <c r="BD89" s="160"/>
      <c r="BE89" s="160"/>
      <c r="BF89" s="160"/>
      <c r="BG89" s="160"/>
      <c r="BH89" s="160"/>
      <c r="BI89" s="160"/>
      <c r="BJ89" s="160"/>
      <c r="BK89" s="160"/>
      <c r="BL89" s="160"/>
      <c r="BM89" s="160"/>
      <c r="BN89" s="160"/>
      <c r="BO89" s="160"/>
      <c r="BP89" s="160"/>
      <c r="BQ89" s="160"/>
      <c r="BR89" s="160"/>
      <c r="BS89" s="160"/>
      <c r="BT89" s="160"/>
      <c r="BU89" s="160"/>
      <c r="BV89" s="160"/>
      <c r="BW89" s="160"/>
      <c r="BX89" s="160"/>
      <c r="BY89" s="160"/>
      <c r="BZ89" s="160"/>
      <c r="CA89" s="160"/>
      <c r="CB89" s="160"/>
      <c r="CC89" s="160"/>
      <c r="CD89" s="160"/>
      <c r="CE89" s="160"/>
      <c r="CF89" s="160"/>
      <c r="CG89" s="160"/>
      <c r="CH89" s="160"/>
      <c r="CI89" s="160"/>
      <c r="CJ89" s="160"/>
      <c r="CK89" s="160"/>
      <c r="CL89" s="160"/>
    </row>
    <row r="90">
      <c r="A90" s="174" t="s">
        <v>302</v>
      </c>
      <c r="B90" s="11" t="s">
        <v>303</v>
      </c>
      <c r="C90" s="175" t="s">
        <v>60</v>
      </c>
      <c r="D90" s="176" t="str">
        <f>IFERROR(VLOOKUP(C90, PIC!A:B, 2, 0), "")</f>
        <v>Huong Le</v>
      </c>
      <c r="E90" s="11" t="s">
        <v>23</v>
      </c>
      <c r="F90" s="16" t="s">
        <v>846</v>
      </c>
      <c r="G90" s="16" t="s">
        <v>868</v>
      </c>
      <c r="H90" s="170">
        <f>IFERROR(
  MINIFS(ATTENDANCE_LOG!$F:$F,
         ATTENDANCE_LOG!$A:$A, C90,
         ATTENDANCE_LOG!$B:$B, E90),
"")</f>
        <v>45915.54167</v>
      </c>
      <c r="I90" s="170">
        <f t="shared" si="2"/>
        <v>45663.58333</v>
      </c>
      <c r="J90" s="11">
        <f>IFERROR(VLOOKUP(F90, LEVEL_HELPER!$A:$B, 2, 0), "")</f>
        <v>3</v>
      </c>
      <c r="K90" s="11">
        <f>IFERROR(VLOOKUP(G90, LEVEL_HELPER!$A:$B, 2, 0), "")</f>
        <v>5</v>
      </c>
      <c r="L90" s="171" t="s">
        <v>857</v>
      </c>
      <c r="M90" s="171" t="s">
        <v>150</v>
      </c>
      <c r="N90" s="11">
        <f t="array" ref="N90">IFERROR(
  INDEX($J$2:$J$531,
    MATCH(A90&amp;TEXT(I90,"yyyy-mm-dd"),
          $A$2:$A$531&amp;TEXT($H$2:$H$531,"yyyy-mm-dd"),
          0)),
"")</f>
        <v>1</v>
      </c>
      <c r="O90" s="160">
        <f t="shared" si="3"/>
        <v>5</v>
      </c>
      <c r="P90" s="160">
        <f t="shared" ref="P90:Q90" si="100">IF(N90="",0,IF(N90&lt;=2,1,IF(N90&lt;=4,2,IF(N90&lt;=5.5,3,4))))</f>
        <v>1</v>
      </c>
      <c r="Q90" s="160">
        <f t="shared" si="100"/>
        <v>3</v>
      </c>
      <c r="R90" s="160" t="str">
        <f t="shared" si="5"/>
        <v>Lv1 → Lv3 (multi)</v>
      </c>
      <c r="S90" s="160">
        <f t="shared" si="6"/>
        <v>0</v>
      </c>
      <c r="T90" s="177" t="s">
        <v>918</v>
      </c>
      <c r="U90" s="160">
        <f>COUNTIFS(sheet2!$A:$A,A90,sheet2!$E:$E,E90)</f>
        <v>1</v>
      </c>
      <c r="V90" s="160"/>
      <c r="W90" s="160"/>
      <c r="X90" s="160" t="str">
        <f t="shared" si="7"/>
        <v>#N/A</v>
      </c>
      <c r="Y90" s="160" t="str">
        <f t="shared" si="8"/>
        <v>#N/A</v>
      </c>
      <c r="Z90" s="160" t="str">
        <f t="shared" si="9"/>
        <v>#N/A</v>
      </c>
      <c r="AA90" s="160"/>
      <c r="AB90" s="160"/>
      <c r="AC90" s="160"/>
      <c r="AD90" s="160"/>
      <c r="AE90" s="160"/>
      <c r="AF90" s="160"/>
      <c r="AG90" s="160"/>
      <c r="AH90" s="160"/>
      <c r="AI90" s="160"/>
      <c r="AJ90" s="160"/>
      <c r="AK90" s="160"/>
      <c r="AL90" s="160"/>
      <c r="AM90" s="160"/>
      <c r="AN90" s="164"/>
      <c r="AO90" s="161" t="str">
        <f>IFERROR(__xludf.DUMMYFUNCTION("""COMPUTED_VALUE"""),"247083")</f>
        <v>247083</v>
      </c>
      <c r="AP90" s="160" t="str">
        <f t="shared" si="10"/>
        <v>GSD</v>
      </c>
      <c r="AQ90" s="160" t="str">
        <f t="shared" si="11"/>
        <v>GSD</v>
      </c>
      <c r="AR90" s="160" t="str">
        <f t="shared" si="12"/>
        <v>LBU</v>
      </c>
      <c r="AS90" s="160"/>
      <c r="AT90" s="160"/>
      <c r="AU90" s="160"/>
      <c r="AV90" s="160"/>
      <c r="AW90" s="160"/>
      <c r="AX90" s="160"/>
      <c r="AY90" s="160"/>
      <c r="AZ90" s="160"/>
      <c r="BA90" s="160"/>
      <c r="BB90" s="160"/>
      <c r="BC90" s="160"/>
      <c r="BD90" s="160"/>
      <c r="BE90" s="160"/>
      <c r="BF90" s="160"/>
      <c r="BG90" s="160"/>
      <c r="BH90" s="160"/>
      <c r="BI90" s="160"/>
      <c r="BJ90" s="160"/>
      <c r="BK90" s="160"/>
      <c r="BL90" s="160"/>
      <c r="BM90" s="160"/>
      <c r="BN90" s="160"/>
      <c r="BO90" s="160"/>
      <c r="BP90" s="160"/>
      <c r="BQ90" s="160"/>
      <c r="BR90" s="160"/>
      <c r="BS90" s="160"/>
      <c r="BT90" s="160"/>
      <c r="BU90" s="160"/>
      <c r="BV90" s="160"/>
      <c r="BW90" s="160"/>
      <c r="BX90" s="160"/>
      <c r="BY90" s="160"/>
      <c r="BZ90" s="160"/>
      <c r="CA90" s="160"/>
      <c r="CB90" s="160"/>
      <c r="CC90" s="160"/>
      <c r="CD90" s="160"/>
      <c r="CE90" s="160"/>
      <c r="CF90" s="160"/>
      <c r="CG90" s="160"/>
      <c r="CH90" s="160"/>
      <c r="CI90" s="160"/>
      <c r="CJ90" s="160"/>
      <c r="CK90" s="160"/>
      <c r="CL90" s="160"/>
    </row>
    <row r="91">
      <c r="A91" s="174" t="s">
        <v>306</v>
      </c>
      <c r="B91" s="11" t="s">
        <v>307</v>
      </c>
      <c r="C91" s="175" t="s">
        <v>60</v>
      </c>
      <c r="D91" s="176" t="str">
        <f>IFERROR(VLOOKUP(C91, PIC!A:B, 2, 0), "")</f>
        <v>Huong Le</v>
      </c>
      <c r="E91" s="11" t="s">
        <v>23</v>
      </c>
      <c r="F91" s="16" t="s">
        <v>853</v>
      </c>
      <c r="G91" s="16" t="s">
        <v>868</v>
      </c>
      <c r="H91" s="170">
        <f>IFERROR(
  MINIFS(ATTENDANCE_LOG!$F:$F,
         ATTENDANCE_LOG!$A:$A, C91,
         ATTENDANCE_LOG!$B:$B, E91),
"")</f>
        <v>45915.54167</v>
      </c>
      <c r="I91" s="170">
        <f t="shared" si="2"/>
        <v>45637.41667</v>
      </c>
      <c r="J91" s="11">
        <f>IFERROR(VLOOKUP(F91, LEVEL_HELPER!$A:$B, 2, 0), "")</f>
        <v>1.5</v>
      </c>
      <c r="K91" s="11">
        <f>IFERROR(VLOOKUP(G91, LEVEL_HELPER!$A:$B, 2, 0), "")</f>
        <v>5</v>
      </c>
      <c r="L91" s="171" t="s">
        <v>857</v>
      </c>
      <c r="M91" s="171" t="s">
        <v>150</v>
      </c>
      <c r="N91" s="11">
        <f t="array" ref="N91">IFERROR(
  INDEX($J$2:$J$531,
    MATCH(A91&amp;TEXT(I91,"yyyy-mm-dd"),
          $A$2:$A$531&amp;TEXT($H$2:$H$531,"yyyy-mm-dd"),
          0)),
"")</f>
        <v>2.5</v>
      </c>
      <c r="O91" s="160">
        <f t="shared" si="3"/>
        <v>5</v>
      </c>
      <c r="P91" s="160">
        <f t="shared" ref="P91:Q91" si="101">IF(N91="",0,IF(N91&lt;=2,1,IF(N91&lt;=4,2,IF(N91&lt;=5.5,3,4))))</f>
        <v>2</v>
      </c>
      <c r="Q91" s="160">
        <f t="shared" si="101"/>
        <v>3</v>
      </c>
      <c r="R91" s="160" t="str">
        <f t="shared" si="5"/>
        <v>Lv2 → Lv3</v>
      </c>
      <c r="S91" s="160">
        <f t="shared" si="6"/>
        <v>0</v>
      </c>
      <c r="T91" s="177" t="s">
        <v>896</v>
      </c>
      <c r="U91" s="160">
        <f>COUNTIFS(sheet2!$A:$A,A91,sheet2!$E:$E,E91)</f>
        <v>1</v>
      </c>
      <c r="V91" s="160"/>
      <c r="W91" s="160"/>
      <c r="X91" s="160" t="str">
        <f t="shared" si="7"/>
        <v>#N/A</v>
      </c>
      <c r="Y91" s="160" t="str">
        <f t="shared" si="8"/>
        <v>#N/A</v>
      </c>
      <c r="Z91" s="160" t="str">
        <f t="shared" si="9"/>
        <v>#N/A</v>
      </c>
      <c r="AA91" s="160"/>
      <c r="AB91" s="160"/>
      <c r="AC91" s="160"/>
      <c r="AD91" s="160"/>
      <c r="AE91" s="160"/>
      <c r="AF91" s="160"/>
      <c r="AG91" s="160"/>
      <c r="AH91" s="160"/>
      <c r="AI91" s="160"/>
      <c r="AJ91" s="160"/>
      <c r="AK91" s="160"/>
      <c r="AL91" s="160"/>
      <c r="AM91" s="160"/>
      <c r="AN91" s="164"/>
      <c r="AO91" s="161" t="str">
        <f>IFERROR(__xludf.DUMMYFUNCTION("""COMPUTED_VALUE"""),"247178")</f>
        <v>247178</v>
      </c>
      <c r="AP91" s="160" t="str">
        <f t="shared" si="10"/>
        <v>GSD</v>
      </c>
      <c r="AQ91" s="160" t="str">
        <f t="shared" si="11"/>
        <v>GSD</v>
      </c>
      <c r="AR91" s="160" t="str">
        <f t="shared" si="12"/>
        <v>LBU</v>
      </c>
      <c r="AS91" s="160"/>
      <c r="AT91" s="160"/>
      <c r="AU91" s="160"/>
      <c r="AV91" s="160"/>
      <c r="AW91" s="160"/>
      <c r="AX91" s="160"/>
      <c r="AY91" s="160"/>
      <c r="AZ91" s="160"/>
      <c r="BA91" s="160"/>
      <c r="BB91" s="160"/>
      <c r="BC91" s="160"/>
      <c r="BD91" s="160"/>
      <c r="BE91" s="160"/>
      <c r="BF91" s="160"/>
      <c r="BG91" s="160"/>
      <c r="BH91" s="160"/>
      <c r="BI91" s="160"/>
      <c r="BJ91" s="160"/>
      <c r="BK91" s="160"/>
      <c r="BL91" s="160"/>
      <c r="BM91" s="160"/>
      <c r="BN91" s="160"/>
      <c r="BO91" s="160"/>
      <c r="BP91" s="160"/>
      <c r="BQ91" s="160"/>
      <c r="BR91" s="160"/>
      <c r="BS91" s="160"/>
      <c r="BT91" s="160"/>
      <c r="BU91" s="160"/>
      <c r="BV91" s="160"/>
      <c r="BW91" s="160"/>
      <c r="BX91" s="160"/>
      <c r="BY91" s="160"/>
      <c r="BZ91" s="160"/>
      <c r="CA91" s="160"/>
      <c r="CB91" s="160"/>
      <c r="CC91" s="160"/>
      <c r="CD91" s="160"/>
      <c r="CE91" s="160"/>
      <c r="CF91" s="160"/>
      <c r="CG91" s="160"/>
      <c r="CH91" s="160"/>
      <c r="CI91" s="160"/>
      <c r="CJ91" s="160"/>
      <c r="CK91" s="160"/>
      <c r="CL91" s="160"/>
    </row>
    <row r="92">
      <c r="A92" s="174" t="s">
        <v>308</v>
      </c>
      <c r="B92" s="11" t="s">
        <v>309</v>
      </c>
      <c r="C92" s="175" t="s">
        <v>60</v>
      </c>
      <c r="D92" s="176" t="str">
        <f>IFERROR(VLOOKUP(C92, PIC!A:B, 2, 0), "")</f>
        <v>Huong Le</v>
      </c>
      <c r="E92" s="11" t="s">
        <v>23</v>
      </c>
      <c r="F92" s="16" t="s">
        <v>861</v>
      </c>
      <c r="G92" s="16" t="s">
        <v>865</v>
      </c>
      <c r="H92" s="170">
        <f>IFERROR(
  MINIFS(ATTENDANCE_LOG!$F:$F,
         ATTENDANCE_LOG!$A:$A, C92,
         ATTENDANCE_LOG!$B:$B, E92),
"")</f>
        <v>45915.54167</v>
      </c>
      <c r="I92" s="170">
        <f t="shared" si="2"/>
        <v>45663.58333</v>
      </c>
      <c r="J92" s="11">
        <f>IFERROR(VLOOKUP(F92, LEVEL_HELPER!$A:$B, 2, 0), "")</f>
        <v>3.5</v>
      </c>
      <c r="K92" s="11">
        <f>IFERROR(VLOOKUP(G92, LEVEL_HELPER!$A:$B, 2, 0), "")</f>
        <v>5.5</v>
      </c>
      <c r="L92" s="171" t="s">
        <v>857</v>
      </c>
      <c r="M92" s="171" t="s">
        <v>150</v>
      </c>
      <c r="N92" s="11">
        <f t="array" ref="N92">IFERROR(
  INDEX($J$2:$J$531,
    MATCH(A92&amp;TEXT(I92,"yyyy-mm-dd"),
          $A$2:$A$531&amp;TEXT($H$2:$H$531,"yyyy-mm-dd"),
          0)),
"")</f>
        <v>1</v>
      </c>
      <c r="O92" s="160">
        <f t="shared" si="3"/>
        <v>5.5</v>
      </c>
      <c r="P92" s="160">
        <f t="shared" ref="P92:Q92" si="102">IF(N92="",0,IF(N92&lt;=2,1,IF(N92&lt;=4,2,IF(N92&lt;=5.5,3,4))))</f>
        <v>1</v>
      </c>
      <c r="Q92" s="160">
        <f t="shared" si="102"/>
        <v>3</v>
      </c>
      <c r="R92" s="160" t="str">
        <f t="shared" si="5"/>
        <v>Lv1 → Lv3 (multi)</v>
      </c>
      <c r="S92" s="160">
        <f t="shared" si="6"/>
        <v>0</v>
      </c>
      <c r="T92" s="177" t="s">
        <v>920</v>
      </c>
      <c r="U92" s="160">
        <f>COUNTIFS(sheet2!$A:$A,A92,sheet2!$E:$E,E92)</f>
        <v>1</v>
      </c>
      <c r="V92" s="160"/>
      <c r="W92" s="160"/>
      <c r="X92" s="160" t="str">
        <f t="shared" si="7"/>
        <v>#N/A</v>
      </c>
      <c r="Y92" s="160" t="str">
        <f t="shared" si="8"/>
        <v>#N/A</v>
      </c>
      <c r="Z92" s="160" t="str">
        <f t="shared" si="9"/>
        <v>#N/A</v>
      </c>
      <c r="AA92" s="160"/>
      <c r="AB92" s="160"/>
      <c r="AC92" s="160"/>
      <c r="AD92" s="160"/>
      <c r="AE92" s="160"/>
      <c r="AF92" s="160"/>
      <c r="AG92" s="160"/>
      <c r="AH92" s="160"/>
      <c r="AI92" s="160"/>
      <c r="AJ92" s="160"/>
      <c r="AK92" s="160"/>
      <c r="AL92" s="160"/>
      <c r="AM92" s="160"/>
      <c r="AN92" s="164"/>
      <c r="AO92" s="161" t="str">
        <f>IFERROR(__xludf.DUMMYFUNCTION("""COMPUTED_VALUE"""),"247063")</f>
        <v>247063</v>
      </c>
      <c r="AP92" s="160" t="str">
        <f t="shared" si="10"/>
        <v>GSD</v>
      </c>
      <c r="AQ92" s="160" t="str">
        <f t="shared" si="11"/>
        <v>GSD</v>
      </c>
      <c r="AR92" s="160" t="str">
        <f t="shared" si="12"/>
        <v>POC</v>
      </c>
      <c r="AS92" s="160"/>
      <c r="AT92" s="160"/>
      <c r="AU92" s="160"/>
      <c r="AV92" s="160"/>
      <c r="AW92" s="160"/>
      <c r="AX92" s="160"/>
      <c r="AY92" s="160"/>
      <c r="AZ92" s="160"/>
      <c r="BA92" s="160"/>
      <c r="BB92" s="160"/>
      <c r="BC92" s="160"/>
      <c r="BD92" s="160"/>
      <c r="BE92" s="160"/>
      <c r="BF92" s="160"/>
      <c r="BG92" s="160"/>
      <c r="BH92" s="160"/>
      <c r="BI92" s="160"/>
      <c r="BJ92" s="160"/>
      <c r="BK92" s="160"/>
      <c r="BL92" s="160"/>
      <c r="BM92" s="160"/>
      <c r="BN92" s="160"/>
      <c r="BO92" s="160"/>
      <c r="BP92" s="160"/>
      <c r="BQ92" s="160"/>
      <c r="BR92" s="160"/>
      <c r="BS92" s="160"/>
      <c r="BT92" s="160"/>
      <c r="BU92" s="160"/>
      <c r="BV92" s="160"/>
      <c r="BW92" s="160"/>
      <c r="BX92" s="160"/>
      <c r="BY92" s="160"/>
      <c r="BZ92" s="160"/>
      <c r="CA92" s="160"/>
      <c r="CB92" s="160"/>
      <c r="CC92" s="160"/>
      <c r="CD92" s="160"/>
      <c r="CE92" s="160"/>
      <c r="CF92" s="160"/>
      <c r="CG92" s="160"/>
      <c r="CH92" s="160"/>
      <c r="CI92" s="160"/>
      <c r="CJ92" s="160"/>
      <c r="CK92" s="160"/>
      <c r="CL92" s="160"/>
    </row>
    <row r="93">
      <c r="A93" s="174" t="s">
        <v>310</v>
      </c>
      <c r="B93" s="11" t="s">
        <v>311</v>
      </c>
      <c r="C93" s="175" t="s">
        <v>60</v>
      </c>
      <c r="D93" s="176" t="str">
        <f>IFERROR(VLOOKUP(C93, PIC!A:B, 2, 0), "")</f>
        <v>Huong Le</v>
      </c>
      <c r="E93" s="11" t="s">
        <v>23</v>
      </c>
      <c r="F93" s="16" t="s">
        <v>853</v>
      </c>
      <c r="G93" s="16" t="s">
        <v>846</v>
      </c>
      <c r="H93" s="170">
        <f>IFERROR(
  MINIFS(ATTENDANCE_LOG!$F:$F,
         ATTENDANCE_LOG!$A:$A, C93,
         ATTENDANCE_LOG!$B:$B, E93),
"")</f>
        <v>45915.54167</v>
      </c>
      <c r="I93" s="170">
        <f t="shared" si="2"/>
        <v>45663.58333</v>
      </c>
      <c r="J93" s="11">
        <f>IFERROR(VLOOKUP(F93, LEVEL_HELPER!$A:$B, 2, 0), "")</f>
        <v>1.5</v>
      </c>
      <c r="K93" s="11">
        <f>IFERROR(VLOOKUP(G93, LEVEL_HELPER!$A:$B, 2, 0), "")</f>
        <v>3</v>
      </c>
      <c r="L93" s="171" t="s">
        <v>857</v>
      </c>
      <c r="M93" s="171" t="s">
        <v>150</v>
      </c>
      <c r="N93" s="11">
        <f t="array" ref="N93">IFERROR(
  INDEX($J$2:$J$531,
    MATCH(A93&amp;TEXT(I93,"yyyy-mm-dd"),
          $A$2:$A$531&amp;TEXT($H$2:$H$531,"yyyy-mm-dd"),
          0)),
"")</f>
        <v>1</v>
      </c>
      <c r="O93" s="160">
        <f t="shared" si="3"/>
        <v>3</v>
      </c>
      <c r="P93" s="160">
        <f t="shared" ref="P93:Q93" si="103">IF(N93="",0,IF(N93&lt;=2,1,IF(N93&lt;=4,2,IF(N93&lt;=5.5,3,4))))</f>
        <v>1</v>
      </c>
      <c r="Q93" s="160">
        <f t="shared" si="103"/>
        <v>2</v>
      </c>
      <c r="R93" s="160" t="str">
        <f t="shared" si="5"/>
        <v>Lv1 → Lv2</v>
      </c>
      <c r="S93" s="160">
        <f t="shared" si="6"/>
        <v>0</v>
      </c>
      <c r="T93" s="177" t="s">
        <v>921</v>
      </c>
      <c r="U93" s="160">
        <f>COUNTIFS(sheet2!$A:$A,A93,sheet2!$E:$E,E93)</f>
        <v>1</v>
      </c>
      <c r="V93" s="160"/>
      <c r="W93" s="160"/>
      <c r="X93" s="160" t="str">
        <f t="shared" si="7"/>
        <v>#N/A</v>
      </c>
      <c r="Y93" s="160" t="str">
        <f t="shared" si="8"/>
        <v>#N/A</v>
      </c>
      <c r="Z93" s="160" t="str">
        <f t="shared" si="9"/>
        <v>#N/A</v>
      </c>
      <c r="AA93" s="160"/>
      <c r="AB93" s="160"/>
      <c r="AC93" s="160"/>
      <c r="AD93" s="160"/>
      <c r="AE93" s="160"/>
      <c r="AF93" s="160"/>
      <c r="AG93" s="160"/>
      <c r="AH93" s="160"/>
      <c r="AI93" s="160"/>
      <c r="AJ93" s="160"/>
      <c r="AK93" s="160"/>
      <c r="AL93" s="160"/>
      <c r="AM93" s="160"/>
      <c r="AN93" s="164"/>
      <c r="AO93" s="161" t="str">
        <f>IFERROR(__xludf.DUMMYFUNCTION("""COMPUTED_VALUE"""),"227218")</f>
        <v>227218</v>
      </c>
      <c r="AP93" s="160" t="str">
        <f t="shared" si="10"/>
        <v>GSD</v>
      </c>
      <c r="AQ93" s="160" t="str">
        <f t="shared" si="11"/>
        <v>GSD</v>
      </c>
      <c r="AR93" s="160" t="str">
        <f t="shared" si="12"/>
        <v>POC</v>
      </c>
      <c r="AS93" s="160"/>
      <c r="AT93" s="160"/>
      <c r="AU93" s="160"/>
      <c r="AV93" s="160"/>
      <c r="AW93" s="160"/>
      <c r="AX93" s="160"/>
      <c r="AY93" s="160"/>
      <c r="AZ93" s="160"/>
      <c r="BA93" s="160"/>
      <c r="BB93" s="160"/>
      <c r="BC93" s="160"/>
      <c r="BD93" s="160"/>
      <c r="BE93" s="160"/>
      <c r="BF93" s="160"/>
      <c r="BG93" s="160"/>
      <c r="BH93" s="160"/>
      <c r="BI93" s="160"/>
      <c r="BJ93" s="160"/>
      <c r="BK93" s="160"/>
      <c r="BL93" s="160"/>
      <c r="BM93" s="160"/>
      <c r="BN93" s="160"/>
      <c r="BO93" s="160"/>
      <c r="BP93" s="160"/>
      <c r="BQ93" s="160"/>
      <c r="BR93" s="160"/>
      <c r="BS93" s="160"/>
      <c r="BT93" s="160"/>
      <c r="BU93" s="160"/>
      <c r="BV93" s="160"/>
      <c r="BW93" s="160"/>
      <c r="BX93" s="160"/>
      <c r="BY93" s="160"/>
      <c r="BZ93" s="160"/>
      <c r="CA93" s="160"/>
      <c r="CB93" s="160"/>
      <c r="CC93" s="160"/>
      <c r="CD93" s="160"/>
      <c r="CE93" s="160"/>
      <c r="CF93" s="160"/>
      <c r="CG93" s="160"/>
      <c r="CH93" s="160"/>
      <c r="CI93" s="160"/>
      <c r="CJ93" s="160"/>
      <c r="CK93" s="160"/>
      <c r="CL93" s="160"/>
    </row>
    <row r="94">
      <c r="A94" s="174" t="s">
        <v>314</v>
      </c>
      <c r="B94" s="11" t="s">
        <v>315</v>
      </c>
      <c r="C94" s="175" t="s">
        <v>60</v>
      </c>
      <c r="D94" s="176" t="str">
        <f>IFERROR(VLOOKUP(C94, PIC!A:B, 2, 0), "")</f>
        <v>Huong Le</v>
      </c>
      <c r="E94" s="11" t="s">
        <v>23</v>
      </c>
      <c r="F94" s="16" t="s">
        <v>861</v>
      </c>
      <c r="G94" s="16" t="s">
        <v>861</v>
      </c>
      <c r="H94" s="170">
        <f>IFERROR(
  MINIFS(ATTENDANCE_LOG!$F:$F,
         ATTENDANCE_LOG!$A:$A, C94,
         ATTENDANCE_LOG!$B:$B, E94),
"")</f>
        <v>45915.54167</v>
      </c>
      <c r="I94" s="170">
        <f t="shared" si="2"/>
        <v>45663.58333</v>
      </c>
      <c r="J94" s="11">
        <f>IFERROR(VLOOKUP(F94, LEVEL_HELPER!$A:$B, 2, 0), "")</f>
        <v>3.5</v>
      </c>
      <c r="K94" s="11">
        <f>IFERROR(VLOOKUP(G94, LEVEL_HELPER!$A:$B, 2, 0), "")</f>
        <v>3.5</v>
      </c>
      <c r="L94" s="171" t="s">
        <v>857</v>
      </c>
      <c r="M94" s="183" t="s">
        <v>152</v>
      </c>
      <c r="N94" s="11">
        <f t="array" ref="N94">IFERROR(
  INDEX($J$2:$J$531,
    MATCH(A94&amp;TEXT(I94,"yyyy-mm-dd"),
          $A$2:$A$531&amp;TEXT($H$2:$H$531,"yyyy-mm-dd"),
          0)),
"")</f>
        <v>2.5</v>
      </c>
      <c r="O94" s="160">
        <f t="shared" si="3"/>
        <v>3.5</v>
      </c>
      <c r="P94" s="160">
        <f t="shared" ref="P94:Q94" si="104">IF(N94="",0,IF(N94&lt;=2,1,IF(N94&lt;=4,2,IF(N94&lt;=5.5,3,4))))</f>
        <v>2</v>
      </c>
      <c r="Q94" s="160">
        <f t="shared" si="104"/>
        <v>2</v>
      </c>
      <c r="R94" s="160" t="str">
        <f t="shared" si="5"/>
        <v>Progress within level</v>
      </c>
      <c r="S94" s="160">
        <f t="shared" si="6"/>
        <v>0</v>
      </c>
      <c r="T94" s="172" t="s">
        <v>916</v>
      </c>
      <c r="U94" s="160">
        <f>COUNTIFS(sheet2!$A:$A,A94,sheet2!$E:$E,E94)</f>
        <v>1</v>
      </c>
      <c r="V94" s="160"/>
      <c r="W94" s="160"/>
      <c r="X94" s="160" t="str">
        <f t="shared" si="7"/>
        <v>#N/A</v>
      </c>
      <c r="Y94" s="160" t="str">
        <f t="shared" si="8"/>
        <v>#N/A</v>
      </c>
      <c r="Z94" s="160" t="str">
        <f t="shared" si="9"/>
        <v>#N/A</v>
      </c>
      <c r="AA94" s="160"/>
      <c r="AB94" s="160"/>
      <c r="AC94" s="160"/>
      <c r="AD94" s="160"/>
      <c r="AE94" s="160"/>
      <c r="AF94" s="160"/>
      <c r="AG94" s="160"/>
      <c r="AH94" s="160"/>
      <c r="AI94" s="160"/>
      <c r="AJ94" s="160"/>
      <c r="AK94" s="160"/>
      <c r="AL94" s="160"/>
      <c r="AM94" s="160"/>
      <c r="AN94" s="164"/>
      <c r="AO94" s="161" t="str">
        <f>IFERROR(__xludf.DUMMYFUNCTION("""COMPUTED_VALUE"""),"247062")</f>
        <v>247062</v>
      </c>
      <c r="AP94" s="160" t="str">
        <f t="shared" si="10"/>
        <v>GSD</v>
      </c>
      <c r="AQ94" s="160" t="str">
        <f t="shared" si="11"/>
        <v>GSD</v>
      </c>
      <c r="AR94" s="160" t="str">
        <f t="shared" si="12"/>
        <v>POC</v>
      </c>
      <c r="AS94" s="160"/>
      <c r="AT94" s="160"/>
      <c r="AU94" s="160"/>
      <c r="AV94" s="160"/>
      <c r="AW94" s="160"/>
      <c r="AX94" s="160"/>
      <c r="AY94" s="160"/>
      <c r="AZ94" s="160"/>
      <c r="BA94" s="160"/>
      <c r="BB94" s="160"/>
      <c r="BC94" s="160"/>
      <c r="BD94" s="160"/>
      <c r="BE94" s="160"/>
      <c r="BF94" s="160"/>
      <c r="BG94" s="160"/>
      <c r="BH94" s="160"/>
      <c r="BI94" s="160"/>
      <c r="BJ94" s="160"/>
      <c r="BK94" s="160"/>
      <c r="BL94" s="160"/>
      <c r="BM94" s="160"/>
      <c r="BN94" s="160"/>
      <c r="BO94" s="160"/>
      <c r="BP94" s="160"/>
      <c r="BQ94" s="160"/>
      <c r="BR94" s="160"/>
      <c r="BS94" s="160"/>
      <c r="BT94" s="160"/>
      <c r="BU94" s="160"/>
      <c r="BV94" s="160"/>
      <c r="BW94" s="160"/>
      <c r="BX94" s="160"/>
      <c r="BY94" s="160"/>
      <c r="BZ94" s="160"/>
      <c r="CA94" s="160"/>
      <c r="CB94" s="160"/>
      <c r="CC94" s="160"/>
      <c r="CD94" s="160"/>
      <c r="CE94" s="160"/>
      <c r="CF94" s="160"/>
      <c r="CG94" s="160"/>
      <c r="CH94" s="160"/>
      <c r="CI94" s="160"/>
      <c r="CJ94" s="160"/>
      <c r="CK94" s="160"/>
      <c r="CL94" s="160"/>
    </row>
    <row r="95">
      <c r="A95" s="174" t="s">
        <v>312</v>
      </c>
      <c r="B95" s="11" t="s">
        <v>313</v>
      </c>
      <c r="C95" s="175" t="s">
        <v>60</v>
      </c>
      <c r="D95" s="176" t="str">
        <f>IFERROR(VLOOKUP(C95, PIC!A:B, 2, 0), "")</f>
        <v>Huong Le</v>
      </c>
      <c r="E95" s="11" t="s">
        <v>23</v>
      </c>
      <c r="F95" s="16" t="s">
        <v>858</v>
      </c>
      <c r="G95" s="16" t="s">
        <v>868</v>
      </c>
      <c r="H95" s="170">
        <f>IFERROR(
  MINIFS(ATTENDANCE_LOG!$F:$F,
         ATTENDANCE_LOG!$A:$A, C95,
         ATTENDANCE_LOG!$B:$B, E95),
"")</f>
        <v>45915.54167</v>
      </c>
      <c r="I95" s="170">
        <f t="shared" si="2"/>
        <v>45637.41667</v>
      </c>
      <c r="J95" s="11">
        <f>IFERROR(VLOOKUP(F95, LEVEL_HELPER!$A:$B, 2, 0), "")</f>
        <v>4.5</v>
      </c>
      <c r="K95" s="11">
        <f>IFERROR(VLOOKUP(G95, LEVEL_HELPER!$A:$B, 2, 0), "")</f>
        <v>5</v>
      </c>
      <c r="L95" s="171" t="s">
        <v>857</v>
      </c>
      <c r="M95" s="171" t="s">
        <v>150</v>
      </c>
      <c r="N95" s="11">
        <f t="array" ref="N95">IFERROR(
  INDEX($J$2:$J$531,
    MATCH(A95&amp;TEXT(I95,"yyyy-mm-dd"),
          $A$2:$A$531&amp;TEXT($H$2:$H$531,"yyyy-mm-dd"),
          0)),
"")</f>
        <v>4.5</v>
      </c>
      <c r="O95" s="160">
        <f t="shared" si="3"/>
        <v>5</v>
      </c>
      <c r="P95" s="160">
        <f t="shared" ref="P95:Q95" si="105">IF(N95="",0,IF(N95&lt;=2,1,IF(N95&lt;=4,2,IF(N95&lt;=5.5,3,4))))</f>
        <v>3</v>
      </c>
      <c r="Q95" s="160">
        <f t="shared" si="105"/>
        <v>3</v>
      </c>
      <c r="R95" s="160" t="str">
        <f t="shared" si="5"/>
        <v>Progress within level</v>
      </c>
      <c r="S95" s="160">
        <f t="shared" si="6"/>
        <v>0</v>
      </c>
      <c r="T95" s="177" t="s">
        <v>897</v>
      </c>
      <c r="U95" s="160">
        <f>COUNTIFS(sheet2!$A:$A,A95,sheet2!$E:$E,E95)</f>
        <v>1</v>
      </c>
      <c r="V95" s="160"/>
      <c r="W95" s="160"/>
      <c r="X95" s="160" t="str">
        <f t="shared" si="7"/>
        <v>#N/A</v>
      </c>
      <c r="Y95" s="160" t="str">
        <f t="shared" si="8"/>
        <v>#N/A</v>
      </c>
      <c r="Z95" s="160" t="str">
        <f t="shared" si="9"/>
        <v>#N/A</v>
      </c>
      <c r="AA95" s="160"/>
      <c r="AB95" s="160"/>
      <c r="AC95" s="160"/>
      <c r="AD95" s="160"/>
      <c r="AE95" s="160"/>
      <c r="AF95" s="160"/>
      <c r="AG95" s="160"/>
      <c r="AH95" s="160"/>
      <c r="AI95" s="160"/>
      <c r="AJ95" s="160"/>
      <c r="AK95" s="160"/>
      <c r="AL95" s="160"/>
      <c r="AM95" s="160"/>
      <c r="AN95" s="164"/>
      <c r="AO95" s="161" t="str">
        <f>IFERROR(__xludf.DUMMYFUNCTION("""COMPUTED_VALUE"""),"247147")</f>
        <v>247147</v>
      </c>
      <c r="AP95" s="160" t="str">
        <f t="shared" si="10"/>
        <v>GSD</v>
      </c>
      <c r="AQ95" s="160" t="str">
        <f t="shared" si="11"/>
        <v>GSD</v>
      </c>
      <c r="AR95" s="160" t="str">
        <f t="shared" si="12"/>
        <v>POC</v>
      </c>
      <c r="AS95" s="160"/>
      <c r="AT95" s="160"/>
      <c r="AU95" s="160"/>
      <c r="AV95" s="160"/>
      <c r="AW95" s="160"/>
      <c r="AX95" s="160"/>
      <c r="AY95" s="160"/>
      <c r="AZ95" s="160"/>
      <c r="BA95" s="160"/>
      <c r="BB95" s="160"/>
      <c r="BC95" s="160"/>
      <c r="BD95" s="160"/>
      <c r="BE95" s="160"/>
      <c r="BF95" s="160"/>
      <c r="BG95" s="160"/>
      <c r="BH95" s="160"/>
      <c r="BI95" s="160"/>
      <c r="BJ95" s="160"/>
      <c r="BK95" s="160"/>
      <c r="BL95" s="160"/>
      <c r="BM95" s="160"/>
      <c r="BN95" s="160"/>
      <c r="BO95" s="160"/>
      <c r="BP95" s="160"/>
      <c r="BQ95" s="160"/>
      <c r="BR95" s="160"/>
      <c r="BS95" s="160"/>
      <c r="BT95" s="160"/>
      <c r="BU95" s="160"/>
      <c r="BV95" s="160"/>
      <c r="BW95" s="160"/>
      <c r="BX95" s="160"/>
      <c r="BY95" s="160"/>
      <c r="BZ95" s="160"/>
      <c r="CA95" s="160"/>
      <c r="CB95" s="160"/>
      <c r="CC95" s="160"/>
      <c r="CD95" s="160"/>
      <c r="CE95" s="160"/>
      <c r="CF95" s="160"/>
      <c r="CG95" s="160"/>
      <c r="CH95" s="160"/>
      <c r="CI95" s="160"/>
      <c r="CJ95" s="160"/>
      <c r="CK95" s="160"/>
      <c r="CL95" s="160"/>
    </row>
    <row r="96">
      <c r="A96" s="166" t="s">
        <v>347</v>
      </c>
      <c r="B96" s="167" t="s">
        <v>348</v>
      </c>
      <c r="C96" s="168" t="s">
        <v>61</v>
      </c>
      <c r="D96" s="169" t="str">
        <f>IFERROR(VLOOKUP(C96, PIC!A:B, 2, 0), "")</f>
        <v>Huy Tran 1</v>
      </c>
      <c r="E96" s="167" t="s">
        <v>22</v>
      </c>
      <c r="F96" s="16" t="s">
        <v>849</v>
      </c>
      <c r="G96" s="16" t="s">
        <v>845</v>
      </c>
      <c r="H96" s="170">
        <f>IFERROR(
  MINIFS(ATTENDANCE_LOG!$F:$F,
         ATTENDANCE_LOG!$A:$A, C96,
         ATTENDANCE_LOG!$B:$B, E96),
"")</f>
        <v>45644.375</v>
      </c>
      <c r="I96" s="170">
        <f t="shared" si="2"/>
        <v>45644.375</v>
      </c>
      <c r="J96" s="11">
        <f>IFERROR(VLOOKUP(F96, LEVEL_HELPER!$A:$B, 2, 0), "")</f>
        <v>1</v>
      </c>
      <c r="K96" s="11">
        <f>IFERROR(VLOOKUP(G96, LEVEL_HELPER!$A:$B, 2, 0), "")</f>
        <v>2.5</v>
      </c>
      <c r="L96" s="171" t="s">
        <v>880</v>
      </c>
      <c r="M96" s="183" t="s">
        <v>149</v>
      </c>
      <c r="N96" s="11">
        <f t="array" ref="N96">IFERROR(
  INDEX($J$2:$J$531,
    MATCH(A96&amp;TEXT(I96,"yyyy-mm-dd"),
          $A$2:$A$531&amp;TEXT($H$2:$H$531,"yyyy-mm-dd"),
          0)),
"")</f>
        <v>1</v>
      </c>
      <c r="O96" s="160">
        <f t="shared" si="3"/>
        <v>2.5</v>
      </c>
      <c r="P96" s="160">
        <f t="shared" ref="P96:Q96" si="106">IF(N96="",0,IF(N96&lt;=2,1,IF(N96&lt;=4,2,IF(N96&lt;=5.5,3,4))))</f>
        <v>1</v>
      </c>
      <c r="Q96" s="160">
        <f t="shared" si="106"/>
        <v>2</v>
      </c>
      <c r="R96" s="160" t="str">
        <f t="shared" si="5"/>
        <v>Lv1 → Lv2</v>
      </c>
      <c r="S96" s="160">
        <f t="shared" si="6"/>
        <v>1</v>
      </c>
      <c r="T96" s="172" t="s">
        <v>923</v>
      </c>
      <c r="U96" s="160">
        <f>COUNTIFS(sheet2!$A:$A,A96,sheet2!$E:$E,E96)</f>
        <v>1</v>
      </c>
      <c r="V96" s="160"/>
      <c r="W96" s="160"/>
      <c r="X96" s="160" t="str">
        <f t="shared" si="7"/>
        <v>#N/A</v>
      </c>
      <c r="Y96" s="160" t="str">
        <f t="shared" si="8"/>
        <v>#N/A</v>
      </c>
      <c r="Z96" s="160" t="str">
        <f t="shared" si="9"/>
        <v>#N/A</v>
      </c>
      <c r="AA96" s="160"/>
      <c r="AB96" s="160"/>
      <c r="AC96" s="160"/>
      <c r="AD96" s="160"/>
      <c r="AE96" s="160"/>
      <c r="AF96" s="160"/>
      <c r="AG96" s="160"/>
      <c r="AH96" s="160"/>
      <c r="AI96" s="160"/>
      <c r="AJ96" s="160"/>
      <c r="AK96" s="160"/>
      <c r="AL96" s="160"/>
      <c r="AM96" s="160"/>
      <c r="AN96" s="164"/>
      <c r="AO96" s="161" t="str">
        <f>IFERROR(__xludf.DUMMYFUNCTION("""COMPUTED_VALUE"""),"247102")</f>
        <v>247102</v>
      </c>
      <c r="AP96" s="160" t="str">
        <f t="shared" si="10"/>
        <v>GSD</v>
      </c>
      <c r="AQ96" s="160" t="str">
        <f t="shared" si="11"/>
        <v>GSD</v>
      </c>
      <c r="AR96" s="160" t="str">
        <f t="shared" si="12"/>
        <v>POC</v>
      </c>
      <c r="AS96" s="160"/>
      <c r="AT96" s="160"/>
      <c r="AU96" s="160"/>
      <c r="AV96" s="160"/>
      <c r="AW96" s="160"/>
      <c r="AX96" s="160"/>
      <c r="AY96" s="160"/>
      <c r="AZ96" s="160"/>
      <c r="BA96" s="160"/>
      <c r="BB96" s="160"/>
      <c r="BC96" s="160"/>
      <c r="BD96" s="160"/>
      <c r="BE96" s="160"/>
      <c r="BF96" s="160"/>
      <c r="BG96" s="160"/>
      <c r="BH96" s="160"/>
      <c r="BI96" s="160"/>
      <c r="BJ96" s="160"/>
      <c r="BK96" s="160"/>
      <c r="BL96" s="160"/>
      <c r="BM96" s="160"/>
      <c r="BN96" s="160"/>
      <c r="BO96" s="160"/>
      <c r="BP96" s="160"/>
      <c r="BQ96" s="160"/>
      <c r="BR96" s="160"/>
      <c r="BS96" s="160"/>
      <c r="BT96" s="160"/>
      <c r="BU96" s="160"/>
      <c r="BV96" s="160"/>
      <c r="BW96" s="160"/>
      <c r="BX96" s="160"/>
      <c r="BY96" s="160"/>
      <c r="BZ96" s="160"/>
      <c r="CA96" s="160"/>
      <c r="CB96" s="160"/>
      <c r="CC96" s="160"/>
      <c r="CD96" s="160"/>
      <c r="CE96" s="160"/>
      <c r="CF96" s="160"/>
      <c r="CG96" s="160"/>
      <c r="CH96" s="160"/>
      <c r="CI96" s="160"/>
      <c r="CJ96" s="160"/>
      <c r="CK96" s="160"/>
      <c r="CL96" s="160"/>
    </row>
    <row r="97">
      <c r="A97" s="174" t="s">
        <v>333</v>
      </c>
      <c r="B97" s="11" t="s">
        <v>334</v>
      </c>
      <c r="C97" s="175" t="s">
        <v>61</v>
      </c>
      <c r="D97" s="176" t="str">
        <f>IFERROR(VLOOKUP(C97, PIC!A:B, 2, 0), "")</f>
        <v>Huy Tran 1</v>
      </c>
      <c r="E97" s="11" t="s">
        <v>22</v>
      </c>
      <c r="F97" s="16" t="s">
        <v>845</v>
      </c>
      <c r="G97" s="16" t="s">
        <v>845</v>
      </c>
      <c r="H97" s="170">
        <f>IFERROR(
  MINIFS(ATTENDANCE_LOG!$F:$F,
         ATTENDANCE_LOG!$A:$A, C97,
         ATTENDANCE_LOG!$B:$B, E97),
"")</f>
        <v>45644.375</v>
      </c>
      <c r="I97" s="170">
        <f t="shared" si="2"/>
        <v>45644.375</v>
      </c>
      <c r="J97" s="11">
        <f>IFERROR(VLOOKUP(F97, LEVEL_HELPER!$A:$B, 2, 0), "")</f>
        <v>2.5</v>
      </c>
      <c r="K97" s="11">
        <f>IFERROR(VLOOKUP(G97, LEVEL_HELPER!$A:$B, 2, 0), "")</f>
        <v>2.5</v>
      </c>
      <c r="L97" s="171" t="s">
        <v>400</v>
      </c>
      <c r="M97" s="183" t="s">
        <v>149</v>
      </c>
      <c r="N97" s="11">
        <f t="array" ref="N97">IFERROR(
  INDEX($J$2:$J$531,
    MATCH(A97&amp;TEXT(I97,"yyyy-mm-dd"),
          $A$2:$A$531&amp;TEXT($H$2:$H$531,"yyyy-mm-dd"),
          0)),
"")</f>
        <v>2.5</v>
      </c>
      <c r="O97" s="160">
        <f t="shared" si="3"/>
        <v>2.5</v>
      </c>
      <c r="P97" s="160">
        <f t="shared" ref="P97:Q97" si="107">IF(N97="",0,IF(N97&lt;=2,1,IF(N97&lt;=4,2,IF(N97&lt;=5.5,3,4))))</f>
        <v>2</v>
      </c>
      <c r="Q97" s="160">
        <f t="shared" si="107"/>
        <v>2</v>
      </c>
      <c r="R97" s="160" t="str">
        <f t="shared" si="5"/>
        <v>No Progress</v>
      </c>
      <c r="S97" s="160">
        <f t="shared" si="6"/>
        <v>1</v>
      </c>
      <c r="T97" s="177" t="s">
        <v>924</v>
      </c>
      <c r="U97" s="160">
        <f>COUNTIFS(sheet2!$A:$A,A97,sheet2!$E:$E,E97)</f>
        <v>1</v>
      </c>
      <c r="V97" s="160"/>
      <c r="W97" s="160"/>
      <c r="X97" s="160" t="str">
        <f t="shared" si="7"/>
        <v>#N/A</v>
      </c>
      <c r="Y97" s="160" t="str">
        <f t="shared" si="8"/>
        <v>#N/A</v>
      </c>
      <c r="Z97" s="160" t="str">
        <f t="shared" si="9"/>
        <v>#N/A</v>
      </c>
      <c r="AA97" s="160"/>
      <c r="AB97" s="160"/>
      <c r="AC97" s="160"/>
      <c r="AD97" s="160"/>
      <c r="AE97" s="160"/>
      <c r="AF97" s="160"/>
      <c r="AG97" s="160"/>
      <c r="AH97" s="160"/>
      <c r="AI97" s="160"/>
      <c r="AJ97" s="160"/>
      <c r="AK97" s="160"/>
      <c r="AL97" s="160"/>
      <c r="AM97" s="160"/>
      <c r="AN97" s="164"/>
      <c r="AO97" s="161" t="str">
        <f>IFERROR(__xludf.DUMMYFUNCTION("""COMPUTED_VALUE"""),"267040")</f>
        <v>267040</v>
      </c>
      <c r="AP97" s="160" t="str">
        <f t="shared" si="10"/>
        <v/>
      </c>
      <c r="AQ97" s="160" t="str">
        <f t="shared" si="11"/>
        <v>#N/A</v>
      </c>
      <c r="AR97" s="160" t="str">
        <f t="shared" si="12"/>
        <v/>
      </c>
      <c r="AS97" s="160"/>
      <c r="AT97" s="160"/>
      <c r="AU97" s="160"/>
      <c r="AV97" s="160"/>
      <c r="AW97" s="160"/>
      <c r="AX97" s="160"/>
      <c r="AY97" s="160"/>
      <c r="AZ97" s="160"/>
      <c r="BA97" s="160"/>
      <c r="BB97" s="160"/>
      <c r="BC97" s="160"/>
      <c r="BD97" s="160"/>
      <c r="BE97" s="160"/>
      <c r="BF97" s="160"/>
      <c r="BG97" s="160"/>
      <c r="BH97" s="160"/>
      <c r="BI97" s="160"/>
      <c r="BJ97" s="160"/>
      <c r="BK97" s="160"/>
      <c r="BL97" s="160"/>
      <c r="BM97" s="160"/>
      <c r="BN97" s="160"/>
      <c r="BO97" s="160"/>
      <c r="BP97" s="160"/>
      <c r="BQ97" s="160"/>
      <c r="BR97" s="160"/>
      <c r="BS97" s="160"/>
      <c r="BT97" s="160"/>
      <c r="BU97" s="160"/>
      <c r="BV97" s="160"/>
      <c r="BW97" s="160"/>
      <c r="BX97" s="160"/>
      <c r="BY97" s="160"/>
      <c r="BZ97" s="160"/>
      <c r="CA97" s="160"/>
      <c r="CB97" s="160"/>
      <c r="CC97" s="160"/>
      <c r="CD97" s="160"/>
      <c r="CE97" s="160"/>
      <c r="CF97" s="160"/>
      <c r="CG97" s="160"/>
      <c r="CH97" s="160"/>
      <c r="CI97" s="160"/>
      <c r="CJ97" s="160"/>
      <c r="CK97" s="160"/>
      <c r="CL97" s="160"/>
    </row>
    <row r="98">
      <c r="A98" s="174" t="s">
        <v>335</v>
      </c>
      <c r="B98" s="11" t="s">
        <v>336</v>
      </c>
      <c r="C98" s="175" t="s">
        <v>61</v>
      </c>
      <c r="D98" s="176" t="str">
        <f>IFERROR(VLOOKUP(C98, PIC!A:B, 2, 0), "")</f>
        <v>Huy Tran 1</v>
      </c>
      <c r="E98" s="11" t="s">
        <v>22</v>
      </c>
      <c r="F98" s="16" t="s">
        <v>849</v>
      </c>
      <c r="G98" s="16" t="s">
        <v>845</v>
      </c>
      <c r="H98" s="170">
        <f>IFERROR(
  MINIFS(ATTENDANCE_LOG!$F:$F,
         ATTENDANCE_LOG!$A:$A, C98,
         ATTENDANCE_LOG!$B:$B, E98),
"")</f>
        <v>45644.375</v>
      </c>
      <c r="I98" s="170">
        <f t="shared" si="2"/>
        <v>45644.375</v>
      </c>
      <c r="J98" s="11">
        <f>IFERROR(VLOOKUP(F98, LEVEL_HELPER!$A:$B, 2, 0), "")</f>
        <v>1</v>
      </c>
      <c r="K98" s="11">
        <f>IFERROR(VLOOKUP(G98, LEVEL_HELPER!$A:$B, 2, 0), "")</f>
        <v>2.5</v>
      </c>
      <c r="L98" s="171" t="s">
        <v>400</v>
      </c>
      <c r="M98" s="183" t="s">
        <v>149</v>
      </c>
      <c r="N98" s="11">
        <f t="array" ref="N98">IFERROR(
  INDEX($J$2:$J$531,
    MATCH(A98&amp;TEXT(I98,"yyyy-mm-dd"),
          $A$2:$A$531&amp;TEXT($H$2:$H$531,"yyyy-mm-dd"),
          0)),
"")</f>
        <v>1</v>
      </c>
      <c r="O98" s="160">
        <f t="shared" si="3"/>
        <v>2.5</v>
      </c>
      <c r="P98" s="160">
        <f t="shared" ref="P98:Q98" si="108">IF(N98="",0,IF(N98&lt;=2,1,IF(N98&lt;=4,2,IF(N98&lt;=5.5,3,4))))</f>
        <v>1</v>
      </c>
      <c r="Q98" s="160">
        <f t="shared" si="108"/>
        <v>2</v>
      </c>
      <c r="R98" s="160" t="str">
        <f t="shared" si="5"/>
        <v>Lv1 → Lv2</v>
      </c>
      <c r="S98" s="160">
        <f t="shared" si="6"/>
        <v>1</v>
      </c>
      <c r="T98" s="177" t="s">
        <v>925</v>
      </c>
      <c r="U98" s="160">
        <f>COUNTIFS(sheet2!$A:$A,A98,sheet2!$E:$E,E98)</f>
        <v>1</v>
      </c>
      <c r="V98" s="160"/>
      <c r="W98" s="160"/>
      <c r="X98" s="160" t="str">
        <f t="shared" si="7"/>
        <v>#N/A</v>
      </c>
      <c r="Y98" s="160" t="str">
        <f t="shared" si="8"/>
        <v>#N/A</v>
      </c>
      <c r="Z98" s="160" t="str">
        <f t="shared" si="9"/>
        <v>#N/A</v>
      </c>
      <c r="AA98" s="160"/>
      <c r="AB98" s="160"/>
      <c r="AC98" s="160"/>
      <c r="AD98" s="160"/>
      <c r="AE98" s="160"/>
      <c r="AF98" s="160"/>
      <c r="AG98" s="160"/>
      <c r="AH98" s="160"/>
      <c r="AI98" s="160"/>
      <c r="AJ98" s="160"/>
      <c r="AK98" s="160"/>
      <c r="AL98" s="160"/>
      <c r="AM98" s="160"/>
      <c r="AN98" s="164"/>
      <c r="AO98" s="161" t="str">
        <f>IFERROR(__xludf.DUMMYFUNCTION("""COMPUTED_VALUE"""),"213806")</f>
        <v>213806</v>
      </c>
      <c r="AP98" s="160" t="str">
        <f t="shared" si="10"/>
        <v/>
      </c>
      <c r="AQ98" s="160" t="str">
        <f t="shared" si="11"/>
        <v>#N/A</v>
      </c>
      <c r="AR98" s="160" t="str">
        <f t="shared" si="12"/>
        <v/>
      </c>
      <c r="AS98" s="160"/>
      <c r="AT98" s="160"/>
      <c r="AU98" s="160"/>
      <c r="AV98" s="160"/>
      <c r="AW98" s="160"/>
      <c r="AX98" s="160"/>
      <c r="AY98" s="160"/>
      <c r="AZ98" s="160"/>
      <c r="BA98" s="160"/>
      <c r="BB98" s="160"/>
      <c r="BC98" s="160"/>
      <c r="BD98" s="160"/>
      <c r="BE98" s="160"/>
      <c r="BF98" s="160"/>
      <c r="BG98" s="160"/>
      <c r="BH98" s="160"/>
      <c r="BI98" s="160"/>
      <c r="BJ98" s="160"/>
      <c r="BK98" s="160"/>
      <c r="BL98" s="160"/>
      <c r="BM98" s="160"/>
      <c r="BN98" s="160"/>
      <c r="BO98" s="160"/>
      <c r="BP98" s="160"/>
      <c r="BQ98" s="160"/>
      <c r="BR98" s="160"/>
      <c r="BS98" s="160"/>
      <c r="BT98" s="160"/>
      <c r="BU98" s="160"/>
      <c r="BV98" s="160"/>
      <c r="BW98" s="160"/>
      <c r="BX98" s="160"/>
      <c r="BY98" s="160"/>
      <c r="BZ98" s="160"/>
      <c r="CA98" s="160"/>
      <c r="CB98" s="160"/>
      <c r="CC98" s="160"/>
      <c r="CD98" s="160"/>
      <c r="CE98" s="160"/>
      <c r="CF98" s="160"/>
      <c r="CG98" s="160"/>
      <c r="CH98" s="160"/>
      <c r="CI98" s="160"/>
      <c r="CJ98" s="160"/>
      <c r="CK98" s="160"/>
      <c r="CL98" s="160"/>
    </row>
    <row r="99">
      <c r="A99" s="174" t="s">
        <v>337</v>
      </c>
      <c r="B99" s="11" t="s">
        <v>338</v>
      </c>
      <c r="C99" s="175" t="s">
        <v>61</v>
      </c>
      <c r="D99" s="176" t="str">
        <f>IFERROR(VLOOKUP(C99, PIC!A:B, 2, 0), "")</f>
        <v>Huy Tran 1</v>
      </c>
      <c r="E99" s="11" t="s">
        <v>22</v>
      </c>
      <c r="F99" s="16" t="s">
        <v>849</v>
      </c>
      <c r="G99" s="16" t="s">
        <v>845</v>
      </c>
      <c r="H99" s="170">
        <f>IFERROR(
  MINIFS(ATTENDANCE_LOG!$F:$F,
         ATTENDANCE_LOG!$A:$A, C99,
         ATTENDANCE_LOG!$B:$B, E99),
"")</f>
        <v>45644.375</v>
      </c>
      <c r="I99" s="170">
        <f t="shared" si="2"/>
        <v>45644.375</v>
      </c>
      <c r="J99" s="11">
        <f>IFERROR(VLOOKUP(F99, LEVEL_HELPER!$A:$B, 2, 0), "")</f>
        <v>1</v>
      </c>
      <c r="K99" s="11">
        <f>IFERROR(VLOOKUP(G99, LEVEL_HELPER!$A:$B, 2, 0), "")</f>
        <v>2.5</v>
      </c>
      <c r="L99" s="171" t="s">
        <v>847</v>
      </c>
      <c r="M99" s="183" t="s">
        <v>149</v>
      </c>
      <c r="N99" s="11">
        <f t="array" ref="N99">IFERROR(
  INDEX($J$2:$J$531,
    MATCH(A99&amp;TEXT(I99,"yyyy-mm-dd"),
          $A$2:$A$531&amp;TEXT($H$2:$H$531,"yyyy-mm-dd"),
          0)),
"")</f>
        <v>1</v>
      </c>
      <c r="O99" s="160">
        <f t="shared" si="3"/>
        <v>2.5</v>
      </c>
      <c r="P99" s="160">
        <f t="shared" ref="P99:Q99" si="109">IF(N99="",0,IF(N99&lt;=2,1,IF(N99&lt;=4,2,IF(N99&lt;=5.5,3,4))))</f>
        <v>1</v>
      </c>
      <c r="Q99" s="160">
        <f t="shared" si="109"/>
        <v>2</v>
      </c>
      <c r="R99" s="160" t="str">
        <f t="shared" si="5"/>
        <v>Lv1 → Lv2</v>
      </c>
      <c r="S99" s="160">
        <f t="shared" si="6"/>
        <v>1</v>
      </c>
      <c r="T99" s="177" t="s">
        <v>926</v>
      </c>
      <c r="U99" s="160">
        <f>COUNTIFS(sheet2!$A:$A,A99,sheet2!$E:$E,E99)</f>
        <v>1</v>
      </c>
      <c r="V99" s="160"/>
      <c r="W99" s="160"/>
      <c r="X99" s="160" t="str">
        <f t="shared" si="7"/>
        <v>#N/A</v>
      </c>
      <c r="Y99" s="160" t="str">
        <f t="shared" si="8"/>
        <v>#N/A</v>
      </c>
      <c r="Z99" s="160" t="str">
        <f t="shared" si="9"/>
        <v>#N/A</v>
      </c>
      <c r="AA99" s="160"/>
      <c r="AB99" s="160"/>
      <c r="AC99" s="160"/>
      <c r="AD99" s="160"/>
      <c r="AE99" s="160"/>
      <c r="AF99" s="160"/>
      <c r="AG99" s="160"/>
      <c r="AH99" s="160"/>
      <c r="AI99" s="160"/>
      <c r="AJ99" s="160"/>
      <c r="AK99" s="160"/>
      <c r="AL99" s="160"/>
      <c r="AM99" s="160"/>
      <c r="AN99" s="164"/>
      <c r="AO99" s="161" t="str">
        <f>IFERROR(__xludf.DUMMYFUNCTION("""COMPUTED_VALUE"""),"247338")</f>
        <v>247338</v>
      </c>
      <c r="AP99" s="160" t="str">
        <f t="shared" si="10"/>
        <v/>
      </c>
      <c r="AQ99" s="160" t="str">
        <f t="shared" si="11"/>
        <v>#N/A</v>
      </c>
      <c r="AR99" s="160" t="str">
        <f t="shared" si="12"/>
        <v/>
      </c>
      <c r="AS99" s="160"/>
      <c r="AT99" s="160"/>
      <c r="AU99" s="160"/>
      <c r="AV99" s="160"/>
      <c r="AW99" s="160"/>
      <c r="AX99" s="160"/>
      <c r="AY99" s="160"/>
      <c r="AZ99" s="160"/>
      <c r="BA99" s="160"/>
      <c r="BB99" s="160"/>
      <c r="BC99" s="160"/>
      <c r="BD99" s="160"/>
      <c r="BE99" s="160"/>
      <c r="BF99" s="160"/>
      <c r="BG99" s="160"/>
      <c r="BH99" s="160"/>
      <c r="BI99" s="160"/>
      <c r="BJ99" s="160"/>
      <c r="BK99" s="160"/>
      <c r="BL99" s="160"/>
      <c r="BM99" s="160"/>
      <c r="BN99" s="160"/>
      <c r="BO99" s="160"/>
      <c r="BP99" s="160"/>
      <c r="BQ99" s="160"/>
      <c r="BR99" s="160"/>
      <c r="BS99" s="160"/>
      <c r="BT99" s="160"/>
      <c r="BU99" s="160"/>
      <c r="BV99" s="160"/>
      <c r="BW99" s="160"/>
      <c r="BX99" s="160"/>
      <c r="BY99" s="160"/>
      <c r="BZ99" s="160"/>
      <c r="CA99" s="160"/>
      <c r="CB99" s="160"/>
      <c r="CC99" s="160"/>
      <c r="CD99" s="160"/>
      <c r="CE99" s="160"/>
      <c r="CF99" s="160"/>
      <c r="CG99" s="160"/>
      <c r="CH99" s="160"/>
      <c r="CI99" s="160"/>
      <c r="CJ99" s="160"/>
      <c r="CK99" s="160"/>
      <c r="CL99" s="160"/>
    </row>
    <row r="100">
      <c r="A100" s="174" t="s">
        <v>349</v>
      </c>
      <c r="B100" s="11" t="s">
        <v>350</v>
      </c>
      <c r="C100" s="175" t="s">
        <v>61</v>
      </c>
      <c r="D100" s="176" t="str">
        <f>IFERROR(VLOOKUP(C100, PIC!A:B, 2, 0), "")</f>
        <v>Huy Tran 1</v>
      </c>
      <c r="E100" s="11" t="s">
        <v>22</v>
      </c>
      <c r="F100" s="16" t="s">
        <v>849</v>
      </c>
      <c r="G100" s="16" t="s">
        <v>845</v>
      </c>
      <c r="H100" s="170">
        <f>IFERROR(
  MINIFS(ATTENDANCE_LOG!$F:$F,
         ATTENDANCE_LOG!$A:$A, C100,
         ATTENDANCE_LOG!$B:$B, E100),
"")</f>
        <v>45644.375</v>
      </c>
      <c r="I100" s="170">
        <f t="shared" si="2"/>
        <v>45644.375</v>
      </c>
      <c r="J100" s="11">
        <f>IFERROR(VLOOKUP(F100, LEVEL_HELPER!$A:$B, 2, 0), "")</f>
        <v>1</v>
      </c>
      <c r="K100" s="11">
        <f>IFERROR(VLOOKUP(G100, LEVEL_HELPER!$A:$B, 2, 0), "")</f>
        <v>2.5</v>
      </c>
      <c r="L100" s="171" t="s">
        <v>873</v>
      </c>
      <c r="M100" s="183" t="s">
        <v>149</v>
      </c>
      <c r="N100" s="11">
        <f t="array" ref="N100">IFERROR(
  INDEX($J$2:$J$531,
    MATCH(A100&amp;TEXT(I100,"yyyy-mm-dd"),
          $A$2:$A$531&amp;TEXT($H$2:$H$531,"yyyy-mm-dd"),
          0)),
"")</f>
        <v>1</v>
      </c>
      <c r="O100" s="160">
        <f t="shared" si="3"/>
        <v>2.5</v>
      </c>
      <c r="P100" s="160">
        <f t="shared" ref="P100:Q100" si="110">IF(N100="",0,IF(N100&lt;=2,1,IF(N100&lt;=4,2,IF(N100&lt;=5.5,3,4))))</f>
        <v>1</v>
      </c>
      <c r="Q100" s="160">
        <f t="shared" si="110"/>
        <v>2</v>
      </c>
      <c r="R100" s="160" t="str">
        <f t="shared" si="5"/>
        <v>Lv1 → Lv2</v>
      </c>
      <c r="S100" s="160">
        <f t="shared" si="6"/>
        <v>1</v>
      </c>
      <c r="T100" s="177" t="s">
        <v>927</v>
      </c>
      <c r="U100" s="160">
        <f>COUNTIFS(sheet2!$A:$A,A100,sheet2!$E:$E,E100)</f>
        <v>1</v>
      </c>
      <c r="V100" s="160"/>
      <c r="W100" s="160"/>
      <c r="X100" s="160" t="str">
        <f t="shared" si="7"/>
        <v>#N/A</v>
      </c>
      <c r="Y100" s="160" t="str">
        <f t="shared" si="8"/>
        <v>#N/A</v>
      </c>
      <c r="Z100" s="160" t="str">
        <f t="shared" si="9"/>
        <v>#N/A</v>
      </c>
      <c r="AA100" s="160"/>
      <c r="AB100" s="160"/>
      <c r="AC100" s="160"/>
      <c r="AD100" s="160"/>
      <c r="AE100" s="160"/>
      <c r="AF100" s="160"/>
      <c r="AG100" s="160"/>
      <c r="AH100" s="160"/>
      <c r="AI100" s="160"/>
      <c r="AJ100" s="160"/>
      <c r="AK100" s="160"/>
      <c r="AL100" s="160"/>
      <c r="AM100" s="160"/>
      <c r="AN100" s="164"/>
      <c r="AO100" s="161" t="str">
        <f>IFERROR(__xludf.DUMMYFUNCTION("""COMPUTED_VALUE"""),"247336")</f>
        <v>247336</v>
      </c>
      <c r="AP100" s="160" t="str">
        <f t="shared" si="10"/>
        <v/>
      </c>
      <c r="AQ100" s="160" t="str">
        <f t="shared" si="11"/>
        <v>#N/A</v>
      </c>
      <c r="AR100" s="160" t="str">
        <f t="shared" si="12"/>
        <v/>
      </c>
      <c r="AS100" s="160"/>
      <c r="AT100" s="160"/>
      <c r="AU100" s="160"/>
      <c r="AV100" s="160"/>
      <c r="AW100" s="160"/>
      <c r="AX100" s="160"/>
      <c r="AY100" s="160"/>
      <c r="AZ100" s="160"/>
      <c r="BA100" s="160"/>
      <c r="BB100" s="160"/>
      <c r="BC100" s="160"/>
      <c r="BD100" s="160"/>
      <c r="BE100" s="160"/>
      <c r="BF100" s="160"/>
      <c r="BG100" s="160"/>
      <c r="BH100" s="160"/>
      <c r="BI100" s="160"/>
      <c r="BJ100" s="160"/>
      <c r="BK100" s="160"/>
      <c r="BL100" s="160"/>
      <c r="BM100" s="160"/>
      <c r="BN100" s="160"/>
      <c r="BO100" s="160"/>
      <c r="BP100" s="160"/>
      <c r="BQ100" s="160"/>
      <c r="BR100" s="160"/>
      <c r="BS100" s="160"/>
      <c r="BT100" s="160"/>
      <c r="BU100" s="160"/>
      <c r="BV100" s="160"/>
      <c r="BW100" s="160"/>
      <c r="BX100" s="160"/>
      <c r="BY100" s="160"/>
      <c r="BZ100" s="160"/>
      <c r="CA100" s="160"/>
      <c r="CB100" s="160"/>
      <c r="CC100" s="160"/>
      <c r="CD100" s="160"/>
      <c r="CE100" s="160"/>
      <c r="CF100" s="160"/>
      <c r="CG100" s="160"/>
      <c r="CH100" s="160"/>
      <c r="CI100" s="160"/>
      <c r="CJ100" s="160"/>
      <c r="CK100" s="160"/>
      <c r="CL100" s="160"/>
    </row>
    <row r="101">
      <c r="A101" s="166" t="s">
        <v>343</v>
      </c>
      <c r="B101" s="167" t="s">
        <v>344</v>
      </c>
      <c r="C101" s="168" t="s">
        <v>61</v>
      </c>
      <c r="D101" s="169" t="str">
        <f>IFERROR(VLOOKUP(C101, PIC!A:B, 2, 0), "")</f>
        <v>Huy Tran 1</v>
      </c>
      <c r="E101" s="167" t="s">
        <v>23</v>
      </c>
      <c r="F101" s="16" t="s">
        <v>849</v>
      </c>
      <c r="G101" s="11"/>
      <c r="H101" s="170">
        <f>IFERROR(
  MINIFS(ATTENDANCE_LOG!$F:$F,
         ATTENDANCE_LOG!$A:$A, C101,
         ATTENDANCE_LOG!$B:$B, E101),
"")</f>
        <v>45853.375</v>
      </c>
      <c r="I101" s="170">
        <f t="shared" si="2"/>
        <v>45644.375</v>
      </c>
      <c r="J101" s="11">
        <f>IFERROR(VLOOKUP(F101, LEVEL_HELPER!$A:$B, 2, 0), "")</f>
        <v>1</v>
      </c>
      <c r="K101" s="11" t="str">
        <f>IFERROR(VLOOKUP(G101, LEVEL_HELPER!$A:$B, 2, 0), "")</f>
        <v/>
      </c>
      <c r="L101" s="171" t="s">
        <v>400</v>
      </c>
      <c r="M101" s="183" t="s">
        <v>149</v>
      </c>
      <c r="N101" s="11">
        <f t="array" ref="N101">IFERROR(
  INDEX($J$2:$J$531,
    MATCH(A101&amp;TEXT(I101,"yyyy-mm-dd"),
          $A$2:$A$531&amp;TEXT($H$2:$H$531,"yyyy-mm-dd"),
          0)),
"")</f>
        <v>1</v>
      </c>
      <c r="O101" s="160">
        <f t="shared" si="3"/>
        <v>1</v>
      </c>
      <c r="P101" s="160">
        <f t="shared" ref="P101:Q101" si="111">IF(N101="",0,IF(N101&lt;=2,1,IF(N101&lt;=4,2,IF(N101&lt;=5.5,3,4))))</f>
        <v>1</v>
      </c>
      <c r="Q101" s="160">
        <f t="shared" si="111"/>
        <v>1</v>
      </c>
      <c r="R101" s="160" t="str">
        <f t="shared" si="5"/>
        <v>No Progress</v>
      </c>
      <c r="S101" s="160">
        <f t="shared" si="6"/>
        <v>1</v>
      </c>
      <c r="T101" s="177" t="s">
        <v>928</v>
      </c>
      <c r="U101" s="160">
        <f>COUNTIFS(sheet2!$A:$A,A101,sheet2!$E:$E,E101)</f>
        <v>1</v>
      </c>
      <c r="V101" s="160"/>
      <c r="W101" s="160"/>
      <c r="X101" s="160" t="str">
        <f t="shared" si="7"/>
        <v>#N/A</v>
      </c>
      <c r="Y101" s="160" t="str">
        <f t="shared" si="8"/>
        <v>#N/A</v>
      </c>
      <c r="Z101" s="160" t="str">
        <f t="shared" si="9"/>
        <v>#N/A</v>
      </c>
      <c r="AA101" s="160"/>
      <c r="AB101" s="160"/>
      <c r="AC101" s="160"/>
      <c r="AD101" s="160"/>
      <c r="AE101" s="160"/>
      <c r="AF101" s="160"/>
      <c r="AG101" s="160"/>
      <c r="AH101" s="160"/>
      <c r="AI101" s="160"/>
      <c r="AJ101" s="160"/>
      <c r="AK101" s="160"/>
      <c r="AL101" s="160"/>
      <c r="AM101" s="160"/>
      <c r="AN101" s="164"/>
      <c r="AO101" s="161" t="str">
        <f>IFERROR(__xludf.DUMMYFUNCTION("""COMPUTED_VALUE"""),"257065")</f>
        <v>257065</v>
      </c>
      <c r="AP101" s="160" t="str">
        <f t="shared" si="10"/>
        <v/>
      </c>
      <c r="AQ101" s="160" t="str">
        <f t="shared" si="11"/>
        <v>#N/A</v>
      </c>
      <c r="AR101" s="160" t="str">
        <f t="shared" si="12"/>
        <v/>
      </c>
      <c r="AS101" s="160"/>
      <c r="AT101" s="160"/>
      <c r="AU101" s="160"/>
      <c r="AV101" s="160"/>
      <c r="AW101" s="160"/>
      <c r="AX101" s="160"/>
      <c r="AY101" s="160"/>
      <c r="AZ101" s="160"/>
      <c r="BA101" s="160"/>
      <c r="BB101" s="160"/>
      <c r="BC101" s="160"/>
      <c r="BD101" s="160"/>
      <c r="BE101" s="160"/>
      <c r="BF101" s="160"/>
      <c r="BG101" s="160"/>
      <c r="BH101" s="160"/>
      <c r="BI101" s="160"/>
      <c r="BJ101" s="160"/>
      <c r="BK101" s="160"/>
      <c r="BL101" s="160"/>
      <c r="BM101" s="160"/>
      <c r="BN101" s="160"/>
      <c r="BO101" s="160"/>
      <c r="BP101" s="160"/>
      <c r="BQ101" s="160"/>
      <c r="BR101" s="160"/>
      <c r="BS101" s="160"/>
      <c r="BT101" s="160"/>
      <c r="BU101" s="160"/>
      <c r="BV101" s="160"/>
      <c r="BW101" s="160"/>
      <c r="BX101" s="160"/>
      <c r="BY101" s="160"/>
      <c r="BZ101" s="160"/>
      <c r="CA101" s="160"/>
      <c r="CB101" s="160"/>
      <c r="CC101" s="160"/>
      <c r="CD101" s="160"/>
      <c r="CE101" s="160"/>
      <c r="CF101" s="160"/>
      <c r="CG101" s="160"/>
      <c r="CH101" s="160"/>
      <c r="CI101" s="160"/>
      <c r="CJ101" s="160"/>
      <c r="CK101" s="160"/>
      <c r="CL101" s="160"/>
    </row>
    <row r="102">
      <c r="A102" s="174" t="s">
        <v>331</v>
      </c>
      <c r="B102" s="11" t="s">
        <v>332</v>
      </c>
      <c r="C102" s="175" t="s">
        <v>61</v>
      </c>
      <c r="D102" s="176" t="str">
        <f>IFERROR(VLOOKUP(C102, PIC!A:B, 2, 0), "")</f>
        <v>Huy Tran 1</v>
      </c>
      <c r="E102" s="11" t="s">
        <v>23</v>
      </c>
      <c r="F102" s="16" t="s">
        <v>845</v>
      </c>
      <c r="G102" s="11"/>
      <c r="H102" s="170">
        <f>IFERROR(
  MINIFS(ATTENDANCE_LOG!$F:$F,
         ATTENDANCE_LOG!$A:$A, C102,
         ATTENDANCE_LOG!$B:$B, E102),
"")</f>
        <v>45853.375</v>
      </c>
      <c r="I102" s="170">
        <f t="shared" si="2"/>
        <v>45644.375</v>
      </c>
      <c r="J102" s="11">
        <f>IFERROR(VLOOKUP(F102, LEVEL_HELPER!$A:$B, 2, 0), "")</f>
        <v>2.5</v>
      </c>
      <c r="K102" s="11" t="str">
        <f>IFERROR(VLOOKUP(G102, LEVEL_HELPER!$A:$B, 2, 0), "")</f>
        <v/>
      </c>
      <c r="L102" s="171" t="s">
        <v>400</v>
      </c>
      <c r="M102" s="183" t="s">
        <v>149</v>
      </c>
      <c r="N102" s="11">
        <f t="array" ref="N102">IFERROR(
  INDEX($J$2:$J$531,
    MATCH(A102&amp;TEXT(I102,"yyyy-mm-dd"),
          $A$2:$A$531&amp;TEXT($H$2:$H$531,"yyyy-mm-dd"),
          0)),
"")</f>
        <v>1</v>
      </c>
      <c r="O102" s="160">
        <f t="shared" si="3"/>
        <v>2.5</v>
      </c>
      <c r="P102" s="160">
        <f t="shared" ref="P102:Q102" si="112">IF(N102="",0,IF(N102&lt;=2,1,IF(N102&lt;=4,2,IF(N102&lt;=5.5,3,4))))</f>
        <v>1</v>
      </c>
      <c r="Q102" s="160">
        <f t="shared" si="112"/>
        <v>2</v>
      </c>
      <c r="R102" s="160" t="str">
        <f t="shared" si="5"/>
        <v>Lv1 → Lv2</v>
      </c>
      <c r="S102" s="160">
        <f t="shared" si="6"/>
        <v>1</v>
      </c>
      <c r="T102" s="177" t="s">
        <v>929</v>
      </c>
      <c r="U102" s="160">
        <f>COUNTIFS(sheet2!$A:$A,A102,sheet2!$E:$E,E102)</f>
        <v>1</v>
      </c>
      <c r="V102" s="160"/>
      <c r="W102" s="160"/>
      <c r="X102" s="160" t="str">
        <f t="shared" si="7"/>
        <v>#N/A</v>
      </c>
      <c r="Y102" s="160" t="str">
        <f t="shared" si="8"/>
        <v>#N/A</v>
      </c>
      <c r="Z102" s="160" t="str">
        <f t="shared" si="9"/>
        <v>#N/A</v>
      </c>
      <c r="AA102" s="160"/>
      <c r="AB102" s="160"/>
      <c r="AC102" s="160"/>
      <c r="AD102" s="160"/>
      <c r="AE102" s="160"/>
      <c r="AF102" s="160"/>
      <c r="AG102" s="160"/>
      <c r="AH102" s="160"/>
      <c r="AI102" s="160"/>
      <c r="AJ102" s="160"/>
      <c r="AK102" s="160"/>
      <c r="AL102" s="160"/>
      <c r="AM102" s="160"/>
      <c r="AN102" s="164"/>
      <c r="AO102" s="161" t="str">
        <f>IFERROR(__xludf.DUMMYFUNCTION("""COMPUTED_VALUE"""),"257068")</f>
        <v>257068</v>
      </c>
      <c r="AP102" s="160" t="str">
        <f t="shared" si="10"/>
        <v/>
      </c>
      <c r="AQ102" s="160" t="str">
        <f t="shared" si="11"/>
        <v>#N/A</v>
      </c>
      <c r="AR102" s="160" t="str">
        <f t="shared" si="12"/>
        <v/>
      </c>
      <c r="AS102" s="160"/>
      <c r="AT102" s="160"/>
      <c r="AU102" s="160"/>
      <c r="AV102" s="160"/>
      <c r="AW102" s="160"/>
      <c r="AX102" s="160"/>
      <c r="AY102" s="160"/>
      <c r="AZ102" s="160"/>
      <c r="BA102" s="160"/>
      <c r="BB102" s="160"/>
      <c r="BC102" s="160"/>
      <c r="BD102" s="160"/>
      <c r="BE102" s="160"/>
      <c r="BF102" s="160"/>
      <c r="BG102" s="160"/>
      <c r="BH102" s="160"/>
      <c r="BI102" s="160"/>
      <c r="BJ102" s="160"/>
      <c r="BK102" s="160"/>
      <c r="BL102" s="160"/>
      <c r="BM102" s="160"/>
      <c r="BN102" s="160"/>
      <c r="BO102" s="160"/>
      <c r="BP102" s="160"/>
      <c r="BQ102" s="160"/>
      <c r="BR102" s="160"/>
      <c r="BS102" s="160"/>
      <c r="BT102" s="160"/>
      <c r="BU102" s="160"/>
      <c r="BV102" s="160"/>
      <c r="BW102" s="160"/>
      <c r="BX102" s="160"/>
      <c r="BY102" s="160"/>
      <c r="BZ102" s="160"/>
      <c r="CA102" s="160"/>
      <c r="CB102" s="160"/>
      <c r="CC102" s="160"/>
      <c r="CD102" s="160"/>
      <c r="CE102" s="160"/>
      <c r="CF102" s="160"/>
      <c r="CG102" s="160"/>
      <c r="CH102" s="160"/>
      <c r="CI102" s="160"/>
      <c r="CJ102" s="160"/>
      <c r="CK102" s="160"/>
      <c r="CL102" s="160"/>
    </row>
    <row r="103">
      <c r="A103" s="174" t="s">
        <v>333</v>
      </c>
      <c r="B103" s="11" t="s">
        <v>334</v>
      </c>
      <c r="C103" s="175" t="s">
        <v>61</v>
      </c>
      <c r="D103" s="176" t="str">
        <f>IFERROR(VLOOKUP(C103, PIC!A:B, 2, 0), "")</f>
        <v>Huy Tran 1</v>
      </c>
      <c r="E103" s="11" t="s">
        <v>23</v>
      </c>
      <c r="F103" s="16" t="s">
        <v>845</v>
      </c>
      <c r="G103" s="11"/>
      <c r="H103" s="170">
        <f>IFERROR(
  MINIFS(ATTENDANCE_LOG!$F:$F,
         ATTENDANCE_LOG!$A:$A, C103,
         ATTENDANCE_LOG!$B:$B, E103),
"")</f>
        <v>45853.375</v>
      </c>
      <c r="I103" s="170">
        <f t="shared" si="2"/>
        <v>45644.375</v>
      </c>
      <c r="J103" s="11">
        <f>IFERROR(VLOOKUP(F103, LEVEL_HELPER!$A:$B, 2, 0), "")</f>
        <v>2.5</v>
      </c>
      <c r="K103" s="11" t="str">
        <f>IFERROR(VLOOKUP(G103, LEVEL_HELPER!$A:$B, 2, 0), "")</f>
        <v/>
      </c>
      <c r="L103" s="171" t="s">
        <v>400</v>
      </c>
      <c r="M103" s="183" t="s">
        <v>149</v>
      </c>
      <c r="N103" s="11">
        <f t="array" ref="N103">IFERROR(
  INDEX($J$2:$J$531,
    MATCH(A103&amp;TEXT(I103,"yyyy-mm-dd"),
          $A$2:$A$531&amp;TEXT($H$2:$H$531,"yyyy-mm-dd"),
          0)),
"")</f>
        <v>2.5</v>
      </c>
      <c r="O103" s="160">
        <f t="shared" si="3"/>
        <v>2.5</v>
      </c>
      <c r="P103" s="160">
        <f t="shared" ref="P103:Q103" si="113">IF(N103="",0,IF(N103&lt;=2,1,IF(N103&lt;=4,2,IF(N103&lt;=5.5,3,4))))</f>
        <v>2</v>
      </c>
      <c r="Q103" s="160">
        <f t="shared" si="113"/>
        <v>2</v>
      </c>
      <c r="R103" s="160" t="str">
        <f t="shared" si="5"/>
        <v>No Progress</v>
      </c>
      <c r="S103" s="160">
        <f t="shared" si="6"/>
        <v>0</v>
      </c>
      <c r="T103" s="177" t="s">
        <v>924</v>
      </c>
      <c r="U103" s="160">
        <f>COUNTIFS(sheet2!$A:$A,A103,sheet2!$E:$E,E103)</f>
        <v>1</v>
      </c>
      <c r="V103" s="160"/>
      <c r="W103" s="160"/>
      <c r="X103" s="160" t="str">
        <f t="shared" si="7"/>
        <v>#N/A</v>
      </c>
      <c r="Y103" s="160" t="str">
        <f t="shared" si="8"/>
        <v>#N/A</v>
      </c>
      <c r="Z103" s="160" t="str">
        <f t="shared" si="9"/>
        <v>#N/A</v>
      </c>
      <c r="AA103" s="160"/>
      <c r="AB103" s="160"/>
      <c r="AC103" s="160"/>
      <c r="AD103" s="160"/>
      <c r="AE103" s="160"/>
      <c r="AF103" s="160"/>
      <c r="AG103" s="160"/>
      <c r="AH103" s="160"/>
      <c r="AI103" s="160"/>
      <c r="AJ103" s="160"/>
      <c r="AK103" s="160"/>
      <c r="AL103" s="160"/>
      <c r="AM103" s="160"/>
      <c r="AN103" s="164"/>
      <c r="AO103" s="161" t="str">
        <f>IFERROR(__xludf.DUMMYFUNCTION("""COMPUTED_VALUE"""),"267121")</f>
        <v>267121</v>
      </c>
      <c r="AP103" s="160" t="str">
        <f t="shared" si="10"/>
        <v/>
      </c>
      <c r="AQ103" s="160" t="str">
        <f t="shared" si="11"/>
        <v>#N/A</v>
      </c>
      <c r="AR103" s="160" t="str">
        <f t="shared" si="12"/>
        <v/>
      </c>
      <c r="AS103" s="160"/>
      <c r="AT103" s="160"/>
      <c r="AU103" s="160"/>
      <c r="AV103" s="160"/>
      <c r="AW103" s="160"/>
      <c r="AX103" s="160"/>
      <c r="AY103" s="160"/>
      <c r="AZ103" s="160"/>
      <c r="BA103" s="160"/>
      <c r="BB103" s="160"/>
      <c r="BC103" s="160"/>
      <c r="BD103" s="160"/>
      <c r="BE103" s="160"/>
      <c r="BF103" s="160"/>
      <c r="BG103" s="160"/>
      <c r="BH103" s="160"/>
      <c r="BI103" s="160"/>
      <c r="BJ103" s="160"/>
      <c r="BK103" s="160"/>
      <c r="BL103" s="160"/>
      <c r="BM103" s="160"/>
      <c r="BN103" s="160"/>
      <c r="BO103" s="160"/>
      <c r="BP103" s="160"/>
      <c r="BQ103" s="160"/>
      <c r="BR103" s="160"/>
      <c r="BS103" s="160"/>
      <c r="BT103" s="160"/>
      <c r="BU103" s="160"/>
      <c r="BV103" s="160"/>
      <c r="BW103" s="160"/>
      <c r="BX103" s="160"/>
      <c r="BY103" s="160"/>
      <c r="BZ103" s="160"/>
      <c r="CA103" s="160"/>
      <c r="CB103" s="160"/>
      <c r="CC103" s="160"/>
      <c r="CD103" s="160"/>
      <c r="CE103" s="160"/>
      <c r="CF103" s="160"/>
      <c r="CG103" s="160"/>
      <c r="CH103" s="160"/>
      <c r="CI103" s="160"/>
      <c r="CJ103" s="160"/>
      <c r="CK103" s="160"/>
      <c r="CL103" s="160"/>
    </row>
    <row r="104">
      <c r="A104" s="174" t="s">
        <v>335</v>
      </c>
      <c r="B104" s="11" t="s">
        <v>336</v>
      </c>
      <c r="C104" s="175" t="s">
        <v>61</v>
      </c>
      <c r="D104" s="176" t="str">
        <f>IFERROR(VLOOKUP(C104, PIC!A:B, 2, 0), "")</f>
        <v>Huy Tran 1</v>
      </c>
      <c r="E104" s="11" t="s">
        <v>23</v>
      </c>
      <c r="F104" s="16" t="s">
        <v>845</v>
      </c>
      <c r="G104" s="11"/>
      <c r="H104" s="170">
        <f>IFERROR(
  MINIFS(ATTENDANCE_LOG!$F:$F,
         ATTENDANCE_LOG!$A:$A, C104,
         ATTENDANCE_LOG!$B:$B, E104),
"")</f>
        <v>45853.375</v>
      </c>
      <c r="I104" s="170">
        <f t="shared" si="2"/>
        <v>45644.375</v>
      </c>
      <c r="J104" s="11">
        <f>IFERROR(VLOOKUP(F104, LEVEL_HELPER!$A:$B, 2, 0), "")</f>
        <v>2.5</v>
      </c>
      <c r="K104" s="11" t="str">
        <f>IFERROR(VLOOKUP(G104, LEVEL_HELPER!$A:$B, 2, 0), "")</f>
        <v/>
      </c>
      <c r="L104" s="171" t="s">
        <v>400</v>
      </c>
      <c r="M104" s="183" t="s">
        <v>149</v>
      </c>
      <c r="N104" s="11">
        <f t="array" ref="N104">IFERROR(
  INDEX($J$2:$J$531,
    MATCH(A104&amp;TEXT(I104,"yyyy-mm-dd"),
          $A$2:$A$531&amp;TEXT($H$2:$H$531,"yyyy-mm-dd"),
          0)),
"")</f>
        <v>1</v>
      </c>
      <c r="O104" s="160">
        <f t="shared" si="3"/>
        <v>2.5</v>
      </c>
      <c r="P104" s="160">
        <f t="shared" ref="P104:Q104" si="114">IF(N104="",0,IF(N104&lt;=2,1,IF(N104&lt;=4,2,IF(N104&lt;=5.5,3,4))))</f>
        <v>1</v>
      </c>
      <c r="Q104" s="160">
        <f t="shared" si="114"/>
        <v>2</v>
      </c>
      <c r="R104" s="160" t="str">
        <f t="shared" si="5"/>
        <v>Lv1 → Lv2</v>
      </c>
      <c r="S104" s="160">
        <f t="shared" si="6"/>
        <v>0</v>
      </c>
      <c r="T104" s="177" t="s">
        <v>925</v>
      </c>
      <c r="U104" s="160">
        <f>COUNTIFS(sheet2!$A:$A,A104,sheet2!$E:$E,E104)</f>
        <v>1</v>
      </c>
      <c r="V104" s="160"/>
      <c r="W104" s="160"/>
      <c r="X104" s="160" t="str">
        <f t="shared" si="7"/>
        <v>#N/A</v>
      </c>
      <c r="Y104" s="160" t="str">
        <f t="shared" si="8"/>
        <v>#N/A</v>
      </c>
      <c r="Z104" s="160" t="str">
        <f t="shared" si="9"/>
        <v>#N/A</v>
      </c>
      <c r="AA104" s="160"/>
      <c r="AB104" s="160"/>
      <c r="AC104" s="160"/>
      <c r="AD104" s="160"/>
      <c r="AE104" s="160"/>
      <c r="AF104" s="160"/>
      <c r="AG104" s="160"/>
      <c r="AH104" s="160"/>
      <c r="AI104" s="160"/>
      <c r="AJ104" s="160"/>
      <c r="AK104" s="160"/>
      <c r="AL104" s="160"/>
      <c r="AM104" s="160"/>
      <c r="AN104" s="164"/>
      <c r="AO104" s="160"/>
      <c r="AP104" s="160" t="str">
        <f t="shared" si="10"/>
        <v>#N/A</v>
      </c>
      <c r="AQ104" s="160" t="str">
        <f t="shared" si="11"/>
        <v>#N/A</v>
      </c>
      <c r="AR104" s="160" t="str">
        <f t="shared" si="12"/>
        <v>#N/A</v>
      </c>
      <c r="AS104" s="160"/>
      <c r="AT104" s="160"/>
      <c r="AU104" s="160"/>
      <c r="AV104" s="160"/>
      <c r="AW104" s="160"/>
      <c r="AX104" s="160"/>
      <c r="AY104" s="160"/>
      <c r="AZ104" s="160"/>
      <c r="BA104" s="160"/>
      <c r="BB104" s="160"/>
      <c r="BC104" s="160"/>
      <c r="BD104" s="160"/>
      <c r="BE104" s="160"/>
      <c r="BF104" s="160"/>
      <c r="BG104" s="160"/>
      <c r="BH104" s="160"/>
      <c r="BI104" s="160"/>
      <c r="BJ104" s="160"/>
      <c r="BK104" s="160"/>
      <c r="BL104" s="160"/>
      <c r="BM104" s="160"/>
      <c r="BN104" s="160"/>
      <c r="BO104" s="160"/>
      <c r="BP104" s="160"/>
      <c r="BQ104" s="160"/>
      <c r="BR104" s="160"/>
      <c r="BS104" s="160"/>
      <c r="BT104" s="160"/>
      <c r="BU104" s="160"/>
      <c r="BV104" s="160"/>
      <c r="BW104" s="160"/>
      <c r="BX104" s="160"/>
      <c r="BY104" s="160"/>
      <c r="BZ104" s="160"/>
      <c r="CA104" s="160"/>
      <c r="CB104" s="160"/>
      <c r="CC104" s="160"/>
      <c r="CD104" s="160"/>
      <c r="CE104" s="160"/>
      <c r="CF104" s="160"/>
      <c r="CG104" s="160"/>
      <c r="CH104" s="160"/>
      <c r="CI104" s="160"/>
      <c r="CJ104" s="160"/>
      <c r="CK104" s="160"/>
      <c r="CL104" s="160"/>
    </row>
    <row r="105">
      <c r="A105" s="174" t="s">
        <v>337</v>
      </c>
      <c r="B105" s="11" t="s">
        <v>338</v>
      </c>
      <c r="C105" s="175" t="s">
        <v>61</v>
      </c>
      <c r="D105" s="176" t="str">
        <f>IFERROR(VLOOKUP(C105, PIC!A:B, 2, 0), "")</f>
        <v>Huy Tran 1</v>
      </c>
      <c r="E105" s="11" t="s">
        <v>23</v>
      </c>
      <c r="F105" s="16" t="s">
        <v>845</v>
      </c>
      <c r="G105" s="11"/>
      <c r="H105" s="170">
        <f>IFERROR(
  MINIFS(ATTENDANCE_LOG!$F:$F,
         ATTENDANCE_LOG!$A:$A, C105,
         ATTENDANCE_LOG!$B:$B, E105),
"")</f>
        <v>45853.375</v>
      </c>
      <c r="I105" s="170">
        <f t="shared" si="2"/>
        <v>45644.375</v>
      </c>
      <c r="J105" s="11">
        <f>IFERROR(VLOOKUP(F105, LEVEL_HELPER!$A:$B, 2, 0), "")</f>
        <v>2.5</v>
      </c>
      <c r="K105" s="11" t="str">
        <f>IFERROR(VLOOKUP(G105, LEVEL_HELPER!$A:$B, 2, 0), "")</f>
        <v/>
      </c>
      <c r="L105" s="171" t="s">
        <v>847</v>
      </c>
      <c r="M105" s="183" t="s">
        <v>149</v>
      </c>
      <c r="N105" s="11">
        <f t="array" ref="N105">IFERROR(
  INDEX($J$2:$J$531,
    MATCH(A105&amp;TEXT(I105,"yyyy-mm-dd"),
          $A$2:$A$531&amp;TEXT($H$2:$H$531,"yyyy-mm-dd"),
          0)),
"")</f>
        <v>1</v>
      </c>
      <c r="O105" s="160">
        <f t="shared" si="3"/>
        <v>2.5</v>
      </c>
      <c r="P105" s="160">
        <f t="shared" ref="P105:Q105" si="115">IF(N105="",0,IF(N105&lt;=2,1,IF(N105&lt;=4,2,IF(N105&lt;=5.5,3,4))))</f>
        <v>1</v>
      </c>
      <c r="Q105" s="160">
        <f t="shared" si="115"/>
        <v>2</v>
      </c>
      <c r="R105" s="160" t="str">
        <f t="shared" si="5"/>
        <v>Lv1 → Lv2</v>
      </c>
      <c r="S105" s="160">
        <f t="shared" si="6"/>
        <v>0</v>
      </c>
      <c r="T105" s="177" t="s">
        <v>926</v>
      </c>
      <c r="U105" s="160">
        <f>COUNTIFS(sheet2!$A:$A,A105,sheet2!$E:$E,E105)</f>
        <v>1</v>
      </c>
      <c r="V105" s="160"/>
      <c r="W105" s="160"/>
      <c r="X105" s="160" t="str">
        <f t="shared" si="7"/>
        <v>#N/A</v>
      </c>
      <c r="Y105" s="160" t="str">
        <f t="shared" si="8"/>
        <v>#N/A</v>
      </c>
      <c r="Z105" s="160" t="str">
        <f t="shared" si="9"/>
        <v>#N/A</v>
      </c>
      <c r="AA105" s="160"/>
      <c r="AB105" s="160"/>
      <c r="AC105" s="160"/>
      <c r="AD105" s="160"/>
      <c r="AE105" s="160"/>
      <c r="AF105" s="160"/>
      <c r="AG105" s="160"/>
      <c r="AH105" s="160"/>
      <c r="AI105" s="160"/>
      <c r="AJ105" s="160"/>
      <c r="AK105" s="160"/>
      <c r="AL105" s="160"/>
      <c r="AM105" s="160"/>
      <c r="AN105" s="164"/>
      <c r="AO105" s="160"/>
      <c r="AP105" s="160" t="str">
        <f t="shared" si="10"/>
        <v>#N/A</v>
      </c>
      <c r="AQ105" s="160" t="str">
        <f t="shared" si="11"/>
        <v>#N/A</v>
      </c>
      <c r="AR105" s="160" t="str">
        <f t="shared" si="12"/>
        <v>#N/A</v>
      </c>
      <c r="AS105" s="160"/>
      <c r="AT105" s="160"/>
      <c r="AU105" s="160"/>
      <c r="AV105" s="160"/>
      <c r="AW105" s="160"/>
      <c r="AX105" s="160"/>
      <c r="AY105" s="160"/>
      <c r="AZ105" s="160"/>
      <c r="BA105" s="160"/>
      <c r="BB105" s="160"/>
      <c r="BC105" s="160"/>
      <c r="BD105" s="160"/>
      <c r="BE105" s="160"/>
      <c r="BF105" s="160"/>
      <c r="BG105" s="160"/>
      <c r="BH105" s="160"/>
      <c r="BI105" s="160"/>
      <c r="BJ105" s="160"/>
      <c r="BK105" s="160"/>
      <c r="BL105" s="160"/>
      <c r="BM105" s="160"/>
      <c r="BN105" s="160"/>
      <c r="BO105" s="160"/>
      <c r="BP105" s="160"/>
      <c r="BQ105" s="160"/>
      <c r="BR105" s="160"/>
      <c r="BS105" s="160"/>
      <c r="BT105" s="160"/>
      <c r="BU105" s="160"/>
      <c r="BV105" s="160"/>
      <c r="BW105" s="160"/>
      <c r="BX105" s="160"/>
      <c r="BY105" s="160"/>
      <c r="BZ105" s="160"/>
      <c r="CA105" s="160"/>
      <c r="CB105" s="160"/>
      <c r="CC105" s="160"/>
      <c r="CD105" s="160"/>
      <c r="CE105" s="160"/>
      <c r="CF105" s="160"/>
      <c r="CG105" s="160"/>
      <c r="CH105" s="160"/>
      <c r="CI105" s="160"/>
      <c r="CJ105" s="160"/>
      <c r="CK105" s="160"/>
      <c r="CL105" s="160"/>
    </row>
    <row r="106">
      <c r="A106" s="174" t="s">
        <v>339</v>
      </c>
      <c r="B106" s="11" t="s">
        <v>340</v>
      </c>
      <c r="C106" s="175" t="s">
        <v>61</v>
      </c>
      <c r="D106" s="176" t="str">
        <f>IFERROR(VLOOKUP(C106, PIC!A:B, 2, 0), "")</f>
        <v>Huy Tran 1</v>
      </c>
      <c r="E106" s="11" t="s">
        <v>23</v>
      </c>
      <c r="F106" s="16" t="s">
        <v>845</v>
      </c>
      <c r="G106" s="11"/>
      <c r="H106" s="170">
        <f>IFERROR(
  MINIFS(ATTENDANCE_LOG!$F:$F,
         ATTENDANCE_LOG!$A:$A, C106,
         ATTENDANCE_LOG!$B:$B, E106),
"")</f>
        <v>45853.375</v>
      </c>
      <c r="I106" s="170">
        <f t="shared" si="2"/>
        <v>45644.375</v>
      </c>
      <c r="J106" s="11">
        <f>IFERROR(VLOOKUP(F106, LEVEL_HELPER!$A:$B, 2, 0), "")</f>
        <v>2.5</v>
      </c>
      <c r="K106" s="11" t="str">
        <f>IFERROR(VLOOKUP(G106, LEVEL_HELPER!$A:$B, 2, 0), "")</f>
        <v/>
      </c>
      <c r="L106" s="171" t="s">
        <v>400</v>
      </c>
      <c r="M106" s="183" t="s">
        <v>149</v>
      </c>
      <c r="N106" s="11">
        <f t="array" ref="N106">IFERROR(
  INDEX($J$2:$J$531,
    MATCH(A106&amp;TEXT(I106,"yyyy-mm-dd"),
          $A$2:$A$531&amp;TEXT($H$2:$H$531,"yyyy-mm-dd"),
          0)),
"")</f>
        <v>1</v>
      </c>
      <c r="O106" s="160">
        <f t="shared" si="3"/>
        <v>2.5</v>
      </c>
      <c r="P106" s="160">
        <f t="shared" ref="P106:Q106" si="116">IF(N106="",0,IF(N106&lt;=2,1,IF(N106&lt;=4,2,IF(N106&lt;=5.5,3,4))))</f>
        <v>1</v>
      </c>
      <c r="Q106" s="160">
        <f t="shared" si="116"/>
        <v>2</v>
      </c>
      <c r="R106" s="160" t="str">
        <f t="shared" si="5"/>
        <v>Lv1 → Lv2</v>
      </c>
      <c r="S106" s="160">
        <f t="shared" si="6"/>
        <v>1</v>
      </c>
      <c r="T106" s="177" t="s">
        <v>930</v>
      </c>
      <c r="U106" s="160">
        <f>COUNTIFS(sheet2!$A:$A,A106,sheet2!$E:$E,E106)</f>
        <v>1</v>
      </c>
      <c r="V106" s="160"/>
      <c r="W106" s="160"/>
      <c r="X106" s="160" t="str">
        <f t="shared" si="7"/>
        <v>#N/A</v>
      </c>
      <c r="Y106" s="160" t="str">
        <f t="shared" si="8"/>
        <v>#N/A</v>
      </c>
      <c r="Z106" s="160" t="str">
        <f t="shared" si="9"/>
        <v>#N/A</v>
      </c>
      <c r="AA106" s="160"/>
      <c r="AB106" s="160"/>
      <c r="AC106" s="160"/>
      <c r="AD106" s="160"/>
      <c r="AE106" s="160"/>
      <c r="AF106" s="160"/>
      <c r="AG106" s="160"/>
      <c r="AH106" s="160"/>
      <c r="AI106" s="160"/>
      <c r="AJ106" s="160"/>
      <c r="AK106" s="160"/>
      <c r="AL106" s="160"/>
      <c r="AM106" s="160"/>
      <c r="AN106" s="164"/>
      <c r="AO106" s="160"/>
      <c r="AP106" s="160" t="str">
        <f t="shared" si="10"/>
        <v>#N/A</v>
      </c>
      <c r="AQ106" s="160" t="str">
        <f t="shared" si="11"/>
        <v>#N/A</v>
      </c>
      <c r="AR106" s="160" t="str">
        <f t="shared" si="12"/>
        <v>#N/A</v>
      </c>
      <c r="AS106" s="160"/>
      <c r="AT106" s="160"/>
      <c r="AU106" s="160"/>
      <c r="AV106" s="160"/>
      <c r="AW106" s="160"/>
      <c r="AX106" s="160"/>
      <c r="AY106" s="160"/>
      <c r="AZ106" s="160"/>
      <c r="BA106" s="160"/>
      <c r="BB106" s="160"/>
      <c r="BC106" s="160"/>
      <c r="BD106" s="160"/>
      <c r="BE106" s="160"/>
      <c r="BF106" s="160"/>
      <c r="BG106" s="160"/>
      <c r="BH106" s="160"/>
      <c r="BI106" s="160"/>
      <c r="BJ106" s="160"/>
      <c r="BK106" s="160"/>
      <c r="BL106" s="160"/>
      <c r="BM106" s="160"/>
      <c r="BN106" s="160"/>
      <c r="BO106" s="160"/>
      <c r="BP106" s="160"/>
      <c r="BQ106" s="160"/>
      <c r="BR106" s="160"/>
      <c r="BS106" s="160"/>
      <c r="BT106" s="160"/>
      <c r="BU106" s="160"/>
      <c r="BV106" s="160"/>
      <c r="BW106" s="160"/>
      <c r="BX106" s="160"/>
      <c r="BY106" s="160"/>
      <c r="BZ106" s="160"/>
      <c r="CA106" s="160"/>
      <c r="CB106" s="160"/>
      <c r="CC106" s="160"/>
      <c r="CD106" s="160"/>
      <c r="CE106" s="160"/>
      <c r="CF106" s="160"/>
      <c r="CG106" s="160"/>
      <c r="CH106" s="160"/>
      <c r="CI106" s="160"/>
      <c r="CJ106" s="160"/>
      <c r="CK106" s="160"/>
      <c r="CL106" s="160"/>
    </row>
    <row r="107">
      <c r="A107" s="174" t="s">
        <v>341</v>
      </c>
      <c r="B107" s="11" t="s">
        <v>342</v>
      </c>
      <c r="C107" s="175" t="s">
        <v>61</v>
      </c>
      <c r="D107" s="176" t="str">
        <f>IFERROR(VLOOKUP(C107, PIC!A:B, 2, 0), "")</f>
        <v>Huy Tran 1</v>
      </c>
      <c r="E107" s="11" t="s">
        <v>23</v>
      </c>
      <c r="F107" s="16" t="s">
        <v>845</v>
      </c>
      <c r="G107" s="11"/>
      <c r="H107" s="170">
        <f>IFERROR(
  MINIFS(ATTENDANCE_LOG!$F:$F,
         ATTENDANCE_LOG!$A:$A, C107,
         ATTENDANCE_LOG!$B:$B, E107),
"")</f>
        <v>45853.375</v>
      </c>
      <c r="I107" s="170">
        <f t="shared" si="2"/>
        <v>45644.375</v>
      </c>
      <c r="J107" s="11">
        <f>IFERROR(VLOOKUP(F107, LEVEL_HELPER!$A:$B, 2, 0), "")</f>
        <v>2.5</v>
      </c>
      <c r="K107" s="11" t="str">
        <f>IFERROR(VLOOKUP(G107, LEVEL_HELPER!$A:$B, 2, 0), "")</f>
        <v/>
      </c>
      <c r="L107" s="171" t="s">
        <v>847</v>
      </c>
      <c r="M107" s="183" t="s">
        <v>149</v>
      </c>
      <c r="N107" s="11">
        <f t="array" ref="N107">IFERROR(
  INDEX($J$2:$J$531,
    MATCH(A107&amp;TEXT(I107,"yyyy-mm-dd"),
          $A$2:$A$531&amp;TEXT($H$2:$H$531,"yyyy-mm-dd"),
          0)),
"")</f>
        <v>2.5</v>
      </c>
      <c r="O107" s="160">
        <f t="shared" si="3"/>
        <v>2.5</v>
      </c>
      <c r="P107" s="160">
        <f t="shared" ref="P107:Q107" si="117">IF(N107="",0,IF(N107&lt;=2,1,IF(N107&lt;=4,2,IF(N107&lt;=5.5,3,4))))</f>
        <v>2</v>
      </c>
      <c r="Q107" s="160">
        <f t="shared" si="117"/>
        <v>2</v>
      </c>
      <c r="R107" s="160" t="str">
        <f t="shared" si="5"/>
        <v>No Progress</v>
      </c>
      <c r="S107" s="160">
        <f t="shared" si="6"/>
        <v>1</v>
      </c>
      <c r="T107" s="172" t="s">
        <v>931</v>
      </c>
      <c r="U107" s="160">
        <f>COUNTIFS(sheet2!$A:$A,A107,sheet2!$E:$E,E107)</f>
        <v>1</v>
      </c>
      <c r="V107" s="160"/>
      <c r="W107" s="160"/>
      <c r="X107" s="160" t="str">
        <f t="shared" si="7"/>
        <v>#N/A</v>
      </c>
      <c r="Y107" s="160" t="str">
        <f t="shared" si="8"/>
        <v>#N/A</v>
      </c>
      <c r="Z107" s="160" t="str">
        <f t="shared" si="9"/>
        <v>#N/A</v>
      </c>
      <c r="AA107" s="160"/>
      <c r="AB107" s="160"/>
      <c r="AC107" s="160"/>
      <c r="AD107" s="160"/>
      <c r="AE107" s="160"/>
      <c r="AF107" s="160"/>
      <c r="AG107" s="160"/>
      <c r="AH107" s="160"/>
      <c r="AI107" s="160"/>
      <c r="AJ107" s="160"/>
      <c r="AK107" s="160"/>
      <c r="AL107" s="160"/>
      <c r="AM107" s="160"/>
      <c r="AN107" s="164"/>
      <c r="AO107" s="160"/>
      <c r="AP107" s="160" t="str">
        <f t="shared" si="10"/>
        <v>#N/A</v>
      </c>
      <c r="AQ107" s="160" t="str">
        <f t="shared" si="11"/>
        <v>#N/A</v>
      </c>
      <c r="AR107" s="160" t="str">
        <f t="shared" si="12"/>
        <v>#N/A</v>
      </c>
      <c r="AS107" s="160"/>
      <c r="AT107" s="160"/>
      <c r="AU107" s="160"/>
      <c r="AV107" s="160"/>
      <c r="AW107" s="160"/>
      <c r="AX107" s="160"/>
      <c r="AY107" s="160"/>
      <c r="AZ107" s="160"/>
      <c r="BA107" s="160"/>
      <c r="BB107" s="160"/>
      <c r="BC107" s="160"/>
      <c r="BD107" s="160"/>
      <c r="BE107" s="160"/>
      <c r="BF107" s="160"/>
      <c r="BG107" s="160"/>
      <c r="BH107" s="160"/>
      <c r="BI107" s="160"/>
      <c r="BJ107" s="160"/>
      <c r="BK107" s="160"/>
      <c r="BL107" s="160"/>
      <c r="BM107" s="160"/>
      <c r="BN107" s="160"/>
      <c r="BO107" s="160"/>
      <c r="BP107" s="160"/>
      <c r="BQ107" s="160"/>
      <c r="BR107" s="160"/>
      <c r="BS107" s="160"/>
      <c r="BT107" s="160"/>
      <c r="BU107" s="160"/>
      <c r="BV107" s="160"/>
      <c r="BW107" s="160"/>
      <c r="BX107" s="160"/>
      <c r="BY107" s="160"/>
      <c r="BZ107" s="160"/>
      <c r="CA107" s="160"/>
      <c r="CB107" s="160"/>
      <c r="CC107" s="160"/>
      <c r="CD107" s="160"/>
      <c r="CE107" s="160"/>
      <c r="CF107" s="160"/>
      <c r="CG107" s="160"/>
      <c r="CH107" s="160"/>
      <c r="CI107" s="160"/>
      <c r="CJ107" s="160"/>
      <c r="CK107" s="160"/>
      <c r="CL107" s="160"/>
    </row>
    <row r="108">
      <c r="A108" s="174" t="s">
        <v>345</v>
      </c>
      <c r="B108" s="11" t="s">
        <v>346</v>
      </c>
      <c r="C108" s="175" t="s">
        <v>61</v>
      </c>
      <c r="D108" s="176" t="str">
        <f>IFERROR(VLOOKUP(C108, PIC!A:B, 2, 0), "")</f>
        <v>Huy Tran 1</v>
      </c>
      <c r="E108" s="11" t="s">
        <v>23</v>
      </c>
      <c r="F108" s="16" t="s">
        <v>858</v>
      </c>
      <c r="G108" s="11"/>
      <c r="H108" s="170">
        <f>IFERROR(
  MINIFS(ATTENDANCE_LOG!$F:$F,
         ATTENDANCE_LOG!$A:$A, C108,
         ATTENDANCE_LOG!$B:$B, E108),
"")</f>
        <v>45853.375</v>
      </c>
      <c r="I108" s="170">
        <f t="shared" si="2"/>
        <v>45644.375</v>
      </c>
      <c r="J108" s="11">
        <f>IFERROR(VLOOKUP(F108, LEVEL_HELPER!$A:$B, 2, 0), "")</f>
        <v>4.5</v>
      </c>
      <c r="K108" s="11" t="str">
        <f>IFERROR(VLOOKUP(G108, LEVEL_HELPER!$A:$B, 2, 0), "")</f>
        <v/>
      </c>
      <c r="L108" s="171" t="s">
        <v>400</v>
      </c>
      <c r="M108" s="183" t="s">
        <v>149</v>
      </c>
      <c r="N108" s="11">
        <f t="array" ref="N108">IFERROR(
  INDEX($J$2:$J$531,
    MATCH(A108&amp;TEXT(I108,"yyyy-mm-dd"),
          $A$2:$A$531&amp;TEXT($H$2:$H$531,"yyyy-mm-dd"),
          0)),
"")</f>
        <v>2.5</v>
      </c>
      <c r="O108" s="160">
        <f t="shared" si="3"/>
        <v>4.5</v>
      </c>
      <c r="P108" s="160">
        <f t="shared" ref="P108:Q108" si="118">IF(N108="",0,IF(N108&lt;=2,1,IF(N108&lt;=4,2,IF(N108&lt;=5.5,3,4))))</f>
        <v>2</v>
      </c>
      <c r="Q108" s="160">
        <f t="shared" si="118"/>
        <v>3</v>
      </c>
      <c r="R108" s="160" t="str">
        <f t="shared" si="5"/>
        <v>Lv2 → Lv3</v>
      </c>
      <c r="S108" s="160">
        <f t="shared" si="6"/>
        <v>1</v>
      </c>
      <c r="T108" s="177" t="s">
        <v>932</v>
      </c>
      <c r="U108" s="160">
        <f>COUNTIFS(sheet2!$A:$A,A108,sheet2!$E:$E,E108)</f>
        <v>1</v>
      </c>
      <c r="V108" s="160"/>
      <c r="W108" s="160"/>
      <c r="X108" s="160" t="str">
        <f t="shared" si="7"/>
        <v>#N/A</v>
      </c>
      <c r="Y108" s="160" t="str">
        <f t="shared" si="8"/>
        <v>#N/A</v>
      </c>
      <c r="Z108" s="160" t="str">
        <f t="shared" si="9"/>
        <v>#N/A</v>
      </c>
      <c r="AA108" s="160"/>
      <c r="AB108" s="160"/>
      <c r="AC108" s="160"/>
      <c r="AD108" s="160"/>
      <c r="AE108" s="160"/>
      <c r="AF108" s="160"/>
      <c r="AG108" s="160"/>
      <c r="AH108" s="160"/>
      <c r="AI108" s="160"/>
      <c r="AJ108" s="160"/>
      <c r="AK108" s="160"/>
      <c r="AL108" s="160"/>
      <c r="AM108" s="160"/>
      <c r="AN108" s="164"/>
      <c r="AO108" s="160"/>
      <c r="AP108" s="160" t="str">
        <f t="shared" si="10"/>
        <v>#N/A</v>
      </c>
      <c r="AQ108" s="160" t="str">
        <f t="shared" si="11"/>
        <v>#N/A</v>
      </c>
      <c r="AR108" s="160" t="str">
        <f t="shared" si="12"/>
        <v>#N/A</v>
      </c>
      <c r="AS108" s="160"/>
      <c r="AT108" s="160"/>
      <c r="AU108" s="160"/>
      <c r="AV108" s="160"/>
      <c r="AW108" s="160"/>
      <c r="AX108" s="160"/>
      <c r="AY108" s="160"/>
      <c r="AZ108" s="160"/>
      <c r="BA108" s="160"/>
      <c r="BB108" s="160"/>
      <c r="BC108" s="160"/>
      <c r="BD108" s="160"/>
      <c r="BE108" s="160"/>
      <c r="BF108" s="160"/>
      <c r="BG108" s="160"/>
      <c r="BH108" s="160"/>
      <c r="BI108" s="160"/>
      <c r="BJ108" s="160"/>
      <c r="BK108" s="160"/>
      <c r="BL108" s="160"/>
      <c r="BM108" s="160"/>
      <c r="BN108" s="160"/>
      <c r="BO108" s="160"/>
      <c r="BP108" s="160"/>
      <c r="BQ108" s="160"/>
      <c r="BR108" s="160"/>
      <c r="BS108" s="160"/>
      <c r="BT108" s="160"/>
      <c r="BU108" s="160"/>
      <c r="BV108" s="160"/>
      <c r="BW108" s="160"/>
      <c r="BX108" s="160"/>
      <c r="BY108" s="160"/>
      <c r="BZ108" s="160"/>
      <c r="CA108" s="160"/>
      <c r="CB108" s="160"/>
      <c r="CC108" s="160"/>
      <c r="CD108" s="160"/>
      <c r="CE108" s="160"/>
      <c r="CF108" s="160"/>
      <c r="CG108" s="160"/>
      <c r="CH108" s="160"/>
      <c r="CI108" s="160"/>
      <c r="CJ108" s="160"/>
      <c r="CK108" s="160"/>
      <c r="CL108" s="160"/>
    </row>
    <row r="109">
      <c r="A109" s="166" t="s">
        <v>341</v>
      </c>
      <c r="B109" s="167" t="s">
        <v>342</v>
      </c>
      <c r="C109" s="168" t="s">
        <v>62</v>
      </c>
      <c r="D109" s="169" t="str">
        <f>IFERROR(VLOOKUP(C109, PIC!A:B, 2, 0), "")</f>
        <v>Huy Tran 2</v>
      </c>
      <c r="E109" s="167" t="s">
        <v>22</v>
      </c>
      <c r="F109" s="16" t="s">
        <v>845</v>
      </c>
      <c r="G109" s="16" t="s">
        <v>845</v>
      </c>
      <c r="H109" s="170">
        <f>IFERROR(
  MINIFS(ATTENDANCE_LOG!$F:$F,
         ATTENDANCE_LOG!$A:$A, C109,
         ATTENDANCE_LOG!$B:$B, E109),
"")</f>
        <v>45644.375</v>
      </c>
      <c r="I109" s="170">
        <f t="shared" si="2"/>
        <v>45644.375</v>
      </c>
      <c r="J109" s="11">
        <f>IFERROR(VLOOKUP(F109, LEVEL_HELPER!$A:$B, 2, 0), "")</f>
        <v>2.5</v>
      </c>
      <c r="K109" s="11">
        <f>IFERROR(VLOOKUP(G109, LEVEL_HELPER!$A:$B, 2, 0), "")</f>
        <v>2.5</v>
      </c>
      <c r="L109" s="171" t="s">
        <v>847</v>
      </c>
      <c r="M109" s="183" t="s">
        <v>149</v>
      </c>
      <c r="N109" s="11">
        <f t="array" ref="N109">IFERROR(
  INDEX($J$2:$J$531,
    MATCH(A109&amp;TEXT(I109,"yyyy-mm-dd"),
          $A$2:$A$531&amp;TEXT($H$2:$H$531,"yyyy-mm-dd"),
          0)),
"")</f>
        <v>2.5</v>
      </c>
      <c r="O109" s="160">
        <f t="shared" si="3"/>
        <v>2.5</v>
      </c>
      <c r="P109" s="160">
        <f t="shared" ref="P109:Q109" si="119">IF(N109="",0,IF(N109&lt;=2,1,IF(N109&lt;=4,2,IF(N109&lt;=5.5,3,4))))</f>
        <v>2</v>
      </c>
      <c r="Q109" s="160">
        <f t="shared" si="119"/>
        <v>2</v>
      </c>
      <c r="R109" s="160" t="str">
        <f t="shared" si="5"/>
        <v>No Progress</v>
      </c>
      <c r="S109" s="160">
        <f t="shared" si="6"/>
        <v>0</v>
      </c>
      <c r="T109" s="172" t="s">
        <v>931</v>
      </c>
      <c r="U109" s="160">
        <f>COUNTIFS(sheet2!$A:$A,A109,sheet2!$E:$E,E109)</f>
        <v>1</v>
      </c>
      <c r="V109" s="160"/>
      <c r="W109" s="160"/>
      <c r="X109" s="160" t="str">
        <f t="shared" si="7"/>
        <v>#N/A</v>
      </c>
      <c r="Y109" s="160" t="str">
        <f t="shared" si="8"/>
        <v>#N/A</v>
      </c>
      <c r="Z109" s="160" t="str">
        <f t="shared" si="9"/>
        <v>#N/A</v>
      </c>
      <c r="AA109" s="160"/>
      <c r="AB109" s="160"/>
      <c r="AC109" s="160"/>
      <c r="AD109" s="160"/>
      <c r="AE109" s="160"/>
      <c r="AF109" s="160"/>
      <c r="AG109" s="160"/>
      <c r="AH109" s="160"/>
      <c r="AI109" s="160"/>
      <c r="AJ109" s="160"/>
      <c r="AK109" s="160"/>
      <c r="AL109" s="160"/>
      <c r="AM109" s="160"/>
      <c r="AN109" s="164"/>
      <c r="AO109" s="160"/>
      <c r="AP109" s="160" t="str">
        <f t="shared" si="10"/>
        <v>#N/A</v>
      </c>
      <c r="AQ109" s="160" t="str">
        <f t="shared" si="11"/>
        <v>#N/A</v>
      </c>
      <c r="AR109" s="160" t="str">
        <f t="shared" si="12"/>
        <v>#N/A</v>
      </c>
      <c r="AS109" s="160"/>
      <c r="AT109" s="160"/>
      <c r="AU109" s="160"/>
      <c r="AV109" s="160"/>
      <c r="AW109" s="160"/>
      <c r="AX109" s="160"/>
      <c r="AY109" s="160"/>
      <c r="AZ109" s="160"/>
      <c r="BA109" s="160"/>
      <c r="BB109" s="160"/>
      <c r="BC109" s="160"/>
      <c r="BD109" s="160"/>
      <c r="BE109" s="160"/>
      <c r="BF109" s="160"/>
      <c r="BG109" s="160"/>
      <c r="BH109" s="160"/>
      <c r="BI109" s="160"/>
      <c r="BJ109" s="160"/>
      <c r="BK109" s="160"/>
      <c r="BL109" s="160"/>
      <c r="BM109" s="160"/>
      <c r="BN109" s="160"/>
      <c r="BO109" s="160"/>
      <c r="BP109" s="160"/>
      <c r="BQ109" s="160"/>
      <c r="BR109" s="160"/>
      <c r="BS109" s="160"/>
      <c r="BT109" s="160"/>
      <c r="BU109" s="160"/>
      <c r="BV109" s="160"/>
      <c r="BW109" s="160"/>
      <c r="BX109" s="160"/>
      <c r="BY109" s="160"/>
      <c r="BZ109" s="160"/>
      <c r="CA109" s="160"/>
      <c r="CB109" s="160"/>
      <c r="CC109" s="160"/>
      <c r="CD109" s="160"/>
      <c r="CE109" s="160"/>
      <c r="CF109" s="160"/>
      <c r="CG109" s="160"/>
      <c r="CH109" s="160"/>
      <c r="CI109" s="160"/>
      <c r="CJ109" s="160"/>
      <c r="CK109" s="160"/>
      <c r="CL109" s="160"/>
    </row>
    <row r="110">
      <c r="A110" s="174" t="s">
        <v>331</v>
      </c>
      <c r="B110" s="11" t="s">
        <v>332</v>
      </c>
      <c r="C110" s="175" t="s">
        <v>62</v>
      </c>
      <c r="D110" s="176" t="str">
        <f>IFERROR(VLOOKUP(C110, PIC!A:B, 2, 0), "")</f>
        <v>Huy Tran 2</v>
      </c>
      <c r="E110" s="11" t="s">
        <v>22</v>
      </c>
      <c r="F110" s="16" t="s">
        <v>849</v>
      </c>
      <c r="G110" s="16" t="s">
        <v>845</v>
      </c>
      <c r="H110" s="170">
        <f>IFERROR(
  MINIFS(ATTENDANCE_LOG!$F:$F,
         ATTENDANCE_LOG!$A:$A, C110,
         ATTENDANCE_LOG!$B:$B, E110),
"")</f>
        <v>45644.375</v>
      </c>
      <c r="I110" s="170">
        <f t="shared" si="2"/>
        <v>45644.375</v>
      </c>
      <c r="J110" s="11">
        <f>IFERROR(VLOOKUP(F110, LEVEL_HELPER!$A:$B, 2, 0), "")</f>
        <v>1</v>
      </c>
      <c r="K110" s="11">
        <f>IFERROR(VLOOKUP(G110, LEVEL_HELPER!$A:$B, 2, 0), "")</f>
        <v>2.5</v>
      </c>
      <c r="L110" s="171" t="s">
        <v>400</v>
      </c>
      <c r="M110" s="183" t="s">
        <v>149</v>
      </c>
      <c r="N110" s="11">
        <f t="array" ref="N110">IFERROR(
  INDEX($J$2:$J$531,
    MATCH(A110&amp;TEXT(I110,"yyyy-mm-dd"),
          $A$2:$A$531&amp;TEXT($H$2:$H$531,"yyyy-mm-dd"),
          0)),
"")</f>
        <v>1</v>
      </c>
      <c r="O110" s="160">
        <f t="shared" si="3"/>
        <v>2.5</v>
      </c>
      <c r="P110" s="160">
        <f t="shared" ref="P110:Q110" si="120">IF(N110="",0,IF(N110&lt;=2,1,IF(N110&lt;=4,2,IF(N110&lt;=5.5,3,4))))</f>
        <v>1</v>
      </c>
      <c r="Q110" s="160">
        <f t="shared" si="120"/>
        <v>2</v>
      </c>
      <c r="R110" s="160" t="str">
        <f t="shared" si="5"/>
        <v>Lv1 → Lv2</v>
      </c>
      <c r="S110" s="160">
        <f t="shared" si="6"/>
        <v>0</v>
      </c>
      <c r="T110" s="177" t="s">
        <v>929</v>
      </c>
      <c r="U110" s="160">
        <f>COUNTIFS(sheet2!$A:$A,A110,sheet2!$E:$E,E110)</f>
        <v>1</v>
      </c>
      <c r="V110" s="160"/>
      <c r="W110" s="160"/>
      <c r="X110" s="160" t="str">
        <f t="shared" si="7"/>
        <v>#N/A</v>
      </c>
      <c r="Y110" s="160" t="str">
        <f t="shared" si="8"/>
        <v>#N/A</v>
      </c>
      <c r="Z110" s="160" t="str">
        <f t="shared" si="9"/>
        <v>#N/A</v>
      </c>
      <c r="AA110" s="160"/>
      <c r="AB110" s="160"/>
      <c r="AC110" s="160"/>
      <c r="AD110" s="160"/>
      <c r="AE110" s="160"/>
      <c r="AF110" s="160"/>
      <c r="AG110" s="160"/>
      <c r="AH110" s="160"/>
      <c r="AI110" s="160"/>
      <c r="AJ110" s="160"/>
      <c r="AK110" s="160"/>
      <c r="AL110" s="160"/>
      <c r="AM110" s="160"/>
      <c r="AN110" s="164"/>
      <c r="AO110" s="160"/>
      <c r="AP110" s="160" t="str">
        <f t="shared" si="10"/>
        <v>#N/A</v>
      </c>
      <c r="AQ110" s="160" t="str">
        <f t="shared" si="11"/>
        <v>#N/A</v>
      </c>
      <c r="AR110" s="160" t="str">
        <f t="shared" si="12"/>
        <v>#N/A</v>
      </c>
      <c r="AS110" s="160"/>
      <c r="AT110" s="160"/>
      <c r="AU110" s="160"/>
      <c r="AV110" s="160"/>
      <c r="AW110" s="160"/>
      <c r="AX110" s="160"/>
      <c r="AY110" s="160"/>
      <c r="AZ110" s="160"/>
      <c r="BA110" s="160"/>
      <c r="BB110" s="160"/>
      <c r="BC110" s="160"/>
      <c r="BD110" s="160"/>
      <c r="BE110" s="160"/>
      <c r="BF110" s="160"/>
      <c r="BG110" s="160"/>
      <c r="BH110" s="160"/>
      <c r="BI110" s="160"/>
      <c r="BJ110" s="160"/>
      <c r="BK110" s="160"/>
      <c r="BL110" s="160"/>
      <c r="BM110" s="160"/>
      <c r="BN110" s="160"/>
      <c r="BO110" s="160"/>
      <c r="BP110" s="160"/>
      <c r="BQ110" s="160"/>
      <c r="BR110" s="160"/>
      <c r="BS110" s="160"/>
      <c r="BT110" s="160"/>
      <c r="BU110" s="160"/>
      <c r="BV110" s="160"/>
      <c r="BW110" s="160"/>
      <c r="BX110" s="160"/>
      <c r="BY110" s="160"/>
      <c r="BZ110" s="160"/>
      <c r="CA110" s="160"/>
      <c r="CB110" s="160"/>
      <c r="CC110" s="160"/>
      <c r="CD110" s="160"/>
      <c r="CE110" s="160"/>
      <c r="CF110" s="160"/>
      <c r="CG110" s="160"/>
      <c r="CH110" s="160"/>
      <c r="CI110" s="160"/>
      <c r="CJ110" s="160"/>
      <c r="CK110" s="160"/>
      <c r="CL110" s="160"/>
    </row>
    <row r="111">
      <c r="A111" s="174" t="s">
        <v>339</v>
      </c>
      <c r="B111" s="11" t="s">
        <v>340</v>
      </c>
      <c r="C111" s="175" t="s">
        <v>62</v>
      </c>
      <c r="D111" s="176" t="str">
        <f>IFERROR(VLOOKUP(C111, PIC!A:B, 2, 0), "")</f>
        <v>Huy Tran 2</v>
      </c>
      <c r="E111" s="11" t="s">
        <v>22</v>
      </c>
      <c r="F111" s="16" t="s">
        <v>849</v>
      </c>
      <c r="G111" s="16" t="s">
        <v>845</v>
      </c>
      <c r="H111" s="170">
        <f>IFERROR(
  MINIFS(ATTENDANCE_LOG!$F:$F,
         ATTENDANCE_LOG!$A:$A, C111,
         ATTENDANCE_LOG!$B:$B, E111),
"")</f>
        <v>45644.375</v>
      </c>
      <c r="I111" s="170">
        <f t="shared" si="2"/>
        <v>45644.375</v>
      </c>
      <c r="J111" s="11">
        <f>IFERROR(VLOOKUP(F111, LEVEL_HELPER!$A:$B, 2, 0), "")</f>
        <v>1</v>
      </c>
      <c r="K111" s="11">
        <f>IFERROR(VLOOKUP(G111, LEVEL_HELPER!$A:$B, 2, 0), "")</f>
        <v>2.5</v>
      </c>
      <c r="L111" s="171" t="s">
        <v>400</v>
      </c>
      <c r="M111" s="183" t="s">
        <v>149</v>
      </c>
      <c r="N111" s="11">
        <f t="array" ref="N111">IFERROR(
  INDEX($J$2:$J$531,
    MATCH(A111&amp;TEXT(I111,"yyyy-mm-dd"),
          $A$2:$A$531&amp;TEXT($H$2:$H$531,"yyyy-mm-dd"),
          0)),
"")</f>
        <v>1</v>
      </c>
      <c r="O111" s="160">
        <f t="shared" si="3"/>
        <v>2.5</v>
      </c>
      <c r="P111" s="160">
        <f t="shared" ref="P111:Q111" si="121">IF(N111="",0,IF(N111&lt;=2,1,IF(N111&lt;=4,2,IF(N111&lt;=5.5,3,4))))</f>
        <v>1</v>
      </c>
      <c r="Q111" s="160">
        <f t="shared" si="121"/>
        <v>2</v>
      </c>
      <c r="R111" s="160" t="str">
        <f t="shared" si="5"/>
        <v>Lv1 → Lv2</v>
      </c>
      <c r="S111" s="160">
        <f t="shared" si="6"/>
        <v>0</v>
      </c>
      <c r="T111" s="177" t="s">
        <v>930</v>
      </c>
      <c r="U111" s="160">
        <f>COUNTIFS(sheet2!$A:$A,A111,sheet2!$E:$E,E111)</f>
        <v>1</v>
      </c>
      <c r="V111" s="160"/>
      <c r="W111" s="160"/>
      <c r="X111" s="160" t="str">
        <f t="shared" si="7"/>
        <v>#N/A</v>
      </c>
      <c r="Y111" s="160" t="str">
        <f t="shared" si="8"/>
        <v>#N/A</v>
      </c>
      <c r="Z111" s="160" t="str">
        <f t="shared" si="9"/>
        <v>#N/A</v>
      </c>
      <c r="AA111" s="160"/>
      <c r="AB111" s="160"/>
      <c r="AC111" s="160"/>
      <c r="AD111" s="160"/>
      <c r="AE111" s="160"/>
      <c r="AF111" s="160"/>
      <c r="AG111" s="160"/>
      <c r="AH111" s="160"/>
      <c r="AI111" s="160"/>
      <c r="AJ111" s="160"/>
      <c r="AK111" s="160"/>
      <c r="AL111" s="160"/>
      <c r="AM111" s="160"/>
      <c r="AN111" s="164"/>
      <c r="AO111" s="160"/>
      <c r="AP111" s="160" t="str">
        <f t="shared" si="10"/>
        <v>#N/A</v>
      </c>
      <c r="AQ111" s="160" t="str">
        <f t="shared" si="11"/>
        <v>#N/A</v>
      </c>
      <c r="AR111" s="160" t="str">
        <f t="shared" si="12"/>
        <v>#N/A</v>
      </c>
      <c r="AS111" s="160"/>
      <c r="AT111" s="160"/>
      <c r="AU111" s="160"/>
      <c r="AV111" s="160"/>
      <c r="AW111" s="160"/>
      <c r="AX111" s="160"/>
      <c r="AY111" s="160"/>
      <c r="AZ111" s="160"/>
      <c r="BA111" s="160"/>
      <c r="BB111" s="160"/>
      <c r="BC111" s="160"/>
      <c r="BD111" s="160"/>
      <c r="BE111" s="160"/>
      <c r="BF111" s="160"/>
      <c r="BG111" s="160"/>
      <c r="BH111" s="160"/>
      <c r="BI111" s="160"/>
      <c r="BJ111" s="160"/>
      <c r="BK111" s="160"/>
      <c r="BL111" s="160"/>
      <c r="BM111" s="160"/>
      <c r="BN111" s="160"/>
      <c r="BO111" s="160"/>
      <c r="BP111" s="160"/>
      <c r="BQ111" s="160"/>
      <c r="BR111" s="160"/>
      <c r="BS111" s="160"/>
      <c r="BT111" s="160"/>
      <c r="BU111" s="160"/>
      <c r="BV111" s="160"/>
      <c r="BW111" s="160"/>
      <c r="BX111" s="160"/>
      <c r="BY111" s="160"/>
      <c r="BZ111" s="160"/>
      <c r="CA111" s="160"/>
      <c r="CB111" s="160"/>
      <c r="CC111" s="160"/>
      <c r="CD111" s="160"/>
      <c r="CE111" s="160"/>
      <c r="CF111" s="160"/>
      <c r="CG111" s="160"/>
      <c r="CH111" s="160"/>
      <c r="CI111" s="160"/>
      <c r="CJ111" s="160"/>
      <c r="CK111" s="160"/>
      <c r="CL111" s="160"/>
    </row>
    <row r="112">
      <c r="A112" s="174" t="s">
        <v>343</v>
      </c>
      <c r="B112" s="11" t="s">
        <v>344</v>
      </c>
      <c r="C112" s="175" t="s">
        <v>62</v>
      </c>
      <c r="D112" s="176" t="str">
        <f>IFERROR(VLOOKUP(C112, PIC!A:B, 2, 0), "")</f>
        <v>Huy Tran 2</v>
      </c>
      <c r="E112" s="11" t="s">
        <v>22</v>
      </c>
      <c r="F112" s="16" t="s">
        <v>849</v>
      </c>
      <c r="G112" s="16" t="s">
        <v>849</v>
      </c>
      <c r="H112" s="170">
        <f>IFERROR(
  MINIFS(ATTENDANCE_LOG!$F:$F,
         ATTENDANCE_LOG!$A:$A, C112,
         ATTENDANCE_LOG!$B:$B, E112),
"")</f>
        <v>45644.375</v>
      </c>
      <c r="I112" s="170">
        <f t="shared" si="2"/>
        <v>45644.375</v>
      </c>
      <c r="J112" s="11">
        <f>IFERROR(VLOOKUP(F112, LEVEL_HELPER!$A:$B, 2, 0), "")</f>
        <v>1</v>
      </c>
      <c r="K112" s="11">
        <f>IFERROR(VLOOKUP(G112, LEVEL_HELPER!$A:$B, 2, 0), "")</f>
        <v>1</v>
      </c>
      <c r="L112" s="171" t="s">
        <v>400</v>
      </c>
      <c r="M112" s="183" t="s">
        <v>149</v>
      </c>
      <c r="N112" s="11">
        <f t="array" ref="N112">IFERROR(
  INDEX($J$2:$J$531,
    MATCH(A112&amp;TEXT(I112,"yyyy-mm-dd"),
          $A$2:$A$531&amp;TEXT($H$2:$H$531,"yyyy-mm-dd"),
          0)),
"")</f>
        <v>1</v>
      </c>
      <c r="O112" s="160">
        <f t="shared" si="3"/>
        <v>1</v>
      </c>
      <c r="P112" s="160">
        <f t="shared" ref="P112:Q112" si="122">IF(N112="",0,IF(N112&lt;=2,1,IF(N112&lt;=4,2,IF(N112&lt;=5.5,3,4))))</f>
        <v>1</v>
      </c>
      <c r="Q112" s="160">
        <f t="shared" si="122"/>
        <v>1</v>
      </c>
      <c r="R112" s="160" t="str">
        <f t="shared" si="5"/>
        <v>No Progress</v>
      </c>
      <c r="S112" s="160">
        <f t="shared" si="6"/>
        <v>0</v>
      </c>
      <c r="T112" s="177" t="s">
        <v>928</v>
      </c>
      <c r="U112" s="160">
        <f>COUNTIFS(sheet2!$A:$A,A112,sheet2!$E:$E,E112)</f>
        <v>1</v>
      </c>
      <c r="V112" s="160"/>
      <c r="W112" s="160"/>
      <c r="X112" s="160" t="str">
        <f t="shared" si="7"/>
        <v>#N/A</v>
      </c>
      <c r="Y112" s="160" t="str">
        <f t="shared" si="8"/>
        <v>#N/A</v>
      </c>
      <c r="Z112" s="160" t="str">
        <f t="shared" si="9"/>
        <v>#N/A</v>
      </c>
      <c r="AA112" s="160"/>
      <c r="AB112" s="160"/>
      <c r="AC112" s="160"/>
      <c r="AD112" s="160"/>
      <c r="AE112" s="160"/>
      <c r="AF112" s="160"/>
      <c r="AG112" s="160"/>
      <c r="AH112" s="160"/>
      <c r="AI112" s="160"/>
      <c r="AJ112" s="160"/>
      <c r="AK112" s="160"/>
      <c r="AL112" s="160"/>
      <c r="AM112" s="160"/>
      <c r="AN112" s="164"/>
      <c r="AO112" s="160"/>
      <c r="AP112" s="160" t="str">
        <f t="shared" si="10"/>
        <v>#N/A</v>
      </c>
      <c r="AQ112" s="160" t="str">
        <f t="shared" si="11"/>
        <v>#N/A</v>
      </c>
      <c r="AR112" s="160" t="str">
        <f t="shared" si="12"/>
        <v>#N/A</v>
      </c>
      <c r="AS112" s="160"/>
      <c r="AT112" s="160"/>
      <c r="AU112" s="160"/>
      <c r="AV112" s="160"/>
      <c r="AW112" s="160"/>
      <c r="AX112" s="160"/>
      <c r="AY112" s="160"/>
      <c r="AZ112" s="160"/>
      <c r="BA112" s="160"/>
      <c r="BB112" s="160"/>
      <c r="BC112" s="160"/>
      <c r="BD112" s="160"/>
      <c r="BE112" s="160"/>
      <c r="BF112" s="160"/>
      <c r="BG112" s="160"/>
      <c r="BH112" s="160"/>
      <c r="BI112" s="160"/>
      <c r="BJ112" s="160"/>
      <c r="BK112" s="160"/>
      <c r="BL112" s="160"/>
      <c r="BM112" s="160"/>
      <c r="BN112" s="160"/>
      <c r="BO112" s="160"/>
      <c r="BP112" s="160"/>
      <c r="BQ112" s="160"/>
      <c r="BR112" s="160"/>
      <c r="BS112" s="160"/>
      <c r="BT112" s="160"/>
      <c r="BU112" s="160"/>
      <c r="BV112" s="160"/>
      <c r="BW112" s="160"/>
      <c r="BX112" s="160"/>
      <c r="BY112" s="160"/>
      <c r="BZ112" s="160"/>
      <c r="CA112" s="160"/>
      <c r="CB112" s="160"/>
      <c r="CC112" s="160"/>
      <c r="CD112" s="160"/>
      <c r="CE112" s="160"/>
      <c r="CF112" s="160"/>
      <c r="CG112" s="160"/>
      <c r="CH112" s="160"/>
      <c r="CI112" s="160"/>
      <c r="CJ112" s="160"/>
      <c r="CK112" s="160"/>
      <c r="CL112" s="160"/>
    </row>
    <row r="113">
      <c r="A113" s="174" t="s">
        <v>345</v>
      </c>
      <c r="B113" s="11" t="s">
        <v>346</v>
      </c>
      <c r="C113" s="175" t="s">
        <v>62</v>
      </c>
      <c r="D113" s="176" t="str">
        <f>IFERROR(VLOOKUP(C113, PIC!A:B, 2, 0), "")</f>
        <v>Huy Tran 2</v>
      </c>
      <c r="E113" s="11" t="s">
        <v>22</v>
      </c>
      <c r="F113" s="16" t="s">
        <v>845</v>
      </c>
      <c r="G113" s="16" t="s">
        <v>858</v>
      </c>
      <c r="H113" s="170">
        <f>IFERROR(
  MINIFS(ATTENDANCE_LOG!$F:$F,
         ATTENDANCE_LOG!$A:$A, C113,
         ATTENDANCE_LOG!$B:$B, E113),
"")</f>
        <v>45644.375</v>
      </c>
      <c r="I113" s="170">
        <f t="shared" si="2"/>
        <v>45644.375</v>
      </c>
      <c r="J113" s="11">
        <f>IFERROR(VLOOKUP(F113, LEVEL_HELPER!$A:$B, 2, 0), "")</f>
        <v>2.5</v>
      </c>
      <c r="K113" s="11">
        <f>IFERROR(VLOOKUP(G113, LEVEL_HELPER!$A:$B, 2, 0), "")</f>
        <v>4.5</v>
      </c>
      <c r="L113" s="171" t="s">
        <v>400</v>
      </c>
      <c r="M113" s="183" t="s">
        <v>149</v>
      </c>
      <c r="N113" s="11">
        <f t="array" ref="N113">IFERROR(
  INDEX($J$2:$J$531,
    MATCH(A113&amp;TEXT(I113,"yyyy-mm-dd"),
          $A$2:$A$531&amp;TEXT($H$2:$H$531,"yyyy-mm-dd"),
          0)),
"")</f>
        <v>2.5</v>
      </c>
      <c r="O113" s="160">
        <f t="shared" si="3"/>
        <v>4.5</v>
      </c>
      <c r="P113" s="160">
        <f t="shared" ref="P113:Q113" si="123">IF(N113="",0,IF(N113&lt;=2,1,IF(N113&lt;=4,2,IF(N113&lt;=5.5,3,4))))</f>
        <v>2</v>
      </c>
      <c r="Q113" s="160">
        <f t="shared" si="123"/>
        <v>3</v>
      </c>
      <c r="R113" s="160" t="str">
        <f t="shared" si="5"/>
        <v>Lv2 → Lv3</v>
      </c>
      <c r="S113" s="160">
        <f t="shared" si="6"/>
        <v>0</v>
      </c>
      <c r="T113" s="177" t="s">
        <v>932</v>
      </c>
      <c r="U113" s="160">
        <f>COUNTIFS(sheet2!$A:$A,A113,sheet2!$E:$E,E113)</f>
        <v>1</v>
      </c>
      <c r="V113" s="160"/>
      <c r="W113" s="160"/>
      <c r="X113" s="160" t="str">
        <f t="shared" si="7"/>
        <v>#N/A</v>
      </c>
      <c r="Y113" s="160" t="str">
        <f t="shared" si="8"/>
        <v>#N/A</v>
      </c>
      <c r="Z113" s="160" t="str">
        <f t="shared" si="9"/>
        <v>#N/A</v>
      </c>
      <c r="AA113" s="160"/>
      <c r="AB113" s="160"/>
      <c r="AC113" s="160"/>
      <c r="AD113" s="160"/>
      <c r="AE113" s="160"/>
      <c r="AF113" s="160"/>
      <c r="AG113" s="160"/>
      <c r="AH113" s="160"/>
      <c r="AI113" s="160"/>
      <c r="AJ113" s="160"/>
      <c r="AK113" s="160"/>
      <c r="AL113" s="160"/>
      <c r="AM113" s="160"/>
      <c r="AN113" s="164"/>
      <c r="AO113" s="160"/>
      <c r="AP113" s="160" t="str">
        <f t="shared" si="10"/>
        <v>#N/A</v>
      </c>
      <c r="AQ113" s="160" t="str">
        <f t="shared" si="11"/>
        <v>#N/A</v>
      </c>
      <c r="AR113" s="160" t="str">
        <f t="shared" si="12"/>
        <v>#N/A</v>
      </c>
      <c r="AS113" s="160"/>
      <c r="AT113" s="160"/>
      <c r="AU113" s="160"/>
      <c r="AV113" s="160"/>
      <c r="AW113" s="160"/>
      <c r="AX113" s="160"/>
      <c r="AY113" s="160"/>
      <c r="AZ113" s="160"/>
      <c r="BA113" s="160"/>
      <c r="BB113" s="160"/>
      <c r="BC113" s="160"/>
      <c r="BD113" s="160"/>
      <c r="BE113" s="160"/>
      <c r="BF113" s="160"/>
      <c r="BG113" s="160"/>
      <c r="BH113" s="160"/>
      <c r="BI113" s="160"/>
      <c r="BJ113" s="160"/>
      <c r="BK113" s="160"/>
      <c r="BL113" s="160"/>
      <c r="BM113" s="160"/>
      <c r="BN113" s="160"/>
      <c r="BO113" s="160"/>
      <c r="BP113" s="160"/>
      <c r="BQ113" s="160"/>
      <c r="BR113" s="160"/>
      <c r="BS113" s="160"/>
      <c r="BT113" s="160"/>
      <c r="BU113" s="160"/>
      <c r="BV113" s="160"/>
      <c r="BW113" s="160"/>
      <c r="BX113" s="160"/>
      <c r="BY113" s="160"/>
      <c r="BZ113" s="160"/>
      <c r="CA113" s="160"/>
      <c r="CB113" s="160"/>
      <c r="CC113" s="160"/>
      <c r="CD113" s="160"/>
      <c r="CE113" s="160"/>
      <c r="CF113" s="160"/>
      <c r="CG113" s="160"/>
      <c r="CH113" s="160"/>
      <c r="CI113" s="160"/>
      <c r="CJ113" s="160"/>
      <c r="CK113" s="160"/>
      <c r="CL113" s="160"/>
    </row>
    <row r="114">
      <c r="A114" s="166" t="s">
        <v>364</v>
      </c>
      <c r="B114" s="167" t="s">
        <v>365</v>
      </c>
      <c r="C114" s="168" t="s">
        <v>63</v>
      </c>
      <c r="D114" s="169" t="str">
        <f>IFERROR(VLOOKUP(C114, PIC!A:B, 2, 0), "")</f>
        <v>Huyen Vo</v>
      </c>
      <c r="E114" s="167" t="s">
        <v>22</v>
      </c>
      <c r="F114" s="16" t="s">
        <v>845</v>
      </c>
      <c r="G114" s="16" t="s">
        <v>861</v>
      </c>
      <c r="H114" s="170">
        <f>IFERROR(
  MINIFS(ATTENDANCE_LOG!$F:$F,
         ATTENDANCE_LOG!$A:$A, C114,
         ATTENDANCE_LOG!$B:$B, E114),
"")</f>
        <v>45646.375</v>
      </c>
      <c r="I114" s="170">
        <f t="shared" si="2"/>
        <v>45646.375</v>
      </c>
      <c r="J114" s="11">
        <f>IFERROR(VLOOKUP(F114, LEVEL_HELPER!$A:$B, 2, 0), "")</f>
        <v>2.5</v>
      </c>
      <c r="K114" s="11">
        <f>IFERROR(VLOOKUP(G114, LEVEL_HELPER!$A:$B, 2, 0), "")</f>
        <v>3.5</v>
      </c>
      <c r="L114" s="171" t="s">
        <v>400</v>
      </c>
      <c r="M114" s="183" t="s">
        <v>149</v>
      </c>
      <c r="N114" s="11">
        <f t="array" ref="N114">IFERROR(
  INDEX($J$2:$J$531,
    MATCH(A114&amp;TEXT(I114,"yyyy-mm-dd"),
          $A$2:$A$531&amp;TEXT($H$2:$H$531,"yyyy-mm-dd"),
          0)),
"")</f>
        <v>2.5</v>
      </c>
      <c r="O114" s="160">
        <f t="shared" si="3"/>
        <v>3.5</v>
      </c>
      <c r="P114" s="160">
        <f t="shared" ref="P114:Q114" si="124">IF(N114="",0,IF(N114&lt;=2,1,IF(N114&lt;=4,2,IF(N114&lt;=5.5,3,4))))</f>
        <v>2</v>
      </c>
      <c r="Q114" s="160">
        <f t="shared" si="124"/>
        <v>2</v>
      </c>
      <c r="R114" s="160" t="str">
        <f t="shared" si="5"/>
        <v>Progress within level</v>
      </c>
      <c r="S114" s="160">
        <f t="shared" si="6"/>
        <v>1</v>
      </c>
      <c r="T114" s="172" t="s">
        <v>933</v>
      </c>
      <c r="U114" s="160">
        <f>COUNTIFS(sheet2!$A:$A,A114,sheet2!$E:$E,E114)</f>
        <v>1</v>
      </c>
      <c r="V114" s="160"/>
      <c r="W114" s="160"/>
      <c r="X114" s="160" t="str">
        <f t="shared" si="7"/>
        <v>#N/A</v>
      </c>
      <c r="Y114" s="160" t="str">
        <f t="shared" si="8"/>
        <v>#N/A</v>
      </c>
      <c r="Z114" s="160" t="str">
        <f t="shared" si="9"/>
        <v>#N/A</v>
      </c>
      <c r="AA114" s="160"/>
      <c r="AB114" s="160"/>
      <c r="AC114" s="160"/>
      <c r="AD114" s="160"/>
      <c r="AE114" s="160"/>
      <c r="AF114" s="160"/>
      <c r="AG114" s="160"/>
      <c r="AH114" s="160"/>
      <c r="AI114" s="160"/>
      <c r="AJ114" s="160"/>
      <c r="AK114" s="160"/>
      <c r="AL114" s="160"/>
      <c r="AM114" s="160"/>
      <c r="AN114" s="164"/>
      <c r="AO114" s="160"/>
      <c r="AP114" s="160" t="str">
        <f t="shared" si="10"/>
        <v>#N/A</v>
      </c>
      <c r="AQ114" s="160" t="str">
        <f t="shared" si="11"/>
        <v>#N/A</v>
      </c>
      <c r="AR114" s="160" t="str">
        <f t="shared" si="12"/>
        <v>#N/A</v>
      </c>
      <c r="AS114" s="160"/>
      <c r="AT114" s="160"/>
      <c r="AU114" s="160"/>
      <c r="AV114" s="160"/>
      <c r="AW114" s="160"/>
      <c r="AX114" s="160"/>
      <c r="AY114" s="160"/>
      <c r="AZ114" s="160"/>
      <c r="BA114" s="160"/>
      <c r="BB114" s="160"/>
      <c r="BC114" s="160"/>
      <c r="BD114" s="160"/>
      <c r="BE114" s="160"/>
      <c r="BF114" s="160"/>
      <c r="BG114" s="160"/>
      <c r="BH114" s="160"/>
      <c r="BI114" s="160"/>
      <c r="BJ114" s="160"/>
      <c r="BK114" s="160"/>
      <c r="BL114" s="160"/>
      <c r="BM114" s="160"/>
      <c r="BN114" s="160"/>
      <c r="BO114" s="160"/>
      <c r="BP114" s="160"/>
      <c r="BQ114" s="160"/>
      <c r="BR114" s="160"/>
      <c r="BS114" s="160"/>
      <c r="BT114" s="160"/>
      <c r="BU114" s="160"/>
      <c r="BV114" s="160"/>
      <c r="BW114" s="160"/>
      <c r="BX114" s="160"/>
      <c r="BY114" s="160"/>
      <c r="BZ114" s="160"/>
      <c r="CA114" s="160"/>
      <c r="CB114" s="160"/>
      <c r="CC114" s="160"/>
      <c r="CD114" s="160"/>
      <c r="CE114" s="160"/>
      <c r="CF114" s="160"/>
      <c r="CG114" s="160"/>
      <c r="CH114" s="160"/>
      <c r="CI114" s="160"/>
      <c r="CJ114" s="160"/>
      <c r="CK114" s="160"/>
      <c r="CL114" s="160"/>
    </row>
    <row r="115">
      <c r="A115" s="174" t="s">
        <v>351</v>
      </c>
      <c r="B115" s="11" t="s">
        <v>352</v>
      </c>
      <c r="C115" s="175" t="s">
        <v>63</v>
      </c>
      <c r="D115" s="176" t="str">
        <f>IFERROR(VLOOKUP(C115, PIC!A:B, 2, 0), "")</f>
        <v>Huyen Vo</v>
      </c>
      <c r="E115" s="11" t="s">
        <v>22</v>
      </c>
      <c r="F115" s="16" t="s">
        <v>849</v>
      </c>
      <c r="G115" s="11"/>
      <c r="H115" s="170">
        <f>IFERROR(
  MINIFS(ATTENDANCE_LOG!$F:$F,
         ATTENDANCE_LOG!$A:$A, C115,
         ATTENDANCE_LOG!$B:$B, E115),
"")</f>
        <v>45646.375</v>
      </c>
      <c r="I115" s="170">
        <f t="shared" si="2"/>
        <v>45646.375</v>
      </c>
      <c r="J115" s="11">
        <f>IFERROR(VLOOKUP(F115, LEVEL_HELPER!$A:$B, 2, 0), "")</f>
        <v>1</v>
      </c>
      <c r="K115" s="11" t="str">
        <f>IFERROR(VLOOKUP(G115, LEVEL_HELPER!$A:$B, 2, 0), "")</f>
        <v/>
      </c>
      <c r="L115" s="171" t="s">
        <v>873</v>
      </c>
      <c r="M115" s="183" t="s">
        <v>149</v>
      </c>
      <c r="N115" s="11">
        <f t="array" ref="N115">IFERROR(
  INDEX($J$2:$J$531,
    MATCH(A115&amp;TEXT(I115,"yyyy-mm-dd"),
          $A$2:$A$531&amp;TEXT($H$2:$H$531,"yyyy-mm-dd"),
          0)),
"")</f>
        <v>1</v>
      </c>
      <c r="O115" s="160">
        <f t="shared" si="3"/>
        <v>0</v>
      </c>
      <c r="P115" s="160">
        <f t="shared" ref="P115:Q115" si="125">IF(N115="",0,IF(N115&lt;=2,1,IF(N115&lt;=4,2,IF(N115&lt;=5.5,3,4))))</f>
        <v>1</v>
      </c>
      <c r="Q115" s="160">
        <f t="shared" si="125"/>
        <v>1</v>
      </c>
      <c r="R115" s="160" t="str">
        <f t="shared" si="5"/>
        <v>Not tested yet</v>
      </c>
      <c r="S115" s="160">
        <f t="shared" si="6"/>
        <v>1</v>
      </c>
      <c r="T115" s="177" t="s">
        <v>934</v>
      </c>
      <c r="U115" s="160">
        <f>COUNTIFS(sheet2!$A:$A,A115,sheet2!$E:$E,E115)</f>
        <v>1</v>
      </c>
      <c r="V115" s="160"/>
      <c r="W115" s="160"/>
      <c r="X115" s="160" t="str">
        <f t="shared" si="7"/>
        <v>#N/A</v>
      </c>
      <c r="Y115" s="160" t="str">
        <f t="shared" si="8"/>
        <v>#N/A</v>
      </c>
      <c r="Z115" s="160" t="str">
        <f t="shared" si="9"/>
        <v>#N/A</v>
      </c>
      <c r="AA115" s="160"/>
      <c r="AB115" s="160"/>
      <c r="AC115" s="160"/>
      <c r="AD115" s="160"/>
      <c r="AE115" s="160"/>
      <c r="AF115" s="160"/>
      <c r="AG115" s="160"/>
      <c r="AH115" s="160"/>
      <c r="AI115" s="160"/>
      <c r="AJ115" s="160"/>
      <c r="AK115" s="160"/>
      <c r="AL115" s="160"/>
      <c r="AM115" s="160"/>
      <c r="AN115" s="164"/>
      <c r="AO115" s="160"/>
      <c r="AP115" s="160" t="str">
        <f t="shared" si="10"/>
        <v>#N/A</v>
      </c>
      <c r="AQ115" s="160" t="str">
        <f t="shared" si="11"/>
        <v>#N/A</v>
      </c>
      <c r="AR115" s="160" t="str">
        <f t="shared" si="12"/>
        <v>#N/A</v>
      </c>
      <c r="AS115" s="160"/>
      <c r="AT115" s="160"/>
      <c r="AU115" s="160"/>
      <c r="AV115" s="160"/>
      <c r="AW115" s="160"/>
      <c r="AX115" s="160"/>
      <c r="AY115" s="160"/>
      <c r="AZ115" s="160"/>
      <c r="BA115" s="160"/>
      <c r="BB115" s="160"/>
      <c r="BC115" s="160"/>
      <c r="BD115" s="160"/>
      <c r="BE115" s="160"/>
      <c r="BF115" s="160"/>
      <c r="BG115" s="160"/>
      <c r="BH115" s="160"/>
      <c r="BI115" s="160"/>
      <c r="BJ115" s="160"/>
      <c r="BK115" s="160"/>
      <c r="BL115" s="160"/>
      <c r="BM115" s="160"/>
      <c r="BN115" s="160"/>
      <c r="BO115" s="160"/>
      <c r="BP115" s="160"/>
      <c r="BQ115" s="160"/>
      <c r="BR115" s="160"/>
      <c r="BS115" s="160"/>
      <c r="BT115" s="160"/>
      <c r="BU115" s="160"/>
      <c r="BV115" s="160"/>
      <c r="BW115" s="160"/>
      <c r="BX115" s="160"/>
      <c r="BY115" s="160"/>
      <c r="BZ115" s="160"/>
      <c r="CA115" s="160"/>
      <c r="CB115" s="160"/>
      <c r="CC115" s="160"/>
      <c r="CD115" s="160"/>
      <c r="CE115" s="160"/>
      <c r="CF115" s="160"/>
      <c r="CG115" s="160"/>
      <c r="CH115" s="160"/>
      <c r="CI115" s="160"/>
      <c r="CJ115" s="160"/>
      <c r="CK115" s="160"/>
      <c r="CL115" s="160"/>
    </row>
    <row r="116">
      <c r="A116" s="174" t="s">
        <v>362</v>
      </c>
      <c r="B116" s="11" t="s">
        <v>363</v>
      </c>
      <c r="C116" s="175" t="s">
        <v>63</v>
      </c>
      <c r="D116" s="176" t="str">
        <f>IFERROR(VLOOKUP(C116, PIC!A:B, 2, 0), "")</f>
        <v>Huyen Vo</v>
      </c>
      <c r="E116" s="11" t="s">
        <v>22</v>
      </c>
      <c r="F116" s="16" t="s">
        <v>845</v>
      </c>
      <c r="G116" s="11"/>
      <c r="H116" s="170">
        <f>IFERROR(
  MINIFS(ATTENDANCE_LOG!$F:$F,
         ATTENDANCE_LOG!$A:$A, C116,
         ATTENDANCE_LOG!$B:$B, E116),
"")</f>
        <v>45646.375</v>
      </c>
      <c r="I116" s="170">
        <f t="shared" si="2"/>
        <v>45646.375</v>
      </c>
      <c r="J116" s="11">
        <f>IFERROR(VLOOKUP(F116, LEVEL_HELPER!$A:$B, 2, 0), "")</f>
        <v>2.5</v>
      </c>
      <c r="K116" s="11" t="str">
        <f>IFERROR(VLOOKUP(G116, LEVEL_HELPER!$A:$B, 2, 0), "")</f>
        <v/>
      </c>
      <c r="L116" s="171" t="s">
        <v>400</v>
      </c>
      <c r="M116" s="171" t="s">
        <v>154</v>
      </c>
      <c r="N116" s="11">
        <f t="array" ref="N116">IFERROR(
  INDEX($J$2:$J$531,
    MATCH(A116&amp;TEXT(I116,"yyyy-mm-dd"),
          $A$2:$A$531&amp;TEXT($H$2:$H$531,"yyyy-mm-dd"),
          0)),
"")</f>
        <v>2.5</v>
      </c>
      <c r="O116" s="160">
        <f t="shared" si="3"/>
        <v>0</v>
      </c>
      <c r="P116" s="160">
        <f t="shared" ref="P116:Q116" si="126">IF(N116="",0,IF(N116&lt;=2,1,IF(N116&lt;=4,2,IF(N116&lt;=5.5,3,4))))</f>
        <v>2</v>
      </c>
      <c r="Q116" s="160">
        <f t="shared" si="126"/>
        <v>1</v>
      </c>
      <c r="R116" s="160" t="str">
        <f t="shared" si="5"/>
        <v>Not tested yet</v>
      </c>
      <c r="S116" s="160">
        <f t="shared" si="6"/>
        <v>1</v>
      </c>
      <c r="T116" s="177" t="s">
        <v>935</v>
      </c>
      <c r="U116" s="160">
        <f>COUNTIFS(sheet2!$A:$A,A116,sheet2!$E:$E,E116)</f>
        <v>1</v>
      </c>
      <c r="V116" s="160"/>
      <c r="W116" s="160"/>
      <c r="X116" s="160" t="str">
        <f t="shared" si="7"/>
        <v>#N/A</v>
      </c>
      <c r="Y116" s="160" t="str">
        <f t="shared" si="8"/>
        <v>#N/A</v>
      </c>
      <c r="Z116" s="160" t="str">
        <f t="shared" si="9"/>
        <v>#N/A</v>
      </c>
      <c r="AA116" s="160"/>
      <c r="AB116" s="160"/>
      <c r="AC116" s="160"/>
      <c r="AD116" s="160"/>
      <c r="AE116" s="160"/>
      <c r="AF116" s="160"/>
      <c r="AG116" s="160"/>
      <c r="AH116" s="160"/>
      <c r="AI116" s="160"/>
      <c r="AJ116" s="160"/>
      <c r="AK116" s="160"/>
      <c r="AL116" s="160"/>
      <c r="AM116" s="160"/>
      <c r="AN116" s="164"/>
      <c r="AO116" s="160"/>
      <c r="AP116" s="160" t="str">
        <f t="shared" si="10"/>
        <v>#N/A</v>
      </c>
      <c r="AQ116" s="160" t="str">
        <f t="shared" si="11"/>
        <v>#N/A</v>
      </c>
      <c r="AR116" s="160" t="str">
        <f t="shared" si="12"/>
        <v>#N/A</v>
      </c>
      <c r="AS116" s="160"/>
      <c r="AT116" s="160"/>
      <c r="AU116" s="160"/>
      <c r="AV116" s="160"/>
      <c r="AW116" s="160"/>
      <c r="AX116" s="160"/>
      <c r="AY116" s="160"/>
      <c r="AZ116" s="160"/>
      <c r="BA116" s="160"/>
      <c r="BB116" s="160"/>
      <c r="BC116" s="160"/>
      <c r="BD116" s="160"/>
      <c r="BE116" s="160"/>
      <c r="BF116" s="160"/>
      <c r="BG116" s="160"/>
      <c r="BH116" s="160"/>
      <c r="BI116" s="160"/>
      <c r="BJ116" s="160"/>
      <c r="BK116" s="160"/>
      <c r="BL116" s="160"/>
      <c r="BM116" s="160"/>
      <c r="BN116" s="160"/>
      <c r="BO116" s="160"/>
      <c r="BP116" s="160"/>
      <c r="BQ116" s="160"/>
      <c r="BR116" s="160"/>
      <c r="BS116" s="160"/>
      <c r="BT116" s="160"/>
      <c r="BU116" s="160"/>
      <c r="BV116" s="160"/>
      <c r="BW116" s="160"/>
      <c r="BX116" s="160"/>
      <c r="BY116" s="160"/>
      <c r="BZ116" s="160"/>
      <c r="CA116" s="160"/>
      <c r="CB116" s="160"/>
      <c r="CC116" s="160"/>
      <c r="CD116" s="160"/>
      <c r="CE116" s="160"/>
      <c r="CF116" s="160"/>
      <c r="CG116" s="160"/>
      <c r="CH116" s="160"/>
      <c r="CI116" s="160"/>
      <c r="CJ116" s="160"/>
      <c r="CK116" s="160"/>
      <c r="CL116" s="160"/>
    </row>
    <row r="117">
      <c r="A117" s="174" t="s">
        <v>353</v>
      </c>
      <c r="B117" s="11" t="s">
        <v>354</v>
      </c>
      <c r="C117" s="175" t="s">
        <v>63</v>
      </c>
      <c r="D117" s="176" t="str">
        <f>IFERROR(VLOOKUP(C117, PIC!A:B, 2, 0), "")</f>
        <v>Huyen Vo</v>
      </c>
      <c r="E117" s="11" t="s">
        <v>22</v>
      </c>
      <c r="F117" s="16" t="s">
        <v>845</v>
      </c>
      <c r="G117" s="11"/>
      <c r="H117" s="170">
        <f>IFERROR(
  MINIFS(ATTENDANCE_LOG!$F:$F,
         ATTENDANCE_LOG!$A:$A, C117,
         ATTENDANCE_LOG!$B:$B, E117),
"")</f>
        <v>45646.375</v>
      </c>
      <c r="I117" s="170">
        <f t="shared" si="2"/>
        <v>45646.375</v>
      </c>
      <c r="J117" s="11">
        <f>IFERROR(VLOOKUP(F117, LEVEL_HELPER!$A:$B, 2, 0), "")</f>
        <v>2.5</v>
      </c>
      <c r="K117" s="11" t="str">
        <f>IFERROR(VLOOKUP(G117, LEVEL_HELPER!$A:$B, 2, 0), "")</f>
        <v/>
      </c>
      <c r="L117" s="171" t="s">
        <v>847</v>
      </c>
      <c r="M117" s="183" t="s">
        <v>149</v>
      </c>
      <c r="N117" s="11">
        <f t="array" ref="N117">IFERROR(
  INDEX($J$2:$J$531,
    MATCH(A117&amp;TEXT(I117,"yyyy-mm-dd"),
          $A$2:$A$531&amp;TEXT($H$2:$H$531,"yyyy-mm-dd"),
          0)),
"")</f>
        <v>2.5</v>
      </c>
      <c r="O117" s="160">
        <f t="shared" si="3"/>
        <v>0</v>
      </c>
      <c r="P117" s="160">
        <f t="shared" ref="P117:Q117" si="127">IF(N117="",0,IF(N117&lt;=2,1,IF(N117&lt;=4,2,IF(N117&lt;=5.5,3,4))))</f>
        <v>2</v>
      </c>
      <c r="Q117" s="160">
        <f t="shared" si="127"/>
        <v>1</v>
      </c>
      <c r="R117" s="160" t="str">
        <f t="shared" si="5"/>
        <v>Not tested yet</v>
      </c>
      <c r="S117" s="160">
        <f t="shared" si="6"/>
        <v>1</v>
      </c>
      <c r="T117" s="177" t="s">
        <v>936</v>
      </c>
      <c r="U117" s="160">
        <f>COUNTIFS(sheet2!$A:$A,A117,sheet2!$E:$E,E117)</f>
        <v>1</v>
      </c>
      <c r="V117" s="160"/>
      <c r="W117" s="160"/>
      <c r="X117" s="160" t="str">
        <f t="shared" si="7"/>
        <v>#N/A</v>
      </c>
      <c r="Y117" s="160" t="str">
        <f t="shared" si="8"/>
        <v>#N/A</v>
      </c>
      <c r="Z117" s="160" t="str">
        <f t="shared" si="9"/>
        <v>#N/A</v>
      </c>
      <c r="AA117" s="160"/>
      <c r="AB117" s="160"/>
      <c r="AC117" s="160"/>
      <c r="AD117" s="160"/>
      <c r="AE117" s="160"/>
      <c r="AF117" s="160"/>
      <c r="AG117" s="160"/>
      <c r="AH117" s="160"/>
      <c r="AI117" s="160"/>
      <c r="AJ117" s="160"/>
      <c r="AK117" s="160"/>
      <c r="AL117" s="160"/>
      <c r="AM117" s="160"/>
      <c r="AN117" s="164"/>
      <c r="AO117" s="160"/>
      <c r="AP117" s="160" t="str">
        <f t="shared" si="10"/>
        <v>#N/A</v>
      </c>
      <c r="AQ117" s="160" t="str">
        <f t="shared" si="11"/>
        <v>#N/A</v>
      </c>
      <c r="AR117" s="160" t="str">
        <f t="shared" si="12"/>
        <v>#N/A</v>
      </c>
      <c r="AS117" s="160"/>
      <c r="AT117" s="160"/>
      <c r="AU117" s="160"/>
      <c r="AV117" s="160"/>
      <c r="AW117" s="160"/>
      <c r="AX117" s="160"/>
      <c r="AY117" s="160"/>
      <c r="AZ117" s="160"/>
      <c r="BA117" s="160"/>
      <c r="BB117" s="160"/>
      <c r="BC117" s="160"/>
      <c r="BD117" s="160"/>
      <c r="BE117" s="160"/>
      <c r="BF117" s="160"/>
      <c r="BG117" s="160"/>
      <c r="BH117" s="160"/>
      <c r="BI117" s="160"/>
      <c r="BJ117" s="160"/>
      <c r="BK117" s="160"/>
      <c r="BL117" s="160"/>
      <c r="BM117" s="160"/>
      <c r="BN117" s="160"/>
      <c r="BO117" s="160"/>
      <c r="BP117" s="160"/>
      <c r="BQ117" s="160"/>
      <c r="BR117" s="160"/>
      <c r="BS117" s="160"/>
      <c r="BT117" s="160"/>
      <c r="BU117" s="160"/>
      <c r="BV117" s="160"/>
      <c r="BW117" s="160"/>
      <c r="BX117" s="160"/>
      <c r="BY117" s="160"/>
      <c r="BZ117" s="160"/>
      <c r="CA117" s="160"/>
      <c r="CB117" s="160"/>
      <c r="CC117" s="160"/>
      <c r="CD117" s="160"/>
      <c r="CE117" s="160"/>
      <c r="CF117" s="160"/>
      <c r="CG117" s="160"/>
      <c r="CH117" s="160"/>
      <c r="CI117" s="160"/>
      <c r="CJ117" s="160"/>
      <c r="CK117" s="160"/>
      <c r="CL117" s="160"/>
    </row>
    <row r="118">
      <c r="A118" s="174" t="s">
        <v>355</v>
      </c>
      <c r="B118" s="11" t="s">
        <v>356</v>
      </c>
      <c r="C118" s="175" t="s">
        <v>63</v>
      </c>
      <c r="D118" s="176" t="str">
        <f>IFERROR(VLOOKUP(C118, PIC!A:B, 2, 0), "")</f>
        <v>Huyen Vo</v>
      </c>
      <c r="E118" s="11" t="s">
        <v>22</v>
      </c>
      <c r="F118" s="16" t="s">
        <v>849</v>
      </c>
      <c r="G118" s="11"/>
      <c r="H118" s="170">
        <f>IFERROR(
  MINIFS(ATTENDANCE_LOG!$F:$F,
         ATTENDANCE_LOG!$A:$A, C118,
         ATTENDANCE_LOG!$B:$B, E118),
"")</f>
        <v>45646.375</v>
      </c>
      <c r="I118" s="170">
        <f t="shared" si="2"/>
        <v>45646.375</v>
      </c>
      <c r="J118" s="11">
        <f>IFERROR(VLOOKUP(F118, LEVEL_HELPER!$A:$B, 2, 0), "")</f>
        <v>1</v>
      </c>
      <c r="K118" s="11" t="str">
        <f>IFERROR(VLOOKUP(G118, LEVEL_HELPER!$A:$B, 2, 0), "")</f>
        <v/>
      </c>
      <c r="L118" s="171" t="s">
        <v>400</v>
      </c>
      <c r="M118" s="183" t="s">
        <v>149</v>
      </c>
      <c r="N118" s="11">
        <f t="array" ref="N118">IFERROR(
  INDEX($J$2:$J$531,
    MATCH(A118&amp;TEXT(I118,"yyyy-mm-dd"),
          $A$2:$A$531&amp;TEXT($H$2:$H$531,"yyyy-mm-dd"),
          0)),
"")</f>
        <v>1</v>
      </c>
      <c r="O118" s="160">
        <f t="shared" si="3"/>
        <v>0</v>
      </c>
      <c r="P118" s="160">
        <f t="shared" ref="P118:Q118" si="128">IF(N118="",0,IF(N118&lt;=2,1,IF(N118&lt;=4,2,IF(N118&lt;=5.5,3,4))))</f>
        <v>1</v>
      </c>
      <c r="Q118" s="160">
        <f t="shared" si="128"/>
        <v>1</v>
      </c>
      <c r="R118" s="160" t="str">
        <f t="shared" si="5"/>
        <v>Not tested yet</v>
      </c>
      <c r="S118" s="160">
        <f t="shared" si="6"/>
        <v>1</v>
      </c>
      <c r="T118" s="177" t="s">
        <v>937</v>
      </c>
      <c r="U118" s="160">
        <f>COUNTIFS(sheet2!$A:$A,A118,sheet2!$E:$E,E118)</f>
        <v>1</v>
      </c>
      <c r="V118" s="160"/>
      <c r="W118" s="160"/>
      <c r="X118" s="160" t="str">
        <f t="shared" si="7"/>
        <v>#N/A</v>
      </c>
      <c r="Y118" s="160" t="str">
        <f t="shared" si="8"/>
        <v>#N/A</v>
      </c>
      <c r="Z118" s="160" t="str">
        <f t="shared" si="9"/>
        <v>#N/A</v>
      </c>
      <c r="AA118" s="160"/>
      <c r="AB118" s="160"/>
      <c r="AC118" s="160"/>
      <c r="AD118" s="160"/>
      <c r="AE118" s="160"/>
      <c r="AF118" s="160"/>
      <c r="AG118" s="160"/>
      <c r="AH118" s="160"/>
      <c r="AI118" s="160"/>
      <c r="AJ118" s="160"/>
      <c r="AK118" s="160"/>
      <c r="AL118" s="160"/>
      <c r="AM118" s="160"/>
      <c r="AN118" s="164"/>
      <c r="AO118" s="160"/>
      <c r="AP118" s="160" t="str">
        <f t="shared" si="10"/>
        <v>#N/A</v>
      </c>
      <c r="AQ118" s="160" t="str">
        <f t="shared" si="11"/>
        <v>#N/A</v>
      </c>
      <c r="AR118" s="160" t="str">
        <f t="shared" si="12"/>
        <v>#N/A</v>
      </c>
      <c r="AS118" s="160"/>
      <c r="AT118" s="160"/>
      <c r="AU118" s="160"/>
      <c r="AV118" s="160"/>
      <c r="AW118" s="160"/>
      <c r="AX118" s="160"/>
      <c r="AY118" s="160"/>
      <c r="AZ118" s="160"/>
      <c r="BA118" s="160"/>
      <c r="BB118" s="160"/>
      <c r="BC118" s="160"/>
      <c r="BD118" s="160"/>
      <c r="BE118" s="160"/>
      <c r="BF118" s="160"/>
      <c r="BG118" s="160"/>
      <c r="BH118" s="160"/>
      <c r="BI118" s="160"/>
      <c r="BJ118" s="160"/>
      <c r="BK118" s="160"/>
      <c r="BL118" s="160"/>
      <c r="BM118" s="160"/>
      <c r="BN118" s="160"/>
      <c r="BO118" s="160"/>
      <c r="BP118" s="160"/>
      <c r="BQ118" s="160"/>
      <c r="BR118" s="160"/>
      <c r="BS118" s="160"/>
      <c r="BT118" s="160"/>
      <c r="BU118" s="160"/>
      <c r="BV118" s="160"/>
      <c r="BW118" s="160"/>
      <c r="BX118" s="160"/>
      <c r="BY118" s="160"/>
      <c r="BZ118" s="160"/>
      <c r="CA118" s="160"/>
      <c r="CB118" s="160"/>
      <c r="CC118" s="160"/>
      <c r="CD118" s="160"/>
      <c r="CE118" s="160"/>
      <c r="CF118" s="160"/>
      <c r="CG118" s="160"/>
      <c r="CH118" s="160"/>
      <c r="CI118" s="160"/>
      <c r="CJ118" s="160"/>
      <c r="CK118" s="160"/>
      <c r="CL118" s="160"/>
    </row>
    <row r="119">
      <c r="A119" s="174" t="s">
        <v>357</v>
      </c>
      <c r="B119" s="11" t="s">
        <v>358</v>
      </c>
      <c r="C119" s="175" t="s">
        <v>63</v>
      </c>
      <c r="D119" s="176" t="str">
        <f>IFERROR(VLOOKUP(C119, PIC!A:B, 2, 0), "")</f>
        <v>Huyen Vo</v>
      </c>
      <c r="E119" s="11" t="s">
        <v>22</v>
      </c>
      <c r="F119" s="16" t="s">
        <v>849</v>
      </c>
      <c r="G119" s="11"/>
      <c r="H119" s="170">
        <f>IFERROR(
  MINIFS(ATTENDANCE_LOG!$F:$F,
         ATTENDANCE_LOG!$A:$A, C119,
         ATTENDANCE_LOG!$B:$B, E119),
"")</f>
        <v>45646.375</v>
      </c>
      <c r="I119" s="170">
        <f t="shared" si="2"/>
        <v>45646.375</v>
      </c>
      <c r="J119" s="11">
        <f>IFERROR(VLOOKUP(F119, LEVEL_HELPER!$A:$B, 2, 0), "")</f>
        <v>1</v>
      </c>
      <c r="K119" s="11" t="str">
        <f>IFERROR(VLOOKUP(G119, LEVEL_HELPER!$A:$B, 2, 0), "")</f>
        <v/>
      </c>
      <c r="L119" s="171" t="s">
        <v>847</v>
      </c>
      <c r="M119" s="183" t="s">
        <v>149</v>
      </c>
      <c r="N119" s="11">
        <f t="array" ref="N119">IFERROR(
  INDEX($J$2:$J$531,
    MATCH(A119&amp;TEXT(I119,"yyyy-mm-dd"),
          $A$2:$A$531&amp;TEXT($H$2:$H$531,"yyyy-mm-dd"),
          0)),
"")</f>
        <v>1</v>
      </c>
      <c r="O119" s="160">
        <f t="shared" si="3"/>
        <v>0</v>
      </c>
      <c r="P119" s="160">
        <f t="shared" ref="P119:Q119" si="129">IF(N119="",0,IF(N119&lt;=2,1,IF(N119&lt;=4,2,IF(N119&lt;=5.5,3,4))))</f>
        <v>1</v>
      </c>
      <c r="Q119" s="160">
        <f t="shared" si="129"/>
        <v>1</v>
      </c>
      <c r="R119" s="160" t="str">
        <f t="shared" si="5"/>
        <v>Not tested yet</v>
      </c>
      <c r="S119" s="160">
        <f t="shared" si="6"/>
        <v>1</v>
      </c>
      <c r="T119" s="198"/>
      <c r="U119" s="160">
        <f>COUNTIFS(sheet2!$A:$A,A119,sheet2!$E:$E,E119)</f>
        <v>1</v>
      </c>
      <c r="V119" s="160"/>
      <c r="W119" s="160"/>
      <c r="X119" s="160" t="str">
        <f t="shared" si="7"/>
        <v>#N/A</v>
      </c>
      <c r="Y119" s="160" t="str">
        <f t="shared" si="8"/>
        <v>#N/A</v>
      </c>
      <c r="Z119" s="160" t="str">
        <f t="shared" si="9"/>
        <v>#N/A</v>
      </c>
      <c r="AA119" s="160"/>
      <c r="AB119" s="160"/>
      <c r="AC119" s="160"/>
      <c r="AD119" s="160"/>
      <c r="AE119" s="160"/>
      <c r="AF119" s="160"/>
      <c r="AG119" s="160"/>
      <c r="AH119" s="160"/>
      <c r="AI119" s="160"/>
      <c r="AJ119" s="160"/>
      <c r="AK119" s="160"/>
      <c r="AL119" s="160"/>
      <c r="AM119" s="160"/>
      <c r="AN119" s="164"/>
      <c r="AO119" s="160"/>
      <c r="AP119" s="160" t="str">
        <f t="shared" si="10"/>
        <v>#N/A</v>
      </c>
      <c r="AQ119" s="160" t="str">
        <f t="shared" si="11"/>
        <v>#N/A</v>
      </c>
      <c r="AR119" s="160" t="str">
        <f t="shared" si="12"/>
        <v>#N/A</v>
      </c>
      <c r="AS119" s="160"/>
      <c r="AT119" s="160"/>
      <c r="AU119" s="160"/>
      <c r="AV119" s="160"/>
      <c r="AW119" s="160"/>
      <c r="AX119" s="160"/>
      <c r="AY119" s="160"/>
      <c r="AZ119" s="160"/>
      <c r="BA119" s="160"/>
      <c r="BB119" s="160"/>
      <c r="BC119" s="160"/>
      <c r="BD119" s="160"/>
      <c r="BE119" s="160"/>
      <c r="BF119" s="160"/>
      <c r="BG119" s="160"/>
      <c r="BH119" s="160"/>
      <c r="BI119" s="160"/>
      <c r="BJ119" s="160"/>
      <c r="BK119" s="160"/>
      <c r="BL119" s="160"/>
      <c r="BM119" s="160"/>
      <c r="BN119" s="160"/>
      <c r="BO119" s="160"/>
      <c r="BP119" s="160"/>
      <c r="BQ119" s="160"/>
      <c r="BR119" s="160"/>
      <c r="BS119" s="160"/>
      <c r="BT119" s="160"/>
      <c r="BU119" s="160"/>
      <c r="BV119" s="160"/>
      <c r="BW119" s="160"/>
      <c r="BX119" s="160"/>
      <c r="BY119" s="160"/>
      <c r="BZ119" s="160"/>
      <c r="CA119" s="160"/>
      <c r="CB119" s="160"/>
      <c r="CC119" s="160"/>
      <c r="CD119" s="160"/>
      <c r="CE119" s="160"/>
      <c r="CF119" s="160"/>
      <c r="CG119" s="160"/>
      <c r="CH119" s="160"/>
      <c r="CI119" s="160"/>
      <c r="CJ119" s="160"/>
      <c r="CK119" s="160"/>
      <c r="CL119" s="160"/>
    </row>
    <row r="120">
      <c r="A120" s="174" t="s">
        <v>360</v>
      </c>
      <c r="B120" s="11" t="s">
        <v>361</v>
      </c>
      <c r="C120" s="175" t="s">
        <v>63</v>
      </c>
      <c r="D120" s="176" t="str">
        <f>IFERROR(VLOOKUP(C120, PIC!A:B, 2, 0), "")</f>
        <v>Huyen Vo</v>
      </c>
      <c r="E120" s="11" t="s">
        <v>22</v>
      </c>
      <c r="F120" s="16" t="s">
        <v>849</v>
      </c>
      <c r="G120" s="16" t="s">
        <v>853</v>
      </c>
      <c r="H120" s="170">
        <f>IFERROR(
  MINIFS(ATTENDANCE_LOG!$F:$F,
         ATTENDANCE_LOG!$A:$A, C120,
         ATTENDANCE_LOG!$B:$B, E120),
"")</f>
        <v>45646.375</v>
      </c>
      <c r="I120" s="170">
        <f t="shared" si="2"/>
        <v>45646.375</v>
      </c>
      <c r="J120" s="11">
        <f>IFERROR(VLOOKUP(F120, LEVEL_HELPER!$A:$B, 2, 0), "")</f>
        <v>1</v>
      </c>
      <c r="K120" s="11">
        <f>IFERROR(VLOOKUP(G120, LEVEL_HELPER!$A:$B, 2, 0), "")</f>
        <v>1.5</v>
      </c>
      <c r="L120" s="171" t="s">
        <v>400</v>
      </c>
      <c r="M120" s="183" t="s">
        <v>149</v>
      </c>
      <c r="N120" s="11">
        <f t="array" ref="N120">IFERROR(
  INDEX($J$2:$J$531,
    MATCH(A120&amp;TEXT(I120,"yyyy-mm-dd"),
          $A$2:$A$531&amp;TEXT($H$2:$H$531,"yyyy-mm-dd"),
          0)),
"")</f>
        <v>1</v>
      </c>
      <c r="O120" s="160">
        <f t="shared" si="3"/>
        <v>1.5</v>
      </c>
      <c r="P120" s="160">
        <f t="shared" ref="P120:Q120" si="130">IF(N120="",0,IF(N120&lt;=2,1,IF(N120&lt;=4,2,IF(N120&lt;=5.5,3,4))))</f>
        <v>1</v>
      </c>
      <c r="Q120" s="160">
        <f t="shared" si="130"/>
        <v>1</v>
      </c>
      <c r="R120" s="160" t="str">
        <f t="shared" si="5"/>
        <v>Progress within level</v>
      </c>
      <c r="S120" s="160">
        <f t="shared" si="6"/>
        <v>1</v>
      </c>
      <c r="T120" s="177" t="s">
        <v>938</v>
      </c>
      <c r="U120" s="160">
        <f>COUNTIFS(sheet2!$A:$A,A120,sheet2!$E:$E,E120)</f>
        <v>1</v>
      </c>
      <c r="V120" s="160"/>
      <c r="W120" s="160"/>
      <c r="X120" s="160" t="str">
        <f t="shared" si="7"/>
        <v>#N/A</v>
      </c>
      <c r="Y120" s="160" t="str">
        <f t="shared" si="8"/>
        <v>#N/A</v>
      </c>
      <c r="Z120" s="160" t="str">
        <f t="shared" si="9"/>
        <v>#N/A</v>
      </c>
      <c r="AA120" s="160"/>
      <c r="AB120" s="160"/>
      <c r="AC120" s="160"/>
      <c r="AD120" s="160"/>
      <c r="AE120" s="160"/>
      <c r="AF120" s="160"/>
      <c r="AG120" s="160"/>
      <c r="AH120" s="160"/>
      <c r="AI120" s="160"/>
      <c r="AJ120" s="160"/>
      <c r="AK120" s="160"/>
      <c r="AL120" s="160"/>
      <c r="AM120" s="160"/>
      <c r="AN120" s="164"/>
      <c r="AO120" s="160"/>
      <c r="AP120" s="160" t="str">
        <f t="shared" si="10"/>
        <v>#N/A</v>
      </c>
      <c r="AQ120" s="160" t="str">
        <f t="shared" si="11"/>
        <v>#N/A</v>
      </c>
      <c r="AR120" s="160" t="str">
        <f t="shared" si="12"/>
        <v>#N/A</v>
      </c>
      <c r="AS120" s="160"/>
      <c r="AT120" s="160"/>
      <c r="AU120" s="160"/>
      <c r="AV120" s="160"/>
      <c r="AW120" s="160"/>
      <c r="AX120" s="160"/>
      <c r="AY120" s="160"/>
      <c r="AZ120" s="160"/>
      <c r="BA120" s="160"/>
      <c r="BB120" s="160"/>
      <c r="BC120" s="160"/>
      <c r="BD120" s="160"/>
      <c r="BE120" s="160"/>
      <c r="BF120" s="160"/>
      <c r="BG120" s="160"/>
      <c r="BH120" s="160"/>
      <c r="BI120" s="160"/>
      <c r="BJ120" s="160"/>
      <c r="BK120" s="160"/>
      <c r="BL120" s="160"/>
      <c r="BM120" s="160"/>
      <c r="BN120" s="160"/>
      <c r="BO120" s="160"/>
      <c r="BP120" s="160"/>
      <c r="BQ120" s="160"/>
      <c r="BR120" s="160"/>
      <c r="BS120" s="160"/>
      <c r="BT120" s="160"/>
      <c r="BU120" s="160"/>
      <c r="BV120" s="160"/>
      <c r="BW120" s="160"/>
      <c r="BX120" s="160"/>
      <c r="BY120" s="160"/>
      <c r="BZ120" s="160"/>
      <c r="CA120" s="160"/>
      <c r="CB120" s="160"/>
      <c r="CC120" s="160"/>
      <c r="CD120" s="160"/>
      <c r="CE120" s="160"/>
      <c r="CF120" s="160"/>
      <c r="CG120" s="160"/>
      <c r="CH120" s="160"/>
      <c r="CI120" s="160"/>
      <c r="CJ120" s="160"/>
      <c r="CK120" s="160"/>
      <c r="CL120" s="160"/>
    </row>
    <row r="121">
      <c r="A121" s="166" t="s">
        <v>371</v>
      </c>
      <c r="B121" s="167" t="s">
        <v>372</v>
      </c>
      <c r="C121" s="168" t="s">
        <v>64</v>
      </c>
      <c r="D121" s="169" t="str">
        <f>IFERROR(VLOOKUP(C121, PIC!A:B, 2, 0), "")</f>
        <v>Lanh Le</v>
      </c>
      <c r="E121" s="167" t="s">
        <v>22</v>
      </c>
      <c r="F121" s="16" t="s">
        <v>849</v>
      </c>
      <c r="G121" s="16" t="s">
        <v>846</v>
      </c>
      <c r="H121" s="170">
        <f>IFERROR(
  MINIFS(ATTENDANCE_LOG!$F:$F,
         ATTENDANCE_LOG!$A:$A, C121,
         ATTENDANCE_LOG!$B:$B, E121),
"")</f>
        <v>45636.45833</v>
      </c>
      <c r="I121" s="170">
        <f t="shared" si="2"/>
        <v>45636.45833</v>
      </c>
      <c r="J121" s="11">
        <f>IFERROR(VLOOKUP(F121, LEVEL_HELPER!$A:$B, 2, 0), "")</f>
        <v>1</v>
      </c>
      <c r="K121" s="11">
        <f>IFERROR(VLOOKUP(G121, LEVEL_HELPER!$A:$B, 2, 0), "")</f>
        <v>3</v>
      </c>
      <c r="L121" s="171" t="s">
        <v>400</v>
      </c>
      <c r="M121" s="171" t="s">
        <v>152</v>
      </c>
      <c r="N121" s="11">
        <f t="array" ref="N121">IFERROR(
  INDEX($J$2:$J$531,
    MATCH(A121&amp;TEXT(I121,"yyyy-mm-dd"),
          $A$2:$A$531&amp;TEXT($H$2:$H$531,"yyyy-mm-dd"),
          0)),
"")</f>
        <v>1</v>
      </c>
      <c r="O121" s="160">
        <f t="shared" si="3"/>
        <v>3.5</v>
      </c>
      <c r="P121" s="160">
        <f t="shared" ref="P121:Q121" si="131">IF(N121="",0,IF(N121&lt;=2,1,IF(N121&lt;=4,2,IF(N121&lt;=5.5,3,4))))</f>
        <v>1</v>
      </c>
      <c r="Q121" s="160">
        <f t="shared" si="131"/>
        <v>2</v>
      </c>
      <c r="R121" s="160" t="str">
        <f t="shared" si="5"/>
        <v>Lv1 → Lv2</v>
      </c>
      <c r="S121" s="160">
        <f t="shared" si="6"/>
        <v>1</v>
      </c>
      <c r="T121" s="172" t="s">
        <v>939</v>
      </c>
      <c r="U121" s="160">
        <f>COUNTIFS(sheet2!$A:$A,A121,sheet2!$E:$E,E121)</f>
        <v>1</v>
      </c>
      <c r="V121" s="160"/>
      <c r="W121" s="160"/>
      <c r="X121" s="160" t="str">
        <f t="shared" si="7"/>
        <v>#N/A</v>
      </c>
      <c r="Y121" s="160" t="str">
        <f t="shared" si="8"/>
        <v>#N/A</v>
      </c>
      <c r="Z121" s="160" t="str">
        <f t="shared" si="9"/>
        <v>#N/A</v>
      </c>
      <c r="AA121" s="160"/>
      <c r="AB121" s="160"/>
      <c r="AC121" s="160"/>
      <c r="AD121" s="160"/>
      <c r="AE121" s="160"/>
      <c r="AF121" s="160"/>
      <c r="AG121" s="160"/>
      <c r="AH121" s="160"/>
      <c r="AI121" s="160"/>
      <c r="AJ121" s="160"/>
      <c r="AK121" s="160"/>
      <c r="AL121" s="160"/>
      <c r="AM121" s="160"/>
      <c r="AN121" s="164"/>
      <c r="AO121" s="160"/>
      <c r="AP121" s="160" t="str">
        <f t="shared" si="10"/>
        <v>#N/A</v>
      </c>
      <c r="AQ121" s="160" t="str">
        <f t="shared" si="11"/>
        <v>#N/A</v>
      </c>
      <c r="AR121" s="160" t="str">
        <f t="shared" si="12"/>
        <v>#N/A</v>
      </c>
      <c r="AS121" s="160"/>
      <c r="AT121" s="160"/>
      <c r="AU121" s="160"/>
      <c r="AV121" s="160"/>
      <c r="AW121" s="160"/>
      <c r="AX121" s="160"/>
      <c r="AY121" s="160"/>
      <c r="AZ121" s="160"/>
      <c r="BA121" s="160"/>
      <c r="BB121" s="160"/>
      <c r="BC121" s="160"/>
      <c r="BD121" s="160"/>
      <c r="BE121" s="160"/>
      <c r="BF121" s="160"/>
      <c r="BG121" s="160"/>
      <c r="BH121" s="160"/>
      <c r="BI121" s="160"/>
      <c r="BJ121" s="160"/>
      <c r="BK121" s="160"/>
      <c r="BL121" s="160"/>
      <c r="BM121" s="160"/>
      <c r="BN121" s="160"/>
      <c r="BO121" s="160"/>
      <c r="BP121" s="160"/>
      <c r="BQ121" s="160"/>
      <c r="BR121" s="160"/>
      <c r="BS121" s="160"/>
      <c r="BT121" s="160"/>
      <c r="BU121" s="160"/>
      <c r="BV121" s="160"/>
      <c r="BW121" s="160"/>
      <c r="BX121" s="160"/>
      <c r="BY121" s="160"/>
      <c r="BZ121" s="160"/>
      <c r="CA121" s="160"/>
      <c r="CB121" s="160"/>
      <c r="CC121" s="160"/>
      <c r="CD121" s="160"/>
      <c r="CE121" s="160"/>
      <c r="CF121" s="160"/>
      <c r="CG121" s="160"/>
      <c r="CH121" s="160"/>
      <c r="CI121" s="160"/>
      <c r="CJ121" s="160"/>
      <c r="CK121" s="160"/>
      <c r="CL121" s="160"/>
    </row>
    <row r="122">
      <c r="A122" s="174" t="s">
        <v>366</v>
      </c>
      <c r="B122" s="11" t="s">
        <v>367</v>
      </c>
      <c r="C122" s="175" t="s">
        <v>64</v>
      </c>
      <c r="D122" s="176" t="str">
        <f>IFERROR(VLOOKUP(C122, PIC!A:B, 2, 0), "")</f>
        <v>Lanh Le</v>
      </c>
      <c r="E122" s="11" t="s">
        <v>22</v>
      </c>
      <c r="F122" s="16" t="s">
        <v>849</v>
      </c>
      <c r="G122" s="16" t="s">
        <v>853</v>
      </c>
      <c r="H122" s="170">
        <f>IFERROR(
  MINIFS(ATTENDANCE_LOG!$F:$F,
         ATTENDANCE_LOG!$A:$A, C122,
         ATTENDANCE_LOG!$B:$B, E122),
"")</f>
        <v>45636.45833</v>
      </c>
      <c r="I122" s="170">
        <f t="shared" si="2"/>
        <v>45636.45833</v>
      </c>
      <c r="J122" s="11">
        <f>IFERROR(VLOOKUP(F122, LEVEL_HELPER!$A:$B, 2, 0), "")</f>
        <v>1</v>
      </c>
      <c r="K122" s="11">
        <f>IFERROR(VLOOKUP(G122, LEVEL_HELPER!$A:$B, 2, 0), "")</f>
        <v>1.5</v>
      </c>
      <c r="L122" s="171" t="s">
        <v>400</v>
      </c>
      <c r="M122" s="171" t="s">
        <v>152</v>
      </c>
      <c r="N122" s="11">
        <f t="array" ref="N122">IFERROR(
  INDEX($J$2:$J$531,
    MATCH(A122&amp;TEXT(I122,"yyyy-mm-dd"),
          $A$2:$A$531&amp;TEXT($H$2:$H$531,"yyyy-mm-dd"),
          0)),
"")</f>
        <v>1</v>
      </c>
      <c r="O122" s="160">
        <f t="shared" si="3"/>
        <v>3</v>
      </c>
      <c r="P122" s="160">
        <f t="shared" ref="P122:Q122" si="132">IF(N122="",0,IF(N122&lt;=2,1,IF(N122&lt;=4,2,IF(N122&lt;=5.5,3,4))))</f>
        <v>1</v>
      </c>
      <c r="Q122" s="160">
        <f t="shared" si="132"/>
        <v>2</v>
      </c>
      <c r="R122" s="160" t="str">
        <f t="shared" si="5"/>
        <v>Lv1 → Lv2</v>
      </c>
      <c r="S122" s="160">
        <f t="shared" si="6"/>
        <v>1</v>
      </c>
      <c r="T122" s="177" t="s">
        <v>940</v>
      </c>
      <c r="U122" s="160">
        <f>COUNTIFS(sheet2!$A:$A,A122,sheet2!$E:$E,E122)</f>
        <v>1</v>
      </c>
      <c r="V122" s="160"/>
      <c r="W122" s="160"/>
      <c r="X122" s="160" t="str">
        <f t="shared" si="7"/>
        <v>#N/A</v>
      </c>
      <c r="Y122" s="160" t="str">
        <f t="shared" si="8"/>
        <v>#N/A</v>
      </c>
      <c r="Z122" s="160" t="str">
        <f t="shared" si="9"/>
        <v>#N/A</v>
      </c>
      <c r="AA122" s="160"/>
      <c r="AB122" s="160"/>
      <c r="AC122" s="160"/>
      <c r="AD122" s="160"/>
      <c r="AE122" s="160"/>
      <c r="AF122" s="160"/>
      <c r="AG122" s="160"/>
      <c r="AH122" s="160"/>
      <c r="AI122" s="160"/>
      <c r="AJ122" s="160"/>
      <c r="AK122" s="160"/>
      <c r="AL122" s="160"/>
      <c r="AM122" s="160"/>
      <c r="AN122" s="164"/>
      <c r="AO122" s="160"/>
      <c r="AP122" s="160" t="str">
        <f t="shared" si="10"/>
        <v>#N/A</v>
      </c>
      <c r="AQ122" s="160" t="str">
        <f t="shared" si="11"/>
        <v>#N/A</v>
      </c>
      <c r="AR122" s="160" t="str">
        <f t="shared" si="12"/>
        <v>#N/A</v>
      </c>
      <c r="AS122" s="160"/>
      <c r="AT122" s="160"/>
      <c r="AU122" s="160"/>
      <c r="AV122" s="160"/>
      <c r="AW122" s="160"/>
      <c r="AX122" s="160"/>
      <c r="AY122" s="160"/>
      <c r="AZ122" s="160"/>
      <c r="BA122" s="160"/>
      <c r="BB122" s="160"/>
      <c r="BC122" s="160"/>
      <c r="BD122" s="160"/>
      <c r="BE122" s="160"/>
      <c r="BF122" s="160"/>
      <c r="BG122" s="160"/>
      <c r="BH122" s="160"/>
      <c r="BI122" s="160"/>
      <c r="BJ122" s="160"/>
      <c r="BK122" s="160"/>
      <c r="BL122" s="160"/>
      <c r="BM122" s="160"/>
      <c r="BN122" s="160"/>
      <c r="BO122" s="160"/>
      <c r="BP122" s="160"/>
      <c r="BQ122" s="160"/>
      <c r="BR122" s="160"/>
      <c r="BS122" s="160"/>
      <c r="BT122" s="160"/>
      <c r="BU122" s="160"/>
      <c r="BV122" s="160"/>
      <c r="BW122" s="160"/>
      <c r="BX122" s="160"/>
      <c r="BY122" s="160"/>
      <c r="BZ122" s="160"/>
      <c r="CA122" s="160"/>
      <c r="CB122" s="160"/>
      <c r="CC122" s="160"/>
      <c r="CD122" s="160"/>
      <c r="CE122" s="160"/>
      <c r="CF122" s="160"/>
      <c r="CG122" s="160"/>
      <c r="CH122" s="160"/>
      <c r="CI122" s="160"/>
      <c r="CJ122" s="160"/>
      <c r="CK122" s="160"/>
      <c r="CL122" s="160"/>
    </row>
    <row r="123">
      <c r="A123" s="174" t="s">
        <v>368</v>
      </c>
      <c r="B123" s="11" t="s">
        <v>369</v>
      </c>
      <c r="C123" s="175" t="s">
        <v>64</v>
      </c>
      <c r="D123" s="176" t="str">
        <f>IFERROR(VLOOKUP(C123, PIC!A:B, 2, 0), "")</f>
        <v>Lanh Le</v>
      </c>
      <c r="E123" s="11" t="s">
        <v>22</v>
      </c>
      <c r="F123" s="16" t="s">
        <v>845</v>
      </c>
      <c r="G123" s="16" t="s">
        <v>846</v>
      </c>
      <c r="H123" s="170">
        <f>IFERROR(
  MINIFS(ATTENDANCE_LOG!$F:$F,
         ATTENDANCE_LOG!$A:$A, C123,
         ATTENDANCE_LOG!$B:$B, E123),
"")</f>
        <v>45636.45833</v>
      </c>
      <c r="I123" s="170">
        <f t="shared" si="2"/>
        <v>45636.45833</v>
      </c>
      <c r="J123" s="11">
        <f>IFERROR(VLOOKUP(F123, LEVEL_HELPER!$A:$B, 2, 0), "")</f>
        <v>2.5</v>
      </c>
      <c r="K123" s="11">
        <f>IFERROR(VLOOKUP(G123, LEVEL_HELPER!$A:$B, 2, 0), "")</f>
        <v>3</v>
      </c>
      <c r="L123" s="171" t="s">
        <v>400</v>
      </c>
      <c r="M123" s="171" t="s">
        <v>152</v>
      </c>
      <c r="N123" s="11">
        <f t="array" ref="N123">IFERROR(
  INDEX($J$2:$J$531,
    MATCH(A123&amp;TEXT(I123,"yyyy-mm-dd"),
          $A$2:$A$531&amp;TEXT($H$2:$H$531,"yyyy-mm-dd"),
          0)),
"")</f>
        <v>2.5</v>
      </c>
      <c r="O123" s="160">
        <f t="shared" si="3"/>
        <v>3.5</v>
      </c>
      <c r="P123" s="160">
        <f t="shared" ref="P123:Q123" si="133">IF(N123="",0,IF(N123&lt;=2,1,IF(N123&lt;=4,2,IF(N123&lt;=5.5,3,4))))</f>
        <v>2</v>
      </c>
      <c r="Q123" s="160">
        <f t="shared" si="133"/>
        <v>2</v>
      </c>
      <c r="R123" s="160" t="str">
        <f t="shared" si="5"/>
        <v>Progress within level</v>
      </c>
      <c r="S123" s="160">
        <f t="shared" si="6"/>
        <v>1</v>
      </c>
      <c r="T123" s="177" t="s">
        <v>941</v>
      </c>
      <c r="U123" s="160">
        <f>COUNTIFS(sheet2!$A:$A,A123,sheet2!$E:$E,E123)</f>
        <v>1</v>
      </c>
      <c r="V123" s="160"/>
      <c r="W123" s="160"/>
      <c r="X123" s="160" t="str">
        <f t="shared" si="7"/>
        <v>#N/A</v>
      </c>
      <c r="Y123" s="160" t="str">
        <f t="shared" si="8"/>
        <v>#N/A</v>
      </c>
      <c r="Z123" s="160" t="str">
        <f t="shared" si="9"/>
        <v>#N/A</v>
      </c>
      <c r="AA123" s="160"/>
      <c r="AB123" s="160"/>
      <c r="AC123" s="160"/>
      <c r="AD123" s="160"/>
      <c r="AE123" s="160"/>
      <c r="AF123" s="160"/>
      <c r="AG123" s="160"/>
      <c r="AH123" s="160"/>
      <c r="AI123" s="160"/>
      <c r="AJ123" s="160"/>
      <c r="AK123" s="160"/>
      <c r="AL123" s="160"/>
      <c r="AM123" s="160"/>
      <c r="AN123" s="164"/>
      <c r="AO123" s="160"/>
      <c r="AP123" s="160" t="str">
        <f t="shared" si="10"/>
        <v>#N/A</v>
      </c>
      <c r="AQ123" s="160" t="str">
        <f t="shared" si="11"/>
        <v>#N/A</v>
      </c>
      <c r="AR123" s="160" t="str">
        <f t="shared" si="12"/>
        <v>#N/A</v>
      </c>
      <c r="AS123" s="160"/>
      <c r="AT123" s="160"/>
      <c r="AU123" s="160"/>
      <c r="AV123" s="160"/>
      <c r="AW123" s="160"/>
      <c r="AX123" s="160"/>
      <c r="AY123" s="160"/>
      <c r="AZ123" s="160"/>
      <c r="BA123" s="160"/>
      <c r="BB123" s="160"/>
      <c r="BC123" s="160"/>
      <c r="BD123" s="160"/>
      <c r="BE123" s="160"/>
      <c r="BF123" s="160"/>
      <c r="BG123" s="160"/>
      <c r="BH123" s="160"/>
      <c r="BI123" s="160"/>
      <c r="BJ123" s="160"/>
      <c r="BK123" s="160"/>
      <c r="BL123" s="160"/>
      <c r="BM123" s="160"/>
      <c r="BN123" s="160"/>
      <c r="BO123" s="160"/>
      <c r="BP123" s="160"/>
      <c r="BQ123" s="160"/>
      <c r="BR123" s="160"/>
      <c r="BS123" s="160"/>
      <c r="BT123" s="160"/>
      <c r="BU123" s="160"/>
      <c r="BV123" s="160"/>
      <c r="BW123" s="160"/>
      <c r="BX123" s="160"/>
      <c r="BY123" s="160"/>
      <c r="BZ123" s="160"/>
      <c r="CA123" s="160"/>
      <c r="CB123" s="160"/>
      <c r="CC123" s="160"/>
      <c r="CD123" s="160"/>
      <c r="CE123" s="160"/>
      <c r="CF123" s="160"/>
      <c r="CG123" s="160"/>
      <c r="CH123" s="160"/>
      <c r="CI123" s="160"/>
      <c r="CJ123" s="160"/>
      <c r="CK123" s="160"/>
      <c r="CL123" s="160"/>
    </row>
    <row r="124">
      <c r="A124" s="174" t="s">
        <v>380</v>
      </c>
      <c r="B124" s="11" t="s">
        <v>381</v>
      </c>
      <c r="C124" s="175" t="s">
        <v>64</v>
      </c>
      <c r="D124" s="176" t="str">
        <f>IFERROR(VLOOKUP(C124, PIC!A:B, 2, 0), "")</f>
        <v>Lanh Le</v>
      </c>
      <c r="E124" s="11" t="s">
        <v>22</v>
      </c>
      <c r="F124" s="16" t="s">
        <v>849</v>
      </c>
      <c r="G124" s="16" t="s">
        <v>853</v>
      </c>
      <c r="H124" s="170">
        <f>IFERROR(
  MINIFS(ATTENDANCE_LOG!$F:$F,
         ATTENDANCE_LOG!$A:$A, C124,
         ATTENDANCE_LOG!$B:$B, E124),
"")</f>
        <v>45636.45833</v>
      </c>
      <c r="I124" s="170">
        <f t="shared" si="2"/>
        <v>45636.45833</v>
      </c>
      <c r="J124" s="11">
        <f>IFERROR(VLOOKUP(F124, LEVEL_HELPER!$A:$B, 2, 0), "")</f>
        <v>1</v>
      </c>
      <c r="K124" s="11">
        <f>IFERROR(VLOOKUP(G124, LEVEL_HELPER!$A:$B, 2, 0), "")</f>
        <v>1.5</v>
      </c>
      <c r="L124" s="171" t="s">
        <v>400</v>
      </c>
      <c r="M124" s="171" t="s">
        <v>152</v>
      </c>
      <c r="N124" s="11">
        <f t="array" ref="N124">IFERROR(
  INDEX($J$2:$J$531,
    MATCH(A124&amp;TEXT(I124,"yyyy-mm-dd"),
          $A$2:$A$531&amp;TEXT($H$2:$H$531,"yyyy-mm-dd"),
          0)),
"")</f>
        <v>1</v>
      </c>
      <c r="O124" s="160">
        <f t="shared" si="3"/>
        <v>1.5</v>
      </c>
      <c r="P124" s="160">
        <f t="shared" ref="P124:Q124" si="134">IF(N124="",0,IF(N124&lt;=2,1,IF(N124&lt;=4,2,IF(N124&lt;=5.5,3,4))))</f>
        <v>1</v>
      </c>
      <c r="Q124" s="160">
        <f t="shared" si="134"/>
        <v>1</v>
      </c>
      <c r="R124" s="160" t="str">
        <f t="shared" si="5"/>
        <v>Progress within level</v>
      </c>
      <c r="S124" s="160">
        <f t="shared" si="6"/>
        <v>1</v>
      </c>
      <c r="T124" s="177" t="s">
        <v>942</v>
      </c>
      <c r="U124" s="160">
        <f>COUNTIFS(sheet2!$A:$A,A124,sheet2!$E:$E,E124)</f>
        <v>1</v>
      </c>
      <c r="V124" s="160"/>
      <c r="W124" s="160"/>
      <c r="X124" s="160" t="str">
        <f t="shared" si="7"/>
        <v>#N/A</v>
      </c>
      <c r="Y124" s="160" t="str">
        <f t="shared" si="8"/>
        <v>#N/A</v>
      </c>
      <c r="Z124" s="160" t="str">
        <f t="shared" si="9"/>
        <v>#N/A</v>
      </c>
      <c r="AA124" s="160"/>
      <c r="AB124" s="160"/>
      <c r="AC124" s="160"/>
      <c r="AD124" s="160"/>
      <c r="AE124" s="160"/>
      <c r="AF124" s="160"/>
      <c r="AG124" s="160"/>
      <c r="AH124" s="160"/>
      <c r="AI124" s="160"/>
      <c r="AJ124" s="160"/>
      <c r="AK124" s="160"/>
      <c r="AL124" s="160"/>
      <c r="AM124" s="160"/>
      <c r="AN124" s="164"/>
      <c r="AO124" s="160"/>
      <c r="AP124" s="160" t="str">
        <f t="shared" si="10"/>
        <v>#N/A</v>
      </c>
      <c r="AQ124" s="160" t="str">
        <f t="shared" si="11"/>
        <v>#N/A</v>
      </c>
      <c r="AR124" s="160" t="str">
        <f t="shared" si="12"/>
        <v>#N/A</v>
      </c>
      <c r="AS124" s="160"/>
      <c r="AT124" s="160"/>
      <c r="AU124" s="160"/>
      <c r="AV124" s="160"/>
      <c r="AW124" s="160"/>
      <c r="AX124" s="160"/>
      <c r="AY124" s="160"/>
      <c r="AZ124" s="160"/>
      <c r="BA124" s="160"/>
      <c r="BB124" s="160"/>
      <c r="BC124" s="160"/>
      <c r="BD124" s="160"/>
      <c r="BE124" s="160"/>
      <c r="BF124" s="160"/>
      <c r="BG124" s="160"/>
      <c r="BH124" s="160"/>
      <c r="BI124" s="160"/>
      <c r="BJ124" s="160"/>
      <c r="BK124" s="160"/>
      <c r="BL124" s="160"/>
      <c r="BM124" s="160"/>
      <c r="BN124" s="160"/>
      <c r="BO124" s="160"/>
      <c r="BP124" s="160"/>
      <c r="BQ124" s="160"/>
      <c r="BR124" s="160"/>
      <c r="BS124" s="160"/>
      <c r="BT124" s="160"/>
      <c r="BU124" s="160"/>
      <c r="BV124" s="160"/>
      <c r="BW124" s="160"/>
      <c r="BX124" s="160"/>
      <c r="BY124" s="160"/>
      <c r="BZ124" s="160"/>
      <c r="CA124" s="160"/>
      <c r="CB124" s="160"/>
      <c r="CC124" s="160"/>
      <c r="CD124" s="160"/>
      <c r="CE124" s="160"/>
      <c r="CF124" s="160"/>
      <c r="CG124" s="160"/>
      <c r="CH124" s="160"/>
      <c r="CI124" s="160"/>
      <c r="CJ124" s="160"/>
      <c r="CK124" s="160"/>
      <c r="CL124" s="160"/>
    </row>
    <row r="125">
      <c r="A125" s="174" t="s">
        <v>376</v>
      </c>
      <c r="B125" s="11" t="s">
        <v>377</v>
      </c>
      <c r="C125" s="175" t="s">
        <v>64</v>
      </c>
      <c r="D125" s="176" t="str">
        <f>IFERROR(VLOOKUP(C125, PIC!A:B, 2, 0), "")</f>
        <v>Lanh Le</v>
      </c>
      <c r="E125" s="11" t="s">
        <v>22</v>
      </c>
      <c r="F125" s="16" t="s">
        <v>845</v>
      </c>
      <c r="G125" s="16" t="s">
        <v>861</v>
      </c>
      <c r="H125" s="170">
        <f>IFERROR(
  MINIFS(ATTENDANCE_LOG!$F:$F,
         ATTENDANCE_LOG!$A:$A, C125,
         ATTENDANCE_LOG!$B:$B, E125),
"")</f>
        <v>45636.45833</v>
      </c>
      <c r="I125" s="170">
        <f t="shared" si="2"/>
        <v>45636.45833</v>
      </c>
      <c r="J125" s="11">
        <f>IFERROR(VLOOKUP(F125, LEVEL_HELPER!$A:$B, 2, 0), "")</f>
        <v>2.5</v>
      </c>
      <c r="K125" s="11">
        <f>IFERROR(VLOOKUP(G125, LEVEL_HELPER!$A:$B, 2, 0), "")</f>
        <v>3.5</v>
      </c>
      <c r="L125" s="171" t="s">
        <v>400</v>
      </c>
      <c r="M125" s="171" t="s">
        <v>152</v>
      </c>
      <c r="N125" s="11">
        <f t="array" ref="N125">IFERROR(
  INDEX($J$2:$J$531,
    MATCH(A125&amp;TEXT(I125,"yyyy-mm-dd"),
          $A$2:$A$531&amp;TEXT($H$2:$H$531,"yyyy-mm-dd"),
          0)),
"")</f>
        <v>2.5</v>
      </c>
      <c r="O125" s="160">
        <f t="shared" si="3"/>
        <v>3.5</v>
      </c>
      <c r="P125" s="160">
        <f t="shared" ref="P125:Q125" si="135">IF(N125="",0,IF(N125&lt;=2,1,IF(N125&lt;=4,2,IF(N125&lt;=5.5,3,4))))</f>
        <v>2</v>
      </c>
      <c r="Q125" s="160">
        <f t="shared" si="135"/>
        <v>2</v>
      </c>
      <c r="R125" s="160" t="str">
        <f t="shared" si="5"/>
        <v>Progress within level</v>
      </c>
      <c r="S125" s="160">
        <f t="shared" si="6"/>
        <v>1</v>
      </c>
      <c r="T125" s="177" t="s">
        <v>943</v>
      </c>
      <c r="U125" s="160">
        <f>COUNTIFS(sheet2!$A:$A,A125,sheet2!$E:$E,E125)</f>
        <v>1</v>
      </c>
      <c r="V125" s="160"/>
      <c r="W125" s="160"/>
      <c r="X125" s="160" t="str">
        <f t="shared" si="7"/>
        <v>#N/A</v>
      </c>
      <c r="Y125" s="160" t="str">
        <f t="shared" si="8"/>
        <v>#N/A</v>
      </c>
      <c r="Z125" s="160" t="str">
        <f t="shared" si="9"/>
        <v>#N/A</v>
      </c>
      <c r="AA125" s="160"/>
      <c r="AB125" s="160"/>
      <c r="AC125" s="160"/>
      <c r="AD125" s="160"/>
      <c r="AE125" s="160"/>
      <c r="AF125" s="160"/>
      <c r="AG125" s="160"/>
      <c r="AH125" s="160"/>
      <c r="AI125" s="160"/>
      <c r="AJ125" s="160"/>
      <c r="AK125" s="160"/>
      <c r="AL125" s="160"/>
      <c r="AM125" s="160"/>
      <c r="AN125" s="164"/>
      <c r="AO125" s="160"/>
      <c r="AP125" s="160" t="str">
        <f t="shared" si="10"/>
        <v>#N/A</v>
      </c>
      <c r="AQ125" s="160" t="str">
        <f t="shared" si="11"/>
        <v>#N/A</v>
      </c>
      <c r="AR125" s="160" t="str">
        <f t="shared" si="12"/>
        <v>#N/A</v>
      </c>
      <c r="AS125" s="160"/>
      <c r="AT125" s="160"/>
      <c r="AU125" s="160"/>
      <c r="AV125" s="160"/>
      <c r="AW125" s="160"/>
      <c r="AX125" s="160"/>
      <c r="AY125" s="160"/>
      <c r="AZ125" s="160"/>
      <c r="BA125" s="160"/>
      <c r="BB125" s="160"/>
      <c r="BC125" s="160"/>
      <c r="BD125" s="160"/>
      <c r="BE125" s="160"/>
      <c r="BF125" s="160"/>
      <c r="BG125" s="160"/>
      <c r="BH125" s="160"/>
      <c r="BI125" s="160"/>
      <c r="BJ125" s="160"/>
      <c r="BK125" s="160"/>
      <c r="BL125" s="160"/>
      <c r="BM125" s="160"/>
      <c r="BN125" s="160"/>
      <c r="BO125" s="160"/>
      <c r="BP125" s="160"/>
      <c r="BQ125" s="160"/>
      <c r="BR125" s="160"/>
      <c r="BS125" s="160"/>
      <c r="BT125" s="160"/>
      <c r="BU125" s="160"/>
      <c r="BV125" s="160"/>
      <c r="BW125" s="160"/>
      <c r="BX125" s="160"/>
      <c r="BY125" s="160"/>
      <c r="BZ125" s="160"/>
      <c r="CA125" s="160"/>
      <c r="CB125" s="160"/>
      <c r="CC125" s="160"/>
      <c r="CD125" s="160"/>
      <c r="CE125" s="160"/>
      <c r="CF125" s="160"/>
      <c r="CG125" s="160"/>
      <c r="CH125" s="160"/>
      <c r="CI125" s="160"/>
      <c r="CJ125" s="160"/>
      <c r="CK125" s="160"/>
      <c r="CL125" s="160"/>
    </row>
    <row r="126">
      <c r="A126" s="174" t="s">
        <v>378</v>
      </c>
      <c r="B126" s="11" t="s">
        <v>379</v>
      </c>
      <c r="C126" s="175" t="s">
        <v>64</v>
      </c>
      <c r="D126" s="176" t="str">
        <f>IFERROR(VLOOKUP(C126, PIC!A:B, 2, 0), "")</f>
        <v>Lanh Le</v>
      </c>
      <c r="E126" s="11" t="s">
        <v>22</v>
      </c>
      <c r="F126" s="16" t="s">
        <v>849</v>
      </c>
      <c r="G126" s="16" t="s">
        <v>861</v>
      </c>
      <c r="H126" s="170">
        <f>IFERROR(
  MINIFS(ATTENDANCE_LOG!$F:$F,
         ATTENDANCE_LOG!$A:$A, C126,
         ATTENDANCE_LOG!$B:$B, E126),
"")</f>
        <v>45636.45833</v>
      </c>
      <c r="I126" s="170">
        <f t="shared" si="2"/>
        <v>45636.45833</v>
      </c>
      <c r="J126" s="11">
        <f>IFERROR(VLOOKUP(F126, LEVEL_HELPER!$A:$B, 2, 0), "")</f>
        <v>1</v>
      </c>
      <c r="K126" s="11">
        <f>IFERROR(VLOOKUP(G126, LEVEL_HELPER!$A:$B, 2, 0), "")</f>
        <v>3.5</v>
      </c>
      <c r="L126" s="171" t="s">
        <v>847</v>
      </c>
      <c r="M126" s="171" t="s">
        <v>150</v>
      </c>
      <c r="N126" s="11">
        <f t="array" ref="N126">IFERROR(
  INDEX($J$2:$J$531,
    MATCH(A126&amp;TEXT(I126,"yyyy-mm-dd"),
          $A$2:$A$531&amp;TEXT($H$2:$H$531,"yyyy-mm-dd"),
          0)),
"")</f>
        <v>1</v>
      </c>
      <c r="O126" s="160">
        <f t="shared" si="3"/>
        <v>5</v>
      </c>
      <c r="P126" s="160">
        <f t="shared" ref="P126:Q126" si="136">IF(N126="",0,IF(N126&lt;=2,1,IF(N126&lt;=4,2,IF(N126&lt;=5.5,3,4))))</f>
        <v>1</v>
      </c>
      <c r="Q126" s="160">
        <f t="shared" si="136"/>
        <v>3</v>
      </c>
      <c r="R126" s="160" t="str">
        <f t="shared" si="5"/>
        <v>Lv1 → Lv3 (multi)</v>
      </c>
      <c r="S126" s="160">
        <f t="shared" si="6"/>
        <v>1</v>
      </c>
      <c r="T126" s="177" t="s">
        <v>944</v>
      </c>
      <c r="U126" s="160">
        <f>COUNTIFS(sheet2!$A:$A,A126,sheet2!$E:$E,E126)</f>
        <v>1</v>
      </c>
      <c r="V126" s="160"/>
      <c r="W126" s="160"/>
      <c r="X126" s="160" t="str">
        <f t="shared" si="7"/>
        <v>#N/A</v>
      </c>
      <c r="Y126" s="160" t="str">
        <f t="shared" si="8"/>
        <v>#N/A</v>
      </c>
      <c r="Z126" s="160" t="str">
        <f t="shared" si="9"/>
        <v>#N/A</v>
      </c>
      <c r="AA126" s="160"/>
      <c r="AB126" s="160"/>
      <c r="AC126" s="160"/>
      <c r="AD126" s="160"/>
      <c r="AE126" s="160"/>
      <c r="AF126" s="160"/>
      <c r="AG126" s="160"/>
      <c r="AH126" s="160"/>
      <c r="AI126" s="160"/>
      <c r="AJ126" s="160"/>
      <c r="AK126" s="160"/>
      <c r="AL126" s="160"/>
      <c r="AM126" s="160"/>
      <c r="AN126" s="164"/>
      <c r="AO126" s="160"/>
      <c r="AP126" s="160" t="str">
        <f t="shared" si="10"/>
        <v>#N/A</v>
      </c>
      <c r="AQ126" s="160" t="str">
        <f t="shared" si="11"/>
        <v>#N/A</v>
      </c>
      <c r="AR126" s="160" t="str">
        <f t="shared" si="12"/>
        <v>#N/A</v>
      </c>
      <c r="AS126" s="160"/>
      <c r="AT126" s="160"/>
      <c r="AU126" s="160"/>
      <c r="AV126" s="160"/>
      <c r="AW126" s="160"/>
      <c r="AX126" s="160"/>
      <c r="AY126" s="160"/>
      <c r="AZ126" s="160"/>
      <c r="BA126" s="160"/>
      <c r="BB126" s="160"/>
      <c r="BC126" s="160"/>
      <c r="BD126" s="160"/>
      <c r="BE126" s="160"/>
      <c r="BF126" s="160"/>
      <c r="BG126" s="160"/>
      <c r="BH126" s="160"/>
      <c r="BI126" s="160"/>
      <c r="BJ126" s="160"/>
      <c r="BK126" s="160"/>
      <c r="BL126" s="160"/>
      <c r="BM126" s="160"/>
      <c r="BN126" s="160"/>
      <c r="BO126" s="160"/>
      <c r="BP126" s="160"/>
      <c r="BQ126" s="160"/>
      <c r="BR126" s="160"/>
      <c r="BS126" s="160"/>
      <c r="BT126" s="160"/>
      <c r="BU126" s="160"/>
      <c r="BV126" s="160"/>
      <c r="BW126" s="160"/>
      <c r="BX126" s="160"/>
      <c r="BY126" s="160"/>
      <c r="BZ126" s="160"/>
      <c r="CA126" s="160"/>
      <c r="CB126" s="160"/>
      <c r="CC126" s="160"/>
      <c r="CD126" s="160"/>
      <c r="CE126" s="160"/>
      <c r="CF126" s="160"/>
      <c r="CG126" s="160"/>
      <c r="CH126" s="160"/>
      <c r="CI126" s="160"/>
      <c r="CJ126" s="160"/>
      <c r="CK126" s="160"/>
      <c r="CL126" s="160"/>
    </row>
    <row r="127">
      <c r="A127" s="166" t="s">
        <v>371</v>
      </c>
      <c r="B127" s="167" t="s">
        <v>372</v>
      </c>
      <c r="C127" s="168" t="s">
        <v>64</v>
      </c>
      <c r="D127" s="169" t="str">
        <f>IFERROR(VLOOKUP(C127, PIC!A:B, 2, 0), "")</f>
        <v>Lanh Le</v>
      </c>
      <c r="E127" s="167" t="s">
        <v>23</v>
      </c>
      <c r="F127" s="16" t="s">
        <v>846</v>
      </c>
      <c r="G127" s="16" t="s">
        <v>861</v>
      </c>
      <c r="H127" s="170">
        <f>IFERROR(
  MINIFS(ATTENDANCE_LOG!$F:$F,
         ATTENDANCE_LOG!$A:$A, C127,
         ATTENDANCE_LOG!$B:$B, E127),
"")</f>
        <v>45841.375</v>
      </c>
      <c r="I127" s="170">
        <f t="shared" si="2"/>
        <v>45636.45833</v>
      </c>
      <c r="J127" s="11">
        <f>IFERROR(VLOOKUP(F127, LEVEL_HELPER!$A:$B, 2, 0), "")</f>
        <v>3</v>
      </c>
      <c r="K127" s="11">
        <f>IFERROR(VLOOKUP(G127, LEVEL_HELPER!$A:$B, 2, 0), "")</f>
        <v>3.5</v>
      </c>
      <c r="L127" s="171" t="s">
        <v>400</v>
      </c>
      <c r="M127" s="171" t="s">
        <v>152</v>
      </c>
      <c r="N127" s="11">
        <f t="array" ref="N127">IFERROR(
  INDEX($J$2:$J$531,
    MATCH(A127&amp;TEXT(I127,"yyyy-mm-dd"),
          $A$2:$A$531&amp;TEXT($H$2:$H$531,"yyyy-mm-dd"),
          0)),
"")</f>
        <v>1</v>
      </c>
      <c r="O127" s="160">
        <f t="shared" si="3"/>
        <v>3.5</v>
      </c>
      <c r="P127" s="160">
        <f t="shared" ref="P127:Q127" si="137">IF(N127="",0,IF(N127&lt;=2,1,IF(N127&lt;=4,2,IF(N127&lt;=5.5,3,4))))</f>
        <v>1</v>
      </c>
      <c r="Q127" s="160">
        <f t="shared" si="137"/>
        <v>2</v>
      </c>
      <c r="R127" s="160" t="str">
        <f t="shared" si="5"/>
        <v>Lv1 → Lv2</v>
      </c>
      <c r="S127" s="160">
        <f t="shared" si="6"/>
        <v>0</v>
      </c>
      <c r="T127" s="172" t="s">
        <v>939</v>
      </c>
      <c r="U127" s="160">
        <f>COUNTIFS(sheet2!$A:$A,A127,sheet2!$E:$E,E127)</f>
        <v>1</v>
      </c>
      <c r="V127" s="160"/>
      <c r="W127" s="160"/>
      <c r="X127" s="160" t="str">
        <f t="shared" si="7"/>
        <v>#N/A</v>
      </c>
      <c r="Y127" s="160" t="str">
        <f t="shared" si="8"/>
        <v>#N/A</v>
      </c>
      <c r="Z127" s="160" t="str">
        <f t="shared" si="9"/>
        <v>#N/A</v>
      </c>
      <c r="AA127" s="160"/>
      <c r="AB127" s="160"/>
      <c r="AC127" s="160"/>
      <c r="AD127" s="160"/>
      <c r="AE127" s="160"/>
      <c r="AF127" s="160"/>
      <c r="AG127" s="160"/>
      <c r="AH127" s="160"/>
      <c r="AI127" s="160"/>
      <c r="AJ127" s="160"/>
      <c r="AK127" s="160"/>
      <c r="AL127" s="160"/>
      <c r="AM127" s="160"/>
      <c r="AN127" s="164"/>
      <c r="AO127" s="160"/>
      <c r="AP127" s="160" t="str">
        <f t="shared" si="10"/>
        <v>#N/A</v>
      </c>
      <c r="AQ127" s="160" t="str">
        <f t="shared" si="11"/>
        <v>#N/A</v>
      </c>
      <c r="AR127" s="160" t="str">
        <f t="shared" si="12"/>
        <v>#N/A</v>
      </c>
      <c r="AS127" s="160"/>
      <c r="AT127" s="160"/>
      <c r="AU127" s="160"/>
      <c r="AV127" s="160"/>
      <c r="AW127" s="160"/>
      <c r="AX127" s="160"/>
      <c r="AY127" s="160"/>
      <c r="AZ127" s="160"/>
      <c r="BA127" s="160"/>
      <c r="BB127" s="160"/>
      <c r="BC127" s="160"/>
      <c r="BD127" s="160"/>
      <c r="BE127" s="160"/>
      <c r="BF127" s="160"/>
      <c r="BG127" s="160"/>
      <c r="BH127" s="160"/>
      <c r="BI127" s="160"/>
      <c r="BJ127" s="160"/>
      <c r="BK127" s="160"/>
      <c r="BL127" s="160"/>
      <c r="BM127" s="160"/>
      <c r="BN127" s="160"/>
      <c r="BO127" s="160"/>
      <c r="BP127" s="160"/>
      <c r="BQ127" s="160"/>
      <c r="BR127" s="160"/>
      <c r="BS127" s="160"/>
      <c r="BT127" s="160"/>
      <c r="BU127" s="160"/>
      <c r="BV127" s="160"/>
      <c r="BW127" s="160"/>
      <c r="BX127" s="160"/>
      <c r="BY127" s="160"/>
      <c r="BZ127" s="160"/>
      <c r="CA127" s="160"/>
      <c r="CB127" s="160"/>
      <c r="CC127" s="160"/>
      <c r="CD127" s="160"/>
      <c r="CE127" s="160"/>
      <c r="CF127" s="160"/>
      <c r="CG127" s="160"/>
      <c r="CH127" s="160"/>
      <c r="CI127" s="160"/>
      <c r="CJ127" s="160"/>
      <c r="CK127" s="160"/>
      <c r="CL127" s="160"/>
    </row>
    <row r="128">
      <c r="A128" s="174" t="s">
        <v>366</v>
      </c>
      <c r="B128" s="11" t="s">
        <v>367</v>
      </c>
      <c r="C128" s="175" t="s">
        <v>64</v>
      </c>
      <c r="D128" s="176" t="str">
        <f>IFERROR(VLOOKUP(C128, PIC!A:B, 2, 0), "")</f>
        <v>Lanh Le</v>
      </c>
      <c r="E128" s="11" t="s">
        <v>23</v>
      </c>
      <c r="F128" s="16" t="s">
        <v>853</v>
      </c>
      <c r="G128" s="16" t="s">
        <v>846</v>
      </c>
      <c r="H128" s="170">
        <f>IFERROR(
  MINIFS(ATTENDANCE_LOG!$F:$F,
         ATTENDANCE_LOG!$A:$A, C128,
         ATTENDANCE_LOG!$B:$B, E128),
"")</f>
        <v>45841.375</v>
      </c>
      <c r="I128" s="170">
        <f t="shared" si="2"/>
        <v>45636.45833</v>
      </c>
      <c r="J128" s="11">
        <f>IFERROR(VLOOKUP(F128, LEVEL_HELPER!$A:$B, 2, 0), "")</f>
        <v>1.5</v>
      </c>
      <c r="K128" s="11">
        <f>IFERROR(VLOOKUP(G128, LEVEL_HELPER!$A:$B, 2, 0), "")</f>
        <v>3</v>
      </c>
      <c r="L128" s="171" t="s">
        <v>400</v>
      </c>
      <c r="M128" s="171" t="s">
        <v>152</v>
      </c>
      <c r="N128" s="11">
        <f t="array" ref="N128">IFERROR(
  INDEX($J$2:$J$531,
    MATCH(A128&amp;TEXT(I128,"yyyy-mm-dd"),
          $A$2:$A$531&amp;TEXT($H$2:$H$531,"yyyy-mm-dd"),
          0)),
"")</f>
        <v>1</v>
      </c>
      <c r="O128" s="160">
        <f t="shared" si="3"/>
        <v>3</v>
      </c>
      <c r="P128" s="160">
        <f t="shared" ref="P128:Q128" si="138">IF(N128="",0,IF(N128&lt;=2,1,IF(N128&lt;=4,2,IF(N128&lt;=5.5,3,4))))</f>
        <v>1</v>
      </c>
      <c r="Q128" s="160">
        <f t="shared" si="138"/>
        <v>2</v>
      </c>
      <c r="R128" s="160" t="str">
        <f t="shared" si="5"/>
        <v>Lv1 → Lv2</v>
      </c>
      <c r="S128" s="160">
        <f t="shared" si="6"/>
        <v>0</v>
      </c>
      <c r="T128" s="177" t="s">
        <v>940</v>
      </c>
      <c r="U128" s="160">
        <f>COUNTIFS(sheet2!$A:$A,A128,sheet2!$E:$E,E128)</f>
        <v>1</v>
      </c>
      <c r="V128" s="160"/>
      <c r="W128" s="160"/>
      <c r="X128" s="160" t="str">
        <f t="shared" si="7"/>
        <v>#N/A</v>
      </c>
      <c r="Y128" s="160" t="str">
        <f t="shared" si="8"/>
        <v>#N/A</v>
      </c>
      <c r="Z128" s="160" t="str">
        <f t="shared" si="9"/>
        <v>#N/A</v>
      </c>
      <c r="AA128" s="160"/>
      <c r="AB128" s="160"/>
      <c r="AC128" s="160"/>
      <c r="AD128" s="160"/>
      <c r="AE128" s="160"/>
      <c r="AF128" s="160"/>
      <c r="AG128" s="160"/>
      <c r="AH128" s="160"/>
      <c r="AI128" s="160"/>
      <c r="AJ128" s="160"/>
      <c r="AK128" s="160"/>
      <c r="AL128" s="160"/>
      <c r="AM128" s="160"/>
      <c r="AN128" s="164"/>
      <c r="AO128" s="160"/>
      <c r="AP128" s="160" t="str">
        <f t="shared" si="10"/>
        <v>#N/A</v>
      </c>
      <c r="AQ128" s="160" t="str">
        <f t="shared" si="11"/>
        <v>#N/A</v>
      </c>
      <c r="AR128" s="160" t="str">
        <f t="shared" si="12"/>
        <v>#N/A</v>
      </c>
      <c r="AS128" s="160"/>
      <c r="AT128" s="160"/>
      <c r="AU128" s="160"/>
      <c r="AV128" s="160"/>
      <c r="AW128" s="160"/>
      <c r="AX128" s="160"/>
      <c r="AY128" s="160"/>
      <c r="AZ128" s="160"/>
      <c r="BA128" s="160"/>
      <c r="BB128" s="160"/>
      <c r="BC128" s="160"/>
      <c r="BD128" s="160"/>
      <c r="BE128" s="160"/>
      <c r="BF128" s="160"/>
      <c r="BG128" s="160"/>
      <c r="BH128" s="160"/>
      <c r="BI128" s="160"/>
      <c r="BJ128" s="160"/>
      <c r="BK128" s="160"/>
      <c r="BL128" s="160"/>
      <c r="BM128" s="160"/>
      <c r="BN128" s="160"/>
      <c r="BO128" s="160"/>
      <c r="BP128" s="160"/>
      <c r="BQ128" s="160"/>
      <c r="BR128" s="160"/>
      <c r="BS128" s="160"/>
      <c r="BT128" s="160"/>
      <c r="BU128" s="160"/>
      <c r="BV128" s="160"/>
      <c r="BW128" s="160"/>
      <c r="BX128" s="160"/>
      <c r="BY128" s="160"/>
      <c r="BZ128" s="160"/>
      <c r="CA128" s="160"/>
      <c r="CB128" s="160"/>
      <c r="CC128" s="160"/>
      <c r="CD128" s="160"/>
      <c r="CE128" s="160"/>
      <c r="CF128" s="160"/>
      <c r="CG128" s="160"/>
      <c r="CH128" s="160"/>
      <c r="CI128" s="160"/>
      <c r="CJ128" s="160"/>
      <c r="CK128" s="160"/>
      <c r="CL128" s="160"/>
    </row>
    <row r="129">
      <c r="A129" s="174" t="s">
        <v>368</v>
      </c>
      <c r="B129" s="11" t="s">
        <v>369</v>
      </c>
      <c r="C129" s="175" t="s">
        <v>64</v>
      </c>
      <c r="D129" s="176" t="str">
        <f>IFERROR(VLOOKUP(C129, PIC!A:B, 2, 0), "")</f>
        <v>Lanh Le</v>
      </c>
      <c r="E129" s="11" t="s">
        <v>23</v>
      </c>
      <c r="F129" s="16" t="s">
        <v>846</v>
      </c>
      <c r="G129" s="16" t="s">
        <v>861</v>
      </c>
      <c r="H129" s="170">
        <f>IFERROR(
  MINIFS(ATTENDANCE_LOG!$F:$F,
         ATTENDANCE_LOG!$A:$A, C129,
         ATTENDANCE_LOG!$B:$B, E129),
"")</f>
        <v>45841.375</v>
      </c>
      <c r="I129" s="170">
        <f t="shared" si="2"/>
        <v>45636.45833</v>
      </c>
      <c r="J129" s="11">
        <f>IFERROR(VLOOKUP(F129, LEVEL_HELPER!$A:$B, 2, 0), "")</f>
        <v>3</v>
      </c>
      <c r="K129" s="11">
        <f>IFERROR(VLOOKUP(G129, LEVEL_HELPER!$A:$B, 2, 0), "")</f>
        <v>3.5</v>
      </c>
      <c r="L129" s="171" t="s">
        <v>400</v>
      </c>
      <c r="M129" s="171" t="s">
        <v>152</v>
      </c>
      <c r="N129" s="11">
        <f t="array" ref="N129">IFERROR(
  INDEX($J$2:$J$531,
    MATCH(A129&amp;TEXT(I129,"yyyy-mm-dd"),
          $A$2:$A$531&amp;TEXT($H$2:$H$531,"yyyy-mm-dd"),
          0)),
"")</f>
        <v>2.5</v>
      </c>
      <c r="O129" s="160">
        <f t="shared" si="3"/>
        <v>3.5</v>
      </c>
      <c r="P129" s="160">
        <f t="shared" ref="P129:Q129" si="139">IF(N129="",0,IF(N129&lt;=2,1,IF(N129&lt;=4,2,IF(N129&lt;=5.5,3,4))))</f>
        <v>2</v>
      </c>
      <c r="Q129" s="160">
        <f t="shared" si="139"/>
        <v>2</v>
      </c>
      <c r="R129" s="160" t="str">
        <f t="shared" si="5"/>
        <v>Progress within level</v>
      </c>
      <c r="S129" s="160">
        <f t="shared" si="6"/>
        <v>0</v>
      </c>
      <c r="T129" s="177" t="s">
        <v>941</v>
      </c>
      <c r="U129" s="160">
        <f>COUNTIFS(sheet2!$A:$A,A129,sheet2!$E:$E,E129)</f>
        <v>1</v>
      </c>
      <c r="V129" s="160"/>
      <c r="W129" s="160"/>
      <c r="X129" s="160" t="str">
        <f t="shared" si="7"/>
        <v>#N/A</v>
      </c>
      <c r="Y129" s="160" t="str">
        <f t="shared" si="8"/>
        <v>#N/A</v>
      </c>
      <c r="Z129" s="160" t="str">
        <f t="shared" si="9"/>
        <v>#N/A</v>
      </c>
      <c r="AA129" s="160"/>
      <c r="AB129" s="160"/>
      <c r="AC129" s="160"/>
      <c r="AD129" s="160"/>
      <c r="AE129" s="160"/>
      <c r="AF129" s="160"/>
      <c r="AG129" s="160"/>
      <c r="AH129" s="160"/>
      <c r="AI129" s="160"/>
      <c r="AJ129" s="160"/>
      <c r="AK129" s="160"/>
      <c r="AL129" s="160"/>
      <c r="AM129" s="160"/>
      <c r="AN129" s="164"/>
      <c r="AO129" s="160"/>
      <c r="AP129" s="160" t="str">
        <f t="shared" si="10"/>
        <v>#N/A</v>
      </c>
      <c r="AQ129" s="160" t="str">
        <f t="shared" si="11"/>
        <v>#N/A</v>
      </c>
      <c r="AR129" s="160" t="str">
        <f t="shared" si="12"/>
        <v>#N/A</v>
      </c>
      <c r="AS129" s="160"/>
      <c r="AT129" s="160"/>
      <c r="AU129" s="160"/>
      <c r="AV129" s="160"/>
      <c r="AW129" s="160"/>
      <c r="AX129" s="160"/>
      <c r="AY129" s="160"/>
      <c r="AZ129" s="160"/>
      <c r="BA129" s="160"/>
      <c r="BB129" s="160"/>
      <c r="BC129" s="160"/>
      <c r="BD129" s="160"/>
      <c r="BE129" s="160"/>
      <c r="BF129" s="160"/>
      <c r="BG129" s="160"/>
      <c r="BH129" s="160"/>
      <c r="BI129" s="160"/>
      <c r="BJ129" s="160"/>
      <c r="BK129" s="160"/>
      <c r="BL129" s="160"/>
      <c r="BM129" s="160"/>
      <c r="BN129" s="160"/>
      <c r="BO129" s="160"/>
      <c r="BP129" s="160"/>
      <c r="BQ129" s="160"/>
      <c r="BR129" s="160"/>
      <c r="BS129" s="160"/>
      <c r="BT129" s="160"/>
      <c r="BU129" s="160"/>
      <c r="BV129" s="160"/>
      <c r="BW129" s="160"/>
      <c r="BX129" s="160"/>
      <c r="BY129" s="160"/>
      <c r="BZ129" s="160"/>
      <c r="CA129" s="160"/>
      <c r="CB129" s="160"/>
      <c r="CC129" s="160"/>
      <c r="CD129" s="160"/>
      <c r="CE129" s="160"/>
      <c r="CF129" s="160"/>
      <c r="CG129" s="160"/>
      <c r="CH129" s="160"/>
      <c r="CI129" s="160"/>
      <c r="CJ129" s="160"/>
      <c r="CK129" s="160"/>
      <c r="CL129" s="160"/>
    </row>
    <row r="130">
      <c r="A130" s="174" t="s">
        <v>380</v>
      </c>
      <c r="B130" s="11" t="s">
        <v>381</v>
      </c>
      <c r="C130" s="175" t="s">
        <v>64</v>
      </c>
      <c r="D130" s="176" t="str">
        <f>IFERROR(VLOOKUP(C130, PIC!A:B, 2, 0), "")</f>
        <v>Lanh Le</v>
      </c>
      <c r="E130" s="11" t="s">
        <v>23</v>
      </c>
      <c r="F130" s="16" t="s">
        <v>853</v>
      </c>
      <c r="G130" s="11"/>
      <c r="H130" s="170">
        <f>IFERROR(
  MINIFS(ATTENDANCE_LOG!$F:$F,
         ATTENDANCE_LOG!$A:$A, C130,
         ATTENDANCE_LOG!$B:$B, E130),
"")</f>
        <v>45841.375</v>
      </c>
      <c r="I130" s="170">
        <f t="shared" si="2"/>
        <v>45636.45833</v>
      </c>
      <c r="J130" s="11">
        <f>IFERROR(VLOOKUP(F130, LEVEL_HELPER!$A:$B, 2, 0), "")</f>
        <v>1.5</v>
      </c>
      <c r="K130" s="11" t="str">
        <f>IFERROR(VLOOKUP(G130, LEVEL_HELPER!$A:$B, 2, 0), "")</f>
        <v/>
      </c>
      <c r="L130" s="171" t="s">
        <v>400</v>
      </c>
      <c r="M130" s="171" t="s">
        <v>152</v>
      </c>
      <c r="N130" s="11">
        <f t="array" ref="N130">IFERROR(
  INDEX($J$2:$J$531,
    MATCH(A130&amp;TEXT(I130,"yyyy-mm-dd"),
          $A$2:$A$531&amp;TEXT($H$2:$H$531,"yyyy-mm-dd"),
          0)),
"")</f>
        <v>1</v>
      </c>
      <c r="O130" s="160">
        <f t="shared" si="3"/>
        <v>1.5</v>
      </c>
      <c r="P130" s="160">
        <f t="shared" ref="P130:Q130" si="140">IF(N130="",0,IF(N130&lt;=2,1,IF(N130&lt;=4,2,IF(N130&lt;=5.5,3,4))))</f>
        <v>1</v>
      </c>
      <c r="Q130" s="160">
        <f t="shared" si="140"/>
        <v>1</v>
      </c>
      <c r="R130" s="160" t="str">
        <f t="shared" si="5"/>
        <v>Progress within level</v>
      </c>
      <c r="S130" s="160">
        <f t="shared" si="6"/>
        <v>0</v>
      </c>
      <c r="T130" s="177" t="s">
        <v>942</v>
      </c>
      <c r="U130" s="160">
        <f>COUNTIFS(sheet2!$A:$A,A130,sheet2!$E:$E,E130)</f>
        <v>1</v>
      </c>
      <c r="V130" s="160"/>
      <c r="W130" s="160"/>
      <c r="X130" s="160" t="str">
        <f t="shared" si="7"/>
        <v>#N/A</v>
      </c>
      <c r="Y130" s="160" t="str">
        <f t="shared" si="8"/>
        <v>#N/A</v>
      </c>
      <c r="Z130" s="160" t="str">
        <f t="shared" si="9"/>
        <v>#N/A</v>
      </c>
      <c r="AA130" s="160"/>
      <c r="AB130" s="160"/>
      <c r="AC130" s="160"/>
      <c r="AD130" s="160"/>
      <c r="AE130" s="160"/>
      <c r="AF130" s="160"/>
      <c r="AG130" s="160"/>
      <c r="AH130" s="160"/>
      <c r="AI130" s="160"/>
      <c r="AJ130" s="160"/>
      <c r="AK130" s="160"/>
      <c r="AL130" s="160"/>
      <c r="AM130" s="160"/>
      <c r="AN130" s="164"/>
      <c r="AO130" s="160"/>
      <c r="AP130" s="160" t="str">
        <f t="shared" si="10"/>
        <v>#N/A</v>
      </c>
      <c r="AQ130" s="160" t="str">
        <f t="shared" si="11"/>
        <v>#N/A</v>
      </c>
      <c r="AR130" s="160" t="str">
        <f t="shared" si="12"/>
        <v>#N/A</v>
      </c>
      <c r="AS130" s="160"/>
      <c r="AT130" s="160"/>
      <c r="AU130" s="160"/>
      <c r="AV130" s="160"/>
      <c r="AW130" s="160"/>
      <c r="AX130" s="160"/>
      <c r="AY130" s="160"/>
      <c r="AZ130" s="160"/>
      <c r="BA130" s="160"/>
      <c r="BB130" s="160"/>
      <c r="BC130" s="160"/>
      <c r="BD130" s="160"/>
      <c r="BE130" s="160"/>
      <c r="BF130" s="160"/>
      <c r="BG130" s="160"/>
      <c r="BH130" s="160"/>
      <c r="BI130" s="160"/>
      <c r="BJ130" s="160"/>
      <c r="BK130" s="160"/>
      <c r="BL130" s="160"/>
      <c r="BM130" s="160"/>
      <c r="BN130" s="160"/>
      <c r="BO130" s="160"/>
      <c r="BP130" s="160"/>
      <c r="BQ130" s="160"/>
      <c r="BR130" s="160"/>
      <c r="BS130" s="160"/>
      <c r="BT130" s="160"/>
      <c r="BU130" s="160"/>
      <c r="BV130" s="160"/>
      <c r="BW130" s="160"/>
      <c r="BX130" s="160"/>
      <c r="BY130" s="160"/>
      <c r="BZ130" s="160"/>
      <c r="CA130" s="160"/>
      <c r="CB130" s="160"/>
      <c r="CC130" s="160"/>
      <c r="CD130" s="160"/>
      <c r="CE130" s="160"/>
      <c r="CF130" s="160"/>
      <c r="CG130" s="160"/>
      <c r="CH130" s="160"/>
      <c r="CI130" s="160"/>
      <c r="CJ130" s="160"/>
      <c r="CK130" s="160"/>
      <c r="CL130" s="160"/>
    </row>
    <row r="131">
      <c r="A131" s="174" t="s">
        <v>376</v>
      </c>
      <c r="B131" s="11" t="s">
        <v>377</v>
      </c>
      <c r="C131" s="175" t="s">
        <v>64</v>
      </c>
      <c r="D131" s="176" t="str">
        <f>IFERROR(VLOOKUP(C131, PIC!A:B, 2, 0), "")</f>
        <v>Lanh Le</v>
      </c>
      <c r="E131" s="11" t="s">
        <v>23</v>
      </c>
      <c r="F131" s="16" t="s">
        <v>861</v>
      </c>
      <c r="G131" s="16" t="s">
        <v>861</v>
      </c>
      <c r="H131" s="170">
        <f>IFERROR(
  MINIFS(ATTENDANCE_LOG!$F:$F,
         ATTENDANCE_LOG!$A:$A, C131,
         ATTENDANCE_LOG!$B:$B, E131),
"")</f>
        <v>45841.375</v>
      </c>
      <c r="I131" s="170">
        <f t="shared" si="2"/>
        <v>45636.45833</v>
      </c>
      <c r="J131" s="11">
        <f>IFERROR(VLOOKUP(F131, LEVEL_HELPER!$A:$B, 2, 0), "")</f>
        <v>3.5</v>
      </c>
      <c r="K131" s="11">
        <f>IFERROR(VLOOKUP(G131, LEVEL_HELPER!$A:$B, 2, 0), "")</f>
        <v>3.5</v>
      </c>
      <c r="L131" s="171" t="s">
        <v>400</v>
      </c>
      <c r="M131" s="171" t="s">
        <v>152</v>
      </c>
      <c r="N131" s="11">
        <f t="array" ref="N131">IFERROR(
  INDEX($J$2:$J$531,
    MATCH(A131&amp;TEXT(I131,"yyyy-mm-dd"),
          $A$2:$A$531&amp;TEXT($H$2:$H$531,"yyyy-mm-dd"),
          0)),
"")</f>
        <v>2.5</v>
      </c>
      <c r="O131" s="160">
        <f t="shared" si="3"/>
        <v>3.5</v>
      </c>
      <c r="P131" s="160">
        <f t="shared" ref="P131:Q131" si="141">IF(N131="",0,IF(N131&lt;=2,1,IF(N131&lt;=4,2,IF(N131&lt;=5.5,3,4))))</f>
        <v>2</v>
      </c>
      <c r="Q131" s="160">
        <f t="shared" si="141"/>
        <v>2</v>
      </c>
      <c r="R131" s="160" t="str">
        <f t="shared" si="5"/>
        <v>Progress within level</v>
      </c>
      <c r="S131" s="160">
        <f t="shared" si="6"/>
        <v>0</v>
      </c>
      <c r="T131" s="177" t="s">
        <v>943</v>
      </c>
      <c r="U131" s="160">
        <f>COUNTIFS(sheet2!$A:$A,A131,sheet2!$E:$E,E131)</f>
        <v>1</v>
      </c>
      <c r="V131" s="160"/>
      <c r="W131" s="160"/>
      <c r="X131" s="160" t="str">
        <f t="shared" si="7"/>
        <v>#N/A</v>
      </c>
      <c r="Y131" s="160" t="str">
        <f t="shared" si="8"/>
        <v>#N/A</v>
      </c>
      <c r="Z131" s="160" t="str">
        <f t="shared" si="9"/>
        <v>#N/A</v>
      </c>
      <c r="AA131" s="160"/>
      <c r="AB131" s="160"/>
      <c r="AC131" s="160"/>
      <c r="AD131" s="160"/>
      <c r="AE131" s="160"/>
      <c r="AF131" s="160"/>
      <c r="AG131" s="160"/>
      <c r="AH131" s="160"/>
      <c r="AI131" s="160"/>
      <c r="AJ131" s="160"/>
      <c r="AK131" s="160"/>
      <c r="AL131" s="160"/>
      <c r="AM131" s="160"/>
      <c r="AN131" s="164"/>
      <c r="AO131" s="160"/>
      <c r="AP131" s="160" t="str">
        <f t="shared" si="10"/>
        <v>#N/A</v>
      </c>
      <c r="AQ131" s="160" t="str">
        <f t="shared" si="11"/>
        <v>#N/A</v>
      </c>
      <c r="AR131" s="160" t="str">
        <f t="shared" si="12"/>
        <v>#N/A</v>
      </c>
      <c r="AS131" s="160"/>
      <c r="AT131" s="160"/>
      <c r="AU131" s="160"/>
      <c r="AV131" s="160"/>
      <c r="AW131" s="160"/>
      <c r="AX131" s="160"/>
      <c r="AY131" s="160"/>
      <c r="AZ131" s="160"/>
      <c r="BA131" s="160"/>
      <c r="BB131" s="160"/>
      <c r="BC131" s="160"/>
      <c r="BD131" s="160"/>
      <c r="BE131" s="160"/>
      <c r="BF131" s="160"/>
      <c r="BG131" s="160"/>
      <c r="BH131" s="160"/>
      <c r="BI131" s="160"/>
      <c r="BJ131" s="160"/>
      <c r="BK131" s="160"/>
      <c r="BL131" s="160"/>
      <c r="BM131" s="160"/>
      <c r="BN131" s="160"/>
      <c r="BO131" s="160"/>
      <c r="BP131" s="160"/>
      <c r="BQ131" s="160"/>
      <c r="BR131" s="160"/>
      <c r="BS131" s="160"/>
      <c r="BT131" s="160"/>
      <c r="BU131" s="160"/>
      <c r="BV131" s="160"/>
      <c r="BW131" s="160"/>
      <c r="BX131" s="160"/>
      <c r="BY131" s="160"/>
      <c r="BZ131" s="160"/>
      <c r="CA131" s="160"/>
      <c r="CB131" s="160"/>
      <c r="CC131" s="160"/>
      <c r="CD131" s="160"/>
      <c r="CE131" s="160"/>
      <c r="CF131" s="160"/>
      <c r="CG131" s="160"/>
      <c r="CH131" s="160"/>
      <c r="CI131" s="160"/>
      <c r="CJ131" s="160"/>
      <c r="CK131" s="160"/>
      <c r="CL131" s="160"/>
    </row>
    <row r="132">
      <c r="A132" s="174" t="s">
        <v>378</v>
      </c>
      <c r="B132" s="11" t="s">
        <v>379</v>
      </c>
      <c r="C132" s="175" t="s">
        <v>64</v>
      </c>
      <c r="D132" s="176" t="str">
        <f>IFERROR(VLOOKUP(C132, PIC!A:B, 2, 0), "")</f>
        <v>Lanh Le</v>
      </c>
      <c r="E132" s="11" t="s">
        <v>23</v>
      </c>
      <c r="F132" s="16" t="s">
        <v>861</v>
      </c>
      <c r="G132" s="16" t="s">
        <v>868</v>
      </c>
      <c r="H132" s="170">
        <f>IFERROR(
  MINIFS(ATTENDANCE_LOG!$F:$F,
         ATTENDANCE_LOG!$A:$A, C132,
         ATTENDANCE_LOG!$B:$B, E132),
"")</f>
        <v>45841.375</v>
      </c>
      <c r="I132" s="170">
        <f t="shared" si="2"/>
        <v>45636.45833</v>
      </c>
      <c r="J132" s="11">
        <f>IFERROR(VLOOKUP(F132, LEVEL_HELPER!$A:$B, 2, 0), "")</f>
        <v>3.5</v>
      </c>
      <c r="K132" s="11">
        <f>IFERROR(VLOOKUP(G132, LEVEL_HELPER!$A:$B, 2, 0), "")</f>
        <v>5</v>
      </c>
      <c r="L132" s="171" t="s">
        <v>847</v>
      </c>
      <c r="M132" s="171" t="s">
        <v>150</v>
      </c>
      <c r="N132" s="11">
        <f t="array" ref="N132">IFERROR(
  INDEX($J$2:$J$531,
    MATCH(A132&amp;TEXT(I132,"yyyy-mm-dd"),
          $A$2:$A$531&amp;TEXT($H$2:$H$531,"yyyy-mm-dd"),
          0)),
"")</f>
        <v>1</v>
      </c>
      <c r="O132" s="160">
        <f t="shared" si="3"/>
        <v>5</v>
      </c>
      <c r="P132" s="160">
        <f t="shared" ref="P132:Q132" si="142">IF(N132="",0,IF(N132&lt;=2,1,IF(N132&lt;=4,2,IF(N132&lt;=5.5,3,4))))</f>
        <v>1</v>
      </c>
      <c r="Q132" s="160">
        <f t="shared" si="142"/>
        <v>3</v>
      </c>
      <c r="R132" s="160" t="str">
        <f t="shared" si="5"/>
        <v>Lv1 → Lv3 (multi)</v>
      </c>
      <c r="S132" s="160">
        <f t="shared" si="6"/>
        <v>0</v>
      </c>
      <c r="T132" s="177" t="s">
        <v>944</v>
      </c>
      <c r="U132" s="160">
        <f>COUNTIFS(sheet2!$A:$A,A132,sheet2!$E:$E,E132)</f>
        <v>1</v>
      </c>
      <c r="V132" s="160"/>
      <c r="W132" s="160"/>
      <c r="X132" s="160" t="str">
        <f t="shared" si="7"/>
        <v>#N/A</v>
      </c>
      <c r="Y132" s="160" t="str">
        <f t="shared" si="8"/>
        <v>#N/A</v>
      </c>
      <c r="Z132" s="160" t="str">
        <f t="shared" si="9"/>
        <v>#N/A</v>
      </c>
      <c r="AA132" s="160"/>
      <c r="AB132" s="160"/>
      <c r="AC132" s="160"/>
      <c r="AD132" s="160"/>
      <c r="AE132" s="160"/>
      <c r="AF132" s="160"/>
      <c r="AG132" s="160"/>
      <c r="AH132" s="160"/>
      <c r="AI132" s="160"/>
      <c r="AJ132" s="160"/>
      <c r="AK132" s="160"/>
      <c r="AL132" s="160"/>
      <c r="AM132" s="160"/>
      <c r="AN132" s="164"/>
      <c r="AO132" s="160"/>
      <c r="AP132" s="160" t="str">
        <f t="shared" si="10"/>
        <v>#N/A</v>
      </c>
      <c r="AQ132" s="160" t="str">
        <f t="shared" si="11"/>
        <v>#N/A</v>
      </c>
      <c r="AR132" s="160" t="str">
        <f t="shared" si="12"/>
        <v>#N/A</v>
      </c>
      <c r="AS132" s="160"/>
      <c r="AT132" s="160"/>
      <c r="AU132" s="160"/>
      <c r="AV132" s="160"/>
      <c r="AW132" s="160"/>
      <c r="AX132" s="160"/>
      <c r="AY132" s="160"/>
      <c r="AZ132" s="160"/>
      <c r="BA132" s="160"/>
      <c r="BB132" s="160"/>
      <c r="BC132" s="160"/>
      <c r="BD132" s="160"/>
      <c r="BE132" s="160"/>
      <c r="BF132" s="160"/>
      <c r="BG132" s="160"/>
      <c r="BH132" s="160"/>
      <c r="BI132" s="160"/>
      <c r="BJ132" s="160"/>
      <c r="BK132" s="160"/>
      <c r="BL132" s="160"/>
      <c r="BM132" s="160"/>
      <c r="BN132" s="160"/>
      <c r="BO132" s="160"/>
      <c r="BP132" s="160"/>
      <c r="BQ132" s="160"/>
      <c r="BR132" s="160"/>
      <c r="BS132" s="160"/>
      <c r="BT132" s="160"/>
      <c r="BU132" s="160"/>
      <c r="BV132" s="160"/>
      <c r="BW132" s="160"/>
      <c r="BX132" s="160"/>
      <c r="BY132" s="160"/>
      <c r="BZ132" s="160"/>
      <c r="CA132" s="160"/>
      <c r="CB132" s="160"/>
      <c r="CC132" s="160"/>
      <c r="CD132" s="160"/>
      <c r="CE132" s="160"/>
      <c r="CF132" s="160"/>
      <c r="CG132" s="160"/>
      <c r="CH132" s="160"/>
      <c r="CI132" s="160"/>
      <c r="CJ132" s="160"/>
      <c r="CK132" s="160"/>
      <c r="CL132" s="160"/>
    </row>
    <row r="133">
      <c r="A133" s="166" t="s">
        <v>371</v>
      </c>
      <c r="B133" s="167" t="s">
        <v>372</v>
      </c>
      <c r="C133" s="168" t="s">
        <v>64</v>
      </c>
      <c r="D133" s="169" t="str">
        <f>IFERROR(VLOOKUP(C133, PIC!A:B, 2, 0), "")</f>
        <v>Lanh Le</v>
      </c>
      <c r="E133" s="167" t="s">
        <v>24</v>
      </c>
      <c r="F133" s="11"/>
      <c r="G133" s="11"/>
      <c r="H133" s="170">
        <f>IFERROR(
  MINIFS(ATTENDANCE_LOG!$F:$F,
         ATTENDANCE_LOG!$A:$A, C133,
         ATTENDANCE_LOG!$B:$B, E133),
"")</f>
        <v>46094.45833</v>
      </c>
      <c r="I133" s="170">
        <f t="shared" si="2"/>
        <v>45636.45833</v>
      </c>
      <c r="J133" s="11" t="str">
        <f>IFERROR(VLOOKUP(F133, LEVEL_HELPER!$A:$B, 2, 0), "")</f>
        <v/>
      </c>
      <c r="K133" s="11" t="str">
        <f>IFERROR(VLOOKUP(G133, LEVEL_HELPER!$A:$B, 2, 0), "")</f>
        <v/>
      </c>
      <c r="L133" s="171" t="s">
        <v>400</v>
      </c>
      <c r="M133" s="171" t="s">
        <v>152</v>
      </c>
      <c r="N133" s="11">
        <f t="array" ref="N133">IFERROR(
  INDEX($J$2:$J$531,
    MATCH(A133&amp;TEXT(I133,"yyyy-mm-dd"),
          $A$2:$A$531&amp;TEXT($H$2:$H$531,"yyyy-mm-dd"),
          0)),
"")</f>
        <v>1</v>
      </c>
      <c r="O133" s="160">
        <f t="shared" si="3"/>
        <v>3.5</v>
      </c>
      <c r="P133" s="160">
        <f t="shared" ref="P133:Q133" si="143">IF(N133="",0,IF(N133&lt;=2,1,IF(N133&lt;=4,2,IF(N133&lt;=5.5,3,4))))</f>
        <v>1</v>
      </c>
      <c r="Q133" s="160">
        <f t="shared" si="143"/>
        <v>2</v>
      </c>
      <c r="R133" s="160" t="str">
        <f t="shared" si="5"/>
        <v>Lv1 → Lv2</v>
      </c>
      <c r="S133" s="160">
        <f t="shared" si="6"/>
        <v>0</v>
      </c>
      <c r="T133" s="172" t="s">
        <v>939</v>
      </c>
      <c r="U133" s="160">
        <f>COUNTIFS(sheet2!$A:$A,A133,sheet2!$E:$E,E133)</f>
        <v>1</v>
      </c>
      <c r="V133" s="160"/>
      <c r="W133" s="160"/>
      <c r="X133" s="160" t="str">
        <f t="shared" si="7"/>
        <v>#N/A</v>
      </c>
      <c r="Y133" s="160" t="str">
        <f t="shared" si="8"/>
        <v>#N/A</v>
      </c>
      <c r="Z133" s="160" t="str">
        <f t="shared" si="9"/>
        <v>#N/A</v>
      </c>
      <c r="AA133" s="160"/>
      <c r="AB133" s="160"/>
      <c r="AC133" s="160"/>
      <c r="AD133" s="160"/>
      <c r="AE133" s="160"/>
      <c r="AF133" s="160"/>
      <c r="AG133" s="160"/>
      <c r="AH133" s="160"/>
      <c r="AI133" s="160"/>
      <c r="AJ133" s="160"/>
      <c r="AK133" s="160"/>
      <c r="AL133" s="160"/>
      <c r="AM133" s="160"/>
      <c r="AN133" s="164"/>
      <c r="AO133" s="160"/>
      <c r="AP133" s="160" t="str">
        <f t="shared" si="10"/>
        <v>#N/A</v>
      </c>
      <c r="AQ133" s="160" t="str">
        <f t="shared" si="11"/>
        <v>#N/A</v>
      </c>
      <c r="AR133" s="160" t="str">
        <f t="shared" si="12"/>
        <v>#N/A</v>
      </c>
      <c r="AS133" s="160"/>
      <c r="AT133" s="160"/>
      <c r="AU133" s="160"/>
      <c r="AV133" s="160"/>
      <c r="AW133" s="160"/>
      <c r="AX133" s="160"/>
      <c r="AY133" s="160"/>
      <c r="AZ133" s="160"/>
      <c r="BA133" s="160"/>
      <c r="BB133" s="160"/>
      <c r="BC133" s="160"/>
      <c r="BD133" s="160"/>
      <c r="BE133" s="160"/>
      <c r="BF133" s="160"/>
      <c r="BG133" s="160"/>
      <c r="BH133" s="160"/>
      <c r="BI133" s="160"/>
      <c r="BJ133" s="160"/>
      <c r="BK133" s="160"/>
      <c r="BL133" s="160"/>
      <c r="BM133" s="160"/>
      <c r="BN133" s="160"/>
      <c r="BO133" s="160"/>
      <c r="BP133" s="160"/>
      <c r="BQ133" s="160"/>
      <c r="BR133" s="160"/>
      <c r="BS133" s="160"/>
      <c r="BT133" s="160"/>
      <c r="BU133" s="160"/>
      <c r="BV133" s="160"/>
      <c r="BW133" s="160"/>
      <c r="BX133" s="160"/>
      <c r="BY133" s="160"/>
      <c r="BZ133" s="160"/>
      <c r="CA133" s="160"/>
      <c r="CB133" s="160"/>
      <c r="CC133" s="160"/>
      <c r="CD133" s="160"/>
      <c r="CE133" s="160"/>
      <c r="CF133" s="160"/>
      <c r="CG133" s="160"/>
      <c r="CH133" s="160"/>
      <c r="CI133" s="160"/>
      <c r="CJ133" s="160"/>
      <c r="CK133" s="160"/>
      <c r="CL133" s="160"/>
    </row>
    <row r="134">
      <c r="A134" s="174" t="s">
        <v>366</v>
      </c>
      <c r="B134" s="11" t="s">
        <v>367</v>
      </c>
      <c r="C134" s="175" t="s">
        <v>64</v>
      </c>
      <c r="D134" s="176" t="str">
        <f>IFERROR(VLOOKUP(C134, PIC!A:B, 2, 0), "")</f>
        <v>Lanh Le</v>
      </c>
      <c r="E134" s="11" t="s">
        <v>24</v>
      </c>
      <c r="F134" s="11"/>
      <c r="G134" s="11"/>
      <c r="H134" s="170">
        <f>IFERROR(
  MINIFS(ATTENDANCE_LOG!$F:$F,
         ATTENDANCE_LOG!$A:$A, C134,
         ATTENDANCE_LOG!$B:$B, E134),
"")</f>
        <v>46094.45833</v>
      </c>
      <c r="I134" s="170">
        <f t="shared" si="2"/>
        <v>45636.45833</v>
      </c>
      <c r="J134" s="11" t="str">
        <f>IFERROR(VLOOKUP(F134, LEVEL_HELPER!$A:$B, 2, 0), "")</f>
        <v/>
      </c>
      <c r="K134" s="11" t="str">
        <f>IFERROR(VLOOKUP(G134, LEVEL_HELPER!$A:$B, 2, 0), "")</f>
        <v/>
      </c>
      <c r="L134" s="171" t="s">
        <v>400</v>
      </c>
      <c r="M134" s="171" t="s">
        <v>152</v>
      </c>
      <c r="N134" s="11">
        <f t="array" ref="N134">IFERROR(
  INDEX($J$2:$J$531,
    MATCH(A134&amp;TEXT(I134,"yyyy-mm-dd"),
          $A$2:$A$531&amp;TEXT($H$2:$H$531,"yyyy-mm-dd"),
          0)),
"")</f>
        <v>1</v>
      </c>
      <c r="O134" s="160">
        <f t="shared" si="3"/>
        <v>3</v>
      </c>
      <c r="P134" s="160">
        <f t="shared" ref="P134:Q134" si="144">IF(N134="",0,IF(N134&lt;=2,1,IF(N134&lt;=4,2,IF(N134&lt;=5.5,3,4))))</f>
        <v>1</v>
      </c>
      <c r="Q134" s="160">
        <f t="shared" si="144"/>
        <v>2</v>
      </c>
      <c r="R134" s="160" t="str">
        <f t="shared" si="5"/>
        <v>Lv1 → Lv2</v>
      </c>
      <c r="S134" s="160">
        <f t="shared" si="6"/>
        <v>0</v>
      </c>
      <c r="T134" s="177" t="s">
        <v>940</v>
      </c>
      <c r="U134" s="160">
        <f>COUNTIFS(sheet2!$A:$A,A134,sheet2!$E:$E,E134)</f>
        <v>1</v>
      </c>
      <c r="V134" s="160"/>
      <c r="W134" s="160"/>
      <c r="X134" s="160" t="str">
        <f t="shared" si="7"/>
        <v>#N/A</v>
      </c>
      <c r="Y134" s="160" t="str">
        <f t="shared" si="8"/>
        <v>#N/A</v>
      </c>
      <c r="Z134" s="160" t="str">
        <f t="shared" si="9"/>
        <v>#N/A</v>
      </c>
      <c r="AA134" s="160"/>
      <c r="AB134" s="160"/>
      <c r="AC134" s="160"/>
      <c r="AD134" s="160"/>
      <c r="AE134" s="160"/>
      <c r="AF134" s="160"/>
      <c r="AG134" s="160"/>
      <c r="AH134" s="160"/>
      <c r="AI134" s="160"/>
      <c r="AJ134" s="160"/>
      <c r="AK134" s="160"/>
      <c r="AL134" s="160"/>
      <c r="AM134" s="160"/>
      <c r="AN134" s="164"/>
      <c r="AO134" s="160"/>
      <c r="AP134" s="160" t="str">
        <f t="shared" si="10"/>
        <v>#N/A</v>
      </c>
      <c r="AQ134" s="160" t="str">
        <f t="shared" si="11"/>
        <v>#N/A</v>
      </c>
      <c r="AR134" s="160" t="str">
        <f t="shared" si="12"/>
        <v>#N/A</v>
      </c>
      <c r="AS134" s="160"/>
      <c r="AT134" s="160"/>
      <c r="AU134" s="160"/>
      <c r="AV134" s="160"/>
      <c r="AW134" s="160"/>
      <c r="AX134" s="160"/>
      <c r="AY134" s="160"/>
      <c r="AZ134" s="160"/>
      <c r="BA134" s="160"/>
      <c r="BB134" s="160"/>
      <c r="BC134" s="160"/>
      <c r="BD134" s="160"/>
      <c r="BE134" s="160"/>
      <c r="BF134" s="160"/>
      <c r="BG134" s="160"/>
      <c r="BH134" s="160"/>
      <c r="BI134" s="160"/>
      <c r="BJ134" s="160"/>
      <c r="BK134" s="160"/>
      <c r="BL134" s="160"/>
      <c r="BM134" s="160"/>
      <c r="BN134" s="160"/>
      <c r="BO134" s="160"/>
      <c r="BP134" s="160"/>
      <c r="BQ134" s="160"/>
      <c r="BR134" s="160"/>
      <c r="BS134" s="160"/>
      <c r="BT134" s="160"/>
      <c r="BU134" s="160"/>
      <c r="BV134" s="160"/>
      <c r="BW134" s="160"/>
      <c r="BX134" s="160"/>
      <c r="BY134" s="160"/>
      <c r="BZ134" s="160"/>
      <c r="CA134" s="160"/>
      <c r="CB134" s="160"/>
      <c r="CC134" s="160"/>
      <c r="CD134" s="160"/>
      <c r="CE134" s="160"/>
      <c r="CF134" s="160"/>
      <c r="CG134" s="160"/>
      <c r="CH134" s="160"/>
      <c r="CI134" s="160"/>
      <c r="CJ134" s="160"/>
      <c r="CK134" s="160"/>
      <c r="CL134" s="160"/>
    </row>
    <row r="135">
      <c r="A135" s="174" t="s">
        <v>368</v>
      </c>
      <c r="B135" s="11" t="s">
        <v>369</v>
      </c>
      <c r="C135" s="175" t="s">
        <v>64</v>
      </c>
      <c r="D135" s="176" t="str">
        <f>IFERROR(VLOOKUP(C135, PIC!A:B, 2, 0), "")</f>
        <v>Lanh Le</v>
      </c>
      <c r="E135" s="11" t="s">
        <v>24</v>
      </c>
      <c r="F135" s="11"/>
      <c r="G135" s="11"/>
      <c r="H135" s="170">
        <f>IFERROR(
  MINIFS(ATTENDANCE_LOG!$F:$F,
         ATTENDANCE_LOG!$A:$A, C135,
         ATTENDANCE_LOG!$B:$B, E135),
"")</f>
        <v>46094.45833</v>
      </c>
      <c r="I135" s="170">
        <f t="shared" si="2"/>
        <v>45636.45833</v>
      </c>
      <c r="J135" s="11" t="str">
        <f>IFERROR(VLOOKUP(F135, LEVEL_HELPER!$A:$B, 2, 0), "")</f>
        <v/>
      </c>
      <c r="K135" s="11" t="str">
        <f>IFERROR(VLOOKUP(G135, LEVEL_HELPER!$A:$B, 2, 0), "")</f>
        <v/>
      </c>
      <c r="L135" s="171" t="s">
        <v>400</v>
      </c>
      <c r="M135" s="171" t="s">
        <v>152</v>
      </c>
      <c r="N135" s="11">
        <f t="array" ref="N135">IFERROR(
  INDEX($J$2:$J$531,
    MATCH(A135&amp;TEXT(I135,"yyyy-mm-dd"),
          $A$2:$A$531&amp;TEXT($H$2:$H$531,"yyyy-mm-dd"),
          0)),
"")</f>
        <v>2.5</v>
      </c>
      <c r="O135" s="160">
        <f t="shared" si="3"/>
        <v>3.5</v>
      </c>
      <c r="P135" s="160">
        <f t="shared" ref="P135:Q135" si="145">IF(N135="",0,IF(N135&lt;=2,1,IF(N135&lt;=4,2,IF(N135&lt;=5.5,3,4))))</f>
        <v>2</v>
      </c>
      <c r="Q135" s="160">
        <f t="shared" si="145"/>
        <v>2</v>
      </c>
      <c r="R135" s="160" t="str">
        <f t="shared" si="5"/>
        <v>Progress within level</v>
      </c>
      <c r="S135" s="160">
        <f t="shared" si="6"/>
        <v>0</v>
      </c>
      <c r="T135" s="177" t="s">
        <v>941</v>
      </c>
      <c r="U135" s="160">
        <f>COUNTIFS(sheet2!$A:$A,A135,sheet2!$E:$E,E135)</f>
        <v>1</v>
      </c>
      <c r="V135" s="160"/>
      <c r="W135" s="160"/>
      <c r="X135" s="160" t="str">
        <f t="shared" si="7"/>
        <v>#N/A</v>
      </c>
      <c r="Y135" s="160" t="str">
        <f t="shared" si="8"/>
        <v>#N/A</v>
      </c>
      <c r="Z135" s="160" t="str">
        <f t="shared" si="9"/>
        <v>#N/A</v>
      </c>
      <c r="AA135" s="160"/>
      <c r="AB135" s="160"/>
      <c r="AC135" s="160"/>
      <c r="AD135" s="160"/>
      <c r="AE135" s="160"/>
      <c r="AF135" s="160"/>
      <c r="AG135" s="160"/>
      <c r="AH135" s="160"/>
      <c r="AI135" s="160"/>
      <c r="AJ135" s="160"/>
      <c r="AK135" s="160"/>
      <c r="AL135" s="160"/>
      <c r="AM135" s="160"/>
      <c r="AN135" s="164"/>
      <c r="AO135" s="160"/>
      <c r="AP135" s="160" t="str">
        <f t="shared" si="10"/>
        <v>#N/A</v>
      </c>
      <c r="AQ135" s="160" t="str">
        <f t="shared" si="11"/>
        <v>#N/A</v>
      </c>
      <c r="AR135" s="160" t="str">
        <f t="shared" si="12"/>
        <v>#N/A</v>
      </c>
      <c r="AS135" s="160"/>
      <c r="AT135" s="160"/>
      <c r="AU135" s="160"/>
      <c r="AV135" s="160"/>
      <c r="AW135" s="160"/>
      <c r="AX135" s="160"/>
      <c r="AY135" s="160"/>
      <c r="AZ135" s="160"/>
      <c r="BA135" s="160"/>
      <c r="BB135" s="160"/>
      <c r="BC135" s="160"/>
      <c r="BD135" s="160"/>
      <c r="BE135" s="160"/>
      <c r="BF135" s="160"/>
      <c r="BG135" s="160"/>
      <c r="BH135" s="160"/>
      <c r="BI135" s="160"/>
      <c r="BJ135" s="160"/>
      <c r="BK135" s="160"/>
      <c r="BL135" s="160"/>
      <c r="BM135" s="160"/>
      <c r="BN135" s="160"/>
      <c r="BO135" s="160"/>
      <c r="BP135" s="160"/>
      <c r="BQ135" s="160"/>
      <c r="BR135" s="160"/>
      <c r="BS135" s="160"/>
      <c r="BT135" s="160"/>
      <c r="BU135" s="160"/>
      <c r="BV135" s="160"/>
      <c r="BW135" s="160"/>
      <c r="BX135" s="160"/>
      <c r="BY135" s="160"/>
      <c r="BZ135" s="160"/>
      <c r="CA135" s="160"/>
      <c r="CB135" s="160"/>
      <c r="CC135" s="160"/>
      <c r="CD135" s="160"/>
      <c r="CE135" s="160"/>
      <c r="CF135" s="160"/>
      <c r="CG135" s="160"/>
      <c r="CH135" s="160"/>
      <c r="CI135" s="160"/>
      <c r="CJ135" s="160"/>
      <c r="CK135" s="160"/>
      <c r="CL135" s="160"/>
    </row>
    <row r="136">
      <c r="A136" s="174" t="s">
        <v>373</v>
      </c>
      <c r="B136" s="11" t="s">
        <v>374</v>
      </c>
      <c r="C136" s="175" t="s">
        <v>64</v>
      </c>
      <c r="D136" s="176" t="str">
        <f>IFERROR(VLOOKUP(C136, PIC!A:B, 2, 0), "")</f>
        <v>Lanh Le</v>
      </c>
      <c r="E136" s="11" t="s">
        <v>24</v>
      </c>
      <c r="F136" s="11"/>
      <c r="G136" s="11"/>
      <c r="H136" s="170">
        <f>IFERROR(
  MINIFS(ATTENDANCE_LOG!$F:$F,
         ATTENDANCE_LOG!$A:$A, C136,
         ATTENDANCE_LOG!$B:$B, E136),
"")</f>
        <v>46094.45833</v>
      </c>
      <c r="I136" s="170">
        <f t="shared" si="2"/>
        <v>45639.58333</v>
      </c>
      <c r="J136" s="11" t="str">
        <f>IFERROR(VLOOKUP(F136, LEVEL_HELPER!$A:$B, 2, 0), "")</f>
        <v/>
      </c>
      <c r="K136" s="11" t="str">
        <f>IFERROR(VLOOKUP(G136, LEVEL_HELPER!$A:$B, 2, 0), "")</f>
        <v/>
      </c>
      <c r="L136" s="171" t="s">
        <v>400</v>
      </c>
      <c r="M136" s="171" t="s">
        <v>152</v>
      </c>
      <c r="N136" s="11">
        <f t="array" ref="N136">IFERROR(
  INDEX($J$2:$J$531,
    MATCH(A136&amp;TEXT(I136,"yyyy-mm-dd"),
          $A$2:$A$531&amp;TEXT($H$2:$H$531,"yyyy-mm-dd"),
          0)),
"")</f>
        <v>1</v>
      </c>
      <c r="O136" s="160">
        <f t="shared" si="3"/>
        <v>5</v>
      </c>
      <c r="P136" s="160">
        <f t="shared" ref="P136:Q136" si="146">IF(N136="",0,IF(N136&lt;=2,1,IF(N136&lt;=4,2,IF(N136&lt;=5.5,3,4))))</f>
        <v>1</v>
      </c>
      <c r="Q136" s="160">
        <f t="shared" si="146"/>
        <v>3</v>
      </c>
      <c r="R136" s="160" t="str">
        <f t="shared" si="5"/>
        <v>Lv1 → Lv3 (multi)</v>
      </c>
      <c r="S136" s="160">
        <f t="shared" si="6"/>
        <v>0</v>
      </c>
      <c r="T136" s="177" t="s">
        <v>892</v>
      </c>
      <c r="U136" s="160">
        <f>COUNTIFS(sheet2!$A:$A,A136,sheet2!$E:$E,E136)</f>
        <v>1</v>
      </c>
      <c r="V136" s="160"/>
      <c r="W136" s="160"/>
      <c r="X136" s="160" t="str">
        <f t="shared" si="7"/>
        <v>#N/A</v>
      </c>
      <c r="Y136" s="160" t="str">
        <f t="shared" si="8"/>
        <v>#N/A</v>
      </c>
      <c r="Z136" s="160" t="str">
        <f t="shared" si="9"/>
        <v>#N/A</v>
      </c>
      <c r="AA136" s="160"/>
      <c r="AB136" s="160"/>
      <c r="AC136" s="160"/>
      <c r="AD136" s="160"/>
      <c r="AE136" s="160"/>
      <c r="AF136" s="160"/>
      <c r="AG136" s="160"/>
      <c r="AH136" s="160"/>
      <c r="AI136" s="160"/>
      <c r="AJ136" s="160"/>
      <c r="AK136" s="160"/>
      <c r="AL136" s="160"/>
      <c r="AM136" s="160"/>
      <c r="AN136" s="164"/>
      <c r="AO136" s="160"/>
      <c r="AP136" s="160" t="str">
        <f t="shared" si="10"/>
        <v>#N/A</v>
      </c>
      <c r="AQ136" s="160" t="str">
        <f t="shared" si="11"/>
        <v>#N/A</v>
      </c>
      <c r="AR136" s="160" t="str">
        <f t="shared" si="12"/>
        <v>#N/A</v>
      </c>
      <c r="AS136" s="160"/>
      <c r="AT136" s="160"/>
      <c r="AU136" s="160"/>
      <c r="AV136" s="160"/>
      <c r="AW136" s="160"/>
      <c r="AX136" s="160"/>
      <c r="AY136" s="160"/>
      <c r="AZ136" s="160"/>
      <c r="BA136" s="160"/>
      <c r="BB136" s="160"/>
      <c r="BC136" s="160"/>
      <c r="BD136" s="160"/>
      <c r="BE136" s="160"/>
      <c r="BF136" s="160"/>
      <c r="BG136" s="160"/>
      <c r="BH136" s="160"/>
      <c r="BI136" s="160"/>
      <c r="BJ136" s="160"/>
      <c r="BK136" s="160"/>
      <c r="BL136" s="160"/>
      <c r="BM136" s="160"/>
      <c r="BN136" s="160"/>
      <c r="BO136" s="160"/>
      <c r="BP136" s="160"/>
      <c r="BQ136" s="160"/>
      <c r="BR136" s="160"/>
      <c r="BS136" s="160"/>
      <c r="BT136" s="160"/>
      <c r="BU136" s="160"/>
      <c r="BV136" s="160"/>
      <c r="BW136" s="160"/>
      <c r="BX136" s="160"/>
      <c r="BY136" s="160"/>
      <c r="BZ136" s="160"/>
      <c r="CA136" s="160"/>
      <c r="CB136" s="160"/>
      <c r="CC136" s="160"/>
      <c r="CD136" s="160"/>
      <c r="CE136" s="160"/>
      <c r="CF136" s="160"/>
      <c r="CG136" s="160"/>
      <c r="CH136" s="160"/>
      <c r="CI136" s="160"/>
      <c r="CJ136" s="160"/>
      <c r="CK136" s="160"/>
      <c r="CL136" s="160"/>
    </row>
    <row r="137">
      <c r="A137" s="174" t="s">
        <v>376</v>
      </c>
      <c r="B137" s="11" t="s">
        <v>377</v>
      </c>
      <c r="C137" s="175" t="s">
        <v>64</v>
      </c>
      <c r="D137" s="176" t="str">
        <f>IFERROR(VLOOKUP(C137, PIC!A:B, 2, 0), "")</f>
        <v>Lanh Le</v>
      </c>
      <c r="E137" s="11" t="s">
        <v>24</v>
      </c>
      <c r="F137" s="11"/>
      <c r="G137" s="11"/>
      <c r="H137" s="170">
        <f>IFERROR(
  MINIFS(ATTENDANCE_LOG!$F:$F,
         ATTENDANCE_LOG!$A:$A, C137,
         ATTENDANCE_LOG!$B:$B, E137),
"")</f>
        <v>46094.45833</v>
      </c>
      <c r="I137" s="170">
        <f t="shared" si="2"/>
        <v>45636.45833</v>
      </c>
      <c r="J137" s="11" t="str">
        <f>IFERROR(VLOOKUP(F137, LEVEL_HELPER!$A:$B, 2, 0), "")</f>
        <v/>
      </c>
      <c r="K137" s="11" t="str">
        <f>IFERROR(VLOOKUP(G137, LEVEL_HELPER!$A:$B, 2, 0), "")</f>
        <v/>
      </c>
      <c r="L137" s="171" t="s">
        <v>400</v>
      </c>
      <c r="M137" s="171" t="s">
        <v>152</v>
      </c>
      <c r="N137" s="11">
        <f t="array" ref="N137">IFERROR(
  INDEX($J$2:$J$531,
    MATCH(A137&amp;TEXT(I137,"yyyy-mm-dd"),
          $A$2:$A$531&amp;TEXT($H$2:$H$531,"yyyy-mm-dd"),
          0)),
"")</f>
        <v>2.5</v>
      </c>
      <c r="O137" s="160">
        <f t="shared" si="3"/>
        <v>3.5</v>
      </c>
      <c r="P137" s="160">
        <f t="shared" ref="P137:Q137" si="147">IF(N137="",0,IF(N137&lt;=2,1,IF(N137&lt;=4,2,IF(N137&lt;=5.5,3,4))))</f>
        <v>2</v>
      </c>
      <c r="Q137" s="160">
        <f t="shared" si="147"/>
        <v>2</v>
      </c>
      <c r="R137" s="160" t="str">
        <f t="shared" si="5"/>
        <v>Progress within level</v>
      </c>
      <c r="S137" s="160">
        <f t="shared" si="6"/>
        <v>0</v>
      </c>
      <c r="T137" s="177" t="s">
        <v>943</v>
      </c>
      <c r="U137" s="160">
        <f>COUNTIFS(sheet2!$A:$A,A137,sheet2!$E:$E,E137)</f>
        <v>1</v>
      </c>
      <c r="V137" s="160"/>
      <c r="W137" s="160"/>
      <c r="X137" s="160" t="str">
        <f t="shared" si="7"/>
        <v>#N/A</v>
      </c>
      <c r="Y137" s="160" t="str">
        <f t="shared" si="8"/>
        <v>#N/A</v>
      </c>
      <c r="Z137" s="160" t="str">
        <f t="shared" si="9"/>
        <v>#N/A</v>
      </c>
      <c r="AA137" s="160"/>
      <c r="AB137" s="160"/>
      <c r="AC137" s="160"/>
      <c r="AD137" s="160"/>
      <c r="AE137" s="160"/>
      <c r="AF137" s="160"/>
      <c r="AG137" s="160"/>
      <c r="AH137" s="160"/>
      <c r="AI137" s="160"/>
      <c r="AJ137" s="160"/>
      <c r="AK137" s="160"/>
      <c r="AL137" s="160"/>
      <c r="AM137" s="160"/>
      <c r="AN137" s="164"/>
      <c r="AO137" s="160"/>
      <c r="AP137" s="160" t="str">
        <f t="shared" si="10"/>
        <v>#N/A</v>
      </c>
      <c r="AQ137" s="160" t="str">
        <f t="shared" si="11"/>
        <v>#N/A</v>
      </c>
      <c r="AR137" s="160" t="str">
        <f t="shared" si="12"/>
        <v>#N/A</v>
      </c>
      <c r="AS137" s="160"/>
      <c r="AT137" s="160"/>
      <c r="AU137" s="160"/>
      <c r="AV137" s="160"/>
      <c r="AW137" s="160"/>
      <c r="AX137" s="160"/>
      <c r="AY137" s="160"/>
      <c r="AZ137" s="160"/>
      <c r="BA137" s="160"/>
      <c r="BB137" s="160"/>
      <c r="BC137" s="160"/>
      <c r="BD137" s="160"/>
      <c r="BE137" s="160"/>
      <c r="BF137" s="160"/>
      <c r="BG137" s="160"/>
      <c r="BH137" s="160"/>
      <c r="BI137" s="160"/>
      <c r="BJ137" s="160"/>
      <c r="BK137" s="160"/>
      <c r="BL137" s="160"/>
      <c r="BM137" s="160"/>
      <c r="BN137" s="160"/>
      <c r="BO137" s="160"/>
      <c r="BP137" s="160"/>
      <c r="BQ137" s="160"/>
      <c r="BR137" s="160"/>
      <c r="BS137" s="160"/>
      <c r="BT137" s="160"/>
      <c r="BU137" s="160"/>
      <c r="BV137" s="160"/>
      <c r="BW137" s="160"/>
      <c r="BX137" s="160"/>
      <c r="BY137" s="160"/>
      <c r="BZ137" s="160"/>
      <c r="CA137" s="160"/>
      <c r="CB137" s="160"/>
      <c r="CC137" s="160"/>
      <c r="CD137" s="160"/>
      <c r="CE137" s="160"/>
      <c r="CF137" s="160"/>
      <c r="CG137" s="160"/>
      <c r="CH137" s="160"/>
      <c r="CI137" s="160"/>
      <c r="CJ137" s="160"/>
      <c r="CK137" s="160"/>
      <c r="CL137" s="160"/>
    </row>
    <row r="138">
      <c r="A138" s="174" t="s">
        <v>378</v>
      </c>
      <c r="B138" s="11" t="s">
        <v>379</v>
      </c>
      <c r="C138" s="175" t="s">
        <v>64</v>
      </c>
      <c r="D138" s="176" t="str">
        <f>IFERROR(VLOOKUP(C138, PIC!A:B, 2, 0), "")</f>
        <v>Lanh Le</v>
      </c>
      <c r="E138" s="11" t="s">
        <v>24</v>
      </c>
      <c r="F138" s="11"/>
      <c r="G138" s="11"/>
      <c r="H138" s="170">
        <f>IFERROR(
  MINIFS(ATTENDANCE_LOG!$F:$F,
         ATTENDANCE_LOG!$A:$A, C138,
         ATTENDANCE_LOG!$B:$B, E138),
"")</f>
        <v>46094.45833</v>
      </c>
      <c r="I138" s="170">
        <f t="shared" si="2"/>
        <v>45636.45833</v>
      </c>
      <c r="J138" s="11" t="str">
        <f>IFERROR(VLOOKUP(F138, LEVEL_HELPER!$A:$B, 2, 0), "")</f>
        <v/>
      </c>
      <c r="K138" s="11" t="str">
        <f>IFERROR(VLOOKUP(G138, LEVEL_HELPER!$A:$B, 2, 0), "")</f>
        <v/>
      </c>
      <c r="L138" s="171" t="s">
        <v>847</v>
      </c>
      <c r="M138" s="171" t="s">
        <v>150</v>
      </c>
      <c r="N138" s="11">
        <f t="array" ref="N138">IFERROR(
  INDEX($J$2:$J$531,
    MATCH(A138&amp;TEXT(I138,"yyyy-mm-dd"),
          $A$2:$A$531&amp;TEXT($H$2:$H$531,"yyyy-mm-dd"),
          0)),
"")</f>
        <v>1</v>
      </c>
      <c r="O138" s="160">
        <f t="shared" si="3"/>
        <v>5</v>
      </c>
      <c r="P138" s="160">
        <f t="shared" ref="P138:Q138" si="148">IF(N138="",0,IF(N138&lt;=2,1,IF(N138&lt;=4,2,IF(N138&lt;=5.5,3,4))))</f>
        <v>1</v>
      </c>
      <c r="Q138" s="160">
        <f t="shared" si="148"/>
        <v>3</v>
      </c>
      <c r="R138" s="160" t="str">
        <f t="shared" si="5"/>
        <v>Lv1 → Lv3 (multi)</v>
      </c>
      <c r="S138" s="160">
        <f t="shared" si="6"/>
        <v>0</v>
      </c>
      <c r="T138" s="177" t="s">
        <v>944</v>
      </c>
      <c r="U138" s="160">
        <f>COUNTIFS(sheet2!$A:$A,A138,sheet2!$E:$E,E138)</f>
        <v>1</v>
      </c>
      <c r="V138" s="160"/>
      <c r="W138" s="160"/>
      <c r="X138" s="160" t="str">
        <f t="shared" si="7"/>
        <v>#N/A</v>
      </c>
      <c r="Y138" s="160" t="str">
        <f t="shared" si="8"/>
        <v>#N/A</v>
      </c>
      <c r="Z138" s="160" t="str">
        <f t="shared" si="9"/>
        <v>#N/A</v>
      </c>
      <c r="AA138" s="160"/>
      <c r="AB138" s="160"/>
      <c r="AC138" s="160"/>
      <c r="AD138" s="160"/>
      <c r="AE138" s="160"/>
      <c r="AF138" s="160"/>
      <c r="AG138" s="160"/>
      <c r="AH138" s="160"/>
      <c r="AI138" s="160"/>
      <c r="AJ138" s="160"/>
      <c r="AK138" s="160"/>
      <c r="AL138" s="160"/>
      <c r="AM138" s="160"/>
      <c r="AN138" s="164"/>
      <c r="AO138" s="160"/>
      <c r="AP138" s="160" t="str">
        <f t="shared" si="10"/>
        <v>#N/A</v>
      </c>
      <c r="AQ138" s="160" t="str">
        <f t="shared" si="11"/>
        <v>#N/A</v>
      </c>
      <c r="AR138" s="160" t="str">
        <f t="shared" si="12"/>
        <v>#N/A</v>
      </c>
      <c r="AS138" s="160"/>
      <c r="AT138" s="160"/>
      <c r="AU138" s="160"/>
      <c r="AV138" s="160"/>
      <c r="AW138" s="160"/>
      <c r="AX138" s="160"/>
      <c r="AY138" s="160"/>
      <c r="AZ138" s="160"/>
      <c r="BA138" s="160"/>
      <c r="BB138" s="160"/>
      <c r="BC138" s="160"/>
      <c r="BD138" s="160"/>
      <c r="BE138" s="160"/>
      <c r="BF138" s="160"/>
      <c r="BG138" s="160"/>
      <c r="BH138" s="160"/>
      <c r="BI138" s="160"/>
      <c r="BJ138" s="160"/>
      <c r="BK138" s="160"/>
      <c r="BL138" s="160"/>
      <c r="BM138" s="160"/>
      <c r="BN138" s="160"/>
      <c r="BO138" s="160"/>
      <c r="BP138" s="160"/>
      <c r="BQ138" s="160"/>
      <c r="BR138" s="160"/>
      <c r="BS138" s="160"/>
      <c r="BT138" s="160"/>
      <c r="BU138" s="160"/>
      <c r="BV138" s="160"/>
      <c r="BW138" s="160"/>
      <c r="BX138" s="160"/>
      <c r="BY138" s="160"/>
      <c r="BZ138" s="160"/>
      <c r="CA138" s="160"/>
      <c r="CB138" s="160"/>
      <c r="CC138" s="160"/>
      <c r="CD138" s="160"/>
      <c r="CE138" s="160"/>
      <c r="CF138" s="160"/>
      <c r="CG138" s="160"/>
      <c r="CH138" s="160"/>
      <c r="CI138" s="160"/>
      <c r="CJ138" s="160"/>
      <c r="CK138" s="160"/>
      <c r="CL138" s="160"/>
    </row>
    <row r="139">
      <c r="A139" s="199" t="s">
        <v>645</v>
      </c>
      <c r="B139" s="200" t="s">
        <v>646</v>
      </c>
      <c r="C139" s="201" t="s">
        <v>65</v>
      </c>
      <c r="D139" s="169" t="str">
        <f>IFERROR(VLOOKUP(C139, PIC!A:B, 2, 0), "")</f>
        <v>Thao Vu 1</v>
      </c>
      <c r="E139" s="200" t="s">
        <v>22</v>
      </c>
      <c r="F139" s="16" t="s">
        <v>849</v>
      </c>
      <c r="G139" s="16" t="s">
        <v>849</v>
      </c>
      <c r="H139" s="170">
        <f>IFERROR(
  MINIFS(ATTENDANCE_LOG!$F:$F,
         ATTENDANCE_LOG!$A:$A, C139,
         ATTENDANCE_LOG!$B:$B, E139),
"")</f>
        <v>45635.4375</v>
      </c>
      <c r="I139" s="170">
        <f t="shared" si="2"/>
        <v>45635.4375</v>
      </c>
      <c r="J139" s="11">
        <f>IFERROR(VLOOKUP(F139, LEVEL_HELPER!$A:$B, 2, 0), "")</f>
        <v>1</v>
      </c>
      <c r="K139" s="11">
        <f>IFERROR(VLOOKUP(G139, LEVEL_HELPER!$A:$B, 2, 0), "")</f>
        <v>1</v>
      </c>
      <c r="L139" s="171" t="s">
        <v>847</v>
      </c>
      <c r="M139" s="171" t="s">
        <v>150</v>
      </c>
      <c r="N139" s="11">
        <f t="array" ref="N139">IFERROR(
  INDEX($J$2:$J$531,
    MATCH(A139&amp;TEXT(I139,"yyyy-mm-dd"),
          $A$2:$A$531&amp;TEXT($H$2:$H$531,"yyyy-mm-dd"),
          0)),
"")</f>
        <v>1</v>
      </c>
      <c r="O139" s="160">
        <f t="shared" si="3"/>
        <v>1</v>
      </c>
      <c r="P139" s="160">
        <f t="shared" ref="P139:Q139" si="149">IF(N139="",0,IF(N139&lt;=2,1,IF(N139&lt;=4,2,IF(N139&lt;=5.5,3,4))))</f>
        <v>1</v>
      </c>
      <c r="Q139" s="160">
        <f t="shared" si="149"/>
        <v>1</v>
      </c>
      <c r="R139" s="160" t="str">
        <f t="shared" si="5"/>
        <v>No Progress</v>
      </c>
      <c r="S139" s="160">
        <f t="shared" si="6"/>
        <v>1</v>
      </c>
      <c r="T139" s="172" t="s">
        <v>945</v>
      </c>
      <c r="U139" s="160">
        <f>COUNTIFS(sheet2!$A:$A,A139,sheet2!$E:$E,E139)</f>
        <v>1</v>
      </c>
      <c r="V139" s="160"/>
      <c r="W139" s="160"/>
      <c r="X139" s="160" t="str">
        <f t="shared" si="7"/>
        <v>#N/A</v>
      </c>
      <c r="Y139" s="160" t="str">
        <f t="shared" si="8"/>
        <v>#N/A</v>
      </c>
      <c r="Z139" s="160" t="str">
        <f t="shared" si="9"/>
        <v>#N/A</v>
      </c>
      <c r="AA139" s="160"/>
      <c r="AB139" s="160"/>
      <c r="AC139" s="160"/>
      <c r="AD139" s="160"/>
      <c r="AE139" s="160"/>
      <c r="AF139" s="160"/>
      <c r="AG139" s="160"/>
      <c r="AH139" s="160"/>
      <c r="AI139" s="160"/>
      <c r="AJ139" s="160"/>
      <c r="AK139" s="160"/>
      <c r="AL139" s="160"/>
      <c r="AM139" s="160"/>
      <c r="AN139" s="164"/>
      <c r="AO139" s="160"/>
      <c r="AP139" s="160" t="str">
        <f t="shared" si="10"/>
        <v>#N/A</v>
      </c>
      <c r="AQ139" s="160" t="str">
        <f t="shared" si="11"/>
        <v>#N/A</v>
      </c>
      <c r="AR139" s="160" t="str">
        <f t="shared" si="12"/>
        <v>#N/A</v>
      </c>
      <c r="AS139" s="160"/>
      <c r="AT139" s="160"/>
      <c r="AU139" s="160"/>
      <c r="AV139" s="160"/>
      <c r="AW139" s="160"/>
      <c r="AX139" s="160"/>
      <c r="AY139" s="160"/>
      <c r="AZ139" s="160"/>
      <c r="BA139" s="160"/>
      <c r="BB139" s="160"/>
      <c r="BC139" s="160"/>
      <c r="BD139" s="160"/>
      <c r="BE139" s="160"/>
      <c r="BF139" s="160"/>
      <c r="BG139" s="160"/>
      <c r="BH139" s="160"/>
      <c r="BI139" s="160"/>
      <c r="BJ139" s="160"/>
      <c r="BK139" s="160"/>
      <c r="BL139" s="160"/>
      <c r="BM139" s="160"/>
      <c r="BN139" s="160"/>
      <c r="BO139" s="160"/>
      <c r="BP139" s="160"/>
      <c r="BQ139" s="160"/>
      <c r="BR139" s="160"/>
      <c r="BS139" s="160"/>
      <c r="BT139" s="160"/>
      <c r="BU139" s="160"/>
      <c r="BV139" s="160"/>
      <c r="BW139" s="160"/>
      <c r="BX139" s="160"/>
      <c r="BY139" s="160"/>
      <c r="BZ139" s="160"/>
      <c r="CA139" s="160"/>
      <c r="CB139" s="160"/>
      <c r="CC139" s="160"/>
      <c r="CD139" s="160"/>
      <c r="CE139" s="160"/>
      <c r="CF139" s="160"/>
      <c r="CG139" s="160"/>
      <c r="CH139" s="160"/>
      <c r="CI139" s="160"/>
      <c r="CJ139" s="160"/>
      <c r="CK139" s="160"/>
      <c r="CL139" s="160"/>
    </row>
    <row r="140">
      <c r="A140" s="174" t="s">
        <v>639</v>
      </c>
      <c r="B140" s="11" t="s">
        <v>640</v>
      </c>
      <c r="C140" s="175" t="s">
        <v>65</v>
      </c>
      <c r="D140" s="176" t="str">
        <f>IFERROR(VLOOKUP(C140, PIC!A:B, 2, 0), "")</f>
        <v>Thao Vu 1</v>
      </c>
      <c r="E140" s="11" t="s">
        <v>22</v>
      </c>
      <c r="F140" s="16" t="s">
        <v>849</v>
      </c>
      <c r="G140" s="16" t="s">
        <v>849</v>
      </c>
      <c r="H140" s="170">
        <f>IFERROR(
  MINIFS(ATTENDANCE_LOG!$F:$F,
         ATTENDANCE_LOG!$A:$A, C140,
         ATTENDANCE_LOG!$B:$B, E140),
"")</f>
        <v>45635.4375</v>
      </c>
      <c r="I140" s="170">
        <f t="shared" si="2"/>
        <v>45635.4375</v>
      </c>
      <c r="J140" s="11">
        <f>IFERROR(VLOOKUP(F140, LEVEL_HELPER!$A:$B, 2, 0), "")</f>
        <v>1</v>
      </c>
      <c r="K140" s="11">
        <f>IFERROR(VLOOKUP(G140, LEVEL_HELPER!$A:$B, 2, 0), "")</f>
        <v>1</v>
      </c>
      <c r="L140" s="171" t="s">
        <v>847</v>
      </c>
      <c r="M140" s="171" t="s">
        <v>152</v>
      </c>
      <c r="N140" s="11">
        <f t="array" ref="N140">IFERROR(
  INDEX($J$2:$J$531,
    MATCH(A140&amp;TEXT(I140,"yyyy-mm-dd"),
          $A$2:$A$531&amp;TEXT($H$2:$H$531,"yyyy-mm-dd"),
          0)),
"")</f>
        <v>1</v>
      </c>
      <c r="O140" s="160">
        <f t="shared" si="3"/>
        <v>1</v>
      </c>
      <c r="P140" s="160">
        <f t="shared" ref="P140:Q140" si="150">IF(N140="",0,IF(N140&lt;=2,1,IF(N140&lt;=4,2,IF(N140&lt;=5.5,3,4))))</f>
        <v>1</v>
      </c>
      <c r="Q140" s="160">
        <f t="shared" si="150"/>
        <v>1</v>
      </c>
      <c r="R140" s="160" t="str">
        <f t="shared" si="5"/>
        <v>No Progress</v>
      </c>
      <c r="S140" s="160">
        <f t="shared" si="6"/>
        <v>1</v>
      </c>
      <c r="T140" s="177" t="s">
        <v>946</v>
      </c>
      <c r="U140" s="160">
        <f>COUNTIFS(sheet2!$A:$A,A140,sheet2!$E:$E,E140)</f>
        <v>1</v>
      </c>
      <c r="V140" s="160"/>
      <c r="W140" s="160"/>
      <c r="X140" s="160" t="str">
        <f t="shared" si="7"/>
        <v>#N/A</v>
      </c>
      <c r="Y140" s="160" t="str">
        <f t="shared" si="8"/>
        <v>#N/A</v>
      </c>
      <c r="Z140" s="160" t="str">
        <f t="shared" si="9"/>
        <v>#N/A</v>
      </c>
      <c r="AA140" s="160"/>
      <c r="AB140" s="160"/>
      <c r="AC140" s="160"/>
      <c r="AD140" s="160"/>
      <c r="AE140" s="160"/>
      <c r="AF140" s="160"/>
      <c r="AG140" s="160"/>
      <c r="AH140" s="160"/>
      <c r="AI140" s="160"/>
      <c r="AJ140" s="160"/>
      <c r="AK140" s="160"/>
      <c r="AL140" s="160"/>
      <c r="AM140" s="160"/>
      <c r="AN140" s="164"/>
      <c r="AO140" s="160"/>
      <c r="AP140" s="160" t="str">
        <f t="shared" si="10"/>
        <v>#N/A</v>
      </c>
      <c r="AQ140" s="160" t="str">
        <f t="shared" si="11"/>
        <v>#N/A</v>
      </c>
      <c r="AR140" s="160" t="str">
        <f t="shared" si="12"/>
        <v>#N/A</v>
      </c>
      <c r="AS140" s="160"/>
      <c r="AT140" s="160"/>
      <c r="AU140" s="160"/>
      <c r="AV140" s="160"/>
      <c r="AW140" s="160"/>
      <c r="AX140" s="160"/>
      <c r="AY140" s="160"/>
      <c r="AZ140" s="160"/>
      <c r="BA140" s="160"/>
      <c r="BB140" s="160"/>
      <c r="BC140" s="160"/>
      <c r="BD140" s="160"/>
      <c r="BE140" s="160"/>
      <c r="BF140" s="160"/>
      <c r="BG140" s="160"/>
      <c r="BH140" s="160"/>
      <c r="BI140" s="160"/>
      <c r="BJ140" s="160"/>
      <c r="BK140" s="160"/>
      <c r="BL140" s="160"/>
      <c r="BM140" s="160"/>
      <c r="BN140" s="160"/>
      <c r="BO140" s="160"/>
      <c r="BP140" s="160"/>
      <c r="BQ140" s="160"/>
      <c r="BR140" s="160"/>
      <c r="BS140" s="160"/>
      <c r="BT140" s="160"/>
      <c r="BU140" s="160"/>
      <c r="BV140" s="160"/>
      <c r="BW140" s="160"/>
      <c r="BX140" s="160"/>
      <c r="BY140" s="160"/>
      <c r="BZ140" s="160"/>
      <c r="CA140" s="160"/>
      <c r="CB140" s="160"/>
      <c r="CC140" s="160"/>
      <c r="CD140" s="160"/>
      <c r="CE140" s="160"/>
      <c r="CF140" s="160"/>
      <c r="CG140" s="160"/>
      <c r="CH140" s="160"/>
      <c r="CI140" s="160"/>
      <c r="CJ140" s="160"/>
      <c r="CK140" s="160"/>
      <c r="CL140" s="160"/>
    </row>
    <row r="141">
      <c r="A141" s="174" t="s">
        <v>641</v>
      </c>
      <c r="B141" s="11" t="s">
        <v>642</v>
      </c>
      <c r="C141" s="175" t="s">
        <v>65</v>
      </c>
      <c r="D141" s="176" t="str">
        <f>IFERROR(VLOOKUP(C141, PIC!A:B, 2, 0), "")</f>
        <v>Thao Vu 1</v>
      </c>
      <c r="E141" s="11" t="s">
        <v>22</v>
      </c>
      <c r="F141" s="16" t="s">
        <v>849</v>
      </c>
      <c r="G141" s="16" t="s">
        <v>849</v>
      </c>
      <c r="H141" s="170">
        <f>IFERROR(
  MINIFS(ATTENDANCE_LOG!$F:$F,
         ATTENDANCE_LOG!$A:$A, C141,
         ATTENDANCE_LOG!$B:$B, E141),
"")</f>
        <v>45635.4375</v>
      </c>
      <c r="I141" s="170">
        <f t="shared" si="2"/>
        <v>45635.4375</v>
      </c>
      <c r="J141" s="11">
        <f>IFERROR(VLOOKUP(F141, LEVEL_HELPER!$A:$B, 2, 0), "")</f>
        <v>1</v>
      </c>
      <c r="K141" s="11">
        <f>IFERROR(VLOOKUP(G141, LEVEL_HELPER!$A:$B, 2, 0), "")</f>
        <v>1</v>
      </c>
      <c r="L141" s="171" t="s">
        <v>847</v>
      </c>
      <c r="M141" s="171" t="s">
        <v>151</v>
      </c>
      <c r="N141" s="11">
        <f t="array" ref="N141">IFERROR(
  INDEX($J$2:$J$531,
    MATCH(A141&amp;TEXT(I141,"yyyy-mm-dd"),
          $A$2:$A$531&amp;TEXT($H$2:$H$531,"yyyy-mm-dd"),
          0)),
"")</f>
        <v>1</v>
      </c>
      <c r="O141" s="160">
        <f t="shared" si="3"/>
        <v>1</v>
      </c>
      <c r="P141" s="160">
        <f t="shared" ref="P141:Q141" si="151">IF(N141="",0,IF(N141&lt;=2,1,IF(N141&lt;=4,2,IF(N141&lt;=5.5,3,4))))</f>
        <v>1</v>
      </c>
      <c r="Q141" s="160">
        <f t="shared" si="151"/>
        <v>1</v>
      </c>
      <c r="R141" s="160" t="str">
        <f t="shared" si="5"/>
        <v>No Progress</v>
      </c>
      <c r="S141" s="160">
        <f t="shared" si="6"/>
        <v>1</v>
      </c>
      <c r="T141" s="177" t="s">
        <v>947</v>
      </c>
      <c r="U141" s="160">
        <f>COUNTIFS(sheet2!$A:$A,A141,sheet2!$E:$E,E141)</f>
        <v>1</v>
      </c>
      <c r="V141" s="160"/>
      <c r="W141" s="160"/>
      <c r="X141" s="160" t="str">
        <f t="shared" si="7"/>
        <v>#N/A</v>
      </c>
      <c r="Y141" s="160" t="str">
        <f t="shared" si="8"/>
        <v>#N/A</v>
      </c>
      <c r="Z141" s="160" t="str">
        <f t="shared" si="9"/>
        <v>#N/A</v>
      </c>
      <c r="AA141" s="160"/>
      <c r="AB141" s="160"/>
      <c r="AC141" s="160"/>
      <c r="AD141" s="160"/>
      <c r="AE141" s="160"/>
      <c r="AF141" s="160"/>
      <c r="AG141" s="160"/>
      <c r="AH141" s="160"/>
      <c r="AI141" s="160"/>
      <c r="AJ141" s="160"/>
      <c r="AK141" s="160"/>
      <c r="AL141" s="160"/>
      <c r="AM141" s="160"/>
      <c r="AN141" s="164"/>
      <c r="AO141" s="160"/>
      <c r="AP141" s="160" t="str">
        <f t="shared" si="10"/>
        <v>#N/A</v>
      </c>
      <c r="AQ141" s="160" t="str">
        <f t="shared" si="11"/>
        <v>#N/A</v>
      </c>
      <c r="AR141" s="160" t="str">
        <f t="shared" si="12"/>
        <v>#N/A</v>
      </c>
      <c r="AS141" s="160"/>
      <c r="AT141" s="160"/>
      <c r="AU141" s="160"/>
      <c r="AV141" s="160"/>
      <c r="AW141" s="160"/>
      <c r="AX141" s="160"/>
      <c r="AY141" s="160"/>
      <c r="AZ141" s="160"/>
      <c r="BA141" s="160"/>
      <c r="BB141" s="160"/>
      <c r="BC141" s="160"/>
      <c r="BD141" s="160"/>
      <c r="BE141" s="160"/>
      <c r="BF141" s="160"/>
      <c r="BG141" s="160"/>
      <c r="BH141" s="160"/>
      <c r="BI141" s="160"/>
      <c r="BJ141" s="160"/>
      <c r="BK141" s="160"/>
      <c r="BL141" s="160"/>
      <c r="BM141" s="160"/>
      <c r="BN141" s="160"/>
      <c r="BO141" s="160"/>
      <c r="BP141" s="160"/>
      <c r="BQ141" s="160"/>
      <c r="BR141" s="160"/>
      <c r="BS141" s="160"/>
      <c r="BT141" s="160"/>
      <c r="BU141" s="160"/>
      <c r="BV141" s="160"/>
      <c r="BW141" s="160"/>
      <c r="BX141" s="160"/>
      <c r="BY141" s="160"/>
      <c r="BZ141" s="160"/>
      <c r="CA141" s="160"/>
      <c r="CB141" s="160"/>
      <c r="CC141" s="160"/>
      <c r="CD141" s="160"/>
      <c r="CE141" s="160"/>
      <c r="CF141" s="160"/>
      <c r="CG141" s="160"/>
      <c r="CH141" s="160"/>
      <c r="CI141" s="160"/>
      <c r="CJ141" s="160"/>
      <c r="CK141" s="160"/>
      <c r="CL141" s="160"/>
    </row>
    <row r="142">
      <c r="A142" s="174" t="s">
        <v>437</v>
      </c>
      <c r="B142" s="11" t="s">
        <v>438</v>
      </c>
      <c r="C142" s="175" t="s">
        <v>65</v>
      </c>
      <c r="D142" s="176" t="str">
        <f>IFERROR(VLOOKUP(C142, PIC!A:B, 2, 0), "")</f>
        <v>Thao Vu 1</v>
      </c>
      <c r="E142" s="11" t="s">
        <v>22</v>
      </c>
      <c r="F142" s="16" t="s">
        <v>849</v>
      </c>
      <c r="G142" s="16" t="s">
        <v>849</v>
      </c>
      <c r="H142" s="170">
        <f>IFERROR(
  MINIFS(ATTENDANCE_LOG!$F:$F,
         ATTENDANCE_LOG!$A:$A, C142,
         ATTENDANCE_LOG!$B:$B, E142),
"")</f>
        <v>45635.4375</v>
      </c>
      <c r="I142" s="170">
        <f t="shared" si="2"/>
        <v>45635.4375</v>
      </c>
      <c r="J142" s="11">
        <f>IFERROR(VLOOKUP(F142, LEVEL_HELPER!$A:$B, 2, 0), "")</f>
        <v>1</v>
      </c>
      <c r="K142" s="11">
        <f>IFERROR(VLOOKUP(G142, LEVEL_HELPER!$A:$B, 2, 0), "")</f>
        <v>1</v>
      </c>
      <c r="L142" s="171" t="s">
        <v>847</v>
      </c>
      <c r="M142" s="171" t="s">
        <v>152</v>
      </c>
      <c r="N142" s="11">
        <f t="array" ref="N142">IFERROR(
  INDEX($J$2:$J$531,
    MATCH(A142&amp;TEXT(I142,"yyyy-mm-dd"),
          $A$2:$A$531&amp;TEXT($H$2:$H$531,"yyyy-mm-dd"),
          0)),
"")</f>
        <v>1</v>
      </c>
      <c r="O142" s="160">
        <f t="shared" si="3"/>
        <v>1</v>
      </c>
      <c r="P142" s="160">
        <f t="shared" ref="P142:Q142" si="152">IF(N142="",0,IF(N142&lt;=2,1,IF(N142&lt;=4,2,IF(N142&lt;=5.5,3,4))))</f>
        <v>1</v>
      </c>
      <c r="Q142" s="160">
        <f t="shared" si="152"/>
        <v>1</v>
      </c>
      <c r="R142" s="160" t="str">
        <f t="shared" si="5"/>
        <v>No Progress</v>
      </c>
      <c r="S142" s="160">
        <f t="shared" si="6"/>
        <v>1</v>
      </c>
      <c r="T142" s="177" t="s">
        <v>948</v>
      </c>
      <c r="U142" s="160">
        <f>COUNTIFS(sheet2!$A:$A,A142,sheet2!$E:$E,E142)</f>
        <v>2</v>
      </c>
      <c r="V142" s="160"/>
      <c r="W142" s="160"/>
      <c r="X142" s="160" t="str">
        <f t="shared" si="7"/>
        <v>#N/A</v>
      </c>
      <c r="Y142" s="160" t="str">
        <f t="shared" si="8"/>
        <v>#N/A</v>
      </c>
      <c r="Z142" s="160" t="str">
        <f t="shared" si="9"/>
        <v>#N/A</v>
      </c>
      <c r="AA142" s="160"/>
      <c r="AB142" s="160"/>
      <c r="AC142" s="160"/>
      <c r="AD142" s="160"/>
      <c r="AE142" s="160"/>
      <c r="AF142" s="160"/>
      <c r="AG142" s="160"/>
      <c r="AH142" s="160"/>
      <c r="AI142" s="160"/>
      <c r="AJ142" s="160"/>
      <c r="AK142" s="160"/>
      <c r="AL142" s="160"/>
      <c r="AM142" s="160"/>
      <c r="AN142" s="164"/>
      <c r="AO142" s="160"/>
      <c r="AP142" s="160" t="str">
        <f t="shared" si="10"/>
        <v>#N/A</v>
      </c>
      <c r="AQ142" s="160" t="str">
        <f t="shared" si="11"/>
        <v>#N/A</v>
      </c>
      <c r="AR142" s="160" t="str">
        <f t="shared" si="12"/>
        <v>#N/A</v>
      </c>
      <c r="AS142" s="160"/>
      <c r="AT142" s="160"/>
      <c r="AU142" s="160"/>
      <c r="AV142" s="160"/>
      <c r="AW142" s="160"/>
      <c r="AX142" s="160"/>
      <c r="AY142" s="160"/>
      <c r="AZ142" s="160"/>
      <c r="BA142" s="160"/>
      <c r="BB142" s="160"/>
      <c r="BC142" s="160"/>
      <c r="BD142" s="160"/>
      <c r="BE142" s="160"/>
      <c r="BF142" s="160"/>
      <c r="BG142" s="160"/>
      <c r="BH142" s="160"/>
      <c r="BI142" s="160"/>
      <c r="BJ142" s="160"/>
      <c r="BK142" s="160"/>
      <c r="BL142" s="160"/>
      <c r="BM142" s="160"/>
      <c r="BN142" s="160"/>
      <c r="BO142" s="160"/>
      <c r="BP142" s="160"/>
      <c r="BQ142" s="160"/>
      <c r="BR142" s="160"/>
      <c r="BS142" s="160"/>
      <c r="BT142" s="160"/>
      <c r="BU142" s="160"/>
      <c r="BV142" s="160"/>
      <c r="BW142" s="160"/>
      <c r="BX142" s="160"/>
      <c r="BY142" s="160"/>
      <c r="BZ142" s="160"/>
      <c r="CA142" s="160"/>
      <c r="CB142" s="160"/>
      <c r="CC142" s="160"/>
      <c r="CD142" s="160"/>
      <c r="CE142" s="160"/>
      <c r="CF142" s="160"/>
      <c r="CG142" s="160"/>
      <c r="CH142" s="160"/>
      <c r="CI142" s="160"/>
      <c r="CJ142" s="160"/>
      <c r="CK142" s="160"/>
      <c r="CL142" s="160"/>
    </row>
    <row r="143">
      <c r="A143" s="174" t="s">
        <v>643</v>
      </c>
      <c r="B143" s="11" t="s">
        <v>644</v>
      </c>
      <c r="C143" s="175" t="s">
        <v>65</v>
      </c>
      <c r="D143" s="176" t="str">
        <f>IFERROR(VLOOKUP(C143, PIC!A:B, 2, 0), "")</f>
        <v>Thao Vu 1</v>
      </c>
      <c r="E143" s="11" t="s">
        <v>22</v>
      </c>
      <c r="F143" s="16" t="s">
        <v>858</v>
      </c>
      <c r="G143" s="16" t="s">
        <v>845</v>
      </c>
      <c r="H143" s="170">
        <f>IFERROR(
  MINIFS(ATTENDANCE_LOG!$F:$F,
         ATTENDANCE_LOG!$A:$A, C143,
         ATTENDANCE_LOG!$B:$B, E143),
"")</f>
        <v>45635.4375</v>
      </c>
      <c r="I143" s="170">
        <f t="shared" si="2"/>
        <v>45635.4375</v>
      </c>
      <c r="J143" s="11">
        <f>IFERROR(VLOOKUP(F143, LEVEL_HELPER!$A:$B, 2, 0), "")</f>
        <v>4.5</v>
      </c>
      <c r="K143" s="11">
        <f>IFERROR(VLOOKUP(G143, LEVEL_HELPER!$A:$B, 2, 0), "")</f>
        <v>2.5</v>
      </c>
      <c r="L143" s="171" t="s">
        <v>847</v>
      </c>
      <c r="M143" s="171" t="s">
        <v>152</v>
      </c>
      <c r="N143" s="11">
        <f t="array" ref="N143">IFERROR(
  INDEX($J$2:$J$531,
    MATCH(A143&amp;TEXT(I143,"yyyy-mm-dd"),
          $A$2:$A$531&amp;TEXT($H$2:$H$531,"yyyy-mm-dd"),
          0)),
"")</f>
        <v>4.5</v>
      </c>
      <c r="O143" s="160">
        <f t="shared" si="3"/>
        <v>2.5</v>
      </c>
      <c r="P143" s="160">
        <f t="shared" ref="P143:Q143" si="153">IF(N143="",0,IF(N143&lt;=2,1,IF(N143&lt;=4,2,IF(N143&lt;=5.5,3,4))))</f>
        <v>3</v>
      </c>
      <c r="Q143" s="160">
        <f t="shared" si="153"/>
        <v>2</v>
      </c>
      <c r="R143" s="160" t="str">
        <f t="shared" si="5"/>
        <v>Regressed</v>
      </c>
      <c r="S143" s="160">
        <f t="shared" si="6"/>
        <v>1</v>
      </c>
      <c r="T143" s="177" t="s">
        <v>949</v>
      </c>
      <c r="U143" s="160">
        <f>COUNTIFS(sheet2!$A:$A,A143,sheet2!$E:$E,E143)</f>
        <v>1</v>
      </c>
      <c r="V143" s="160"/>
      <c r="W143" s="160"/>
      <c r="X143" s="160" t="str">
        <f t="shared" si="7"/>
        <v>#N/A</v>
      </c>
      <c r="Y143" s="160" t="str">
        <f t="shared" si="8"/>
        <v>#N/A</v>
      </c>
      <c r="Z143" s="160" t="str">
        <f t="shared" si="9"/>
        <v>#N/A</v>
      </c>
      <c r="AA143" s="160"/>
      <c r="AB143" s="160"/>
      <c r="AC143" s="160"/>
      <c r="AD143" s="160"/>
      <c r="AE143" s="160"/>
      <c r="AF143" s="160"/>
      <c r="AG143" s="160"/>
      <c r="AH143" s="160"/>
      <c r="AI143" s="160"/>
      <c r="AJ143" s="160"/>
      <c r="AK143" s="160"/>
      <c r="AL143" s="160"/>
      <c r="AM143" s="160"/>
      <c r="AN143" s="164"/>
      <c r="AO143" s="160"/>
      <c r="AP143" s="160" t="str">
        <f t="shared" si="10"/>
        <v>#N/A</v>
      </c>
      <c r="AQ143" s="160" t="str">
        <f t="shared" si="11"/>
        <v>#N/A</v>
      </c>
      <c r="AR143" s="160" t="str">
        <f t="shared" si="12"/>
        <v>#N/A</v>
      </c>
      <c r="AS143" s="160"/>
      <c r="AT143" s="160"/>
      <c r="AU143" s="160"/>
      <c r="AV143" s="160"/>
      <c r="AW143" s="160"/>
      <c r="AX143" s="160"/>
      <c r="AY143" s="160"/>
      <c r="AZ143" s="160"/>
      <c r="BA143" s="160"/>
      <c r="BB143" s="160"/>
      <c r="BC143" s="160"/>
      <c r="BD143" s="160"/>
      <c r="BE143" s="160"/>
      <c r="BF143" s="160"/>
      <c r="BG143" s="160"/>
      <c r="BH143" s="160"/>
      <c r="BI143" s="160"/>
      <c r="BJ143" s="160"/>
      <c r="BK143" s="160"/>
      <c r="BL143" s="160"/>
      <c r="BM143" s="160"/>
      <c r="BN143" s="160"/>
      <c r="BO143" s="160"/>
      <c r="BP143" s="160"/>
      <c r="BQ143" s="160"/>
      <c r="BR143" s="160"/>
      <c r="BS143" s="160"/>
      <c r="BT143" s="160"/>
      <c r="BU143" s="160"/>
      <c r="BV143" s="160"/>
      <c r="BW143" s="160"/>
      <c r="BX143" s="160"/>
      <c r="BY143" s="160"/>
      <c r="BZ143" s="160"/>
      <c r="CA143" s="160"/>
      <c r="CB143" s="160"/>
      <c r="CC143" s="160"/>
      <c r="CD143" s="160"/>
      <c r="CE143" s="160"/>
      <c r="CF143" s="160"/>
      <c r="CG143" s="160"/>
      <c r="CH143" s="160"/>
      <c r="CI143" s="160"/>
      <c r="CJ143" s="160"/>
      <c r="CK143" s="160"/>
      <c r="CL143" s="160"/>
    </row>
    <row r="144">
      <c r="A144" s="166" t="s">
        <v>530</v>
      </c>
      <c r="B144" s="167" t="s">
        <v>531</v>
      </c>
      <c r="C144" s="168" t="s">
        <v>66</v>
      </c>
      <c r="D144" s="169" t="str">
        <f>IFERROR(VLOOKUP(C144, PIC!A:B, 2, 0), "")</f>
        <v>Thao Vu 2</v>
      </c>
      <c r="E144" s="167" t="s">
        <v>22</v>
      </c>
      <c r="F144" s="16" t="s">
        <v>849</v>
      </c>
      <c r="G144" s="16" t="s">
        <v>845</v>
      </c>
      <c r="H144" s="170">
        <f>IFERROR(
  MINIFS(ATTENDANCE_LOG!$F:$F,
         ATTENDANCE_LOG!$A:$A, C144,
         ATTENDANCE_LOG!$B:$B, E144),
"")</f>
        <v>45637.375</v>
      </c>
      <c r="I144" s="170">
        <f t="shared" si="2"/>
        <v>45637.375</v>
      </c>
      <c r="J144" s="11">
        <f>IFERROR(VLOOKUP(F144, LEVEL_HELPER!$A:$B, 2, 0), "")</f>
        <v>1</v>
      </c>
      <c r="K144" s="11">
        <f>IFERROR(VLOOKUP(G144, LEVEL_HELPER!$A:$B, 2, 0), "")</f>
        <v>2.5</v>
      </c>
      <c r="L144" s="171" t="s">
        <v>847</v>
      </c>
      <c r="M144" s="171" t="s">
        <v>152</v>
      </c>
      <c r="N144" s="11">
        <f t="array" ref="N144">IFERROR(
  INDEX($J$2:$J$531,
    MATCH(A144&amp;TEXT(I144,"yyyy-mm-dd"),
          $A$2:$A$531&amp;TEXT($H$2:$H$531,"yyyy-mm-dd"),
          0)),
"")</f>
        <v>1</v>
      </c>
      <c r="O144" s="160">
        <f t="shared" si="3"/>
        <v>2.5</v>
      </c>
      <c r="P144" s="160">
        <f t="shared" ref="P144:Q144" si="154">IF(N144="",0,IF(N144&lt;=2,1,IF(N144&lt;=4,2,IF(N144&lt;=5.5,3,4))))</f>
        <v>1</v>
      </c>
      <c r="Q144" s="160">
        <f t="shared" si="154"/>
        <v>2</v>
      </c>
      <c r="R144" s="160" t="str">
        <f t="shared" si="5"/>
        <v>Lv1 → Lv2</v>
      </c>
      <c r="S144" s="160">
        <f t="shared" si="6"/>
        <v>1</v>
      </c>
      <c r="T144" s="172" t="s">
        <v>950</v>
      </c>
      <c r="U144" s="160">
        <f>COUNTIFS(sheet2!$A:$A,A144,sheet2!$E:$E,E144)</f>
        <v>2</v>
      </c>
      <c r="V144" s="160"/>
      <c r="W144" s="160"/>
      <c r="X144" s="160" t="str">
        <f t="shared" si="7"/>
        <v>#N/A</v>
      </c>
      <c r="Y144" s="160" t="str">
        <f t="shared" si="8"/>
        <v>#N/A</v>
      </c>
      <c r="Z144" s="160" t="str">
        <f t="shared" si="9"/>
        <v>#N/A</v>
      </c>
      <c r="AA144" s="160"/>
      <c r="AB144" s="160"/>
      <c r="AC144" s="160"/>
      <c r="AD144" s="160"/>
      <c r="AE144" s="160"/>
      <c r="AF144" s="160"/>
      <c r="AG144" s="160"/>
      <c r="AH144" s="160"/>
      <c r="AI144" s="160"/>
      <c r="AJ144" s="160"/>
      <c r="AK144" s="160"/>
      <c r="AL144" s="160"/>
      <c r="AM144" s="160"/>
      <c r="AN144" s="164"/>
      <c r="AO144" s="160"/>
      <c r="AP144" s="160" t="str">
        <f t="shared" si="10"/>
        <v>#N/A</v>
      </c>
      <c r="AQ144" s="160" t="str">
        <f t="shared" si="11"/>
        <v>#N/A</v>
      </c>
      <c r="AR144" s="160" t="str">
        <f t="shared" si="12"/>
        <v>#N/A</v>
      </c>
      <c r="AS144" s="160"/>
      <c r="AT144" s="160"/>
      <c r="AU144" s="160"/>
      <c r="AV144" s="160"/>
      <c r="AW144" s="160"/>
      <c r="AX144" s="160"/>
      <c r="AY144" s="160"/>
      <c r="AZ144" s="160"/>
      <c r="BA144" s="160"/>
      <c r="BB144" s="160"/>
      <c r="BC144" s="160"/>
      <c r="BD144" s="160"/>
      <c r="BE144" s="160"/>
      <c r="BF144" s="160"/>
      <c r="BG144" s="160"/>
      <c r="BH144" s="160"/>
      <c r="BI144" s="160"/>
      <c r="BJ144" s="160"/>
      <c r="BK144" s="160"/>
      <c r="BL144" s="160"/>
      <c r="BM144" s="160"/>
      <c r="BN144" s="160"/>
      <c r="BO144" s="160"/>
      <c r="BP144" s="160"/>
      <c r="BQ144" s="160"/>
      <c r="BR144" s="160"/>
      <c r="BS144" s="160"/>
      <c r="BT144" s="160"/>
      <c r="BU144" s="160"/>
      <c r="BV144" s="160"/>
      <c r="BW144" s="160"/>
      <c r="BX144" s="160"/>
      <c r="BY144" s="160"/>
      <c r="BZ144" s="160"/>
      <c r="CA144" s="160"/>
      <c r="CB144" s="160"/>
      <c r="CC144" s="160"/>
      <c r="CD144" s="160"/>
      <c r="CE144" s="160"/>
      <c r="CF144" s="160"/>
      <c r="CG144" s="160"/>
      <c r="CH144" s="160"/>
      <c r="CI144" s="160"/>
      <c r="CJ144" s="160"/>
      <c r="CK144" s="160"/>
      <c r="CL144" s="160"/>
    </row>
    <row r="145">
      <c r="A145" s="174" t="s">
        <v>647</v>
      </c>
      <c r="B145" s="11" t="s">
        <v>648</v>
      </c>
      <c r="C145" s="175" t="s">
        <v>66</v>
      </c>
      <c r="D145" s="176" t="str">
        <f>IFERROR(VLOOKUP(C145, PIC!A:B, 2, 0), "")</f>
        <v>Thao Vu 2</v>
      </c>
      <c r="E145" s="11" t="s">
        <v>22</v>
      </c>
      <c r="F145" s="16" t="s">
        <v>849</v>
      </c>
      <c r="G145" s="16" t="s">
        <v>845</v>
      </c>
      <c r="H145" s="170">
        <f>IFERROR(
  MINIFS(ATTENDANCE_LOG!$F:$F,
         ATTENDANCE_LOG!$A:$A, C145,
         ATTENDANCE_LOG!$B:$B, E145),
"")</f>
        <v>45637.375</v>
      </c>
      <c r="I145" s="170">
        <f t="shared" si="2"/>
        <v>45637.375</v>
      </c>
      <c r="J145" s="11">
        <f>IFERROR(VLOOKUP(F145, LEVEL_HELPER!$A:$B, 2, 0), "")</f>
        <v>1</v>
      </c>
      <c r="K145" s="11">
        <f>IFERROR(VLOOKUP(G145, LEVEL_HELPER!$A:$B, 2, 0), "")</f>
        <v>2.5</v>
      </c>
      <c r="L145" s="183" t="s">
        <v>847</v>
      </c>
      <c r="M145" s="171" t="s">
        <v>152</v>
      </c>
      <c r="N145" s="11">
        <f t="array" ref="N145">IFERROR(
  INDEX($J$2:$J$531,
    MATCH(A145&amp;TEXT(I145,"yyyy-mm-dd"),
          $A$2:$A$531&amp;TEXT($H$2:$H$531,"yyyy-mm-dd"),
          0)),
"")</f>
        <v>1</v>
      </c>
      <c r="O145" s="160">
        <f t="shared" si="3"/>
        <v>2.5</v>
      </c>
      <c r="P145" s="160">
        <f t="shared" ref="P145:Q145" si="155">IF(N145="",0,IF(N145&lt;=2,1,IF(N145&lt;=4,2,IF(N145&lt;=5.5,3,4))))</f>
        <v>1</v>
      </c>
      <c r="Q145" s="160">
        <f t="shared" si="155"/>
        <v>2</v>
      </c>
      <c r="R145" s="160" t="str">
        <f t="shared" si="5"/>
        <v>Lv1 → Lv2</v>
      </c>
      <c r="S145" s="160">
        <f t="shared" si="6"/>
        <v>1</v>
      </c>
      <c r="T145" s="177" t="s">
        <v>951</v>
      </c>
      <c r="U145" s="160">
        <f>COUNTIFS(sheet2!$A:$A,A145,sheet2!$E:$E,E145)</f>
        <v>1</v>
      </c>
      <c r="V145" s="160"/>
      <c r="W145" s="160"/>
      <c r="X145" s="160" t="str">
        <f t="shared" si="7"/>
        <v>#N/A</v>
      </c>
      <c r="Y145" s="160" t="str">
        <f t="shared" si="8"/>
        <v>#N/A</v>
      </c>
      <c r="Z145" s="160" t="str">
        <f t="shared" si="9"/>
        <v>#N/A</v>
      </c>
      <c r="AA145" s="160"/>
      <c r="AB145" s="160"/>
      <c r="AC145" s="160"/>
      <c r="AD145" s="160"/>
      <c r="AE145" s="160"/>
      <c r="AF145" s="160"/>
      <c r="AG145" s="160"/>
      <c r="AH145" s="160"/>
      <c r="AI145" s="160"/>
      <c r="AJ145" s="160"/>
      <c r="AK145" s="160"/>
      <c r="AL145" s="160"/>
      <c r="AM145" s="160"/>
      <c r="AN145" s="164"/>
      <c r="AO145" s="160"/>
      <c r="AP145" s="160" t="str">
        <f t="shared" si="10"/>
        <v>#N/A</v>
      </c>
      <c r="AQ145" s="160" t="str">
        <f t="shared" si="11"/>
        <v>#N/A</v>
      </c>
      <c r="AR145" s="160" t="str">
        <f t="shared" si="12"/>
        <v>#N/A</v>
      </c>
      <c r="AS145" s="160"/>
      <c r="AT145" s="160"/>
      <c r="AU145" s="160"/>
      <c r="AV145" s="160"/>
      <c r="AW145" s="160"/>
      <c r="AX145" s="160"/>
      <c r="AY145" s="160"/>
      <c r="AZ145" s="160"/>
      <c r="BA145" s="160"/>
      <c r="BB145" s="160"/>
      <c r="BC145" s="160"/>
      <c r="BD145" s="160"/>
      <c r="BE145" s="160"/>
      <c r="BF145" s="160"/>
      <c r="BG145" s="160"/>
      <c r="BH145" s="160"/>
      <c r="BI145" s="160"/>
      <c r="BJ145" s="160"/>
      <c r="BK145" s="160"/>
      <c r="BL145" s="160"/>
      <c r="BM145" s="160"/>
      <c r="BN145" s="160"/>
      <c r="BO145" s="160"/>
      <c r="BP145" s="160"/>
      <c r="BQ145" s="160"/>
      <c r="BR145" s="160"/>
      <c r="BS145" s="160"/>
      <c r="BT145" s="160"/>
      <c r="BU145" s="160"/>
      <c r="BV145" s="160"/>
      <c r="BW145" s="160"/>
      <c r="BX145" s="160"/>
      <c r="BY145" s="160"/>
      <c r="BZ145" s="160"/>
      <c r="CA145" s="160"/>
      <c r="CB145" s="160"/>
      <c r="CC145" s="160"/>
      <c r="CD145" s="160"/>
      <c r="CE145" s="160"/>
      <c r="CF145" s="160"/>
      <c r="CG145" s="160"/>
      <c r="CH145" s="160"/>
      <c r="CI145" s="160"/>
      <c r="CJ145" s="160"/>
      <c r="CK145" s="160"/>
      <c r="CL145" s="160"/>
    </row>
    <row r="146">
      <c r="A146" s="174" t="s">
        <v>433</v>
      </c>
      <c r="B146" s="11" t="s">
        <v>434</v>
      </c>
      <c r="C146" s="175" t="s">
        <v>66</v>
      </c>
      <c r="D146" s="176" t="str">
        <f>IFERROR(VLOOKUP(C146, PIC!A:B, 2, 0), "")</f>
        <v>Thao Vu 2</v>
      </c>
      <c r="E146" s="11" t="s">
        <v>22</v>
      </c>
      <c r="F146" s="16" t="s">
        <v>849</v>
      </c>
      <c r="G146" s="16" t="s">
        <v>845</v>
      </c>
      <c r="H146" s="170">
        <f>IFERROR(
  MINIFS(ATTENDANCE_LOG!$F:$F,
         ATTENDANCE_LOG!$A:$A, C146,
         ATTENDANCE_LOG!$B:$B, E146),
"")</f>
        <v>45637.375</v>
      </c>
      <c r="I146" s="170">
        <f t="shared" si="2"/>
        <v>45637.375</v>
      </c>
      <c r="J146" s="11">
        <f>IFERROR(VLOOKUP(F146, LEVEL_HELPER!$A:$B, 2, 0), "")</f>
        <v>1</v>
      </c>
      <c r="K146" s="11">
        <f>IFERROR(VLOOKUP(G146, LEVEL_HELPER!$A:$B, 2, 0), "")</f>
        <v>2.5</v>
      </c>
      <c r="L146" s="171" t="s">
        <v>847</v>
      </c>
      <c r="M146" s="171" t="s">
        <v>152</v>
      </c>
      <c r="N146" s="11">
        <f t="array" ref="N146">IFERROR(
  INDEX($J$2:$J$531,
    MATCH(A146&amp;TEXT(I146,"yyyy-mm-dd"),
          $A$2:$A$531&amp;TEXT($H$2:$H$531,"yyyy-mm-dd"),
          0)),
"")</f>
        <v>1</v>
      </c>
      <c r="O146" s="160">
        <f t="shared" si="3"/>
        <v>2.5</v>
      </c>
      <c r="P146" s="160">
        <f t="shared" ref="P146:Q146" si="156">IF(N146="",0,IF(N146&lt;=2,1,IF(N146&lt;=4,2,IF(N146&lt;=5.5,3,4))))</f>
        <v>1</v>
      </c>
      <c r="Q146" s="160">
        <f t="shared" si="156"/>
        <v>2</v>
      </c>
      <c r="R146" s="160" t="str">
        <f t="shared" si="5"/>
        <v>Lv1 → Lv2</v>
      </c>
      <c r="S146" s="160">
        <f t="shared" si="6"/>
        <v>1</v>
      </c>
      <c r="T146" s="177" t="s">
        <v>952</v>
      </c>
      <c r="U146" s="160">
        <f>COUNTIFS(sheet2!$A:$A,A146,sheet2!$E:$E,E146)</f>
        <v>2</v>
      </c>
      <c r="V146" s="160"/>
      <c r="W146" s="160"/>
      <c r="X146" s="160" t="str">
        <f t="shared" si="7"/>
        <v>#N/A</v>
      </c>
      <c r="Y146" s="160" t="str">
        <f t="shared" si="8"/>
        <v>#N/A</v>
      </c>
      <c r="Z146" s="160" t="str">
        <f t="shared" si="9"/>
        <v>#N/A</v>
      </c>
      <c r="AA146" s="160"/>
      <c r="AB146" s="160"/>
      <c r="AC146" s="160"/>
      <c r="AD146" s="160"/>
      <c r="AE146" s="160"/>
      <c r="AF146" s="160"/>
      <c r="AG146" s="160"/>
      <c r="AH146" s="160"/>
      <c r="AI146" s="160"/>
      <c r="AJ146" s="160"/>
      <c r="AK146" s="160"/>
      <c r="AL146" s="160"/>
      <c r="AM146" s="160"/>
      <c r="AN146" s="164"/>
      <c r="AO146" s="160"/>
      <c r="AP146" s="160" t="str">
        <f t="shared" si="10"/>
        <v>#N/A</v>
      </c>
      <c r="AQ146" s="160" t="str">
        <f t="shared" si="11"/>
        <v>#N/A</v>
      </c>
      <c r="AR146" s="160" t="str">
        <f t="shared" si="12"/>
        <v>#N/A</v>
      </c>
      <c r="AS146" s="160"/>
      <c r="AT146" s="160"/>
      <c r="AU146" s="160"/>
      <c r="AV146" s="160"/>
      <c r="AW146" s="160"/>
      <c r="AX146" s="160"/>
      <c r="AY146" s="160"/>
      <c r="AZ146" s="160"/>
      <c r="BA146" s="160"/>
      <c r="BB146" s="160"/>
      <c r="BC146" s="160"/>
      <c r="BD146" s="160"/>
      <c r="BE146" s="160"/>
      <c r="BF146" s="160"/>
      <c r="BG146" s="160"/>
      <c r="BH146" s="160"/>
      <c r="BI146" s="160"/>
      <c r="BJ146" s="160"/>
      <c r="BK146" s="160"/>
      <c r="BL146" s="160"/>
      <c r="BM146" s="160"/>
      <c r="BN146" s="160"/>
      <c r="BO146" s="160"/>
      <c r="BP146" s="160"/>
      <c r="BQ146" s="160"/>
      <c r="BR146" s="160"/>
      <c r="BS146" s="160"/>
      <c r="BT146" s="160"/>
      <c r="BU146" s="160"/>
      <c r="BV146" s="160"/>
      <c r="BW146" s="160"/>
      <c r="BX146" s="160"/>
      <c r="BY146" s="160"/>
      <c r="BZ146" s="160"/>
      <c r="CA146" s="160"/>
      <c r="CB146" s="160"/>
      <c r="CC146" s="160"/>
      <c r="CD146" s="160"/>
      <c r="CE146" s="160"/>
      <c r="CF146" s="160"/>
      <c r="CG146" s="160"/>
      <c r="CH146" s="160"/>
      <c r="CI146" s="160"/>
      <c r="CJ146" s="160"/>
      <c r="CK146" s="160"/>
      <c r="CL146" s="160"/>
    </row>
    <row r="147">
      <c r="A147" s="174" t="s">
        <v>439</v>
      </c>
      <c r="B147" s="11" t="s">
        <v>440</v>
      </c>
      <c r="C147" s="175" t="s">
        <v>66</v>
      </c>
      <c r="D147" s="176" t="str">
        <f>IFERROR(VLOOKUP(C147, PIC!A:B, 2, 0), "")</f>
        <v>Thao Vu 2</v>
      </c>
      <c r="E147" s="11" t="s">
        <v>22</v>
      </c>
      <c r="F147" s="16" t="s">
        <v>849</v>
      </c>
      <c r="G147" s="16" t="s">
        <v>845</v>
      </c>
      <c r="H147" s="170">
        <f>IFERROR(
  MINIFS(ATTENDANCE_LOG!$F:$F,
         ATTENDANCE_LOG!$A:$A, C147,
         ATTENDANCE_LOG!$B:$B, E147),
"")</f>
        <v>45637.375</v>
      </c>
      <c r="I147" s="170">
        <f t="shared" si="2"/>
        <v>45637.375</v>
      </c>
      <c r="J147" s="11">
        <f>IFERROR(VLOOKUP(F147, LEVEL_HELPER!$A:$B, 2, 0), "")</f>
        <v>1</v>
      </c>
      <c r="K147" s="11">
        <f>IFERROR(VLOOKUP(G147, LEVEL_HELPER!$A:$B, 2, 0), "")</f>
        <v>2.5</v>
      </c>
      <c r="L147" s="171" t="s">
        <v>847</v>
      </c>
      <c r="M147" s="171" t="s">
        <v>152</v>
      </c>
      <c r="N147" s="11">
        <f t="array" ref="N147">IFERROR(
  INDEX($J$2:$J$531,
    MATCH(A147&amp;TEXT(I147,"yyyy-mm-dd"),
          $A$2:$A$531&amp;TEXT($H$2:$H$531,"yyyy-mm-dd"),
          0)),
"")</f>
        <v>1</v>
      </c>
      <c r="O147" s="160">
        <f t="shared" si="3"/>
        <v>2.5</v>
      </c>
      <c r="P147" s="160">
        <f t="shared" ref="P147:Q147" si="157">IF(N147="",0,IF(N147&lt;=2,1,IF(N147&lt;=4,2,IF(N147&lt;=5.5,3,4))))</f>
        <v>1</v>
      </c>
      <c r="Q147" s="160">
        <f t="shared" si="157"/>
        <v>2</v>
      </c>
      <c r="R147" s="160" t="str">
        <f t="shared" si="5"/>
        <v>Lv1 → Lv2</v>
      </c>
      <c r="S147" s="160">
        <f t="shared" si="6"/>
        <v>1</v>
      </c>
      <c r="T147" s="177" t="s">
        <v>953</v>
      </c>
      <c r="U147" s="160">
        <f>COUNTIFS(sheet2!$A:$A,A147,sheet2!$E:$E,E147)</f>
        <v>2</v>
      </c>
      <c r="V147" s="160"/>
      <c r="W147" s="160"/>
      <c r="X147" s="160" t="str">
        <f t="shared" si="7"/>
        <v>#N/A</v>
      </c>
      <c r="Y147" s="160" t="str">
        <f t="shared" si="8"/>
        <v>#N/A</v>
      </c>
      <c r="Z147" s="160" t="str">
        <f t="shared" si="9"/>
        <v>#N/A</v>
      </c>
      <c r="AA147" s="160"/>
      <c r="AB147" s="160"/>
      <c r="AC147" s="160"/>
      <c r="AD147" s="160"/>
      <c r="AE147" s="160"/>
      <c r="AF147" s="160"/>
      <c r="AG147" s="160"/>
      <c r="AH147" s="160"/>
      <c r="AI147" s="160"/>
      <c r="AJ147" s="160"/>
      <c r="AK147" s="160"/>
      <c r="AL147" s="160"/>
      <c r="AM147" s="160"/>
      <c r="AN147" s="164"/>
      <c r="AO147" s="160"/>
      <c r="AP147" s="160" t="str">
        <f t="shared" si="10"/>
        <v>#N/A</v>
      </c>
      <c r="AQ147" s="160" t="str">
        <f t="shared" si="11"/>
        <v>#N/A</v>
      </c>
      <c r="AR147" s="160" t="str">
        <f t="shared" si="12"/>
        <v>#N/A</v>
      </c>
      <c r="AS147" s="160"/>
      <c r="AT147" s="160"/>
      <c r="AU147" s="160"/>
      <c r="AV147" s="160"/>
      <c r="AW147" s="160"/>
      <c r="AX147" s="160"/>
      <c r="AY147" s="160"/>
      <c r="AZ147" s="160"/>
      <c r="BA147" s="160"/>
      <c r="BB147" s="160"/>
      <c r="BC147" s="160"/>
      <c r="BD147" s="160"/>
      <c r="BE147" s="160"/>
      <c r="BF147" s="160"/>
      <c r="BG147" s="160"/>
      <c r="BH147" s="160"/>
      <c r="BI147" s="160"/>
      <c r="BJ147" s="160"/>
      <c r="BK147" s="160"/>
      <c r="BL147" s="160"/>
      <c r="BM147" s="160"/>
      <c r="BN147" s="160"/>
      <c r="BO147" s="160"/>
      <c r="BP147" s="160"/>
      <c r="BQ147" s="160"/>
      <c r="BR147" s="160"/>
      <c r="BS147" s="160"/>
      <c r="BT147" s="160"/>
      <c r="BU147" s="160"/>
      <c r="BV147" s="160"/>
      <c r="BW147" s="160"/>
      <c r="BX147" s="160"/>
      <c r="BY147" s="160"/>
      <c r="BZ147" s="160"/>
      <c r="CA147" s="160"/>
      <c r="CB147" s="160"/>
      <c r="CC147" s="160"/>
      <c r="CD147" s="160"/>
      <c r="CE147" s="160"/>
      <c r="CF147" s="160"/>
      <c r="CG147" s="160"/>
      <c r="CH147" s="160"/>
      <c r="CI147" s="160"/>
      <c r="CJ147" s="160"/>
      <c r="CK147" s="160"/>
      <c r="CL147" s="160"/>
    </row>
    <row r="148">
      <c r="A148" s="174" t="s">
        <v>649</v>
      </c>
      <c r="B148" s="11" t="s">
        <v>650</v>
      </c>
      <c r="C148" s="175" t="s">
        <v>66</v>
      </c>
      <c r="D148" s="176" t="str">
        <f>IFERROR(VLOOKUP(C148, PIC!A:B, 2, 0), "")</f>
        <v>Thao Vu 2</v>
      </c>
      <c r="E148" s="11" t="s">
        <v>22</v>
      </c>
      <c r="F148" s="16" t="s">
        <v>858</v>
      </c>
      <c r="G148" s="11"/>
      <c r="H148" s="170">
        <f>IFERROR(
  MINIFS(ATTENDANCE_LOG!$F:$F,
         ATTENDANCE_LOG!$A:$A, C148,
         ATTENDANCE_LOG!$B:$B, E148),
"")</f>
        <v>45637.375</v>
      </c>
      <c r="I148" s="170">
        <f t="shared" si="2"/>
        <v>45637.375</v>
      </c>
      <c r="J148" s="11">
        <f>IFERROR(VLOOKUP(F148, LEVEL_HELPER!$A:$B, 2, 0), "")</f>
        <v>4.5</v>
      </c>
      <c r="K148" s="11" t="str">
        <f>IFERROR(VLOOKUP(G148, LEVEL_HELPER!$A:$B, 2, 0), "")</f>
        <v/>
      </c>
      <c r="L148" s="171" t="s">
        <v>847</v>
      </c>
      <c r="M148" s="183" t="s">
        <v>150</v>
      </c>
      <c r="N148" s="11">
        <f t="array" ref="N148">IFERROR(
  INDEX($J$2:$J$531,
    MATCH(A148&amp;TEXT(I148,"yyyy-mm-dd"),
          $A$2:$A$531&amp;TEXT($H$2:$H$531,"yyyy-mm-dd"),
          0)),
"")</f>
        <v>4.5</v>
      </c>
      <c r="O148" s="160">
        <f t="shared" si="3"/>
        <v>0</v>
      </c>
      <c r="P148" s="160">
        <f t="shared" ref="P148:Q148" si="158">IF(N148="",0,IF(N148&lt;=2,1,IF(N148&lt;=4,2,IF(N148&lt;=5.5,3,4))))</f>
        <v>3</v>
      </c>
      <c r="Q148" s="160">
        <f t="shared" si="158"/>
        <v>1</v>
      </c>
      <c r="R148" s="160" t="str">
        <f t="shared" si="5"/>
        <v>Not tested yet</v>
      </c>
      <c r="S148" s="160">
        <f t="shared" si="6"/>
        <v>1</v>
      </c>
      <c r="T148" s="177" t="s">
        <v>954</v>
      </c>
      <c r="U148" s="160">
        <f>COUNTIFS(sheet2!$A:$A,A148,sheet2!$E:$E,E148)</f>
        <v>1</v>
      </c>
      <c r="V148" s="160"/>
      <c r="W148" s="160"/>
      <c r="X148" s="160" t="str">
        <f t="shared" si="7"/>
        <v>#N/A</v>
      </c>
      <c r="Y148" s="160" t="str">
        <f t="shared" si="8"/>
        <v>#N/A</v>
      </c>
      <c r="Z148" s="160" t="str">
        <f t="shared" si="9"/>
        <v>#N/A</v>
      </c>
      <c r="AA148" s="160"/>
      <c r="AB148" s="160"/>
      <c r="AC148" s="160"/>
      <c r="AD148" s="160"/>
      <c r="AE148" s="160"/>
      <c r="AF148" s="160"/>
      <c r="AG148" s="160"/>
      <c r="AH148" s="160"/>
      <c r="AI148" s="160"/>
      <c r="AJ148" s="160"/>
      <c r="AK148" s="160"/>
      <c r="AL148" s="160"/>
      <c r="AM148" s="160"/>
      <c r="AN148" s="164"/>
      <c r="AO148" s="160"/>
      <c r="AP148" s="160" t="str">
        <f t="shared" si="10"/>
        <v>#N/A</v>
      </c>
      <c r="AQ148" s="160" t="str">
        <f t="shared" si="11"/>
        <v>#N/A</v>
      </c>
      <c r="AR148" s="160" t="str">
        <f t="shared" si="12"/>
        <v>#N/A</v>
      </c>
      <c r="AS148" s="160"/>
      <c r="AT148" s="160"/>
      <c r="AU148" s="160"/>
      <c r="AV148" s="160"/>
      <c r="AW148" s="160"/>
      <c r="AX148" s="160"/>
      <c r="AY148" s="160"/>
      <c r="AZ148" s="160"/>
      <c r="BA148" s="160"/>
      <c r="BB148" s="160"/>
      <c r="BC148" s="160"/>
      <c r="BD148" s="160"/>
      <c r="BE148" s="160"/>
      <c r="BF148" s="160"/>
      <c r="BG148" s="160"/>
      <c r="BH148" s="160"/>
      <c r="BI148" s="160"/>
      <c r="BJ148" s="160"/>
      <c r="BK148" s="160"/>
      <c r="BL148" s="160"/>
      <c r="BM148" s="160"/>
      <c r="BN148" s="160"/>
      <c r="BO148" s="160"/>
      <c r="BP148" s="160"/>
      <c r="BQ148" s="160"/>
      <c r="BR148" s="160"/>
      <c r="BS148" s="160"/>
      <c r="BT148" s="160"/>
      <c r="BU148" s="160"/>
      <c r="BV148" s="160"/>
      <c r="BW148" s="160"/>
      <c r="BX148" s="160"/>
      <c r="BY148" s="160"/>
      <c r="BZ148" s="160"/>
      <c r="CA148" s="160"/>
      <c r="CB148" s="160"/>
      <c r="CC148" s="160"/>
      <c r="CD148" s="160"/>
      <c r="CE148" s="160"/>
      <c r="CF148" s="160"/>
      <c r="CG148" s="160"/>
      <c r="CH148" s="160"/>
      <c r="CI148" s="160"/>
      <c r="CJ148" s="160"/>
      <c r="CK148" s="160"/>
      <c r="CL148" s="160"/>
    </row>
    <row r="149">
      <c r="A149" s="174" t="s">
        <v>651</v>
      </c>
      <c r="B149" s="11" t="s">
        <v>652</v>
      </c>
      <c r="C149" s="175" t="s">
        <v>66</v>
      </c>
      <c r="D149" s="176" t="str">
        <f>IFERROR(VLOOKUP(C149, PIC!A:B, 2, 0), "")</f>
        <v>Thao Vu 2</v>
      </c>
      <c r="E149" s="11" t="s">
        <v>22</v>
      </c>
      <c r="F149" s="16" t="s">
        <v>845</v>
      </c>
      <c r="G149" s="16" t="s">
        <v>858</v>
      </c>
      <c r="H149" s="170">
        <f>IFERROR(
  MINIFS(ATTENDANCE_LOG!$F:$F,
         ATTENDANCE_LOG!$A:$A, C149,
         ATTENDANCE_LOG!$B:$B, E149),
"")</f>
        <v>45637.375</v>
      </c>
      <c r="I149" s="170">
        <f t="shared" si="2"/>
        <v>45637.375</v>
      </c>
      <c r="J149" s="11">
        <f>IFERROR(VLOOKUP(F149, LEVEL_HELPER!$A:$B, 2, 0), "")</f>
        <v>2.5</v>
      </c>
      <c r="K149" s="11">
        <f>IFERROR(VLOOKUP(G149, LEVEL_HELPER!$A:$B, 2, 0), "")</f>
        <v>4.5</v>
      </c>
      <c r="L149" s="171" t="s">
        <v>847</v>
      </c>
      <c r="M149" s="171" t="s">
        <v>150</v>
      </c>
      <c r="N149" s="11">
        <f t="array" ref="N149">IFERROR(
  INDEX($J$2:$J$531,
    MATCH(A149&amp;TEXT(I149,"yyyy-mm-dd"),
          $A$2:$A$531&amp;TEXT($H$2:$H$531,"yyyy-mm-dd"),
          0)),
"")</f>
        <v>2.5</v>
      </c>
      <c r="O149" s="160">
        <f t="shared" si="3"/>
        <v>4.5</v>
      </c>
      <c r="P149" s="160">
        <f t="shared" ref="P149:Q149" si="159">IF(N149="",0,IF(N149&lt;=2,1,IF(N149&lt;=4,2,IF(N149&lt;=5.5,3,4))))</f>
        <v>2</v>
      </c>
      <c r="Q149" s="160">
        <f t="shared" si="159"/>
        <v>3</v>
      </c>
      <c r="R149" s="160" t="str">
        <f t="shared" si="5"/>
        <v>Lv2 → Lv3</v>
      </c>
      <c r="S149" s="160">
        <f t="shared" si="6"/>
        <v>1</v>
      </c>
      <c r="T149" s="177" t="s">
        <v>955</v>
      </c>
      <c r="U149" s="160">
        <f>COUNTIFS(sheet2!$A:$A,A149,sheet2!$E:$E,E149)</f>
        <v>1</v>
      </c>
      <c r="V149" s="160"/>
      <c r="W149" s="160"/>
      <c r="X149" s="160" t="str">
        <f t="shared" si="7"/>
        <v>#N/A</v>
      </c>
      <c r="Y149" s="160" t="str">
        <f t="shared" si="8"/>
        <v>#N/A</v>
      </c>
      <c r="Z149" s="160" t="str">
        <f t="shared" si="9"/>
        <v>#N/A</v>
      </c>
      <c r="AA149" s="160"/>
      <c r="AB149" s="160"/>
      <c r="AC149" s="160"/>
      <c r="AD149" s="160"/>
      <c r="AE149" s="160"/>
      <c r="AF149" s="160"/>
      <c r="AG149" s="160"/>
      <c r="AH149" s="160"/>
      <c r="AI149" s="160"/>
      <c r="AJ149" s="160"/>
      <c r="AK149" s="160"/>
      <c r="AL149" s="160"/>
      <c r="AM149" s="160"/>
      <c r="AN149" s="164"/>
      <c r="AO149" s="160"/>
      <c r="AP149" s="160" t="str">
        <f t="shared" si="10"/>
        <v>#N/A</v>
      </c>
      <c r="AQ149" s="160" t="str">
        <f t="shared" si="11"/>
        <v>#N/A</v>
      </c>
      <c r="AR149" s="160" t="str">
        <f t="shared" si="12"/>
        <v>#N/A</v>
      </c>
      <c r="AS149" s="160"/>
      <c r="AT149" s="160"/>
      <c r="AU149" s="160"/>
      <c r="AV149" s="160"/>
      <c r="AW149" s="160"/>
      <c r="AX149" s="160"/>
      <c r="AY149" s="160"/>
      <c r="AZ149" s="160"/>
      <c r="BA149" s="160"/>
      <c r="BB149" s="160"/>
      <c r="BC149" s="160"/>
      <c r="BD149" s="160"/>
      <c r="BE149" s="160"/>
      <c r="BF149" s="160"/>
      <c r="BG149" s="160"/>
      <c r="BH149" s="160"/>
      <c r="BI149" s="160"/>
      <c r="BJ149" s="160"/>
      <c r="BK149" s="160"/>
      <c r="BL149" s="160"/>
      <c r="BM149" s="160"/>
      <c r="BN149" s="160"/>
      <c r="BO149" s="160"/>
      <c r="BP149" s="160"/>
      <c r="BQ149" s="160"/>
      <c r="BR149" s="160"/>
      <c r="BS149" s="160"/>
      <c r="BT149" s="160"/>
      <c r="BU149" s="160"/>
      <c r="BV149" s="160"/>
      <c r="BW149" s="160"/>
      <c r="BX149" s="160"/>
      <c r="BY149" s="160"/>
      <c r="BZ149" s="160"/>
      <c r="CA149" s="160"/>
      <c r="CB149" s="160"/>
      <c r="CC149" s="160"/>
      <c r="CD149" s="160"/>
      <c r="CE149" s="160"/>
      <c r="CF149" s="160"/>
      <c r="CG149" s="160"/>
      <c r="CH149" s="160"/>
      <c r="CI149" s="160"/>
      <c r="CJ149" s="160"/>
      <c r="CK149" s="160"/>
      <c r="CL149" s="160"/>
    </row>
    <row r="150">
      <c r="A150" s="166" t="s">
        <v>439</v>
      </c>
      <c r="B150" s="167" t="s">
        <v>440</v>
      </c>
      <c r="C150" s="168" t="s">
        <v>66</v>
      </c>
      <c r="D150" s="169" t="str">
        <f>IFERROR(VLOOKUP(C150, PIC!A:B, 2, 0), "")</f>
        <v>Thao Vu 2</v>
      </c>
      <c r="E150" s="167" t="s">
        <v>23</v>
      </c>
      <c r="F150" s="16" t="s">
        <v>845</v>
      </c>
      <c r="G150" s="16" t="s">
        <v>845</v>
      </c>
      <c r="H150" s="170">
        <f>IFERROR(
  MINIFS(ATTENDANCE_LOG!$F:$F,
         ATTENDANCE_LOG!$A:$A, C150,
         ATTENDANCE_LOG!$B:$B, E150),
"")</f>
        <v>45839.375</v>
      </c>
      <c r="I150" s="170">
        <f t="shared" si="2"/>
        <v>45637.375</v>
      </c>
      <c r="J150" s="11">
        <f>IFERROR(VLOOKUP(F150, LEVEL_HELPER!$A:$B, 2, 0), "")</f>
        <v>2.5</v>
      </c>
      <c r="K150" s="11">
        <f>IFERROR(VLOOKUP(G150, LEVEL_HELPER!$A:$B, 2, 0), "")</f>
        <v>2.5</v>
      </c>
      <c r="L150" s="171" t="s">
        <v>847</v>
      </c>
      <c r="M150" s="171" t="s">
        <v>152</v>
      </c>
      <c r="N150" s="11">
        <f t="array" ref="N150">IFERROR(
  INDEX($J$2:$J$531,
    MATCH(A150&amp;TEXT(I150,"yyyy-mm-dd"),
          $A$2:$A$531&amp;TEXT($H$2:$H$531,"yyyy-mm-dd"),
          0)),
"")</f>
        <v>1</v>
      </c>
      <c r="O150" s="160">
        <f t="shared" si="3"/>
        <v>2.5</v>
      </c>
      <c r="P150" s="160">
        <f t="shared" ref="P150:Q150" si="160">IF(N150="",0,IF(N150&lt;=2,1,IF(N150&lt;=4,2,IF(N150&lt;=5.5,3,4))))</f>
        <v>1</v>
      </c>
      <c r="Q150" s="160">
        <f t="shared" si="160"/>
        <v>2</v>
      </c>
      <c r="R150" s="160" t="str">
        <f t="shared" si="5"/>
        <v>Lv1 → Lv2</v>
      </c>
      <c r="S150" s="160">
        <f t="shared" si="6"/>
        <v>0</v>
      </c>
      <c r="T150" s="177" t="s">
        <v>953</v>
      </c>
      <c r="U150" s="160">
        <f>COUNTIFS(sheet2!$A:$A,A150,sheet2!$E:$E,E150)</f>
        <v>1</v>
      </c>
      <c r="V150" s="160"/>
      <c r="W150" s="160"/>
      <c r="X150" s="160" t="str">
        <f t="shared" si="7"/>
        <v>#N/A</v>
      </c>
      <c r="Y150" s="160" t="str">
        <f t="shared" si="8"/>
        <v>#N/A</v>
      </c>
      <c r="Z150" s="160" t="str">
        <f t="shared" si="9"/>
        <v>#N/A</v>
      </c>
      <c r="AA150" s="160"/>
      <c r="AB150" s="160"/>
      <c r="AC150" s="160"/>
      <c r="AD150" s="160"/>
      <c r="AE150" s="160"/>
      <c r="AF150" s="160"/>
      <c r="AG150" s="160"/>
      <c r="AH150" s="160"/>
      <c r="AI150" s="160"/>
      <c r="AJ150" s="160"/>
      <c r="AK150" s="160"/>
      <c r="AL150" s="160"/>
      <c r="AM150" s="160"/>
      <c r="AN150" s="164"/>
      <c r="AO150" s="160"/>
      <c r="AP150" s="160" t="str">
        <f t="shared" si="10"/>
        <v>#N/A</v>
      </c>
      <c r="AQ150" s="160" t="str">
        <f t="shared" si="11"/>
        <v>#N/A</v>
      </c>
      <c r="AR150" s="160" t="str">
        <f t="shared" si="12"/>
        <v>#N/A</v>
      </c>
      <c r="AS150" s="160"/>
      <c r="AT150" s="160"/>
      <c r="AU150" s="160"/>
      <c r="AV150" s="160"/>
      <c r="AW150" s="160"/>
      <c r="AX150" s="160"/>
      <c r="AY150" s="160"/>
      <c r="AZ150" s="160"/>
      <c r="BA150" s="160"/>
      <c r="BB150" s="160"/>
      <c r="BC150" s="160"/>
      <c r="BD150" s="160"/>
      <c r="BE150" s="160"/>
      <c r="BF150" s="160"/>
      <c r="BG150" s="160"/>
      <c r="BH150" s="160"/>
      <c r="BI150" s="160"/>
      <c r="BJ150" s="160"/>
      <c r="BK150" s="160"/>
      <c r="BL150" s="160"/>
      <c r="BM150" s="160"/>
      <c r="BN150" s="160"/>
      <c r="BO150" s="160"/>
      <c r="BP150" s="160"/>
      <c r="BQ150" s="160"/>
      <c r="BR150" s="160"/>
      <c r="BS150" s="160"/>
      <c r="BT150" s="160"/>
      <c r="BU150" s="160"/>
      <c r="BV150" s="160"/>
      <c r="BW150" s="160"/>
      <c r="BX150" s="160"/>
      <c r="BY150" s="160"/>
      <c r="BZ150" s="160"/>
      <c r="CA150" s="160"/>
      <c r="CB150" s="160"/>
      <c r="CC150" s="160"/>
      <c r="CD150" s="160"/>
      <c r="CE150" s="160"/>
      <c r="CF150" s="160"/>
      <c r="CG150" s="160"/>
      <c r="CH150" s="160"/>
      <c r="CI150" s="160"/>
      <c r="CJ150" s="160"/>
      <c r="CK150" s="160"/>
      <c r="CL150" s="160"/>
    </row>
    <row r="151">
      <c r="A151" s="174" t="s">
        <v>647</v>
      </c>
      <c r="B151" s="11" t="s">
        <v>648</v>
      </c>
      <c r="C151" s="175" t="s">
        <v>66</v>
      </c>
      <c r="D151" s="176" t="str">
        <f>IFERROR(VLOOKUP(C151, PIC!A:B, 2, 0), "")</f>
        <v>Thao Vu 2</v>
      </c>
      <c r="E151" s="11" t="s">
        <v>23</v>
      </c>
      <c r="F151" s="16" t="s">
        <v>845</v>
      </c>
      <c r="G151" s="16" t="s">
        <v>845</v>
      </c>
      <c r="H151" s="170">
        <f>IFERROR(
  MINIFS(ATTENDANCE_LOG!$F:$F,
         ATTENDANCE_LOG!$A:$A, C151,
         ATTENDANCE_LOG!$B:$B, E151),
"")</f>
        <v>45839.375</v>
      </c>
      <c r="I151" s="170">
        <f t="shared" si="2"/>
        <v>45637.375</v>
      </c>
      <c r="J151" s="11">
        <f>IFERROR(VLOOKUP(F151, LEVEL_HELPER!$A:$B, 2, 0), "")</f>
        <v>2.5</v>
      </c>
      <c r="K151" s="11">
        <f>IFERROR(VLOOKUP(G151, LEVEL_HELPER!$A:$B, 2, 0), "")</f>
        <v>2.5</v>
      </c>
      <c r="L151" s="183" t="s">
        <v>847</v>
      </c>
      <c r="M151" s="171" t="s">
        <v>152</v>
      </c>
      <c r="N151" s="11">
        <f t="array" ref="N151">IFERROR(
  INDEX($J$2:$J$531,
    MATCH(A151&amp;TEXT(I151,"yyyy-mm-dd"),
          $A$2:$A$531&amp;TEXT($H$2:$H$531,"yyyy-mm-dd"),
          0)),
"")</f>
        <v>1</v>
      </c>
      <c r="O151" s="160">
        <f t="shared" si="3"/>
        <v>2.5</v>
      </c>
      <c r="P151" s="160">
        <f t="shared" ref="P151:Q151" si="161">IF(N151="",0,IF(N151&lt;=2,1,IF(N151&lt;=4,2,IF(N151&lt;=5.5,3,4))))</f>
        <v>1</v>
      </c>
      <c r="Q151" s="160">
        <f t="shared" si="161"/>
        <v>2</v>
      </c>
      <c r="R151" s="160" t="str">
        <f t="shared" si="5"/>
        <v>Lv1 → Lv2</v>
      </c>
      <c r="S151" s="160">
        <f t="shared" si="6"/>
        <v>0</v>
      </c>
      <c r="T151" s="177" t="s">
        <v>951</v>
      </c>
      <c r="U151" s="160">
        <f>COUNTIFS(sheet2!$A:$A,A151,sheet2!$E:$E,E151)</f>
        <v>1</v>
      </c>
      <c r="V151" s="160"/>
      <c r="W151" s="160"/>
      <c r="X151" s="160" t="str">
        <f t="shared" si="7"/>
        <v>#N/A</v>
      </c>
      <c r="Y151" s="160" t="str">
        <f t="shared" si="8"/>
        <v>#N/A</v>
      </c>
      <c r="Z151" s="160" t="str">
        <f t="shared" si="9"/>
        <v>#N/A</v>
      </c>
      <c r="AA151" s="160"/>
      <c r="AB151" s="160"/>
      <c r="AC151" s="160"/>
      <c r="AD151" s="160"/>
      <c r="AE151" s="160"/>
      <c r="AF151" s="160"/>
      <c r="AG151" s="160"/>
      <c r="AH151" s="160"/>
      <c r="AI151" s="160"/>
      <c r="AJ151" s="160"/>
      <c r="AK151" s="160"/>
      <c r="AL151" s="160"/>
      <c r="AM151" s="160"/>
      <c r="AN151" s="164"/>
      <c r="AO151" s="160"/>
      <c r="AP151" s="160" t="str">
        <f t="shared" si="10"/>
        <v>#N/A</v>
      </c>
      <c r="AQ151" s="160" t="str">
        <f t="shared" si="11"/>
        <v>#N/A</v>
      </c>
      <c r="AR151" s="160" t="str">
        <f t="shared" si="12"/>
        <v>#N/A</v>
      </c>
      <c r="AS151" s="160"/>
      <c r="AT151" s="160"/>
      <c r="AU151" s="160"/>
      <c r="AV151" s="160"/>
      <c r="AW151" s="160"/>
      <c r="AX151" s="160"/>
      <c r="AY151" s="160"/>
      <c r="AZ151" s="160"/>
      <c r="BA151" s="160"/>
      <c r="BB151" s="160"/>
      <c r="BC151" s="160"/>
      <c r="BD151" s="160"/>
      <c r="BE151" s="160"/>
      <c r="BF151" s="160"/>
      <c r="BG151" s="160"/>
      <c r="BH151" s="160"/>
      <c r="BI151" s="160"/>
      <c r="BJ151" s="160"/>
      <c r="BK151" s="160"/>
      <c r="BL151" s="160"/>
      <c r="BM151" s="160"/>
      <c r="BN151" s="160"/>
      <c r="BO151" s="160"/>
      <c r="BP151" s="160"/>
      <c r="BQ151" s="160"/>
      <c r="BR151" s="160"/>
      <c r="BS151" s="160"/>
      <c r="BT151" s="160"/>
      <c r="BU151" s="160"/>
      <c r="BV151" s="160"/>
      <c r="BW151" s="160"/>
      <c r="BX151" s="160"/>
      <c r="BY151" s="160"/>
      <c r="BZ151" s="160"/>
      <c r="CA151" s="160"/>
      <c r="CB151" s="160"/>
      <c r="CC151" s="160"/>
      <c r="CD151" s="160"/>
      <c r="CE151" s="160"/>
      <c r="CF151" s="160"/>
      <c r="CG151" s="160"/>
      <c r="CH151" s="160"/>
      <c r="CI151" s="160"/>
      <c r="CJ151" s="160"/>
      <c r="CK151" s="160"/>
      <c r="CL151" s="160"/>
    </row>
    <row r="152">
      <c r="A152" s="174" t="s">
        <v>433</v>
      </c>
      <c r="B152" s="11" t="s">
        <v>434</v>
      </c>
      <c r="C152" s="175" t="s">
        <v>66</v>
      </c>
      <c r="D152" s="176" t="str">
        <f>IFERROR(VLOOKUP(C152, PIC!A:B, 2, 0), "")</f>
        <v>Thao Vu 2</v>
      </c>
      <c r="E152" s="11" t="s">
        <v>23</v>
      </c>
      <c r="F152" s="16" t="s">
        <v>845</v>
      </c>
      <c r="G152" s="16" t="s">
        <v>845</v>
      </c>
      <c r="H152" s="170">
        <f>IFERROR(
  MINIFS(ATTENDANCE_LOG!$F:$F,
         ATTENDANCE_LOG!$A:$A, C152,
         ATTENDANCE_LOG!$B:$B, E152),
"")</f>
        <v>45839.375</v>
      </c>
      <c r="I152" s="170">
        <f t="shared" si="2"/>
        <v>45637.375</v>
      </c>
      <c r="J152" s="11">
        <f>IFERROR(VLOOKUP(F152, LEVEL_HELPER!$A:$B, 2, 0), "")</f>
        <v>2.5</v>
      </c>
      <c r="K152" s="11">
        <f>IFERROR(VLOOKUP(G152, LEVEL_HELPER!$A:$B, 2, 0), "")</f>
        <v>2.5</v>
      </c>
      <c r="L152" s="171" t="s">
        <v>847</v>
      </c>
      <c r="M152" s="171" t="s">
        <v>152</v>
      </c>
      <c r="N152" s="11">
        <f t="array" ref="N152">IFERROR(
  INDEX($J$2:$J$531,
    MATCH(A152&amp;TEXT(I152,"yyyy-mm-dd"),
          $A$2:$A$531&amp;TEXT($H$2:$H$531,"yyyy-mm-dd"),
          0)),
"")</f>
        <v>1</v>
      </c>
      <c r="O152" s="160">
        <f t="shared" si="3"/>
        <v>2.5</v>
      </c>
      <c r="P152" s="160">
        <f t="shared" ref="P152:Q152" si="162">IF(N152="",0,IF(N152&lt;=2,1,IF(N152&lt;=4,2,IF(N152&lt;=5.5,3,4))))</f>
        <v>1</v>
      </c>
      <c r="Q152" s="160">
        <f t="shared" si="162"/>
        <v>2</v>
      </c>
      <c r="R152" s="160" t="str">
        <f t="shared" si="5"/>
        <v>Lv1 → Lv2</v>
      </c>
      <c r="S152" s="160">
        <f t="shared" si="6"/>
        <v>0</v>
      </c>
      <c r="T152" s="177" t="s">
        <v>952</v>
      </c>
      <c r="U152" s="160">
        <f>COUNTIFS(sheet2!$A:$A,A152,sheet2!$E:$E,E152)</f>
        <v>1</v>
      </c>
      <c r="V152" s="160"/>
      <c r="W152" s="160"/>
      <c r="X152" s="160" t="str">
        <f t="shared" si="7"/>
        <v>#N/A</v>
      </c>
      <c r="Y152" s="160" t="str">
        <f t="shared" si="8"/>
        <v>#N/A</v>
      </c>
      <c r="Z152" s="160" t="str">
        <f t="shared" si="9"/>
        <v>#N/A</v>
      </c>
      <c r="AA152" s="160"/>
      <c r="AB152" s="160"/>
      <c r="AC152" s="160"/>
      <c r="AD152" s="160"/>
      <c r="AE152" s="160"/>
      <c r="AF152" s="160"/>
      <c r="AG152" s="160"/>
      <c r="AH152" s="160"/>
      <c r="AI152" s="160"/>
      <c r="AJ152" s="160"/>
      <c r="AK152" s="160"/>
      <c r="AL152" s="160"/>
      <c r="AM152" s="160"/>
      <c r="AN152" s="164"/>
      <c r="AO152" s="160"/>
      <c r="AP152" s="160" t="str">
        <f t="shared" si="10"/>
        <v>#N/A</v>
      </c>
      <c r="AQ152" s="160" t="str">
        <f t="shared" si="11"/>
        <v>#N/A</v>
      </c>
      <c r="AR152" s="160" t="str">
        <f t="shared" si="12"/>
        <v>#N/A</v>
      </c>
      <c r="AS152" s="160"/>
      <c r="AT152" s="160"/>
      <c r="AU152" s="160"/>
      <c r="AV152" s="160"/>
      <c r="AW152" s="160"/>
      <c r="AX152" s="160"/>
      <c r="AY152" s="160"/>
      <c r="AZ152" s="160"/>
      <c r="BA152" s="160"/>
      <c r="BB152" s="160"/>
      <c r="BC152" s="160"/>
      <c r="BD152" s="160"/>
      <c r="BE152" s="160"/>
      <c r="BF152" s="160"/>
      <c r="BG152" s="160"/>
      <c r="BH152" s="160"/>
      <c r="BI152" s="160"/>
      <c r="BJ152" s="160"/>
      <c r="BK152" s="160"/>
      <c r="BL152" s="160"/>
      <c r="BM152" s="160"/>
      <c r="BN152" s="160"/>
      <c r="BO152" s="160"/>
      <c r="BP152" s="160"/>
      <c r="BQ152" s="160"/>
      <c r="BR152" s="160"/>
      <c r="BS152" s="160"/>
      <c r="BT152" s="160"/>
      <c r="BU152" s="160"/>
      <c r="BV152" s="160"/>
      <c r="BW152" s="160"/>
      <c r="BX152" s="160"/>
      <c r="BY152" s="160"/>
      <c r="BZ152" s="160"/>
      <c r="CA152" s="160"/>
      <c r="CB152" s="160"/>
      <c r="CC152" s="160"/>
      <c r="CD152" s="160"/>
      <c r="CE152" s="160"/>
      <c r="CF152" s="160"/>
      <c r="CG152" s="160"/>
      <c r="CH152" s="160"/>
      <c r="CI152" s="160"/>
      <c r="CJ152" s="160"/>
      <c r="CK152" s="160"/>
      <c r="CL152" s="160"/>
    </row>
    <row r="153">
      <c r="A153" s="174" t="s">
        <v>651</v>
      </c>
      <c r="B153" s="11" t="s">
        <v>652</v>
      </c>
      <c r="C153" s="175" t="s">
        <v>66</v>
      </c>
      <c r="D153" s="176" t="str">
        <f>IFERROR(VLOOKUP(C153, PIC!A:B, 2, 0), "")</f>
        <v>Thao Vu 2</v>
      </c>
      <c r="E153" s="11" t="s">
        <v>23</v>
      </c>
      <c r="F153" s="16" t="s">
        <v>858</v>
      </c>
      <c r="G153" s="16" t="s">
        <v>858</v>
      </c>
      <c r="H153" s="170">
        <f>IFERROR(
  MINIFS(ATTENDANCE_LOG!$F:$F,
         ATTENDANCE_LOG!$A:$A, C153,
         ATTENDANCE_LOG!$B:$B, E153),
"")</f>
        <v>45839.375</v>
      </c>
      <c r="I153" s="170">
        <f t="shared" si="2"/>
        <v>45637.375</v>
      </c>
      <c r="J153" s="11">
        <f>IFERROR(VLOOKUP(F153, LEVEL_HELPER!$A:$B, 2, 0), "")</f>
        <v>4.5</v>
      </c>
      <c r="K153" s="11">
        <f>IFERROR(VLOOKUP(G153, LEVEL_HELPER!$A:$B, 2, 0), "")</f>
        <v>4.5</v>
      </c>
      <c r="L153" s="171" t="s">
        <v>847</v>
      </c>
      <c r="M153" s="171" t="s">
        <v>150</v>
      </c>
      <c r="N153" s="11">
        <f t="array" ref="N153">IFERROR(
  INDEX($J$2:$J$531,
    MATCH(A153&amp;TEXT(I153,"yyyy-mm-dd"),
          $A$2:$A$531&amp;TEXT($H$2:$H$531,"yyyy-mm-dd"),
          0)),
"")</f>
        <v>2.5</v>
      </c>
      <c r="O153" s="160">
        <f t="shared" si="3"/>
        <v>4.5</v>
      </c>
      <c r="P153" s="160">
        <f t="shared" ref="P153:Q153" si="163">IF(N153="",0,IF(N153&lt;=2,1,IF(N153&lt;=4,2,IF(N153&lt;=5.5,3,4))))</f>
        <v>2</v>
      </c>
      <c r="Q153" s="160">
        <f t="shared" si="163"/>
        <v>3</v>
      </c>
      <c r="R153" s="160" t="str">
        <f t="shared" si="5"/>
        <v>Lv2 → Lv3</v>
      </c>
      <c r="S153" s="160">
        <f t="shared" si="6"/>
        <v>0</v>
      </c>
      <c r="T153" s="177" t="s">
        <v>955</v>
      </c>
      <c r="U153" s="160">
        <f>COUNTIFS(sheet2!$A:$A,A153,sheet2!$E:$E,E153)</f>
        <v>1</v>
      </c>
      <c r="V153" s="160"/>
      <c r="W153" s="160"/>
      <c r="X153" s="160" t="str">
        <f t="shared" si="7"/>
        <v>#N/A</v>
      </c>
      <c r="Y153" s="160" t="str">
        <f t="shared" si="8"/>
        <v>#N/A</v>
      </c>
      <c r="Z153" s="160" t="str">
        <f t="shared" si="9"/>
        <v>#N/A</v>
      </c>
      <c r="AA153" s="160"/>
      <c r="AB153" s="160"/>
      <c r="AC153" s="160"/>
      <c r="AD153" s="160"/>
      <c r="AE153" s="160"/>
      <c r="AF153" s="160"/>
      <c r="AG153" s="160"/>
      <c r="AH153" s="160"/>
      <c r="AI153" s="160"/>
      <c r="AJ153" s="160"/>
      <c r="AK153" s="160"/>
      <c r="AL153" s="160"/>
      <c r="AM153" s="160"/>
      <c r="AN153" s="164"/>
      <c r="AO153" s="160"/>
      <c r="AP153" s="160" t="str">
        <f t="shared" si="10"/>
        <v>#N/A</v>
      </c>
      <c r="AQ153" s="160" t="str">
        <f t="shared" si="11"/>
        <v>#N/A</v>
      </c>
      <c r="AR153" s="160" t="str">
        <f t="shared" si="12"/>
        <v>#N/A</v>
      </c>
      <c r="AS153" s="160"/>
      <c r="AT153" s="160"/>
      <c r="AU153" s="160"/>
      <c r="AV153" s="160"/>
      <c r="AW153" s="160"/>
      <c r="AX153" s="160"/>
      <c r="AY153" s="160"/>
      <c r="AZ153" s="160"/>
      <c r="BA153" s="160"/>
      <c r="BB153" s="160"/>
      <c r="BC153" s="160"/>
      <c r="BD153" s="160"/>
      <c r="BE153" s="160"/>
      <c r="BF153" s="160"/>
      <c r="BG153" s="160"/>
      <c r="BH153" s="160"/>
      <c r="BI153" s="160"/>
      <c r="BJ153" s="160"/>
      <c r="BK153" s="160"/>
      <c r="BL153" s="160"/>
      <c r="BM153" s="160"/>
      <c r="BN153" s="160"/>
      <c r="BO153" s="160"/>
      <c r="BP153" s="160"/>
      <c r="BQ153" s="160"/>
      <c r="BR153" s="160"/>
      <c r="BS153" s="160"/>
      <c r="BT153" s="160"/>
      <c r="BU153" s="160"/>
      <c r="BV153" s="160"/>
      <c r="BW153" s="160"/>
      <c r="BX153" s="160"/>
      <c r="BY153" s="160"/>
      <c r="BZ153" s="160"/>
      <c r="CA153" s="160"/>
      <c r="CB153" s="160"/>
      <c r="CC153" s="160"/>
      <c r="CD153" s="160"/>
      <c r="CE153" s="160"/>
      <c r="CF153" s="160"/>
      <c r="CG153" s="160"/>
      <c r="CH153" s="160"/>
      <c r="CI153" s="160"/>
      <c r="CJ153" s="160"/>
      <c r="CK153" s="160"/>
      <c r="CL153" s="160"/>
    </row>
    <row r="154">
      <c r="A154" s="166" t="s">
        <v>395</v>
      </c>
      <c r="B154" s="167" t="s">
        <v>396</v>
      </c>
      <c r="C154" s="168" t="s">
        <v>99</v>
      </c>
      <c r="D154" s="169" t="str">
        <f>IFERROR(VLOOKUP(C154, PIC!A:B, 2, 0), "")</f>
        <v>Minh Nguyen</v>
      </c>
      <c r="E154" s="167" t="s">
        <v>22</v>
      </c>
      <c r="F154" s="16" t="s">
        <v>849</v>
      </c>
      <c r="G154" s="11"/>
      <c r="H154" s="170">
        <f>IFERROR(
  MINIFS(ATTENDANCE_LOG!$F:$F,
         ATTENDANCE_LOG!$A:$A, C154,
         ATTENDANCE_LOG!$B:$B, E154),
"")</f>
        <v>45693.45833</v>
      </c>
      <c r="I154" s="170">
        <f t="shared" si="2"/>
        <v>45693.45833</v>
      </c>
      <c r="J154" s="11">
        <f>IFERROR(VLOOKUP(F154, LEVEL_HELPER!$A:$B, 2, 0), "")</f>
        <v>1</v>
      </c>
      <c r="K154" s="11" t="str">
        <f>IFERROR(VLOOKUP(G154, LEVEL_HELPER!$A:$B, 2, 0), "")</f>
        <v/>
      </c>
      <c r="L154" s="171" t="s">
        <v>397</v>
      </c>
      <c r="M154" s="171" t="s">
        <v>154</v>
      </c>
      <c r="N154" s="11">
        <f t="array" ref="N154">IFERROR(
  INDEX($J$2:$J$538,
    MATCH(A154&amp;TEXT(I154,"yyyy-mm-dd"),
          $A$2:$A$538&amp;TEXT($H$2:$H$538,"yyyy-mm-dd"),
          0)),
"")</f>
        <v>1</v>
      </c>
      <c r="O154" s="160">
        <f t="shared" si="3"/>
        <v>0</v>
      </c>
      <c r="P154" s="160">
        <f t="shared" ref="P154:Q154" si="164">IF(N154="",0,IF(N154&lt;=2,1,IF(N154&lt;=4,2,IF(N154&lt;=5.5,3,4))))</f>
        <v>1</v>
      </c>
      <c r="Q154" s="160">
        <f t="shared" si="164"/>
        <v>1</v>
      </c>
      <c r="R154" s="160" t="str">
        <f t="shared" si="5"/>
        <v>Not tested yet</v>
      </c>
      <c r="S154" s="160">
        <f t="shared" si="6"/>
        <v>1</v>
      </c>
      <c r="T154" s="185"/>
      <c r="U154" s="160">
        <f>COUNTIFS(sheet2!$A:$A,A154,sheet2!$E:$E,E154)</f>
        <v>1</v>
      </c>
      <c r="V154" s="160"/>
      <c r="W154" s="161" t="s">
        <v>214</v>
      </c>
      <c r="X154" s="160" t="str">
        <f t="shared" si="7"/>
        <v>QC</v>
      </c>
      <c r="Y154" s="160" t="str">
        <f t="shared" si="8"/>
        <v>QC</v>
      </c>
      <c r="Z154" s="160" t="str">
        <f t="shared" si="9"/>
        <v>MOC</v>
      </c>
      <c r="AA154" s="160"/>
      <c r="AB154" s="160"/>
      <c r="AC154" s="160"/>
      <c r="AD154" s="160"/>
      <c r="AE154" s="160"/>
      <c r="AF154" s="160"/>
      <c r="AG154" s="160"/>
      <c r="AH154" s="160"/>
      <c r="AI154" s="160"/>
      <c r="AJ154" s="160"/>
      <c r="AK154" s="160"/>
      <c r="AL154" s="160"/>
      <c r="AM154" s="160"/>
      <c r="AN154" s="164"/>
      <c r="AO154" s="160"/>
      <c r="AP154" s="160" t="str">
        <f t="shared" si="10"/>
        <v>#N/A</v>
      </c>
      <c r="AQ154" s="160" t="str">
        <f t="shared" si="11"/>
        <v>#N/A</v>
      </c>
      <c r="AR154" s="160" t="str">
        <f t="shared" si="12"/>
        <v>#N/A</v>
      </c>
      <c r="AS154" s="160"/>
      <c r="AT154" s="160"/>
      <c r="AU154" s="160"/>
      <c r="AV154" s="160"/>
      <c r="AW154" s="160"/>
      <c r="AX154" s="160"/>
      <c r="AY154" s="160"/>
      <c r="AZ154" s="160"/>
      <c r="BA154" s="160"/>
      <c r="BB154" s="160"/>
      <c r="BC154" s="160"/>
      <c r="BD154" s="160"/>
      <c r="BE154" s="160"/>
      <c r="BF154" s="160"/>
      <c r="BG154" s="160"/>
      <c r="BH154" s="160"/>
      <c r="BI154" s="160"/>
      <c r="BJ154" s="160"/>
      <c r="BK154" s="160"/>
      <c r="BL154" s="160"/>
      <c r="BM154" s="160"/>
      <c r="BN154" s="160"/>
      <c r="BO154" s="160"/>
      <c r="BP154" s="160"/>
      <c r="BQ154" s="160"/>
      <c r="BR154" s="160"/>
      <c r="BS154" s="160"/>
      <c r="BT154" s="160"/>
      <c r="BU154" s="160"/>
      <c r="BV154" s="160"/>
      <c r="BW154" s="160"/>
      <c r="BX154" s="160"/>
      <c r="BY154" s="160"/>
      <c r="BZ154" s="160"/>
      <c r="CA154" s="160"/>
      <c r="CB154" s="160"/>
      <c r="CC154" s="160"/>
      <c r="CD154" s="160"/>
      <c r="CE154" s="160"/>
      <c r="CF154" s="160"/>
      <c r="CG154" s="160"/>
      <c r="CH154" s="160"/>
      <c r="CI154" s="160"/>
      <c r="CJ154" s="160"/>
      <c r="CK154" s="160"/>
      <c r="CL154" s="160"/>
    </row>
    <row r="155">
      <c r="A155" s="174" t="s">
        <v>398</v>
      </c>
      <c r="B155" s="11" t="s">
        <v>399</v>
      </c>
      <c r="C155" s="175" t="s">
        <v>99</v>
      </c>
      <c r="D155" s="176" t="str">
        <f>IFERROR(VLOOKUP(C155, PIC!A:B, 2, 0), "")</f>
        <v>Minh Nguyen</v>
      </c>
      <c r="E155" s="11" t="s">
        <v>22</v>
      </c>
      <c r="F155" s="16" t="s">
        <v>849</v>
      </c>
      <c r="G155" s="11"/>
      <c r="H155" s="170">
        <f>IFERROR(
  MINIFS(ATTENDANCE_LOG!$F:$F,
         ATTENDANCE_LOG!$A:$A, C155,
         ATTENDANCE_LOG!$B:$B, E155),
"")</f>
        <v>45693.45833</v>
      </c>
      <c r="I155" s="170">
        <f t="shared" si="2"/>
        <v>45693.45833</v>
      </c>
      <c r="J155" s="11">
        <f>IFERROR(VLOOKUP(F155, LEVEL_HELPER!$A:$B, 2, 0), "")</f>
        <v>1</v>
      </c>
      <c r="K155" s="11" t="str">
        <f>IFERROR(VLOOKUP(G155, LEVEL_HELPER!$A:$B, 2, 0), "")</f>
        <v/>
      </c>
      <c r="L155" s="171" t="s">
        <v>400</v>
      </c>
      <c r="M155" s="171" t="s">
        <v>154</v>
      </c>
      <c r="N155" s="11">
        <f t="array" ref="N155">IFERROR(
  INDEX($J$2:$J$538,
    MATCH(A155&amp;TEXT(I155,"yyyy-mm-dd"),
          $A$2:$A$538&amp;TEXT($H$2:$H$538,"yyyy-mm-dd"),
          0)),
"")</f>
        <v>1</v>
      </c>
      <c r="O155" s="160">
        <f t="shared" si="3"/>
        <v>0</v>
      </c>
      <c r="P155" s="160">
        <f t="shared" ref="P155:Q155" si="165">IF(N155="",0,IF(N155&lt;=2,1,IF(N155&lt;=4,2,IF(N155&lt;=5.5,3,4))))</f>
        <v>1</v>
      </c>
      <c r="Q155" s="160">
        <f t="shared" si="165"/>
        <v>1</v>
      </c>
      <c r="R155" s="160" t="str">
        <f t="shared" si="5"/>
        <v>Not tested yet</v>
      </c>
      <c r="S155" s="160">
        <f t="shared" si="6"/>
        <v>1</v>
      </c>
      <c r="T155" s="185"/>
      <c r="U155" s="160">
        <f>COUNTIFS(sheet2!$A:$A,A155,sheet2!$E:$E,E155)</f>
        <v>1</v>
      </c>
      <c r="V155" s="160"/>
      <c r="W155" s="161" t="s">
        <v>218</v>
      </c>
      <c r="X155" s="160" t="str">
        <f t="shared" si="7"/>
        <v>DEV</v>
      </c>
      <c r="Y155" s="160" t="str">
        <f t="shared" si="8"/>
        <v>DEV, TA</v>
      </c>
      <c r="Z155" s="160" t="str">
        <f t="shared" si="9"/>
        <v>LBU</v>
      </c>
      <c r="AA155" s="160"/>
      <c r="AB155" s="160"/>
      <c r="AC155" s="160"/>
      <c r="AD155" s="160"/>
      <c r="AE155" s="160"/>
      <c r="AF155" s="160"/>
      <c r="AG155" s="160"/>
      <c r="AH155" s="160"/>
      <c r="AI155" s="160"/>
      <c r="AJ155" s="160"/>
      <c r="AK155" s="160"/>
      <c r="AL155" s="160"/>
      <c r="AM155" s="160"/>
      <c r="AN155" s="164"/>
      <c r="AO155" s="160"/>
      <c r="AP155" s="160" t="str">
        <f t="shared" si="10"/>
        <v>#N/A</v>
      </c>
      <c r="AQ155" s="160" t="str">
        <f t="shared" si="11"/>
        <v>#N/A</v>
      </c>
      <c r="AR155" s="160" t="str">
        <f t="shared" si="12"/>
        <v>#N/A</v>
      </c>
      <c r="AS155" s="160"/>
      <c r="AT155" s="160"/>
      <c r="AU155" s="160"/>
      <c r="AV155" s="160"/>
      <c r="AW155" s="160"/>
      <c r="AX155" s="160"/>
      <c r="AY155" s="160"/>
      <c r="AZ155" s="160"/>
      <c r="BA155" s="160"/>
      <c r="BB155" s="160"/>
      <c r="BC155" s="160"/>
      <c r="BD155" s="160"/>
      <c r="BE155" s="160"/>
      <c r="BF155" s="160"/>
      <c r="BG155" s="160"/>
      <c r="BH155" s="160"/>
      <c r="BI155" s="160"/>
      <c r="BJ155" s="160"/>
      <c r="BK155" s="160"/>
      <c r="BL155" s="160"/>
      <c r="BM155" s="160"/>
      <c r="BN155" s="160"/>
      <c r="BO155" s="160"/>
      <c r="BP155" s="160"/>
      <c r="BQ155" s="160"/>
      <c r="BR155" s="160"/>
      <c r="BS155" s="160"/>
      <c r="BT155" s="160"/>
      <c r="BU155" s="160"/>
      <c r="BV155" s="160"/>
      <c r="BW155" s="160"/>
      <c r="BX155" s="160"/>
      <c r="BY155" s="160"/>
      <c r="BZ155" s="160"/>
      <c r="CA155" s="160"/>
      <c r="CB155" s="160"/>
      <c r="CC155" s="160"/>
      <c r="CD155" s="160"/>
      <c r="CE155" s="160"/>
      <c r="CF155" s="160"/>
      <c r="CG155" s="160"/>
      <c r="CH155" s="160"/>
      <c r="CI155" s="160"/>
      <c r="CJ155" s="160"/>
      <c r="CK155" s="160"/>
      <c r="CL155" s="160"/>
    </row>
    <row r="156">
      <c r="A156" s="174" t="s">
        <v>401</v>
      </c>
      <c r="B156" s="11" t="s">
        <v>402</v>
      </c>
      <c r="C156" s="175" t="s">
        <v>99</v>
      </c>
      <c r="D156" s="176" t="str">
        <f>IFERROR(VLOOKUP(C156, PIC!A:B, 2, 0), "")</f>
        <v>Minh Nguyen</v>
      </c>
      <c r="E156" s="11" t="s">
        <v>22</v>
      </c>
      <c r="F156" s="16" t="s">
        <v>849</v>
      </c>
      <c r="G156" s="11"/>
      <c r="H156" s="170">
        <f>IFERROR(
  MINIFS(ATTENDANCE_LOG!$F:$F,
         ATTENDANCE_LOG!$A:$A, C156,
         ATTENDANCE_LOG!$B:$B, E156),
"")</f>
        <v>45693.45833</v>
      </c>
      <c r="I156" s="170">
        <f t="shared" si="2"/>
        <v>45693.45833</v>
      </c>
      <c r="J156" s="11">
        <f>IFERROR(VLOOKUP(F156, LEVEL_HELPER!$A:$B, 2, 0), "")</f>
        <v>1</v>
      </c>
      <c r="K156" s="11" t="str">
        <f>IFERROR(VLOOKUP(G156, LEVEL_HELPER!$A:$B, 2, 0), "")</f>
        <v/>
      </c>
      <c r="L156" s="171" t="s">
        <v>400</v>
      </c>
      <c r="M156" s="171" t="s">
        <v>154</v>
      </c>
      <c r="N156" s="11">
        <f t="array" ref="N156">IFERROR(
  INDEX($J$2:$J$538,
    MATCH(A156&amp;TEXT(I156,"yyyy-mm-dd"),
          $A$2:$A$538&amp;TEXT($H$2:$H$538,"yyyy-mm-dd"),
          0)),
"")</f>
        <v>1</v>
      </c>
      <c r="O156" s="160">
        <f t="shared" si="3"/>
        <v>0</v>
      </c>
      <c r="P156" s="160">
        <f t="shared" ref="P156:Q156" si="166">IF(N156="",0,IF(N156&lt;=2,1,IF(N156&lt;=4,2,IF(N156&lt;=5.5,3,4))))</f>
        <v>1</v>
      </c>
      <c r="Q156" s="160">
        <f t="shared" si="166"/>
        <v>1</v>
      </c>
      <c r="R156" s="160" t="str">
        <f t="shared" si="5"/>
        <v>Not tested yet</v>
      </c>
      <c r="S156" s="160">
        <f t="shared" si="6"/>
        <v>1</v>
      </c>
      <c r="T156" s="185"/>
      <c r="U156" s="160">
        <f>COUNTIFS(sheet2!$A:$A,A156,sheet2!$E:$E,E156)</f>
        <v>1</v>
      </c>
      <c r="V156" s="160"/>
      <c r="W156" s="161" t="s">
        <v>431</v>
      </c>
      <c r="X156" s="160" t="str">
        <f t="shared" si="7"/>
        <v>QC</v>
      </c>
      <c r="Y156" s="160" t="str">
        <f t="shared" si="8"/>
        <v>QC</v>
      </c>
      <c r="Z156" s="160" t="str">
        <f t="shared" si="9"/>
        <v>LBU</v>
      </c>
      <c r="AA156" s="160"/>
      <c r="AB156" s="160"/>
      <c r="AC156" s="160"/>
      <c r="AD156" s="160"/>
      <c r="AE156" s="160"/>
      <c r="AF156" s="160"/>
      <c r="AG156" s="160"/>
      <c r="AH156" s="160"/>
      <c r="AI156" s="160"/>
      <c r="AJ156" s="160"/>
      <c r="AK156" s="160"/>
      <c r="AL156" s="160"/>
      <c r="AM156" s="160"/>
      <c r="AN156" s="164"/>
      <c r="AO156" s="160"/>
      <c r="AP156" s="160" t="str">
        <f t="shared" si="10"/>
        <v>#N/A</v>
      </c>
      <c r="AQ156" s="160" t="str">
        <f t="shared" si="11"/>
        <v>#N/A</v>
      </c>
      <c r="AR156" s="160" t="str">
        <f t="shared" si="12"/>
        <v>#N/A</v>
      </c>
      <c r="AS156" s="160"/>
      <c r="AT156" s="160"/>
      <c r="AU156" s="160"/>
      <c r="AV156" s="160"/>
      <c r="AW156" s="160"/>
      <c r="AX156" s="160"/>
      <c r="AY156" s="160"/>
      <c r="AZ156" s="160"/>
      <c r="BA156" s="160"/>
      <c r="BB156" s="160"/>
      <c r="BC156" s="160"/>
      <c r="BD156" s="160"/>
      <c r="BE156" s="160"/>
      <c r="BF156" s="160"/>
      <c r="BG156" s="160"/>
      <c r="BH156" s="160"/>
      <c r="BI156" s="160"/>
      <c r="BJ156" s="160"/>
      <c r="BK156" s="160"/>
      <c r="BL156" s="160"/>
      <c r="BM156" s="160"/>
      <c r="BN156" s="160"/>
      <c r="BO156" s="160"/>
      <c r="BP156" s="160"/>
      <c r="BQ156" s="160"/>
      <c r="BR156" s="160"/>
      <c r="BS156" s="160"/>
      <c r="BT156" s="160"/>
      <c r="BU156" s="160"/>
      <c r="BV156" s="160"/>
      <c r="BW156" s="160"/>
      <c r="BX156" s="160"/>
      <c r="BY156" s="160"/>
      <c r="BZ156" s="160"/>
      <c r="CA156" s="160"/>
      <c r="CB156" s="160"/>
      <c r="CC156" s="160"/>
      <c r="CD156" s="160"/>
      <c r="CE156" s="160"/>
      <c r="CF156" s="160"/>
      <c r="CG156" s="160"/>
      <c r="CH156" s="160"/>
      <c r="CI156" s="160"/>
      <c r="CJ156" s="160"/>
      <c r="CK156" s="160"/>
      <c r="CL156" s="160"/>
    </row>
    <row r="157">
      <c r="A157" s="174" t="s">
        <v>403</v>
      </c>
      <c r="B157" s="11" t="s">
        <v>404</v>
      </c>
      <c r="C157" s="175" t="s">
        <v>99</v>
      </c>
      <c r="D157" s="176" t="str">
        <f>IFERROR(VLOOKUP(C157, PIC!A:B, 2, 0), "")</f>
        <v>Minh Nguyen</v>
      </c>
      <c r="E157" s="11" t="s">
        <v>22</v>
      </c>
      <c r="F157" s="16" t="s">
        <v>849</v>
      </c>
      <c r="G157" s="11"/>
      <c r="H157" s="170">
        <f>IFERROR(
  MINIFS(ATTENDANCE_LOG!$F:$F,
         ATTENDANCE_LOG!$A:$A, C157,
         ATTENDANCE_LOG!$B:$B, E157),
"")</f>
        <v>45693.45833</v>
      </c>
      <c r="I157" s="170">
        <f t="shared" si="2"/>
        <v>45693.45833</v>
      </c>
      <c r="J157" s="11">
        <f>IFERROR(VLOOKUP(F157, LEVEL_HELPER!$A:$B, 2, 0), "")</f>
        <v>1</v>
      </c>
      <c r="K157" s="11" t="str">
        <f>IFERROR(VLOOKUP(G157, LEVEL_HELPER!$A:$B, 2, 0), "")</f>
        <v/>
      </c>
      <c r="L157" s="171" t="s">
        <v>400</v>
      </c>
      <c r="M157" s="171" t="s">
        <v>154</v>
      </c>
      <c r="N157" s="11">
        <f t="array" ref="N157">IFERROR(
  INDEX($J$2:$J$538,
    MATCH(A157&amp;TEXT(I157,"yyyy-mm-dd"),
          $A$2:$A$538&amp;TEXT($H$2:$H$538,"yyyy-mm-dd"),
          0)),
"")</f>
        <v>1</v>
      </c>
      <c r="O157" s="160">
        <f t="shared" si="3"/>
        <v>0</v>
      </c>
      <c r="P157" s="160">
        <f t="shared" ref="P157:Q157" si="167">IF(N157="",0,IF(N157&lt;=2,1,IF(N157&lt;=4,2,IF(N157&lt;=5.5,3,4))))</f>
        <v>1</v>
      </c>
      <c r="Q157" s="160">
        <f t="shared" si="167"/>
        <v>1</v>
      </c>
      <c r="R157" s="160" t="str">
        <f t="shared" si="5"/>
        <v>Not tested yet</v>
      </c>
      <c r="S157" s="160">
        <f t="shared" si="6"/>
        <v>1</v>
      </c>
      <c r="T157" s="185"/>
      <c r="U157" s="160">
        <f>COUNTIFS(sheet2!$A:$A,A157,sheet2!$E:$E,E157)</f>
        <v>1</v>
      </c>
      <c r="V157" s="160"/>
      <c r="W157" s="161" t="s">
        <v>419</v>
      </c>
      <c r="X157" s="160" t="str">
        <f t="shared" si="7"/>
        <v>DEV</v>
      </c>
      <c r="Y157" s="160" t="str">
        <f t="shared" si="8"/>
        <v>DEV, TA</v>
      </c>
      <c r="Z157" s="160" t="str">
        <f t="shared" si="9"/>
        <v>LBU</v>
      </c>
      <c r="AA157" s="160"/>
      <c r="AB157" s="160"/>
      <c r="AC157" s="160"/>
      <c r="AD157" s="160"/>
      <c r="AE157" s="160"/>
      <c r="AF157" s="160"/>
      <c r="AG157" s="160"/>
      <c r="AH157" s="160"/>
      <c r="AI157" s="160"/>
      <c r="AJ157" s="160"/>
      <c r="AK157" s="160"/>
      <c r="AL157" s="160"/>
      <c r="AM157" s="160"/>
      <c r="AN157" s="164"/>
      <c r="AO157" s="160"/>
      <c r="AP157" s="160" t="str">
        <f t="shared" si="10"/>
        <v>#N/A</v>
      </c>
      <c r="AQ157" s="160" t="str">
        <f t="shared" si="11"/>
        <v>#N/A</v>
      </c>
      <c r="AR157" s="160" t="str">
        <f t="shared" si="12"/>
        <v>#N/A</v>
      </c>
      <c r="AS157" s="160"/>
      <c r="AT157" s="160"/>
      <c r="AU157" s="160"/>
      <c r="AV157" s="160"/>
      <c r="AW157" s="160"/>
      <c r="AX157" s="160"/>
      <c r="AY157" s="160"/>
      <c r="AZ157" s="160"/>
      <c r="BA157" s="160"/>
      <c r="BB157" s="160"/>
      <c r="BC157" s="160"/>
      <c r="BD157" s="160"/>
      <c r="BE157" s="160"/>
      <c r="BF157" s="160"/>
      <c r="BG157" s="160"/>
      <c r="BH157" s="160"/>
      <c r="BI157" s="160"/>
      <c r="BJ157" s="160"/>
      <c r="BK157" s="160"/>
      <c r="BL157" s="160"/>
      <c r="BM157" s="160"/>
      <c r="BN157" s="160"/>
      <c r="BO157" s="160"/>
      <c r="BP157" s="160"/>
      <c r="BQ157" s="160"/>
      <c r="BR157" s="160"/>
      <c r="BS157" s="160"/>
      <c r="BT157" s="160"/>
      <c r="BU157" s="160"/>
      <c r="BV157" s="160"/>
      <c r="BW157" s="160"/>
      <c r="BX157" s="160"/>
      <c r="BY157" s="160"/>
      <c r="BZ157" s="160"/>
      <c r="CA157" s="160"/>
      <c r="CB157" s="160"/>
      <c r="CC157" s="160"/>
      <c r="CD157" s="160"/>
      <c r="CE157" s="160"/>
      <c r="CF157" s="160"/>
      <c r="CG157" s="160"/>
      <c r="CH157" s="160"/>
      <c r="CI157" s="160"/>
      <c r="CJ157" s="160"/>
      <c r="CK157" s="160"/>
      <c r="CL157" s="160"/>
    </row>
    <row r="158">
      <c r="A158" s="174" t="s">
        <v>405</v>
      </c>
      <c r="B158" s="11" t="s">
        <v>406</v>
      </c>
      <c r="C158" s="175" t="s">
        <v>99</v>
      </c>
      <c r="D158" s="176" t="str">
        <f>IFERROR(VLOOKUP(C158, PIC!A:B, 2, 0), "")</f>
        <v>Minh Nguyen</v>
      </c>
      <c r="E158" s="11" t="s">
        <v>22</v>
      </c>
      <c r="F158" s="16" t="s">
        <v>849</v>
      </c>
      <c r="G158" s="11"/>
      <c r="H158" s="170">
        <f>IFERROR(
  MINIFS(ATTENDANCE_LOG!$F:$F,
         ATTENDANCE_LOG!$A:$A, C158,
         ATTENDANCE_LOG!$B:$B, E158),
"")</f>
        <v>45693.45833</v>
      </c>
      <c r="I158" s="170">
        <f t="shared" si="2"/>
        <v>45693.45833</v>
      </c>
      <c r="J158" s="11">
        <f>IFERROR(VLOOKUP(F158, LEVEL_HELPER!$A:$B, 2, 0), "")</f>
        <v>1</v>
      </c>
      <c r="K158" s="11" t="str">
        <f>IFERROR(VLOOKUP(G158, LEVEL_HELPER!$A:$B, 2, 0), "")</f>
        <v/>
      </c>
      <c r="L158" s="171" t="s">
        <v>400</v>
      </c>
      <c r="M158" s="171" t="s">
        <v>154</v>
      </c>
      <c r="N158" s="11">
        <f t="array" ref="N158">IFERROR(
  INDEX($J$2:$J$538,
    MATCH(A158&amp;TEXT(I158,"yyyy-mm-dd"),
          $A$2:$A$538&amp;TEXT($H$2:$H$538,"yyyy-mm-dd"),
          0)),
"")</f>
        <v>1</v>
      </c>
      <c r="O158" s="160">
        <f t="shared" si="3"/>
        <v>0</v>
      </c>
      <c r="P158" s="160">
        <f t="shared" ref="P158:Q158" si="168">IF(N158="",0,IF(N158&lt;=2,1,IF(N158&lt;=4,2,IF(N158&lt;=5.5,3,4))))</f>
        <v>1</v>
      </c>
      <c r="Q158" s="160">
        <f t="shared" si="168"/>
        <v>1</v>
      </c>
      <c r="R158" s="160" t="str">
        <f t="shared" si="5"/>
        <v>Not tested yet</v>
      </c>
      <c r="S158" s="160">
        <f t="shared" si="6"/>
        <v>1</v>
      </c>
      <c r="T158" s="185"/>
      <c r="U158" s="160">
        <f>COUNTIFS(sheet2!$A:$A,A158,sheet2!$E:$E,E158)</f>
        <v>1</v>
      </c>
      <c r="V158" s="160"/>
      <c r="W158" s="161" t="s">
        <v>322</v>
      </c>
      <c r="X158" s="160" t="str">
        <f t="shared" si="7"/>
        <v>DEV</v>
      </c>
      <c r="Y158" s="160" t="str">
        <f t="shared" si="8"/>
        <v>DEV, TA</v>
      </c>
      <c r="Z158" s="160" t="str">
        <f t="shared" si="9"/>
        <v>LBU</v>
      </c>
      <c r="AA158" s="160"/>
      <c r="AB158" s="160"/>
      <c r="AC158" s="160"/>
      <c r="AD158" s="160"/>
      <c r="AE158" s="160"/>
      <c r="AF158" s="160"/>
      <c r="AG158" s="160"/>
      <c r="AH158" s="160"/>
      <c r="AI158" s="160"/>
      <c r="AJ158" s="160"/>
      <c r="AK158" s="160"/>
      <c r="AL158" s="160"/>
      <c r="AM158" s="160"/>
      <c r="AN158" s="164"/>
      <c r="AO158" s="160"/>
      <c r="AP158" s="160" t="str">
        <f t="shared" si="10"/>
        <v>#N/A</v>
      </c>
      <c r="AQ158" s="160" t="str">
        <f t="shared" si="11"/>
        <v>#N/A</v>
      </c>
      <c r="AR158" s="160" t="str">
        <f t="shared" si="12"/>
        <v>#N/A</v>
      </c>
      <c r="AS158" s="160"/>
      <c r="AT158" s="160"/>
      <c r="AU158" s="160"/>
      <c r="AV158" s="160"/>
      <c r="AW158" s="160"/>
      <c r="AX158" s="160"/>
      <c r="AY158" s="160"/>
      <c r="AZ158" s="160"/>
      <c r="BA158" s="160"/>
      <c r="BB158" s="160"/>
      <c r="BC158" s="160"/>
      <c r="BD158" s="160"/>
      <c r="BE158" s="160"/>
      <c r="BF158" s="160"/>
      <c r="BG158" s="160"/>
      <c r="BH158" s="160"/>
      <c r="BI158" s="160"/>
      <c r="BJ158" s="160"/>
      <c r="BK158" s="160"/>
      <c r="BL158" s="160"/>
      <c r="BM158" s="160"/>
      <c r="BN158" s="160"/>
      <c r="BO158" s="160"/>
      <c r="BP158" s="160"/>
      <c r="BQ158" s="160"/>
      <c r="BR158" s="160"/>
      <c r="BS158" s="160"/>
      <c r="BT158" s="160"/>
      <c r="BU158" s="160"/>
      <c r="BV158" s="160"/>
      <c r="BW158" s="160"/>
      <c r="BX158" s="160"/>
      <c r="BY158" s="160"/>
      <c r="BZ158" s="160"/>
      <c r="CA158" s="160"/>
      <c r="CB158" s="160"/>
      <c r="CC158" s="160"/>
      <c r="CD158" s="160"/>
      <c r="CE158" s="160"/>
      <c r="CF158" s="160"/>
      <c r="CG158" s="160"/>
      <c r="CH158" s="160"/>
      <c r="CI158" s="160"/>
      <c r="CJ158" s="160"/>
      <c r="CK158" s="160"/>
      <c r="CL158" s="160"/>
    </row>
    <row r="159">
      <c r="A159" s="174" t="s">
        <v>407</v>
      </c>
      <c r="B159" s="11" t="s">
        <v>408</v>
      </c>
      <c r="C159" s="175" t="s">
        <v>99</v>
      </c>
      <c r="D159" s="176" t="str">
        <f>IFERROR(VLOOKUP(C159, PIC!A:B, 2, 0), "")</f>
        <v>Minh Nguyen</v>
      </c>
      <c r="E159" s="11" t="s">
        <v>22</v>
      </c>
      <c r="F159" s="16" t="s">
        <v>849</v>
      </c>
      <c r="G159" s="11"/>
      <c r="H159" s="170">
        <f>IFERROR(
  MINIFS(ATTENDANCE_LOG!$F:$F,
         ATTENDANCE_LOG!$A:$A, C159,
         ATTENDANCE_LOG!$B:$B, E159),
"")</f>
        <v>45693.45833</v>
      </c>
      <c r="I159" s="170">
        <f t="shared" si="2"/>
        <v>45693.45833</v>
      </c>
      <c r="J159" s="11">
        <f>IFERROR(VLOOKUP(F159, LEVEL_HELPER!$A:$B, 2, 0), "")</f>
        <v>1</v>
      </c>
      <c r="K159" s="11" t="str">
        <f>IFERROR(VLOOKUP(G159, LEVEL_HELPER!$A:$B, 2, 0), "")</f>
        <v/>
      </c>
      <c r="L159" s="171" t="s">
        <v>400</v>
      </c>
      <c r="M159" s="171" t="s">
        <v>154</v>
      </c>
      <c r="N159" s="11">
        <f t="array" ref="N159">IFERROR(
  INDEX($J$2:$J$538,
    MATCH(A159&amp;TEXT(I159,"yyyy-mm-dd"),
          $A$2:$A$538&amp;TEXT($H$2:$H$538,"yyyy-mm-dd"),
          0)),
"")</f>
        <v>1</v>
      </c>
      <c r="O159" s="160">
        <f t="shared" si="3"/>
        <v>0</v>
      </c>
      <c r="P159" s="160">
        <f t="shared" ref="P159:Q159" si="169">IF(N159="",0,IF(N159&lt;=2,1,IF(N159&lt;=4,2,IF(N159&lt;=5.5,3,4))))</f>
        <v>1</v>
      </c>
      <c r="Q159" s="160">
        <f t="shared" si="169"/>
        <v>1</v>
      </c>
      <c r="R159" s="160" t="str">
        <f t="shared" si="5"/>
        <v>Not tested yet</v>
      </c>
      <c r="S159" s="160">
        <f t="shared" si="6"/>
        <v>1</v>
      </c>
      <c r="T159" s="185"/>
      <c r="U159" s="160">
        <f>COUNTIFS(sheet2!$A:$A,A159,sheet2!$E:$E,E159)</f>
        <v>1</v>
      </c>
      <c r="V159" s="160"/>
      <c r="W159" s="161" t="s">
        <v>425</v>
      </c>
      <c r="X159" s="160" t="str">
        <f t="shared" si="7"/>
        <v>DEV</v>
      </c>
      <c r="Y159" s="160" t="str">
        <f t="shared" si="8"/>
        <v>DEV, TA</v>
      </c>
      <c r="Z159" s="160" t="str">
        <f t="shared" si="9"/>
        <v>LBU</v>
      </c>
      <c r="AA159" s="160"/>
      <c r="AB159" s="160"/>
      <c r="AC159" s="160"/>
      <c r="AD159" s="160"/>
      <c r="AE159" s="160"/>
      <c r="AF159" s="160"/>
      <c r="AG159" s="160"/>
      <c r="AH159" s="160"/>
      <c r="AI159" s="160"/>
      <c r="AJ159" s="160"/>
      <c r="AK159" s="160"/>
      <c r="AL159" s="160"/>
      <c r="AM159" s="160"/>
      <c r="AN159" s="164"/>
      <c r="AO159" s="160"/>
      <c r="AP159" s="160" t="str">
        <f t="shared" si="10"/>
        <v>#N/A</v>
      </c>
      <c r="AQ159" s="160" t="str">
        <f t="shared" si="11"/>
        <v>#N/A</v>
      </c>
      <c r="AR159" s="160" t="str">
        <f t="shared" si="12"/>
        <v>#N/A</v>
      </c>
      <c r="AS159" s="160"/>
      <c r="AT159" s="160"/>
      <c r="AU159" s="160"/>
      <c r="AV159" s="160"/>
      <c r="AW159" s="160"/>
      <c r="AX159" s="160"/>
      <c r="AY159" s="160"/>
      <c r="AZ159" s="160"/>
      <c r="BA159" s="160"/>
      <c r="BB159" s="160"/>
      <c r="BC159" s="160"/>
      <c r="BD159" s="160"/>
      <c r="BE159" s="160"/>
      <c r="BF159" s="160"/>
      <c r="BG159" s="160"/>
      <c r="BH159" s="160"/>
      <c r="BI159" s="160"/>
      <c r="BJ159" s="160"/>
      <c r="BK159" s="160"/>
      <c r="BL159" s="160"/>
      <c r="BM159" s="160"/>
      <c r="BN159" s="160"/>
      <c r="BO159" s="160"/>
      <c r="BP159" s="160"/>
      <c r="BQ159" s="160"/>
      <c r="BR159" s="160"/>
      <c r="BS159" s="160"/>
      <c r="BT159" s="160"/>
      <c r="BU159" s="160"/>
      <c r="BV159" s="160"/>
      <c r="BW159" s="160"/>
      <c r="BX159" s="160"/>
      <c r="BY159" s="160"/>
      <c r="BZ159" s="160"/>
      <c r="CA159" s="160"/>
      <c r="CB159" s="160"/>
      <c r="CC159" s="160"/>
      <c r="CD159" s="160"/>
      <c r="CE159" s="160"/>
      <c r="CF159" s="160"/>
      <c r="CG159" s="160"/>
      <c r="CH159" s="160"/>
      <c r="CI159" s="160"/>
      <c r="CJ159" s="160"/>
      <c r="CK159" s="160"/>
      <c r="CL159" s="160"/>
    </row>
    <row r="160">
      <c r="A160" s="166" t="s">
        <v>445</v>
      </c>
      <c r="B160" s="167" t="s">
        <v>446</v>
      </c>
      <c r="C160" s="168" t="s">
        <v>67</v>
      </c>
      <c r="D160" s="169" t="str">
        <f>IFERROR(VLOOKUP(C160, PIC!A:B, 2, 0), "")</f>
        <v>Nhat Bui</v>
      </c>
      <c r="E160" s="167" t="s">
        <v>22</v>
      </c>
      <c r="F160" s="16" t="s">
        <v>845</v>
      </c>
      <c r="G160" s="16" t="s">
        <v>845</v>
      </c>
      <c r="H160" s="170">
        <f>IFERROR(
  MINIFS(ATTENDANCE_LOG!$F:$F,
         ATTENDANCE_LOG!$A:$A, C160,
         ATTENDANCE_LOG!$B:$B, E160),
"")</f>
        <v>45639.45833</v>
      </c>
      <c r="I160" s="170">
        <f t="shared" si="2"/>
        <v>45639.45833</v>
      </c>
      <c r="J160" s="11">
        <f>IFERROR(VLOOKUP(F160, LEVEL_HELPER!$A:$B, 2, 0), "")</f>
        <v>2.5</v>
      </c>
      <c r="K160" s="11">
        <f>IFERROR(VLOOKUP(G160, LEVEL_HELPER!$A:$B, 2, 0), "")</f>
        <v>2.5</v>
      </c>
      <c r="L160" s="183" t="s">
        <v>956</v>
      </c>
      <c r="M160" s="171" t="s">
        <v>148</v>
      </c>
      <c r="N160" s="11">
        <f t="array" ref="N160">IFERROR(
  INDEX($J$2:$J$531,
    MATCH(A160&amp;TEXT(I160,"yyyy-mm-dd"),
          $A$2:$A$531&amp;TEXT($H$2:$H$531,"yyyy-mm-dd"),
          0)),
"")</f>
        <v>2.5</v>
      </c>
      <c r="O160" s="160">
        <f t="shared" si="3"/>
        <v>2.5</v>
      </c>
      <c r="P160" s="160">
        <f t="shared" ref="P160:Q160" si="170">IF(N160="",0,IF(N160&lt;=2,1,IF(N160&lt;=4,2,IF(N160&lt;=5.5,3,4))))</f>
        <v>2</v>
      </c>
      <c r="Q160" s="160">
        <f t="shared" si="170"/>
        <v>2</v>
      </c>
      <c r="R160" s="160" t="str">
        <f t="shared" si="5"/>
        <v>No Progress</v>
      </c>
      <c r="S160" s="160">
        <f t="shared" si="6"/>
        <v>1</v>
      </c>
      <c r="T160" s="185"/>
      <c r="U160" s="160">
        <f>COUNTIFS(sheet2!$A:$A,A160,sheet2!$E:$E,E160)</f>
        <v>1</v>
      </c>
      <c r="V160" s="160"/>
      <c r="W160" s="160"/>
      <c r="X160" s="160" t="str">
        <f t="shared" si="7"/>
        <v>#N/A</v>
      </c>
      <c r="Y160" s="160" t="str">
        <f t="shared" si="8"/>
        <v>#N/A</v>
      </c>
      <c r="Z160" s="160" t="str">
        <f t="shared" si="9"/>
        <v>#N/A</v>
      </c>
      <c r="AA160" s="160"/>
      <c r="AB160" s="160"/>
      <c r="AC160" s="160"/>
      <c r="AD160" s="160"/>
      <c r="AE160" s="160"/>
      <c r="AF160" s="160"/>
      <c r="AG160" s="160"/>
      <c r="AH160" s="160"/>
      <c r="AI160" s="160"/>
      <c r="AJ160" s="160"/>
      <c r="AK160" s="160"/>
      <c r="AL160" s="160"/>
      <c r="AM160" s="160"/>
      <c r="AN160" s="164"/>
      <c r="AO160" s="160"/>
      <c r="AP160" s="160" t="str">
        <f t="shared" si="10"/>
        <v>#N/A</v>
      </c>
      <c r="AQ160" s="160" t="str">
        <f t="shared" si="11"/>
        <v>#N/A</v>
      </c>
      <c r="AR160" s="160" t="str">
        <f t="shared" si="12"/>
        <v>#N/A</v>
      </c>
      <c r="AS160" s="160"/>
      <c r="AT160" s="160"/>
      <c r="AU160" s="160"/>
      <c r="AV160" s="160"/>
      <c r="AW160" s="160"/>
      <c r="AX160" s="160"/>
      <c r="AY160" s="160"/>
      <c r="AZ160" s="160"/>
      <c r="BA160" s="160"/>
      <c r="BB160" s="160"/>
      <c r="BC160" s="160"/>
      <c r="BD160" s="160"/>
      <c r="BE160" s="160"/>
      <c r="BF160" s="160"/>
      <c r="BG160" s="160"/>
      <c r="BH160" s="160"/>
      <c r="BI160" s="160"/>
      <c r="BJ160" s="160"/>
      <c r="BK160" s="160"/>
      <c r="BL160" s="160"/>
      <c r="BM160" s="160"/>
      <c r="BN160" s="160"/>
      <c r="BO160" s="160"/>
      <c r="BP160" s="160"/>
      <c r="BQ160" s="160"/>
      <c r="BR160" s="160"/>
      <c r="BS160" s="160"/>
      <c r="BT160" s="160"/>
      <c r="BU160" s="160"/>
      <c r="BV160" s="160"/>
      <c r="BW160" s="160"/>
      <c r="BX160" s="160"/>
      <c r="BY160" s="160"/>
      <c r="BZ160" s="160"/>
      <c r="CA160" s="160"/>
      <c r="CB160" s="160"/>
      <c r="CC160" s="160"/>
      <c r="CD160" s="160"/>
      <c r="CE160" s="160"/>
      <c r="CF160" s="160"/>
      <c r="CG160" s="160"/>
      <c r="CH160" s="160"/>
      <c r="CI160" s="160"/>
      <c r="CJ160" s="160"/>
      <c r="CK160" s="160"/>
      <c r="CL160" s="160"/>
    </row>
    <row r="161">
      <c r="A161" s="174" t="s">
        <v>447</v>
      </c>
      <c r="B161" s="11" t="s">
        <v>448</v>
      </c>
      <c r="C161" s="175" t="s">
        <v>67</v>
      </c>
      <c r="D161" s="176" t="str">
        <f>IFERROR(VLOOKUP(C161, PIC!A:B, 2, 0), "")</f>
        <v>Nhat Bui</v>
      </c>
      <c r="E161" s="11" t="s">
        <v>22</v>
      </c>
      <c r="F161" s="11"/>
      <c r="G161" s="11"/>
      <c r="H161" s="170">
        <f>IFERROR(
  MINIFS(ATTENDANCE_LOG!$F:$F,
         ATTENDANCE_LOG!$A:$A, C161,
         ATTENDANCE_LOG!$B:$B, E161),
"")</f>
        <v>45639.45833</v>
      </c>
      <c r="I161" s="170">
        <f t="shared" si="2"/>
        <v>45639.45833</v>
      </c>
      <c r="J161" s="11" t="str">
        <f>IFERROR(VLOOKUP(F161, LEVEL_HELPER!$A:$B, 2, 0), "")</f>
        <v/>
      </c>
      <c r="K161" s="11" t="str">
        <f>IFERROR(VLOOKUP(G161, LEVEL_HELPER!$A:$B, 2, 0), "")</f>
        <v/>
      </c>
      <c r="L161" s="183" t="s">
        <v>956</v>
      </c>
      <c r="M161" s="171" t="s">
        <v>150</v>
      </c>
      <c r="N161" s="11" t="str">
        <f t="array" ref="N161">IFERROR(
  INDEX($J$2:$J$531,
    MATCH(A161&amp;TEXT(I161,"yyyy-mm-dd"),
          $A$2:$A$531&amp;TEXT($H$2:$H$531,"yyyy-mm-dd"),
          0)),
"")</f>
        <v/>
      </c>
      <c r="O161" s="160">
        <f t="shared" si="3"/>
        <v>0</v>
      </c>
      <c r="P161" s="160">
        <f t="shared" ref="P161:Q161" si="171">IF(N161="",0,IF(N161&lt;=2,1,IF(N161&lt;=4,2,IF(N161&lt;=5.5,3,4))))</f>
        <v>0</v>
      </c>
      <c r="Q161" s="160">
        <f t="shared" si="171"/>
        <v>1</v>
      </c>
      <c r="R161" s="160" t="str">
        <f t="shared" si="5"/>
        <v>Not tested yet</v>
      </c>
      <c r="S161" s="160">
        <f t="shared" si="6"/>
        <v>1</v>
      </c>
      <c r="T161" s="185"/>
      <c r="U161" s="160">
        <f>COUNTIFS(sheet2!$A:$A,A161,sheet2!$E:$E,E161)</f>
        <v>1</v>
      </c>
      <c r="V161" s="160"/>
      <c r="W161" s="160"/>
      <c r="X161" s="160" t="str">
        <f t="shared" si="7"/>
        <v>#N/A</v>
      </c>
      <c r="Y161" s="160" t="str">
        <f t="shared" si="8"/>
        <v>#N/A</v>
      </c>
      <c r="Z161" s="160" t="str">
        <f t="shared" si="9"/>
        <v>#N/A</v>
      </c>
      <c r="AA161" s="160"/>
      <c r="AB161" s="160"/>
      <c r="AC161" s="160"/>
      <c r="AD161" s="160"/>
      <c r="AE161" s="160"/>
      <c r="AF161" s="160"/>
      <c r="AG161" s="160"/>
      <c r="AH161" s="160"/>
      <c r="AI161" s="160"/>
      <c r="AJ161" s="160"/>
      <c r="AK161" s="160"/>
      <c r="AL161" s="160"/>
      <c r="AM161" s="160"/>
      <c r="AN161" s="164"/>
      <c r="AO161" s="160"/>
      <c r="AP161" s="160" t="str">
        <f t="shared" si="10"/>
        <v>#N/A</v>
      </c>
      <c r="AQ161" s="160" t="str">
        <f t="shared" si="11"/>
        <v>#N/A</v>
      </c>
      <c r="AR161" s="160" t="str">
        <f t="shared" si="12"/>
        <v>#N/A</v>
      </c>
      <c r="AS161" s="160"/>
      <c r="AT161" s="160"/>
      <c r="AU161" s="160"/>
      <c r="AV161" s="160"/>
      <c r="AW161" s="160"/>
      <c r="AX161" s="160"/>
      <c r="AY161" s="160"/>
      <c r="AZ161" s="160"/>
      <c r="BA161" s="160"/>
      <c r="BB161" s="160"/>
      <c r="BC161" s="160"/>
      <c r="BD161" s="160"/>
      <c r="BE161" s="160"/>
      <c r="BF161" s="160"/>
      <c r="BG161" s="160"/>
      <c r="BH161" s="160"/>
      <c r="BI161" s="160"/>
      <c r="BJ161" s="160"/>
      <c r="BK161" s="160"/>
      <c r="BL161" s="160"/>
      <c r="BM161" s="160"/>
      <c r="BN161" s="160"/>
      <c r="BO161" s="160"/>
      <c r="BP161" s="160"/>
      <c r="BQ161" s="160"/>
      <c r="BR161" s="160"/>
      <c r="BS161" s="160"/>
      <c r="BT161" s="160"/>
      <c r="BU161" s="160"/>
      <c r="BV161" s="160"/>
      <c r="BW161" s="160"/>
      <c r="BX161" s="160"/>
      <c r="BY161" s="160"/>
      <c r="BZ161" s="160"/>
      <c r="CA161" s="160"/>
      <c r="CB161" s="160"/>
      <c r="CC161" s="160"/>
      <c r="CD161" s="160"/>
      <c r="CE161" s="160"/>
      <c r="CF161" s="160"/>
      <c r="CG161" s="160"/>
      <c r="CH161" s="160"/>
      <c r="CI161" s="160"/>
      <c r="CJ161" s="160"/>
      <c r="CK161" s="160"/>
      <c r="CL161" s="160"/>
    </row>
    <row r="162">
      <c r="A162" s="174" t="s">
        <v>449</v>
      </c>
      <c r="B162" s="11" t="s">
        <v>450</v>
      </c>
      <c r="C162" s="175" t="s">
        <v>67</v>
      </c>
      <c r="D162" s="176" t="str">
        <f>IFERROR(VLOOKUP(C162, PIC!A:B, 2, 0), "")</f>
        <v>Nhat Bui</v>
      </c>
      <c r="E162" s="11" t="s">
        <v>22</v>
      </c>
      <c r="F162" s="16" t="s">
        <v>849</v>
      </c>
      <c r="G162" s="16" t="s">
        <v>849</v>
      </c>
      <c r="H162" s="170">
        <f>IFERROR(
  MINIFS(ATTENDANCE_LOG!$F:$F,
         ATTENDANCE_LOG!$A:$A, C162,
         ATTENDANCE_LOG!$B:$B, E162),
"")</f>
        <v>45639.45833</v>
      </c>
      <c r="I162" s="170">
        <f t="shared" si="2"/>
        <v>45639.45833</v>
      </c>
      <c r="J162" s="11">
        <f>IFERROR(VLOOKUP(F162, LEVEL_HELPER!$A:$B, 2, 0), "")</f>
        <v>1</v>
      </c>
      <c r="K162" s="11">
        <f>IFERROR(VLOOKUP(G162, LEVEL_HELPER!$A:$B, 2, 0), "")</f>
        <v>1</v>
      </c>
      <c r="L162" s="183" t="s">
        <v>956</v>
      </c>
      <c r="M162" s="171" t="s">
        <v>148</v>
      </c>
      <c r="N162" s="11">
        <f t="array" ref="N162">IFERROR(
  INDEX($J$2:$J$531,
    MATCH(A162&amp;TEXT(I162,"yyyy-mm-dd"),
          $A$2:$A$531&amp;TEXT($H$2:$H$531,"yyyy-mm-dd"),
          0)),
"")</f>
        <v>1</v>
      </c>
      <c r="O162" s="160">
        <f t="shared" si="3"/>
        <v>1</v>
      </c>
      <c r="P162" s="160">
        <f t="shared" ref="P162:Q162" si="172">IF(N162="",0,IF(N162&lt;=2,1,IF(N162&lt;=4,2,IF(N162&lt;=5.5,3,4))))</f>
        <v>1</v>
      </c>
      <c r="Q162" s="160">
        <f t="shared" si="172"/>
        <v>1</v>
      </c>
      <c r="R162" s="160" t="str">
        <f t="shared" si="5"/>
        <v>No Progress</v>
      </c>
      <c r="S162" s="160">
        <f t="shared" si="6"/>
        <v>1</v>
      </c>
      <c r="T162" s="185"/>
      <c r="U162" s="160">
        <f>COUNTIFS(sheet2!$A:$A,A162,sheet2!$E:$E,E162)</f>
        <v>1</v>
      </c>
      <c r="V162" s="160"/>
      <c r="W162" s="160"/>
      <c r="X162" s="160" t="str">
        <f t="shared" si="7"/>
        <v>#N/A</v>
      </c>
      <c r="Y162" s="160" t="str">
        <f t="shared" si="8"/>
        <v>#N/A</v>
      </c>
      <c r="Z162" s="160" t="str">
        <f t="shared" si="9"/>
        <v>#N/A</v>
      </c>
      <c r="AA162" s="160"/>
      <c r="AB162" s="160"/>
      <c r="AC162" s="160"/>
      <c r="AD162" s="160"/>
      <c r="AE162" s="160"/>
      <c r="AF162" s="160"/>
      <c r="AG162" s="160"/>
      <c r="AH162" s="160"/>
      <c r="AI162" s="160"/>
      <c r="AJ162" s="160"/>
      <c r="AK162" s="160"/>
      <c r="AL162" s="160"/>
      <c r="AM162" s="160"/>
      <c r="AN162" s="164"/>
      <c r="AO162" s="160"/>
      <c r="AP162" s="160" t="str">
        <f t="shared" si="10"/>
        <v>#N/A</v>
      </c>
      <c r="AQ162" s="160" t="str">
        <f t="shared" si="11"/>
        <v>#N/A</v>
      </c>
      <c r="AR162" s="160" t="str">
        <f t="shared" si="12"/>
        <v>#N/A</v>
      </c>
      <c r="AS162" s="160"/>
      <c r="AT162" s="160"/>
      <c r="AU162" s="160"/>
      <c r="AV162" s="160"/>
      <c r="AW162" s="160"/>
      <c r="AX162" s="160"/>
      <c r="AY162" s="160"/>
      <c r="AZ162" s="160"/>
      <c r="BA162" s="160"/>
      <c r="BB162" s="160"/>
      <c r="BC162" s="160"/>
      <c r="BD162" s="160"/>
      <c r="BE162" s="160"/>
      <c r="BF162" s="160"/>
      <c r="BG162" s="160"/>
      <c r="BH162" s="160"/>
      <c r="BI162" s="160"/>
      <c r="BJ162" s="160"/>
      <c r="BK162" s="160"/>
      <c r="BL162" s="160"/>
      <c r="BM162" s="160"/>
      <c r="BN162" s="160"/>
      <c r="BO162" s="160"/>
      <c r="BP162" s="160"/>
      <c r="BQ162" s="160"/>
      <c r="BR162" s="160"/>
      <c r="BS162" s="160"/>
      <c r="BT162" s="160"/>
      <c r="BU162" s="160"/>
      <c r="BV162" s="160"/>
      <c r="BW162" s="160"/>
      <c r="BX162" s="160"/>
      <c r="BY162" s="160"/>
      <c r="BZ162" s="160"/>
      <c r="CA162" s="160"/>
      <c r="CB162" s="160"/>
      <c r="CC162" s="160"/>
      <c r="CD162" s="160"/>
      <c r="CE162" s="160"/>
      <c r="CF162" s="160"/>
      <c r="CG162" s="160"/>
      <c r="CH162" s="160"/>
      <c r="CI162" s="160"/>
      <c r="CJ162" s="160"/>
      <c r="CK162" s="160"/>
      <c r="CL162" s="160"/>
    </row>
    <row r="163">
      <c r="A163" s="174" t="s">
        <v>451</v>
      </c>
      <c r="B163" s="11" t="s">
        <v>452</v>
      </c>
      <c r="C163" s="175" t="s">
        <v>67</v>
      </c>
      <c r="D163" s="176" t="str">
        <f>IFERROR(VLOOKUP(C163, PIC!A:B, 2, 0), "")</f>
        <v>Nhat Bui</v>
      </c>
      <c r="E163" s="11" t="s">
        <v>22</v>
      </c>
      <c r="F163" s="16" t="s">
        <v>849</v>
      </c>
      <c r="G163" s="16" t="s">
        <v>845</v>
      </c>
      <c r="H163" s="170">
        <f>IFERROR(
  MINIFS(ATTENDANCE_LOG!$F:$F,
         ATTENDANCE_LOG!$A:$A, C163,
         ATTENDANCE_LOG!$B:$B, E163),
"")</f>
        <v>45639.45833</v>
      </c>
      <c r="I163" s="170">
        <f t="shared" si="2"/>
        <v>45639.45833</v>
      </c>
      <c r="J163" s="11">
        <f>IFERROR(VLOOKUP(F163, LEVEL_HELPER!$A:$B, 2, 0), "")</f>
        <v>1</v>
      </c>
      <c r="K163" s="11">
        <f>IFERROR(VLOOKUP(G163, LEVEL_HELPER!$A:$B, 2, 0), "")</f>
        <v>2.5</v>
      </c>
      <c r="L163" s="183" t="s">
        <v>956</v>
      </c>
      <c r="M163" s="171" t="s">
        <v>148</v>
      </c>
      <c r="N163" s="11">
        <f t="array" ref="N163">IFERROR(
  INDEX($J$2:$J$531,
    MATCH(A163&amp;TEXT(I163,"yyyy-mm-dd"),
          $A$2:$A$531&amp;TEXT($H$2:$H$531,"yyyy-mm-dd"),
          0)),
"")</f>
        <v>1</v>
      </c>
      <c r="O163" s="160">
        <f t="shared" si="3"/>
        <v>2.5</v>
      </c>
      <c r="P163" s="160">
        <f t="shared" ref="P163:Q163" si="173">IF(N163="",0,IF(N163&lt;=2,1,IF(N163&lt;=4,2,IF(N163&lt;=5.5,3,4))))</f>
        <v>1</v>
      </c>
      <c r="Q163" s="160">
        <f t="shared" si="173"/>
        <v>2</v>
      </c>
      <c r="R163" s="160" t="str">
        <f t="shared" si="5"/>
        <v>Lv1 → Lv2</v>
      </c>
      <c r="S163" s="160">
        <f t="shared" si="6"/>
        <v>1</v>
      </c>
      <c r="T163" s="185"/>
      <c r="U163" s="160">
        <f>COUNTIFS(sheet2!$A:$A,A163,sheet2!$E:$E,E163)</f>
        <v>1</v>
      </c>
      <c r="V163" s="160"/>
      <c r="W163" s="160"/>
      <c r="X163" s="160" t="str">
        <f t="shared" si="7"/>
        <v>#N/A</v>
      </c>
      <c r="Y163" s="160" t="str">
        <f t="shared" si="8"/>
        <v>#N/A</v>
      </c>
      <c r="Z163" s="160" t="str">
        <f t="shared" si="9"/>
        <v>#N/A</v>
      </c>
      <c r="AA163" s="160"/>
      <c r="AB163" s="160"/>
      <c r="AC163" s="160"/>
      <c r="AD163" s="160"/>
      <c r="AE163" s="160"/>
      <c r="AF163" s="160"/>
      <c r="AG163" s="160"/>
      <c r="AH163" s="160"/>
      <c r="AI163" s="160"/>
      <c r="AJ163" s="160"/>
      <c r="AK163" s="160"/>
      <c r="AL163" s="160"/>
      <c r="AM163" s="160"/>
      <c r="AN163" s="164"/>
      <c r="AO163" s="160"/>
      <c r="AP163" s="160" t="str">
        <f t="shared" si="10"/>
        <v>#N/A</v>
      </c>
      <c r="AQ163" s="160" t="str">
        <f t="shared" si="11"/>
        <v>#N/A</v>
      </c>
      <c r="AR163" s="160" t="str">
        <f t="shared" si="12"/>
        <v>#N/A</v>
      </c>
      <c r="AS163" s="160"/>
      <c r="AT163" s="160"/>
      <c r="AU163" s="160"/>
      <c r="AV163" s="160"/>
      <c r="AW163" s="160"/>
      <c r="AX163" s="160"/>
      <c r="AY163" s="160"/>
      <c r="AZ163" s="160"/>
      <c r="BA163" s="160"/>
      <c r="BB163" s="160"/>
      <c r="BC163" s="160"/>
      <c r="BD163" s="160"/>
      <c r="BE163" s="160"/>
      <c r="BF163" s="160"/>
      <c r="BG163" s="160"/>
      <c r="BH163" s="160"/>
      <c r="BI163" s="160"/>
      <c r="BJ163" s="160"/>
      <c r="BK163" s="160"/>
      <c r="BL163" s="160"/>
      <c r="BM163" s="160"/>
      <c r="BN163" s="160"/>
      <c r="BO163" s="160"/>
      <c r="BP163" s="160"/>
      <c r="BQ163" s="160"/>
      <c r="BR163" s="160"/>
      <c r="BS163" s="160"/>
      <c r="BT163" s="160"/>
      <c r="BU163" s="160"/>
      <c r="BV163" s="160"/>
      <c r="BW163" s="160"/>
      <c r="BX163" s="160"/>
      <c r="BY163" s="160"/>
      <c r="BZ163" s="160"/>
      <c r="CA163" s="160"/>
      <c r="CB163" s="160"/>
      <c r="CC163" s="160"/>
      <c r="CD163" s="160"/>
      <c r="CE163" s="160"/>
      <c r="CF163" s="160"/>
      <c r="CG163" s="160"/>
      <c r="CH163" s="160"/>
      <c r="CI163" s="160"/>
      <c r="CJ163" s="160"/>
      <c r="CK163" s="160"/>
      <c r="CL163" s="160"/>
    </row>
    <row r="164">
      <c r="A164" s="174" t="s">
        <v>593</v>
      </c>
      <c r="B164" s="11" t="s">
        <v>594</v>
      </c>
      <c r="C164" s="175" t="s">
        <v>67</v>
      </c>
      <c r="D164" s="176" t="str">
        <f>IFERROR(VLOOKUP(C164, PIC!A:B, 2, 0), "")</f>
        <v>Nhat Bui</v>
      </c>
      <c r="E164" s="11" t="s">
        <v>22</v>
      </c>
      <c r="F164" s="16" t="s">
        <v>845</v>
      </c>
      <c r="G164" s="16" t="s">
        <v>858</v>
      </c>
      <c r="H164" s="170">
        <f>IFERROR(
  MINIFS(ATTENDANCE_LOG!$F:$F,
         ATTENDANCE_LOG!$A:$A, C164,
         ATTENDANCE_LOG!$B:$B, E164),
"")</f>
        <v>45639.45833</v>
      </c>
      <c r="I164" s="170">
        <f t="shared" si="2"/>
        <v>45639.45833</v>
      </c>
      <c r="J164" s="11">
        <f>IFERROR(VLOOKUP(F164, LEVEL_HELPER!$A:$B, 2, 0), "")</f>
        <v>2.5</v>
      </c>
      <c r="K164" s="11">
        <f>IFERROR(VLOOKUP(G164, LEVEL_HELPER!$A:$B, 2, 0), "")</f>
        <v>4.5</v>
      </c>
      <c r="L164" s="183" t="s">
        <v>956</v>
      </c>
      <c r="M164" s="171" t="s">
        <v>148</v>
      </c>
      <c r="N164" s="11">
        <f t="array" ref="N164">IFERROR(
  INDEX($J$2:$J$531,
    MATCH(A164&amp;TEXT(I164,"yyyy-mm-dd"),
          $A$2:$A$531&amp;TEXT($H$2:$H$531,"yyyy-mm-dd"),
          0)),
"")</f>
        <v>2.5</v>
      </c>
      <c r="O164" s="160">
        <f t="shared" si="3"/>
        <v>4.5</v>
      </c>
      <c r="P164" s="160">
        <f t="shared" ref="P164:Q164" si="174">IF(N164="",0,IF(N164&lt;=2,1,IF(N164&lt;=4,2,IF(N164&lt;=5.5,3,4))))</f>
        <v>2</v>
      </c>
      <c r="Q164" s="160">
        <f t="shared" si="174"/>
        <v>3</v>
      </c>
      <c r="R164" s="160" t="str">
        <f t="shared" si="5"/>
        <v>Lv2 → Lv3</v>
      </c>
      <c r="S164" s="160">
        <f t="shared" si="6"/>
        <v>1</v>
      </c>
      <c r="T164" s="198"/>
      <c r="U164" s="160">
        <f>COUNTIFS(sheet2!$A:$A,A164,sheet2!$E:$E,E164)</f>
        <v>1</v>
      </c>
      <c r="V164" s="160"/>
      <c r="W164" s="160"/>
      <c r="X164" s="160" t="str">
        <f t="shared" si="7"/>
        <v>#N/A</v>
      </c>
      <c r="Y164" s="160" t="str">
        <f t="shared" si="8"/>
        <v>#N/A</v>
      </c>
      <c r="Z164" s="160" t="str">
        <f t="shared" si="9"/>
        <v>#N/A</v>
      </c>
      <c r="AA164" s="160"/>
      <c r="AB164" s="160"/>
      <c r="AC164" s="160"/>
      <c r="AD164" s="160"/>
      <c r="AE164" s="160"/>
      <c r="AF164" s="160"/>
      <c r="AG164" s="160"/>
      <c r="AH164" s="160"/>
      <c r="AI164" s="160"/>
      <c r="AJ164" s="160"/>
      <c r="AK164" s="160"/>
      <c r="AL164" s="160"/>
      <c r="AM164" s="160"/>
      <c r="AN164" s="164"/>
      <c r="AO164" s="160"/>
      <c r="AP164" s="160" t="str">
        <f t="shared" si="10"/>
        <v>#N/A</v>
      </c>
      <c r="AQ164" s="160" t="str">
        <f t="shared" si="11"/>
        <v>#N/A</v>
      </c>
      <c r="AR164" s="160" t="str">
        <f t="shared" si="12"/>
        <v>#N/A</v>
      </c>
      <c r="AS164" s="160"/>
      <c r="AT164" s="160"/>
      <c r="AU164" s="160"/>
      <c r="AV164" s="160"/>
      <c r="AW164" s="160"/>
      <c r="AX164" s="160"/>
      <c r="AY164" s="160"/>
      <c r="AZ164" s="160"/>
      <c r="BA164" s="160"/>
      <c r="BB164" s="160"/>
      <c r="BC164" s="160"/>
      <c r="BD164" s="160"/>
      <c r="BE164" s="160"/>
      <c r="BF164" s="160"/>
      <c r="BG164" s="160"/>
      <c r="BH164" s="160"/>
      <c r="BI164" s="160"/>
      <c r="BJ164" s="160"/>
      <c r="BK164" s="160"/>
      <c r="BL164" s="160"/>
      <c r="BM164" s="160"/>
      <c r="BN164" s="160"/>
      <c r="BO164" s="160"/>
      <c r="BP164" s="160"/>
      <c r="BQ164" s="160"/>
      <c r="BR164" s="160"/>
      <c r="BS164" s="160"/>
      <c r="BT164" s="160"/>
      <c r="BU164" s="160"/>
      <c r="BV164" s="160"/>
      <c r="BW164" s="160"/>
      <c r="BX164" s="160"/>
      <c r="BY164" s="160"/>
      <c r="BZ164" s="160"/>
      <c r="CA164" s="160"/>
      <c r="CB164" s="160"/>
      <c r="CC164" s="160"/>
      <c r="CD164" s="160"/>
      <c r="CE164" s="160"/>
      <c r="CF164" s="160"/>
      <c r="CG164" s="160"/>
      <c r="CH164" s="160"/>
      <c r="CI164" s="160"/>
      <c r="CJ164" s="160"/>
      <c r="CK164" s="160"/>
      <c r="CL164" s="160"/>
    </row>
    <row r="165">
      <c r="A165" s="174" t="s">
        <v>453</v>
      </c>
      <c r="B165" s="11" t="s">
        <v>454</v>
      </c>
      <c r="C165" s="175" t="s">
        <v>67</v>
      </c>
      <c r="D165" s="176" t="str">
        <f>IFERROR(VLOOKUP(C165, PIC!A:B, 2, 0), "")</f>
        <v>Nhat Bui</v>
      </c>
      <c r="E165" s="11" t="s">
        <v>22</v>
      </c>
      <c r="F165" s="16" t="s">
        <v>849</v>
      </c>
      <c r="G165" s="16" t="s">
        <v>849</v>
      </c>
      <c r="H165" s="170">
        <f>IFERROR(
  MINIFS(ATTENDANCE_LOG!$F:$F,
         ATTENDANCE_LOG!$A:$A, C165,
         ATTENDANCE_LOG!$B:$B, E165),
"")</f>
        <v>45639.45833</v>
      </c>
      <c r="I165" s="170">
        <f t="shared" si="2"/>
        <v>45639.45833</v>
      </c>
      <c r="J165" s="11">
        <f>IFERROR(VLOOKUP(F165, LEVEL_HELPER!$A:$B, 2, 0), "")</f>
        <v>1</v>
      </c>
      <c r="K165" s="11">
        <f>IFERROR(VLOOKUP(G165, LEVEL_HELPER!$A:$B, 2, 0), "")</f>
        <v>1</v>
      </c>
      <c r="L165" s="183" t="s">
        <v>956</v>
      </c>
      <c r="M165" s="171" t="s">
        <v>148</v>
      </c>
      <c r="N165" s="11">
        <f t="array" ref="N165">IFERROR(
  INDEX($J$2:$J$531,
    MATCH(A165&amp;TEXT(I165,"yyyy-mm-dd"),
          $A$2:$A$531&amp;TEXT($H$2:$H$531,"yyyy-mm-dd"),
          0)),
"")</f>
        <v>1</v>
      </c>
      <c r="O165" s="160">
        <f t="shared" si="3"/>
        <v>1</v>
      </c>
      <c r="P165" s="160">
        <f t="shared" ref="P165:Q165" si="175">IF(N165="",0,IF(N165&lt;=2,1,IF(N165&lt;=4,2,IF(N165&lt;=5.5,3,4))))</f>
        <v>1</v>
      </c>
      <c r="Q165" s="160">
        <f t="shared" si="175"/>
        <v>1</v>
      </c>
      <c r="R165" s="160" t="str">
        <f t="shared" si="5"/>
        <v>No Progress</v>
      </c>
      <c r="S165" s="160">
        <f t="shared" si="6"/>
        <v>1</v>
      </c>
      <c r="T165" s="185"/>
      <c r="U165" s="160">
        <f>COUNTIFS(sheet2!$A:$A,A165,sheet2!$E:$E,E165)</f>
        <v>1</v>
      </c>
      <c r="V165" s="160"/>
      <c r="W165" s="160"/>
      <c r="X165" s="160" t="str">
        <f t="shared" si="7"/>
        <v>#N/A</v>
      </c>
      <c r="Y165" s="160" t="str">
        <f t="shared" si="8"/>
        <v>#N/A</v>
      </c>
      <c r="Z165" s="160" t="str">
        <f t="shared" si="9"/>
        <v>#N/A</v>
      </c>
      <c r="AA165" s="160"/>
      <c r="AB165" s="160"/>
      <c r="AC165" s="160"/>
      <c r="AD165" s="160"/>
      <c r="AE165" s="160"/>
      <c r="AF165" s="160"/>
      <c r="AG165" s="160"/>
      <c r="AH165" s="160"/>
      <c r="AI165" s="160"/>
      <c r="AJ165" s="160"/>
      <c r="AK165" s="160"/>
      <c r="AL165" s="160"/>
      <c r="AM165" s="160"/>
      <c r="AN165" s="164"/>
      <c r="AO165" s="160"/>
      <c r="AP165" s="160" t="str">
        <f t="shared" si="10"/>
        <v>#N/A</v>
      </c>
      <c r="AQ165" s="160" t="str">
        <f t="shared" si="11"/>
        <v>#N/A</v>
      </c>
      <c r="AR165" s="160" t="str">
        <f t="shared" si="12"/>
        <v>#N/A</v>
      </c>
      <c r="AS165" s="160"/>
      <c r="AT165" s="160"/>
      <c r="AU165" s="160"/>
      <c r="AV165" s="160"/>
      <c r="AW165" s="160"/>
      <c r="AX165" s="160"/>
      <c r="AY165" s="160"/>
      <c r="AZ165" s="160"/>
      <c r="BA165" s="160"/>
      <c r="BB165" s="160"/>
      <c r="BC165" s="160"/>
      <c r="BD165" s="160"/>
      <c r="BE165" s="160"/>
      <c r="BF165" s="160"/>
      <c r="BG165" s="160"/>
      <c r="BH165" s="160"/>
      <c r="BI165" s="160"/>
      <c r="BJ165" s="160"/>
      <c r="BK165" s="160"/>
      <c r="BL165" s="160"/>
      <c r="BM165" s="160"/>
      <c r="BN165" s="160"/>
      <c r="BO165" s="160"/>
      <c r="BP165" s="160"/>
      <c r="BQ165" s="160"/>
      <c r="BR165" s="160"/>
      <c r="BS165" s="160"/>
      <c r="BT165" s="160"/>
      <c r="BU165" s="160"/>
      <c r="BV165" s="160"/>
      <c r="BW165" s="160"/>
      <c r="BX165" s="160"/>
      <c r="BY165" s="160"/>
      <c r="BZ165" s="160"/>
      <c r="CA165" s="160"/>
      <c r="CB165" s="160"/>
      <c r="CC165" s="160"/>
      <c r="CD165" s="160"/>
      <c r="CE165" s="160"/>
      <c r="CF165" s="160"/>
      <c r="CG165" s="160"/>
      <c r="CH165" s="160"/>
      <c r="CI165" s="160"/>
      <c r="CJ165" s="160"/>
      <c r="CK165" s="160"/>
      <c r="CL165" s="160"/>
    </row>
    <row r="166">
      <c r="A166" s="174" t="s">
        <v>457</v>
      </c>
      <c r="B166" s="11" t="s">
        <v>458</v>
      </c>
      <c r="C166" s="175" t="s">
        <v>67</v>
      </c>
      <c r="D166" s="176" t="str">
        <f>IFERROR(VLOOKUP(C166, PIC!A:B, 2, 0), "")</f>
        <v>Nhat Bui</v>
      </c>
      <c r="E166" s="11" t="s">
        <v>22</v>
      </c>
      <c r="F166" s="16" t="s">
        <v>849</v>
      </c>
      <c r="G166" s="11"/>
      <c r="H166" s="170">
        <f>IFERROR(
  MINIFS(ATTENDANCE_LOG!$F:$F,
         ATTENDANCE_LOG!$A:$A, C166,
         ATTENDANCE_LOG!$B:$B, E166),
"")</f>
        <v>45639.45833</v>
      </c>
      <c r="I166" s="170">
        <f t="shared" si="2"/>
        <v>45639.45833</v>
      </c>
      <c r="J166" s="11">
        <f>IFERROR(VLOOKUP(F166, LEVEL_HELPER!$A:$B, 2, 0), "")</f>
        <v>1</v>
      </c>
      <c r="K166" s="11" t="str">
        <f>IFERROR(VLOOKUP(G166, LEVEL_HELPER!$A:$B, 2, 0), "")</f>
        <v/>
      </c>
      <c r="L166" s="183" t="s">
        <v>957</v>
      </c>
      <c r="M166" s="171" t="s">
        <v>148</v>
      </c>
      <c r="N166" s="11">
        <f t="array" ref="N166">IFERROR(
  INDEX($J$2:$J$531,
    MATCH(A166&amp;TEXT(I166,"yyyy-mm-dd"),
          $A$2:$A$531&amp;TEXT($H$2:$H$531,"yyyy-mm-dd"),
          0)),
"")</f>
        <v>1</v>
      </c>
      <c r="O166" s="160">
        <f t="shared" si="3"/>
        <v>0</v>
      </c>
      <c r="P166" s="160">
        <f t="shared" ref="P166:Q166" si="176">IF(N166="",0,IF(N166&lt;=2,1,IF(N166&lt;=4,2,IF(N166&lt;=5.5,3,4))))</f>
        <v>1</v>
      </c>
      <c r="Q166" s="160">
        <f t="shared" si="176"/>
        <v>1</v>
      </c>
      <c r="R166" s="160" t="str">
        <f t="shared" si="5"/>
        <v>Not tested yet</v>
      </c>
      <c r="S166" s="160">
        <f t="shared" si="6"/>
        <v>1</v>
      </c>
      <c r="T166" s="185"/>
      <c r="U166" s="160">
        <f>COUNTIFS(sheet2!$A:$A,A166,sheet2!$E:$E,E166)</f>
        <v>1</v>
      </c>
      <c r="V166" s="160"/>
      <c r="W166" s="160"/>
      <c r="X166" s="160" t="str">
        <f t="shared" si="7"/>
        <v>#N/A</v>
      </c>
      <c r="Y166" s="160" t="str">
        <f t="shared" si="8"/>
        <v>#N/A</v>
      </c>
      <c r="Z166" s="160" t="str">
        <f t="shared" si="9"/>
        <v>#N/A</v>
      </c>
      <c r="AA166" s="160"/>
      <c r="AB166" s="160"/>
      <c r="AC166" s="160"/>
      <c r="AD166" s="160"/>
      <c r="AE166" s="160"/>
      <c r="AF166" s="160"/>
      <c r="AG166" s="160"/>
      <c r="AH166" s="160"/>
      <c r="AI166" s="160"/>
      <c r="AJ166" s="160"/>
      <c r="AK166" s="160"/>
      <c r="AL166" s="160"/>
      <c r="AM166" s="160"/>
      <c r="AN166" s="164"/>
      <c r="AO166" s="160"/>
      <c r="AP166" s="160" t="str">
        <f t="shared" si="10"/>
        <v>#N/A</v>
      </c>
      <c r="AQ166" s="160" t="str">
        <f t="shared" si="11"/>
        <v>#N/A</v>
      </c>
      <c r="AR166" s="160" t="str">
        <f t="shared" si="12"/>
        <v>#N/A</v>
      </c>
      <c r="AS166" s="160"/>
      <c r="AT166" s="160"/>
      <c r="AU166" s="160"/>
      <c r="AV166" s="160"/>
      <c r="AW166" s="160"/>
      <c r="AX166" s="160"/>
      <c r="AY166" s="160"/>
      <c r="AZ166" s="160"/>
      <c r="BA166" s="160"/>
      <c r="BB166" s="160"/>
      <c r="BC166" s="160"/>
      <c r="BD166" s="160"/>
      <c r="BE166" s="160"/>
      <c r="BF166" s="160"/>
      <c r="BG166" s="160"/>
      <c r="BH166" s="160"/>
      <c r="BI166" s="160"/>
      <c r="BJ166" s="160"/>
      <c r="BK166" s="160"/>
      <c r="BL166" s="160"/>
      <c r="BM166" s="160"/>
      <c r="BN166" s="160"/>
      <c r="BO166" s="160"/>
      <c r="BP166" s="160"/>
      <c r="BQ166" s="160"/>
      <c r="BR166" s="160"/>
      <c r="BS166" s="160"/>
      <c r="BT166" s="160"/>
      <c r="BU166" s="160"/>
      <c r="BV166" s="160"/>
      <c r="BW166" s="160"/>
      <c r="BX166" s="160"/>
      <c r="BY166" s="160"/>
      <c r="BZ166" s="160"/>
      <c r="CA166" s="160"/>
      <c r="CB166" s="160"/>
      <c r="CC166" s="160"/>
      <c r="CD166" s="160"/>
      <c r="CE166" s="160"/>
      <c r="CF166" s="160"/>
      <c r="CG166" s="160"/>
      <c r="CH166" s="160"/>
      <c r="CI166" s="160"/>
      <c r="CJ166" s="160"/>
      <c r="CK166" s="160"/>
      <c r="CL166" s="160"/>
    </row>
    <row r="167">
      <c r="A167" s="174" t="s">
        <v>455</v>
      </c>
      <c r="B167" s="11" t="s">
        <v>456</v>
      </c>
      <c r="C167" s="175" t="s">
        <v>67</v>
      </c>
      <c r="D167" s="176" t="str">
        <f>IFERROR(VLOOKUP(C167, PIC!A:B, 2, 0), "")</f>
        <v>Nhat Bui</v>
      </c>
      <c r="E167" s="11" t="s">
        <v>22</v>
      </c>
      <c r="F167" s="16" t="s">
        <v>849</v>
      </c>
      <c r="G167" s="11"/>
      <c r="H167" s="170">
        <f>IFERROR(
  MINIFS(ATTENDANCE_LOG!$F:$F,
         ATTENDANCE_LOG!$A:$A, C167,
         ATTENDANCE_LOG!$B:$B, E167),
"")</f>
        <v>45639.45833</v>
      </c>
      <c r="I167" s="170">
        <f t="shared" si="2"/>
        <v>45639.45833</v>
      </c>
      <c r="J167" s="11">
        <f>IFERROR(VLOOKUP(F167, LEVEL_HELPER!$A:$B, 2, 0), "")</f>
        <v>1</v>
      </c>
      <c r="K167" s="11" t="str">
        <f>IFERROR(VLOOKUP(G167, LEVEL_HELPER!$A:$B, 2, 0), "")</f>
        <v/>
      </c>
      <c r="L167" s="183" t="s">
        <v>957</v>
      </c>
      <c r="M167" s="171" t="s">
        <v>148</v>
      </c>
      <c r="N167" s="11">
        <f t="array" ref="N167">IFERROR(
  INDEX($J$2:$J$531,
    MATCH(A167&amp;TEXT(I167,"yyyy-mm-dd"),
          $A$2:$A$531&amp;TEXT($H$2:$H$531,"yyyy-mm-dd"),
          0)),
"")</f>
        <v>1</v>
      </c>
      <c r="O167" s="160">
        <f t="shared" si="3"/>
        <v>0</v>
      </c>
      <c r="P167" s="160">
        <f t="shared" ref="P167:Q167" si="177">IF(N167="",0,IF(N167&lt;=2,1,IF(N167&lt;=4,2,IF(N167&lt;=5.5,3,4))))</f>
        <v>1</v>
      </c>
      <c r="Q167" s="160">
        <f t="shared" si="177"/>
        <v>1</v>
      </c>
      <c r="R167" s="160" t="str">
        <f t="shared" si="5"/>
        <v>Not tested yet</v>
      </c>
      <c r="S167" s="160">
        <f t="shared" si="6"/>
        <v>1</v>
      </c>
      <c r="T167" s="185"/>
      <c r="U167" s="160">
        <f>COUNTIFS(sheet2!$A:$A,A167,sheet2!$E:$E,E167)</f>
        <v>1</v>
      </c>
      <c r="V167" s="160"/>
      <c r="W167" s="160"/>
      <c r="X167" s="160" t="str">
        <f t="shared" si="7"/>
        <v>#N/A</v>
      </c>
      <c r="Y167" s="160" t="str">
        <f t="shared" si="8"/>
        <v>#N/A</v>
      </c>
      <c r="Z167" s="160" t="str">
        <f t="shared" si="9"/>
        <v>#N/A</v>
      </c>
      <c r="AA167" s="160"/>
      <c r="AB167" s="160"/>
      <c r="AC167" s="160"/>
      <c r="AD167" s="160"/>
      <c r="AE167" s="160"/>
      <c r="AF167" s="160"/>
      <c r="AG167" s="160"/>
      <c r="AH167" s="160"/>
      <c r="AI167" s="160"/>
      <c r="AJ167" s="160"/>
      <c r="AK167" s="160"/>
      <c r="AL167" s="160"/>
      <c r="AM167" s="160"/>
      <c r="AN167" s="164"/>
      <c r="AO167" s="160"/>
      <c r="AP167" s="160" t="str">
        <f t="shared" si="10"/>
        <v>#N/A</v>
      </c>
      <c r="AQ167" s="160" t="str">
        <f t="shared" si="11"/>
        <v>#N/A</v>
      </c>
      <c r="AR167" s="160" t="str">
        <f t="shared" si="12"/>
        <v>#N/A</v>
      </c>
      <c r="AS167" s="160"/>
      <c r="AT167" s="160"/>
      <c r="AU167" s="160"/>
      <c r="AV167" s="160"/>
      <c r="AW167" s="160"/>
      <c r="AX167" s="160"/>
      <c r="AY167" s="160"/>
      <c r="AZ167" s="160"/>
      <c r="BA167" s="160"/>
      <c r="BB167" s="160"/>
      <c r="BC167" s="160"/>
      <c r="BD167" s="160"/>
      <c r="BE167" s="160"/>
      <c r="BF167" s="160"/>
      <c r="BG167" s="160"/>
      <c r="BH167" s="160"/>
      <c r="BI167" s="160"/>
      <c r="BJ167" s="160"/>
      <c r="BK167" s="160"/>
      <c r="BL167" s="160"/>
      <c r="BM167" s="160"/>
      <c r="BN167" s="160"/>
      <c r="BO167" s="160"/>
      <c r="BP167" s="160"/>
      <c r="BQ167" s="160"/>
      <c r="BR167" s="160"/>
      <c r="BS167" s="160"/>
      <c r="BT167" s="160"/>
      <c r="BU167" s="160"/>
      <c r="BV167" s="160"/>
      <c r="BW167" s="160"/>
      <c r="BX167" s="160"/>
      <c r="BY167" s="160"/>
      <c r="BZ167" s="160"/>
      <c r="CA167" s="160"/>
      <c r="CB167" s="160"/>
      <c r="CC167" s="160"/>
      <c r="CD167" s="160"/>
      <c r="CE167" s="160"/>
      <c r="CF167" s="160"/>
      <c r="CG167" s="160"/>
      <c r="CH167" s="160"/>
      <c r="CI167" s="160"/>
      <c r="CJ167" s="160"/>
      <c r="CK167" s="160"/>
      <c r="CL167" s="160"/>
    </row>
    <row r="168">
      <c r="A168" s="166" t="s">
        <v>484</v>
      </c>
      <c r="B168" s="167" t="s">
        <v>485</v>
      </c>
      <c r="C168" s="168" t="s">
        <v>68</v>
      </c>
      <c r="D168" s="169" t="str">
        <f>IFERROR(VLOOKUP(C168, PIC!A:B, 2, 0), "")</f>
        <v>Nhat Phan 1</v>
      </c>
      <c r="E168" s="167" t="s">
        <v>22</v>
      </c>
      <c r="F168" s="16" t="s">
        <v>845</v>
      </c>
      <c r="G168" s="16" t="s">
        <v>861</v>
      </c>
      <c r="H168" s="170">
        <f>IFERROR(
  MINIFS(ATTENDANCE_LOG!$F:$F,
         ATTENDANCE_LOG!$A:$A, C168,
         ATTENDANCE_LOG!$B:$B, E168),
"")</f>
        <v>45645.41667</v>
      </c>
      <c r="I168" s="170">
        <f t="shared" si="2"/>
        <v>45645.41667</v>
      </c>
      <c r="J168" s="11">
        <f>IFERROR(VLOOKUP(F168, LEVEL_HELPER!$A:$B, 2, 0), "")</f>
        <v>2.5</v>
      </c>
      <c r="K168" s="11">
        <f>IFERROR(VLOOKUP(G168, LEVEL_HELPER!$A:$B, 2, 0), "")</f>
        <v>3.5</v>
      </c>
      <c r="L168" s="171" t="s">
        <v>400</v>
      </c>
      <c r="M168" s="171" t="s">
        <v>152</v>
      </c>
      <c r="N168" s="11">
        <f t="array" ref="N168">IFERROR(
  INDEX($J$2:$J$531,
    MATCH(A168&amp;TEXT(I168,"yyyy-mm-dd"),
          $A$2:$A$531&amp;TEXT($H$2:$H$531,"yyyy-mm-dd"),
          0)),
"")</f>
        <v>2.5</v>
      </c>
      <c r="O168" s="160">
        <f t="shared" si="3"/>
        <v>3.5</v>
      </c>
      <c r="P168" s="160">
        <f t="shared" ref="P168:Q168" si="178">IF(N168="",0,IF(N168&lt;=2,1,IF(N168&lt;=4,2,IF(N168&lt;=5.5,3,4))))</f>
        <v>2</v>
      </c>
      <c r="Q168" s="160">
        <f t="shared" si="178"/>
        <v>2</v>
      </c>
      <c r="R168" s="160" t="str">
        <f t="shared" si="5"/>
        <v>Progress within level</v>
      </c>
      <c r="S168" s="160">
        <f t="shared" si="6"/>
        <v>1</v>
      </c>
      <c r="T168" s="172" t="s">
        <v>958</v>
      </c>
      <c r="U168" s="160">
        <f>COUNTIFS(sheet2!$A:$A,A168,sheet2!$E:$E,E168)</f>
        <v>1</v>
      </c>
      <c r="V168" s="160"/>
      <c r="W168" s="160"/>
      <c r="X168" s="160" t="str">
        <f t="shared" si="7"/>
        <v>#N/A</v>
      </c>
      <c r="Y168" s="160" t="str">
        <f t="shared" si="8"/>
        <v>#N/A</v>
      </c>
      <c r="Z168" s="160" t="str">
        <f t="shared" si="9"/>
        <v>#N/A</v>
      </c>
      <c r="AA168" s="160"/>
      <c r="AB168" s="160"/>
      <c r="AC168" s="160"/>
      <c r="AD168" s="160"/>
      <c r="AE168" s="160"/>
      <c r="AF168" s="160"/>
      <c r="AG168" s="160"/>
      <c r="AH168" s="160"/>
      <c r="AI168" s="160"/>
      <c r="AJ168" s="160"/>
      <c r="AK168" s="160"/>
      <c r="AL168" s="160"/>
      <c r="AM168" s="160"/>
      <c r="AN168" s="164"/>
      <c r="AO168" s="160"/>
      <c r="AP168" s="160" t="str">
        <f t="shared" si="10"/>
        <v>#N/A</v>
      </c>
      <c r="AQ168" s="160" t="str">
        <f t="shared" si="11"/>
        <v>#N/A</v>
      </c>
      <c r="AR168" s="160" t="str">
        <f t="shared" si="12"/>
        <v>#N/A</v>
      </c>
      <c r="AS168" s="160"/>
      <c r="AT168" s="160"/>
      <c r="AU168" s="160"/>
      <c r="AV168" s="160"/>
      <c r="AW168" s="160"/>
      <c r="AX168" s="160"/>
      <c r="AY168" s="160"/>
      <c r="AZ168" s="160"/>
      <c r="BA168" s="160"/>
      <c r="BB168" s="160"/>
      <c r="BC168" s="160"/>
      <c r="BD168" s="160"/>
      <c r="BE168" s="160"/>
      <c r="BF168" s="160"/>
      <c r="BG168" s="160"/>
      <c r="BH168" s="160"/>
      <c r="BI168" s="160"/>
      <c r="BJ168" s="160"/>
      <c r="BK168" s="160"/>
      <c r="BL168" s="160"/>
      <c r="BM168" s="160"/>
      <c r="BN168" s="160"/>
      <c r="BO168" s="160"/>
      <c r="BP168" s="160"/>
      <c r="BQ168" s="160"/>
      <c r="BR168" s="160"/>
      <c r="BS168" s="160"/>
      <c r="BT168" s="160"/>
      <c r="BU168" s="160"/>
      <c r="BV168" s="160"/>
      <c r="BW168" s="160"/>
      <c r="BX168" s="160"/>
      <c r="BY168" s="160"/>
      <c r="BZ168" s="160"/>
      <c r="CA168" s="160"/>
      <c r="CB168" s="160"/>
      <c r="CC168" s="160"/>
      <c r="CD168" s="160"/>
      <c r="CE168" s="160"/>
      <c r="CF168" s="160"/>
      <c r="CG168" s="160"/>
      <c r="CH168" s="160"/>
      <c r="CI168" s="160"/>
      <c r="CJ168" s="160"/>
      <c r="CK168" s="160"/>
      <c r="CL168" s="160"/>
    </row>
    <row r="169">
      <c r="A169" s="174" t="s">
        <v>478</v>
      </c>
      <c r="B169" s="11" t="s">
        <v>479</v>
      </c>
      <c r="C169" s="175" t="s">
        <v>68</v>
      </c>
      <c r="D169" s="176" t="str">
        <f>IFERROR(VLOOKUP(C169, PIC!A:B, 2, 0), "")</f>
        <v>Nhat Phan 1</v>
      </c>
      <c r="E169" s="11" t="s">
        <v>22</v>
      </c>
      <c r="F169" s="16" t="s">
        <v>849</v>
      </c>
      <c r="G169" s="16" t="s">
        <v>861</v>
      </c>
      <c r="H169" s="170">
        <f>IFERROR(
  MINIFS(ATTENDANCE_LOG!$F:$F,
         ATTENDANCE_LOG!$A:$A, C169,
         ATTENDANCE_LOG!$B:$B, E169),
"")</f>
        <v>45645.41667</v>
      </c>
      <c r="I169" s="170">
        <f t="shared" si="2"/>
        <v>45645.41667</v>
      </c>
      <c r="J169" s="11">
        <f>IFERROR(VLOOKUP(F169, LEVEL_HELPER!$A:$B, 2, 0), "")</f>
        <v>1</v>
      </c>
      <c r="K169" s="11">
        <f>IFERROR(VLOOKUP(G169, LEVEL_HELPER!$A:$B, 2, 0), "")</f>
        <v>3.5</v>
      </c>
      <c r="L169" s="171" t="s">
        <v>400</v>
      </c>
      <c r="M169" s="171" t="s">
        <v>152</v>
      </c>
      <c r="N169" s="11">
        <f t="array" ref="N169">IFERROR(
  INDEX($J$2:$J$531,
    MATCH(A169&amp;TEXT(I169,"yyyy-mm-dd"),
          $A$2:$A$531&amp;TEXT($H$2:$H$531,"yyyy-mm-dd"),
          0)),
"")</f>
        <v>1</v>
      </c>
      <c r="O169" s="160">
        <f t="shared" si="3"/>
        <v>3.5</v>
      </c>
      <c r="P169" s="160">
        <f t="shared" ref="P169:Q169" si="179">IF(N169="",0,IF(N169&lt;=2,1,IF(N169&lt;=4,2,IF(N169&lt;=5.5,3,4))))</f>
        <v>1</v>
      </c>
      <c r="Q169" s="160">
        <f t="shared" si="179"/>
        <v>2</v>
      </c>
      <c r="R169" s="160" t="str">
        <f t="shared" si="5"/>
        <v>Lv1 → Lv2</v>
      </c>
      <c r="S169" s="160">
        <f t="shared" si="6"/>
        <v>1</v>
      </c>
      <c r="T169" s="177" t="s">
        <v>959</v>
      </c>
      <c r="U169" s="160">
        <f>COUNTIFS(sheet2!$A:$A,A169,sheet2!$E:$E,E169)</f>
        <v>1</v>
      </c>
      <c r="V169" s="160"/>
      <c r="W169" s="160"/>
      <c r="X169" s="160" t="str">
        <f t="shared" si="7"/>
        <v>#N/A</v>
      </c>
      <c r="Y169" s="160" t="str">
        <f t="shared" si="8"/>
        <v>#N/A</v>
      </c>
      <c r="Z169" s="160" t="str">
        <f t="shared" si="9"/>
        <v>#N/A</v>
      </c>
      <c r="AA169" s="160"/>
      <c r="AB169" s="160"/>
      <c r="AC169" s="160"/>
      <c r="AD169" s="160"/>
      <c r="AE169" s="160"/>
      <c r="AF169" s="160"/>
      <c r="AG169" s="160"/>
      <c r="AH169" s="160"/>
      <c r="AI169" s="160"/>
      <c r="AJ169" s="160"/>
      <c r="AK169" s="160"/>
      <c r="AL169" s="160"/>
      <c r="AM169" s="160"/>
      <c r="AN169" s="164"/>
      <c r="AO169" s="160"/>
      <c r="AP169" s="160" t="str">
        <f t="shared" si="10"/>
        <v>#N/A</v>
      </c>
      <c r="AQ169" s="160" t="str">
        <f t="shared" si="11"/>
        <v>#N/A</v>
      </c>
      <c r="AR169" s="160" t="str">
        <f t="shared" si="12"/>
        <v>#N/A</v>
      </c>
      <c r="AS169" s="160"/>
      <c r="AT169" s="160"/>
      <c r="AU169" s="160"/>
      <c r="AV169" s="160"/>
      <c r="AW169" s="160"/>
      <c r="AX169" s="160"/>
      <c r="AY169" s="160"/>
      <c r="AZ169" s="160"/>
      <c r="BA169" s="160"/>
      <c r="BB169" s="160"/>
      <c r="BC169" s="160"/>
      <c r="BD169" s="160"/>
      <c r="BE169" s="160"/>
      <c r="BF169" s="160"/>
      <c r="BG169" s="160"/>
      <c r="BH169" s="160"/>
      <c r="BI169" s="160"/>
      <c r="BJ169" s="160"/>
      <c r="BK169" s="160"/>
      <c r="BL169" s="160"/>
      <c r="BM169" s="160"/>
      <c r="BN169" s="160"/>
      <c r="BO169" s="160"/>
      <c r="BP169" s="160"/>
      <c r="BQ169" s="160"/>
      <c r="BR169" s="160"/>
      <c r="BS169" s="160"/>
      <c r="BT169" s="160"/>
      <c r="BU169" s="160"/>
      <c r="BV169" s="160"/>
      <c r="BW169" s="160"/>
      <c r="BX169" s="160"/>
      <c r="BY169" s="160"/>
      <c r="BZ169" s="160"/>
      <c r="CA169" s="160"/>
      <c r="CB169" s="160"/>
      <c r="CC169" s="160"/>
      <c r="CD169" s="160"/>
      <c r="CE169" s="160"/>
      <c r="CF169" s="160"/>
      <c r="CG169" s="160"/>
      <c r="CH169" s="160"/>
      <c r="CI169" s="160"/>
      <c r="CJ169" s="160"/>
      <c r="CK169" s="160"/>
      <c r="CL169" s="160"/>
    </row>
    <row r="170">
      <c r="A170" s="174" t="s">
        <v>482</v>
      </c>
      <c r="B170" s="11" t="s">
        <v>483</v>
      </c>
      <c r="C170" s="175" t="s">
        <v>68</v>
      </c>
      <c r="D170" s="176" t="str">
        <f>IFERROR(VLOOKUP(C170, PIC!A:B, 2, 0), "")</f>
        <v>Nhat Phan 1</v>
      </c>
      <c r="E170" s="11" t="s">
        <v>22</v>
      </c>
      <c r="F170" s="11"/>
      <c r="G170" s="11"/>
      <c r="H170" s="170">
        <f>IFERROR(
  MINIFS(ATTENDANCE_LOG!$F:$F,
         ATTENDANCE_LOG!$A:$A, C170,
         ATTENDANCE_LOG!$B:$B, E170),
"")</f>
        <v>45645.41667</v>
      </c>
      <c r="I170" s="170">
        <f t="shared" si="2"/>
        <v>45645.41667</v>
      </c>
      <c r="J170" s="11" t="str">
        <f>IFERROR(VLOOKUP(F170, LEVEL_HELPER!$A:$B, 2, 0), "")</f>
        <v/>
      </c>
      <c r="K170" s="11" t="str">
        <f>IFERROR(VLOOKUP(G170, LEVEL_HELPER!$A:$B, 2, 0), "")</f>
        <v/>
      </c>
      <c r="L170" s="171" t="s">
        <v>400</v>
      </c>
      <c r="M170" s="171" t="s">
        <v>152</v>
      </c>
      <c r="N170" s="11" t="str">
        <f t="array" ref="N170">IFERROR(
  INDEX($J$2:$J$531,
    MATCH(A170&amp;TEXT(I170,"yyyy-mm-dd"),
          $A$2:$A$531&amp;TEXT($H$2:$H$531,"yyyy-mm-dd"),
          0)),
"")</f>
        <v/>
      </c>
      <c r="O170" s="160">
        <f t="shared" si="3"/>
        <v>0</v>
      </c>
      <c r="P170" s="160">
        <f t="shared" ref="P170:Q170" si="180">IF(N170="",0,IF(N170&lt;=2,1,IF(N170&lt;=4,2,IF(N170&lt;=5.5,3,4))))</f>
        <v>0</v>
      </c>
      <c r="Q170" s="160">
        <f t="shared" si="180"/>
        <v>1</v>
      </c>
      <c r="R170" s="160" t="str">
        <f t="shared" si="5"/>
        <v>Not tested yet</v>
      </c>
      <c r="S170" s="160">
        <f t="shared" si="6"/>
        <v>1</v>
      </c>
      <c r="T170" s="177" t="s">
        <v>960</v>
      </c>
      <c r="U170" s="160">
        <f>COUNTIFS(sheet2!$A:$A,A170,sheet2!$E:$E,E170)</f>
        <v>1</v>
      </c>
      <c r="V170" s="160"/>
      <c r="W170" s="160"/>
      <c r="X170" s="160" t="str">
        <f t="shared" si="7"/>
        <v>#N/A</v>
      </c>
      <c r="Y170" s="160" t="str">
        <f t="shared" si="8"/>
        <v>#N/A</v>
      </c>
      <c r="Z170" s="160" t="str">
        <f t="shared" si="9"/>
        <v>#N/A</v>
      </c>
      <c r="AA170" s="160"/>
      <c r="AB170" s="160"/>
      <c r="AC170" s="160"/>
      <c r="AD170" s="160"/>
      <c r="AE170" s="160"/>
      <c r="AF170" s="160"/>
      <c r="AG170" s="160"/>
      <c r="AH170" s="160"/>
      <c r="AI170" s="160"/>
      <c r="AJ170" s="160"/>
      <c r="AK170" s="160"/>
      <c r="AL170" s="160"/>
      <c r="AM170" s="160"/>
      <c r="AN170" s="164"/>
      <c r="AO170" s="160"/>
      <c r="AP170" s="160" t="str">
        <f t="shared" si="10"/>
        <v>#N/A</v>
      </c>
      <c r="AQ170" s="160" t="str">
        <f t="shared" si="11"/>
        <v>#N/A</v>
      </c>
      <c r="AR170" s="160" t="str">
        <f t="shared" si="12"/>
        <v>#N/A</v>
      </c>
      <c r="AS170" s="160"/>
      <c r="AT170" s="160"/>
      <c r="AU170" s="160"/>
      <c r="AV170" s="160"/>
      <c r="AW170" s="160"/>
      <c r="AX170" s="160"/>
      <c r="AY170" s="160"/>
      <c r="AZ170" s="160"/>
      <c r="BA170" s="160"/>
      <c r="BB170" s="160"/>
      <c r="BC170" s="160"/>
      <c r="BD170" s="160"/>
      <c r="BE170" s="160"/>
      <c r="BF170" s="160"/>
      <c r="BG170" s="160"/>
      <c r="BH170" s="160"/>
      <c r="BI170" s="160"/>
      <c r="BJ170" s="160"/>
      <c r="BK170" s="160"/>
      <c r="BL170" s="160"/>
      <c r="BM170" s="160"/>
      <c r="BN170" s="160"/>
      <c r="BO170" s="160"/>
      <c r="BP170" s="160"/>
      <c r="BQ170" s="160"/>
      <c r="BR170" s="160"/>
      <c r="BS170" s="160"/>
      <c r="BT170" s="160"/>
      <c r="BU170" s="160"/>
      <c r="BV170" s="160"/>
      <c r="BW170" s="160"/>
      <c r="BX170" s="160"/>
      <c r="BY170" s="160"/>
      <c r="BZ170" s="160"/>
      <c r="CA170" s="160"/>
      <c r="CB170" s="160"/>
      <c r="CC170" s="160"/>
      <c r="CD170" s="160"/>
      <c r="CE170" s="160"/>
      <c r="CF170" s="160"/>
      <c r="CG170" s="160"/>
      <c r="CH170" s="160"/>
      <c r="CI170" s="160"/>
      <c r="CJ170" s="160"/>
      <c r="CK170" s="160"/>
      <c r="CL170" s="160"/>
    </row>
    <row r="171">
      <c r="A171" s="174" t="s">
        <v>488</v>
      </c>
      <c r="B171" s="11" t="s">
        <v>489</v>
      </c>
      <c r="C171" s="175" t="s">
        <v>68</v>
      </c>
      <c r="D171" s="176" t="str">
        <f>IFERROR(VLOOKUP(C171, PIC!A:B, 2, 0), "")</f>
        <v>Nhat Phan 1</v>
      </c>
      <c r="E171" s="11" t="s">
        <v>22</v>
      </c>
      <c r="F171" s="16" t="s">
        <v>849</v>
      </c>
      <c r="G171" s="16" t="s">
        <v>846</v>
      </c>
      <c r="H171" s="170">
        <f>IFERROR(
  MINIFS(ATTENDANCE_LOG!$F:$F,
         ATTENDANCE_LOG!$A:$A, C171,
         ATTENDANCE_LOG!$B:$B, E171),
"")</f>
        <v>45645.41667</v>
      </c>
      <c r="I171" s="170">
        <f t="shared" si="2"/>
        <v>45645.41667</v>
      </c>
      <c r="J171" s="11">
        <f>IFERROR(VLOOKUP(F171, LEVEL_HELPER!$A:$B, 2, 0), "")</f>
        <v>1</v>
      </c>
      <c r="K171" s="11">
        <f>IFERROR(VLOOKUP(G171, LEVEL_HELPER!$A:$B, 2, 0), "")</f>
        <v>3</v>
      </c>
      <c r="L171" s="171" t="s">
        <v>400</v>
      </c>
      <c r="M171" s="171" t="s">
        <v>152</v>
      </c>
      <c r="N171" s="11">
        <f t="array" ref="N171">IFERROR(
  INDEX($J$2:$J$531,
    MATCH(A171&amp;TEXT(I171,"yyyy-mm-dd"),
          $A$2:$A$531&amp;TEXT($H$2:$H$531,"yyyy-mm-dd"),
          0)),
"")</f>
        <v>1</v>
      </c>
      <c r="O171" s="160">
        <f t="shared" si="3"/>
        <v>3</v>
      </c>
      <c r="P171" s="160">
        <f t="shared" ref="P171:Q171" si="181">IF(N171="",0,IF(N171&lt;=2,1,IF(N171&lt;=4,2,IF(N171&lt;=5.5,3,4))))</f>
        <v>1</v>
      </c>
      <c r="Q171" s="160">
        <f t="shared" si="181"/>
        <v>2</v>
      </c>
      <c r="R171" s="160" t="str">
        <f t="shared" si="5"/>
        <v>Lv1 → Lv2</v>
      </c>
      <c r="S171" s="160">
        <f t="shared" si="6"/>
        <v>1</v>
      </c>
      <c r="T171" s="177" t="s">
        <v>961</v>
      </c>
      <c r="U171" s="160">
        <f>COUNTIFS(sheet2!$A:$A,A171,sheet2!$E:$E,E171)</f>
        <v>1</v>
      </c>
      <c r="V171" s="160"/>
      <c r="W171" s="160"/>
      <c r="X171" s="160" t="str">
        <f t="shared" si="7"/>
        <v>#N/A</v>
      </c>
      <c r="Y171" s="160" t="str">
        <f t="shared" si="8"/>
        <v>#N/A</v>
      </c>
      <c r="Z171" s="160" t="str">
        <f t="shared" si="9"/>
        <v>#N/A</v>
      </c>
      <c r="AA171" s="160"/>
      <c r="AB171" s="160"/>
      <c r="AC171" s="160"/>
      <c r="AD171" s="160"/>
      <c r="AE171" s="160"/>
      <c r="AF171" s="160"/>
      <c r="AG171" s="160"/>
      <c r="AH171" s="160"/>
      <c r="AI171" s="160"/>
      <c r="AJ171" s="160"/>
      <c r="AK171" s="160"/>
      <c r="AL171" s="160"/>
      <c r="AM171" s="160"/>
      <c r="AN171" s="164"/>
      <c r="AO171" s="160"/>
      <c r="AP171" s="160" t="str">
        <f t="shared" si="10"/>
        <v>#N/A</v>
      </c>
      <c r="AQ171" s="160" t="str">
        <f t="shared" si="11"/>
        <v>#N/A</v>
      </c>
      <c r="AR171" s="160" t="str">
        <f t="shared" si="12"/>
        <v>#N/A</v>
      </c>
      <c r="AS171" s="160"/>
      <c r="AT171" s="160"/>
      <c r="AU171" s="160"/>
      <c r="AV171" s="160"/>
      <c r="AW171" s="160"/>
      <c r="AX171" s="160"/>
      <c r="AY171" s="160"/>
      <c r="AZ171" s="160"/>
      <c r="BA171" s="160"/>
      <c r="BB171" s="160"/>
      <c r="BC171" s="160"/>
      <c r="BD171" s="160"/>
      <c r="BE171" s="160"/>
      <c r="BF171" s="160"/>
      <c r="BG171" s="160"/>
      <c r="BH171" s="160"/>
      <c r="BI171" s="160"/>
      <c r="BJ171" s="160"/>
      <c r="BK171" s="160"/>
      <c r="BL171" s="160"/>
      <c r="BM171" s="160"/>
      <c r="BN171" s="160"/>
      <c r="BO171" s="160"/>
      <c r="BP171" s="160"/>
      <c r="BQ171" s="160"/>
      <c r="BR171" s="160"/>
      <c r="BS171" s="160"/>
      <c r="BT171" s="160"/>
      <c r="BU171" s="160"/>
      <c r="BV171" s="160"/>
      <c r="BW171" s="160"/>
      <c r="BX171" s="160"/>
      <c r="BY171" s="160"/>
      <c r="BZ171" s="160"/>
      <c r="CA171" s="160"/>
      <c r="CB171" s="160"/>
      <c r="CC171" s="160"/>
      <c r="CD171" s="160"/>
      <c r="CE171" s="160"/>
      <c r="CF171" s="160"/>
      <c r="CG171" s="160"/>
      <c r="CH171" s="160"/>
      <c r="CI171" s="160"/>
      <c r="CJ171" s="160"/>
      <c r="CK171" s="160"/>
      <c r="CL171" s="160"/>
    </row>
    <row r="172">
      <c r="A172" s="166" t="s">
        <v>484</v>
      </c>
      <c r="B172" s="167" t="s">
        <v>485</v>
      </c>
      <c r="C172" s="168" t="s">
        <v>68</v>
      </c>
      <c r="D172" s="169" t="str">
        <f>IFERROR(VLOOKUP(C172, PIC!A:B, 2, 0), "")</f>
        <v>Nhat Phan 1</v>
      </c>
      <c r="E172" s="167" t="s">
        <v>23</v>
      </c>
      <c r="F172" s="16" t="s">
        <v>861</v>
      </c>
      <c r="G172" s="11"/>
      <c r="H172" s="170">
        <f>IFERROR(
  MINIFS(ATTENDANCE_LOG!$F:$F,
         ATTENDANCE_LOG!$A:$A, C172,
         ATTENDANCE_LOG!$B:$B, E172),
"")</f>
        <v>45887.375</v>
      </c>
      <c r="I172" s="170">
        <f t="shared" si="2"/>
        <v>45645.41667</v>
      </c>
      <c r="J172" s="11">
        <f>IFERROR(VLOOKUP(F172, LEVEL_HELPER!$A:$B, 2, 0), "")</f>
        <v>3.5</v>
      </c>
      <c r="K172" s="11" t="str">
        <f>IFERROR(VLOOKUP(G172, LEVEL_HELPER!$A:$B, 2, 0), "")</f>
        <v/>
      </c>
      <c r="L172" s="171" t="s">
        <v>400</v>
      </c>
      <c r="M172" s="171" t="s">
        <v>152</v>
      </c>
      <c r="N172" s="11">
        <f t="array" ref="N172">IFERROR(
  INDEX($J$2:$J$531,
    MATCH(A172&amp;TEXT(I172,"yyyy-mm-dd"),
          $A$2:$A$531&amp;TEXT($H$2:$H$531,"yyyy-mm-dd"),
          0)),
"")</f>
        <v>2.5</v>
      </c>
      <c r="O172" s="160">
        <f t="shared" si="3"/>
        <v>3.5</v>
      </c>
      <c r="P172" s="160">
        <f t="shared" ref="P172:Q172" si="182">IF(N172="",0,IF(N172&lt;=2,1,IF(N172&lt;=4,2,IF(N172&lt;=5.5,3,4))))</f>
        <v>2</v>
      </c>
      <c r="Q172" s="160">
        <f t="shared" si="182"/>
        <v>2</v>
      </c>
      <c r="R172" s="160" t="str">
        <f t="shared" si="5"/>
        <v>Progress within level</v>
      </c>
      <c r="S172" s="160">
        <f t="shared" si="6"/>
        <v>0</v>
      </c>
      <c r="T172" s="172" t="s">
        <v>958</v>
      </c>
      <c r="U172" s="160">
        <f>COUNTIFS(sheet2!$A:$A,A172,sheet2!$E:$E,E172)</f>
        <v>1</v>
      </c>
      <c r="V172" s="160"/>
      <c r="W172" s="160"/>
      <c r="X172" s="160" t="str">
        <f t="shared" si="7"/>
        <v>#N/A</v>
      </c>
      <c r="Y172" s="160" t="str">
        <f t="shared" si="8"/>
        <v>#N/A</v>
      </c>
      <c r="Z172" s="160" t="str">
        <f t="shared" si="9"/>
        <v>#N/A</v>
      </c>
      <c r="AA172" s="160"/>
      <c r="AB172" s="160"/>
      <c r="AC172" s="160"/>
      <c r="AD172" s="160"/>
      <c r="AE172" s="160"/>
      <c r="AF172" s="160"/>
      <c r="AG172" s="160"/>
      <c r="AH172" s="160"/>
      <c r="AI172" s="160"/>
      <c r="AJ172" s="160"/>
      <c r="AK172" s="160"/>
      <c r="AL172" s="160"/>
      <c r="AM172" s="160"/>
      <c r="AN172" s="164"/>
      <c r="AO172" s="160"/>
      <c r="AP172" s="160" t="str">
        <f t="shared" si="10"/>
        <v>#N/A</v>
      </c>
      <c r="AQ172" s="160" t="str">
        <f t="shared" si="11"/>
        <v>#N/A</v>
      </c>
      <c r="AR172" s="160" t="str">
        <f t="shared" si="12"/>
        <v>#N/A</v>
      </c>
      <c r="AS172" s="160"/>
      <c r="AT172" s="160"/>
      <c r="AU172" s="160"/>
      <c r="AV172" s="160"/>
      <c r="AW172" s="160"/>
      <c r="AX172" s="160"/>
      <c r="AY172" s="160"/>
      <c r="AZ172" s="160"/>
      <c r="BA172" s="160"/>
      <c r="BB172" s="160"/>
      <c r="BC172" s="160"/>
      <c r="BD172" s="160"/>
      <c r="BE172" s="160"/>
      <c r="BF172" s="160"/>
      <c r="BG172" s="160"/>
      <c r="BH172" s="160"/>
      <c r="BI172" s="160"/>
      <c r="BJ172" s="160"/>
      <c r="BK172" s="160"/>
      <c r="BL172" s="160"/>
      <c r="BM172" s="160"/>
      <c r="BN172" s="160"/>
      <c r="BO172" s="160"/>
      <c r="BP172" s="160"/>
      <c r="BQ172" s="160"/>
      <c r="BR172" s="160"/>
      <c r="BS172" s="160"/>
      <c r="BT172" s="160"/>
      <c r="BU172" s="160"/>
      <c r="BV172" s="160"/>
      <c r="BW172" s="160"/>
      <c r="BX172" s="160"/>
      <c r="BY172" s="160"/>
      <c r="BZ172" s="160"/>
      <c r="CA172" s="160"/>
      <c r="CB172" s="160"/>
      <c r="CC172" s="160"/>
      <c r="CD172" s="160"/>
      <c r="CE172" s="160"/>
      <c r="CF172" s="160"/>
      <c r="CG172" s="160"/>
      <c r="CH172" s="160"/>
      <c r="CI172" s="160"/>
      <c r="CJ172" s="160"/>
      <c r="CK172" s="160"/>
      <c r="CL172" s="160"/>
    </row>
    <row r="173">
      <c r="A173" s="174" t="s">
        <v>478</v>
      </c>
      <c r="B173" s="11" t="s">
        <v>479</v>
      </c>
      <c r="C173" s="175" t="s">
        <v>68</v>
      </c>
      <c r="D173" s="176" t="str">
        <f>IFERROR(VLOOKUP(C173, PIC!A:B, 2, 0), "")</f>
        <v>Nhat Phan 1</v>
      </c>
      <c r="E173" s="11" t="s">
        <v>23</v>
      </c>
      <c r="F173" s="16" t="s">
        <v>849</v>
      </c>
      <c r="G173" s="11"/>
      <c r="H173" s="170">
        <f>IFERROR(
  MINIFS(ATTENDANCE_LOG!$F:$F,
         ATTENDANCE_LOG!$A:$A, C173,
         ATTENDANCE_LOG!$B:$B, E173),
"")</f>
        <v>45887.375</v>
      </c>
      <c r="I173" s="170">
        <f t="shared" si="2"/>
        <v>45645.41667</v>
      </c>
      <c r="J173" s="11">
        <f>IFERROR(VLOOKUP(F173, LEVEL_HELPER!$A:$B, 2, 0), "")</f>
        <v>1</v>
      </c>
      <c r="K173" s="11" t="str">
        <f>IFERROR(VLOOKUP(G173, LEVEL_HELPER!$A:$B, 2, 0), "")</f>
        <v/>
      </c>
      <c r="L173" s="171" t="s">
        <v>400</v>
      </c>
      <c r="M173" s="171" t="s">
        <v>152</v>
      </c>
      <c r="N173" s="11">
        <f t="array" ref="N173">IFERROR(
  INDEX($J$2:$J$531,
    MATCH(A173&amp;TEXT(I173,"yyyy-mm-dd"),
          $A$2:$A$531&amp;TEXT($H$2:$H$531,"yyyy-mm-dd"),
          0)),
"")</f>
        <v>1</v>
      </c>
      <c r="O173" s="160">
        <f t="shared" si="3"/>
        <v>3.5</v>
      </c>
      <c r="P173" s="160">
        <f t="shared" ref="P173:Q173" si="183">IF(N173="",0,IF(N173&lt;=2,1,IF(N173&lt;=4,2,IF(N173&lt;=5.5,3,4))))</f>
        <v>1</v>
      </c>
      <c r="Q173" s="160">
        <f t="shared" si="183"/>
        <v>2</v>
      </c>
      <c r="R173" s="160" t="str">
        <f t="shared" si="5"/>
        <v>Lv1 → Lv2</v>
      </c>
      <c r="S173" s="160">
        <f t="shared" si="6"/>
        <v>0</v>
      </c>
      <c r="T173" s="177" t="s">
        <v>959</v>
      </c>
      <c r="U173" s="160">
        <f>COUNTIFS(sheet2!$A:$A,A173,sheet2!$E:$E,E173)</f>
        <v>1</v>
      </c>
      <c r="V173" s="160"/>
      <c r="W173" s="160"/>
      <c r="X173" s="160" t="str">
        <f t="shared" si="7"/>
        <v>#N/A</v>
      </c>
      <c r="Y173" s="160" t="str">
        <f t="shared" si="8"/>
        <v>#N/A</v>
      </c>
      <c r="Z173" s="160" t="str">
        <f t="shared" si="9"/>
        <v>#N/A</v>
      </c>
      <c r="AA173" s="160"/>
      <c r="AB173" s="160"/>
      <c r="AC173" s="160"/>
      <c r="AD173" s="160"/>
      <c r="AE173" s="160"/>
      <c r="AF173" s="160"/>
      <c r="AG173" s="160"/>
      <c r="AH173" s="160"/>
      <c r="AI173" s="160"/>
      <c r="AJ173" s="160"/>
      <c r="AK173" s="160"/>
      <c r="AL173" s="160"/>
      <c r="AM173" s="160"/>
      <c r="AN173" s="164"/>
      <c r="AO173" s="160"/>
      <c r="AP173" s="160" t="str">
        <f t="shared" si="10"/>
        <v>#N/A</v>
      </c>
      <c r="AQ173" s="160" t="str">
        <f t="shared" si="11"/>
        <v>#N/A</v>
      </c>
      <c r="AR173" s="160" t="str">
        <f t="shared" si="12"/>
        <v>#N/A</v>
      </c>
      <c r="AS173" s="160"/>
      <c r="AT173" s="160"/>
      <c r="AU173" s="160"/>
      <c r="AV173" s="160"/>
      <c r="AW173" s="160"/>
      <c r="AX173" s="160"/>
      <c r="AY173" s="160"/>
      <c r="AZ173" s="160"/>
      <c r="BA173" s="160"/>
      <c r="BB173" s="160"/>
      <c r="BC173" s="160"/>
      <c r="BD173" s="160"/>
      <c r="BE173" s="160"/>
      <c r="BF173" s="160"/>
      <c r="BG173" s="160"/>
      <c r="BH173" s="160"/>
      <c r="BI173" s="160"/>
      <c r="BJ173" s="160"/>
      <c r="BK173" s="160"/>
      <c r="BL173" s="160"/>
      <c r="BM173" s="160"/>
      <c r="BN173" s="160"/>
      <c r="BO173" s="160"/>
      <c r="BP173" s="160"/>
      <c r="BQ173" s="160"/>
      <c r="BR173" s="160"/>
      <c r="BS173" s="160"/>
      <c r="BT173" s="160"/>
      <c r="BU173" s="160"/>
      <c r="BV173" s="160"/>
      <c r="BW173" s="160"/>
      <c r="BX173" s="160"/>
      <c r="BY173" s="160"/>
      <c r="BZ173" s="160"/>
      <c r="CA173" s="160"/>
      <c r="CB173" s="160"/>
      <c r="CC173" s="160"/>
      <c r="CD173" s="160"/>
      <c r="CE173" s="160"/>
      <c r="CF173" s="160"/>
      <c r="CG173" s="160"/>
      <c r="CH173" s="160"/>
      <c r="CI173" s="160"/>
      <c r="CJ173" s="160"/>
      <c r="CK173" s="160"/>
      <c r="CL173" s="160"/>
    </row>
    <row r="174">
      <c r="A174" s="174" t="s">
        <v>480</v>
      </c>
      <c r="B174" s="11" t="s">
        <v>481</v>
      </c>
      <c r="C174" s="175" t="s">
        <v>68</v>
      </c>
      <c r="D174" s="176" t="str">
        <f>IFERROR(VLOOKUP(C174, PIC!A:B, 2, 0), "")</f>
        <v>Nhat Phan 1</v>
      </c>
      <c r="E174" s="11" t="s">
        <v>23</v>
      </c>
      <c r="F174" s="16" t="s">
        <v>849</v>
      </c>
      <c r="G174" s="11"/>
      <c r="H174" s="170">
        <f>IFERROR(
  MINIFS(ATTENDANCE_LOG!$F:$F,
         ATTENDANCE_LOG!$A:$A, C174,
         ATTENDANCE_LOG!$B:$B, E174),
"")</f>
        <v>45887.375</v>
      </c>
      <c r="I174" s="170">
        <f t="shared" si="2"/>
        <v>45663.41667</v>
      </c>
      <c r="J174" s="11">
        <f>IFERROR(VLOOKUP(F174, LEVEL_HELPER!$A:$B, 2, 0), "")</f>
        <v>1</v>
      </c>
      <c r="K174" s="11" t="str">
        <f>IFERROR(VLOOKUP(G174, LEVEL_HELPER!$A:$B, 2, 0), "")</f>
        <v/>
      </c>
      <c r="L174" s="171" t="s">
        <v>400</v>
      </c>
      <c r="M174" s="171" t="s">
        <v>152</v>
      </c>
      <c r="N174" s="11">
        <f t="array" ref="N174">IFERROR(
  INDEX($J$2:$J$531,
    MATCH(A174&amp;TEXT(I174,"yyyy-mm-dd"),
          $A$2:$A$531&amp;TEXT($H$2:$H$531,"yyyy-mm-dd"),
          0)),
"")</f>
        <v>1</v>
      </c>
      <c r="O174" s="160">
        <f t="shared" si="3"/>
        <v>1</v>
      </c>
      <c r="P174" s="160">
        <f t="shared" ref="P174:Q174" si="184">IF(N174="",0,IF(N174&lt;=2,1,IF(N174&lt;=4,2,IF(N174&lt;=5.5,3,4))))</f>
        <v>1</v>
      </c>
      <c r="Q174" s="160">
        <f t="shared" si="184"/>
        <v>1</v>
      </c>
      <c r="R174" s="160" t="str">
        <f t="shared" si="5"/>
        <v>No Progress</v>
      </c>
      <c r="S174" s="160">
        <f t="shared" si="6"/>
        <v>1</v>
      </c>
      <c r="T174" s="177" t="s">
        <v>962</v>
      </c>
      <c r="U174" s="160">
        <f>COUNTIFS(sheet2!$A:$A,A174,sheet2!$E:$E,E174)</f>
        <v>1</v>
      </c>
      <c r="V174" s="160"/>
      <c r="W174" s="160"/>
      <c r="X174" s="160" t="str">
        <f t="shared" si="7"/>
        <v>#N/A</v>
      </c>
      <c r="Y174" s="160" t="str">
        <f t="shared" si="8"/>
        <v>#N/A</v>
      </c>
      <c r="Z174" s="160" t="str">
        <f t="shared" si="9"/>
        <v>#N/A</v>
      </c>
      <c r="AA174" s="160"/>
      <c r="AB174" s="160"/>
      <c r="AC174" s="160"/>
      <c r="AD174" s="160"/>
      <c r="AE174" s="160"/>
      <c r="AF174" s="160"/>
      <c r="AG174" s="160"/>
      <c r="AH174" s="160"/>
      <c r="AI174" s="160"/>
      <c r="AJ174" s="160"/>
      <c r="AK174" s="160"/>
      <c r="AL174" s="160"/>
      <c r="AM174" s="160"/>
      <c r="AN174" s="164"/>
      <c r="AO174" s="160"/>
      <c r="AP174" s="160" t="str">
        <f t="shared" si="10"/>
        <v>#N/A</v>
      </c>
      <c r="AQ174" s="160" t="str">
        <f t="shared" si="11"/>
        <v>#N/A</v>
      </c>
      <c r="AR174" s="160" t="str">
        <f t="shared" si="12"/>
        <v>#N/A</v>
      </c>
      <c r="AS174" s="160"/>
      <c r="AT174" s="160"/>
      <c r="AU174" s="160"/>
      <c r="AV174" s="160"/>
      <c r="AW174" s="160"/>
      <c r="AX174" s="160"/>
      <c r="AY174" s="160"/>
      <c r="AZ174" s="160"/>
      <c r="BA174" s="160"/>
      <c r="BB174" s="160"/>
      <c r="BC174" s="160"/>
      <c r="BD174" s="160"/>
      <c r="BE174" s="160"/>
      <c r="BF174" s="160"/>
      <c r="BG174" s="160"/>
      <c r="BH174" s="160"/>
      <c r="BI174" s="160"/>
      <c r="BJ174" s="160"/>
      <c r="BK174" s="160"/>
      <c r="BL174" s="160"/>
      <c r="BM174" s="160"/>
      <c r="BN174" s="160"/>
      <c r="BO174" s="160"/>
      <c r="BP174" s="160"/>
      <c r="BQ174" s="160"/>
      <c r="BR174" s="160"/>
      <c r="BS174" s="160"/>
      <c r="BT174" s="160"/>
      <c r="BU174" s="160"/>
      <c r="BV174" s="160"/>
      <c r="BW174" s="160"/>
      <c r="BX174" s="160"/>
      <c r="BY174" s="160"/>
      <c r="BZ174" s="160"/>
      <c r="CA174" s="160"/>
      <c r="CB174" s="160"/>
      <c r="CC174" s="160"/>
      <c r="CD174" s="160"/>
      <c r="CE174" s="160"/>
      <c r="CF174" s="160"/>
      <c r="CG174" s="160"/>
      <c r="CH174" s="160"/>
      <c r="CI174" s="160"/>
      <c r="CJ174" s="160"/>
      <c r="CK174" s="160"/>
      <c r="CL174" s="160"/>
    </row>
    <row r="175">
      <c r="A175" s="174" t="s">
        <v>486</v>
      </c>
      <c r="B175" s="11" t="s">
        <v>487</v>
      </c>
      <c r="C175" s="175" t="s">
        <v>68</v>
      </c>
      <c r="D175" s="176" t="str">
        <f>IFERROR(VLOOKUP(C175, PIC!A:B, 2, 0), "")</f>
        <v>Nhat Phan 1</v>
      </c>
      <c r="E175" s="11" t="s">
        <v>23</v>
      </c>
      <c r="F175" s="16" t="s">
        <v>845</v>
      </c>
      <c r="G175" s="11"/>
      <c r="H175" s="170">
        <f>IFERROR(
  MINIFS(ATTENDANCE_LOG!$F:$F,
         ATTENDANCE_LOG!$A:$A, C175,
         ATTENDANCE_LOG!$B:$B, E175),
"")</f>
        <v>45887.375</v>
      </c>
      <c r="I175" s="170">
        <f t="shared" si="2"/>
        <v>45663.41667</v>
      </c>
      <c r="J175" s="11">
        <f>IFERROR(VLOOKUP(F175, LEVEL_HELPER!$A:$B, 2, 0), "")</f>
        <v>2.5</v>
      </c>
      <c r="K175" s="11" t="str">
        <f>IFERROR(VLOOKUP(G175, LEVEL_HELPER!$A:$B, 2, 0), "")</f>
        <v/>
      </c>
      <c r="L175" s="171" t="s">
        <v>400</v>
      </c>
      <c r="M175" s="171" t="s">
        <v>152</v>
      </c>
      <c r="N175" s="11">
        <f t="array" ref="N175">IFERROR(
  INDEX($J$2:$J$531,
    MATCH(A175&amp;TEXT(I175,"yyyy-mm-dd"),
          $A$2:$A$531&amp;TEXT($H$2:$H$531,"yyyy-mm-dd"),
          0)),
"")</f>
        <v>1</v>
      </c>
      <c r="O175" s="160">
        <f t="shared" si="3"/>
        <v>2.5</v>
      </c>
      <c r="P175" s="160">
        <f t="shared" ref="P175:Q175" si="185">IF(N175="",0,IF(N175&lt;=2,1,IF(N175&lt;=4,2,IF(N175&lt;=5.5,3,4))))</f>
        <v>1</v>
      </c>
      <c r="Q175" s="160">
        <f t="shared" si="185"/>
        <v>2</v>
      </c>
      <c r="R175" s="160" t="str">
        <f t="shared" si="5"/>
        <v>Lv1 → Lv2</v>
      </c>
      <c r="S175" s="160">
        <f t="shared" si="6"/>
        <v>1</v>
      </c>
      <c r="T175" s="177" t="s">
        <v>963</v>
      </c>
      <c r="U175" s="160">
        <f>COUNTIFS(sheet2!$A:$A,A175,sheet2!$E:$E,E175)</f>
        <v>1</v>
      </c>
      <c r="V175" s="160"/>
      <c r="W175" s="160"/>
      <c r="X175" s="160" t="str">
        <f t="shared" si="7"/>
        <v>#N/A</v>
      </c>
      <c r="Y175" s="160" t="str">
        <f t="shared" si="8"/>
        <v>#N/A</v>
      </c>
      <c r="Z175" s="160" t="str">
        <f t="shared" si="9"/>
        <v>#N/A</v>
      </c>
      <c r="AA175" s="160"/>
      <c r="AB175" s="160"/>
      <c r="AC175" s="160"/>
      <c r="AD175" s="160"/>
      <c r="AE175" s="160"/>
      <c r="AF175" s="160"/>
      <c r="AG175" s="160"/>
      <c r="AH175" s="160"/>
      <c r="AI175" s="160"/>
      <c r="AJ175" s="160"/>
      <c r="AK175" s="160"/>
      <c r="AL175" s="160"/>
      <c r="AM175" s="160"/>
      <c r="AN175" s="164"/>
      <c r="AO175" s="160"/>
      <c r="AP175" s="160" t="str">
        <f t="shared" si="10"/>
        <v>#N/A</v>
      </c>
      <c r="AQ175" s="160" t="str">
        <f t="shared" si="11"/>
        <v>#N/A</v>
      </c>
      <c r="AR175" s="160" t="str">
        <f t="shared" si="12"/>
        <v>#N/A</v>
      </c>
      <c r="AS175" s="160"/>
      <c r="AT175" s="160"/>
      <c r="AU175" s="160"/>
      <c r="AV175" s="160"/>
      <c r="AW175" s="160"/>
      <c r="AX175" s="160"/>
      <c r="AY175" s="160"/>
      <c r="AZ175" s="160"/>
      <c r="BA175" s="160"/>
      <c r="BB175" s="160"/>
      <c r="BC175" s="160"/>
      <c r="BD175" s="160"/>
      <c r="BE175" s="160"/>
      <c r="BF175" s="160"/>
      <c r="BG175" s="160"/>
      <c r="BH175" s="160"/>
      <c r="BI175" s="160"/>
      <c r="BJ175" s="160"/>
      <c r="BK175" s="160"/>
      <c r="BL175" s="160"/>
      <c r="BM175" s="160"/>
      <c r="BN175" s="160"/>
      <c r="BO175" s="160"/>
      <c r="BP175" s="160"/>
      <c r="BQ175" s="160"/>
      <c r="BR175" s="160"/>
      <c r="BS175" s="160"/>
      <c r="BT175" s="160"/>
      <c r="BU175" s="160"/>
      <c r="BV175" s="160"/>
      <c r="BW175" s="160"/>
      <c r="BX175" s="160"/>
      <c r="BY175" s="160"/>
      <c r="BZ175" s="160"/>
      <c r="CA175" s="160"/>
      <c r="CB175" s="160"/>
      <c r="CC175" s="160"/>
      <c r="CD175" s="160"/>
      <c r="CE175" s="160"/>
      <c r="CF175" s="160"/>
      <c r="CG175" s="160"/>
      <c r="CH175" s="160"/>
      <c r="CI175" s="160"/>
      <c r="CJ175" s="160"/>
      <c r="CK175" s="160"/>
      <c r="CL175" s="160"/>
    </row>
    <row r="176">
      <c r="A176" s="174" t="s">
        <v>488</v>
      </c>
      <c r="B176" s="11" t="s">
        <v>489</v>
      </c>
      <c r="C176" s="175" t="s">
        <v>68</v>
      </c>
      <c r="D176" s="176" t="str">
        <f>IFERROR(VLOOKUP(C176, PIC!A:B, 2, 0), "")</f>
        <v>Nhat Phan 1</v>
      </c>
      <c r="E176" s="11" t="s">
        <v>23</v>
      </c>
      <c r="F176" s="16" t="s">
        <v>846</v>
      </c>
      <c r="G176" s="11"/>
      <c r="H176" s="170">
        <f>IFERROR(
  MINIFS(ATTENDANCE_LOG!$F:$F,
         ATTENDANCE_LOG!$A:$A, C176,
         ATTENDANCE_LOG!$B:$B, E176),
"")</f>
        <v>45887.375</v>
      </c>
      <c r="I176" s="170">
        <f t="shared" si="2"/>
        <v>45645.41667</v>
      </c>
      <c r="J176" s="11">
        <f>IFERROR(VLOOKUP(F176, LEVEL_HELPER!$A:$B, 2, 0), "")</f>
        <v>3</v>
      </c>
      <c r="K176" s="11" t="str">
        <f>IFERROR(VLOOKUP(G176, LEVEL_HELPER!$A:$B, 2, 0), "")</f>
        <v/>
      </c>
      <c r="L176" s="171" t="s">
        <v>400</v>
      </c>
      <c r="M176" s="171" t="s">
        <v>152</v>
      </c>
      <c r="N176" s="11">
        <f t="array" ref="N176">IFERROR(
  INDEX($J$2:$J$531,
    MATCH(A176&amp;TEXT(I176,"yyyy-mm-dd"),
          $A$2:$A$531&amp;TEXT($H$2:$H$531,"yyyy-mm-dd"),
          0)),
"")</f>
        <v>1</v>
      </c>
      <c r="O176" s="160">
        <f t="shared" si="3"/>
        <v>3</v>
      </c>
      <c r="P176" s="160">
        <f t="shared" ref="P176:Q176" si="186">IF(N176="",0,IF(N176&lt;=2,1,IF(N176&lt;=4,2,IF(N176&lt;=5.5,3,4))))</f>
        <v>1</v>
      </c>
      <c r="Q176" s="160">
        <f t="shared" si="186"/>
        <v>2</v>
      </c>
      <c r="R176" s="160" t="str">
        <f t="shared" si="5"/>
        <v>Lv1 → Lv2</v>
      </c>
      <c r="S176" s="160">
        <f t="shared" si="6"/>
        <v>0</v>
      </c>
      <c r="T176" s="177" t="s">
        <v>961</v>
      </c>
      <c r="U176" s="160">
        <f>COUNTIFS(sheet2!$A:$A,A176,sheet2!$E:$E,E176)</f>
        <v>1</v>
      </c>
      <c r="V176" s="160"/>
      <c r="W176" s="160"/>
      <c r="X176" s="160" t="str">
        <f t="shared" si="7"/>
        <v>#N/A</v>
      </c>
      <c r="Y176" s="160" t="str">
        <f t="shared" si="8"/>
        <v>#N/A</v>
      </c>
      <c r="Z176" s="160" t="str">
        <f t="shared" si="9"/>
        <v>#N/A</v>
      </c>
      <c r="AA176" s="160"/>
      <c r="AB176" s="160"/>
      <c r="AC176" s="160"/>
      <c r="AD176" s="160"/>
      <c r="AE176" s="160"/>
      <c r="AF176" s="160"/>
      <c r="AG176" s="160"/>
      <c r="AH176" s="160"/>
      <c r="AI176" s="160"/>
      <c r="AJ176" s="160"/>
      <c r="AK176" s="160"/>
      <c r="AL176" s="160"/>
      <c r="AM176" s="160"/>
      <c r="AN176" s="164"/>
      <c r="AO176" s="160"/>
      <c r="AP176" s="160" t="str">
        <f t="shared" si="10"/>
        <v>#N/A</v>
      </c>
      <c r="AQ176" s="160" t="str">
        <f t="shared" si="11"/>
        <v>#N/A</v>
      </c>
      <c r="AR176" s="160" t="str">
        <f t="shared" si="12"/>
        <v>#N/A</v>
      </c>
      <c r="AS176" s="160"/>
      <c r="AT176" s="160"/>
      <c r="AU176" s="160"/>
      <c r="AV176" s="160"/>
      <c r="AW176" s="160"/>
      <c r="AX176" s="160"/>
      <c r="AY176" s="160"/>
      <c r="AZ176" s="160"/>
      <c r="BA176" s="160"/>
      <c r="BB176" s="160"/>
      <c r="BC176" s="160"/>
      <c r="BD176" s="160"/>
      <c r="BE176" s="160"/>
      <c r="BF176" s="160"/>
      <c r="BG176" s="160"/>
      <c r="BH176" s="160"/>
      <c r="BI176" s="160"/>
      <c r="BJ176" s="160"/>
      <c r="BK176" s="160"/>
      <c r="BL176" s="160"/>
      <c r="BM176" s="160"/>
      <c r="BN176" s="160"/>
      <c r="BO176" s="160"/>
      <c r="BP176" s="160"/>
      <c r="BQ176" s="160"/>
      <c r="BR176" s="160"/>
      <c r="BS176" s="160"/>
      <c r="BT176" s="160"/>
      <c r="BU176" s="160"/>
      <c r="BV176" s="160"/>
      <c r="BW176" s="160"/>
      <c r="BX176" s="160"/>
      <c r="BY176" s="160"/>
      <c r="BZ176" s="160"/>
      <c r="CA176" s="160"/>
      <c r="CB176" s="160"/>
      <c r="CC176" s="160"/>
      <c r="CD176" s="160"/>
      <c r="CE176" s="160"/>
      <c r="CF176" s="160"/>
      <c r="CG176" s="160"/>
      <c r="CH176" s="160"/>
      <c r="CI176" s="160"/>
      <c r="CJ176" s="160"/>
      <c r="CK176" s="160"/>
      <c r="CL176" s="160"/>
    </row>
    <row r="177">
      <c r="A177" s="174" t="s">
        <v>490</v>
      </c>
      <c r="B177" s="11" t="s">
        <v>491</v>
      </c>
      <c r="C177" s="175" t="s">
        <v>68</v>
      </c>
      <c r="D177" s="176" t="str">
        <f>IFERROR(VLOOKUP(C177, PIC!A:B, 2, 0), "")</f>
        <v>Nhat Phan 1</v>
      </c>
      <c r="E177" s="11" t="s">
        <v>23</v>
      </c>
      <c r="F177" s="16" t="s">
        <v>845</v>
      </c>
      <c r="G177" s="11"/>
      <c r="H177" s="170">
        <f>IFERROR(
  MINIFS(ATTENDANCE_LOG!$F:$F,
         ATTENDANCE_LOG!$A:$A, C177,
         ATTENDANCE_LOG!$B:$B, E177),
"")</f>
        <v>45887.375</v>
      </c>
      <c r="I177" s="170">
        <f t="shared" si="2"/>
        <v>45663.41667</v>
      </c>
      <c r="J177" s="11">
        <f>IFERROR(VLOOKUP(F177, LEVEL_HELPER!$A:$B, 2, 0), "")</f>
        <v>2.5</v>
      </c>
      <c r="K177" s="11" t="str">
        <f>IFERROR(VLOOKUP(G177, LEVEL_HELPER!$A:$B, 2, 0), "")</f>
        <v/>
      </c>
      <c r="L177" s="171" t="s">
        <v>400</v>
      </c>
      <c r="M177" s="171" t="s">
        <v>152</v>
      </c>
      <c r="N177" s="11">
        <f t="array" ref="N177">IFERROR(
  INDEX($J$2:$J$531,
    MATCH(A177&amp;TEXT(I177,"yyyy-mm-dd"),
          $A$2:$A$531&amp;TEXT($H$2:$H$531,"yyyy-mm-dd"),
          0)),
"")</f>
        <v>2.5</v>
      </c>
      <c r="O177" s="160">
        <f t="shared" si="3"/>
        <v>2.5</v>
      </c>
      <c r="P177" s="160">
        <f t="shared" ref="P177:Q177" si="187">IF(N177="",0,IF(N177&lt;=2,1,IF(N177&lt;=4,2,IF(N177&lt;=5.5,3,4))))</f>
        <v>2</v>
      </c>
      <c r="Q177" s="160">
        <f t="shared" si="187"/>
        <v>2</v>
      </c>
      <c r="R177" s="160" t="str">
        <f t="shared" si="5"/>
        <v>No Progress</v>
      </c>
      <c r="S177" s="160">
        <f t="shared" si="6"/>
        <v>1</v>
      </c>
      <c r="T177" s="177" t="s">
        <v>964</v>
      </c>
      <c r="U177" s="160">
        <f>COUNTIFS(sheet2!$A:$A,A177,sheet2!$E:$E,E177)</f>
        <v>1</v>
      </c>
      <c r="V177" s="160"/>
      <c r="W177" s="160"/>
      <c r="X177" s="160" t="str">
        <f t="shared" si="7"/>
        <v>#N/A</v>
      </c>
      <c r="Y177" s="160" t="str">
        <f t="shared" si="8"/>
        <v>#N/A</v>
      </c>
      <c r="Z177" s="160" t="str">
        <f t="shared" si="9"/>
        <v>#N/A</v>
      </c>
      <c r="AA177" s="160"/>
      <c r="AB177" s="160"/>
      <c r="AC177" s="160"/>
      <c r="AD177" s="160"/>
      <c r="AE177" s="160"/>
      <c r="AF177" s="160"/>
      <c r="AG177" s="160"/>
      <c r="AH177" s="160"/>
      <c r="AI177" s="160"/>
      <c r="AJ177" s="160"/>
      <c r="AK177" s="160"/>
      <c r="AL177" s="160"/>
      <c r="AM177" s="160"/>
      <c r="AN177" s="164"/>
      <c r="AO177" s="160"/>
      <c r="AP177" s="160" t="str">
        <f t="shared" si="10"/>
        <v>#N/A</v>
      </c>
      <c r="AQ177" s="160" t="str">
        <f t="shared" si="11"/>
        <v>#N/A</v>
      </c>
      <c r="AR177" s="160" t="str">
        <f t="shared" si="12"/>
        <v>#N/A</v>
      </c>
      <c r="AS177" s="160"/>
      <c r="AT177" s="160"/>
      <c r="AU177" s="160"/>
      <c r="AV177" s="160"/>
      <c r="AW177" s="160"/>
      <c r="AX177" s="160"/>
      <c r="AY177" s="160"/>
      <c r="AZ177" s="160"/>
      <c r="BA177" s="160"/>
      <c r="BB177" s="160"/>
      <c r="BC177" s="160"/>
      <c r="BD177" s="160"/>
      <c r="BE177" s="160"/>
      <c r="BF177" s="160"/>
      <c r="BG177" s="160"/>
      <c r="BH177" s="160"/>
      <c r="BI177" s="160"/>
      <c r="BJ177" s="160"/>
      <c r="BK177" s="160"/>
      <c r="BL177" s="160"/>
      <c r="BM177" s="160"/>
      <c r="BN177" s="160"/>
      <c r="BO177" s="160"/>
      <c r="BP177" s="160"/>
      <c r="BQ177" s="160"/>
      <c r="BR177" s="160"/>
      <c r="BS177" s="160"/>
      <c r="BT177" s="160"/>
      <c r="BU177" s="160"/>
      <c r="BV177" s="160"/>
      <c r="BW177" s="160"/>
      <c r="BX177" s="160"/>
      <c r="BY177" s="160"/>
      <c r="BZ177" s="160"/>
      <c r="CA177" s="160"/>
      <c r="CB177" s="160"/>
      <c r="CC177" s="160"/>
      <c r="CD177" s="160"/>
      <c r="CE177" s="160"/>
      <c r="CF177" s="160"/>
      <c r="CG177" s="160"/>
      <c r="CH177" s="160"/>
      <c r="CI177" s="160"/>
      <c r="CJ177" s="160"/>
      <c r="CK177" s="160"/>
      <c r="CL177" s="160"/>
    </row>
    <row r="178">
      <c r="A178" s="166" t="s">
        <v>494</v>
      </c>
      <c r="B178" s="167" t="s">
        <v>495</v>
      </c>
      <c r="C178" s="168" t="s">
        <v>69</v>
      </c>
      <c r="D178" s="169" t="str">
        <f>IFERROR(VLOOKUP(C178, PIC!A:B, 2, 0), "")</f>
        <v>Nhat Phan 2</v>
      </c>
      <c r="E178" s="167" t="s">
        <v>22</v>
      </c>
      <c r="F178" s="16" t="s">
        <v>845</v>
      </c>
      <c r="G178" s="16" t="s">
        <v>858</v>
      </c>
      <c r="H178" s="170">
        <f>IFERROR(
  MINIFS(ATTENDANCE_LOG!$F:$F,
         ATTENDANCE_LOG!$A:$A, C178,
         ATTENDANCE_LOG!$B:$B, E178),
"")</f>
        <v>45663.41667</v>
      </c>
      <c r="I178" s="170">
        <f t="shared" si="2"/>
        <v>45663.41667</v>
      </c>
      <c r="J178" s="11">
        <f>IFERROR(VLOOKUP(F178, LEVEL_HELPER!$A:$B, 2, 0), "")</f>
        <v>2.5</v>
      </c>
      <c r="K178" s="11">
        <f>IFERROR(VLOOKUP(G178, LEVEL_HELPER!$A:$B, 2, 0), "")</f>
        <v>4.5</v>
      </c>
      <c r="L178" s="171" t="s">
        <v>400</v>
      </c>
      <c r="M178" s="171" t="s">
        <v>152</v>
      </c>
      <c r="N178" s="11">
        <f t="array" ref="N178">IFERROR(
  INDEX($J$2:$J$531,
    MATCH(A178&amp;TEXT(I178,"yyyy-mm-dd"),
          $A$2:$A$531&amp;TEXT($H$2:$H$531,"yyyy-mm-dd"),
          0)),
"")</f>
        <v>2.5</v>
      </c>
      <c r="O178" s="160">
        <f t="shared" si="3"/>
        <v>4.5</v>
      </c>
      <c r="P178" s="160">
        <f t="shared" ref="P178:Q178" si="188">IF(N178="",0,IF(N178&lt;=2,1,IF(N178&lt;=4,2,IF(N178&lt;=5.5,3,4))))</f>
        <v>2</v>
      </c>
      <c r="Q178" s="160">
        <f t="shared" si="188"/>
        <v>3</v>
      </c>
      <c r="R178" s="160" t="str">
        <f t="shared" si="5"/>
        <v>Lv2 → Lv3</v>
      </c>
      <c r="S178" s="160">
        <f t="shared" si="6"/>
        <v>1</v>
      </c>
      <c r="T178" s="172" t="s">
        <v>965</v>
      </c>
      <c r="U178" s="160">
        <f>COUNTIFS(sheet2!$A:$A,A178,sheet2!$E:$E,E178)</f>
        <v>1</v>
      </c>
      <c r="V178" s="160"/>
      <c r="W178" s="160"/>
      <c r="X178" s="160" t="str">
        <f t="shared" si="7"/>
        <v>#N/A</v>
      </c>
      <c r="Y178" s="160" t="str">
        <f t="shared" si="8"/>
        <v>#N/A</v>
      </c>
      <c r="Z178" s="160" t="str">
        <f t="shared" si="9"/>
        <v>#N/A</v>
      </c>
      <c r="AA178" s="160"/>
      <c r="AB178" s="160"/>
      <c r="AC178" s="160"/>
      <c r="AD178" s="160"/>
      <c r="AE178" s="160"/>
      <c r="AF178" s="160"/>
      <c r="AG178" s="160"/>
      <c r="AH178" s="160"/>
      <c r="AI178" s="160"/>
      <c r="AJ178" s="160"/>
      <c r="AK178" s="160"/>
      <c r="AL178" s="160"/>
      <c r="AM178" s="160"/>
      <c r="AN178" s="164"/>
      <c r="AO178" s="160"/>
      <c r="AP178" s="160" t="str">
        <f t="shared" si="10"/>
        <v>#N/A</v>
      </c>
      <c r="AQ178" s="160" t="str">
        <f t="shared" si="11"/>
        <v>#N/A</v>
      </c>
      <c r="AR178" s="160" t="str">
        <f t="shared" si="12"/>
        <v>#N/A</v>
      </c>
      <c r="AS178" s="160"/>
      <c r="AT178" s="160"/>
      <c r="AU178" s="160"/>
      <c r="AV178" s="160"/>
      <c r="AW178" s="160"/>
      <c r="AX178" s="160"/>
      <c r="AY178" s="160"/>
      <c r="AZ178" s="160"/>
      <c r="BA178" s="160"/>
      <c r="BB178" s="160"/>
      <c r="BC178" s="160"/>
      <c r="BD178" s="160"/>
      <c r="BE178" s="160"/>
      <c r="BF178" s="160"/>
      <c r="BG178" s="160"/>
      <c r="BH178" s="160"/>
      <c r="BI178" s="160"/>
      <c r="BJ178" s="160"/>
      <c r="BK178" s="160"/>
      <c r="BL178" s="160"/>
      <c r="BM178" s="160"/>
      <c r="BN178" s="160"/>
      <c r="BO178" s="160"/>
      <c r="BP178" s="160"/>
      <c r="BQ178" s="160"/>
      <c r="BR178" s="160"/>
      <c r="BS178" s="160"/>
      <c r="BT178" s="160"/>
      <c r="BU178" s="160"/>
      <c r="BV178" s="160"/>
      <c r="BW178" s="160"/>
      <c r="BX178" s="160"/>
      <c r="BY178" s="160"/>
      <c r="BZ178" s="160"/>
      <c r="CA178" s="160"/>
      <c r="CB178" s="160"/>
      <c r="CC178" s="160"/>
      <c r="CD178" s="160"/>
      <c r="CE178" s="160"/>
      <c r="CF178" s="160"/>
      <c r="CG178" s="160"/>
      <c r="CH178" s="160"/>
      <c r="CI178" s="160"/>
      <c r="CJ178" s="160"/>
      <c r="CK178" s="160"/>
      <c r="CL178" s="160"/>
    </row>
    <row r="179">
      <c r="A179" s="174" t="s">
        <v>492</v>
      </c>
      <c r="B179" s="11" t="s">
        <v>493</v>
      </c>
      <c r="C179" s="175" t="s">
        <v>69</v>
      </c>
      <c r="D179" s="176" t="str">
        <f>IFERROR(VLOOKUP(C179, PIC!A:B, 2, 0), "")</f>
        <v>Nhat Phan 2</v>
      </c>
      <c r="E179" s="11" t="s">
        <v>22</v>
      </c>
      <c r="F179" s="16" t="s">
        <v>849</v>
      </c>
      <c r="G179" s="16" t="s">
        <v>849</v>
      </c>
      <c r="H179" s="170">
        <f>IFERROR(
  MINIFS(ATTENDANCE_LOG!$F:$F,
         ATTENDANCE_LOG!$A:$A, C179,
         ATTENDANCE_LOG!$B:$B, E179),
"")</f>
        <v>45663.41667</v>
      </c>
      <c r="I179" s="170">
        <f t="shared" si="2"/>
        <v>45663.41667</v>
      </c>
      <c r="J179" s="11">
        <f>IFERROR(VLOOKUP(F179, LEVEL_HELPER!$A:$B, 2, 0), "")</f>
        <v>1</v>
      </c>
      <c r="K179" s="11">
        <f>IFERROR(VLOOKUP(G179, LEVEL_HELPER!$A:$B, 2, 0), "")</f>
        <v>1</v>
      </c>
      <c r="L179" s="171" t="s">
        <v>400</v>
      </c>
      <c r="M179" s="171" t="s">
        <v>152</v>
      </c>
      <c r="N179" s="11">
        <f t="array" ref="N179">IFERROR(
  INDEX($J$2:$J$531,
    MATCH(A179&amp;TEXT(I179,"yyyy-mm-dd"),
          $A$2:$A$531&amp;TEXT($H$2:$H$531,"yyyy-mm-dd"),
          0)),
"")</f>
        <v>1</v>
      </c>
      <c r="O179" s="160">
        <f t="shared" si="3"/>
        <v>1</v>
      </c>
      <c r="P179" s="160">
        <f t="shared" ref="P179:Q179" si="189">IF(N179="",0,IF(N179&lt;=2,1,IF(N179&lt;=4,2,IF(N179&lt;=5.5,3,4))))</f>
        <v>1</v>
      </c>
      <c r="Q179" s="160">
        <f t="shared" si="189"/>
        <v>1</v>
      </c>
      <c r="R179" s="160" t="str">
        <f t="shared" si="5"/>
        <v>No Progress</v>
      </c>
      <c r="S179" s="160">
        <f t="shared" si="6"/>
        <v>1</v>
      </c>
      <c r="T179" s="177" t="s">
        <v>966</v>
      </c>
      <c r="U179" s="160">
        <f>COUNTIFS(sheet2!$A:$A,A179,sheet2!$E:$E,E179)</f>
        <v>1</v>
      </c>
      <c r="V179" s="160"/>
      <c r="W179" s="160"/>
      <c r="X179" s="160" t="str">
        <f t="shared" si="7"/>
        <v>#N/A</v>
      </c>
      <c r="Y179" s="160" t="str">
        <f t="shared" si="8"/>
        <v>#N/A</v>
      </c>
      <c r="Z179" s="160" t="str">
        <f t="shared" si="9"/>
        <v>#N/A</v>
      </c>
      <c r="AA179" s="160"/>
      <c r="AB179" s="160"/>
      <c r="AC179" s="160"/>
      <c r="AD179" s="160"/>
      <c r="AE179" s="160"/>
      <c r="AF179" s="160"/>
      <c r="AG179" s="160"/>
      <c r="AH179" s="160"/>
      <c r="AI179" s="160"/>
      <c r="AJ179" s="160"/>
      <c r="AK179" s="160"/>
      <c r="AL179" s="160"/>
      <c r="AM179" s="160"/>
      <c r="AN179" s="164"/>
      <c r="AO179" s="160"/>
      <c r="AP179" s="160" t="str">
        <f t="shared" si="10"/>
        <v>#N/A</v>
      </c>
      <c r="AQ179" s="160" t="str">
        <f t="shared" si="11"/>
        <v>#N/A</v>
      </c>
      <c r="AR179" s="160" t="str">
        <f t="shared" si="12"/>
        <v>#N/A</v>
      </c>
      <c r="AS179" s="160"/>
      <c r="AT179" s="160"/>
      <c r="AU179" s="160"/>
      <c r="AV179" s="160"/>
      <c r="AW179" s="160"/>
      <c r="AX179" s="160"/>
      <c r="AY179" s="160"/>
      <c r="AZ179" s="160"/>
      <c r="BA179" s="160"/>
      <c r="BB179" s="160"/>
      <c r="BC179" s="160"/>
      <c r="BD179" s="160"/>
      <c r="BE179" s="160"/>
      <c r="BF179" s="160"/>
      <c r="BG179" s="160"/>
      <c r="BH179" s="160"/>
      <c r="BI179" s="160"/>
      <c r="BJ179" s="160"/>
      <c r="BK179" s="160"/>
      <c r="BL179" s="160"/>
      <c r="BM179" s="160"/>
      <c r="BN179" s="160"/>
      <c r="BO179" s="160"/>
      <c r="BP179" s="160"/>
      <c r="BQ179" s="160"/>
      <c r="BR179" s="160"/>
      <c r="BS179" s="160"/>
      <c r="BT179" s="160"/>
      <c r="BU179" s="160"/>
      <c r="BV179" s="160"/>
      <c r="BW179" s="160"/>
      <c r="BX179" s="160"/>
      <c r="BY179" s="160"/>
      <c r="BZ179" s="160"/>
      <c r="CA179" s="160"/>
      <c r="CB179" s="160"/>
      <c r="CC179" s="160"/>
      <c r="CD179" s="160"/>
      <c r="CE179" s="160"/>
      <c r="CF179" s="160"/>
      <c r="CG179" s="160"/>
      <c r="CH179" s="160"/>
      <c r="CI179" s="160"/>
      <c r="CJ179" s="160"/>
      <c r="CK179" s="160"/>
      <c r="CL179" s="160"/>
    </row>
    <row r="180">
      <c r="A180" s="174" t="s">
        <v>480</v>
      </c>
      <c r="B180" s="11" t="s">
        <v>481</v>
      </c>
      <c r="C180" s="175" t="s">
        <v>69</v>
      </c>
      <c r="D180" s="176" t="str">
        <f>IFERROR(VLOOKUP(C180, PIC!A:B, 2, 0), "")</f>
        <v>Nhat Phan 2</v>
      </c>
      <c r="E180" s="11" t="s">
        <v>22</v>
      </c>
      <c r="F180" s="16" t="s">
        <v>849</v>
      </c>
      <c r="G180" s="16" t="s">
        <v>849</v>
      </c>
      <c r="H180" s="170">
        <f>IFERROR(
  MINIFS(ATTENDANCE_LOG!$F:$F,
         ATTENDANCE_LOG!$A:$A, C180,
         ATTENDANCE_LOG!$B:$B, E180),
"")</f>
        <v>45663.41667</v>
      </c>
      <c r="I180" s="170">
        <f t="shared" si="2"/>
        <v>45663.41667</v>
      </c>
      <c r="J180" s="11">
        <f>IFERROR(VLOOKUP(F180, LEVEL_HELPER!$A:$B, 2, 0), "")</f>
        <v>1</v>
      </c>
      <c r="K180" s="11">
        <f>IFERROR(VLOOKUP(G180, LEVEL_HELPER!$A:$B, 2, 0), "")</f>
        <v>1</v>
      </c>
      <c r="L180" s="171" t="s">
        <v>400</v>
      </c>
      <c r="M180" s="171" t="s">
        <v>152</v>
      </c>
      <c r="N180" s="11">
        <f t="array" ref="N180">IFERROR(
  INDEX($J$2:$J$531,
    MATCH(A180&amp;TEXT(I180,"yyyy-mm-dd"),
          $A$2:$A$531&amp;TEXT($H$2:$H$531,"yyyy-mm-dd"),
          0)),
"")</f>
        <v>1</v>
      </c>
      <c r="O180" s="160">
        <f t="shared" si="3"/>
        <v>1</v>
      </c>
      <c r="P180" s="160">
        <f t="shared" ref="P180:Q180" si="190">IF(N180="",0,IF(N180&lt;=2,1,IF(N180&lt;=4,2,IF(N180&lt;=5.5,3,4))))</f>
        <v>1</v>
      </c>
      <c r="Q180" s="160">
        <f t="shared" si="190"/>
        <v>1</v>
      </c>
      <c r="R180" s="160" t="str">
        <f t="shared" si="5"/>
        <v>No Progress</v>
      </c>
      <c r="S180" s="160">
        <f t="shared" si="6"/>
        <v>0</v>
      </c>
      <c r="T180" s="177" t="s">
        <v>962</v>
      </c>
      <c r="U180" s="160">
        <f>COUNTIFS(sheet2!$A:$A,A180,sheet2!$E:$E,E180)</f>
        <v>1</v>
      </c>
      <c r="V180" s="160"/>
      <c r="W180" s="160"/>
      <c r="X180" s="160" t="str">
        <f t="shared" si="7"/>
        <v>#N/A</v>
      </c>
      <c r="Y180" s="160" t="str">
        <f t="shared" si="8"/>
        <v>#N/A</v>
      </c>
      <c r="Z180" s="160" t="str">
        <f t="shared" si="9"/>
        <v>#N/A</v>
      </c>
      <c r="AA180" s="160"/>
      <c r="AB180" s="160"/>
      <c r="AC180" s="160"/>
      <c r="AD180" s="160"/>
      <c r="AE180" s="160"/>
      <c r="AF180" s="160"/>
      <c r="AG180" s="160"/>
      <c r="AH180" s="160"/>
      <c r="AI180" s="160"/>
      <c r="AJ180" s="160"/>
      <c r="AK180" s="160"/>
      <c r="AL180" s="160"/>
      <c r="AM180" s="160"/>
      <c r="AN180" s="164"/>
      <c r="AO180" s="160"/>
      <c r="AP180" s="160" t="str">
        <f t="shared" si="10"/>
        <v>#N/A</v>
      </c>
      <c r="AQ180" s="160" t="str">
        <f t="shared" si="11"/>
        <v>#N/A</v>
      </c>
      <c r="AR180" s="160" t="str">
        <f t="shared" si="12"/>
        <v>#N/A</v>
      </c>
      <c r="AS180" s="160"/>
      <c r="AT180" s="160"/>
      <c r="AU180" s="160"/>
      <c r="AV180" s="160"/>
      <c r="AW180" s="160"/>
      <c r="AX180" s="160"/>
      <c r="AY180" s="160"/>
      <c r="AZ180" s="160"/>
      <c r="BA180" s="160"/>
      <c r="BB180" s="160"/>
      <c r="BC180" s="160"/>
      <c r="BD180" s="160"/>
      <c r="BE180" s="160"/>
      <c r="BF180" s="160"/>
      <c r="BG180" s="160"/>
      <c r="BH180" s="160"/>
      <c r="BI180" s="160"/>
      <c r="BJ180" s="160"/>
      <c r="BK180" s="160"/>
      <c r="BL180" s="160"/>
      <c r="BM180" s="160"/>
      <c r="BN180" s="160"/>
      <c r="BO180" s="160"/>
      <c r="BP180" s="160"/>
      <c r="BQ180" s="160"/>
      <c r="BR180" s="160"/>
      <c r="BS180" s="160"/>
      <c r="BT180" s="160"/>
      <c r="BU180" s="160"/>
      <c r="BV180" s="160"/>
      <c r="BW180" s="160"/>
      <c r="BX180" s="160"/>
      <c r="BY180" s="160"/>
      <c r="BZ180" s="160"/>
      <c r="CA180" s="160"/>
      <c r="CB180" s="160"/>
      <c r="CC180" s="160"/>
      <c r="CD180" s="160"/>
      <c r="CE180" s="160"/>
      <c r="CF180" s="160"/>
      <c r="CG180" s="160"/>
      <c r="CH180" s="160"/>
      <c r="CI180" s="160"/>
      <c r="CJ180" s="160"/>
      <c r="CK180" s="160"/>
      <c r="CL180" s="160"/>
    </row>
    <row r="181">
      <c r="A181" s="174" t="s">
        <v>496</v>
      </c>
      <c r="B181" s="11" t="s">
        <v>497</v>
      </c>
      <c r="C181" s="175" t="s">
        <v>69</v>
      </c>
      <c r="D181" s="176" t="str">
        <f>IFERROR(VLOOKUP(C181, PIC!A:B, 2, 0), "")</f>
        <v>Nhat Phan 2</v>
      </c>
      <c r="E181" s="11" t="s">
        <v>22</v>
      </c>
      <c r="F181" s="16" t="s">
        <v>845</v>
      </c>
      <c r="G181" s="16" t="s">
        <v>858</v>
      </c>
      <c r="H181" s="170">
        <f>IFERROR(
  MINIFS(ATTENDANCE_LOG!$F:$F,
         ATTENDANCE_LOG!$A:$A, C181,
         ATTENDANCE_LOG!$B:$B, E181),
"")</f>
        <v>45663.41667</v>
      </c>
      <c r="I181" s="170">
        <f t="shared" si="2"/>
        <v>45663.41667</v>
      </c>
      <c r="J181" s="11">
        <f>IFERROR(VLOOKUP(F181, LEVEL_HELPER!$A:$B, 2, 0), "")</f>
        <v>2.5</v>
      </c>
      <c r="K181" s="11">
        <f>IFERROR(VLOOKUP(G181, LEVEL_HELPER!$A:$B, 2, 0), "")</f>
        <v>4.5</v>
      </c>
      <c r="L181" s="171" t="s">
        <v>400</v>
      </c>
      <c r="M181" s="171" t="s">
        <v>152</v>
      </c>
      <c r="N181" s="11">
        <f t="array" ref="N181">IFERROR(
  INDEX($J$2:$J$531,
    MATCH(A181&amp;TEXT(I181,"yyyy-mm-dd"),
          $A$2:$A$531&amp;TEXT($H$2:$H$531,"yyyy-mm-dd"),
          0)),
"")</f>
        <v>2.5</v>
      </c>
      <c r="O181" s="160">
        <f t="shared" si="3"/>
        <v>4.5</v>
      </c>
      <c r="P181" s="160">
        <f t="shared" ref="P181:Q181" si="191">IF(N181="",0,IF(N181&lt;=2,1,IF(N181&lt;=4,2,IF(N181&lt;=5.5,3,4))))</f>
        <v>2</v>
      </c>
      <c r="Q181" s="160">
        <f t="shared" si="191"/>
        <v>3</v>
      </c>
      <c r="R181" s="160" t="str">
        <f t="shared" si="5"/>
        <v>Lv2 → Lv3</v>
      </c>
      <c r="S181" s="160">
        <f t="shared" si="6"/>
        <v>1</v>
      </c>
      <c r="T181" s="177" t="s">
        <v>967</v>
      </c>
      <c r="U181" s="160">
        <f>COUNTIFS(sheet2!$A:$A,A181,sheet2!$E:$E,E181)</f>
        <v>1</v>
      </c>
      <c r="V181" s="160"/>
      <c r="W181" s="160"/>
      <c r="X181" s="160" t="str">
        <f t="shared" si="7"/>
        <v>#N/A</v>
      </c>
      <c r="Y181" s="160" t="str">
        <f t="shared" si="8"/>
        <v>#N/A</v>
      </c>
      <c r="Z181" s="160" t="str">
        <f t="shared" si="9"/>
        <v>#N/A</v>
      </c>
      <c r="AA181" s="160"/>
      <c r="AB181" s="160"/>
      <c r="AC181" s="160"/>
      <c r="AD181" s="160"/>
      <c r="AE181" s="160"/>
      <c r="AF181" s="160"/>
      <c r="AG181" s="160"/>
      <c r="AH181" s="160"/>
      <c r="AI181" s="160"/>
      <c r="AJ181" s="160"/>
      <c r="AK181" s="160"/>
      <c r="AL181" s="160"/>
      <c r="AM181" s="160"/>
      <c r="AN181" s="164"/>
      <c r="AO181" s="160"/>
      <c r="AP181" s="160" t="str">
        <f t="shared" si="10"/>
        <v>#N/A</v>
      </c>
      <c r="AQ181" s="160" t="str">
        <f t="shared" si="11"/>
        <v>#N/A</v>
      </c>
      <c r="AR181" s="160" t="str">
        <f t="shared" si="12"/>
        <v>#N/A</v>
      </c>
      <c r="AS181" s="160"/>
      <c r="AT181" s="160"/>
      <c r="AU181" s="160"/>
      <c r="AV181" s="160"/>
      <c r="AW181" s="160"/>
      <c r="AX181" s="160"/>
      <c r="AY181" s="160"/>
      <c r="AZ181" s="160"/>
      <c r="BA181" s="160"/>
      <c r="BB181" s="160"/>
      <c r="BC181" s="160"/>
      <c r="BD181" s="160"/>
      <c r="BE181" s="160"/>
      <c r="BF181" s="160"/>
      <c r="BG181" s="160"/>
      <c r="BH181" s="160"/>
      <c r="BI181" s="160"/>
      <c r="BJ181" s="160"/>
      <c r="BK181" s="160"/>
      <c r="BL181" s="160"/>
      <c r="BM181" s="160"/>
      <c r="BN181" s="160"/>
      <c r="BO181" s="160"/>
      <c r="BP181" s="160"/>
      <c r="BQ181" s="160"/>
      <c r="BR181" s="160"/>
      <c r="BS181" s="160"/>
      <c r="BT181" s="160"/>
      <c r="BU181" s="160"/>
      <c r="BV181" s="160"/>
      <c r="BW181" s="160"/>
      <c r="BX181" s="160"/>
      <c r="BY181" s="160"/>
      <c r="BZ181" s="160"/>
      <c r="CA181" s="160"/>
      <c r="CB181" s="160"/>
      <c r="CC181" s="160"/>
      <c r="CD181" s="160"/>
      <c r="CE181" s="160"/>
      <c r="CF181" s="160"/>
      <c r="CG181" s="160"/>
      <c r="CH181" s="160"/>
      <c r="CI181" s="160"/>
      <c r="CJ181" s="160"/>
      <c r="CK181" s="160"/>
      <c r="CL181" s="160"/>
    </row>
    <row r="182">
      <c r="A182" s="174" t="s">
        <v>486</v>
      </c>
      <c r="B182" s="11" t="s">
        <v>487</v>
      </c>
      <c r="C182" s="175" t="s">
        <v>69</v>
      </c>
      <c r="D182" s="176" t="str">
        <f>IFERROR(VLOOKUP(C182, PIC!A:B, 2, 0), "")</f>
        <v>Nhat Phan 2</v>
      </c>
      <c r="E182" s="11" t="s">
        <v>22</v>
      </c>
      <c r="F182" s="16" t="s">
        <v>849</v>
      </c>
      <c r="G182" s="16" t="s">
        <v>845</v>
      </c>
      <c r="H182" s="170">
        <f>IFERROR(
  MINIFS(ATTENDANCE_LOG!$F:$F,
         ATTENDANCE_LOG!$A:$A, C182,
         ATTENDANCE_LOG!$B:$B, E182),
"")</f>
        <v>45663.41667</v>
      </c>
      <c r="I182" s="170">
        <f t="shared" si="2"/>
        <v>45663.41667</v>
      </c>
      <c r="J182" s="11">
        <f>IFERROR(VLOOKUP(F182, LEVEL_HELPER!$A:$B, 2, 0), "")</f>
        <v>1</v>
      </c>
      <c r="K182" s="11">
        <f>IFERROR(VLOOKUP(G182, LEVEL_HELPER!$A:$B, 2, 0), "")</f>
        <v>2.5</v>
      </c>
      <c r="L182" s="171" t="s">
        <v>400</v>
      </c>
      <c r="M182" s="171" t="s">
        <v>152</v>
      </c>
      <c r="N182" s="11">
        <f t="array" ref="N182">IFERROR(
  INDEX($J$2:$J$531,
    MATCH(A182&amp;TEXT(I182,"yyyy-mm-dd"),
          $A$2:$A$531&amp;TEXT($H$2:$H$531,"yyyy-mm-dd"),
          0)),
"")</f>
        <v>1</v>
      </c>
      <c r="O182" s="160">
        <f t="shared" si="3"/>
        <v>2.5</v>
      </c>
      <c r="P182" s="160">
        <f t="shared" ref="P182:Q182" si="192">IF(N182="",0,IF(N182&lt;=2,1,IF(N182&lt;=4,2,IF(N182&lt;=5.5,3,4))))</f>
        <v>1</v>
      </c>
      <c r="Q182" s="160">
        <f t="shared" si="192"/>
        <v>2</v>
      </c>
      <c r="R182" s="160" t="str">
        <f t="shared" si="5"/>
        <v>Lv1 → Lv2</v>
      </c>
      <c r="S182" s="160">
        <f t="shared" si="6"/>
        <v>0</v>
      </c>
      <c r="T182" s="177" t="s">
        <v>963</v>
      </c>
      <c r="U182" s="160">
        <f>COUNTIFS(sheet2!$A:$A,A182,sheet2!$E:$E,E182)</f>
        <v>1</v>
      </c>
      <c r="V182" s="160"/>
      <c r="W182" s="160"/>
      <c r="X182" s="160" t="str">
        <f t="shared" si="7"/>
        <v>#N/A</v>
      </c>
      <c r="Y182" s="160" t="str">
        <f t="shared" si="8"/>
        <v>#N/A</v>
      </c>
      <c r="Z182" s="160" t="str">
        <f t="shared" si="9"/>
        <v>#N/A</v>
      </c>
      <c r="AA182" s="160"/>
      <c r="AB182" s="160"/>
      <c r="AC182" s="160"/>
      <c r="AD182" s="160"/>
      <c r="AE182" s="160"/>
      <c r="AF182" s="160"/>
      <c r="AG182" s="160"/>
      <c r="AH182" s="160"/>
      <c r="AI182" s="160"/>
      <c r="AJ182" s="160"/>
      <c r="AK182" s="160"/>
      <c r="AL182" s="160"/>
      <c r="AM182" s="160"/>
      <c r="AN182" s="164"/>
      <c r="AO182" s="160"/>
      <c r="AP182" s="160" t="str">
        <f t="shared" si="10"/>
        <v>#N/A</v>
      </c>
      <c r="AQ182" s="160" t="str">
        <f t="shared" si="11"/>
        <v>#N/A</v>
      </c>
      <c r="AR182" s="160" t="str">
        <f t="shared" si="12"/>
        <v>#N/A</v>
      </c>
      <c r="AS182" s="160"/>
      <c r="AT182" s="160"/>
      <c r="AU182" s="160"/>
      <c r="AV182" s="160"/>
      <c r="AW182" s="160"/>
      <c r="AX182" s="160"/>
      <c r="AY182" s="160"/>
      <c r="AZ182" s="160"/>
      <c r="BA182" s="160"/>
      <c r="BB182" s="160"/>
      <c r="BC182" s="160"/>
      <c r="BD182" s="160"/>
      <c r="BE182" s="160"/>
      <c r="BF182" s="160"/>
      <c r="BG182" s="160"/>
      <c r="BH182" s="160"/>
      <c r="BI182" s="160"/>
      <c r="BJ182" s="160"/>
      <c r="BK182" s="160"/>
      <c r="BL182" s="160"/>
      <c r="BM182" s="160"/>
      <c r="BN182" s="160"/>
      <c r="BO182" s="160"/>
      <c r="BP182" s="160"/>
      <c r="BQ182" s="160"/>
      <c r="BR182" s="160"/>
      <c r="BS182" s="160"/>
      <c r="BT182" s="160"/>
      <c r="BU182" s="160"/>
      <c r="BV182" s="160"/>
      <c r="BW182" s="160"/>
      <c r="BX182" s="160"/>
      <c r="BY182" s="160"/>
      <c r="BZ182" s="160"/>
      <c r="CA182" s="160"/>
      <c r="CB182" s="160"/>
      <c r="CC182" s="160"/>
      <c r="CD182" s="160"/>
      <c r="CE182" s="160"/>
      <c r="CF182" s="160"/>
      <c r="CG182" s="160"/>
      <c r="CH182" s="160"/>
      <c r="CI182" s="160"/>
      <c r="CJ182" s="160"/>
      <c r="CK182" s="160"/>
      <c r="CL182" s="160"/>
    </row>
    <row r="183">
      <c r="A183" s="174" t="s">
        <v>490</v>
      </c>
      <c r="B183" s="11" t="s">
        <v>491</v>
      </c>
      <c r="C183" s="175" t="s">
        <v>69</v>
      </c>
      <c r="D183" s="176" t="str">
        <f>IFERROR(VLOOKUP(C183, PIC!A:B, 2, 0), "")</f>
        <v>Nhat Phan 2</v>
      </c>
      <c r="E183" s="11" t="s">
        <v>22</v>
      </c>
      <c r="F183" s="16" t="s">
        <v>845</v>
      </c>
      <c r="G183" s="16" t="s">
        <v>845</v>
      </c>
      <c r="H183" s="170">
        <f>IFERROR(
  MINIFS(ATTENDANCE_LOG!$F:$F,
         ATTENDANCE_LOG!$A:$A, C183,
         ATTENDANCE_LOG!$B:$B, E183),
"")</f>
        <v>45663.41667</v>
      </c>
      <c r="I183" s="170">
        <f t="shared" si="2"/>
        <v>45663.41667</v>
      </c>
      <c r="J183" s="11">
        <f>IFERROR(VLOOKUP(F183, LEVEL_HELPER!$A:$B, 2, 0), "")</f>
        <v>2.5</v>
      </c>
      <c r="K183" s="11">
        <f>IFERROR(VLOOKUP(G183, LEVEL_HELPER!$A:$B, 2, 0), "")</f>
        <v>2.5</v>
      </c>
      <c r="L183" s="171" t="s">
        <v>400</v>
      </c>
      <c r="M183" s="171" t="s">
        <v>152</v>
      </c>
      <c r="N183" s="11">
        <f t="array" ref="N183">IFERROR(
  INDEX($J$2:$J$531,
    MATCH(A183&amp;TEXT(I183,"yyyy-mm-dd"),
          $A$2:$A$531&amp;TEXT($H$2:$H$531,"yyyy-mm-dd"),
          0)),
"")</f>
        <v>2.5</v>
      </c>
      <c r="O183" s="160">
        <f t="shared" si="3"/>
        <v>2.5</v>
      </c>
      <c r="P183" s="160">
        <f t="shared" ref="P183:Q183" si="193">IF(N183="",0,IF(N183&lt;=2,1,IF(N183&lt;=4,2,IF(N183&lt;=5.5,3,4))))</f>
        <v>2</v>
      </c>
      <c r="Q183" s="160">
        <f t="shared" si="193"/>
        <v>2</v>
      </c>
      <c r="R183" s="160" t="str">
        <f t="shared" si="5"/>
        <v>No Progress</v>
      </c>
      <c r="S183" s="160">
        <f t="shared" si="6"/>
        <v>0</v>
      </c>
      <c r="T183" s="177" t="s">
        <v>964</v>
      </c>
      <c r="U183" s="160">
        <f>COUNTIFS(sheet2!$A:$A,A183,sheet2!$E:$E,E183)</f>
        <v>1</v>
      </c>
      <c r="V183" s="160"/>
      <c r="W183" s="160"/>
      <c r="X183" s="160" t="str">
        <f t="shared" si="7"/>
        <v>#N/A</v>
      </c>
      <c r="Y183" s="160" t="str">
        <f t="shared" si="8"/>
        <v>#N/A</v>
      </c>
      <c r="Z183" s="160" t="str">
        <f t="shared" si="9"/>
        <v>#N/A</v>
      </c>
      <c r="AA183" s="160"/>
      <c r="AB183" s="160"/>
      <c r="AC183" s="160"/>
      <c r="AD183" s="160"/>
      <c r="AE183" s="160"/>
      <c r="AF183" s="160"/>
      <c r="AG183" s="160"/>
      <c r="AH183" s="160"/>
      <c r="AI183" s="160"/>
      <c r="AJ183" s="160"/>
      <c r="AK183" s="160"/>
      <c r="AL183" s="160"/>
      <c r="AM183" s="160"/>
      <c r="AN183" s="164"/>
      <c r="AO183" s="160"/>
      <c r="AP183" s="160" t="str">
        <f t="shared" si="10"/>
        <v>#N/A</v>
      </c>
      <c r="AQ183" s="160" t="str">
        <f t="shared" si="11"/>
        <v>#N/A</v>
      </c>
      <c r="AR183" s="160" t="str">
        <f t="shared" si="12"/>
        <v>#N/A</v>
      </c>
      <c r="AS183" s="160"/>
      <c r="AT183" s="160"/>
      <c r="AU183" s="160"/>
      <c r="AV183" s="160"/>
      <c r="AW183" s="160"/>
      <c r="AX183" s="160"/>
      <c r="AY183" s="160"/>
      <c r="AZ183" s="160"/>
      <c r="BA183" s="160"/>
      <c r="BB183" s="160"/>
      <c r="BC183" s="160"/>
      <c r="BD183" s="160"/>
      <c r="BE183" s="160"/>
      <c r="BF183" s="160"/>
      <c r="BG183" s="160"/>
      <c r="BH183" s="160"/>
      <c r="BI183" s="160"/>
      <c r="BJ183" s="160"/>
      <c r="BK183" s="160"/>
      <c r="BL183" s="160"/>
      <c r="BM183" s="160"/>
      <c r="BN183" s="160"/>
      <c r="BO183" s="160"/>
      <c r="BP183" s="160"/>
      <c r="BQ183" s="160"/>
      <c r="BR183" s="160"/>
      <c r="BS183" s="160"/>
      <c r="BT183" s="160"/>
      <c r="BU183" s="160"/>
      <c r="BV183" s="160"/>
      <c r="BW183" s="160"/>
      <c r="BX183" s="160"/>
      <c r="BY183" s="160"/>
      <c r="BZ183" s="160"/>
      <c r="CA183" s="160"/>
      <c r="CB183" s="160"/>
      <c r="CC183" s="160"/>
      <c r="CD183" s="160"/>
      <c r="CE183" s="160"/>
      <c r="CF183" s="160"/>
      <c r="CG183" s="160"/>
      <c r="CH183" s="160"/>
      <c r="CI183" s="160"/>
      <c r="CJ183" s="160"/>
      <c r="CK183" s="160"/>
      <c r="CL183" s="160"/>
    </row>
    <row r="184">
      <c r="A184" s="166" t="s">
        <v>565</v>
      </c>
      <c r="B184" s="167" t="s">
        <v>566</v>
      </c>
      <c r="C184" s="168" t="s">
        <v>70</v>
      </c>
      <c r="D184" s="169" t="str">
        <f>IFERROR(VLOOKUP(C184, PIC!A:B, 2, 0), "")</f>
        <v>Qui Em</v>
      </c>
      <c r="E184" s="167" t="s">
        <v>22</v>
      </c>
      <c r="F184" s="16" t="s">
        <v>849</v>
      </c>
      <c r="G184" s="16" t="s">
        <v>861</v>
      </c>
      <c r="H184" s="170">
        <f>IFERROR(
  MINIFS(ATTENDANCE_LOG!$F:$F,
         ATTENDANCE_LOG!$A:$A, C184,
         ATTENDANCE_LOG!$B:$B, E184),
"")</f>
        <v>45638.41667</v>
      </c>
      <c r="I184" s="170">
        <f t="shared" si="2"/>
        <v>45638.41667</v>
      </c>
      <c r="J184" s="11">
        <f>IFERROR(VLOOKUP(F184, LEVEL_HELPER!$A:$B, 2, 0), "")</f>
        <v>1</v>
      </c>
      <c r="K184" s="11">
        <f>IFERROR(VLOOKUP(G184, LEVEL_HELPER!$A:$B, 2, 0), "")</f>
        <v>3.5</v>
      </c>
      <c r="L184" s="171" t="s">
        <v>400</v>
      </c>
      <c r="M184" s="171" t="s">
        <v>154</v>
      </c>
      <c r="N184" s="11">
        <f t="array" ref="N184">IFERROR(
  INDEX($J$2:$J$531,
    MATCH(A184&amp;TEXT(I184,"yyyy-mm-dd"),
          $A$2:$A$531&amp;TEXT($H$2:$H$531,"yyyy-mm-dd"),
          0)),
"")</f>
        <v>1</v>
      </c>
      <c r="O184" s="160">
        <f t="shared" si="3"/>
        <v>3.5</v>
      </c>
      <c r="P184" s="160">
        <f t="shared" ref="P184:Q184" si="194">IF(N184="",0,IF(N184&lt;=2,1,IF(N184&lt;=4,2,IF(N184&lt;=5.5,3,4))))</f>
        <v>1</v>
      </c>
      <c r="Q184" s="160">
        <f t="shared" si="194"/>
        <v>2</v>
      </c>
      <c r="R184" s="160" t="str">
        <f t="shared" si="5"/>
        <v>Lv1 → Lv2</v>
      </c>
      <c r="S184" s="160">
        <f t="shared" si="6"/>
        <v>1</v>
      </c>
      <c r="T184" s="172" t="s">
        <v>968</v>
      </c>
      <c r="U184" s="160">
        <f>COUNTIFS(sheet2!$A:$A,A184,sheet2!$E:$E,E184)</f>
        <v>1</v>
      </c>
      <c r="V184" s="160"/>
      <c r="W184" s="160"/>
      <c r="X184" s="160" t="str">
        <f t="shared" si="7"/>
        <v>#N/A</v>
      </c>
      <c r="Y184" s="160" t="str">
        <f t="shared" si="8"/>
        <v>#N/A</v>
      </c>
      <c r="Z184" s="160" t="str">
        <f t="shared" si="9"/>
        <v>#N/A</v>
      </c>
      <c r="AA184" s="160"/>
      <c r="AB184" s="160"/>
      <c r="AC184" s="160"/>
      <c r="AD184" s="160"/>
      <c r="AE184" s="160"/>
      <c r="AF184" s="160"/>
      <c r="AG184" s="160"/>
      <c r="AH184" s="160"/>
      <c r="AI184" s="160"/>
      <c r="AJ184" s="160"/>
      <c r="AK184" s="160"/>
      <c r="AL184" s="160"/>
      <c r="AM184" s="160"/>
      <c r="AN184" s="164"/>
      <c r="AO184" s="160"/>
      <c r="AP184" s="160" t="str">
        <f t="shared" si="10"/>
        <v>#N/A</v>
      </c>
      <c r="AQ184" s="160" t="str">
        <f t="shared" si="11"/>
        <v>#N/A</v>
      </c>
      <c r="AR184" s="160" t="str">
        <f t="shared" si="12"/>
        <v>#N/A</v>
      </c>
      <c r="AS184" s="160"/>
      <c r="AT184" s="160"/>
      <c r="AU184" s="160"/>
      <c r="AV184" s="160"/>
      <c r="AW184" s="160"/>
      <c r="AX184" s="160"/>
      <c r="AY184" s="160"/>
      <c r="AZ184" s="160"/>
      <c r="BA184" s="160"/>
      <c r="BB184" s="160"/>
      <c r="BC184" s="160"/>
      <c r="BD184" s="160"/>
      <c r="BE184" s="160"/>
      <c r="BF184" s="160"/>
      <c r="BG184" s="160"/>
      <c r="BH184" s="160"/>
      <c r="BI184" s="160"/>
      <c r="BJ184" s="160"/>
      <c r="BK184" s="160"/>
      <c r="BL184" s="160"/>
      <c r="BM184" s="160"/>
      <c r="BN184" s="160"/>
      <c r="BO184" s="160"/>
      <c r="BP184" s="160"/>
      <c r="BQ184" s="160"/>
      <c r="BR184" s="160"/>
      <c r="BS184" s="160"/>
      <c r="BT184" s="160"/>
      <c r="BU184" s="160"/>
      <c r="BV184" s="160"/>
      <c r="BW184" s="160"/>
      <c r="BX184" s="160"/>
      <c r="BY184" s="160"/>
      <c r="BZ184" s="160"/>
      <c r="CA184" s="160"/>
      <c r="CB184" s="160"/>
      <c r="CC184" s="160"/>
      <c r="CD184" s="160"/>
      <c r="CE184" s="160"/>
      <c r="CF184" s="160"/>
      <c r="CG184" s="160"/>
      <c r="CH184" s="160"/>
      <c r="CI184" s="160"/>
      <c r="CJ184" s="160"/>
      <c r="CK184" s="160"/>
      <c r="CL184" s="160"/>
    </row>
    <row r="185">
      <c r="A185" s="174" t="s">
        <v>461</v>
      </c>
      <c r="B185" s="11" t="s">
        <v>462</v>
      </c>
      <c r="C185" s="175" t="s">
        <v>70</v>
      </c>
      <c r="D185" s="176" t="str">
        <f>IFERROR(VLOOKUP(C185, PIC!A:B, 2, 0), "")</f>
        <v>Qui Em</v>
      </c>
      <c r="E185" s="11" t="s">
        <v>22</v>
      </c>
      <c r="F185" s="16" t="s">
        <v>849</v>
      </c>
      <c r="G185" s="16" t="s">
        <v>853</v>
      </c>
      <c r="H185" s="170">
        <f>IFERROR(
  MINIFS(ATTENDANCE_LOG!$F:$F,
         ATTENDANCE_LOG!$A:$A, C185,
         ATTENDANCE_LOG!$B:$B, E185),
"")</f>
        <v>45638.41667</v>
      </c>
      <c r="I185" s="170">
        <f t="shared" si="2"/>
        <v>45638.41667</v>
      </c>
      <c r="J185" s="11">
        <f>IFERROR(VLOOKUP(F185, LEVEL_HELPER!$A:$B, 2, 0), "")</f>
        <v>1</v>
      </c>
      <c r="K185" s="11">
        <f>IFERROR(VLOOKUP(G185, LEVEL_HELPER!$A:$B, 2, 0), "")</f>
        <v>1.5</v>
      </c>
      <c r="L185" s="171" t="s">
        <v>847</v>
      </c>
      <c r="M185" s="171" t="s">
        <v>150</v>
      </c>
      <c r="N185" s="11">
        <f t="array" ref="N185">IFERROR(
  INDEX($J$2:$J$531,
    MATCH(A185&amp;TEXT(I185,"yyyy-mm-dd"),
          $A$2:$A$531&amp;TEXT($H$2:$H$531,"yyyy-mm-dd"),
          0)),
"")</f>
        <v>1</v>
      </c>
      <c r="O185" s="160">
        <f t="shared" si="3"/>
        <v>1.5</v>
      </c>
      <c r="P185" s="160">
        <f t="shared" ref="P185:Q185" si="195">IF(N185="",0,IF(N185&lt;=2,1,IF(N185&lt;=4,2,IF(N185&lt;=5.5,3,4))))</f>
        <v>1</v>
      </c>
      <c r="Q185" s="160">
        <f t="shared" si="195"/>
        <v>1</v>
      </c>
      <c r="R185" s="160" t="str">
        <f t="shared" si="5"/>
        <v>Progress within level</v>
      </c>
      <c r="S185" s="160">
        <f t="shared" si="6"/>
        <v>0</v>
      </c>
      <c r="T185" s="177" t="s">
        <v>907</v>
      </c>
      <c r="U185" s="160">
        <f>COUNTIFS(sheet2!$A:$A,A185,sheet2!$E:$E,E185)</f>
        <v>1</v>
      </c>
      <c r="V185" s="160"/>
      <c r="W185" s="160"/>
      <c r="X185" s="160" t="str">
        <f t="shared" si="7"/>
        <v>#N/A</v>
      </c>
      <c r="Y185" s="160" t="str">
        <f t="shared" si="8"/>
        <v>#N/A</v>
      </c>
      <c r="Z185" s="160" t="str">
        <f t="shared" si="9"/>
        <v>#N/A</v>
      </c>
      <c r="AA185" s="160"/>
      <c r="AB185" s="160"/>
      <c r="AC185" s="160"/>
      <c r="AD185" s="160"/>
      <c r="AE185" s="160"/>
      <c r="AF185" s="160"/>
      <c r="AG185" s="160"/>
      <c r="AH185" s="160"/>
      <c r="AI185" s="160"/>
      <c r="AJ185" s="160"/>
      <c r="AK185" s="160"/>
      <c r="AL185" s="160"/>
      <c r="AM185" s="160"/>
      <c r="AN185" s="164"/>
      <c r="AO185" s="160"/>
      <c r="AP185" s="160" t="str">
        <f t="shared" si="10"/>
        <v>#N/A</v>
      </c>
      <c r="AQ185" s="160" t="str">
        <f t="shared" si="11"/>
        <v>#N/A</v>
      </c>
      <c r="AR185" s="160" t="str">
        <f t="shared" si="12"/>
        <v>#N/A</v>
      </c>
      <c r="AS185" s="160"/>
      <c r="AT185" s="160"/>
      <c r="AU185" s="160"/>
      <c r="AV185" s="160"/>
      <c r="AW185" s="160"/>
      <c r="AX185" s="160"/>
      <c r="AY185" s="160"/>
      <c r="AZ185" s="160"/>
      <c r="BA185" s="160"/>
      <c r="BB185" s="160"/>
      <c r="BC185" s="160"/>
      <c r="BD185" s="160"/>
      <c r="BE185" s="160"/>
      <c r="BF185" s="160"/>
      <c r="BG185" s="160"/>
      <c r="BH185" s="160"/>
      <c r="BI185" s="160"/>
      <c r="BJ185" s="160"/>
      <c r="BK185" s="160"/>
      <c r="BL185" s="160"/>
      <c r="BM185" s="160"/>
      <c r="BN185" s="160"/>
      <c r="BO185" s="160"/>
      <c r="BP185" s="160"/>
      <c r="BQ185" s="160"/>
      <c r="BR185" s="160"/>
      <c r="BS185" s="160"/>
      <c r="BT185" s="160"/>
      <c r="BU185" s="160"/>
      <c r="BV185" s="160"/>
      <c r="BW185" s="160"/>
      <c r="BX185" s="160"/>
      <c r="BY185" s="160"/>
      <c r="BZ185" s="160"/>
      <c r="CA185" s="160"/>
      <c r="CB185" s="160"/>
      <c r="CC185" s="160"/>
      <c r="CD185" s="160"/>
      <c r="CE185" s="160"/>
      <c r="CF185" s="160"/>
      <c r="CG185" s="160"/>
      <c r="CH185" s="160"/>
      <c r="CI185" s="160"/>
      <c r="CJ185" s="160"/>
      <c r="CK185" s="160"/>
      <c r="CL185" s="160"/>
    </row>
    <row r="186">
      <c r="A186" s="174" t="s">
        <v>474</v>
      </c>
      <c r="B186" s="11" t="s">
        <v>475</v>
      </c>
      <c r="C186" s="175" t="s">
        <v>70</v>
      </c>
      <c r="D186" s="176" t="str">
        <f>IFERROR(VLOOKUP(C186, PIC!A:B, 2, 0), "")</f>
        <v>Qui Em</v>
      </c>
      <c r="E186" s="11" t="s">
        <v>22</v>
      </c>
      <c r="F186" s="16" t="s">
        <v>849</v>
      </c>
      <c r="G186" s="16" t="s">
        <v>861</v>
      </c>
      <c r="H186" s="170">
        <f>IFERROR(
  MINIFS(ATTENDANCE_LOG!$F:$F,
         ATTENDANCE_LOG!$A:$A, C186,
         ATTENDANCE_LOG!$B:$B, E186),
"")</f>
        <v>45638.41667</v>
      </c>
      <c r="I186" s="170">
        <f t="shared" si="2"/>
        <v>45638.41667</v>
      </c>
      <c r="J186" s="11">
        <f>IFERROR(VLOOKUP(F186, LEVEL_HELPER!$A:$B, 2, 0), "")</f>
        <v>1</v>
      </c>
      <c r="K186" s="11">
        <f>IFERROR(VLOOKUP(G186, LEVEL_HELPER!$A:$B, 2, 0), "")</f>
        <v>3.5</v>
      </c>
      <c r="L186" s="171" t="s">
        <v>400</v>
      </c>
      <c r="M186" s="171" t="s">
        <v>154</v>
      </c>
      <c r="N186" s="11">
        <f t="array" ref="N186">IFERROR(
  INDEX($J$2:$J$531,
    MATCH(A186&amp;TEXT(I186,"yyyy-mm-dd"),
          $A$2:$A$531&amp;TEXT($H$2:$H$531,"yyyy-mm-dd"),
          0)),
"")</f>
        <v>1</v>
      </c>
      <c r="O186" s="160">
        <f t="shared" si="3"/>
        <v>3.5</v>
      </c>
      <c r="P186" s="160">
        <f t="shared" ref="P186:Q186" si="196">IF(N186="",0,IF(N186&lt;=2,1,IF(N186&lt;=4,2,IF(N186&lt;=5.5,3,4))))</f>
        <v>1</v>
      </c>
      <c r="Q186" s="160">
        <f t="shared" si="196"/>
        <v>2</v>
      </c>
      <c r="R186" s="160" t="str">
        <f t="shared" si="5"/>
        <v>Lv1 → Lv2</v>
      </c>
      <c r="S186" s="160">
        <f t="shared" si="6"/>
        <v>0</v>
      </c>
      <c r="T186" s="177" t="s">
        <v>908</v>
      </c>
      <c r="U186" s="160">
        <f>COUNTIFS(sheet2!$A:$A,A186,sheet2!$E:$E,E186)</f>
        <v>1</v>
      </c>
      <c r="V186" s="160"/>
      <c r="W186" s="160"/>
      <c r="X186" s="160" t="str">
        <f t="shared" si="7"/>
        <v>#N/A</v>
      </c>
      <c r="Y186" s="160" t="str">
        <f t="shared" si="8"/>
        <v>#N/A</v>
      </c>
      <c r="Z186" s="160" t="str">
        <f t="shared" si="9"/>
        <v>#N/A</v>
      </c>
      <c r="AA186" s="160"/>
      <c r="AB186" s="160"/>
      <c r="AC186" s="160"/>
      <c r="AD186" s="160"/>
      <c r="AE186" s="160"/>
      <c r="AF186" s="160"/>
      <c r="AG186" s="160"/>
      <c r="AH186" s="160"/>
      <c r="AI186" s="160"/>
      <c r="AJ186" s="160"/>
      <c r="AK186" s="160"/>
      <c r="AL186" s="160"/>
      <c r="AM186" s="160"/>
      <c r="AN186" s="164"/>
      <c r="AO186" s="160"/>
      <c r="AP186" s="160" t="str">
        <f t="shared" si="10"/>
        <v>#N/A</v>
      </c>
      <c r="AQ186" s="160" t="str">
        <f t="shared" si="11"/>
        <v>#N/A</v>
      </c>
      <c r="AR186" s="160" t="str">
        <f t="shared" si="12"/>
        <v>#N/A</v>
      </c>
      <c r="AS186" s="160"/>
      <c r="AT186" s="160"/>
      <c r="AU186" s="160"/>
      <c r="AV186" s="160"/>
      <c r="AW186" s="160"/>
      <c r="AX186" s="160"/>
      <c r="AY186" s="160"/>
      <c r="AZ186" s="160"/>
      <c r="BA186" s="160"/>
      <c r="BB186" s="160"/>
      <c r="BC186" s="160"/>
      <c r="BD186" s="160"/>
      <c r="BE186" s="160"/>
      <c r="BF186" s="160"/>
      <c r="BG186" s="160"/>
      <c r="BH186" s="160"/>
      <c r="BI186" s="160"/>
      <c r="BJ186" s="160"/>
      <c r="BK186" s="160"/>
      <c r="BL186" s="160"/>
      <c r="BM186" s="160"/>
      <c r="BN186" s="160"/>
      <c r="BO186" s="160"/>
      <c r="BP186" s="160"/>
      <c r="BQ186" s="160"/>
      <c r="BR186" s="160"/>
      <c r="BS186" s="160"/>
      <c r="BT186" s="160"/>
      <c r="BU186" s="160"/>
      <c r="BV186" s="160"/>
      <c r="BW186" s="160"/>
      <c r="BX186" s="160"/>
      <c r="BY186" s="160"/>
      <c r="BZ186" s="160"/>
      <c r="CA186" s="160"/>
      <c r="CB186" s="160"/>
      <c r="CC186" s="160"/>
      <c r="CD186" s="160"/>
      <c r="CE186" s="160"/>
      <c r="CF186" s="160"/>
      <c r="CG186" s="160"/>
      <c r="CH186" s="160"/>
      <c r="CI186" s="160"/>
      <c r="CJ186" s="160"/>
      <c r="CK186" s="160"/>
      <c r="CL186" s="160"/>
    </row>
    <row r="187">
      <c r="A187" s="174" t="s">
        <v>464</v>
      </c>
      <c r="B187" s="11" t="s">
        <v>465</v>
      </c>
      <c r="C187" s="175" t="s">
        <v>70</v>
      </c>
      <c r="D187" s="176" t="str">
        <f>IFERROR(VLOOKUP(C187, PIC!A:B, 2, 0), "")</f>
        <v>Qui Em</v>
      </c>
      <c r="E187" s="11" t="s">
        <v>22</v>
      </c>
      <c r="F187" s="16" t="s">
        <v>849</v>
      </c>
      <c r="G187" s="16" t="s">
        <v>861</v>
      </c>
      <c r="H187" s="170">
        <f>IFERROR(
  MINIFS(ATTENDANCE_LOG!$F:$F,
         ATTENDANCE_LOG!$A:$A, C187,
         ATTENDANCE_LOG!$B:$B, E187),
"")</f>
        <v>45638.41667</v>
      </c>
      <c r="I187" s="170">
        <f t="shared" si="2"/>
        <v>45638.41667</v>
      </c>
      <c r="J187" s="11">
        <f>IFERROR(VLOOKUP(F187, LEVEL_HELPER!$A:$B, 2, 0), "")</f>
        <v>1</v>
      </c>
      <c r="K187" s="11">
        <f>IFERROR(VLOOKUP(G187, LEVEL_HELPER!$A:$B, 2, 0), "")</f>
        <v>3.5</v>
      </c>
      <c r="L187" s="171" t="s">
        <v>847</v>
      </c>
      <c r="M187" s="171" t="s">
        <v>150</v>
      </c>
      <c r="N187" s="11">
        <f t="array" ref="N187">IFERROR(
  INDEX($J$2:$J$531,
    MATCH(A187&amp;TEXT(I187,"yyyy-mm-dd"),
          $A$2:$A$531&amp;TEXT($H$2:$H$531,"yyyy-mm-dd"),
          0)),
"")</f>
        <v>1</v>
      </c>
      <c r="O187" s="160">
        <f t="shared" si="3"/>
        <v>3.5</v>
      </c>
      <c r="P187" s="160">
        <f t="shared" ref="P187:Q187" si="197">IF(N187="",0,IF(N187&lt;=2,1,IF(N187&lt;=4,2,IF(N187&lt;=5.5,3,4))))</f>
        <v>1</v>
      </c>
      <c r="Q187" s="160">
        <f t="shared" si="197"/>
        <v>2</v>
      </c>
      <c r="R187" s="160" t="str">
        <f t="shared" si="5"/>
        <v>Lv1 → Lv2</v>
      </c>
      <c r="S187" s="160">
        <f t="shared" si="6"/>
        <v>0</v>
      </c>
      <c r="T187" s="177" t="s">
        <v>909</v>
      </c>
      <c r="U187" s="160">
        <f>COUNTIFS(sheet2!$A:$A,A187,sheet2!$E:$E,E187)</f>
        <v>1</v>
      </c>
      <c r="V187" s="160"/>
      <c r="W187" s="160"/>
      <c r="X187" s="160" t="str">
        <f t="shared" si="7"/>
        <v>#N/A</v>
      </c>
      <c r="Y187" s="160" t="str">
        <f t="shared" si="8"/>
        <v>#N/A</v>
      </c>
      <c r="Z187" s="160" t="str">
        <f t="shared" si="9"/>
        <v>#N/A</v>
      </c>
      <c r="AA187" s="160"/>
      <c r="AB187" s="160"/>
      <c r="AC187" s="160"/>
      <c r="AD187" s="160"/>
      <c r="AE187" s="160"/>
      <c r="AF187" s="160"/>
      <c r="AG187" s="160"/>
      <c r="AH187" s="160"/>
      <c r="AI187" s="160"/>
      <c r="AJ187" s="160"/>
      <c r="AK187" s="160"/>
      <c r="AL187" s="160"/>
      <c r="AM187" s="160"/>
      <c r="AN187" s="164"/>
      <c r="AO187" s="160"/>
      <c r="AP187" s="160" t="str">
        <f t="shared" si="10"/>
        <v>#N/A</v>
      </c>
      <c r="AQ187" s="160" t="str">
        <f t="shared" si="11"/>
        <v>#N/A</v>
      </c>
      <c r="AR187" s="160" t="str">
        <f t="shared" si="12"/>
        <v>#N/A</v>
      </c>
      <c r="AS187" s="160"/>
      <c r="AT187" s="160"/>
      <c r="AU187" s="160"/>
      <c r="AV187" s="160"/>
      <c r="AW187" s="160"/>
      <c r="AX187" s="160"/>
      <c r="AY187" s="160"/>
      <c r="AZ187" s="160"/>
      <c r="BA187" s="160"/>
      <c r="BB187" s="160"/>
      <c r="BC187" s="160"/>
      <c r="BD187" s="160"/>
      <c r="BE187" s="160"/>
      <c r="BF187" s="160"/>
      <c r="BG187" s="160"/>
      <c r="BH187" s="160"/>
      <c r="BI187" s="160"/>
      <c r="BJ187" s="160"/>
      <c r="BK187" s="160"/>
      <c r="BL187" s="160"/>
      <c r="BM187" s="160"/>
      <c r="BN187" s="160"/>
      <c r="BO187" s="160"/>
      <c r="BP187" s="160"/>
      <c r="BQ187" s="160"/>
      <c r="BR187" s="160"/>
      <c r="BS187" s="160"/>
      <c r="BT187" s="160"/>
      <c r="BU187" s="160"/>
      <c r="BV187" s="160"/>
      <c r="BW187" s="160"/>
      <c r="BX187" s="160"/>
      <c r="BY187" s="160"/>
      <c r="BZ187" s="160"/>
      <c r="CA187" s="160"/>
      <c r="CB187" s="160"/>
      <c r="CC187" s="160"/>
      <c r="CD187" s="160"/>
      <c r="CE187" s="160"/>
      <c r="CF187" s="160"/>
      <c r="CG187" s="160"/>
      <c r="CH187" s="160"/>
      <c r="CI187" s="160"/>
      <c r="CJ187" s="160"/>
      <c r="CK187" s="160"/>
      <c r="CL187" s="160"/>
    </row>
    <row r="188">
      <c r="A188" s="174" t="s">
        <v>561</v>
      </c>
      <c r="B188" s="11" t="s">
        <v>562</v>
      </c>
      <c r="C188" s="175" t="s">
        <v>70</v>
      </c>
      <c r="D188" s="176" t="str">
        <f>IFERROR(VLOOKUP(C188, PIC!A:B, 2, 0), "")</f>
        <v>Qui Em</v>
      </c>
      <c r="E188" s="11" t="s">
        <v>22</v>
      </c>
      <c r="F188" s="16" t="s">
        <v>849</v>
      </c>
      <c r="G188" s="16" t="s">
        <v>846</v>
      </c>
      <c r="H188" s="170">
        <f>IFERROR(
  MINIFS(ATTENDANCE_LOG!$F:$F,
         ATTENDANCE_LOG!$A:$A, C188,
         ATTENDANCE_LOG!$B:$B, E188),
"")</f>
        <v>45638.41667</v>
      </c>
      <c r="I188" s="170">
        <f t="shared" si="2"/>
        <v>45638.41667</v>
      </c>
      <c r="J188" s="11">
        <f>IFERROR(VLOOKUP(F188, LEVEL_HELPER!$A:$B, 2, 0), "")</f>
        <v>1</v>
      </c>
      <c r="K188" s="11">
        <f>IFERROR(VLOOKUP(G188, LEVEL_HELPER!$A:$B, 2, 0), "")</f>
        <v>3</v>
      </c>
      <c r="L188" s="171" t="s">
        <v>400</v>
      </c>
      <c r="M188" s="171" t="s">
        <v>150</v>
      </c>
      <c r="N188" s="11">
        <f t="array" ref="N188">IFERROR(
  INDEX($J$2:$J$531,
    MATCH(A188&amp;TEXT(I188,"yyyy-mm-dd"),
          $A$2:$A$531&amp;TEXT($H$2:$H$531,"yyyy-mm-dd"),
          0)),
"")</f>
        <v>1</v>
      </c>
      <c r="O188" s="160">
        <f t="shared" si="3"/>
        <v>3</v>
      </c>
      <c r="P188" s="160">
        <f t="shared" ref="P188:Q188" si="198">IF(N188="",0,IF(N188&lt;=2,1,IF(N188&lt;=4,2,IF(N188&lt;=5.5,3,4))))</f>
        <v>1</v>
      </c>
      <c r="Q188" s="160">
        <f t="shared" si="198"/>
        <v>2</v>
      </c>
      <c r="R188" s="160" t="str">
        <f t="shared" si="5"/>
        <v>Lv1 → Lv2</v>
      </c>
      <c r="S188" s="160">
        <f t="shared" si="6"/>
        <v>1</v>
      </c>
      <c r="T188" s="177" t="s">
        <v>969</v>
      </c>
      <c r="U188" s="160">
        <f>COUNTIFS(sheet2!$A:$A,A188,sheet2!$E:$E,E188)</f>
        <v>1</v>
      </c>
      <c r="V188" s="160"/>
      <c r="W188" s="160"/>
      <c r="X188" s="160" t="str">
        <f t="shared" si="7"/>
        <v>#N/A</v>
      </c>
      <c r="Y188" s="160" t="str">
        <f t="shared" si="8"/>
        <v>#N/A</v>
      </c>
      <c r="Z188" s="160" t="str">
        <f t="shared" si="9"/>
        <v>#N/A</v>
      </c>
      <c r="AA188" s="160"/>
      <c r="AB188" s="160"/>
      <c r="AC188" s="160"/>
      <c r="AD188" s="160"/>
      <c r="AE188" s="160"/>
      <c r="AF188" s="160"/>
      <c r="AG188" s="160"/>
      <c r="AH188" s="160"/>
      <c r="AI188" s="160"/>
      <c r="AJ188" s="160"/>
      <c r="AK188" s="160"/>
      <c r="AL188" s="160"/>
      <c r="AM188" s="160"/>
      <c r="AN188" s="164"/>
      <c r="AO188" s="160"/>
      <c r="AP188" s="160" t="str">
        <f t="shared" si="10"/>
        <v>#N/A</v>
      </c>
      <c r="AQ188" s="160" t="str">
        <f t="shared" si="11"/>
        <v>#N/A</v>
      </c>
      <c r="AR188" s="160" t="str">
        <f t="shared" si="12"/>
        <v>#N/A</v>
      </c>
      <c r="AS188" s="160"/>
      <c r="AT188" s="160"/>
      <c r="AU188" s="160"/>
      <c r="AV188" s="160"/>
      <c r="AW188" s="160"/>
      <c r="AX188" s="160"/>
      <c r="AY188" s="160"/>
      <c r="AZ188" s="160"/>
      <c r="BA188" s="160"/>
      <c r="BB188" s="160"/>
      <c r="BC188" s="160"/>
      <c r="BD188" s="160"/>
      <c r="BE188" s="160"/>
      <c r="BF188" s="160"/>
      <c r="BG188" s="160"/>
      <c r="BH188" s="160"/>
      <c r="BI188" s="160"/>
      <c r="BJ188" s="160"/>
      <c r="BK188" s="160"/>
      <c r="BL188" s="160"/>
      <c r="BM188" s="160"/>
      <c r="BN188" s="160"/>
      <c r="BO188" s="160"/>
      <c r="BP188" s="160"/>
      <c r="BQ188" s="160"/>
      <c r="BR188" s="160"/>
      <c r="BS188" s="160"/>
      <c r="BT188" s="160"/>
      <c r="BU188" s="160"/>
      <c r="BV188" s="160"/>
      <c r="BW188" s="160"/>
      <c r="BX188" s="160"/>
      <c r="BY188" s="160"/>
      <c r="BZ188" s="160"/>
      <c r="CA188" s="160"/>
      <c r="CB188" s="160"/>
      <c r="CC188" s="160"/>
      <c r="CD188" s="160"/>
      <c r="CE188" s="160"/>
      <c r="CF188" s="160"/>
      <c r="CG188" s="160"/>
      <c r="CH188" s="160"/>
      <c r="CI188" s="160"/>
      <c r="CJ188" s="160"/>
      <c r="CK188" s="160"/>
      <c r="CL188" s="160"/>
    </row>
    <row r="189">
      <c r="A189" s="174" t="s">
        <v>563</v>
      </c>
      <c r="B189" s="11" t="s">
        <v>564</v>
      </c>
      <c r="C189" s="175" t="s">
        <v>70</v>
      </c>
      <c r="D189" s="176" t="str">
        <f>IFERROR(VLOOKUP(C189, PIC!A:B, 2, 0), "")</f>
        <v>Qui Em</v>
      </c>
      <c r="E189" s="11" t="s">
        <v>22</v>
      </c>
      <c r="F189" s="16" t="s">
        <v>858</v>
      </c>
      <c r="G189" s="16" t="s">
        <v>858</v>
      </c>
      <c r="H189" s="170">
        <f>IFERROR(
  MINIFS(ATTENDANCE_LOG!$F:$F,
         ATTENDANCE_LOG!$A:$A, C189,
         ATTENDANCE_LOG!$B:$B, E189),
"")</f>
        <v>45638.41667</v>
      </c>
      <c r="I189" s="170">
        <f t="shared" si="2"/>
        <v>45638.41667</v>
      </c>
      <c r="J189" s="11">
        <f>IFERROR(VLOOKUP(F189, LEVEL_HELPER!$A:$B, 2, 0), "")</f>
        <v>4.5</v>
      </c>
      <c r="K189" s="11">
        <f>IFERROR(VLOOKUP(G189, LEVEL_HELPER!$A:$B, 2, 0), "")</f>
        <v>4.5</v>
      </c>
      <c r="L189" s="171" t="s">
        <v>400</v>
      </c>
      <c r="M189" s="171" t="s">
        <v>154</v>
      </c>
      <c r="N189" s="11">
        <f t="array" ref="N189">IFERROR(
  INDEX($J$2:$J$531,
    MATCH(A189&amp;TEXT(I189,"yyyy-mm-dd"),
          $A$2:$A$531&amp;TEXT($H$2:$H$531,"yyyy-mm-dd"),
          0)),
"")</f>
        <v>4.5</v>
      </c>
      <c r="O189" s="160">
        <f t="shared" si="3"/>
        <v>4.5</v>
      </c>
      <c r="P189" s="160">
        <f t="shared" ref="P189:Q189" si="199">IF(N189="",0,IF(N189&lt;=2,1,IF(N189&lt;=4,2,IF(N189&lt;=5.5,3,4))))</f>
        <v>3</v>
      </c>
      <c r="Q189" s="160">
        <f t="shared" si="199"/>
        <v>3</v>
      </c>
      <c r="R189" s="160" t="str">
        <f t="shared" si="5"/>
        <v>No Progress</v>
      </c>
      <c r="S189" s="160">
        <f t="shared" si="6"/>
        <v>1</v>
      </c>
      <c r="T189" s="177" t="s">
        <v>970</v>
      </c>
      <c r="U189" s="160">
        <f>COUNTIFS(sheet2!$A:$A,A189,sheet2!$E:$E,E189)</f>
        <v>1</v>
      </c>
      <c r="V189" s="160"/>
      <c r="W189" s="160"/>
      <c r="X189" s="160" t="str">
        <f t="shared" si="7"/>
        <v>#N/A</v>
      </c>
      <c r="Y189" s="160" t="str">
        <f t="shared" si="8"/>
        <v>#N/A</v>
      </c>
      <c r="Z189" s="160" t="str">
        <f t="shared" si="9"/>
        <v>#N/A</v>
      </c>
      <c r="AA189" s="160"/>
      <c r="AB189" s="160"/>
      <c r="AC189" s="160"/>
      <c r="AD189" s="160"/>
      <c r="AE189" s="160"/>
      <c r="AF189" s="160"/>
      <c r="AG189" s="160"/>
      <c r="AH189" s="160"/>
      <c r="AI189" s="160"/>
      <c r="AJ189" s="160"/>
      <c r="AK189" s="160"/>
      <c r="AL189" s="160"/>
      <c r="AM189" s="160"/>
      <c r="AN189" s="164"/>
      <c r="AO189" s="160"/>
      <c r="AP189" s="160" t="str">
        <f t="shared" si="10"/>
        <v>#N/A</v>
      </c>
      <c r="AQ189" s="160" t="str">
        <f t="shared" si="11"/>
        <v>#N/A</v>
      </c>
      <c r="AR189" s="160" t="str">
        <f t="shared" si="12"/>
        <v>#N/A</v>
      </c>
      <c r="AS189" s="160"/>
      <c r="AT189" s="160"/>
      <c r="AU189" s="160"/>
      <c r="AV189" s="160"/>
      <c r="AW189" s="160"/>
      <c r="AX189" s="160"/>
      <c r="AY189" s="160"/>
      <c r="AZ189" s="160"/>
      <c r="BA189" s="160"/>
      <c r="BB189" s="160"/>
      <c r="BC189" s="160"/>
      <c r="BD189" s="160"/>
      <c r="BE189" s="160"/>
      <c r="BF189" s="160"/>
      <c r="BG189" s="160"/>
      <c r="BH189" s="160"/>
      <c r="BI189" s="160"/>
      <c r="BJ189" s="160"/>
      <c r="BK189" s="160"/>
      <c r="BL189" s="160"/>
      <c r="BM189" s="160"/>
      <c r="BN189" s="160"/>
      <c r="BO189" s="160"/>
      <c r="BP189" s="160"/>
      <c r="BQ189" s="160"/>
      <c r="BR189" s="160"/>
      <c r="BS189" s="160"/>
      <c r="BT189" s="160"/>
      <c r="BU189" s="160"/>
      <c r="BV189" s="160"/>
      <c r="BW189" s="160"/>
      <c r="BX189" s="160"/>
      <c r="BY189" s="160"/>
      <c r="BZ189" s="160"/>
      <c r="CA189" s="160"/>
      <c r="CB189" s="160"/>
      <c r="CC189" s="160"/>
      <c r="CD189" s="160"/>
      <c r="CE189" s="160"/>
      <c r="CF189" s="160"/>
      <c r="CG189" s="160"/>
      <c r="CH189" s="160"/>
      <c r="CI189" s="160"/>
      <c r="CJ189" s="160"/>
      <c r="CK189" s="160"/>
      <c r="CL189" s="160"/>
    </row>
    <row r="190">
      <c r="A190" s="174" t="s">
        <v>567</v>
      </c>
      <c r="B190" s="11" t="s">
        <v>568</v>
      </c>
      <c r="C190" s="175" t="s">
        <v>70</v>
      </c>
      <c r="D190" s="176" t="str">
        <f>IFERROR(VLOOKUP(C190, PIC!A:B, 2, 0), "")</f>
        <v>Qui Em</v>
      </c>
      <c r="E190" s="11" t="s">
        <v>22</v>
      </c>
      <c r="F190" s="16" t="s">
        <v>849</v>
      </c>
      <c r="G190" s="16" t="s">
        <v>861</v>
      </c>
      <c r="H190" s="170">
        <f>IFERROR(
  MINIFS(ATTENDANCE_LOG!$F:$F,
         ATTENDANCE_LOG!$A:$A, C190,
         ATTENDANCE_LOG!$B:$B, E190),
"")</f>
        <v>45638.41667</v>
      </c>
      <c r="I190" s="170">
        <f t="shared" si="2"/>
        <v>45638.41667</v>
      </c>
      <c r="J190" s="11">
        <f>IFERROR(VLOOKUP(F190, LEVEL_HELPER!$A:$B, 2, 0), "")</f>
        <v>1</v>
      </c>
      <c r="K190" s="11">
        <f>IFERROR(VLOOKUP(G190, LEVEL_HELPER!$A:$B, 2, 0), "")</f>
        <v>3.5</v>
      </c>
      <c r="L190" s="171" t="s">
        <v>400</v>
      </c>
      <c r="M190" s="183" t="s">
        <v>149</v>
      </c>
      <c r="N190" s="11">
        <f t="array" ref="N190">IFERROR(
  INDEX($J$2:$J$531,
    MATCH(A190&amp;TEXT(I190,"yyyy-mm-dd"),
          $A$2:$A$531&amp;TEXT($H$2:$H$531,"yyyy-mm-dd"),
          0)),
"")</f>
        <v>1</v>
      </c>
      <c r="O190" s="160">
        <f t="shared" si="3"/>
        <v>3.5</v>
      </c>
      <c r="P190" s="160">
        <f t="shared" ref="P190:Q190" si="200">IF(N190="",0,IF(N190&lt;=2,1,IF(N190&lt;=4,2,IF(N190&lt;=5.5,3,4))))</f>
        <v>1</v>
      </c>
      <c r="Q190" s="160">
        <f t="shared" si="200"/>
        <v>2</v>
      </c>
      <c r="R190" s="160" t="str">
        <f t="shared" si="5"/>
        <v>Lv1 → Lv2</v>
      </c>
      <c r="S190" s="160">
        <f t="shared" si="6"/>
        <v>1</v>
      </c>
      <c r="T190" s="177" t="s">
        <v>971</v>
      </c>
      <c r="U190" s="160">
        <f>COUNTIFS(sheet2!$A:$A,A190,sheet2!$E:$E,E190)</f>
        <v>1</v>
      </c>
      <c r="V190" s="160"/>
      <c r="W190" s="160"/>
      <c r="X190" s="160" t="str">
        <f t="shared" si="7"/>
        <v>#N/A</v>
      </c>
      <c r="Y190" s="160" t="str">
        <f t="shared" si="8"/>
        <v>#N/A</v>
      </c>
      <c r="Z190" s="160" t="str">
        <f t="shared" si="9"/>
        <v>#N/A</v>
      </c>
      <c r="AA190" s="160"/>
      <c r="AB190" s="160"/>
      <c r="AC190" s="160"/>
      <c r="AD190" s="160"/>
      <c r="AE190" s="160"/>
      <c r="AF190" s="160"/>
      <c r="AG190" s="160"/>
      <c r="AH190" s="160"/>
      <c r="AI190" s="160"/>
      <c r="AJ190" s="160"/>
      <c r="AK190" s="160"/>
      <c r="AL190" s="160"/>
      <c r="AM190" s="160"/>
      <c r="AN190" s="164"/>
      <c r="AO190" s="160"/>
      <c r="AP190" s="160" t="str">
        <f t="shared" si="10"/>
        <v>#N/A</v>
      </c>
      <c r="AQ190" s="160" t="str">
        <f t="shared" si="11"/>
        <v>#N/A</v>
      </c>
      <c r="AR190" s="160" t="str">
        <f t="shared" si="12"/>
        <v>#N/A</v>
      </c>
      <c r="AS190" s="160"/>
      <c r="AT190" s="160"/>
      <c r="AU190" s="160"/>
      <c r="AV190" s="160"/>
      <c r="AW190" s="160"/>
      <c r="AX190" s="160"/>
      <c r="AY190" s="160"/>
      <c r="AZ190" s="160"/>
      <c r="BA190" s="160"/>
      <c r="BB190" s="160"/>
      <c r="BC190" s="160"/>
      <c r="BD190" s="160"/>
      <c r="BE190" s="160"/>
      <c r="BF190" s="160"/>
      <c r="BG190" s="160"/>
      <c r="BH190" s="160"/>
      <c r="BI190" s="160"/>
      <c r="BJ190" s="160"/>
      <c r="BK190" s="160"/>
      <c r="BL190" s="160"/>
      <c r="BM190" s="160"/>
      <c r="BN190" s="160"/>
      <c r="BO190" s="160"/>
      <c r="BP190" s="160"/>
      <c r="BQ190" s="160"/>
      <c r="BR190" s="160"/>
      <c r="BS190" s="160"/>
      <c r="BT190" s="160"/>
      <c r="BU190" s="160"/>
      <c r="BV190" s="160"/>
      <c r="BW190" s="160"/>
      <c r="BX190" s="160"/>
      <c r="BY190" s="160"/>
      <c r="BZ190" s="160"/>
      <c r="CA190" s="160"/>
      <c r="CB190" s="160"/>
      <c r="CC190" s="160"/>
      <c r="CD190" s="160"/>
      <c r="CE190" s="160"/>
      <c r="CF190" s="160"/>
      <c r="CG190" s="160"/>
      <c r="CH190" s="160"/>
      <c r="CI190" s="160"/>
      <c r="CJ190" s="160"/>
      <c r="CK190" s="160"/>
      <c r="CL190" s="160"/>
    </row>
    <row r="191">
      <c r="A191" s="174" t="s">
        <v>472</v>
      </c>
      <c r="B191" s="11" t="s">
        <v>473</v>
      </c>
      <c r="C191" s="175" t="s">
        <v>70</v>
      </c>
      <c r="D191" s="176" t="str">
        <f>IFERROR(VLOOKUP(C191, PIC!A:B, 2, 0), "")</f>
        <v>Qui Em</v>
      </c>
      <c r="E191" s="11" t="s">
        <v>22</v>
      </c>
      <c r="F191" s="16" t="s">
        <v>849</v>
      </c>
      <c r="G191" s="16" t="s">
        <v>846</v>
      </c>
      <c r="H191" s="170">
        <f>IFERROR(
  MINIFS(ATTENDANCE_LOG!$F:$F,
         ATTENDANCE_LOG!$A:$A, C191,
         ATTENDANCE_LOG!$B:$B, E191),
"")</f>
        <v>45638.41667</v>
      </c>
      <c r="I191" s="170">
        <f t="shared" si="2"/>
        <v>45638.41667</v>
      </c>
      <c r="J191" s="11">
        <f>IFERROR(VLOOKUP(F191, LEVEL_HELPER!$A:$B, 2, 0), "")</f>
        <v>1</v>
      </c>
      <c r="K191" s="11">
        <f>IFERROR(VLOOKUP(G191, LEVEL_HELPER!$A:$B, 2, 0), "")</f>
        <v>3</v>
      </c>
      <c r="L191" s="171" t="s">
        <v>400</v>
      </c>
      <c r="M191" s="171" t="s">
        <v>154</v>
      </c>
      <c r="N191" s="11">
        <f t="array" ref="N191">IFERROR(
  INDEX($J$2:$J$531,
    MATCH(A191&amp;TEXT(I191,"yyyy-mm-dd"),
          $A$2:$A$531&amp;TEXT($H$2:$H$531,"yyyy-mm-dd"),
          0)),
"")</f>
        <v>1</v>
      </c>
      <c r="O191" s="160">
        <f t="shared" si="3"/>
        <v>3</v>
      </c>
      <c r="P191" s="160">
        <f t="shared" ref="P191:Q191" si="201">IF(N191="",0,IF(N191&lt;=2,1,IF(N191&lt;=4,2,IF(N191&lt;=5.5,3,4))))</f>
        <v>1</v>
      </c>
      <c r="Q191" s="160">
        <f t="shared" si="201"/>
        <v>2</v>
      </c>
      <c r="R191" s="160" t="str">
        <f t="shared" si="5"/>
        <v>Lv1 → Lv2</v>
      </c>
      <c r="S191" s="160">
        <f t="shared" si="6"/>
        <v>0</v>
      </c>
      <c r="T191" s="177" t="s">
        <v>910</v>
      </c>
      <c r="U191" s="160">
        <f>COUNTIFS(sheet2!$A:$A,A191,sheet2!$E:$E,E191)</f>
        <v>1</v>
      </c>
      <c r="V191" s="160"/>
      <c r="W191" s="160"/>
      <c r="X191" s="160" t="str">
        <f t="shared" si="7"/>
        <v>#N/A</v>
      </c>
      <c r="Y191" s="160" t="str">
        <f t="shared" si="8"/>
        <v>#N/A</v>
      </c>
      <c r="Z191" s="160" t="str">
        <f t="shared" si="9"/>
        <v>#N/A</v>
      </c>
      <c r="AA191" s="160"/>
      <c r="AB191" s="160"/>
      <c r="AC191" s="160"/>
      <c r="AD191" s="160"/>
      <c r="AE191" s="160"/>
      <c r="AF191" s="160"/>
      <c r="AG191" s="160"/>
      <c r="AH191" s="160"/>
      <c r="AI191" s="160"/>
      <c r="AJ191" s="160"/>
      <c r="AK191" s="160"/>
      <c r="AL191" s="160"/>
      <c r="AM191" s="160"/>
      <c r="AN191" s="164"/>
      <c r="AO191" s="160"/>
      <c r="AP191" s="160" t="str">
        <f t="shared" si="10"/>
        <v>#N/A</v>
      </c>
      <c r="AQ191" s="160" t="str">
        <f t="shared" si="11"/>
        <v>#N/A</v>
      </c>
      <c r="AR191" s="160" t="str">
        <f t="shared" si="12"/>
        <v>#N/A</v>
      </c>
      <c r="AS191" s="160"/>
      <c r="AT191" s="160"/>
      <c r="AU191" s="160"/>
      <c r="AV191" s="160"/>
      <c r="AW191" s="160"/>
      <c r="AX191" s="160"/>
      <c r="AY191" s="160"/>
      <c r="AZ191" s="160"/>
      <c r="BA191" s="160"/>
      <c r="BB191" s="160"/>
      <c r="BC191" s="160"/>
      <c r="BD191" s="160"/>
      <c r="BE191" s="160"/>
      <c r="BF191" s="160"/>
      <c r="BG191" s="160"/>
      <c r="BH191" s="160"/>
      <c r="BI191" s="160"/>
      <c r="BJ191" s="160"/>
      <c r="BK191" s="160"/>
      <c r="BL191" s="160"/>
      <c r="BM191" s="160"/>
      <c r="BN191" s="160"/>
      <c r="BO191" s="160"/>
      <c r="BP191" s="160"/>
      <c r="BQ191" s="160"/>
      <c r="BR191" s="160"/>
      <c r="BS191" s="160"/>
      <c r="BT191" s="160"/>
      <c r="BU191" s="160"/>
      <c r="BV191" s="160"/>
      <c r="BW191" s="160"/>
      <c r="BX191" s="160"/>
      <c r="BY191" s="160"/>
      <c r="BZ191" s="160"/>
      <c r="CA191" s="160"/>
      <c r="CB191" s="160"/>
      <c r="CC191" s="160"/>
      <c r="CD191" s="160"/>
      <c r="CE191" s="160"/>
      <c r="CF191" s="160"/>
      <c r="CG191" s="160"/>
      <c r="CH191" s="160"/>
      <c r="CI191" s="160"/>
      <c r="CJ191" s="160"/>
      <c r="CK191" s="160"/>
      <c r="CL191" s="160"/>
    </row>
    <row r="192">
      <c r="A192" s="166" t="s">
        <v>565</v>
      </c>
      <c r="B192" s="167" t="s">
        <v>566</v>
      </c>
      <c r="C192" s="168" t="s">
        <v>70</v>
      </c>
      <c r="D192" s="169" t="str">
        <f>IFERROR(VLOOKUP(C192, PIC!A:B, 2, 0), "")</f>
        <v>Qui Em</v>
      </c>
      <c r="E192" s="167" t="s">
        <v>23</v>
      </c>
      <c r="F192" s="16" t="s">
        <v>861</v>
      </c>
      <c r="G192" s="11"/>
      <c r="H192" s="170">
        <f>IFERROR(
  MINIFS(ATTENDANCE_LOG!$F:$F,
         ATTENDANCE_LOG!$A:$A, C192,
         ATTENDANCE_LOG!$B:$B, E192),
"")</f>
        <v>45841.58333</v>
      </c>
      <c r="I192" s="170">
        <f t="shared" si="2"/>
        <v>45638.41667</v>
      </c>
      <c r="J192" s="11">
        <f>IFERROR(VLOOKUP(F192, LEVEL_HELPER!$A:$B, 2, 0), "")</f>
        <v>3.5</v>
      </c>
      <c r="K192" s="11" t="str">
        <f>IFERROR(VLOOKUP(G192, LEVEL_HELPER!$A:$B, 2, 0), "")</f>
        <v/>
      </c>
      <c r="L192" s="171" t="s">
        <v>400</v>
      </c>
      <c r="M192" s="171" t="s">
        <v>154</v>
      </c>
      <c r="N192" s="11">
        <f t="array" ref="N192">IFERROR(
  INDEX($J$2:$J$531,
    MATCH(A192&amp;TEXT(I192,"yyyy-mm-dd"),
          $A$2:$A$531&amp;TEXT($H$2:$H$531,"yyyy-mm-dd"),
          0)),
"")</f>
        <v>1</v>
      </c>
      <c r="O192" s="160">
        <f t="shared" si="3"/>
        <v>3.5</v>
      </c>
      <c r="P192" s="160">
        <f t="shared" ref="P192:Q192" si="202">IF(N192="",0,IF(N192&lt;=2,1,IF(N192&lt;=4,2,IF(N192&lt;=5.5,3,4))))</f>
        <v>1</v>
      </c>
      <c r="Q192" s="160">
        <f t="shared" si="202"/>
        <v>2</v>
      </c>
      <c r="R192" s="160" t="str">
        <f t="shared" si="5"/>
        <v>Lv1 → Lv2</v>
      </c>
      <c r="S192" s="160">
        <f t="shared" si="6"/>
        <v>0</v>
      </c>
      <c r="T192" s="172" t="s">
        <v>968</v>
      </c>
      <c r="U192" s="160">
        <f>COUNTIFS(sheet2!$A:$A,A192,sheet2!$E:$E,E192)</f>
        <v>1</v>
      </c>
      <c r="V192" s="160"/>
      <c r="W192" s="160"/>
      <c r="X192" s="160" t="str">
        <f t="shared" si="7"/>
        <v>#N/A</v>
      </c>
      <c r="Y192" s="160" t="str">
        <f t="shared" si="8"/>
        <v>#N/A</v>
      </c>
      <c r="Z192" s="160" t="str">
        <f t="shared" si="9"/>
        <v>#N/A</v>
      </c>
      <c r="AA192" s="160"/>
      <c r="AB192" s="160"/>
      <c r="AC192" s="160"/>
      <c r="AD192" s="160"/>
      <c r="AE192" s="160"/>
      <c r="AF192" s="160"/>
      <c r="AG192" s="160"/>
      <c r="AH192" s="160"/>
      <c r="AI192" s="160"/>
      <c r="AJ192" s="160"/>
      <c r="AK192" s="160"/>
      <c r="AL192" s="160"/>
      <c r="AM192" s="160"/>
      <c r="AN192" s="164"/>
      <c r="AO192" s="160"/>
      <c r="AP192" s="160" t="str">
        <f t="shared" si="10"/>
        <v>#N/A</v>
      </c>
      <c r="AQ192" s="160" t="str">
        <f t="shared" si="11"/>
        <v>#N/A</v>
      </c>
      <c r="AR192" s="160" t="str">
        <f t="shared" si="12"/>
        <v>#N/A</v>
      </c>
      <c r="AS192" s="160"/>
      <c r="AT192" s="160"/>
      <c r="AU192" s="160"/>
      <c r="AV192" s="160"/>
      <c r="AW192" s="160"/>
      <c r="AX192" s="160"/>
      <c r="AY192" s="160"/>
      <c r="AZ192" s="160"/>
      <c r="BA192" s="160"/>
      <c r="BB192" s="160"/>
      <c r="BC192" s="160"/>
      <c r="BD192" s="160"/>
      <c r="BE192" s="160"/>
      <c r="BF192" s="160"/>
      <c r="BG192" s="160"/>
      <c r="BH192" s="160"/>
      <c r="BI192" s="160"/>
      <c r="BJ192" s="160"/>
      <c r="BK192" s="160"/>
      <c r="BL192" s="160"/>
      <c r="BM192" s="160"/>
      <c r="BN192" s="160"/>
      <c r="BO192" s="160"/>
      <c r="BP192" s="160"/>
      <c r="BQ192" s="160"/>
      <c r="BR192" s="160"/>
      <c r="BS192" s="160"/>
      <c r="BT192" s="160"/>
      <c r="BU192" s="160"/>
      <c r="BV192" s="160"/>
      <c r="BW192" s="160"/>
      <c r="BX192" s="160"/>
      <c r="BY192" s="160"/>
      <c r="BZ192" s="160"/>
      <c r="CA192" s="160"/>
      <c r="CB192" s="160"/>
      <c r="CC192" s="160"/>
      <c r="CD192" s="160"/>
      <c r="CE192" s="160"/>
      <c r="CF192" s="160"/>
      <c r="CG192" s="160"/>
      <c r="CH192" s="160"/>
      <c r="CI192" s="160"/>
      <c r="CJ192" s="160"/>
      <c r="CK192" s="160"/>
      <c r="CL192" s="160"/>
    </row>
    <row r="193">
      <c r="A193" s="174" t="s">
        <v>461</v>
      </c>
      <c r="B193" s="11" t="s">
        <v>462</v>
      </c>
      <c r="C193" s="175" t="s">
        <v>70</v>
      </c>
      <c r="D193" s="176" t="str">
        <f>IFERROR(VLOOKUP(C193, PIC!A:B, 2, 0), "")</f>
        <v>Qui Em</v>
      </c>
      <c r="E193" s="11" t="s">
        <v>23</v>
      </c>
      <c r="F193" s="16" t="s">
        <v>853</v>
      </c>
      <c r="G193" s="16" t="s">
        <v>853</v>
      </c>
      <c r="H193" s="170">
        <f>IFERROR(
  MINIFS(ATTENDANCE_LOG!$F:$F,
         ATTENDANCE_LOG!$A:$A, C193,
         ATTENDANCE_LOG!$B:$B, E193),
"")</f>
        <v>45841.58333</v>
      </c>
      <c r="I193" s="170">
        <f t="shared" si="2"/>
        <v>45638.41667</v>
      </c>
      <c r="J193" s="11">
        <f>IFERROR(VLOOKUP(F193, LEVEL_HELPER!$A:$B, 2, 0), "")</f>
        <v>1.5</v>
      </c>
      <c r="K193" s="11">
        <f>IFERROR(VLOOKUP(G193, LEVEL_HELPER!$A:$B, 2, 0), "")</f>
        <v>1.5</v>
      </c>
      <c r="L193" s="171" t="s">
        <v>847</v>
      </c>
      <c r="M193" s="171" t="s">
        <v>150</v>
      </c>
      <c r="N193" s="11">
        <f t="array" ref="N193">IFERROR(
  INDEX($J$2:$J$531,
    MATCH(A193&amp;TEXT(I193,"yyyy-mm-dd"),
          $A$2:$A$531&amp;TEXT($H$2:$H$531,"yyyy-mm-dd"),
          0)),
"")</f>
        <v>1</v>
      </c>
      <c r="O193" s="160">
        <f t="shared" si="3"/>
        <v>1.5</v>
      </c>
      <c r="P193" s="160">
        <f t="shared" ref="P193:Q193" si="203">IF(N193="",0,IF(N193&lt;=2,1,IF(N193&lt;=4,2,IF(N193&lt;=5.5,3,4))))</f>
        <v>1</v>
      </c>
      <c r="Q193" s="160">
        <f t="shared" si="203"/>
        <v>1</v>
      </c>
      <c r="R193" s="160" t="str">
        <f t="shared" si="5"/>
        <v>Progress within level</v>
      </c>
      <c r="S193" s="160">
        <f t="shared" si="6"/>
        <v>0</v>
      </c>
      <c r="T193" s="177" t="s">
        <v>907</v>
      </c>
      <c r="U193" s="160">
        <f>COUNTIFS(sheet2!$A:$A,A193,sheet2!$E:$E,E193)</f>
        <v>2</v>
      </c>
      <c r="V193" s="160"/>
      <c r="W193" s="160"/>
      <c r="X193" s="160" t="str">
        <f t="shared" si="7"/>
        <v>#N/A</v>
      </c>
      <c r="Y193" s="160" t="str">
        <f t="shared" si="8"/>
        <v>#N/A</v>
      </c>
      <c r="Z193" s="160" t="str">
        <f t="shared" si="9"/>
        <v>#N/A</v>
      </c>
      <c r="AA193" s="160"/>
      <c r="AB193" s="160"/>
      <c r="AC193" s="160"/>
      <c r="AD193" s="160"/>
      <c r="AE193" s="160"/>
      <c r="AF193" s="160"/>
      <c r="AG193" s="160"/>
      <c r="AH193" s="160"/>
      <c r="AI193" s="160"/>
      <c r="AJ193" s="160"/>
      <c r="AK193" s="160"/>
      <c r="AL193" s="160"/>
      <c r="AM193" s="160"/>
      <c r="AN193" s="164"/>
      <c r="AO193" s="160"/>
      <c r="AP193" s="160" t="str">
        <f t="shared" si="10"/>
        <v>#N/A</v>
      </c>
      <c r="AQ193" s="160" t="str">
        <f t="shared" si="11"/>
        <v>#N/A</v>
      </c>
      <c r="AR193" s="160" t="str">
        <f t="shared" si="12"/>
        <v>#N/A</v>
      </c>
      <c r="AS193" s="160"/>
      <c r="AT193" s="160"/>
      <c r="AU193" s="160"/>
      <c r="AV193" s="160"/>
      <c r="AW193" s="160"/>
      <c r="AX193" s="160"/>
      <c r="AY193" s="160"/>
      <c r="AZ193" s="160"/>
      <c r="BA193" s="160"/>
      <c r="BB193" s="160"/>
      <c r="BC193" s="160"/>
      <c r="BD193" s="160"/>
      <c r="BE193" s="160"/>
      <c r="BF193" s="160"/>
      <c r="BG193" s="160"/>
      <c r="BH193" s="160"/>
      <c r="BI193" s="160"/>
      <c r="BJ193" s="160"/>
      <c r="BK193" s="160"/>
      <c r="BL193" s="160"/>
      <c r="BM193" s="160"/>
      <c r="BN193" s="160"/>
      <c r="BO193" s="160"/>
      <c r="BP193" s="160"/>
      <c r="BQ193" s="160"/>
      <c r="BR193" s="160"/>
      <c r="BS193" s="160"/>
      <c r="BT193" s="160"/>
      <c r="BU193" s="160"/>
      <c r="BV193" s="160"/>
      <c r="BW193" s="160"/>
      <c r="BX193" s="160"/>
      <c r="BY193" s="160"/>
      <c r="BZ193" s="160"/>
      <c r="CA193" s="160"/>
      <c r="CB193" s="160"/>
      <c r="CC193" s="160"/>
      <c r="CD193" s="160"/>
      <c r="CE193" s="160"/>
      <c r="CF193" s="160"/>
      <c r="CG193" s="160"/>
      <c r="CH193" s="160"/>
      <c r="CI193" s="160"/>
      <c r="CJ193" s="160"/>
      <c r="CK193" s="160"/>
      <c r="CL193" s="160"/>
    </row>
    <row r="194">
      <c r="A194" s="174" t="s">
        <v>474</v>
      </c>
      <c r="B194" s="11" t="s">
        <v>475</v>
      </c>
      <c r="C194" s="175" t="s">
        <v>70</v>
      </c>
      <c r="D194" s="176" t="str">
        <f>IFERROR(VLOOKUP(C194, PIC!A:B, 2, 0), "")</f>
        <v>Qui Em</v>
      </c>
      <c r="E194" s="11" t="s">
        <v>23</v>
      </c>
      <c r="F194" s="16" t="s">
        <v>861</v>
      </c>
      <c r="G194" s="11"/>
      <c r="H194" s="170">
        <f>IFERROR(
  MINIFS(ATTENDANCE_LOG!$F:$F,
         ATTENDANCE_LOG!$A:$A, C194,
         ATTENDANCE_LOG!$B:$B, E194),
"")</f>
        <v>45841.58333</v>
      </c>
      <c r="I194" s="170">
        <f t="shared" si="2"/>
        <v>45638.41667</v>
      </c>
      <c r="J194" s="11">
        <f>IFERROR(VLOOKUP(F194, LEVEL_HELPER!$A:$B, 2, 0), "")</f>
        <v>3.5</v>
      </c>
      <c r="K194" s="11" t="str">
        <f>IFERROR(VLOOKUP(G194, LEVEL_HELPER!$A:$B, 2, 0), "")</f>
        <v/>
      </c>
      <c r="L194" s="171" t="s">
        <v>400</v>
      </c>
      <c r="M194" s="171" t="s">
        <v>154</v>
      </c>
      <c r="N194" s="11">
        <f t="array" ref="N194">IFERROR(
  INDEX($J$2:$J$531,
    MATCH(A194&amp;TEXT(I194,"yyyy-mm-dd"),
          $A$2:$A$531&amp;TEXT($H$2:$H$531,"yyyy-mm-dd"),
          0)),
"")</f>
        <v>1</v>
      </c>
      <c r="O194" s="160">
        <f t="shared" si="3"/>
        <v>3.5</v>
      </c>
      <c r="P194" s="160">
        <f t="shared" ref="P194:Q194" si="204">IF(N194="",0,IF(N194&lt;=2,1,IF(N194&lt;=4,2,IF(N194&lt;=5.5,3,4))))</f>
        <v>1</v>
      </c>
      <c r="Q194" s="160">
        <f t="shared" si="204"/>
        <v>2</v>
      </c>
      <c r="R194" s="160" t="str">
        <f t="shared" si="5"/>
        <v>Lv1 → Lv2</v>
      </c>
      <c r="S194" s="160">
        <f t="shared" si="6"/>
        <v>0</v>
      </c>
      <c r="T194" s="177" t="s">
        <v>908</v>
      </c>
      <c r="U194" s="160">
        <f>COUNTIFS(sheet2!$A:$A,A194,sheet2!$E:$E,E194)</f>
        <v>2</v>
      </c>
      <c r="V194" s="160"/>
      <c r="W194" s="160"/>
      <c r="X194" s="160" t="str">
        <f t="shared" si="7"/>
        <v>#N/A</v>
      </c>
      <c r="Y194" s="160" t="str">
        <f t="shared" si="8"/>
        <v>#N/A</v>
      </c>
      <c r="Z194" s="160" t="str">
        <f t="shared" si="9"/>
        <v>#N/A</v>
      </c>
      <c r="AA194" s="160"/>
      <c r="AB194" s="160"/>
      <c r="AC194" s="160"/>
      <c r="AD194" s="160"/>
      <c r="AE194" s="160"/>
      <c r="AF194" s="160"/>
      <c r="AG194" s="160"/>
      <c r="AH194" s="160"/>
      <c r="AI194" s="160"/>
      <c r="AJ194" s="160"/>
      <c r="AK194" s="160"/>
      <c r="AL194" s="160"/>
      <c r="AM194" s="160"/>
      <c r="AN194" s="164"/>
      <c r="AO194" s="160"/>
      <c r="AP194" s="160" t="str">
        <f t="shared" si="10"/>
        <v>#N/A</v>
      </c>
      <c r="AQ194" s="160" t="str">
        <f t="shared" si="11"/>
        <v>#N/A</v>
      </c>
      <c r="AR194" s="160" t="str">
        <f t="shared" si="12"/>
        <v>#N/A</v>
      </c>
      <c r="AS194" s="160"/>
      <c r="AT194" s="160"/>
      <c r="AU194" s="160"/>
      <c r="AV194" s="160"/>
      <c r="AW194" s="160"/>
      <c r="AX194" s="160"/>
      <c r="AY194" s="160"/>
      <c r="AZ194" s="160"/>
      <c r="BA194" s="160"/>
      <c r="BB194" s="160"/>
      <c r="BC194" s="160"/>
      <c r="BD194" s="160"/>
      <c r="BE194" s="160"/>
      <c r="BF194" s="160"/>
      <c r="BG194" s="160"/>
      <c r="BH194" s="160"/>
      <c r="BI194" s="160"/>
      <c r="BJ194" s="160"/>
      <c r="BK194" s="160"/>
      <c r="BL194" s="160"/>
      <c r="BM194" s="160"/>
      <c r="BN194" s="160"/>
      <c r="BO194" s="160"/>
      <c r="BP194" s="160"/>
      <c r="BQ194" s="160"/>
      <c r="BR194" s="160"/>
      <c r="BS194" s="160"/>
      <c r="BT194" s="160"/>
      <c r="BU194" s="160"/>
      <c r="BV194" s="160"/>
      <c r="BW194" s="160"/>
      <c r="BX194" s="160"/>
      <c r="BY194" s="160"/>
      <c r="BZ194" s="160"/>
      <c r="CA194" s="160"/>
      <c r="CB194" s="160"/>
      <c r="CC194" s="160"/>
      <c r="CD194" s="160"/>
      <c r="CE194" s="160"/>
      <c r="CF194" s="160"/>
      <c r="CG194" s="160"/>
      <c r="CH194" s="160"/>
      <c r="CI194" s="160"/>
      <c r="CJ194" s="160"/>
      <c r="CK194" s="160"/>
      <c r="CL194" s="160"/>
    </row>
    <row r="195">
      <c r="A195" s="174" t="s">
        <v>464</v>
      </c>
      <c r="B195" s="11" t="s">
        <v>465</v>
      </c>
      <c r="C195" s="175" t="s">
        <v>70</v>
      </c>
      <c r="D195" s="176" t="str">
        <f>IFERROR(VLOOKUP(C195, PIC!A:B, 2, 0), "")</f>
        <v>Qui Em</v>
      </c>
      <c r="E195" s="11" t="s">
        <v>23</v>
      </c>
      <c r="F195" s="16" t="s">
        <v>861</v>
      </c>
      <c r="G195" s="11"/>
      <c r="H195" s="170">
        <f>IFERROR(
  MINIFS(ATTENDANCE_LOG!$F:$F,
         ATTENDANCE_LOG!$A:$A, C195,
         ATTENDANCE_LOG!$B:$B, E195),
"")</f>
        <v>45841.58333</v>
      </c>
      <c r="I195" s="170">
        <f t="shared" si="2"/>
        <v>45638.41667</v>
      </c>
      <c r="J195" s="11">
        <f>IFERROR(VLOOKUP(F195, LEVEL_HELPER!$A:$B, 2, 0), "")</f>
        <v>3.5</v>
      </c>
      <c r="K195" s="11" t="str">
        <f>IFERROR(VLOOKUP(G195, LEVEL_HELPER!$A:$B, 2, 0), "")</f>
        <v/>
      </c>
      <c r="L195" s="171" t="s">
        <v>847</v>
      </c>
      <c r="M195" s="171" t="s">
        <v>150</v>
      </c>
      <c r="N195" s="11">
        <f t="array" ref="N195">IFERROR(
  INDEX($J$2:$J$531,
    MATCH(A195&amp;TEXT(I195,"yyyy-mm-dd"),
          $A$2:$A$531&amp;TEXT($H$2:$H$531,"yyyy-mm-dd"),
          0)),
"")</f>
        <v>1</v>
      </c>
      <c r="O195" s="160">
        <f t="shared" si="3"/>
        <v>3.5</v>
      </c>
      <c r="P195" s="160">
        <f t="shared" ref="P195:Q195" si="205">IF(N195="",0,IF(N195&lt;=2,1,IF(N195&lt;=4,2,IF(N195&lt;=5.5,3,4))))</f>
        <v>1</v>
      </c>
      <c r="Q195" s="160">
        <f t="shared" si="205"/>
        <v>2</v>
      </c>
      <c r="R195" s="160" t="str">
        <f t="shared" si="5"/>
        <v>Lv1 → Lv2</v>
      </c>
      <c r="S195" s="160">
        <f t="shared" si="6"/>
        <v>0</v>
      </c>
      <c r="T195" s="177" t="s">
        <v>909</v>
      </c>
      <c r="U195" s="160">
        <f>COUNTIFS(sheet2!$A:$A,A195,sheet2!$E:$E,E195)</f>
        <v>2</v>
      </c>
      <c r="V195" s="160"/>
      <c r="W195" s="160"/>
      <c r="X195" s="160" t="str">
        <f t="shared" si="7"/>
        <v>#N/A</v>
      </c>
      <c r="Y195" s="160" t="str">
        <f t="shared" si="8"/>
        <v>#N/A</v>
      </c>
      <c r="Z195" s="160" t="str">
        <f t="shared" si="9"/>
        <v>#N/A</v>
      </c>
      <c r="AA195" s="160"/>
      <c r="AB195" s="160"/>
      <c r="AC195" s="160"/>
      <c r="AD195" s="160"/>
      <c r="AE195" s="160"/>
      <c r="AF195" s="160"/>
      <c r="AG195" s="160"/>
      <c r="AH195" s="160"/>
      <c r="AI195" s="160"/>
      <c r="AJ195" s="160"/>
      <c r="AK195" s="160"/>
      <c r="AL195" s="160"/>
      <c r="AM195" s="160"/>
      <c r="AN195" s="164"/>
      <c r="AO195" s="160"/>
      <c r="AP195" s="160" t="str">
        <f t="shared" si="10"/>
        <v>#N/A</v>
      </c>
      <c r="AQ195" s="160" t="str">
        <f t="shared" si="11"/>
        <v>#N/A</v>
      </c>
      <c r="AR195" s="160" t="str">
        <f t="shared" si="12"/>
        <v>#N/A</v>
      </c>
      <c r="AS195" s="160"/>
      <c r="AT195" s="160"/>
      <c r="AU195" s="160"/>
      <c r="AV195" s="160"/>
      <c r="AW195" s="160"/>
      <c r="AX195" s="160"/>
      <c r="AY195" s="160"/>
      <c r="AZ195" s="160"/>
      <c r="BA195" s="160"/>
      <c r="BB195" s="160"/>
      <c r="BC195" s="160"/>
      <c r="BD195" s="160"/>
      <c r="BE195" s="160"/>
      <c r="BF195" s="160"/>
      <c r="BG195" s="160"/>
      <c r="BH195" s="160"/>
      <c r="BI195" s="160"/>
      <c r="BJ195" s="160"/>
      <c r="BK195" s="160"/>
      <c r="BL195" s="160"/>
      <c r="BM195" s="160"/>
      <c r="BN195" s="160"/>
      <c r="BO195" s="160"/>
      <c r="BP195" s="160"/>
      <c r="BQ195" s="160"/>
      <c r="BR195" s="160"/>
      <c r="BS195" s="160"/>
      <c r="BT195" s="160"/>
      <c r="BU195" s="160"/>
      <c r="BV195" s="160"/>
      <c r="BW195" s="160"/>
      <c r="BX195" s="160"/>
      <c r="BY195" s="160"/>
      <c r="BZ195" s="160"/>
      <c r="CA195" s="160"/>
      <c r="CB195" s="160"/>
      <c r="CC195" s="160"/>
      <c r="CD195" s="160"/>
      <c r="CE195" s="160"/>
      <c r="CF195" s="160"/>
      <c r="CG195" s="160"/>
      <c r="CH195" s="160"/>
      <c r="CI195" s="160"/>
      <c r="CJ195" s="160"/>
      <c r="CK195" s="160"/>
      <c r="CL195" s="160"/>
    </row>
    <row r="196">
      <c r="A196" s="174" t="s">
        <v>472</v>
      </c>
      <c r="B196" s="11" t="s">
        <v>473</v>
      </c>
      <c r="C196" s="175" t="s">
        <v>70</v>
      </c>
      <c r="D196" s="176" t="str">
        <f>IFERROR(VLOOKUP(C196, PIC!A:B, 2, 0), "")</f>
        <v>Qui Em</v>
      </c>
      <c r="E196" s="11" t="s">
        <v>23</v>
      </c>
      <c r="F196" s="16" t="s">
        <v>861</v>
      </c>
      <c r="G196" s="11"/>
      <c r="H196" s="170">
        <f>IFERROR(
  MINIFS(ATTENDANCE_LOG!$F:$F,
         ATTENDANCE_LOG!$A:$A, C196,
         ATTENDANCE_LOG!$B:$B, E196),
"")</f>
        <v>45841.58333</v>
      </c>
      <c r="I196" s="170">
        <f t="shared" si="2"/>
        <v>45638.41667</v>
      </c>
      <c r="J196" s="11">
        <f>IFERROR(VLOOKUP(F196, LEVEL_HELPER!$A:$B, 2, 0), "")</f>
        <v>3.5</v>
      </c>
      <c r="K196" s="11" t="str">
        <f>IFERROR(VLOOKUP(G196, LEVEL_HELPER!$A:$B, 2, 0), "")</f>
        <v/>
      </c>
      <c r="L196" s="171" t="s">
        <v>400</v>
      </c>
      <c r="M196" s="171" t="s">
        <v>154</v>
      </c>
      <c r="N196" s="11">
        <f t="array" ref="N196">IFERROR(
  INDEX($J$2:$J$531,
    MATCH(A196&amp;TEXT(I196,"yyyy-mm-dd"),
          $A$2:$A$531&amp;TEXT($H$2:$H$531,"yyyy-mm-dd"),
          0)),
"")</f>
        <v>1</v>
      </c>
      <c r="O196" s="160">
        <f t="shared" si="3"/>
        <v>3</v>
      </c>
      <c r="P196" s="160">
        <f t="shared" ref="P196:Q196" si="206">IF(N196="",0,IF(N196&lt;=2,1,IF(N196&lt;=4,2,IF(N196&lt;=5.5,3,4))))</f>
        <v>1</v>
      </c>
      <c r="Q196" s="160">
        <f t="shared" si="206"/>
        <v>2</v>
      </c>
      <c r="R196" s="160" t="str">
        <f t="shared" si="5"/>
        <v>Lv1 → Lv2</v>
      </c>
      <c r="S196" s="160">
        <f t="shared" si="6"/>
        <v>0</v>
      </c>
      <c r="T196" s="177" t="s">
        <v>910</v>
      </c>
      <c r="U196" s="160">
        <f>COUNTIFS(sheet2!$A:$A,A196,sheet2!$E:$E,E196)</f>
        <v>2</v>
      </c>
      <c r="V196" s="160"/>
      <c r="W196" s="160"/>
      <c r="X196" s="160" t="str">
        <f t="shared" si="7"/>
        <v>#N/A</v>
      </c>
      <c r="Y196" s="160" t="str">
        <f t="shared" si="8"/>
        <v>#N/A</v>
      </c>
      <c r="Z196" s="160" t="str">
        <f t="shared" si="9"/>
        <v>#N/A</v>
      </c>
      <c r="AA196" s="160"/>
      <c r="AB196" s="160"/>
      <c r="AC196" s="160"/>
      <c r="AD196" s="160"/>
      <c r="AE196" s="160"/>
      <c r="AF196" s="160"/>
      <c r="AG196" s="160"/>
      <c r="AH196" s="160"/>
      <c r="AI196" s="160"/>
      <c r="AJ196" s="160"/>
      <c r="AK196" s="160"/>
      <c r="AL196" s="160"/>
      <c r="AM196" s="160"/>
      <c r="AN196" s="164"/>
      <c r="AO196" s="160"/>
      <c r="AP196" s="160" t="str">
        <f t="shared" si="10"/>
        <v>#N/A</v>
      </c>
      <c r="AQ196" s="160" t="str">
        <f t="shared" si="11"/>
        <v>#N/A</v>
      </c>
      <c r="AR196" s="160" t="str">
        <f t="shared" si="12"/>
        <v>#N/A</v>
      </c>
      <c r="AS196" s="160"/>
      <c r="AT196" s="160"/>
      <c r="AU196" s="160"/>
      <c r="AV196" s="160"/>
      <c r="AW196" s="160"/>
      <c r="AX196" s="160"/>
      <c r="AY196" s="160"/>
      <c r="AZ196" s="160"/>
      <c r="BA196" s="160"/>
      <c r="BB196" s="160"/>
      <c r="BC196" s="160"/>
      <c r="BD196" s="160"/>
      <c r="BE196" s="160"/>
      <c r="BF196" s="160"/>
      <c r="BG196" s="160"/>
      <c r="BH196" s="160"/>
      <c r="BI196" s="160"/>
      <c r="BJ196" s="160"/>
      <c r="BK196" s="160"/>
      <c r="BL196" s="160"/>
      <c r="BM196" s="160"/>
      <c r="BN196" s="160"/>
      <c r="BO196" s="160"/>
      <c r="BP196" s="160"/>
      <c r="BQ196" s="160"/>
      <c r="BR196" s="160"/>
      <c r="BS196" s="160"/>
      <c r="BT196" s="160"/>
      <c r="BU196" s="160"/>
      <c r="BV196" s="160"/>
      <c r="BW196" s="160"/>
      <c r="BX196" s="160"/>
      <c r="BY196" s="160"/>
      <c r="BZ196" s="160"/>
      <c r="CA196" s="160"/>
      <c r="CB196" s="160"/>
      <c r="CC196" s="160"/>
      <c r="CD196" s="160"/>
      <c r="CE196" s="160"/>
      <c r="CF196" s="160"/>
      <c r="CG196" s="160"/>
      <c r="CH196" s="160"/>
      <c r="CI196" s="160"/>
      <c r="CJ196" s="160"/>
      <c r="CK196" s="160"/>
      <c r="CL196" s="160"/>
    </row>
    <row r="197">
      <c r="A197" s="166" t="s">
        <v>599</v>
      </c>
      <c r="B197" s="167" t="s">
        <v>600</v>
      </c>
      <c r="C197" s="168" t="s">
        <v>71</v>
      </c>
      <c r="D197" s="169" t="str">
        <f>IFERROR(VLOOKUP(C197, PIC!A:B, 2, 0), "")</f>
        <v>Tan Tran</v>
      </c>
      <c r="E197" s="167" t="s">
        <v>25</v>
      </c>
      <c r="F197" s="16" t="s">
        <v>858</v>
      </c>
      <c r="G197" s="16" t="s">
        <v>972</v>
      </c>
      <c r="H197" s="170">
        <f>IFERROR(
  MINIFS(ATTENDANCE_LOG!$F:$F,
         ATTENDANCE_LOG!$A:$A, C197,
         ATTENDANCE_LOG!$B:$B, E197),
"")</f>
        <v>45713.58333</v>
      </c>
      <c r="I197" s="170">
        <f t="shared" si="2"/>
        <v>45713.58333</v>
      </c>
      <c r="J197" s="11">
        <f>IFERROR(VLOOKUP(F197, LEVEL_HELPER!$A:$B, 2, 0), "")</f>
        <v>4.5</v>
      </c>
      <c r="K197" s="11">
        <f>IFERROR(VLOOKUP(G197, LEVEL_HELPER!$A:$B, 2, 0), "")</f>
        <v>6</v>
      </c>
      <c r="L197" s="171" t="s">
        <v>973</v>
      </c>
      <c r="M197" s="171" t="s">
        <v>150</v>
      </c>
      <c r="N197" s="11">
        <f t="array" ref="N197">IFERROR(
  INDEX($J$2:$J$531,
    MATCH(A197&amp;TEXT(I197,"yyyy-mm-dd"),
          $A$2:$A$531&amp;TEXT($H$2:$H$531,"yyyy-mm-dd"),
          0)),
"")</f>
        <v>4.5</v>
      </c>
      <c r="O197" s="160">
        <f t="shared" si="3"/>
        <v>6</v>
      </c>
      <c r="P197" s="160">
        <f t="shared" ref="P197:Q197" si="207">IF(N197="",0,IF(N197&lt;=2,1,IF(N197&lt;=4,2,IF(N197&lt;=5.5,3,4))))</f>
        <v>3</v>
      </c>
      <c r="Q197" s="160">
        <f t="shared" si="207"/>
        <v>4</v>
      </c>
      <c r="R197" s="160" t="str">
        <f t="shared" si="5"/>
        <v>Lv3 → Lv4</v>
      </c>
      <c r="S197" s="160">
        <f t="shared" si="6"/>
        <v>1</v>
      </c>
      <c r="T197" s="172" t="s">
        <v>974</v>
      </c>
      <c r="U197" s="160">
        <f>COUNTIFS(sheet2!$A:$A,A197,sheet2!$E:$E,E197)</f>
        <v>1</v>
      </c>
      <c r="V197" s="160"/>
      <c r="W197" s="160"/>
      <c r="X197" s="160" t="str">
        <f t="shared" si="7"/>
        <v>#N/A</v>
      </c>
      <c r="Y197" s="160" t="str">
        <f t="shared" si="8"/>
        <v>#N/A</v>
      </c>
      <c r="Z197" s="160" t="str">
        <f t="shared" si="9"/>
        <v>#N/A</v>
      </c>
      <c r="AA197" s="160"/>
      <c r="AB197" s="160"/>
      <c r="AC197" s="160"/>
      <c r="AD197" s="160"/>
      <c r="AE197" s="160"/>
      <c r="AF197" s="160"/>
      <c r="AG197" s="160"/>
      <c r="AH197" s="160"/>
      <c r="AI197" s="160"/>
      <c r="AJ197" s="160"/>
      <c r="AK197" s="160"/>
      <c r="AL197" s="160"/>
      <c r="AM197" s="160"/>
      <c r="AN197" s="164"/>
      <c r="AO197" s="160"/>
      <c r="AP197" s="160" t="str">
        <f t="shared" si="10"/>
        <v>#N/A</v>
      </c>
      <c r="AQ197" s="160" t="str">
        <f t="shared" si="11"/>
        <v>#N/A</v>
      </c>
      <c r="AR197" s="160" t="str">
        <f t="shared" si="12"/>
        <v>#N/A</v>
      </c>
      <c r="AS197" s="160"/>
      <c r="AT197" s="160"/>
      <c r="AU197" s="160"/>
      <c r="AV197" s="160"/>
      <c r="AW197" s="160"/>
      <c r="AX197" s="160"/>
      <c r="AY197" s="160"/>
      <c r="AZ197" s="160"/>
      <c r="BA197" s="160"/>
      <c r="BB197" s="160"/>
      <c r="BC197" s="160"/>
      <c r="BD197" s="160"/>
      <c r="BE197" s="160"/>
      <c r="BF197" s="160"/>
      <c r="BG197" s="160"/>
      <c r="BH197" s="160"/>
      <c r="BI197" s="160"/>
      <c r="BJ197" s="160"/>
      <c r="BK197" s="160"/>
      <c r="BL197" s="160"/>
      <c r="BM197" s="160"/>
      <c r="BN197" s="160"/>
      <c r="BO197" s="160"/>
      <c r="BP197" s="160"/>
      <c r="BQ197" s="160"/>
      <c r="BR197" s="160"/>
      <c r="BS197" s="160"/>
      <c r="BT197" s="160"/>
      <c r="BU197" s="160"/>
      <c r="BV197" s="160"/>
      <c r="BW197" s="160"/>
      <c r="BX197" s="160"/>
      <c r="BY197" s="160"/>
      <c r="BZ197" s="160"/>
      <c r="CA197" s="160"/>
      <c r="CB197" s="160"/>
      <c r="CC197" s="160"/>
      <c r="CD197" s="160"/>
      <c r="CE197" s="160"/>
      <c r="CF197" s="160"/>
      <c r="CG197" s="160"/>
      <c r="CH197" s="160"/>
      <c r="CI197" s="160"/>
      <c r="CJ197" s="160"/>
      <c r="CK197" s="160"/>
      <c r="CL197" s="160"/>
    </row>
    <row r="198">
      <c r="A198" s="174" t="s">
        <v>591</v>
      </c>
      <c r="B198" s="11" t="s">
        <v>592</v>
      </c>
      <c r="C198" s="175" t="s">
        <v>71</v>
      </c>
      <c r="D198" s="176" t="str">
        <f>IFERROR(VLOOKUP(C198, PIC!A:B, 2, 0), "")</f>
        <v>Tan Tran</v>
      </c>
      <c r="E198" s="11" t="s">
        <v>25</v>
      </c>
      <c r="F198" s="16" t="s">
        <v>858</v>
      </c>
      <c r="G198" s="16" t="s">
        <v>972</v>
      </c>
      <c r="H198" s="170">
        <f>IFERROR(
  MINIFS(ATTENDANCE_LOG!$F:$F,
         ATTENDANCE_LOG!$A:$A, C198,
         ATTENDANCE_LOG!$B:$B, E198),
"")</f>
        <v>45713.58333</v>
      </c>
      <c r="I198" s="170">
        <f t="shared" si="2"/>
        <v>45713.58333</v>
      </c>
      <c r="J198" s="11">
        <f>IFERROR(VLOOKUP(F198, LEVEL_HELPER!$A:$B, 2, 0), "")</f>
        <v>4.5</v>
      </c>
      <c r="K198" s="11">
        <f>IFERROR(VLOOKUP(G198, LEVEL_HELPER!$A:$B, 2, 0), "")</f>
        <v>6</v>
      </c>
      <c r="L198" s="171" t="s">
        <v>973</v>
      </c>
      <c r="M198" s="171" t="s">
        <v>150</v>
      </c>
      <c r="N198" s="11">
        <f t="array" ref="N198">IFERROR(
  INDEX($J$2:$J$531,
    MATCH(A198&amp;TEXT(I198,"yyyy-mm-dd"),
          $A$2:$A$531&amp;TEXT($H$2:$H$531,"yyyy-mm-dd"),
          0)),
"")</f>
        <v>4.5</v>
      </c>
      <c r="O198" s="160">
        <f t="shared" si="3"/>
        <v>6</v>
      </c>
      <c r="P198" s="160">
        <f t="shared" ref="P198:Q198" si="208">IF(N198="",0,IF(N198&lt;=2,1,IF(N198&lt;=4,2,IF(N198&lt;=5.5,3,4))))</f>
        <v>3</v>
      </c>
      <c r="Q198" s="160">
        <f t="shared" si="208"/>
        <v>4</v>
      </c>
      <c r="R198" s="160" t="str">
        <f t="shared" si="5"/>
        <v>Lv3 → Lv4</v>
      </c>
      <c r="S198" s="160">
        <f t="shared" si="6"/>
        <v>1</v>
      </c>
      <c r="T198" s="177" t="s">
        <v>975</v>
      </c>
      <c r="U198" s="160">
        <f>COUNTIFS(sheet2!$A:$A,A198,sheet2!$E:$E,E198)</f>
        <v>1</v>
      </c>
      <c r="V198" s="160"/>
      <c r="W198" s="160"/>
      <c r="X198" s="160" t="str">
        <f t="shared" si="7"/>
        <v>#N/A</v>
      </c>
      <c r="Y198" s="160" t="str">
        <f t="shared" si="8"/>
        <v>#N/A</v>
      </c>
      <c r="Z198" s="160" t="str">
        <f t="shared" si="9"/>
        <v>#N/A</v>
      </c>
      <c r="AA198" s="160"/>
      <c r="AB198" s="160"/>
      <c r="AC198" s="160"/>
      <c r="AD198" s="160"/>
      <c r="AE198" s="160"/>
      <c r="AF198" s="160"/>
      <c r="AG198" s="160"/>
      <c r="AH198" s="160"/>
      <c r="AI198" s="160"/>
      <c r="AJ198" s="160"/>
      <c r="AK198" s="160"/>
      <c r="AL198" s="160"/>
      <c r="AM198" s="160"/>
      <c r="AN198" s="164"/>
      <c r="AO198" s="160"/>
      <c r="AP198" s="160" t="str">
        <f t="shared" si="10"/>
        <v>#N/A</v>
      </c>
      <c r="AQ198" s="160" t="str">
        <f t="shared" si="11"/>
        <v>#N/A</v>
      </c>
      <c r="AR198" s="160" t="str">
        <f t="shared" si="12"/>
        <v>#N/A</v>
      </c>
      <c r="AS198" s="160"/>
      <c r="AT198" s="160"/>
      <c r="AU198" s="160"/>
      <c r="AV198" s="160"/>
      <c r="AW198" s="160"/>
      <c r="AX198" s="160"/>
      <c r="AY198" s="160"/>
      <c r="AZ198" s="160"/>
      <c r="BA198" s="160"/>
      <c r="BB198" s="160"/>
      <c r="BC198" s="160"/>
      <c r="BD198" s="160"/>
      <c r="BE198" s="160"/>
      <c r="BF198" s="160"/>
      <c r="BG198" s="160"/>
      <c r="BH198" s="160"/>
      <c r="BI198" s="160"/>
      <c r="BJ198" s="160"/>
      <c r="BK198" s="160"/>
      <c r="BL198" s="160"/>
      <c r="BM198" s="160"/>
      <c r="BN198" s="160"/>
      <c r="BO198" s="160"/>
      <c r="BP198" s="160"/>
      <c r="BQ198" s="160"/>
      <c r="BR198" s="160"/>
      <c r="BS198" s="160"/>
      <c r="BT198" s="160"/>
      <c r="BU198" s="160"/>
      <c r="BV198" s="160"/>
      <c r="BW198" s="160"/>
      <c r="BX198" s="160"/>
      <c r="BY198" s="160"/>
      <c r="BZ198" s="160"/>
      <c r="CA198" s="160"/>
      <c r="CB198" s="160"/>
      <c r="CC198" s="160"/>
      <c r="CD198" s="160"/>
      <c r="CE198" s="160"/>
      <c r="CF198" s="160"/>
      <c r="CG198" s="160"/>
      <c r="CH198" s="160"/>
      <c r="CI198" s="160"/>
      <c r="CJ198" s="160"/>
      <c r="CK198" s="160"/>
      <c r="CL198" s="160"/>
    </row>
    <row r="199">
      <c r="A199" s="174" t="s">
        <v>593</v>
      </c>
      <c r="B199" s="11" t="s">
        <v>594</v>
      </c>
      <c r="C199" s="175" t="s">
        <v>71</v>
      </c>
      <c r="D199" s="176" t="str">
        <f>IFERROR(VLOOKUP(C199, PIC!A:B, 2, 0), "")</f>
        <v>Tan Tran</v>
      </c>
      <c r="E199" s="11" t="s">
        <v>25</v>
      </c>
      <c r="F199" s="16" t="s">
        <v>858</v>
      </c>
      <c r="G199" s="11"/>
      <c r="H199" s="170">
        <f>IFERROR(
  MINIFS(ATTENDANCE_LOG!$F:$F,
         ATTENDANCE_LOG!$A:$A, C199,
         ATTENDANCE_LOG!$B:$B, E199),
"")</f>
        <v>45713.58333</v>
      </c>
      <c r="I199" s="170">
        <f t="shared" si="2"/>
        <v>45639.45833</v>
      </c>
      <c r="J199" s="11">
        <f>IFERROR(VLOOKUP(F199, LEVEL_HELPER!$A:$B, 2, 0), "")</f>
        <v>4.5</v>
      </c>
      <c r="K199" s="11" t="str">
        <f>IFERROR(VLOOKUP(G199, LEVEL_HELPER!$A:$B, 2, 0), "")</f>
        <v/>
      </c>
      <c r="L199" s="171" t="s">
        <v>976</v>
      </c>
      <c r="M199" s="171" t="s">
        <v>148</v>
      </c>
      <c r="N199" s="11">
        <f t="array" ref="N199">IFERROR(
  INDEX($J$2:$J$531,
    MATCH(A199&amp;TEXT(I199,"yyyy-mm-dd"),
          $A$2:$A$531&amp;TEXT($H$2:$H$531,"yyyy-mm-dd"),
          0)),
"")</f>
        <v>2.5</v>
      </c>
      <c r="O199" s="160">
        <f t="shared" si="3"/>
        <v>4.5</v>
      </c>
      <c r="P199" s="160">
        <f t="shared" ref="P199:Q199" si="209">IF(N199="",0,IF(N199&lt;=2,1,IF(N199&lt;=4,2,IF(N199&lt;=5.5,3,4))))</f>
        <v>2</v>
      </c>
      <c r="Q199" s="160">
        <f t="shared" si="209"/>
        <v>3</v>
      </c>
      <c r="R199" s="160" t="str">
        <f t="shared" si="5"/>
        <v>Lv2 → Lv3</v>
      </c>
      <c r="S199" s="160">
        <f t="shared" si="6"/>
        <v>0</v>
      </c>
      <c r="T199" s="198"/>
      <c r="U199" s="160">
        <f>COUNTIFS(sheet2!$A:$A,A199,sheet2!$E:$E,E199)</f>
        <v>1</v>
      </c>
      <c r="V199" s="160"/>
      <c r="W199" s="160"/>
      <c r="X199" s="160" t="str">
        <f t="shared" si="7"/>
        <v>#N/A</v>
      </c>
      <c r="Y199" s="160" t="str">
        <f t="shared" si="8"/>
        <v>#N/A</v>
      </c>
      <c r="Z199" s="160" t="str">
        <f t="shared" si="9"/>
        <v>#N/A</v>
      </c>
      <c r="AA199" s="160"/>
      <c r="AB199" s="160"/>
      <c r="AC199" s="160"/>
      <c r="AD199" s="160"/>
      <c r="AE199" s="160"/>
      <c r="AF199" s="160"/>
      <c r="AG199" s="160"/>
      <c r="AH199" s="160"/>
      <c r="AI199" s="160"/>
      <c r="AJ199" s="160"/>
      <c r="AK199" s="160"/>
      <c r="AL199" s="160"/>
      <c r="AM199" s="160"/>
      <c r="AN199" s="164"/>
      <c r="AO199" s="160"/>
      <c r="AP199" s="160" t="str">
        <f t="shared" si="10"/>
        <v>#N/A</v>
      </c>
      <c r="AQ199" s="160" t="str">
        <f t="shared" si="11"/>
        <v>#N/A</v>
      </c>
      <c r="AR199" s="160" t="str">
        <f t="shared" si="12"/>
        <v>#N/A</v>
      </c>
      <c r="AS199" s="160"/>
      <c r="AT199" s="160"/>
      <c r="AU199" s="160"/>
      <c r="AV199" s="160"/>
      <c r="AW199" s="160"/>
      <c r="AX199" s="160"/>
      <c r="AY199" s="160"/>
      <c r="AZ199" s="160"/>
      <c r="BA199" s="160"/>
      <c r="BB199" s="160"/>
      <c r="BC199" s="160"/>
      <c r="BD199" s="160"/>
      <c r="BE199" s="160"/>
      <c r="BF199" s="160"/>
      <c r="BG199" s="160"/>
      <c r="BH199" s="160"/>
      <c r="BI199" s="160"/>
      <c r="BJ199" s="160"/>
      <c r="BK199" s="160"/>
      <c r="BL199" s="160"/>
      <c r="BM199" s="160"/>
      <c r="BN199" s="160"/>
      <c r="BO199" s="160"/>
      <c r="BP199" s="160"/>
      <c r="BQ199" s="160"/>
      <c r="BR199" s="160"/>
      <c r="BS199" s="160"/>
      <c r="BT199" s="160"/>
      <c r="BU199" s="160"/>
      <c r="BV199" s="160"/>
      <c r="BW199" s="160"/>
      <c r="BX199" s="160"/>
      <c r="BY199" s="160"/>
      <c r="BZ199" s="160"/>
      <c r="CA199" s="160"/>
      <c r="CB199" s="160"/>
      <c r="CC199" s="160"/>
      <c r="CD199" s="160"/>
      <c r="CE199" s="160"/>
      <c r="CF199" s="160"/>
      <c r="CG199" s="160"/>
      <c r="CH199" s="160"/>
      <c r="CI199" s="160"/>
      <c r="CJ199" s="160"/>
      <c r="CK199" s="160"/>
      <c r="CL199" s="160"/>
    </row>
    <row r="200">
      <c r="A200" s="174" t="s">
        <v>595</v>
      </c>
      <c r="B200" s="11" t="s">
        <v>596</v>
      </c>
      <c r="C200" s="175" t="s">
        <v>71</v>
      </c>
      <c r="D200" s="176" t="str">
        <f>IFERROR(VLOOKUP(C200, PIC!A:B, 2, 0), "")</f>
        <v>Tan Tran</v>
      </c>
      <c r="E200" s="11" t="s">
        <v>25</v>
      </c>
      <c r="F200" s="16" t="s">
        <v>858</v>
      </c>
      <c r="G200" s="16" t="s">
        <v>972</v>
      </c>
      <c r="H200" s="170">
        <f>IFERROR(
  MINIFS(ATTENDANCE_LOG!$F:$F,
         ATTENDANCE_LOG!$A:$A, C200,
         ATTENDANCE_LOG!$B:$B, E200),
"")</f>
        <v>45713.58333</v>
      </c>
      <c r="I200" s="170">
        <f t="shared" si="2"/>
        <v>45713.58333</v>
      </c>
      <c r="J200" s="11">
        <f>IFERROR(VLOOKUP(F200, LEVEL_HELPER!$A:$B, 2, 0), "")</f>
        <v>4.5</v>
      </c>
      <c r="K200" s="11">
        <f>IFERROR(VLOOKUP(G200, LEVEL_HELPER!$A:$B, 2, 0), "")</f>
        <v>6</v>
      </c>
      <c r="L200" s="171" t="s">
        <v>973</v>
      </c>
      <c r="M200" s="183" t="s">
        <v>149</v>
      </c>
      <c r="N200" s="11">
        <f t="array" ref="N200">IFERROR(
  INDEX($J$2:$J$531,
    MATCH(A200&amp;TEXT(I200,"yyyy-mm-dd"),
          $A$2:$A$531&amp;TEXT($H$2:$H$531,"yyyy-mm-dd"),
          0)),
"")</f>
        <v>4.5</v>
      </c>
      <c r="O200" s="160">
        <f t="shared" si="3"/>
        <v>6</v>
      </c>
      <c r="P200" s="160">
        <f t="shared" ref="P200:Q200" si="210">IF(N200="",0,IF(N200&lt;=2,1,IF(N200&lt;=4,2,IF(N200&lt;=5.5,3,4))))</f>
        <v>3</v>
      </c>
      <c r="Q200" s="160">
        <f t="shared" si="210"/>
        <v>4</v>
      </c>
      <c r="R200" s="160" t="str">
        <f t="shared" si="5"/>
        <v>Lv3 → Lv4</v>
      </c>
      <c r="S200" s="160">
        <f t="shared" si="6"/>
        <v>1</v>
      </c>
      <c r="T200" s="177" t="s">
        <v>977</v>
      </c>
      <c r="U200" s="160">
        <f>COUNTIFS(sheet2!$A:$A,A200,sheet2!$E:$E,E200)</f>
        <v>1</v>
      </c>
      <c r="V200" s="160"/>
      <c r="W200" s="160"/>
      <c r="X200" s="160" t="str">
        <f t="shared" si="7"/>
        <v>#N/A</v>
      </c>
      <c r="Y200" s="160" t="str">
        <f t="shared" si="8"/>
        <v>#N/A</v>
      </c>
      <c r="Z200" s="160" t="str">
        <f t="shared" si="9"/>
        <v>#N/A</v>
      </c>
      <c r="AA200" s="160"/>
      <c r="AB200" s="160"/>
      <c r="AC200" s="160"/>
      <c r="AD200" s="160"/>
      <c r="AE200" s="160"/>
      <c r="AF200" s="160"/>
      <c r="AG200" s="160"/>
      <c r="AH200" s="160"/>
      <c r="AI200" s="160"/>
      <c r="AJ200" s="160"/>
      <c r="AK200" s="160"/>
      <c r="AL200" s="160"/>
      <c r="AM200" s="160"/>
      <c r="AN200" s="164"/>
      <c r="AO200" s="160"/>
      <c r="AP200" s="160" t="str">
        <f t="shared" si="10"/>
        <v>#N/A</v>
      </c>
      <c r="AQ200" s="160" t="str">
        <f t="shared" si="11"/>
        <v>#N/A</v>
      </c>
      <c r="AR200" s="160" t="str">
        <f t="shared" si="12"/>
        <v>#N/A</v>
      </c>
      <c r="AS200" s="160"/>
      <c r="AT200" s="160"/>
      <c r="AU200" s="160"/>
      <c r="AV200" s="160"/>
      <c r="AW200" s="160"/>
      <c r="AX200" s="160"/>
      <c r="AY200" s="160"/>
      <c r="AZ200" s="160"/>
      <c r="BA200" s="160"/>
      <c r="BB200" s="160"/>
      <c r="BC200" s="160"/>
      <c r="BD200" s="160"/>
      <c r="BE200" s="160"/>
      <c r="BF200" s="160"/>
      <c r="BG200" s="160"/>
      <c r="BH200" s="160"/>
      <c r="BI200" s="160"/>
      <c r="BJ200" s="160"/>
      <c r="BK200" s="160"/>
      <c r="BL200" s="160"/>
      <c r="BM200" s="160"/>
      <c r="BN200" s="160"/>
      <c r="BO200" s="160"/>
      <c r="BP200" s="160"/>
      <c r="BQ200" s="160"/>
      <c r="BR200" s="160"/>
      <c r="BS200" s="160"/>
      <c r="BT200" s="160"/>
      <c r="BU200" s="160"/>
      <c r="BV200" s="160"/>
      <c r="BW200" s="160"/>
      <c r="BX200" s="160"/>
      <c r="BY200" s="160"/>
      <c r="BZ200" s="160"/>
      <c r="CA200" s="160"/>
      <c r="CB200" s="160"/>
      <c r="CC200" s="160"/>
      <c r="CD200" s="160"/>
      <c r="CE200" s="160"/>
      <c r="CF200" s="160"/>
      <c r="CG200" s="160"/>
      <c r="CH200" s="160"/>
      <c r="CI200" s="160"/>
      <c r="CJ200" s="160"/>
      <c r="CK200" s="160"/>
      <c r="CL200" s="160"/>
    </row>
    <row r="201">
      <c r="A201" s="174" t="s">
        <v>597</v>
      </c>
      <c r="B201" s="11" t="s">
        <v>598</v>
      </c>
      <c r="C201" s="175" t="s">
        <v>71</v>
      </c>
      <c r="D201" s="176" t="str">
        <f>IFERROR(VLOOKUP(C201, PIC!A:B, 2, 0), "")</f>
        <v>Tan Tran</v>
      </c>
      <c r="E201" s="11" t="s">
        <v>25</v>
      </c>
      <c r="F201" s="16" t="s">
        <v>858</v>
      </c>
      <c r="G201" s="16" t="s">
        <v>972</v>
      </c>
      <c r="H201" s="170">
        <f>IFERROR(
  MINIFS(ATTENDANCE_LOG!$F:$F,
         ATTENDANCE_LOG!$A:$A, C201,
         ATTENDANCE_LOG!$B:$B, E201),
"")</f>
        <v>45713.58333</v>
      </c>
      <c r="I201" s="170">
        <f t="shared" si="2"/>
        <v>45713.58333</v>
      </c>
      <c r="J201" s="11">
        <f>IFERROR(VLOOKUP(F201, LEVEL_HELPER!$A:$B, 2, 0), "")</f>
        <v>4.5</v>
      </c>
      <c r="K201" s="11">
        <f>IFERROR(VLOOKUP(G201, LEVEL_HELPER!$A:$B, 2, 0), "")</f>
        <v>6</v>
      </c>
      <c r="L201" s="171" t="s">
        <v>973</v>
      </c>
      <c r="M201" s="171" t="s">
        <v>150</v>
      </c>
      <c r="N201" s="11">
        <f t="array" ref="N201">IFERROR(
  INDEX($J$2:$J$531,
    MATCH(A201&amp;TEXT(I201,"yyyy-mm-dd"),
          $A$2:$A$531&amp;TEXT($H$2:$H$531,"yyyy-mm-dd"),
          0)),
"")</f>
        <v>4.5</v>
      </c>
      <c r="O201" s="160">
        <f t="shared" si="3"/>
        <v>6</v>
      </c>
      <c r="P201" s="160">
        <f t="shared" ref="P201:Q201" si="211">IF(N201="",0,IF(N201&lt;=2,1,IF(N201&lt;=4,2,IF(N201&lt;=5.5,3,4))))</f>
        <v>3</v>
      </c>
      <c r="Q201" s="160">
        <f t="shared" si="211"/>
        <v>4</v>
      </c>
      <c r="R201" s="160" t="str">
        <f t="shared" si="5"/>
        <v>Lv3 → Lv4</v>
      </c>
      <c r="S201" s="160">
        <f t="shared" si="6"/>
        <v>1</v>
      </c>
      <c r="T201" s="177" t="s">
        <v>978</v>
      </c>
      <c r="U201" s="160">
        <f>COUNTIFS(sheet2!$A:$A,A201,sheet2!$E:$E,E201)</f>
        <v>1</v>
      </c>
      <c r="V201" s="160"/>
      <c r="W201" s="160"/>
      <c r="X201" s="160" t="str">
        <f t="shared" si="7"/>
        <v>#N/A</v>
      </c>
      <c r="Y201" s="160" t="str">
        <f t="shared" si="8"/>
        <v>#N/A</v>
      </c>
      <c r="Z201" s="160" t="str">
        <f t="shared" si="9"/>
        <v>#N/A</v>
      </c>
      <c r="AA201" s="160"/>
      <c r="AB201" s="160"/>
      <c r="AC201" s="160"/>
      <c r="AD201" s="160"/>
      <c r="AE201" s="160"/>
      <c r="AF201" s="160"/>
      <c r="AG201" s="160"/>
      <c r="AH201" s="160"/>
      <c r="AI201" s="160"/>
      <c r="AJ201" s="160"/>
      <c r="AK201" s="160"/>
      <c r="AL201" s="160"/>
      <c r="AM201" s="160"/>
      <c r="AN201" s="164"/>
      <c r="AO201" s="160"/>
      <c r="AP201" s="160" t="str">
        <f t="shared" si="10"/>
        <v>#N/A</v>
      </c>
      <c r="AQ201" s="160" t="str">
        <f t="shared" si="11"/>
        <v>#N/A</v>
      </c>
      <c r="AR201" s="160" t="str">
        <f t="shared" si="12"/>
        <v>#N/A</v>
      </c>
      <c r="AS201" s="160"/>
      <c r="AT201" s="160"/>
      <c r="AU201" s="160"/>
      <c r="AV201" s="160"/>
      <c r="AW201" s="160"/>
      <c r="AX201" s="160"/>
      <c r="AY201" s="160"/>
      <c r="AZ201" s="160"/>
      <c r="BA201" s="160"/>
      <c r="BB201" s="160"/>
      <c r="BC201" s="160"/>
      <c r="BD201" s="160"/>
      <c r="BE201" s="160"/>
      <c r="BF201" s="160"/>
      <c r="BG201" s="160"/>
      <c r="BH201" s="160"/>
      <c r="BI201" s="160"/>
      <c r="BJ201" s="160"/>
      <c r="BK201" s="160"/>
      <c r="BL201" s="160"/>
      <c r="BM201" s="160"/>
      <c r="BN201" s="160"/>
      <c r="BO201" s="160"/>
      <c r="BP201" s="160"/>
      <c r="BQ201" s="160"/>
      <c r="BR201" s="160"/>
      <c r="BS201" s="160"/>
      <c r="BT201" s="160"/>
      <c r="BU201" s="160"/>
      <c r="BV201" s="160"/>
      <c r="BW201" s="160"/>
      <c r="BX201" s="160"/>
      <c r="BY201" s="160"/>
      <c r="BZ201" s="160"/>
      <c r="CA201" s="160"/>
      <c r="CB201" s="160"/>
      <c r="CC201" s="160"/>
      <c r="CD201" s="160"/>
      <c r="CE201" s="160"/>
      <c r="CF201" s="160"/>
      <c r="CG201" s="160"/>
      <c r="CH201" s="160"/>
      <c r="CI201" s="160"/>
      <c r="CJ201" s="160"/>
      <c r="CK201" s="160"/>
      <c r="CL201" s="160"/>
    </row>
    <row r="202">
      <c r="A202" s="174" t="s">
        <v>601</v>
      </c>
      <c r="B202" s="11" t="s">
        <v>602</v>
      </c>
      <c r="C202" s="175" t="s">
        <v>71</v>
      </c>
      <c r="D202" s="176" t="str">
        <f>IFERROR(VLOOKUP(C202, PIC!A:B, 2, 0), "")</f>
        <v>Tan Tran</v>
      </c>
      <c r="E202" s="11" t="s">
        <v>25</v>
      </c>
      <c r="F202" s="16" t="s">
        <v>858</v>
      </c>
      <c r="G202" s="16" t="s">
        <v>972</v>
      </c>
      <c r="H202" s="170">
        <f>IFERROR(
  MINIFS(ATTENDANCE_LOG!$F:$F,
         ATTENDANCE_LOG!$A:$A, C202,
         ATTENDANCE_LOG!$B:$B, E202),
"")</f>
        <v>45713.58333</v>
      </c>
      <c r="I202" s="170">
        <f t="shared" si="2"/>
        <v>45713.58333</v>
      </c>
      <c r="J202" s="11">
        <f>IFERROR(VLOOKUP(F202, LEVEL_HELPER!$A:$B, 2, 0), "")</f>
        <v>4.5</v>
      </c>
      <c r="K202" s="11">
        <f>IFERROR(VLOOKUP(G202, LEVEL_HELPER!$A:$B, 2, 0), "")</f>
        <v>6</v>
      </c>
      <c r="L202" s="171" t="s">
        <v>847</v>
      </c>
      <c r="M202" s="171" t="s">
        <v>150</v>
      </c>
      <c r="N202" s="11">
        <f t="array" ref="N202">IFERROR(
  INDEX($J$2:$J$531,
    MATCH(A202&amp;TEXT(I202,"yyyy-mm-dd"),
          $A$2:$A$531&amp;TEXT($H$2:$H$531,"yyyy-mm-dd"),
          0)),
"")</f>
        <v>4.5</v>
      </c>
      <c r="O202" s="160">
        <f t="shared" si="3"/>
        <v>6</v>
      </c>
      <c r="P202" s="160">
        <f t="shared" ref="P202:Q202" si="212">IF(N202="",0,IF(N202&lt;=2,1,IF(N202&lt;=4,2,IF(N202&lt;=5.5,3,4))))</f>
        <v>3</v>
      </c>
      <c r="Q202" s="160">
        <f t="shared" si="212"/>
        <v>4</v>
      </c>
      <c r="R202" s="160" t="str">
        <f t="shared" si="5"/>
        <v>Lv3 → Lv4</v>
      </c>
      <c r="S202" s="160">
        <f t="shared" si="6"/>
        <v>1</v>
      </c>
      <c r="T202" s="177" t="s">
        <v>979</v>
      </c>
      <c r="U202" s="160">
        <f>COUNTIFS(sheet2!$A:$A,A202,sheet2!$E:$E,E202)</f>
        <v>1</v>
      </c>
      <c r="V202" s="160"/>
      <c r="W202" s="160"/>
      <c r="X202" s="160" t="str">
        <f t="shared" si="7"/>
        <v>#N/A</v>
      </c>
      <c r="Y202" s="160" t="str">
        <f t="shared" si="8"/>
        <v>#N/A</v>
      </c>
      <c r="Z202" s="160" t="str">
        <f t="shared" si="9"/>
        <v>#N/A</v>
      </c>
      <c r="AA202" s="160"/>
      <c r="AB202" s="160"/>
      <c r="AC202" s="160"/>
      <c r="AD202" s="160"/>
      <c r="AE202" s="160"/>
      <c r="AF202" s="160"/>
      <c r="AG202" s="160"/>
      <c r="AH202" s="160"/>
      <c r="AI202" s="160"/>
      <c r="AJ202" s="160"/>
      <c r="AK202" s="160"/>
      <c r="AL202" s="160"/>
      <c r="AM202" s="160"/>
      <c r="AN202" s="164"/>
      <c r="AO202" s="160"/>
      <c r="AP202" s="160" t="str">
        <f t="shared" si="10"/>
        <v>#N/A</v>
      </c>
      <c r="AQ202" s="160" t="str">
        <f t="shared" si="11"/>
        <v>#N/A</v>
      </c>
      <c r="AR202" s="160" t="str">
        <f t="shared" si="12"/>
        <v>#N/A</v>
      </c>
      <c r="AS202" s="160"/>
      <c r="AT202" s="160"/>
      <c r="AU202" s="160"/>
      <c r="AV202" s="160"/>
      <c r="AW202" s="160"/>
      <c r="AX202" s="160"/>
      <c r="AY202" s="160"/>
      <c r="AZ202" s="160"/>
      <c r="BA202" s="160"/>
      <c r="BB202" s="160"/>
      <c r="BC202" s="160"/>
      <c r="BD202" s="160"/>
      <c r="BE202" s="160"/>
      <c r="BF202" s="160"/>
      <c r="BG202" s="160"/>
      <c r="BH202" s="160"/>
      <c r="BI202" s="160"/>
      <c r="BJ202" s="160"/>
      <c r="BK202" s="160"/>
      <c r="BL202" s="160"/>
      <c r="BM202" s="160"/>
      <c r="BN202" s="160"/>
      <c r="BO202" s="160"/>
      <c r="BP202" s="160"/>
      <c r="BQ202" s="160"/>
      <c r="BR202" s="160"/>
      <c r="BS202" s="160"/>
      <c r="BT202" s="160"/>
      <c r="BU202" s="160"/>
      <c r="BV202" s="160"/>
      <c r="BW202" s="160"/>
      <c r="BX202" s="160"/>
      <c r="BY202" s="160"/>
      <c r="BZ202" s="160"/>
      <c r="CA202" s="160"/>
      <c r="CB202" s="160"/>
      <c r="CC202" s="160"/>
      <c r="CD202" s="160"/>
      <c r="CE202" s="160"/>
      <c r="CF202" s="160"/>
      <c r="CG202" s="160"/>
      <c r="CH202" s="160"/>
      <c r="CI202" s="160"/>
      <c r="CJ202" s="160"/>
      <c r="CK202" s="160"/>
      <c r="CL202" s="160"/>
    </row>
    <row r="203">
      <c r="A203" s="174" t="s">
        <v>603</v>
      </c>
      <c r="B203" s="11" t="s">
        <v>604</v>
      </c>
      <c r="C203" s="175" t="s">
        <v>71</v>
      </c>
      <c r="D203" s="176" t="str">
        <f>IFERROR(VLOOKUP(C203, PIC!A:B, 2, 0), "")</f>
        <v>Tan Tran</v>
      </c>
      <c r="E203" s="11" t="s">
        <v>25</v>
      </c>
      <c r="F203" s="16" t="s">
        <v>858</v>
      </c>
      <c r="G203" s="16" t="s">
        <v>972</v>
      </c>
      <c r="H203" s="170">
        <f>IFERROR(
  MINIFS(ATTENDANCE_LOG!$F:$F,
         ATTENDANCE_LOG!$A:$A, C203,
         ATTENDANCE_LOG!$B:$B, E203),
"")</f>
        <v>45713.58333</v>
      </c>
      <c r="I203" s="170">
        <f t="shared" si="2"/>
        <v>45713.58333</v>
      </c>
      <c r="J203" s="11">
        <f>IFERROR(VLOOKUP(F203, LEVEL_HELPER!$A:$B, 2, 0), "")</f>
        <v>4.5</v>
      </c>
      <c r="K203" s="11">
        <f>IFERROR(VLOOKUP(G203, LEVEL_HELPER!$A:$B, 2, 0), "")</f>
        <v>6</v>
      </c>
      <c r="L203" s="171" t="s">
        <v>880</v>
      </c>
      <c r="M203" s="183" t="s">
        <v>149</v>
      </c>
      <c r="N203" s="11">
        <f t="array" ref="N203">IFERROR(
  INDEX($J$2:$J$531,
    MATCH(A203&amp;TEXT(I203,"yyyy-mm-dd"),
          $A$2:$A$531&amp;TEXT($H$2:$H$531,"yyyy-mm-dd"),
          0)),
"")</f>
        <v>4.5</v>
      </c>
      <c r="O203" s="160">
        <f t="shared" si="3"/>
        <v>6</v>
      </c>
      <c r="P203" s="160">
        <f t="shared" ref="P203:Q203" si="213">IF(N203="",0,IF(N203&lt;=2,1,IF(N203&lt;=4,2,IF(N203&lt;=5.5,3,4))))</f>
        <v>3</v>
      </c>
      <c r="Q203" s="160">
        <f t="shared" si="213"/>
        <v>4</v>
      </c>
      <c r="R203" s="160" t="str">
        <f t="shared" si="5"/>
        <v>Lv3 → Lv4</v>
      </c>
      <c r="S203" s="160">
        <f t="shared" si="6"/>
        <v>1</v>
      </c>
      <c r="T203" s="177" t="s">
        <v>980</v>
      </c>
      <c r="U203" s="160">
        <f>COUNTIFS(sheet2!$A:$A,A203,sheet2!$E:$E,E203)</f>
        <v>1</v>
      </c>
      <c r="V203" s="160"/>
      <c r="W203" s="160"/>
      <c r="X203" s="160" t="str">
        <f t="shared" si="7"/>
        <v>#N/A</v>
      </c>
      <c r="Y203" s="160" t="str">
        <f t="shared" si="8"/>
        <v>#N/A</v>
      </c>
      <c r="Z203" s="160" t="str">
        <f t="shared" si="9"/>
        <v>#N/A</v>
      </c>
      <c r="AA203" s="160"/>
      <c r="AB203" s="160"/>
      <c r="AC203" s="160"/>
      <c r="AD203" s="160"/>
      <c r="AE203" s="160"/>
      <c r="AF203" s="160"/>
      <c r="AG203" s="160"/>
      <c r="AH203" s="160"/>
      <c r="AI203" s="160"/>
      <c r="AJ203" s="160"/>
      <c r="AK203" s="160"/>
      <c r="AL203" s="160"/>
      <c r="AM203" s="160"/>
      <c r="AN203" s="164"/>
      <c r="AO203" s="160"/>
      <c r="AP203" s="160" t="str">
        <f t="shared" si="10"/>
        <v>#N/A</v>
      </c>
      <c r="AQ203" s="160" t="str">
        <f t="shared" si="11"/>
        <v>#N/A</v>
      </c>
      <c r="AR203" s="160" t="str">
        <f t="shared" si="12"/>
        <v>#N/A</v>
      </c>
      <c r="AS203" s="160"/>
      <c r="AT203" s="160"/>
      <c r="AU203" s="160"/>
      <c r="AV203" s="160"/>
      <c r="AW203" s="160"/>
      <c r="AX203" s="160"/>
      <c r="AY203" s="160"/>
      <c r="AZ203" s="160"/>
      <c r="BA203" s="160"/>
      <c r="BB203" s="160"/>
      <c r="BC203" s="160"/>
      <c r="BD203" s="160"/>
      <c r="BE203" s="160"/>
      <c r="BF203" s="160"/>
      <c r="BG203" s="160"/>
      <c r="BH203" s="160"/>
      <c r="BI203" s="160"/>
      <c r="BJ203" s="160"/>
      <c r="BK203" s="160"/>
      <c r="BL203" s="160"/>
      <c r="BM203" s="160"/>
      <c r="BN203" s="160"/>
      <c r="BO203" s="160"/>
      <c r="BP203" s="160"/>
      <c r="BQ203" s="160"/>
      <c r="BR203" s="160"/>
      <c r="BS203" s="160"/>
      <c r="BT203" s="160"/>
      <c r="BU203" s="160"/>
      <c r="BV203" s="160"/>
      <c r="BW203" s="160"/>
      <c r="BX203" s="160"/>
      <c r="BY203" s="160"/>
      <c r="BZ203" s="160"/>
      <c r="CA203" s="160"/>
      <c r="CB203" s="160"/>
      <c r="CC203" s="160"/>
      <c r="CD203" s="160"/>
      <c r="CE203" s="160"/>
      <c r="CF203" s="160"/>
      <c r="CG203" s="160"/>
      <c r="CH203" s="160"/>
      <c r="CI203" s="160"/>
      <c r="CJ203" s="160"/>
      <c r="CK203" s="160"/>
      <c r="CL203" s="160"/>
    </row>
    <row r="204">
      <c r="A204" s="166" t="s">
        <v>666</v>
      </c>
      <c r="B204" s="167" t="s">
        <v>667</v>
      </c>
      <c r="C204" s="168" t="s">
        <v>72</v>
      </c>
      <c r="D204" s="169" t="str">
        <f>IFERROR(VLOOKUP(C204, PIC!A:B, 2, 0), "")</f>
        <v>Thien Truong</v>
      </c>
      <c r="E204" s="167" t="s">
        <v>22</v>
      </c>
      <c r="F204" s="16" t="s">
        <v>849</v>
      </c>
      <c r="G204" s="16" t="s">
        <v>846</v>
      </c>
      <c r="H204" s="170">
        <f>IFERROR(
  MINIFS(ATTENDANCE_LOG!$F:$F,
         ATTENDANCE_LOG!$A:$A, C204,
         ATTENDANCE_LOG!$B:$B, E204),
"")</f>
        <v>45670.54167</v>
      </c>
      <c r="I204" s="170">
        <f t="shared" si="2"/>
        <v>45670.54167</v>
      </c>
      <c r="J204" s="11">
        <f>IFERROR(VLOOKUP(F204, LEVEL_HELPER!$A:$B, 2, 0), "")</f>
        <v>1</v>
      </c>
      <c r="K204" s="11">
        <f>IFERROR(VLOOKUP(G204, LEVEL_HELPER!$A:$B, 2, 0), "")</f>
        <v>3</v>
      </c>
      <c r="L204" s="171" t="s">
        <v>400</v>
      </c>
      <c r="M204" s="171" t="s">
        <v>153</v>
      </c>
      <c r="N204" s="11">
        <f t="array" ref="N204">IFERROR(
  INDEX($J$2:$J$531,
    MATCH(A204&amp;TEXT(I204,"yyyy-mm-dd"),
          $A$2:$A$531&amp;TEXT($H$2:$H$531,"yyyy-mm-dd"),
          0)),
"")</f>
        <v>1</v>
      </c>
      <c r="O204" s="160">
        <f t="shared" si="3"/>
        <v>3.5</v>
      </c>
      <c r="P204" s="160">
        <f t="shared" ref="P204:Q204" si="214">IF(N204="",0,IF(N204&lt;=2,1,IF(N204&lt;=4,2,IF(N204&lt;=5.5,3,4))))</f>
        <v>1</v>
      </c>
      <c r="Q204" s="160">
        <f t="shared" si="214"/>
        <v>2</v>
      </c>
      <c r="R204" s="160" t="str">
        <f t="shared" si="5"/>
        <v>Lv1 → Lv2</v>
      </c>
      <c r="S204" s="160">
        <f t="shared" si="6"/>
        <v>1</v>
      </c>
      <c r="T204" s="186" t="s">
        <v>981</v>
      </c>
      <c r="U204" s="160">
        <f>COUNTIFS(sheet2!$A:$A,A204,sheet2!$E:$E,E204)</f>
        <v>1</v>
      </c>
      <c r="V204" s="160"/>
      <c r="W204" s="160"/>
      <c r="X204" s="160" t="str">
        <f t="shared" si="7"/>
        <v>#N/A</v>
      </c>
      <c r="Y204" s="160" t="str">
        <f t="shared" si="8"/>
        <v>#N/A</v>
      </c>
      <c r="Z204" s="160" t="str">
        <f t="shared" si="9"/>
        <v>#N/A</v>
      </c>
      <c r="AA204" s="160"/>
      <c r="AB204" s="160"/>
      <c r="AC204" s="160"/>
      <c r="AD204" s="160"/>
      <c r="AE204" s="160"/>
      <c r="AF204" s="160"/>
      <c r="AG204" s="160"/>
      <c r="AH204" s="160"/>
      <c r="AI204" s="160"/>
      <c r="AJ204" s="160"/>
      <c r="AK204" s="160"/>
      <c r="AL204" s="160"/>
      <c r="AM204" s="160"/>
      <c r="AN204" s="164"/>
      <c r="AO204" s="160"/>
      <c r="AP204" s="160" t="str">
        <f t="shared" si="10"/>
        <v>#N/A</v>
      </c>
      <c r="AQ204" s="160" t="str">
        <f t="shared" si="11"/>
        <v>#N/A</v>
      </c>
      <c r="AR204" s="160" t="str">
        <f t="shared" si="12"/>
        <v>#N/A</v>
      </c>
      <c r="AS204" s="160"/>
      <c r="AT204" s="160"/>
      <c r="AU204" s="160"/>
      <c r="AV204" s="160"/>
      <c r="AW204" s="160"/>
      <c r="AX204" s="160"/>
      <c r="AY204" s="160"/>
      <c r="AZ204" s="160"/>
      <c r="BA204" s="160"/>
      <c r="BB204" s="160"/>
      <c r="BC204" s="160"/>
      <c r="BD204" s="160"/>
      <c r="BE204" s="160"/>
      <c r="BF204" s="160"/>
      <c r="BG204" s="160"/>
      <c r="BH204" s="160"/>
      <c r="BI204" s="160"/>
      <c r="BJ204" s="160"/>
      <c r="BK204" s="160"/>
      <c r="BL204" s="160"/>
      <c r="BM204" s="160"/>
      <c r="BN204" s="160"/>
      <c r="BO204" s="160"/>
      <c r="BP204" s="160"/>
      <c r="BQ204" s="160"/>
      <c r="BR204" s="160"/>
      <c r="BS204" s="160"/>
      <c r="BT204" s="160"/>
      <c r="BU204" s="160"/>
      <c r="BV204" s="160"/>
      <c r="BW204" s="160"/>
      <c r="BX204" s="160"/>
      <c r="BY204" s="160"/>
      <c r="BZ204" s="160"/>
      <c r="CA204" s="160"/>
      <c r="CB204" s="160"/>
      <c r="CC204" s="160"/>
      <c r="CD204" s="160"/>
      <c r="CE204" s="160"/>
      <c r="CF204" s="160"/>
      <c r="CG204" s="160"/>
      <c r="CH204" s="160"/>
      <c r="CI204" s="160"/>
      <c r="CJ204" s="160"/>
      <c r="CK204" s="160"/>
      <c r="CL204" s="160"/>
    </row>
    <row r="205">
      <c r="A205" s="174" t="s">
        <v>653</v>
      </c>
      <c r="B205" s="11" t="s">
        <v>654</v>
      </c>
      <c r="C205" s="175" t="s">
        <v>72</v>
      </c>
      <c r="D205" s="176" t="str">
        <f>IFERROR(VLOOKUP(C205, PIC!A:B, 2, 0), "")</f>
        <v>Thien Truong</v>
      </c>
      <c r="E205" s="11" t="s">
        <v>22</v>
      </c>
      <c r="F205" s="16" t="s">
        <v>849</v>
      </c>
      <c r="G205" s="16" t="s">
        <v>846</v>
      </c>
      <c r="H205" s="170">
        <f>IFERROR(
  MINIFS(ATTENDANCE_LOG!$F:$F,
         ATTENDANCE_LOG!$A:$A, C205,
         ATTENDANCE_LOG!$B:$B, E205),
"")</f>
        <v>45670.54167</v>
      </c>
      <c r="I205" s="170">
        <f t="shared" si="2"/>
        <v>45670.54167</v>
      </c>
      <c r="J205" s="11">
        <f>IFERROR(VLOOKUP(F205, LEVEL_HELPER!$A:$B, 2, 0), "")</f>
        <v>1</v>
      </c>
      <c r="K205" s="11">
        <f>IFERROR(VLOOKUP(G205, LEVEL_HELPER!$A:$B, 2, 0), "")</f>
        <v>3</v>
      </c>
      <c r="L205" s="171" t="s">
        <v>400</v>
      </c>
      <c r="M205" s="171" t="s">
        <v>153</v>
      </c>
      <c r="N205" s="11">
        <f t="array" ref="N205">IFERROR(
  INDEX($J$2:$J$531,
    MATCH(A205&amp;TEXT(I205,"yyyy-mm-dd"),
          $A$2:$A$531&amp;TEXT($H$2:$H$531,"yyyy-mm-dd"),
          0)),
"")</f>
        <v>1</v>
      </c>
      <c r="O205" s="160">
        <f t="shared" si="3"/>
        <v>3.5</v>
      </c>
      <c r="P205" s="160">
        <f t="shared" ref="P205:Q205" si="215">IF(N205="",0,IF(N205&lt;=2,1,IF(N205&lt;=4,2,IF(N205&lt;=5.5,3,4))))</f>
        <v>1</v>
      </c>
      <c r="Q205" s="160">
        <f t="shared" si="215"/>
        <v>2</v>
      </c>
      <c r="R205" s="160" t="str">
        <f t="shared" si="5"/>
        <v>Lv1 → Lv2</v>
      </c>
      <c r="S205" s="160">
        <f t="shared" si="6"/>
        <v>1</v>
      </c>
      <c r="T205" s="187" t="s">
        <v>982</v>
      </c>
      <c r="U205" s="160">
        <f>COUNTIFS(sheet2!$A:$A,A205,sheet2!$E:$E,E205)</f>
        <v>1</v>
      </c>
      <c r="V205" s="160"/>
      <c r="W205" s="160"/>
      <c r="X205" s="160" t="str">
        <f t="shared" si="7"/>
        <v>#N/A</v>
      </c>
      <c r="Y205" s="160" t="str">
        <f t="shared" si="8"/>
        <v>#N/A</v>
      </c>
      <c r="Z205" s="160" t="str">
        <f t="shared" si="9"/>
        <v>#N/A</v>
      </c>
      <c r="AA205" s="160"/>
      <c r="AB205" s="160"/>
      <c r="AC205" s="160"/>
      <c r="AD205" s="160"/>
      <c r="AE205" s="160"/>
      <c r="AF205" s="160"/>
      <c r="AG205" s="160"/>
      <c r="AH205" s="160"/>
      <c r="AI205" s="160"/>
      <c r="AJ205" s="160"/>
      <c r="AK205" s="160"/>
      <c r="AL205" s="160"/>
      <c r="AM205" s="160"/>
      <c r="AN205" s="164"/>
      <c r="AO205" s="160"/>
      <c r="AP205" s="160" t="str">
        <f t="shared" si="10"/>
        <v>#N/A</v>
      </c>
      <c r="AQ205" s="160" t="str">
        <f t="shared" si="11"/>
        <v>#N/A</v>
      </c>
      <c r="AR205" s="160" t="str">
        <f t="shared" si="12"/>
        <v>#N/A</v>
      </c>
      <c r="AS205" s="160"/>
      <c r="AT205" s="160"/>
      <c r="AU205" s="160"/>
      <c r="AV205" s="160"/>
      <c r="AW205" s="160"/>
      <c r="AX205" s="160"/>
      <c r="AY205" s="160"/>
      <c r="AZ205" s="160"/>
      <c r="BA205" s="160"/>
      <c r="BB205" s="160"/>
      <c r="BC205" s="160"/>
      <c r="BD205" s="160"/>
      <c r="BE205" s="160"/>
      <c r="BF205" s="160"/>
      <c r="BG205" s="160"/>
      <c r="BH205" s="160"/>
      <c r="BI205" s="160"/>
      <c r="BJ205" s="160"/>
      <c r="BK205" s="160"/>
      <c r="BL205" s="160"/>
      <c r="BM205" s="160"/>
      <c r="BN205" s="160"/>
      <c r="BO205" s="160"/>
      <c r="BP205" s="160"/>
      <c r="BQ205" s="160"/>
      <c r="BR205" s="160"/>
      <c r="BS205" s="160"/>
      <c r="BT205" s="160"/>
      <c r="BU205" s="160"/>
      <c r="BV205" s="160"/>
      <c r="BW205" s="160"/>
      <c r="BX205" s="160"/>
      <c r="BY205" s="160"/>
      <c r="BZ205" s="160"/>
      <c r="CA205" s="160"/>
      <c r="CB205" s="160"/>
      <c r="CC205" s="160"/>
      <c r="CD205" s="160"/>
      <c r="CE205" s="160"/>
      <c r="CF205" s="160"/>
      <c r="CG205" s="160"/>
      <c r="CH205" s="160"/>
      <c r="CI205" s="160"/>
      <c r="CJ205" s="160"/>
      <c r="CK205" s="160"/>
      <c r="CL205" s="160"/>
    </row>
    <row r="206">
      <c r="A206" s="174" t="s">
        <v>111</v>
      </c>
      <c r="B206" s="11" t="s">
        <v>655</v>
      </c>
      <c r="C206" s="175" t="s">
        <v>72</v>
      </c>
      <c r="D206" s="176" t="str">
        <f>IFERROR(VLOOKUP(C206, PIC!A:B, 2, 0), "")</f>
        <v>Thien Truong</v>
      </c>
      <c r="E206" s="11" t="s">
        <v>22</v>
      </c>
      <c r="F206" s="16" t="s">
        <v>849</v>
      </c>
      <c r="G206" s="16" t="s">
        <v>846</v>
      </c>
      <c r="H206" s="170">
        <f>IFERROR(
  MINIFS(ATTENDANCE_LOG!$F:$F,
         ATTENDANCE_LOG!$A:$A, C206,
         ATTENDANCE_LOG!$B:$B, E206),
"")</f>
        <v>45670.54167</v>
      </c>
      <c r="I206" s="170">
        <f t="shared" si="2"/>
        <v>45670.54167</v>
      </c>
      <c r="J206" s="11">
        <f>IFERROR(VLOOKUP(F206, LEVEL_HELPER!$A:$B, 2, 0), "")</f>
        <v>1</v>
      </c>
      <c r="K206" s="11">
        <f>IFERROR(VLOOKUP(G206, LEVEL_HELPER!$A:$B, 2, 0), "")</f>
        <v>3</v>
      </c>
      <c r="L206" s="171" t="s">
        <v>400</v>
      </c>
      <c r="M206" s="171" t="s">
        <v>153</v>
      </c>
      <c r="N206" s="11">
        <f t="array" ref="N206">IFERROR(
  INDEX($J$2:$J$531,
    MATCH(A206&amp;TEXT(I206,"yyyy-mm-dd"),
          $A$2:$A$531&amp;TEXT($H$2:$H$531,"yyyy-mm-dd"),
          0)),
"")</f>
        <v>1</v>
      </c>
      <c r="O206" s="160">
        <f t="shared" si="3"/>
        <v>3.5</v>
      </c>
      <c r="P206" s="160">
        <f t="shared" ref="P206:Q206" si="216">IF(N206="",0,IF(N206&lt;=2,1,IF(N206&lt;=4,2,IF(N206&lt;=5.5,3,4))))</f>
        <v>1</v>
      </c>
      <c r="Q206" s="160">
        <f t="shared" si="216"/>
        <v>2</v>
      </c>
      <c r="R206" s="160" t="str">
        <f t="shared" si="5"/>
        <v>Lv1 → Lv2</v>
      </c>
      <c r="S206" s="160">
        <f t="shared" si="6"/>
        <v>1</v>
      </c>
      <c r="T206" s="187" t="s">
        <v>983</v>
      </c>
      <c r="U206" s="160">
        <f>COUNTIFS(sheet2!$A:$A,A206,sheet2!$E:$E,E206)</f>
        <v>1</v>
      </c>
      <c r="V206" s="160"/>
      <c r="W206" s="160"/>
      <c r="X206" s="160" t="str">
        <f t="shared" si="7"/>
        <v>#N/A</v>
      </c>
      <c r="Y206" s="160" t="str">
        <f t="shared" si="8"/>
        <v>#N/A</v>
      </c>
      <c r="Z206" s="160" t="str">
        <f t="shared" si="9"/>
        <v>#N/A</v>
      </c>
      <c r="AA206" s="160"/>
      <c r="AB206" s="160"/>
      <c r="AC206" s="160"/>
      <c r="AD206" s="160"/>
      <c r="AE206" s="160"/>
      <c r="AF206" s="160"/>
      <c r="AG206" s="160"/>
      <c r="AH206" s="160"/>
      <c r="AI206" s="160"/>
      <c r="AJ206" s="160"/>
      <c r="AK206" s="160"/>
      <c r="AL206" s="160"/>
      <c r="AM206" s="160"/>
      <c r="AN206" s="164"/>
      <c r="AO206" s="160"/>
      <c r="AP206" s="160" t="str">
        <f t="shared" si="10"/>
        <v>#N/A</v>
      </c>
      <c r="AQ206" s="160" t="str">
        <f t="shared" si="11"/>
        <v>#N/A</v>
      </c>
      <c r="AR206" s="160" t="str">
        <f t="shared" si="12"/>
        <v>#N/A</v>
      </c>
      <c r="AS206" s="160"/>
      <c r="AT206" s="160"/>
      <c r="AU206" s="160"/>
      <c r="AV206" s="160"/>
      <c r="AW206" s="160"/>
      <c r="AX206" s="160"/>
      <c r="AY206" s="160"/>
      <c r="AZ206" s="160"/>
      <c r="BA206" s="160"/>
      <c r="BB206" s="160"/>
      <c r="BC206" s="160"/>
      <c r="BD206" s="160"/>
      <c r="BE206" s="160"/>
      <c r="BF206" s="160"/>
      <c r="BG206" s="160"/>
      <c r="BH206" s="160"/>
      <c r="BI206" s="160"/>
      <c r="BJ206" s="160"/>
      <c r="BK206" s="160"/>
      <c r="BL206" s="160"/>
      <c r="BM206" s="160"/>
      <c r="BN206" s="160"/>
      <c r="BO206" s="160"/>
      <c r="BP206" s="160"/>
      <c r="BQ206" s="160"/>
      <c r="BR206" s="160"/>
      <c r="BS206" s="160"/>
      <c r="BT206" s="160"/>
      <c r="BU206" s="160"/>
      <c r="BV206" s="160"/>
      <c r="BW206" s="160"/>
      <c r="BX206" s="160"/>
      <c r="BY206" s="160"/>
      <c r="BZ206" s="160"/>
      <c r="CA206" s="160"/>
      <c r="CB206" s="160"/>
      <c r="CC206" s="160"/>
      <c r="CD206" s="160"/>
      <c r="CE206" s="160"/>
      <c r="CF206" s="160"/>
      <c r="CG206" s="160"/>
      <c r="CH206" s="160"/>
      <c r="CI206" s="160"/>
      <c r="CJ206" s="160"/>
      <c r="CK206" s="160"/>
      <c r="CL206" s="160"/>
    </row>
    <row r="207">
      <c r="A207" s="174" t="s">
        <v>658</v>
      </c>
      <c r="B207" s="11" t="s">
        <v>659</v>
      </c>
      <c r="C207" s="175" t="s">
        <v>72</v>
      </c>
      <c r="D207" s="176" t="str">
        <f>IFERROR(VLOOKUP(C207, PIC!A:B, 2, 0), "")</f>
        <v>Thien Truong</v>
      </c>
      <c r="E207" s="11" t="s">
        <v>22</v>
      </c>
      <c r="F207" s="16" t="s">
        <v>849</v>
      </c>
      <c r="G207" s="16" t="s">
        <v>853</v>
      </c>
      <c r="H207" s="170">
        <f>IFERROR(
  MINIFS(ATTENDANCE_LOG!$F:$F,
         ATTENDANCE_LOG!$A:$A, C207,
         ATTENDANCE_LOG!$B:$B, E207),
"")</f>
        <v>45670.54167</v>
      </c>
      <c r="I207" s="170">
        <f t="shared" si="2"/>
        <v>45670.54167</v>
      </c>
      <c r="J207" s="11">
        <f>IFERROR(VLOOKUP(F207, LEVEL_HELPER!$A:$B, 2, 0), "")</f>
        <v>1</v>
      </c>
      <c r="K207" s="11">
        <f>IFERROR(VLOOKUP(G207, LEVEL_HELPER!$A:$B, 2, 0), "")</f>
        <v>1.5</v>
      </c>
      <c r="L207" s="171" t="s">
        <v>400</v>
      </c>
      <c r="M207" s="171" t="s">
        <v>154</v>
      </c>
      <c r="N207" s="11">
        <f t="array" ref="N207">IFERROR(
  INDEX($J$2:$J$531,
    MATCH(A207&amp;TEXT(I207,"yyyy-mm-dd"),
          $A$2:$A$531&amp;TEXT($H$2:$H$531,"yyyy-mm-dd"),
          0)),
"")</f>
        <v>1</v>
      </c>
      <c r="O207" s="160">
        <f t="shared" si="3"/>
        <v>1.5</v>
      </c>
      <c r="P207" s="160">
        <f t="shared" ref="P207:Q207" si="217">IF(N207="",0,IF(N207&lt;=2,1,IF(N207&lt;=4,2,IF(N207&lt;=5.5,3,4))))</f>
        <v>1</v>
      </c>
      <c r="Q207" s="160">
        <f t="shared" si="217"/>
        <v>1</v>
      </c>
      <c r="R207" s="160" t="str">
        <f t="shared" si="5"/>
        <v>Progress within level</v>
      </c>
      <c r="S207" s="160">
        <f t="shared" si="6"/>
        <v>1</v>
      </c>
      <c r="T207" s="187" t="s">
        <v>984</v>
      </c>
      <c r="U207" s="160">
        <f>COUNTIFS(sheet2!$A:$A,A207,sheet2!$E:$E,E207)</f>
        <v>1</v>
      </c>
      <c r="V207" s="160"/>
      <c r="W207" s="160"/>
      <c r="X207" s="160" t="str">
        <f t="shared" si="7"/>
        <v>#N/A</v>
      </c>
      <c r="Y207" s="160" t="str">
        <f t="shared" si="8"/>
        <v>#N/A</v>
      </c>
      <c r="Z207" s="160" t="str">
        <f t="shared" si="9"/>
        <v>#N/A</v>
      </c>
      <c r="AA207" s="160"/>
      <c r="AB207" s="160"/>
      <c r="AC207" s="160"/>
      <c r="AD207" s="160"/>
      <c r="AE207" s="160"/>
      <c r="AF207" s="160"/>
      <c r="AG207" s="160"/>
      <c r="AH207" s="160"/>
      <c r="AI207" s="160"/>
      <c r="AJ207" s="160"/>
      <c r="AK207" s="160"/>
      <c r="AL207" s="160"/>
      <c r="AM207" s="160"/>
      <c r="AN207" s="164"/>
      <c r="AO207" s="160"/>
      <c r="AP207" s="160" t="str">
        <f t="shared" si="10"/>
        <v>#N/A</v>
      </c>
      <c r="AQ207" s="160" t="str">
        <f t="shared" si="11"/>
        <v>#N/A</v>
      </c>
      <c r="AR207" s="160" t="str">
        <f t="shared" si="12"/>
        <v>#N/A</v>
      </c>
      <c r="AS207" s="160"/>
      <c r="AT207" s="160"/>
      <c r="AU207" s="160"/>
      <c r="AV207" s="160"/>
      <c r="AW207" s="160"/>
      <c r="AX207" s="160"/>
      <c r="AY207" s="160"/>
      <c r="AZ207" s="160"/>
      <c r="BA207" s="160"/>
      <c r="BB207" s="160"/>
      <c r="BC207" s="160"/>
      <c r="BD207" s="160"/>
      <c r="BE207" s="160"/>
      <c r="BF207" s="160"/>
      <c r="BG207" s="160"/>
      <c r="BH207" s="160"/>
      <c r="BI207" s="160"/>
      <c r="BJ207" s="160"/>
      <c r="BK207" s="160"/>
      <c r="BL207" s="160"/>
      <c r="BM207" s="160"/>
      <c r="BN207" s="160"/>
      <c r="BO207" s="160"/>
      <c r="BP207" s="160"/>
      <c r="BQ207" s="160"/>
      <c r="BR207" s="160"/>
      <c r="BS207" s="160"/>
      <c r="BT207" s="160"/>
      <c r="BU207" s="160"/>
      <c r="BV207" s="160"/>
      <c r="BW207" s="160"/>
      <c r="BX207" s="160"/>
      <c r="BY207" s="160"/>
      <c r="BZ207" s="160"/>
      <c r="CA207" s="160"/>
      <c r="CB207" s="160"/>
      <c r="CC207" s="160"/>
      <c r="CD207" s="160"/>
      <c r="CE207" s="160"/>
      <c r="CF207" s="160"/>
      <c r="CG207" s="160"/>
      <c r="CH207" s="160"/>
      <c r="CI207" s="160"/>
      <c r="CJ207" s="160"/>
      <c r="CK207" s="160"/>
      <c r="CL207" s="160"/>
    </row>
    <row r="208">
      <c r="A208" s="174" t="s">
        <v>671</v>
      </c>
      <c r="B208" s="11" t="s">
        <v>672</v>
      </c>
      <c r="C208" s="175" t="s">
        <v>72</v>
      </c>
      <c r="D208" s="176" t="str">
        <f>IFERROR(VLOOKUP(C208, PIC!A:B, 2, 0), "")</f>
        <v>Thien Truong</v>
      </c>
      <c r="E208" s="11" t="s">
        <v>22</v>
      </c>
      <c r="F208" s="16" t="s">
        <v>845</v>
      </c>
      <c r="G208" s="16" t="s">
        <v>858</v>
      </c>
      <c r="H208" s="170">
        <f>IFERROR(
  MINIFS(ATTENDANCE_LOG!$F:$F,
         ATTENDANCE_LOG!$A:$A, C208,
         ATTENDANCE_LOG!$B:$B, E208),
"")</f>
        <v>45670.54167</v>
      </c>
      <c r="I208" s="170">
        <f t="shared" si="2"/>
        <v>45670.54167</v>
      </c>
      <c r="J208" s="11">
        <f>IFERROR(VLOOKUP(F208, LEVEL_HELPER!$A:$B, 2, 0), "")</f>
        <v>2.5</v>
      </c>
      <c r="K208" s="11">
        <f>IFERROR(VLOOKUP(G208, LEVEL_HELPER!$A:$B, 2, 0), "")</f>
        <v>4.5</v>
      </c>
      <c r="L208" s="171" t="s">
        <v>400</v>
      </c>
      <c r="M208" s="171" t="s">
        <v>154</v>
      </c>
      <c r="N208" s="11">
        <f t="array" ref="N208">IFERROR(
  INDEX($J$2:$J$531,
    MATCH(A208&amp;TEXT(I208,"yyyy-mm-dd"),
          $A$2:$A$531&amp;TEXT($H$2:$H$531,"yyyy-mm-dd"),
          0)),
"")</f>
        <v>2.5</v>
      </c>
      <c r="O208" s="160">
        <f t="shared" si="3"/>
        <v>4.5</v>
      </c>
      <c r="P208" s="160">
        <f t="shared" ref="P208:Q208" si="218">IF(N208="",0,IF(N208&lt;=2,1,IF(N208&lt;=4,2,IF(N208&lt;=5.5,3,4))))</f>
        <v>2</v>
      </c>
      <c r="Q208" s="160">
        <f t="shared" si="218"/>
        <v>3</v>
      </c>
      <c r="R208" s="160" t="str">
        <f t="shared" si="5"/>
        <v>Lv2 → Lv3</v>
      </c>
      <c r="S208" s="160">
        <f t="shared" si="6"/>
        <v>1</v>
      </c>
      <c r="T208" s="187" t="s">
        <v>985</v>
      </c>
      <c r="U208" s="160">
        <f>COUNTIFS(sheet2!$A:$A,A208,sheet2!$E:$E,E208)</f>
        <v>1</v>
      </c>
      <c r="V208" s="160"/>
      <c r="W208" s="160"/>
      <c r="X208" s="160" t="str">
        <f t="shared" si="7"/>
        <v>#N/A</v>
      </c>
      <c r="Y208" s="160" t="str">
        <f t="shared" si="8"/>
        <v>#N/A</v>
      </c>
      <c r="Z208" s="160" t="str">
        <f t="shared" si="9"/>
        <v>#N/A</v>
      </c>
      <c r="AA208" s="160"/>
      <c r="AB208" s="160"/>
      <c r="AC208" s="160"/>
      <c r="AD208" s="160"/>
      <c r="AE208" s="160"/>
      <c r="AF208" s="160"/>
      <c r="AG208" s="160"/>
      <c r="AH208" s="160"/>
      <c r="AI208" s="160"/>
      <c r="AJ208" s="160"/>
      <c r="AK208" s="160"/>
      <c r="AL208" s="160"/>
      <c r="AM208" s="160"/>
      <c r="AN208" s="164"/>
      <c r="AO208" s="160"/>
      <c r="AP208" s="160" t="str">
        <f t="shared" si="10"/>
        <v>#N/A</v>
      </c>
      <c r="AQ208" s="160" t="str">
        <f t="shared" si="11"/>
        <v>#N/A</v>
      </c>
      <c r="AR208" s="160" t="str">
        <f t="shared" si="12"/>
        <v>#N/A</v>
      </c>
      <c r="AS208" s="160"/>
      <c r="AT208" s="160"/>
      <c r="AU208" s="160"/>
      <c r="AV208" s="160"/>
      <c r="AW208" s="160"/>
      <c r="AX208" s="160"/>
      <c r="AY208" s="160"/>
      <c r="AZ208" s="160"/>
      <c r="BA208" s="160"/>
      <c r="BB208" s="160"/>
      <c r="BC208" s="160"/>
      <c r="BD208" s="160"/>
      <c r="BE208" s="160"/>
      <c r="BF208" s="160"/>
      <c r="BG208" s="160"/>
      <c r="BH208" s="160"/>
      <c r="BI208" s="160"/>
      <c r="BJ208" s="160"/>
      <c r="BK208" s="160"/>
      <c r="BL208" s="160"/>
      <c r="BM208" s="160"/>
      <c r="BN208" s="160"/>
      <c r="BO208" s="160"/>
      <c r="BP208" s="160"/>
      <c r="BQ208" s="160"/>
      <c r="BR208" s="160"/>
      <c r="BS208" s="160"/>
      <c r="BT208" s="160"/>
      <c r="BU208" s="160"/>
      <c r="BV208" s="160"/>
      <c r="BW208" s="160"/>
      <c r="BX208" s="160"/>
      <c r="BY208" s="160"/>
      <c r="BZ208" s="160"/>
      <c r="CA208" s="160"/>
      <c r="CB208" s="160"/>
      <c r="CC208" s="160"/>
      <c r="CD208" s="160"/>
      <c r="CE208" s="160"/>
      <c r="CF208" s="160"/>
      <c r="CG208" s="160"/>
      <c r="CH208" s="160"/>
      <c r="CI208" s="160"/>
      <c r="CJ208" s="160"/>
      <c r="CK208" s="160"/>
      <c r="CL208" s="160"/>
    </row>
    <row r="209">
      <c r="A209" s="174" t="s">
        <v>662</v>
      </c>
      <c r="B209" s="11" t="s">
        <v>663</v>
      </c>
      <c r="C209" s="175" t="s">
        <v>72</v>
      </c>
      <c r="D209" s="176" t="str">
        <f>IFERROR(VLOOKUP(C209, PIC!A:B, 2, 0), "")</f>
        <v>Thien Truong</v>
      </c>
      <c r="E209" s="11" t="s">
        <v>22</v>
      </c>
      <c r="F209" s="16" t="s">
        <v>849</v>
      </c>
      <c r="G209" s="16" t="s">
        <v>861</v>
      </c>
      <c r="H209" s="170">
        <f>IFERROR(
  MINIFS(ATTENDANCE_LOG!$F:$F,
         ATTENDANCE_LOG!$A:$A, C209,
         ATTENDANCE_LOG!$B:$B, E209),
"")</f>
        <v>45670.54167</v>
      </c>
      <c r="I209" s="170">
        <f t="shared" si="2"/>
        <v>45670.54167</v>
      </c>
      <c r="J209" s="11">
        <f>IFERROR(VLOOKUP(F209, LEVEL_HELPER!$A:$B, 2, 0), "")</f>
        <v>1</v>
      </c>
      <c r="K209" s="11">
        <f>IFERROR(VLOOKUP(G209, LEVEL_HELPER!$A:$B, 2, 0), "")</f>
        <v>3.5</v>
      </c>
      <c r="L209" s="171" t="s">
        <v>400</v>
      </c>
      <c r="M209" s="171" t="s">
        <v>153</v>
      </c>
      <c r="N209" s="11">
        <f t="array" ref="N209">IFERROR(
  INDEX($J$2:$J$531,
    MATCH(A209&amp;TEXT(I209,"yyyy-mm-dd"),
          $A$2:$A$531&amp;TEXT($H$2:$H$531,"yyyy-mm-dd"),
          0)),
"")</f>
        <v>1</v>
      </c>
      <c r="O209" s="160">
        <f t="shared" si="3"/>
        <v>4</v>
      </c>
      <c r="P209" s="160">
        <f t="shared" ref="P209:Q209" si="219">IF(N209="",0,IF(N209&lt;=2,1,IF(N209&lt;=4,2,IF(N209&lt;=5.5,3,4))))</f>
        <v>1</v>
      </c>
      <c r="Q209" s="160">
        <f t="shared" si="219"/>
        <v>2</v>
      </c>
      <c r="R209" s="160" t="str">
        <f t="shared" si="5"/>
        <v>Lv1 → Lv2</v>
      </c>
      <c r="S209" s="160">
        <f t="shared" si="6"/>
        <v>1</v>
      </c>
      <c r="T209" s="187" t="s">
        <v>986</v>
      </c>
      <c r="U209" s="160">
        <f>COUNTIFS(sheet2!$A:$A,A209,sheet2!$E:$E,E209)</f>
        <v>1</v>
      </c>
      <c r="V209" s="160"/>
      <c r="W209" s="160"/>
      <c r="X209" s="160" t="str">
        <f t="shared" si="7"/>
        <v>#N/A</v>
      </c>
      <c r="Y209" s="160" t="str">
        <f t="shared" si="8"/>
        <v>#N/A</v>
      </c>
      <c r="Z209" s="160" t="str">
        <f t="shared" si="9"/>
        <v>#N/A</v>
      </c>
      <c r="AA209" s="160"/>
      <c r="AB209" s="160"/>
      <c r="AC209" s="160"/>
      <c r="AD209" s="160"/>
      <c r="AE209" s="160"/>
      <c r="AF209" s="160"/>
      <c r="AG209" s="160"/>
      <c r="AH209" s="160"/>
      <c r="AI209" s="160"/>
      <c r="AJ209" s="160"/>
      <c r="AK209" s="160"/>
      <c r="AL209" s="160"/>
      <c r="AM209" s="160"/>
      <c r="AN209" s="164"/>
      <c r="AO209" s="160"/>
      <c r="AP209" s="160" t="str">
        <f t="shared" si="10"/>
        <v>#N/A</v>
      </c>
      <c r="AQ209" s="160" t="str">
        <f t="shared" si="11"/>
        <v>#N/A</v>
      </c>
      <c r="AR209" s="160" t="str">
        <f t="shared" si="12"/>
        <v>#N/A</v>
      </c>
      <c r="AS209" s="160"/>
      <c r="AT209" s="160"/>
      <c r="AU209" s="160"/>
      <c r="AV209" s="160"/>
      <c r="AW209" s="160"/>
      <c r="AX209" s="160"/>
      <c r="AY209" s="160"/>
      <c r="AZ209" s="160"/>
      <c r="BA209" s="160"/>
      <c r="BB209" s="160"/>
      <c r="BC209" s="160"/>
      <c r="BD209" s="160"/>
      <c r="BE209" s="160"/>
      <c r="BF209" s="160"/>
      <c r="BG209" s="160"/>
      <c r="BH209" s="160"/>
      <c r="BI209" s="160"/>
      <c r="BJ209" s="160"/>
      <c r="BK209" s="160"/>
      <c r="BL209" s="160"/>
      <c r="BM209" s="160"/>
      <c r="BN209" s="160"/>
      <c r="BO209" s="160"/>
      <c r="BP209" s="160"/>
      <c r="BQ209" s="160"/>
      <c r="BR209" s="160"/>
      <c r="BS209" s="160"/>
      <c r="BT209" s="160"/>
      <c r="BU209" s="160"/>
      <c r="BV209" s="160"/>
      <c r="BW209" s="160"/>
      <c r="BX209" s="160"/>
      <c r="BY209" s="160"/>
      <c r="BZ209" s="160"/>
      <c r="CA209" s="160"/>
      <c r="CB209" s="160"/>
      <c r="CC209" s="160"/>
      <c r="CD209" s="160"/>
      <c r="CE209" s="160"/>
      <c r="CF209" s="160"/>
      <c r="CG209" s="160"/>
      <c r="CH209" s="160"/>
      <c r="CI209" s="160"/>
      <c r="CJ209" s="160"/>
      <c r="CK209" s="160"/>
      <c r="CL209" s="160"/>
    </row>
    <row r="210">
      <c r="A210" s="174" t="s">
        <v>673</v>
      </c>
      <c r="B210" s="11" t="s">
        <v>674</v>
      </c>
      <c r="C210" s="175" t="s">
        <v>72</v>
      </c>
      <c r="D210" s="176" t="str">
        <f>IFERROR(VLOOKUP(C210, PIC!A:B, 2, 0), "")</f>
        <v>Thien Truong</v>
      </c>
      <c r="E210" s="11" t="s">
        <v>22</v>
      </c>
      <c r="F210" s="16" t="s">
        <v>849</v>
      </c>
      <c r="G210" s="16" t="s">
        <v>846</v>
      </c>
      <c r="H210" s="170">
        <f>IFERROR(
  MINIFS(ATTENDANCE_LOG!$F:$F,
         ATTENDANCE_LOG!$A:$A, C210,
         ATTENDANCE_LOG!$B:$B, E210),
"")</f>
        <v>45670.54167</v>
      </c>
      <c r="I210" s="170">
        <f t="shared" si="2"/>
        <v>45670.54167</v>
      </c>
      <c r="J210" s="11">
        <f>IFERROR(VLOOKUP(F210, LEVEL_HELPER!$A:$B, 2, 0), "")</f>
        <v>1</v>
      </c>
      <c r="K210" s="11">
        <f>IFERROR(VLOOKUP(G210, LEVEL_HELPER!$A:$B, 2, 0), "")</f>
        <v>3</v>
      </c>
      <c r="L210" s="171" t="s">
        <v>400</v>
      </c>
      <c r="M210" s="171" t="s">
        <v>154</v>
      </c>
      <c r="N210" s="11">
        <f t="array" ref="N210">IFERROR(
  INDEX($J$2:$J$531,
    MATCH(A210&amp;TEXT(I210,"yyyy-mm-dd"),
          $A$2:$A$531&amp;TEXT($H$2:$H$531,"yyyy-mm-dd"),
          0)),
"")</f>
        <v>1</v>
      </c>
      <c r="O210" s="160">
        <f t="shared" si="3"/>
        <v>3</v>
      </c>
      <c r="P210" s="160">
        <f t="shared" ref="P210:Q210" si="220">IF(N210="",0,IF(N210&lt;=2,1,IF(N210&lt;=4,2,IF(N210&lt;=5.5,3,4))))</f>
        <v>1</v>
      </c>
      <c r="Q210" s="160">
        <f t="shared" si="220"/>
        <v>2</v>
      </c>
      <c r="R210" s="160" t="str">
        <f t="shared" si="5"/>
        <v>Lv1 → Lv2</v>
      </c>
      <c r="S210" s="160">
        <f t="shared" si="6"/>
        <v>1</v>
      </c>
      <c r="T210" s="187" t="s">
        <v>987</v>
      </c>
      <c r="U210" s="160">
        <f>COUNTIFS(sheet2!$A:$A,A210,sheet2!$E:$E,E210)</f>
        <v>1</v>
      </c>
      <c r="V210" s="160"/>
      <c r="W210" s="160"/>
      <c r="X210" s="160" t="str">
        <f t="shared" si="7"/>
        <v>#N/A</v>
      </c>
      <c r="Y210" s="160" t="str">
        <f t="shared" si="8"/>
        <v>#N/A</v>
      </c>
      <c r="Z210" s="160" t="str">
        <f t="shared" si="9"/>
        <v>#N/A</v>
      </c>
      <c r="AA210" s="160"/>
      <c r="AB210" s="160"/>
      <c r="AC210" s="160"/>
      <c r="AD210" s="160"/>
      <c r="AE210" s="160"/>
      <c r="AF210" s="160"/>
      <c r="AG210" s="160"/>
      <c r="AH210" s="160"/>
      <c r="AI210" s="160"/>
      <c r="AJ210" s="160"/>
      <c r="AK210" s="160"/>
      <c r="AL210" s="160"/>
      <c r="AM210" s="160"/>
      <c r="AN210" s="164"/>
      <c r="AO210" s="160"/>
      <c r="AP210" s="160" t="str">
        <f t="shared" si="10"/>
        <v>#N/A</v>
      </c>
      <c r="AQ210" s="160" t="str">
        <f t="shared" si="11"/>
        <v>#N/A</v>
      </c>
      <c r="AR210" s="160" t="str">
        <f t="shared" si="12"/>
        <v>#N/A</v>
      </c>
      <c r="AS210" s="160"/>
      <c r="AT210" s="160"/>
      <c r="AU210" s="160"/>
      <c r="AV210" s="160"/>
      <c r="AW210" s="160"/>
      <c r="AX210" s="160"/>
      <c r="AY210" s="160"/>
      <c r="AZ210" s="160"/>
      <c r="BA210" s="160"/>
      <c r="BB210" s="160"/>
      <c r="BC210" s="160"/>
      <c r="BD210" s="160"/>
      <c r="BE210" s="160"/>
      <c r="BF210" s="160"/>
      <c r="BG210" s="160"/>
      <c r="BH210" s="160"/>
      <c r="BI210" s="160"/>
      <c r="BJ210" s="160"/>
      <c r="BK210" s="160"/>
      <c r="BL210" s="160"/>
      <c r="BM210" s="160"/>
      <c r="BN210" s="160"/>
      <c r="BO210" s="160"/>
      <c r="BP210" s="160"/>
      <c r="BQ210" s="160"/>
      <c r="BR210" s="160"/>
      <c r="BS210" s="160"/>
      <c r="BT210" s="160"/>
      <c r="BU210" s="160"/>
      <c r="BV210" s="160"/>
      <c r="BW210" s="160"/>
      <c r="BX210" s="160"/>
      <c r="BY210" s="160"/>
      <c r="BZ210" s="160"/>
      <c r="CA210" s="160"/>
      <c r="CB210" s="160"/>
      <c r="CC210" s="160"/>
      <c r="CD210" s="160"/>
      <c r="CE210" s="160"/>
      <c r="CF210" s="160"/>
      <c r="CG210" s="160"/>
      <c r="CH210" s="160"/>
      <c r="CI210" s="160"/>
      <c r="CJ210" s="160"/>
      <c r="CK210" s="160"/>
      <c r="CL210" s="160"/>
    </row>
    <row r="211">
      <c r="A211" s="174" t="s">
        <v>668</v>
      </c>
      <c r="B211" s="11" t="s">
        <v>669</v>
      </c>
      <c r="C211" s="175" t="s">
        <v>72</v>
      </c>
      <c r="D211" s="176" t="str">
        <f>IFERROR(VLOOKUP(C211, PIC!A:B, 2, 0), "")</f>
        <v>Thien Truong</v>
      </c>
      <c r="E211" s="11" t="s">
        <v>22</v>
      </c>
      <c r="F211" s="16" t="s">
        <v>845</v>
      </c>
      <c r="G211" s="16" t="s">
        <v>861</v>
      </c>
      <c r="H211" s="170">
        <f>IFERROR(
  MINIFS(ATTENDANCE_LOG!$F:$F,
         ATTENDANCE_LOG!$A:$A, C211,
         ATTENDANCE_LOG!$B:$B, E211),
"")</f>
        <v>45670.54167</v>
      </c>
      <c r="I211" s="170">
        <f t="shared" si="2"/>
        <v>45670.54167</v>
      </c>
      <c r="J211" s="11">
        <f>IFERROR(VLOOKUP(F211, LEVEL_HELPER!$A:$B, 2, 0), "")</f>
        <v>2.5</v>
      </c>
      <c r="K211" s="11">
        <f>IFERROR(VLOOKUP(G211, LEVEL_HELPER!$A:$B, 2, 0), "")</f>
        <v>3.5</v>
      </c>
      <c r="L211" s="171" t="s">
        <v>400</v>
      </c>
      <c r="M211" s="171" t="s">
        <v>153</v>
      </c>
      <c r="N211" s="11">
        <f t="array" ref="N211">IFERROR(
  INDEX($J$2:$J$531,
    MATCH(A211&amp;TEXT(I211,"yyyy-mm-dd"),
          $A$2:$A$531&amp;TEXT($H$2:$H$531,"yyyy-mm-dd"),
          0)),
"")</f>
        <v>2.5</v>
      </c>
      <c r="O211" s="160">
        <f t="shared" si="3"/>
        <v>3.5</v>
      </c>
      <c r="P211" s="160">
        <f t="shared" ref="P211:Q211" si="221">IF(N211="",0,IF(N211&lt;=2,1,IF(N211&lt;=4,2,IF(N211&lt;=5.5,3,4))))</f>
        <v>2</v>
      </c>
      <c r="Q211" s="160">
        <f t="shared" si="221"/>
        <v>2</v>
      </c>
      <c r="R211" s="160" t="str">
        <f t="shared" si="5"/>
        <v>Progress within level</v>
      </c>
      <c r="S211" s="160">
        <f t="shared" si="6"/>
        <v>1</v>
      </c>
      <c r="T211" s="187" t="s">
        <v>988</v>
      </c>
      <c r="U211" s="160">
        <f>COUNTIFS(sheet2!$A:$A,A211,sheet2!$E:$E,E211)</f>
        <v>1</v>
      </c>
      <c r="V211" s="160"/>
      <c r="W211" s="160"/>
      <c r="X211" s="160" t="str">
        <f t="shared" si="7"/>
        <v>#N/A</v>
      </c>
      <c r="Y211" s="160" t="str">
        <f t="shared" si="8"/>
        <v>#N/A</v>
      </c>
      <c r="Z211" s="160" t="str">
        <f t="shared" si="9"/>
        <v>#N/A</v>
      </c>
      <c r="AA211" s="160"/>
      <c r="AB211" s="160"/>
      <c r="AC211" s="160"/>
      <c r="AD211" s="160"/>
      <c r="AE211" s="160"/>
      <c r="AF211" s="160"/>
      <c r="AG211" s="160"/>
      <c r="AH211" s="160"/>
      <c r="AI211" s="160"/>
      <c r="AJ211" s="160"/>
      <c r="AK211" s="160"/>
      <c r="AL211" s="160"/>
      <c r="AM211" s="160"/>
      <c r="AN211" s="164"/>
      <c r="AO211" s="160"/>
      <c r="AP211" s="160" t="str">
        <f t="shared" si="10"/>
        <v>#N/A</v>
      </c>
      <c r="AQ211" s="160" t="str">
        <f t="shared" si="11"/>
        <v>#N/A</v>
      </c>
      <c r="AR211" s="160" t="str">
        <f t="shared" si="12"/>
        <v>#N/A</v>
      </c>
      <c r="AS211" s="160"/>
      <c r="AT211" s="160"/>
      <c r="AU211" s="160"/>
      <c r="AV211" s="160"/>
      <c r="AW211" s="160"/>
      <c r="AX211" s="160"/>
      <c r="AY211" s="160"/>
      <c r="AZ211" s="160"/>
      <c r="BA211" s="160"/>
      <c r="BB211" s="160"/>
      <c r="BC211" s="160"/>
      <c r="BD211" s="160"/>
      <c r="BE211" s="160"/>
      <c r="BF211" s="160"/>
      <c r="BG211" s="160"/>
      <c r="BH211" s="160"/>
      <c r="BI211" s="160"/>
      <c r="BJ211" s="160"/>
      <c r="BK211" s="160"/>
      <c r="BL211" s="160"/>
      <c r="BM211" s="160"/>
      <c r="BN211" s="160"/>
      <c r="BO211" s="160"/>
      <c r="BP211" s="160"/>
      <c r="BQ211" s="160"/>
      <c r="BR211" s="160"/>
      <c r="BS211" s="160"/>
      <c r="BT211" s="160"/>
      <c r="BU211" s="160"/>
      <c r="BV211" s="160"/>
      <c r="BW211" s="160"/>
      <c r="BX211" s="160"/>
      <c r="BY211" s="160"/>
      <c r="BZ211" s="160"/>
      <c r="CA211" s="160"/>
      <c r="CB211" s="160"/>
      <c r="CC211" s="160"/>
      <c r="CD211" s="160"/>
      <c r="CE211" s="160"/>
      <c r="CF211" s="160"/>
      <c r="CG211" s="160"/>
      <c r="CH211" s="160"/>
      <c r="CI211" s="160"/>
      <c r="CJ211" s="160"/>
      <c r="CK211" s="160"/>
      <c r="CL211" s="160"/>
    </row>
    <row r="212">
      <c r="A212" s="166" t="s">
        <v>666</v>
      </c>
      <c r="B212" s="167" t="s">
        <v>667</v>
      </c>
      <c r="C212" s="168" t="s">
        <v>72</v>
      </c>
      <c r="D212" s="169" t="str">
        <f>IFERROR(VLOOKUP(C212, PIC!A:B, 2, 0), "")</f>
        <v>Thien Truong</v>
      </c>
      <c r="E212" s="167" t="s">
        <v>23</v>
      </c>
      <c r="F212" s="16" t="s">
        <v>846</v>
      </c>
      <c r="G212" s="16" t="s">
        <v>861</v>
      </c>
      <c r="H212" s="170">
        <f>IFERROR(
  MINIFS(ATTENDANCE_LOG!$F:$F,
         ATTENDANCE_LOG!$A:$A, C212,
         ATTENDANCE_LOG!$B:$B, E212),
"")</f>
        <v>45866.54167</v>
      </c>
      <c r="I212" s="170">
        <f t="shared" si="2"/>
        <v>45670.54167</v>
      </c>
      <c r="J212" s="11">
        <f>IFERROR(VLOOKUP(F212, LEVEL_HELPER!$A:$B, 2, 0), "")</f>
        <v>3</v>
      </c>
      <c r="K212" s="11">
        <f>IFERROR(VLOOKUP(G212, LEVEL_HELPER!$A:$B, 2, 0), "")</f>
        <v>3.5</v>
      </c>
      <c r="L212" s="171" t="s">
        <v>400</v>
      </c>
      <c r="M212" s="171" t="s">
        <v>153</v>
      </c>
      <c r="N212" s="11">
        <f t="array" ref="N212">IFERROR(
  INDEX($J$2:$J$531,
    MATCH(A212&amp;TEXT(I212,"yyyy-mm-dd"),
          $A$2:$A$531&amp;TEXT($H$2:$H$531,"yyyy-mm-dd"),
          0)),
"")</f>
        <v>1</v>
      </c>
      <c r="O212" s="160">
        <f t="shared" si="3"/>
        <v>3.5</v>
      </c>
      <c r="P212" s="160">
        <f t="shared" ref="P212:Q212" si="222">IF(N212="",0,IF(N212&lt;=2,1,IF(N212&lt;=4,2,IF(N212&lt;=5.5,3,4))))</f>
        <v>1</v>
      </c>
      <c r="Q212" s="160">
        <f t="shared" si="222"/>
        <v>2</v>
      </c>
      <c r="R212" s="160" t="str">
        <f t="shared" si="5"/>
        <v>Lv1 → Lv2</v>
      </c>
      <c r="S212" s="160">
        <f t="shared" si="6"/>
        <v>0</v>
      </c>
      <c r="T212" s="186" t="s">
        <v>981</v>
      </c>
      <c r="U212" s="160">
        <f>COUNTIFS(sheet2!$A:$A,A212,sheet2!$E:$E,E212)</f>
        <v>1</v>
      </c>
      <c r="V212" s="160"/>
      <c r="W212" s="160"/>
      <c r="X212" s="160" t="str">
        <f t="shared" si="7"/>
        <v>#N/A</v>
      </c>
      <c r="Y212" s="160" t="str">
        <f t="shared" si="8"/>
        <v>#N/A</v>
      </c>
      <c r="Z212" s="160" t="str">
        <f t="shared" si="9"/>
        <v>#N/A</v>
      </c>
      <c r="AA212" s="160"/>
      <c r="AB212" s="160"/>
      <c r="AC212" s="160"/>
      <c r="AD212" s="160"/>
      <c r="AE212" s="160"/>
      <c r="AF212" s="160"/>
      <c r="AG212" s="160"/>
      <c r="AH212" s="160"/>
      <c r="AI212" s="160"/>
      <c r="AJ212" s="160"/>
      <c r="AK212" s="160"/>
      <c r="AL212" s="160"/>
      <c r="AM212" s="160"/>
      <c r="AN212" s="164"/>
      <c r="AO212" s="160"/>
      <c r="AP212" s="160" t="str">
        <f t="shared" si="10"/>
        <v>#N/A</v>
      </c>
      <c r="AQ212" s="160" t="str">
        <f t="shared" si="11"/>
        <v>#N/A</v>
      </c>
      <c r="AR212" s="160" t="str">
        <f t="shared" si="12"/>
        <v>#N/A</v>
      </c>
      <c r="AS212" s="160"/>
      <c r="AT212" s="160"/>
      <c r="AU212" s="160"/>
      <c r="AV212" s="160"/>
      <c r="AW212" s="160"/>
      <c r="AX212" s="160"/>
      <c r="AY212" s="160"/>
      <c r="AZ212" s="160"/>
      <c r="BA212" s="160"/>
      <c r="BB212" s="160"/>
      <c r="BC212" s="160"/>
      <c r="BD212" s="160"/>
      <c r="BE212" s="160"/>
      <c r="BF212" s="160"/>
      <c r="BG212" s="160"/>
      <c r="BH212" s="160"/>
      <c r="BI212" s="160"/>
      <c r="BJ212" s="160"/>
      <c r="BK212" s="160"/>
      <c r="BL212" s="160"/>
      <c r="BM212" s="160"/>
      <c r="BN212" s="160"/>
      <c r="BO212" s="160"/>
      <c r="BP212" s="160"/>
      <c r="BQ212" s="160"/>
      <c r="BR212" s="160"/>
      <c r="BS212" s="160"/>
      <c r="BT212" s="160"/>
      <c r="BU212" s="160"/>
      <c r="BV212" s="160"/>
      <c r="BW212" s="160"/>
      <c r="BX212" s="160"/>
      <c r="BY212" s="160"/>
      <c r="BZ212" s="160"/>
      <c r="CA212" s="160"/>
      <c r="CB212" s="160"/>
      <c r="CC212" s="160"/>
      <c r="CD212" s="160"/>
      <c r="CE212" s="160"/>
      <c r="CF212" s="160"/>
      <c r="CG212" s="160"/>
      <c r="CH212" s="160"/>
      <c r="CI212" s="160"/>
      <c r="CJ212" s="160"/>
      <c r="CK212" s="160"/>
      <c r="CL212" s="160"/>
    </row>
    <row r="213">
      <c r="A213" s="174" t="s">
        <v>653</v>
      </c>
      <c r="B213" s="11" t="s">
        <v>654</v>
      </c>
      <c r="C213" s="175" t="s">
        <v>72</v>
      </c>
      <c r="D213" s="176" t="str">
        <f>IFERROR(VLOOKUP(C213, PIC!A:B, 2, 0), "")</f>
        <v>Thien Truong</v>
      </c>
      <c r="E213" s="11" t="s">
        <v>23</v>
      </c>
      <c r="F213" s="16" t="s">
        <v>846</v>
      </c>
      <c r="G213" s="16" t="s">
        <v>861</v>
      </c>
      <c r="H213" s="170">
        <f>IFERROR(
  MINIFS(ATTENDANCE_LOG!$F:$F,
         ATTENDANCE_LOG!$A:$A, C213,
         ATTENDANCE_LOG!$B:$B, E213),
"")</f>
        <v>45866.54167</v>
      </c>
      <c r="I213" s="170">
        <f t="shared" si="2"/>
        <v>45670.54167</v>
      </c>
      <c r="J213" s="11">
        <f>IFERROR(VLOOKUP(F213, LEVEL_HELPER!$A:$B, 2, 0), "")</f>
        <v>3</v>
      </c>
      <c r="K213" s="11">
        <f>IFERROR(VLOOKUP(G213, LEVEL_HELPER!$A:$B, 2, 0), "")</f>
        <v>3.5</v>
      </c>
      <c r="L213" s="171" t="s">
        <v>400</v>
      </c>
      <c r="M213" s="171" t="s">
        <v>153</v>
      </c>
      <c r="N213" s="11">
        <f t="array" ref="N213">IFERROR(
  INDEX($J$2:$J$531,
    MATCH(A213&amp;TEXT(I213,"yyyy-mm-dd"),
          $A$2:$A$531&amp;TEXT($H$2:$H$531,"yyyy-mm-dd"),
          0)),
"")</f>
        <v>1</v>
      </c>
      <c r="O213" s="160">
        <f t="shared" si="3"/>
        <v>3.5</v>
      </c>
      <c r="P213" s="160">
        <f t="shared" ref="P213:Q213" si="223">IF(N213="",0,IF(N213&lt;=2,1,IF(N213&lt;=4,2,IF(N213&lt;=5.5,3,4))))</f>
        <v>1</v>
      </c>
      <c r="Q213" s="160">
        <f t="shared" si="223"/>
        <v>2</v>
      </c>
      <c r="R213" s="160" t="str">
        <f t="shared" si="5"/>
        <v>Lv1 → Lv2</v>
      </c>
      <c r="S213" s="160">
        <f t="shared" si="6"/>
        <v>0</v>
      </c>
      <c r="T213" s="187" t="s">
        <v>982</v>
      </c>
      <c r="U213" s="160">
        <f>COUNTIFS(sheet2!$A:$A,A213,sheet2!$E:$E,E213)</f>
        <v>1</v>
      </c>
      <c r="V213" s="160"/>
      <c r="W213" s="160"/>
      <c r="X213" s="160" t="str">
        <f t="shared" si="7"/>
        <v>#N/A</v>
      </c>
      <c r="Y213" s="160" t="str">
        <f t="shared" si="8"/>
        <v>#N/A</v>
      </c>
      <c r="Z213" s="160" t="str">
        <f t="shared" si="9"/>
        <v>#N/A</v>
      </c>
      <c r="AA213" s="160"/>
      <c r="AB213" s="160"/>
      <c r="AC213" s="160"/>
      <c r="AD213" s="160"/>
      <c r="AE213" s="160"/>
      <c r="AF213" s="160"/>
      <c r="AG213" s="160"/>
      <c r="AH213" s="160"/>
      <c r="AI213" s="160"/>
      <c r="AJ213" s="160"/>
      <c r="AK213" s="160"/>
      <c r="AL213" s="160"/>
      <c r="AM213" s="160"/>
      <c r="AN213" s="164"/>
      <c r="AO213" s="160"/>
      <c r="AP213" s="160" t="str">
        <f t="shared" si="10"/>
        <v>#N/A</v>
      </c>
      <c r="AQ213" s="160" t="str">
        <f t="shared" si="11"/>
        <v>#N/A</v>
      </c>
      <c r="AR213" s="160" t="str">
        <f t="shared" si="12"/>
        <v>#N/A</v>
      </c>
      <c r="AS213" s="160"/>
      <c r="AT213" s="160"/>
      <c r="AU213" s="160"/>
      <c r="AV213" s="160"/>
      <c r="AW213" s="160"/>
      <c r="AX213" s="160"/>
      <c r="AY213" s="160"/>
      <c r="AZ213" s="160"/>
      <c r="BA213" s="160"/>
      <c r="BB213" s="160"/>
      <c r="BC213" s="160"/>
      <c r="BD213" s="160"/>
      <c r="BE213" s="160"/>
      <c r="BF213" s="160"/>
      <c r="BG213" s="160"/>
      <c r="BH213" s="160"/>
      <c r="BI213" s="160"/>
      <c r="BJ213" s="160"/>
      <c r="BK213" s="160"/>
      <c r="BL213" s="160"/>
      <c r="BM213" s="160"/>
      <c r="BN213" s="160"/>
      <c r="BO213" s="160"/>
      <c r="BP213" s="160"/>
      <c r="BQ213" s="160"/>
      <c r="BR213" s="160"/>
      <c r="BS213" s="160"/>
      <c r="BT213" s="160"/>
      <c r="BU213" s="160"/>
      <c r="BV213" s="160"/>
      <c r="BW213" s="160"/>
      <c r="BX213" s="160"/>
      <c r="BY213" s="160"/>
      <c r="BZ213" s="160"/>
      <c r="CA213" s="160"/>
      <c r="CB213" s="160"/>
      <c r="CC213" s="160"/>
      <c r="CD213" s="160"/>
      <c r="CE213" s="160"/>
      <c r="CF213" s="160"/>
      <c r="CG213" s="160"/>
      <c r="CH213" s="160"/>
      <c r="CI213" s="160"/>
      <c r="CJ213" s="160"/>
      <c r="CK213" s="160"/>
      <c r="CL213" s="160"/>
    </row>
    <row r="214">
      <c r="A214" s="174" t="s">
        <v>111</v>
      </c>
      <c r="B214" s="11" t="s">
        <v>655</v>
      </c>
      <c r="C214" s="175" t="s">
        <v>72</v>
      </c>
      <c r="D214" s="176" t="str">
        <f>IFERROR(VLOOKUP(C214, PIC!A:B, 2, 0), "")</f>
        <v>Thien Truong</v>
      </c>
      <c r="E214" s="11" t="s">
        <v>23</v>
      </c>
      <c r="F214" s="16" t="s">
        <v>846</v>
      </c>
      <c r="G214" s="16" t="s">
        <v>861</v>
      </c>
      <c r="H214" s="170">
        <f>IFERROR(
  MINIFS(ATTENDANCE_LOG!$F:$F,
         ATTENDANCE_LOG!$A:$A, C214,
         ATTENDANCE_LOG!$B:$B, E214),
"")</f>
        <v>45866.54167</v>
      </c>
      <c r="I214" s="170">
        <f t="shared" si="2"/>
        <v>45670.54167</v>
      </c>
      <c r="J214" s="11">
        <f>IFERROR(VLOOKUP(F214, LEVEL_HELPER!$A:$B, 2, 0), "")</f>
        <v>3</v>
      </c>
      <c r="K214" s="11">
        <f>IFERROR(VLOOKUP(G214, LEVEL_HELPER!$A:$B, 2, 0), "")</f>
        <v>3.5</v>
      </c>
      <c r="L214" s="171" t="s">
        <v>400</v>
      </c>
      <c r="M214" s="171" t="s">
        <v>153</v>
      </c>
      <c r="N214" s="11">
        <f t="array" ref="N214">IFERROR(
  INDEX($J$2:$J$531,
    MATCH(A214&amp;TEXT(I214,"yyyy-mm-dd"),
          $A$2:$A$531&amp;TEXT($H$2:$H$531,"yyyy-mm-dd"),
          0)),
"")</f>
        <v>1</v>
      </c>
      <c r="O214" s="160">
        <f t="shared" si="3"/>
        <v>3.5</v>
      </c>
      <c r="P214" s="160">
        <f t="shared" ref="P214:Q214" si="224">IF(N214="",0,IF(N214&lt;=2,1,IF(N214&lt;=4,2,IF(N214&lt;=5.5,3,4))))</f>
        <v>1</v>
      </c>
      <c r="Q214" s="160">
        <f t="shared" si="224"/>
        <v>2</v>
      </c>
      <c r="R214" s="160" t="str">
        <f t="shared" si="5"/>
        <v>Lv1 → Lv2</v>
      </c>
      <c r="S214" s="160">
        <f t="shared" si="6"/>
        <v>0</v>
      </c>
      <c r="T214" s="187" t="s">
        <v>983</v>
      </c>
      <c r="U214" s="160">
        <f>COUNTIFS(sheet2!$A:$A,A214,sheet2!$E:$E,E214)</f>
        <v>1</v>
      </c>
      <c r="V214" s="160"/>
      <c r="W214" s="160"/>
      <c r="X214" s="160" t="str">
        <f t="shared" si="7"/>
        <v>#N/A</v>
      </c>
      <c r="Y214" s="160" t="str">
        <f t="shared" si="8"/>
        <v>#N/A</v>
      </c>
      <c r="Z214" s="160" t="str">
        <f t="shared" si="9"/>
        <v>#N/A</v>
      </c>
      <c r="AA214" s="160"/>
      <c r="AB214" s="160"/>
      <c r="AC214" s="160"/>
      <c r="AD214" s="160"/>
      <c r="AE214" s="160"/>
      <c r="AF214" s="160"/>
      <c r="AG214" s="160"/>
      <c r="AH214" s="160"/>
      <c r="AI214" s="160"/>
      <c r="AJ214" s="160"/>
      <c r="AK214" s="160"/>
      <c r="AL214" s="160"/>
      <c r="AM214" s="160"/>
      <c r="AN214" s="164"/>
      <c r="AO214" s="160"/>
      <c r="AP214" s="160" t="str">
        <f t="shared" si="10"/>
        <v>#N/A</v>
      </c>
      <c r="AQ214" s="160" t="str">
        <f t="shared" si="11"/>
        <v>#N/A</v>
      </c>
      <c r="AR214" s="160" t="str">
        <f t="shared" si="12"/>
        <v>#N/A</v>
      </c>
      <c r="AS214" s="160"/>
      <c r="AT214" s="160"/>
      <c r="AU214" s="160"/>
      <c r="AV214" s="160"/>
      <c r="AW214" s="160"/>
      <c r="AX214" s="160"/>
      <c r="AY214" s="160"/>
      <c r="AZ214" s="160"/>
      <c r="BA214" s="160"/>
      <c r="BB214" s="160"/>
      <c r="BC214" s="160"/>
      <c r="BD214" s="160"/>
      <c r="BE214" s="160"/>
      <c r="BF214" s="160"/>
      <c r="BG214" s="160"/>
      <c r="BH214" s="160"/>
      <c r="BI214" s="160"/>
      <c r="BJ214" s="160"/>
      <c r="BK214" s="160"/>
      <c r="BL214" s="160"/>
      <c r="BM214" s="160"/>
      <c r="BN214" s="160"/>
      <c r="BO214" s="160"/>
      <c r="BP214" s="160"/>
      <c r="BQ214" s="160"/>
      <c r="BR214" s="160"/>
      <c r="BS214" s="160"/>
      <c r="BT214" s="160"/>
      <c r="BU214" s="160"/>
      <c r="BV214" s="160"/>
      <c r="BW214" s="160"/>
      <c r="BX214" s="160"/>
      <c r="BY214" s="160"/>
      <c r="BZ214" s="160"/>
      <c r="CA214" s="160"/>
      <c r="CB214" s="160"/>
      <c r="CC214" s="160"/>
      <c r="CD214" s="160"/>
      <c r="CE214" s="160"/>
      <c r="CF214" s="160"/>
      <c r="CG214" s="160"/>
      <c r="CH214" s="160"/>
      <c r="CI214" s="160"/>
      <c r="CJ214" s="160"/>
      <c r="CK214" s="160"/>
      <c r="CL214" s="160"/>
    </row>
    <row r="215">
      <c r="A215" s="174" t="s">
        <v>658</v>
      </c>
      <c r="B215" s="11" t="s">
        <v>659</v>
      </c>
      <c r="C215" s="175" t="s">
        <v>72</v>
      </c>
      <c r="D215" s="176" t="str">
        <f>IFERROR(VLOOKUP(C215, PIC!A:B, 2, 0), "")</f>
        <v>Thien Truong</v>
      </c>
      <c r="E215" s="11" t="s">
        <v>23</v>
      </c>
      <c r="F215" s="16" t="s">
        <v>853</v>
      </c>
      <c r="G215" s="16" t="s">
        <v>853</v>
      </c>
      <c r="H215" s="170">
        <f>IFERROR(
  MINIFS(ATTENDANCE_LOG!$F:$F,
         ATTENDANCE_LOG!$A:$A, C215,
         ATTENDANCE_LOG!$B:$B, E215),
"")</f>
        <v>45866.54167</v>
      </c>
      <c r="I215" s="170">
        <f t="shared" si="2"/>
        <v>45670.54167</v>
      </c>
      <c r="J215" s="11">
        <f>IFERROR(VLOOKUP(F215, LEVEL_HELPER!$A:$B, 2, 0), "")</f>
        <v>1.5</v>
      </c>
      <c r="K215" s="11">
        <f>IFERROR(VLOOKUP(G215, LEVEL_HELPER!$A:$B, 2, 0), "")</f>
        <v>1.5</v>
      </c>
      <c r="L215" s="171" t="s">
        <v>400</v>
      </c>
      <c r="M215" s="171" t="s">
        <v>154</v>
      </c>
      <c r="N215" s="11">
        <f t="array" ref="N215">IFERROR(
  INDEX($J$2:$J$531,
    MATCH(A215&amp;TEXT(I215,"yyyy-mm-dd"),
          $A$2:$A$531&amp;TEXT($H$2:$H$531,"yyyy-mm-dd"),
          0)),
"")</f>
        <v>1</v>
      </c>
      <c r="O215" s="160">
        <f t="shared" si="3"/>
        <v>1.5</v>
      </c>
      <c r="P215" s="160">
        <f t="shared" ref="P215:Q215" si="225">IF(N215="",0,IF(N215&lt;=2,1,IF(N215&lt;=4,2,IF(N215&lt;=5.5,3,4))))</f>
        <v>1</v>
      </c>
      <c r="Q215" s="160">
        <f t="shared" si="225"/>
        <v>1</v>
      </c>
      <c r="R215" s="160" t="str">
        <f t="shared" si="5"/>
        <v>Progress within level</v>
      </c>
      <c r="S215" s="160">
        <f t="shared" si="6"/>
        <v>0</v>
      </c>
      <c r="T215" s="187" t="s">
        <v>984</v>
      </c>
      <c r="U215" s="160">
        <f>COUNTIFS(sheet2!$A:$A,A215,sheet2!$E:$E,E215)</f>
        <v>1</v>
      </c>
      <c r="V215" s="160"/>
      <c r="W215" s="160"/>
      <c r="X215" s="160" t="str">
        <f t="shared" si="7"/>
        <v>#N/A</v>
      </c>
      <c r="Y215" s="160" t="str">
        <f t="shared" si="8"/>
        <v>#N/A</v>
      </c>
      <c r="Z215" s="160" t="str">
        <f t="shared" si="9"/>
        <v>#N/A</v>
      </c>
      <c r="AA215" s="160"/>
      <c r="AB215" s="160"/>
      <c r="AC215" s="160"/>
      <c r="AD215" s="160"/>
      <c r="AE215" s="160"/>
      <c r="AF215" s="160"/>
      <c r="AG215" s="160"/>
      <c r="AH215" s="160"/>
      <c r="AI215" s="160"/>
      <c r="AJ215" s="160"/>
      <c r="AK215" s="160"/>
      <c r="AL215" s="160"/>
      <c r="AM215" s="160"/>
      <c r="AN215" s="164"/>
      <c r="AO215" s="160"/>
      <c r="AP215" s="160" t="str">
        <f t="shared" si="10"/>
        <v>#N/A</v>
      </c>
      <c r="AQ215" s="160" t="str">
        <f t="shared" si="11"/>
        <v>#N/A</v>
      </c>
      <c r="AR215" s="160" t="str">
        <f t="shared" si="12"/>
        <v>#N/A</v>
      </c>
      <c r="AS215" s="160"/>
      <c r="AT215" s="160"/>
      <c r="AU215" s="160"/>
      <c r="AV215" s="160"/>
      <c r="AW215" s="160"/>
      <c r="AX215" s="160"/>
      <c r="AY215" s="160"/>
      <c r="AZ215" s="160"/>
      <c r="BA215" s="160"/>
      <c r="BB215" s="160"/>
      <c r="BC215" s="160"/>
      <c r="BD215" s="160"/>
      <c r="BE215" s="160"/>
      <c r="BF215" s="160"/>
      <c r="BG215" s="160"/>
      <c r="BH215" s="160"/>
      <c r="BI215" s="160"/>
      <c r="BJ215" s="160"/>
      <c r="BK215" s="160"/>
      <c r="BL215" s="160"/>
      <c r="BM215" s="160"/>
      <c r="BN215" s="160"/>
      <c r="BO215" s="160"/>
      <c r="BP215" s="160"/>
      <c r="BQ215" s="160"/>
      <c r="BR215" s="160"/>
      <c r="BS215" s="160"/>
      <c r="BT215" s="160"/>
      <c r="BU215" s="160"/>
      <c r="BV215" s="160"/>
      <c r="BW215" s="160"/>
      <c r="BX215" s="160"/>
      <c r="BY215" s="160"/>
      <c r="BZ215" s="160"/>
      <c r="CA215" s="160"/>
      <c r="CB215" s="160"/>
      <c r="CC215" s="160"/>
      <c r="CD215" s="160"/>
      <c r="CE215" s="160"/>
      <c r="CF215" s="160"/>
      <c r="CG215" s="160"/>
      <c r="CH215" s="160"/>
      <c r="CI215" s="160"/>
      <c r="CJ215" s="160"/>
      <c r="CK215" s="160"/>
      <c r="CL215" s="160"/>
    </row>
    <row r="216">
      <c r="A216" s="174" t="s">
        <v>671</v>
      </c>
      <c r="B216" s="11" t="s">
        <v>672</v>
      </c>
      <c r="C216" s="175" t="s">
        <v>72</v>
      </c>
      <c r="D216" s="176" t="str">
        <f>IFERROR(VLOOKUP(C216, PIC!A:B, 2, 0), "")</f>
        <v>Thien Truong</v>
      </c>
      <c r="E216" s="11" t="s">
        <v>23</v>
      </c>
      <c r="F216" s="16" t="s">
        <v>858</v>
      </c>
      <c r="G216" s="11"/>
      <c r="H216" s="170">
        <f>IFERROR(
  MINIFS(ATTENDANCE_LOG!$F:$F,
         ATTENDANCE_LOG!$A:$A, C216,
         ATTENDANCE_LOG!$B:$B, E216),
"")</f>
        <v>45866.54167</v>
      </c>
      <c r="I216" s="170">
        <f t="shared" si="2"/>
        <v>45670.54167</v>
      </c>
      <c r="J216" s="11">
        <f>IFERROR(VLOOKUP(F216, LEVEL_HELPER!$A:$B, 2, 0), "")</f>
        <v>4.5</v>
      </c>
      <c r="K216" s="11" t="str">
        <f>IFERROR(VLOOKUP(G216, LEVEL_HELPER!$A:$B, 2, 0), "")</f>
        <v/>
      </c>
      <c r="L216" s="171" t="s">
        <v>400</v>
      </c>
      <c r="M216" s="171" t="s">
        <v>154</v>
      </c>
      <c r="N216" s="11">
        <f t="array" ref="N216">IFERROR(
  INDEX($J$2:$J$531,
    MATCH(A216&amp;TEXT(I216,"yyyy-mm-dd"),
          $A$2:$A$531&amp;TEXT($H$2:$H$531,"yyyy-mm-dd"),
          0)),
"")</f>
        <v>2.5</v>
      </c>
      <c r="O216" s="160">
        <f t="shared" si="3"/>
        <v>4.5</v>
      </c>
      <c r="P216" s="160">
        <f t="shared" ref="P216:Q216" si="226">IF(N216="",0,IF(N216&lt;=2,1,IF(N216&lt;=4,2,IF(N216&lt;=5.5,3,4))))</f>
        <v>2</v>
      </c>
      <c r="Q216" s="160">
        <f t="shared" si="226"/>
        <v>3</v>
      </c>
      <c r="R216" s="160" t="str">
        <f t="shared" si="5"/>
        <v>Lv2 → Lv3</v>
      </c>
      <c r="S216" s="160">
        <f t="shared" si="6"/>
        <v>0</v>
      </c>
      <c r="T216" s="187" t="s">
        <v>985</v>
      </c>
      <c r="U216" s="160">
        <f>COUNTIFS(sheet2!$A:$A,A216,sheet2!$E:$E,E216)</f>
        <v>1</v>
      </c>
      <c r="V216" s="160"/>
      <c r="W216" s="160"/>
      <c r="X216" s="160" t="str">
        <f t="shared" si="7"/>
        <v>#N/A</v>
      </c>
      <c r="Y216" s="160" t="str">
        <f t="shared" si="8"/>
        <v>#N/A</v>
      </c>
      <c r="Z216" s="160" t="str">
        <f t="shared" si="9"/>
        <v>#N/A</v>
      </c>
      <c r="AA216" s="160"/>
      <c r="AB216" s="160"/>
      <c r="AC216" s="160"/>
      <c r="AD216" s="160"/>
      <c r="AE216" s="160"/>
      <c r="AF216" s="160"/>
      <c r="AG216" s="160"/>
      <c r="AH216" s="160"/>
      <c r="AI216" s="160"/>
      <c r="AJ216" s="160"/>
      <c r="AK216" s="160"/>
      <c r="AL216" s="160"/>
      <c r="AM216" s="160"/>
      <c r="AN216" s="164"/>
      <c r="AO216" s="160"/>
      <c r="AP216" s="160" t="str">
        <f t="shared" si="10"/>
        <v>#N/A</v>
      </c>
      <c r="AQ216" s="160" t="str">
        <f t="shared" si="11"/>
        <v>#N/A</v>
      </c>
      <c r="AR216" s="160" t="str">
        <f t="shared" si="12"/>
        <v>#N/A</v>
      </c>
      <c r="AS216" s="160"/>
      <c r="AT216" s="160"/>
      <c r="AU216" s="160"/>
      <c r="AV216" s="160"/>
      <c r="AW216" s="160"/>
      <c r="AX216" s="160"/>
      <c r="AY216" s="160"/>
      <c r="AZ216" s="160"/>
      <c r="BA216" s="160"/>
      <c r="BB216" s="160"/>
      <c r="BC216" s="160"/>
      <c r="BD216" s="160"/>
      <c r="BE216" s="160"/>
      <c r="BF216" s="160"/>
      <c r="BG216" s="160"/>
      <c r="BH216" s="160"/>
      <c r="BI216" s="160"/>
      <c r="BJ216" s="160"/>
      <c r="BK216" s="160"/>
      <c r="BL216" s="160"/>
      <c r="BM216" s="160"/>
      <c r="BN216" s="160"/>
      <c r="BO216" s="160"/>
      <c r="BP216" s="160"/>
      <c r="BQ216" s="160"/>
      <c r="BR216" s="160"/>
      <c r="BS216" s="160"/>
      <c r="BT216" s="160"/>
      <c r="BU216" s="160"/>
      <c r="BV216" s="160"/>
      <c r="BW216" s="160"/>
      <c r="BX216" s="160"/>
      <c r="BY216" s="160"/>
      <c r="BZ216" s="160"/>
      <c r="CA216" s="160"/>
      <c r="CB216" s="160"/>
      <c r="CC216" s="160"/>
      <c r="CD216" s="160"/>
      <c r="CE216" s="160"/>
      <c r="CF216" s="160"/>
      <c r="CG216" s="160"/>
      <c r="CH216" s="160"/>
      <c r="CI216" s="160"/>
      <c r="CJ216" s="160"/>
      <c r="CK216" s="160"/>
      <c r="CL216" s="160"/>
    </row>
    <row r="217">
      <c r="A217" s="174" t="s">
        <v>662</v>
      </c>
      <c r="B217" s="11" t="s">
        <v>663</v>
      </c>
      <c r="C217" s="175" t="s">
        <v>72</v>
      </c>
      <c r="D217" s="176" t="str">
        <f>IFERROR(VLOOKUP(C217, PIC!A:B, 2, 0), "")</f>
        <v>Thien Truong</v>
      </c>
      <c r="E217" s="11" t="s">
        <v>23</v>
      </c>
      <c r="F217" s="16" t="s">
        <v>861</v>
      </c>
      <c r="G217" s="16" t="s">
        <v>989</v>
      </c>
      <c r="H217" s="170">
        <f>IFERROR(
  MINIFS(ATTENDANCE_LOG!$F:$F,
         ATTENDANCE_LOG!$A:$A, C217,
         ATTENDANCE_LOG!$B:$B, E217),
"")</f>
        <v>45866.54167</v>
      </c>
      <c r="I217" s="170">
        <f t="shared" si="2"/>
        <v>45670.54167</v>
      </c>
      <c r="J217" s="11">
        <f>IFERROR(VLOOKUP(F217, LEVEL_HELPER!$A:$B, 2, 0), "")</f>
        <v>3.5</v>
      </c>
      <c r="K217" s="11">
        <f>IFERROR(VLOOKUP(G217, LEVEL_HELPER!$A:$B, 2, 0), "")</f>
        <v>4</v>
      </c>
      <c r="L217" s="171" t="s">
        <v>400</v>
      </c>
      <c r="M217" s="171" t="s">
        <v>153</v>
      </c>
      <c r="N217" s="11">
        <f t="array" ref="N217">IFERROR(
  INDEX($J$2:$J$531,
    MATCH(A217&amp;TEXT(I217,"yyyy-mm-dd"),
          $A$2:$A$531&amp;TEXT($H$2:$H$531,"yyyy-mm-dd"),
          0)),
"")</f>
        <v>1</v>
      </c>
      <c r="O217" s="160">
        <f t="shared" si="3"/>
        <v>4</v>
      </c>
      <c r="P217" s="160">
        <f t="shared" ref="P217:Q217" si="227">IF(N217="",0,IF(N217&lt;=2,1,IF(N217&lt;=4,2,IF(N217&lt;=5.5,3,4))))</f>
        <v>1</v>
      </c>
      <c r="Q217" s="160">
        <f t="shared" si="227"/>
        <v>2</v>
      </c>
      <c r="R217" s="160" t="str">
        <f t="shared" si="5"/>
        <v>Lv1 → Lv2</v>
      </c>
      <c r="S217" s="160">
        <f t="shared" si="6"/>
        <v>0</v>
      </c>
      <c r="T217" s="187" t="s">
        <v>986</v>
      </c>
      <c r="U217" s="160">
        <f>COUNTIFS(sheet2!$A:$A,A217,sheet2!$E:$E,E217)</f>
        <v>1</v>
      </c>
      <c r="V217" s="160"/>
      <c r="W217" s="160"/>
      <c r="X217" s="160" t="str">
        <f t="shared" si="7"/>
        <v>#N/A</v>
      </c>
      <c r="Y217" s="160" t="str">
        <f t="shared" si="8"/>
        <v>#N/A</v>
      </c>
      <c r="Z217" s="160" t="str">
        <f t="shared" si="9"/>
        <v>#N/A</v>
      </c>
      <c r="AA217" s="160"/>
      <c r="AB217" s="160"/>
      <c r="AC217" s="160"/>
      <c r="AD217" s="160"/>
      <c r="AE217" s="160"/>
      <c r="AF217" s="160"/>
      <c r="AG217" s="160"/>
      <c r="AH217" s="160"/>
      <c r="AI217" s="160"/>
      <c r="AJ217" s="160"/>
      <c r="AK217" s="160"/>
      <c r="AL217" s="160"/>
      <c r="AM217" s="160"/>
      <c r="AN217" s="164"/>
      <c r="AO217" s="160"/>
      <c r="AP217" s="160" t="str">
        <f t="shared" si="10"/>
        <v>#N/A</v>
      </c>
      <c r="AQ217" s="160" t="str">
        <f t="shared" si="11"/>
        <v>#N/A</v>
      </c>
      <c r="AR217" s="160" t="str">
        <f t="shared" si="12"/>
        <v>#N/A</v>
      </c>
      <c r="AS217" s="160"/>
      <c r="AT217" s="160"/>
      <c r="AU217" s="160"/>
      <c r="AV217" s="160"/>
      <c r="AW217" s="160"/>
      <c r="AX217" s="160"/>
      <c r="AY217" s="160"/>
      <c r="AZ217" s="160"/>
      <c r="BA217" s="160"/>
      <c r="BB217" s="160"/>
      <c r="BC217" s="160"/>
      <c r="BD217" s="160"/>
      <c r="BE217" s="160"/>
      <c r="BF217" s="160"/>
      <c r="BG217" s="160"/>
      <c r="BH217" s="160"/>
      <c r="BI217" s="160"/>
      <c r="BJ217" s="160"/>
      <c r="BK217" s="160"/>
      <c r="BL217" s="160"/>
      <c r="BM217" s="160"/>
      <c r="BN217" s="160"/>
      <c r="BO217" s="160"/>
      <c r="BP217" s="160"/>
      <c r="BQ217" s="160"/>
      <c r="BR217" s="160"/>
      <c r="BS217" s="160"/>
      <c r="BT217" s="160"/>
      <c r="BU217" s="160"/>
      <c r="BV217" s="160"/>
      <c r="BW217" s="160"/>
      <c r="BX217" s="160"/>
      <c r="BY217" s="160"/>
      <c r="BZ217" s="160"/>
      <c r="CA217" s="160"/>
      <c r="CB217" s="160"/>
      <c r="CC217" s="160"/>
      <c r="CD217" s="160"/>
      <c r="CE217" s="160"/>
      <c r="CF217" s="160"/>
      <c r="CG217" s="160"/>
      <c r="CH217" s="160"/>
      <c r="CI217" s="160"/>
      <c r="CJ217" s="160"/>
      <c r="CK217" s="160"/>
      <c r="CL217" s="160"/>
    </row>
    <row r="218">
      <c r="A218" s="174" t="s">
        <v>673</v>
      </c>
      <c r="B218" s="11" t="s">
        <v>674</v>
      </c>
      <c r="C218" s="175" t="s">
        <v>72</v>
      </c>
      <c r="D218" s="176" t="str">
        <f>IFERROR(VLOOKUP(C218, PIC!A:B, 2, 0), "")</f>
        <v>Thien Truong</v>
      </c>
      <c r="E218" s="11" t="s">
        <v>23</v>
      </c>
      <c r="F218" s="16" t="s">
        <v>846</v>
      </c>
      <c r="G218" s="16" t="s">
        <v>846</v>
      </c>
      <c r="H218" s="170">
        <f>IFERROR(
  MINIFS(ATTENDANCE_LOG!$F:$F,
         ATTENDANCE_LOG!$A:$A, C218,
         ATTENDANCE_LOG!$B:$B, E218),
"")</f>
        <v>45866.54167</v>
      </c>
      <c r="I218" s="170">
        <f t="shared" si="2"/>
        <v>45670.54167</v>
      </c>
      <c r="J218" s="11">
        <f>IFERROR(VLOOKUP(F218, LEVEL_HELPER!$A:$B, 2, 0), "")</f>
        <v>3</v>
      </c>
      <c r="K218" s="11">
        <f>IFERROR(VLOOKUP(G218, LEVEL_HELPER!$A:$B, 2, 0), "")</f>
        <v>3</v>
      </c>
      <c r="L218" s="171" t="s">
        <v>400</v>
      </c>
      <c r="M218" s="171" t="s">
        <v>154</v>
      </c>
      <c r="N218" s="11">
        <f t="array" ref="N218">IFERROR(
  INDEX($J$2:$J$531,
    MATCH(A218&amp;TEXT(I218,"yyyy-mm-dd"),
          $A$2:$A$531&amp;TEXT($H$2:$H$531,"yyyy-mm-dd"),
          0)),
"")</f>
        <v>1</v>
      </c>
      <c r="O218" s="160">
        <f t="shared" si="3"/>
        <v>3</v>
      </c>
      <c r="P218" s="160">
        <f t="shared" ref="P218:Q218" si="228">IF(N218="",0,IF(N218&lt;=2,1,IF(N218&lt;=4,2,IF(N218&lt;=5.5,3,4))))</f>
        <v>1</v>
      </c>
      <c r="Q218" s="160">
        <f t="shared" si="228"/>
        <v>2</v>
      </c>
      <c r="R218" s="160" t="str">
        <f t="shared" si="5"/>
        <v>Lv1 → Lv2</v>
      </c>
      <c r="S218" s="160">
        <f t="shared" si="6"/>
        <v>0</v>
      </c>
      <c r="T218" s="187" t="s">
        <v>987</v>
      </c>
      <c r="U218" s="160">
        <f>COUNTIFS(sheet2!$A:$A,A218,sheet2!$E:$E,E218)</f>
        <v>1</v>
      </c>
      <c r="V218" s="160"/>
      <c r="W218" s="160"/>
      <c r="X218" s="160" t="str">
        <f t="shared" si="7"/>
        <v>#N/A</v>
      </c>
      <c r="Y218" s="160" t="str">
        <f t="shared" si="8"/>
        <v>#N/A</v>
      </c>
      <c r="Z218" s="160" t="str">
        <f t="shared" si="9"/>
        <v>#N/A</v>
      </c>
      <c r="AA218" s="160"/>
      <c r="AB218" s="160"/>
      <c r="AC218" s="160"/>
      <c r="AD218" s="160"/>
      <c r="AE218" s="160"/>
      <c r="AF218" s="160"/>
      <c r="AG218" s="160"/>
      <c r="AH218" s="160"/>
      <c r="AI218" s="160"/>
      <c r="AJ218" s="160"/>
      <c r="AK218" s="160"/>
      <c r="AL218" s="160"/>
      <c r="AM218" s="160"/>
      <c r="AN218" s="164"/>
      <c r="AO218" s="160"/>
      <c r="AP218" s="160" t="str">
        <f t="shared" si="10"/>
        <v>#N/A</v>
      </c>
      <c r="AQ218" s="160" t="str">
        <f t="shared" si="11"/>
        <v>#N/A</v>
      </c>
      <c r="AR218" s="160" t="str">
        <f t="shared" si="12"/>
        <v>#N/A</v>
      </c>
      <c r="AS218" s="160"/>
      <c r="AT218" s="160"/>
      <c r="AU218" s="160"/>
      <c r="AV218" s="160"/>
      <c r="AW218" s="160"/>
      <c r="AX218" s="160"/>
      <c r="AY218" s="160"/>
      <c r="AZ218" s="160"/>
      <c r="BA218" s="160"/>
      <c r="BB218" s="160"/>
      <c r="BC218" s="160"/>
      <c r="BD218" s="160"/>
      <c r="BE218" s="160"/>
      <c r="BF218" s="160"/>
      <c r="BG218" s="160"/>
      <c r="BH218" s="160"/>
      <c r="BI218" s="160"/>
      <c r="BJ218" s="160"/>
      <c r="BK218" s="160"/>
      <c r="BL218" s="160"/>
      <c r="BM218" s="160"/>
      <c r="BN218" s="160"/>
      <c r="BO218" s="160"/>
      <c r="BP218" s="160"/>
      <c r="BQ218" s="160"/>
      <c r="BR218" s="160"/>
      <c r="BS218" s="160"/>
      <c r="BT218" s="160"/>
      <c r="BU218" s="160"/>
      <c r="BV218" s="160"/>
      <c r="BW218" s="160"/>
      <c r="BX218" s="160"/>
      <c r="BY218" s="160"/>
      <c r="BZ218" s="160"/>
      <c r="CA218" s="160"/>
      <c r="CB218" s="160"/>
      <c r="CC218" s="160"/>
      <c r="CD218" s="160"/>
      <c r="CE218" s="160"/>
      <c r="CF218" s="160"/>
      <c r="CG218" s="160"/>
      <c r="CH218" s="160"/>
      <c r="CI218" s="160"/>
      <c r="CJ218" s="160"/>
      <c r="CK218" s="160"/>
      <c r="CL218" s="160"/>
    </row>
    <row r="219">
      <c r="A219" s="174" t="s">
        <v>668</v>
      </c>
      <c r="B219" s="11" t="s">
        <v>669</v>
      </c>
      <c r="C219" s="175" t="s">
        <v>72</v>
      </c>
      <c r="D219" s="176" t="str">
        <f>IFERROR(VLOOKUP(C219, PIC!A:B, 2, 0), "")</f>
        <v>Thien Truong</v>
      </c>
      <c r="E219" s="11" t="s">
        <v>23</v>
      </c>
      <c r="F219" s="16" t="s">
        <v>861</v>
      </c>
      <c r="G219" s="16" t="s">
        <v>861</v>
      </c>
      <c r="H219" s="170">
        <f>IFERROR(
  MINIFS(ATTENDANCE_LOG!$F:$F,
         ATTENDANCE_LOG!$A:$A, C219,
         ATTENDANCE_LOG!$B:$B, E219),
"")</f>
        <v>45866.54167</v>
      </c>
      <c r="I219" s="170">
        <f t="shared" si="2"/>
        <v>45670.54167</v>
      </c>
      <c r="J219" s="11">
        <f>IFERROR(VLOOKUP(F219, LEVEL_HELPER!$A:$B, 2, 0), "")</f>
        <v>3.5</v>
      </c>
      <c r="K219" s="11">
        <f>IFERROR(VLOOKUP(G219, LEVEL_HELPER!$A:$B, 2, 0), "")</f>
        <v>3.5</v>
      </c>
      <c r="L219" s="171" t="s">
        <v>400</v>
      </c>
      <c r="M219" s="171" t="s">
        <v>153</v>
      </c>
      <c r="N219" s="11">
        <f t="array" ref="N219">IFERROR(
  INDEX($J$2:$J$531,
    MATCH(A219&amp;TEXT(I219,"yyyy-mm-dd"),
          $A$2:$A$531&amp;TEXT($H$2:$H$531,"yyyy-mm-dd"),
          0)),
"")</f>
        <v>2.5</v>
      </c>
      <c r="O219" s="160">
        <f t="shared" si="3"/>
        <v>3.5</v>
      </c>
      <c r="P219" s="160">
        <f t="shared" ref="P219:Q219" si="229">IF(N219="",0,IF(N219&lt;=2,1,IF(N219&lt;=4,2,IF(N219&lt;=5.5,3,4))))</f>
        <v>2</v>
      </c>
      <c r="Q219" s="160">
        <f t="shared" si="229"/>
        <v>2</v>
      </c>
      <c r="R219" s="160" t="str">
        <f t="shared" si="5"/>
        <v>Progress within level</v>
      </c>
      <c r="S219" s="160">
        <f t="shared" si="6"/>
        <v>0</v>
      </c>
      <c r="T219" s="187" t="s">
        <v>988</v>
      </c>
      <c r="U219" s="160">
        <f>COUNTIFS(sheet2!$A:$A,A219,sheet2!$E:$E,E219)</f>
        <v>1</v>
      </c>
      <c r="V219" s="160"/>
      <c r="W219" s="160"/>
      <c r="X219" s="160" t="str">
        <f t="shared" si="7"/>
        <v>#N/A</v>
      </c>
      <c r="Y219" s="160" t="str">
        <f t="shared" si="8"/>
        <v>#N/A</v>
      </c>
      <c r="Z219" s="160" t="str">
        <f t="shared" si="9"/>
        <v>#N/A</v>
      </c>
      <c r="AA219" s="160"/>
      <c r="AB219" s="160"/>
      <c r="AC219" s="160"/>
      <c r="AD219" s="160"/>
      <c r="AE219" s="160"/>
      <c r="AF219" s="160"/>
      <c r="AG219" s="160"/>
      <c r="AH219" s="160"/>
      <c r="AI219" s="160"/>
      <c r="AJ219" s="160"/>
      <c r="AK219" s="160"/>
      <c r="AL219" s="160"/>
      <c r="AM219" s="160"/>
      <c r="AN219" s="164"/>
      <c r="AO219" s="160"/>
      <c r="AP219" s="160" t="str">
        <f t="shared" si="10"/>
        <v>#N/A</v>
      </c>
      <c r="AQ219" s="160" t="str">
        <f t="shared" si="11"/>
        <v>#N/A</v>
      </c>
      <c r="AR219" s="160" t="str">
        <f t="shared" si="12"/>
        <v>#N/A</v>
      </c>
      <c r="AS219" s="160"/>
      <c r="AT219" s="160"/>
      <c r="AU219" s="160"/>
      <c r="AV219" s="160"/>
      <c r="AW219" s="160"/>
      <c r="AX219" s="160"/>
      <c r="AY219" s="160"/>
      <c r="AZ219" s="160"/>
      <c r="BA219" s="160"/>
      <c r="BB219" s="160"/>
      <c r="BC219" s="160"/>
      <c r="BD219" s="160"/>
      <c r="BE219" s="160"/>
      <c r="BF219" s="160"/>
      <c r="BG219" s="160"/>
      <c r="BH219" s="160"/>
      <c r="BI219" s="160"/>
      <c r="BJ219" s="160"/>
      <c r="BK219" s="160"/>
      <c r="BL219" s="160"/>
      <c r="BM219" s="160"/>
      <c r="BN219" s="160"/>
      <c r="BO219" s="160"/>
      <c r="BP219" s="160"/>
      <c r="BQ219" s="160"/>
      <c r="BR219" s="160"/>
      <c r="BS219" s="160"/>
      <c r="BT219" s="160"/>
      <c r="BU219" s="160"/>
      <c r="BV219" s="160"/>
      <c r="BW219" s="160"/>
      <c r="BX219" s="160"/>
      <c r="BY219" s="160"/>
      <c r="BZ219" s="160"/>
      <c r="CA219" s="160"/>
      <c r="CB219" s="160"/>
      <c r="CC219" s="160"/>
      <c r="CD219" s="160"/>
      <c r="CE219" s="160"/>
      <c r="CF219" s="160"/>
      <c r="CG219" s="160"/>
      <c r="CH219" s="160"/>
      <c r="CI219" s="160"/>
      <c r="CJ219" s="160"/>
      <c r="CK219" s="160"/>
      <c r="CL219" s="160"/>
    </row>
    <row r="220">
      <c r="A220" s="166" t="s">
        <v>666</v>
      </c>
      <c r="B220" s="167" t="s">
        <v>667</v>
      </c>
      <c r="C220" s="168" t="s">
        <v>72</v>
      </c>
      <c r="D220" s="169" t="str">
        <f>IFERROR(VLOOKUP(C220, PIC!A:B, 2, 0), "")</f>
        <v>Thien Truong</v>
      </c>
      <c r="E220" s="167" t="s">
        <v>24</v>
      </c>
      <c r="F220" s="11"/>
      <c r="G220" s="11"/>
      <c r="H220" s="170">
        <f>IFERROR(
  MINIFS(ATTENDANCE_LOG!$F:$F,
         ATTENDANCE_LOG!$A:$A, C220,
         ATTENDANCE_LOG!$B:$B, E220),
"")</f>
        <v>46084.58333</v>
      </c>
      <c r="I220" s="170">
        <f t="shared" si="2"/>
        <v>45670.54167</v>
      </c>
      <c r="J220" s="11" t="str">
        <f>IFERROR(VLOOKUP(F220, LEVEL_HELPER!$A:$B, 2, 0), "")</f>
        <v/>
      </c>
      <c r="K220" s="11" t="str">
        <f>IFERROR(VLOOKUP(G220, LEVEL_HELPER!$A:$B, 2, 0), "")</f>
        <v/>
      </c>
      <c r="L220" s="171" t="s">
        <v>400</v>
      </c>
      <c r="M220" s="171" t="s">
        <v>153</v>
      </c>
      <c r="N220" s="11">
        <f t="array" ref="N220">IFERROR(
  INDEX($J$2:$J$531,
    MATCH(A220&amp;TEXT(I220,"yyyy-mm-dd"),
          $A$2:$A$531&amp;TEXT($H$2:$H$531,"yyyy-mm-dd"),
          0)),
"")</f>
        <v>1</v>
      </c>
      <c r="O220" s="160">
        <f t="shared" si="3"/>
        <v>3.5</v>
      </c>
      <c r="P220" s="160">
        <f t="shared" ref="P220:Q220" si="230">IF(N220="",0,IF(N220&lt;=2,1,IF(N220&lt;=4,2,IF(N220&lt;=5.5,3,4))))</f>
        <v>1</v>
      </c>
      <c r="Q220" s="160">
        <f t="shared" si="230"/>
        <v>2</v>
      </c>
      <c r="R220" s="160" t="str">
        <f t="shared" si="5"/>
        <v>Lv1 → Lv2</v>
      </c>
      <c r="S220" s="160">
        <f t="shared" si="6"/>
        <v>0</v>
      </c>
      <c r="T220" s="186" t="s">
        <v>981</v>
      </c>
      <c r="U220" s="160">
        <f>COUNTIFS(sheet2!$A:$A,A220,sheet2!$E:$E,E220)</f>
        <v>1</v>
      </c>
      <c r="V220" s="160"/>
      <c r="W220" s="160"/>
      <c r="X220" s="160" t="str">
        <f t="shared" si="7"/>
        <v>#N/A</v>
      </c>
      <c r="Y220" s="160" t="str">
        <f t="shared" si="8"/>
        <v>#N/A</v>
      </c>
      <c r="Z220" s="160" t="str">
        <f t="shared" si="9"/>
        <v>#N/A</v>
      </c>
      <c r="AA220" s="160"/>
      <c r="AB220" s="160"/>
      <c r="AC220" s="160"/>
      <c r="AD220" s="160"/>
      <c r="AE220" s="160"/>
      <c r="AF220" s="160"/>
      <c r="AG220" s="160"/>
      <c r="AH220" s="160"/>
      <c r="AI220" s="160"/>
      <c r="AJ220" s="160"/>
      <c r="AK220" s="160"/>
      <c r="AL220" s="160"/>
      <c r="AM220" s="160"/>
      <c r="AN220" s="164"/>
      <c r="AO220" s="160"/>
      <c r="AP220" s="160" t="str">
        <f t="shared" si="10"/>
        <v>#N/A</v>
      </c>
      <c r="AQ220" s="160" t="str">
        <f t="shared" si="11"/>
        <v>#N/A</v>
      </c>
      <c r="AR220" s="160" t="str">
        <f t="shared" si="12"/>
        <v>#N/A</v>
      </c>
      <c r="AS220" s="160"/>
      <c r="AT220" s="160"/>
      <c r="AU220" s="160"/>
      <c r="AV220" s="160"/>
      <c r="AW220" s="160"/>
      <c r="AX220" s="160"/>
      <c r="AY220" s="160"/>
      <c r="AZ220" s="160"/>
      <c r="BA220" s="160"/>
      <c r="BB220" s="160"/>
      <c r="BC220" s="160"/>
      <c r="BD220" s="160"/>
      <c r="BE220" s="160"/>
      <c r="BF220" s="160"/>
      <c r="BG220" s="160"/>
      <c r="BH220" s="160"/>
      <c r="BI220" s="160"/>
      <c r="BJ220" s="160"/>
      <c r="BK220" s="160"/>
      <c r="BL220" s="160"/>
      <c r="BM220" s="160"/>
      <c r="BN220" s="160"/>
      <c r="BO220" s="160"/>
      <c r="BP220" s="160"/>
      <c r="BQ220" s="160"/>
      <c r="BR220" s="160"/>
      <c r="BS220" s="160"/>
      <c r="BT220" s="160"/>
      <c r="BU220" s="160"/>
      <c r="BV220" s="160"/>
      <c r="BW220" s="160"/>
      <c r="BX220" s="160"/>
      <c r="BY220" s="160"/>
      <c r="BZ220" s="160"/>
      <c r="CA220" s="160"/>
      <c r="CB220" s="160"/>
      <c r="CC220" s="160"/>
      <c r="CD220" s="160"/>
      <c r="CE220" s="160"/>
      <c r="CF220" s="160"/>
      <c r="CG220" s="160"/>
      <c r="CH220" s="160"/>
      <c r="CI220" s="160"/>
      <c r="CJ220" s="160"/>
      <c r="CK220" s="160"/>
      <c r="CL220" s="160"/>
    </row>
    <row r="221">
      <c r="A221" s="174" t="s">
        <v>653</v>
      </c>
      <c r="B221" s="11" t="s">
        <v>654</v>
      </c>
      <c r="C221" s="175" t="s">
        <v>72</v>
      </c>
      <c r="D221" s="176" t="str">
        <f>IFERROR(VLOOKUP(C221, PIC!A:B, 2, 0), "")</f>
        <v>Thien Truong</v>
      </c>
      <c r="E221" s="11" t="s">
        <v>24</v>
      </c>
      <c r="F221" s="11"/>
      <c r="G221" s="11"/>
      <c r="H221" s="170">
        <f>IFERROR(
  MINIFS(ATTENDANCE_LOG!$F:$F,
         ATTENDANCE_LOG!$A:$A, C221,
         ATTENDANCE_LOG!$B:$B, E221),
"")</f>
        <v>46084.58333</v>
      </c>
      <c r="I221" s="170">
        <f t="shared" si="2"/>
        <v>45670.54167</v>
      </c>
      <c r="J221" s="11" t="str">
        <f>IFERROR(VLOOKUP(F221, LEVEL_HELPER!$A:$B, 2, 0), "")</f>
        <v/>
      </c>
      <c r="K221" s="11" t="str">
        <f>IFERROR(VLOOKUP(G221, LEVEL_HELPER!$A:$B, 2, 0), "")</f>
        <v/>
      </c>
      <c r="L221" s="171" t="s">
        <v>400</v>
      </c>
      <c r="M221" s="171" t="s">
        <v>153</v>
      </c>
      <c r="N221" s="11">
        <f t="array" ref="N221">IFERROR(
  INDEX($J$2:$J$531,
    MATCH(A221&amp;TEXT(I221,"yyyy-mm-dd"),
          $A$2:$A$531&amp;TEXT($H$2:$H$531,"yyyy-mm-dd"),
          0)),
"")</f>
        <v>1</v>
      </c>
      <c r="O221" s="160">
        <f t="shared" si="3"/>
        <v>3.5</v>
      </c>
      <c r="P221" s="160">
        <f t="shared" ref="P221:Q221" si="231">IF(N221="",0,IF(N221&lt;=2,1,IF(N221&lt;=4,2,IF(N221&lt;=5.5,3,4))))</f>
        <v>1</v>
      </c>
      <c r="Q221" s="160">
        <f t="shared" si="231"/>
        <v>2</v>
      </c>
      <c r="R221" s="160" t="str">
        <f t="shared" si="5"/>
        <v>Lv1 → Lv2</v>
      </c>
      <c r="S221" s="160">
        <f t="shared" si="6"/>
        <v>0</v>
      </c>
      <c r="T221" s="187" t="s">
        <v>982</v>
      </c>
      <c r="U221" s="160">
        <f>COUNTIFS(sheet2!$A:$A,A221,sheet2!$E:$E,E221)</f>
        <v>1</v>
      </c>
      <c r="V221" s="160"/>
      <c r="W221" s="160"/>
      <c r="X221" s="160" t="str">
        <f t="shared" si="7"/>
        <v>#N/A</v>
      </c>
      <c r="Y221" s="160" t="str">
        <f t="shared" si="8"/>
        <v>#N/A</v>
      </c>
      <c r="Z221" s="160" t="str">
        <f t="shared" si="9"/>
        <v>#N/A</v>
      </c>
      <c r="AA221" s="160"/>
      <c r="AB221" s="160"/>
      <c r="AC221" s="160"/>
      <c r="AD221" s="160"/>
      <c r="AE221" s="160"/>
      <c r="AF221" s="160"/>
      <c r="AG221" s="160"/>
      <c r="AH221" s="160"/>
      <c r="AI221" s="160"/>
      <c r="AJ221" s="160"/>
      <c r="AK221" s="160"/>
      <c r="AL221" s="160"/>
      <c r="AM221" s="160"/>
      <c r="AN221" s="164"/>
      <c r="AO221" s="160"/>
      <c r="AP221" s="160" t="str">
        <f t="shared" si="10"/>
        <v>#N/A</v>
      </c>
      <c r="AQ221" s="160" t="str">
        <f t="shared" si="11"/>
        <v>#N/A</v>
      </c>
      <c r="AR221" s="160" t="str">
        <f t="shared" si="12"/>
        <v>#N/A</v>
      </c>
      <c r="AS221" s="160"/>
      <c r="AT221" s="160"/>
      <c r="AU221" s="160"/>
      <c r="AV221" s="160"/>
      <c r="AW221" s="160"/>
      <c r="AX221" s="160"/>
      <c r="AY221" s="160"/>
      <c r="AZ221" s="160"/>
      <c r="BA221" s="160"/>
      <c r="BB221" s="160"/>
      <c r="BC221" s="160"/>
      <c r="BD221" s="160"/>
      <c r="BE221" s="160"/>
      <c r="BF221" s="160"/>
      <c r="BG221" s="160"/>
      <c r="BH221" s="160"/>
      <c r="BI221" s="160"/>
      <c r="BJ221" s="160"/>
      <c r="BK221" s="160"/>
      <c r="BL221" s="160"/>
      <c r="BM221" s="160"/>
      <c r="BN221" s="160"/>
      <c r="BO221" s="160"/>
      <c r="BP221" s="160"/>
      <c r="BQ221" s="160"/>
      <c r="BR221" s="160"/>
      <c r="BS221" s="160"/>
      <c r="BT221" s="160"/>
      <c r="BU221" s="160"/>
      <c r="BV221" s="160"/>
      <c r="BW221" s="160"/>
      <c r="BX221" s="160"/>
      <c r="BY221" s="160"/>
      <c r="BZ221" s="160"/>
      <c r="CA221" s="160"/>
      <c r="CB221" s="160"/>
      <c r="CC221" s="160"/>
      <c r="CD221" s="160"/>
      <c r="CE221" s="160"/>
      <c r="CF221" s="160"/>
      <c r="CG221" s="160"/>
      <c r="CH221" s="160"/>
      <c r="CI221" s="160"/>
      <c r="CJ221" s="160"/>
      <c r="CK221" s="160"/>
      <c r="CL221" s="160"/>
    </row>
    <row r="222">
      <c r="A222" s="174" t="s">
        <v>111</v>
      </c>
      <c r="B222" s="11" t="s">
        <v>655</v>
      </c>
      <c r="C222" s="175" t="s">
        <v>72</v>
      </c>
      <c r="D222" s="176" t="str">
        <f>IFERROR(VLOOKUP(C222, PIC!A:B, 2, 0), "")</f>
        <v>Thien Truong</v>
      </c>
      <c r="E222" s="11" t="s">
        <v>24</v>
      </c>
      <c r="F222" s="11"/>
      <c r="G222" s="11"/>
      <c r="H222" s="170">
        <f>IFERROR(
  MINIFS(ATTENDANCE_LOG!$F:$F,
         ATTENDANCE_LOG!$A:$A, C222,
         ATTENDANCE_LOG!$B:$B, E222),
"")</f>
        <v>46084.58333</v>
      </c>
      <c r="I222" s="170">
        <f t="shared" si="2"/>
        <v>45670.54167</v>
      </c>
      <c r="J222" s="11" t="str">
        <f>IFERROR(VLOOKUP(F222, LEVEL_HELPER!$A:$B, 2, 0), "")</f>
        <v/>
      </c>
      <c r="K222" s="11" t="str">
        <f>IFERROR(VLOOKUP(G222, LEVEL_HELPER!$A:$B, 2, 0), "")</f>
        <v/>
      </c>
      <c r="L222" s="171" t="s">
        <v>400</v>
      </c>
      <c r="M222" s="171" t="s">
        <v>153</v>
      </c>
      <c r="N222" s="11">
        <f t="array" ref="N222">IFERROR(
  INDEX($J$2:$J$531,
    MATCH(A222&amp;TEXT(I222,"yyyy-mm-dd"),
          $A$2:$A$531&amp;TEXT($H$2:$H$531,"yyyy-mm-dd"),
          0)),
"")</f>
        <v>1</v>
      </c>
      <c r="O222" s="160">
        <f t="shared" si="3"/>
        <v>3.5</v>
      </c>
      <c r="P222" s="160">
        <f t="shared" ref="P222:Q222" si="232">IF(N222="",0,IF(N222&lt;=2,1,IF(N222&lt;=4,2,IF(N222&lt;=5.5,3,4))))</f>
        <v>1</v>
      </c>
      <c r="Q222" s="160">
        <f t="shared" si="232"/>
        <v>2</v>
      </c>
      <c r="R222" s="160" t="str">
        <f t="shared" si="5"/>
        <v>Lv1 → Lv2</v>
      </c>
      <c r="S222" s="160">
        <f t="shared" si="6"/>
        <v>0</v>
      </c>
      <c r="T222" s="187" t="s">
        <v>983</v>
      </c>
      <c r="U222" s="160">
        <f>COUNTIFS(sheet2!$A:$A,A222,sheet2!$E:$E,E222)</f>
        <v>1</v>
      </c>
      <c r="V222" s="160"/>
      <c r="W222" s="160"/>
      <c r="X222" s="160" t="str">
        <f t="shared" si="7"/>
        <v>#N/A</v>
      </c>
      <c r="Y222" s="160" t="str">
        <f t="shared" si="8"/>
        <v>#N/A</v>
      </c>
      <c r="Z222" s="160" t="str">
        <f t="shared" si="9"/>
        <v>#N/A</v>
      </c>
      <c r="AA222" s="160"/>
      <c r="AB222" s="160"/>
      <c r="AC222" s="160"/>
      <c r="AD222" s="160"/>
      <c r="AE222" s="160"/>
      <c r="AF222" s="160"/>
      <c r="AG222" s="160"/>
      <c r="AH222" s="160"/>
      <c r="AI222" s="160"/>
      <c r="AJ222" s="160"/>
      <c r="AK222" s="160"/>
      <c r="AL222" s="160"/>
      <c r="AM222" s="160"/>
      <c r="AN222" s="164"/>
      <c r="AO222" s="160"/>
      <c r="AP222" s="160" t="str">
        <f t="shared" si="10"/>
        <v>#N/A</v>
      </c>
      <c r="AQ222" s="160" t="str">
        <f t="shared" si="11"/>
        <v>#N/A</v>
      </c>
      <c r="AR222" s="160" t="str">
        <f t="shared" si="12"/>
        <v>#N/A</v>
      </c>
      <c r="AS222" s="160"/>
      <c r="AT222" s="160"/>
      <c r="AU222" s="160"/>
      <c r="AV222" s="160"/>
      <c r="AW222" s="160"/>
      <c r="AX222" s="160"/>
      <c r="AY222" s="160"/>
      <c r="AZ222" s="160"/>
      <c r="BA222" s="160"/>
      <c r="BB222" s="160"/>
      <c r="BC222" s="160"/>
      <c r="BD222" s="160"/>
      <c r="BE222" s="160"/>
      <c r="BF222" s="160"/>
      <c r="BG222" s="160"/>
      <c r="BH222" s="160"/>
      <c r="BI222" s="160"/>
      <c r="BJ222" s="160"/>
      <c r="BK222" s="160"/>
      <c r="BL222" s="160"/>
      <c r="BM222" s="160"/>
      <c r="BN222" s="160"/>
      <c r="BO222" s="160"/>
      <c r="BP222" s="160"/>
      <c r="BQ222" s="160"/>
      <c r="BR222" s="160"/>
      <c r="BS222" s="160"/>
      <c r="BT222" s="160"/>
      <c r="BU222" s="160"/>
      <c r="BV222" s="160"/>
      <c r="BW222" s="160"/>
      <c r="BX222" s="160"/>
      <c r="BY222" s="160"/>
      <c r="BZ222" s="160"/>
      <c r="CA222" s="160"/>
      <c r="CB222" s="160"/>
      <c r="CC222" s="160"/>
      <c r="CD222" s="160"/>
      <c r="CE222" s="160"/>
      <c r="CF222" s="160"/>
      <c r="CG222" s="160"/>
      <c r="CH222" s="160"/>
      <c r="CI222" s="160"/>
      <c r="CJ222" s="160"/>
      <c r="CK222" s="160"/>
      <c r="CL222" s="160"/>
    </row>
    <row r="223">
      <c r="A223" s="174" t="s">
        <v>656</v>
      </c>
      <c r="B223" s="11" t="s">
        <v>657</v>
      </c>
      <c r="C223" s="175" t="s">
        <v>72</v>
      </c>
      <c r="D223" s="176" t="str">
        <f>IFERROR(VLOOKUP(C223, PIC!A:B, 2, 0), "")</f>
        <v>Thien Truong</v>
      </c>
      <c r="E223" s="11" t="s">
        <v>24</v>
      </c>
      <c r="F223" s="11"/>
      <c r="G223" s="11"/>
      <c r="H223" s="170">
        <f>IFERROR(
  MINIFS(ATTENDANCE_LOG!$F:$F,
         ATTENDANCE_LOG!$A:$A, C223,
         ATTENDANCE_LOG!$B:$B, E223),
"")</f>
        <v>46084.58333</v>
      </c>
      <c r="I223" s="170">
        <f t="shared" si="2"/>
        <v>45700.41667</v>
      </c>
      <c r="J223" s="11" t="str">
        <f>IFERROR(VLOOKUP(F223, LEVEL_HELPER!$A:$B, 2, 0), "")</f>
        <v/>
      </c>
      <c r="K223" s="11" t="str">
        <f>IFERROR(VLOOKUP(G223, LEVEL_HELPER!$A:$B, 2, 0), "")</f>
        <v/>
      </c>
      <c r="L223" s="171" t="s">
        <v>847</v>
      </c>
      <c r="M223" s="171" t="s">
        <v>153</v>
      </c>
      <c r="N223" s="11">
        <f t="array" ref="N223">IFERROR(
  INDEX($J$2:$J$531,
    MATCH(A223&amp;TEXT(I223,"yyyy-mm-dd"),
          $A$2:$A$531&amp;TEXT($H$2:$H$531,"yyyy-mm-dd"),
          0)),
"")</f>
        <v>1</v>
      </c>
      <c r="O223" s="160">
        <f t="shared" si="3"/>
        <v>3.5</v>
      </c>
      <c r="P223" s="160">
        <f t="shared" ref="P223:Q223" si="233">IF(N223="",0,IF(N223&lt;=2,1,IF(N223&lt;=4,2,IF(N223&lt;=5.5,3,4))))</f>
        <v>1</v>
      </c>
      <c r="Q223" s="160">
        <f t="shared" si="233"/>
        <v>2</v>
      </c>
      <c r="R223" s="160" t="str">
        <f t="shared" si="5"/>
        <v>Lv1 → Lv2</v>
      </c>
      <c r="S223" s="160">
        <f t="shared" si="6"/>
        <v>0</v>
      </c>
      <c r="T223" s="177" t="s">
        <v>850</v>
      </c>
      <c r="U223" s="160">
        <f>COUNTIFS(sheet2!$A:$A,A223,sheet2!$E:$E,E223)</f>
        <v>1</v>
      </c>
      <c r="V223" s="160"/>
      <c r="W223" s="160"/>
      <c r="X223" s="160" t="str">
        <f t="shared" si="7"/>
        <v>#N/A</v>
      </c>
      <c r="Y223" s="160" t="str">
        <f t="shared" si="8"/>
        <v>#N/A</v>
      </c>
      <c r="Z223" s="160" t="str">
        <f t="shared" si="9"/>
        <v>#N/A</v>
      </c>
      <c r="AA223" s="160"/>
      <c r="AB223" s="160"/>
      <c r="AC223" s="160"/>
      <c r="AD223" s="160"/>
      <c r="AE223" s="160"/>
      <c r="AF223" s="160"/>
      <c r="AG223" s="160"/>
      <c r="AH223" s="160"/>
      <c r="AI223" s="160"/>
      <c r="AJ223" s="160"/>
      <c r="AK223" s="160"/>
      <c r="AL223" s="160"/>
      <c r="AM223" s="160"/>
      <c r="AN223" s="164"/>
      <c r="AO223" s="160"/>
      <c r="AP223" s="160" t="str">
        <f t="shared" si="10"/>
        <v>#N/A</v>
      </c>
      <c r="AQ223" s="160" t="str">
        <f t="shared" si="11"/>
        <v>#N/A</v>
      </c>
      <c r="AR223" s="160" t="str">
        <f t="shared" si="12"/>
        <v>#N/A</v>
      </c>
      <c r="AS223" s="160"/>
      <c r="AT223" s="160"/>
      <c r="AU223" s="160"/>
      <c r="AV223" s="160"/>
      <c r="AW223" s="160"/>
      <c r="AX223" s="160"/>
      <c r="AY223" s="160"/>
      <c r="AZ223" s="160"/>
      <c r="BA223" s="160"/>
      <c r="BB223" s="160"/>
      <c r="BC223" s="160"/>
      <c r="BD223" s="160"/>
      <c r="BE223" s="160"/>
      <c r="BF223" s="160"/>
      <c r="BG223" s="160"/>
      <c r="BH223" s="160"/>
      <c r="BI223" s="160"/>
      <c r="BJ223" s="160"/>
      <c r="BK223" s="160"/>
      <c r="BL223" s="160"/>
      <c r="BM223" s="160"/>
      <c r="BN223" s="160"/>
      <c r="BO223" s="160"/>
      <c r="BP223" s="160"/>
      <c r="BQ223" s="160"/>
      <c r="BR223" s="160"/>
      <c r="BS223" s="160"/>
      <c r="BT223" s="160"/>
      <c r="BU223" s="160"/>
      <c r="BV223" s="160"/>
      <c r="BW223" s="160"/>
      <c r="BX223" s="160"/>
      <c r="BY223" s="160"/>
      <c r="BZ223" s="160"/>
      <c r="CA223" s="160"/>
      <c r="CB223" s="160"/>
      <c r="CC223" s="160"/>
      <c r="CD223" s="160"/>
      <c r="CE223" s="160"/>
      <c r="CF223" s="160"/>
      <c r="CG223" s="160"/>
      <c r="CH223" s="160"/>
      <c r="CI223" s="160"/>
      <c r="CJ223" s="160"/>
      <c r="CK223" s="160"/>
      <c r="CL223" s="160"/>
    </row>
    <row r="224">
      <c r="A224" s="174" t="s">
        <v>658</v>
      </c>
      <c r="B224" s="11" t="s">
        <v>659</v>
      </c>
      <c r="C224" s="175" t="s">
        <v>72</v>
      </c>
      <c r="D224" s="176" t="str">
        <f>IFERROR(VLOOKUP(C224, PIC!A:B, 2, 0), "")</f>
        <v>Thien Truong</v>
      </c>
      <c r="E224" s="11" t="s">
        <v>24</v>
      </c>
      <c r="F224" s="11"/>
      <c r="G224" s="11"/>
      <c r="H224" s="170">
        <f>IFERROR(
  MINIFS(ATTENDANCE_LOG!$F:$F,
         ATTENDANCE_LOG!$A:$A, C224,
         ATTENDANCE_LOG!$B:$B, E224),
"")</f>
        <v>46084.58333</v>
      </c>
      <c r="I224" s="170">
        <f t="shared" si="2"/>
        <v>45670.54167</v>
      </c>
      <c r="J224" s="11" t="str">
        <f>IFERROR(VLOOKUP(F224, LEVEL_HELPER!$A:$B, 2, 0), "")</f>
        <v/>
      </c>
      <c r="K224" s="11" t="str">
        <f>IFERROR(VLOOKUP(G224, LEVEL_HELPER!$A:$B, 2, 0), "")</f>
        <v/>
      </c>
      <c r="L224" s="171" t="s">
        <v>400</v>
      </c>
      <c r="M224" s="171" t="s">
        <v>154</v>
      </c>
      <c r="N224" s="11">
        <f t="array" ref="N224">IFERROR(
  INDEX($J$2:$J$531,
    MATCH(A224&amp;TEXT(I224,"yyyy-mm-dd"),
          $A$2:$A$531&amp;TEXT($H$2:$H$531,"yyyy-mm-dd"),
          0)),
"")</f>
        <v>1</v>
      </c>
      <c r="O224" s="160">
        <f t="shared" si="3"/>
        <v>1.5</v>
      </c>
      <c r="P224" s="160">
        <f t="shared" ref="P224:Q224" si="234">IF(N224="",0,IF(N224&lt;=2,1,IF(N224&lt;=4,2,IF(N224&lt;=5.5,3,4))))</f>
        <v>1</v>
      </c>
      <c r="Q224" s="160">
        <f t="shared" si="234"/>
        <v>1</v>
      </c>
      <c r="R224" s="160" t="str">
        <f t="shared" si="5"/>
        <v>Progress within level</v>
      </c>
      <c r="S224" s="160">
        <f t="shared" si="6"/>
        <v>0</v>
      </c>
      <c r="T224" s="187" t="s">
        <v>984</v>
      </c>
      <c r="U224" s="160">
        <f>COUNTIFS(sheet2!$A:$A,A224,sheet2!$E:$E,E224)</f>
        <v>1</v>
      </c>
      <c r="V224" s="160"/>
      <c r="W224" s="160"/>
      <c r="X224" s="160" t="str">
        <f t="shared" si="7"/>
        <v>#N/A</v>
      </c>
      <c r="Y224" s="160" t="str">
        <f t="shared" si="8"/>
        <v>#N/A</v>
      </c>
      <c r="Z224" s="160" t="str">
        <f t="shared" si="9"/>
        <v>#N/A</v>
      </c>
      <c r="AA224" s="160"/>
      <c r="AB224" s="160"/>
      <c r="AC224" s="160"/>
      <c r="AD224" s="160"/>
      <c r="AE224" s="160"/>
      <c r="AF224" s="160"/>
      <c r="AG224" s="160"/>
      <c r="AH224" s="160"/>
      <c r="AI224" s="160"/>
      <c r="AJ224" s="160"/>
      <c r="AK224" s="160"/>
      <c r="AL224" s="160"/>
      <c r="AM224" s="160"/>
      <c r="AN224" s="164"/>
      <c r="AO224" s="160"/>
      <c r="AP224" s="160" t="str">
        <f t="shared" si="10"/>
        <v>#N/A</v>
      </c>
      <c r="AQ224" s="160" t="str">
        <f t="shared" si="11"/>
        <v>#N/A</v>
      </c>
      <c r="AR224" s="160" t="str">
        <f t="shared" si="12"/>
        <v>#N/A</v>
      </c>
      <c r="AS224" s="160"/>
      <c r="AT224" s="160"/>
      <c r="AU224" s="160"/>
      <c r="AV224" s="160"/>
      <c r="AW224" s="160"/>
      <c r="AX224" s="160"/>
      <c r="AY224" s="160"/>
      <c r="AZ224" s="160"/>
      <c r="BA224" s="160"/>
      <c r="BB224" s="160"/>
      <c r="BC224" s="160"/>
      <c r="BD224" s="160"/>
      <c r="BE224" s="160"/>
      <c r="BF224" s="160"/>
      <c r="BG224" s="160"/>
      <c r="BH224" s="160"/>
      <c r="BI224" s="160"/>
      <c r="BJ224" s="160"/>
      <c r="BK224" s="160"/>
      <c r="BL224" s="160"/>
      <c r="BM224" s="160"/>
      <c r="BN224" s="160"/>
      <c r="BO224" s="160"/>
      <c r="BP224" s="160"/>
      <c r="BQ224" s="160"/>
      <c r="BR224" s="160"/>
      <c r="BS224" s="160"/>
      <c r="BT224" s="160"/>
      <c r="BU224" s="160"/>
      <c r="BV224" s="160"/>
      <c r="BW224" s="160"/>
      <c r="BX224" s="160"/>
      <c r="BY224" s="160"/>
      <c r="BZ224" s="160"/>
      <c r="CA224" s="160"/>
      <c r="CB224" s="160"/>
      <c r="CC224" s="160"/>
      <c r="CD224" s="160"/>
      <c r="CE224" s="160"/>
      <c r="CF224" s="160"/>
      <c r="CG224" s="160"/>
      <c r="CH224" s="160"/>
      <c r="CI224" s="160"/>
      <c r="CJ224" s="160"/>
      <c r="CK224" s="160"/>
      <c r="CL224" s="160"/>
    </row>
    <row r="225">
      <c r="A225" s="174" t="s">
        <v>660</v>
      </c>
      <c r="B225" s="11" t="s">
        <v>661</v>
      </c>
      <c r="C225" s="175" t="s">
        <v>72</v>
      </c>
      <c r="D225" s="176" t="str">
        <f>IFERROR(VLOOKUP(C225, PIC!A:B, 2, 0), "")</f>
        <v>Thien Truong</v>
      </c>
      <c r="E225" s="11" t="s">
        <v>24</v>
      </c>
      <c r="F225" s="11"/>
      <c r="G225" s="11"/>
      <c r="H225" s="170">
        <f>IFERROR(
  MINIFS(ATTENDANCE_LOG!$F:$F,
         ATTENDANCE_LOG!$A:$A, C225,
         ATTENDANCE_LOG!$B:$B, E225),
"")</f>
        <v>46084.58333</v>
      </c>
      <c r="I225" s="170">
        <f t="shared" si="2"/>
        <v>45700.41667</v>
      </c>
      <c r="J225" s="11" t="str">
        <f>IFERROR(VLOOKUP(F225, LEVEL_HELPER!$A:$B, 2, 0), "")</f>
        <v/>
      </c>
      <c r="K225" s="11" t="str">
        <f>IFERROR(VLOOKUP(G225, LEVEL_HELPER!$A:$B, 2, 0), "")</f>
        <v/>
      </c>
      <c r="L225" s="171" t="s">
        <v>847</v>
      </c>
      <c r="M225" s="171" t="s">
        <v>153</v>
      </c>
      <c r="N225" s="11">
        <f t="array" ref="N225">IFERROR(
  INDEX($J$2:$J$531,
    MATCH(A225&amp;TEXT(I225,"yyyy-mm-dd"),
          $A$2:$A$531&amp;TEXT($H$2:$H$531,"yyyy-mm-dd"),
          0)),
"")</f>
        <v>1</v>
      </c>
      <c r="O225" s="160">
        <f t="shared" si="3"/>
        <v>2</v>
      </c>
      <c r="P225" s="160">
        <f t="shared" ref="P225:Q225" si="235">IF(N225="",0,IF(N225&lt;=2,1,IF(N225&lt;=4,2,IF(N225&lt;=5.5,3,4))))</f>
        <v>1</v>
      </c>
      <c r="Q225" s="160">
        <f t="shared" si="235"/>
        <v>1</v>
      </c>
      <c r="R225" s="160" t="str">
        <f t="shared" si="5"/>
        <v>Progress within level</v>
      </c>
      <c r="S225" s="160">
        <f t="shared" si="6"/>
        <v>0</v>
      </c>
      <c r="T225" s="177" t="s">
        <v>854</v>
      </c>
      <c r="U225" s="160">
        <f>COUNTIFS(sheet2!$A:$A,A225,sheet2!$E:$E,E225)</f>
        <v>1</v>
      </c>
      <c r="V225" s="160"/>
      <c r="W225" s="160"/>
      <c r="X225" s="160" t="str">
        <f t="shared" si="7"/>
        <v>#N/A</v>
      </c>
      <c r="Y225" s="160" t="str">
        <f t="shared" si="8"/>
        <v>#N/A</v>
      </c>
      <c r="Z225" s="160" t="str">
        <f t="shared" si="9"/>
        <v>#N/A</v>
      </c>
      <c r="AA225" s="160"/>
      <c r="AB225" s="160"/>
      <c r="AC225" s="160"/>
      <c r="AD225" s="160"/>
      <c r="AE225" s="160"/>
      <c r="AF225" s="160"/>
      <c r="AG225" s="160"/>
      <c r="AH225" s="160"/>
      <c r="AI225" s="160"/>
      <c r="AJ225" s="160"/>
      <c r="AK225" s="160"/>
      <c r="AL225" s="160"/>
      <c r="AM225" s="160"/>
      <c r="AN225" s="164"/>
      <c r="AO225" s="160"/>
      <c r="AP225" s="160" t="str">
        <f t="shared" si="10"/>
        <v>#N/A</v>
      </c>
      <c r="AQ225" s="160" t="str">
        <f t="shared" si="11"/>
        <v>#N/A</v>
      </c>
      <c r="AR225" s="160" t="str">
        <f t="shared" si="12"/>
        <v>#N/A</v>
      </c>
      <c r="AS225" s="160"/>
      <c r="AT225" s="160"/>
      <c r="AU225" s="160"/>
      <c r="AV225" s="160"/>
      <c r="AW225" s="160"/>
      <c r="AX225" s="160"/>
      <c r="AY225" s="160"/>
      <c r="AZ225" s="160"/>
      <c r="BA225" s="160"/>
      <c r="BB225" s="160"/>
      <c r="BC225" s="160"/>
      <c r="BD225" s="160"/>
      <c r="BE225" s="160"/>
      <c r="BF225" s="160"/>
      <c r="BG225" s="160"/>
      <c r="BH225" s="160"/>
      <c r="BI225" s="160"/>
      <c r="BJ225" s="160"/>
      <c r="BK225" s="160"/>
      <c r="BL225" s="160"/>
      <c r="BM225" s="160"/>
      <c r="BN225" s="160"/>
      <c r="BO225" s="160"/>
      <c r="BP225" s="160"/>
      <c r="BQ225" s="160"/>
      <c r="BR225" s="160"/>
      <c r="BS225" s="160"/>
      <c r="BT225" s="160"/>
      <c r="BU225" s="160"/>
      <c r="BV225" s="160"/>
      <c r="BW225" s="160"/>
      <c r="BX225" s="160"/>
      <c r="BY225" s="160"/>
      <c r="BZ225" s="160"/>
      <c r="CA225" s="160"/>
      <c r="CB225" s="160"/>
      <c r="CC225" s="160"/>
      <c r="CD225" s="160"/>
      <c r="CE225" s="160"/>
      <c r="CF225" s="160"/>
      <c r="CG225" s="160"/>
      <c r="CH225" s="160"/>
      <c r="CI225" s="160"/>
      <c r="CJ225" s="160"/>
      <c r="CK225" s="160"/>
      <c r="CL225" s="160"/>
    </row>
    <row r="226">
      <c r="A226" s="174" t="s">
        <v>662</v>
      </c>
      <c r="B226" s="11" t="s">
        <v>663</v>
      </c>
      <c r="C226" s="175" t="s">
        <v>72</v>
      </c>
      <c r="D226" s="176" t="str">
        <f>IFERROR(VLOOKUP(C226, PIC!A:B, 2, 0), "")</f>
        <v>Thien Truong</v>
      </c>
      <c r="E226" s="11" t="s">
        <v>24</v>
      </c>
      <c r="F226" s="11"/>
      <c r="G226" s="11"/>
      <c r="H226" s="170">
        <f>IFERROR(
  MINIFS(ATTENDANCE_LOG!$F:$F,
         ATTENDANCE_LOG!$A:$A, C226,
         ATTENDANCE_LOG!$B:$B, E226),
"")</f>
        <v>46084.58333</v>
      </c>
      <c r="I226" s="170">
        <f t="shared" si="2"/>
        <v>45670.54167</v>
      </c>
      <c r="J226" s="11" t="str">
        <f>IFERROR(VLOOKUP(F226, LEVEL_HELPER!$A:$B, 2, 0), "")</f>
        <v/>
      </c>
      <c r="K226" s="11" t="str">
        <f>IFERROR(VLOOKUP(G226, LEVEL_HELPER!$A:$B, 2, 0), "")</f>
        <v/>
      </c>
      <c r="L226" s="171" t="s">
        <v>400</v>
      </c>
      <c r="M226" s="171" t="s">
        <v>153</v>
      </c>
      <c r="N226" s="11">
        <f t="array" ref="N226">IFERROR(
  INDEX($J$2:$J$531,
    MATCH(A226&amp;TEXT(I226,"yyyy-mm-dd"),
          $A$2:$A$531&amp;TEXT($H$2:$H$531,"yyyy-mm-dd"),
          0)),
"")</f>
        <v>1</v>
      </c>
      <c r="O226" s="160">
        <f t="shared" si="3"/>
        <v>4</v>
      </c>
      <c r="P226" s="160">
        <f t="shared" ref="P226:Q226" si="236">IF(N226="",0,IF(N226&lt;=2,1,IF(N226&lt;=4,2,IF(N226&lt;=5.5,3,4))))</f>
        <v>1</v>
      </c>
      <c r="Q226" s="160">
        <f t="shared" si="236"/>
        <v>2</v>
      </c>
      <c r="R226" s="160" t="str">
        <f t="shared" si="5"/>
        <v>Lv1 → Lv2</v>
      </c>
      <c r="S226" s="160">
        <f t="shared" si="6"/>
        <v>0</v>
      </c>
      <c r="T226" s="187" t="s">
        <v>986</v>
      </c>
      <c r="U226" s="160">
        <f>COUNTIFS(sheet2!$A:$A,A226,sheet2!$E:$E,E226)</f>
        <v>1</v>
      </c>
      <c r="V226" s="160"/>
      <c r="W226" s="160"/>
      <c r="X226" s="160" t="str">
        <f t="shared" si="7"/>
        <v>#N/A</v>
      </c>
      <c r="Y226" s="160" t="str">
        <f t="shared" si="8"/>
        <v>#N/A</v>
      </c>
      <c r="Z226" s="160" t="str">
        <f t="shared" si="9"/>
        <v>#N/A</v>
      </c>
      <c r="AA226" s="160"/>
      <c r="AB226" s="160"/>
      <c r="AC226" s="160"/>
      <c r="AD226" s="160"/>
      <c r="AE226" s="160"/>
      <c r="AF226" s="160"/>
      <c r="AG226" s="160"/>
      <c r="AH226" s="160"/>
      <c r="AI226" s="160"/>
      <c r="AJ226" s="160"/>
      <c r="AK226" s="160"/>
      <c r="AL226" s="160"/>
      <c r="AM226" s="160"/>
      <c r="AN226" s="164"/>
      <c r="AO226" s="160"/>
      <c r="AP226" s="160" t="str">
        <f t="shared" si="10"/>
        <v>#N/A</v>
      </c>
      <c r="AQ226" s="160" t="str">
        <f t="shared" si="11"/>
        <v>#N/A</v>
      </c>
      <c r="AR226" s="160" t="str">
        <f t="shared" si="12"/>
        <v>#N/A</v>
      </c>
      <c r="AS226" s="160"/>
      <c r="AT226" s="160"/>
      <c r="AU226" s="160"/>
      <c r="AV226" s="160"/>
      <c r="AW226" s="160"/>
      <c r="AX226" s="160"/>
      <c r="AY226" s="160"/>
      <c r="AZ226" s="160"/>
      <c r="BA226" s="160"/>
      <c r="BB226" s="160"/>
      <c r="BC226" s="160"/>
      <c r="BD226" s="160"/>
      <c r="BE226" s="160"/>
      <c r="BF226" s="160"/>
      <c r="BG226" s="160"/>
      <c r="BH226" s="160"/>
      <c r="BI226" s="160"/>
      <c r="BJ226" s="160"/>
      <c r="BK226" s="160"/>
      <c r="BL226" s="160"/>
      <c r="BM226" s="160"/>
      <c r="BN226" s="160"/>
      <c r="BO226" s="160"/>
      <c r="BP226" s="160"/>
      <c r="BQ226" s="160"/>
      <c r="BR226" s="160"/>
      <c r="BS226" s="160"/>
      <c r="BT226" s="160"/>
      <c r="BU226" s="160"/>
      <c r="BV226" s="160"/>
      <c r="BW226" s="160"/>
      <c r="BX226" s="160"/>
      <c r="BY226" s="160"/>
      <c r="BZ226" s="160"/>
      <c r="CA226" s="160"/>
      <c r="CB226" s="160"/>
      <c r="CC226" s="160"/>
      <c r="CD226" s="160"/>
      <c r="CE226" s="160"/>
      <c r="CF226" s="160"/>
      <c r="CG226" s="160"/>
      <c r="CH226" s="160"/>
      <c r="CI226" s="160"/>
      <c r="CJ226" s="160"/>
      <c r="CK226" s="160"/>
      <c r="CL226" s="160"/>
    </row>
    <row r="227">
      <c r="A227" s="174" t="s">
        <v>664</v>
      </c>
      <c r="B227" s="11" t="s">
        <v>665</v>
      </c>
      <c r="C227" s="175" t="s">
        <v>72</v>
      </c>
      <c r="D227" s="176" t="str">
        <f>IFERROR(VLOOKUP(C227, PIC!A:B, 2, 0), "")</f>
        <v>Thien Truong</v>
      </c>
      <c r="E227" s="11" t="s">
        <v>24</v>
      </c>
      <c r="F227" s="11"/>
      <c r="G227" s="11"/>
      <c r="H227" s="170">
        <f>IFERROR(
  MINIFS(ATTENDANCE_LOG!$F:$F,
         ATTENDANCE_LOG!$A:$A, C227,
         ATTENDANCE_LOG!$B:$B, E227),
"")</f>
        <v>46084.58333</v>
      </c>
      <c r="I227" s="170">
        <f t="shared" si="2"/>
        <v>45700.41667</v>
      </c>
      <c r="J227" s="11" t="str">
        <f>IFERROR(VLOOKUP(F227, LEVEL_HELPER!$A:$B, 2, 0), "")</f>
        <v/>
      </c>
      <c r="K227" s="11" t="str">
        <f>IFERROR(VLOOKUP(G227, LEVEL_HELPER!$A:$B, 2, 0), "")</f>
        <v/>
      </c>
      <c r="L227" s="171" t="s">
        <v>847</v>
      </c>
      <c r="M227" s="171" t="s">
        <v>153</v>
      </c>
      <c r="N227" s="11">
        <f t="array" ref="N227">IFERROR(
  INDEX($J$2:$J$531,
    MATCH(A227&amp;TEXT(I227,"yyyy-mm-dd"),
          $A$2:$A$531&amp;TEXT($H$2:$H$531,"yyyy-mm-dd"),
          0)),
"")</f>
        <v>1</v>
      </c>
      <c r="O227" s="160">
        <f t="shared" si="3"/>
        <v>3.5</v>
      </c>
      <c r="P227" s="160">
        <f t="shared" ref="P227:Q227" si="237">IF(N227="",0,IF(N227&lt;=2,1,IF(N227&lt;=4,2,IF(N227&lt;=5.5,3,4))))</f>
        <v>1</v>
      </c>
      <c r="Q227" s="160">
        <f t="shared" si="237"/>
        <v>2</v>
      </c>
      <c r="R227" s="160" t="str">
        <f t="shared" si="5"/>
        <v>Lv1 → Lv2</v>
      </c>
      <c r="S227" s="160">
        <f t="shared" si="6"/>
        <v>0</v>
      </c>
      <c r="T227" s="177" t="s">
        <v>855</v>
      </c>
      <c r="U227" s="160">
        <f>COUNTIFS(sheet2!$A:$A,A227,sheet2!$E:$E,E227)</f>
        <v>1</v>
      </c>
      <c r="V227" s="160"/>
      <c r="W227" s="160"/>
      <c r="X227" s="160" t="str">
        <f t="shared" si="7"/>
        <v>#N/A</v>
      </c>
      <c r="Y227" s="160" t="str">
        <f t="shared" si="8"/>
        <v>#N/A</v>
      </c>
      <c r="Z227" s="160" t="str">
        <f t="shared" si="9"/>
        <v>#N/A</v>
      </c>
      <c r="AA227" s="160"/>
      <c r="AB227" s="160"/>
      <c r="AC227" s="160"/>
      <c r="AD227" s="160"/>
      <c r="AE227" s="160"/>
      <c r="AF227" s="160"/>
      <c r="AG227" s="160"/>
      <c r="AH227" s="160"/>
      <c r="AI227" s="160"/>
      <c r="AJ227" s="160"/>
      <c r="AK227" s="160"/>
      <c r="AL227" s="160"/>
      <c r="AM227" s="160"/>
      <c r="AN227" s="164"/>
      <c r="AO227" s="160"/>
      <c r="AP227" s="160" t="str">
        <f t="shared" si="10"/>
        <v>#N/A</v>
      </c>
      <c r="AQ227" s="160" t="str">
        <f t="shared" si="11"/>
        <v>#N/A</v>
      </c>
      <c r="AR227" s="160" t="str">
        <f t="shared" si="12"/>
        <v>#N/A</v>
      </c>
      <c r="AS227" s="160"/>
      <c r="AT227" s="160"/>
      <c r="AU227" s="160"/>
      <c r="AV227" s="160"/>
      <c r="AW227" s="160"/>
      <c r="AX227" s="160"/>
      <c r="AY227" s="160"/>
      <c r="AZ227" s="160"/>
      <c r="BA227" s="160"/>
      <c r="BB227" s="160"/>
      <c r="BC227" s="160"/>
      <c r="BD227" s="160"/>
      <c r="BE227" s="160"/>
      <c r="BF227" s="160"/>
      <c r="BG227" s="160"/>
      <c r="BH227" s="160"/>
      <c r="BI227" s="160"/>
      <c r="BJ227" s="160"/>
      <c r="BK227" s="160"/>
      <c r="BL227" s="160"/>
      <c r="BM227" s="160"/>
      <c r="BN227" s="160"/>
      <c r="BO227" s="160"/>
      <c r="BP227" s="160"/>
      <c r="BQ227" s="160"/>
      <c r="BR227" s="160"/>
      <c r="BS227" s="160"/>
      <c r="BT227" s="160"/>
      <c r="BU227" s="160"/>
      <c r="BV227" s="160"/>
      <c r="BW227" s="160"/>
      <c r="BX227" s="160"/>
      <c r="BY227" s="160"/>
      <c r="BZ227" s="160"/>
      <c r="CA227" s="160"/>
      <c r="CB227" s="160"/>
      <c r="CC227" s="160"/>
      <c r="CD227" s="160"/>
      <c r="CE227" s="160"/>
      <c r="CF227" s="160"/>
      <c r="CG227" s="160"/>
      <c r="CH227" s="160"/>
      <c r="CI227" s="160"/>
      <c r="CJ227" s="160"/>
      <c r="CK227" s="160"/>
      <c r="CL227" s="160"/>
    </row>
    <row r="228">
      <c r="A228" s="166" t="s">
        <v>721</v>
      </c>
      <c r="B228" s="167" t="s">
        <v>722</v>
      </c>
      <c r="C228" s="168" t="s">
        <v>73</v>
      </c>
      <c r="D228" s="169" t="str">
        <f>IFERROR(VLOOKUP(C228, PIC!A:B, 2, 0), "")</f>
        <v>Ky Luong</v>
      </c>
      <c r="E228" s="167" t="s">
        <v>22</v>
      </c>
      <c r="F228" s="16" t="s">
        <v>849</v>
      </c>
      <c r="G228" s="16" t="s">
        <v>853</v>
      </c>
      <c r="H228" s="170">
        <f>IFERROR(
  MINIFS(ATTENDANCE_LOG!$F:$F,
         ATTENDANCE_LOG!$A:$A, C228,
         ATTENDANCE_LOG!$B:$B, E228),
"")</f>
        <v>45765.375</v>
      </c>
      <c r="I228" s="170">
        <f t="shared" si="2"/>
        <v>45765.375</v>
      </c>
      <c r="J228" s="11">
        <f>IFERROR(VLOOKUP(F228, LEVEL_HELPER!$A:$B, 2, 0), "")</f>
        <v>1</v>
      </c>
      <c r="K228" s="11">
        <f>IFERROR(VLOOKUP(G228, LEVEL_HELPER!$A:$B, 2, 0), "")</f>
        <v>1.5</v>
      </c>
      <c r="L228" s="171" t="s">
        <v>400</v>
      </c>
      <c r="M228" s="171" t="s">
        <v>151</v>
      </c>
      <c r="N228" s="11">
        <f t="array" ref="N228">IFERROR(
  INDEX($J$2:$J$531,
    MATCH(A228&amp;TEXT(I228,"yyyy-mm-dd"),
          $A$2:$A$531&amp;TEXT($H$2:$H$531,"yyyy-mm-dd"),
          0)),
"")</f>
        <v>1</v>
      </c>
      <c r="O228" s="160">
        <f t="shared" si="3"/>
        <v>5</v>
      </c>
      <c r="P228" s="160">
        <f t="shared" ref="P228:Q228" si="238">IF(N228="",0,IF(N228&lt;=2,1,IF(N228&lt;=4,2,IF(N228&lt;=5.5,3,4))))</f>
        <v>1</v>
      </c>
      <c r="Q228" s="160">
        <f t="shared" si="238"/>
        <v>3</v>
      </c>
      <c r="R228" s="160" t="str">
        <f t="shared" si="5"/>
        <v>Lv1 → Lv3 (multi)</v>
      </c>
      <c r="S228" s="160">
        <f t="shared" si="6"/>
        <v>1</v>
      </c>
      <c r="T228" s="172" t="s">
        <v>990</v>
      </c>
      <c r="U228" s="160">
        <f>COUNTIFS(sheet2!$A:$A,A228,sheet2!$E:$E,E228)</f>
        <v>1</v>
      </c>
      <c r="V228" s="160"/>
      <c r="W228" s="160"/>
      <c r="X228" s="160" t="str">
        <f t="shared" si="7"/>
        <v>#N/A</v>
      </c>
      <c r="Y228" s="160" t="str">
        <f t="shared" si="8"/>
        <v>#N/A</v>
      </c>
      <c r="Z228" s="160" t="str">
        <f t="shared" si="9"/>
        <v>#N/A</v>
      </c>
      <c r="AA228" s="160"/>
      <c r="AB228" s="160"/>
      <c r="AC228" s="160"/>
      <c r="AD228" s="160"/>
      <c r="AE228" s="160"/>
      <c r="AF228" s="160"/>
      <c r="AG228" s="160"/>
      <c r="AH228" s="160"/>
      <c r="AI228" s="160"/>
      <c r="AJ228" s="160"/>
      <c r="AK228" s="160"/>
      <c r="AL228" s="160"/>
      <c r="AM228" s="160"/>
      <c r="AN228" s="164"/>
      <c r="AO228" s="160"/>
      <c r="AP228" s="160" t="str">
        <f t="shared" si="10"/>
        <v>#N/A</v>
      </c>
      <c r="AQ228" s="160" t="str">
        <f t="shared" si="11"/>
        <v>#N/A</v>
      </c>
      <c r="AR228" s="160" t="str">
        <f t="shared" si="12"/>
        <v>#N/A</v>
      </c>
      <c r="AS228" s="160"/>
      <c r="AT228" s="160"/>
      <c r="AU228" s="160"/>
      <c r="AV228" s="160"/>
      <c r="AW228" s="160"/>
      <c r="AX228" s="160"/>
      <c r="AY228" s="160"/>
      <c r="AZ228" s="160"/>
      <c r="BA228" s="160"/>
      <c r="BB228" s="160"/>
      <c r="BC228" s="160"/>
      <c r="BD228" s="160"/>
      <c r="BE228" s="160"/>
      <c r="BF228" s="160"/>
      <c r="BG228" s="160"/>
      <c r="BH228" s="160"/>
      <c r="BI228" s="160"/>
      <c r="BJ228" s="160"/>
      <c r="BK228" s="160"/>
      <c r="BL228" s="160"/>
      <c r="BM228" s="160"/>
      <c r="BN228" s="160"/>
      <c r="BO228" s="160"/>
      <c r="BP228" s="160"/>
      <c r="BQ228" s="160"/>
      <c r="BR228" s="160"/>
      <c r="BS228" s="160"/>
      <c r="BT228" s="160"/>
      <c r="BU228" s="160"/>
      <c r="BV228" s="160"/>
      <c r="BW228" s="160"/>
      <c r="BX228" s="160"/>
      <c r="BY228" s="160"/>
      <c r="BZ228" s="160"/>
      <c r="CA228" s="160"/>
      <c r="CB228" s="160"/>
      <c r="CC228" s="160"/>
      <c r="CD228" s="160"/>
      <c r="CE228" s="160"/>
      <c r="CF228" s="160"/>
      <c r="CG228" s="160"/>
      <c r="CH228" s="160"/>
      <c r="CI228" s="160"/>
      <c r="CJ228" s="160"/>
      <c r="CK228" s="160"/>
      <c r="CL228" s="160"/>
    </row>
    <row r="229">
      <c r="A229" s="174" t="s">
        <v>581</v>
      </c>
      <c r="B229" s="11" t="s">
        <v>582</v>
      </c>
      <c r="C229" s="175" t="s">
        <v>73</v>
      </c>
      <c r="D229" s="176" t="str">
        <f>IFERROR(VLOOKUP(C229, PIC!A:B, 2, 0), "")</f>
        <v>Ky Luong</v>
      </c>
      <c r="E229" s="11" t="s">
        <v>22</v>
      </c>
      <c r="F229" s="16" t="s">
        <v>849</v>
      </c>
      <c r="G229" s="16" t="s">
        <v>846</v>
      </c>
      <c r="H229" s="170">
        <f>IFERROR(
  MINIFS(ATTENDANCE_LOG!$F:$F,
         ATTENDANCE_LOG!$A:$A, C229,
         ATTENDANCE_LOG!$B:$B, E229),
"")</f>
        <v>45765.375</v>
      </c>
      <c r="I229" s="170">
        <f t="shared" si="2"/>
        <v>45765.375</v>
      </c>
      <c r="J229" s="11">
        <f>IFERROR(VLOOKUP(F229, LEVEL_HELPER!$A:$B, 2, 0), "")</f>
        <v>1</v>
      </c>
      <c r="K229" s="11">
        <f>IFERROR(VLOOKUP(G229, LEVEL_HELPER!$A:$B, 2, 0), "")</f>
        <v>3</v>
      </c>
      <c r="L229" s="171" t="s">
        <v>400</v>
      </c>
      <c r="M229" s="171" t="s">
        <v>151</v>
      </c>
      <c r="N229" s="11">
        <f t="array" ref="N229">IFERROR(
  INDEX($J$2:$J$531,
    MATCH(A229&amp;TEXT(I229,"yyyy-mm-dd"),
          $A$2:$A$531&amp;TEXT($H$2:$H$531,"yyyy-mm-dd"),
          0)),
"")</f>
        <v>1</v>
      </c>
      <c r="O229" s="160">
        <f t="shared" si="3"/>
        <v>5</v>
      </c>
      <c r="P229" s="160">
        <f t="shared" ref="P229:Q229" si="239">IF(N229="",0,IF(N229&lt;=2,1,IF(N229&lt;=4,2,IF(N229&lt;=5.5,3,4))))</f>
        <v>1</v>
      </c>
      <c r="Q229" s="160">
        <f t="shared" si="239"/>
        <v>3</v>
      </c>
      <c r="R229" s="160" t="str">
        <f t="shared" si="5"/>
        <v>Lv1 → Lv3 (multi)</v>
      </c>
      <c r="S229" s="160">
        <f t="shared" si="6"/>
        <v>1</v>
      </c>
      <c r="T229" s="177" t="s">
        <v>991</v>
      </c>
      <c r="U229" s="160">
        <f>COUNTIFS(sheet2!$A:$A,A229,sheet2!$E:$E,E229)</f>
        <v>1</v>
      </c>
      <c r="V229" s="160"/>
      <c r="W229" s="160"/>
      <c r="X229" s="160" t="str">
        <f t="shared" si="7"/>
        <v>#N/A</v>
      </c>
      <c r="Y229" s="160" t="str">
        <f t="shared" si="8"/>
        <v>#N/A</v>
      </c>
      <c r="Z229" s="160" t="str">
        <f t="shared" si="9"/>
        <v>#N/A</v>
      </c>
      <c r="AA229" s="160"/>
      <c r="AB229" s="160"/>
      <c r="AC229" s="160"/>
      <c r="AD229" s="160"/>
      <c r="AE229" s="160"/>
      <c r="AF229" s="160"/>
      <c r="AG229" s="160"/>
      <c r="AH229" s="160"/>
      <c r="AI229" s="160"/>
      <c r="AJ229" s="160"/>
      <c r="AK229" s="160"/>
      <c r="AL229" s="160"/>
      <c r="AM229" s="160"/>
      <c r="AN229" s="164"/>
      <c r="AO229" s="160"/>
      <c r="AP229" s="160" t="str">
        <f t="shared" si="10"/>
        <v>#N/A</v>
      </c>
      <c r="AQ229" s="160" t="str">
        <f t="shared" si="11"/>
        <v>#N/A</v>
      </c>
      <c r="AR229" s="160" t="str">
        <f t="shared" si="12"/>
        <v>#N/A</v>
      </c>
      <c r="AS229" s="160"/>
      <c r="AT229" s="160"/>
      <c r="AU229" s="160"/>
      <c r="AV229" s="160"/>
      <c r="AW229" s="160"/>
      <c r="AX229" s="160"/>
      <c r="AY229" s="160"/>
      <c r="AZ229" s="160"/>
      <c r="BA229" s="160"/>
      <c r="BB229" s="160"/>
      <c r="BC229" s="160"/>
      <c r="BD229" s="160"/>
      <c r="BE229" s="160"/>
      <c r="BF229" s="160"/>
      <c r="BG229" s="160"/>
      <c r="BH229" s="160"/>
      <c r="BI229" s="160"/>
      <c r="BJ229" s="160"/>
      <c r="BK229" s="160"/>
      <c r="BL229" s="160"/>
      <c r="BM229" s="160"/>
      <c r="BN229" s="160"/>
      <c r="BO229" s="160"/>
      <c r="BP229" s="160"/>
      <c r="BQ229" s="160"/>
      <c r="BR229" s="160"/>
      <c r="BS229" s="160"/>
      <c r="BT229" s="160"/>
      <c r="BU229" s="160"/>
      <c r="BV229" s="160"/>
      <c r="BW229" s="160"/>
      <c r="BX229" s="160"/>
      <c r="BY229" s="160"/>
      <c r="BZ229" s="160"/>
      <c r="CA229" s="160"/>
      <c r="CB229" s="160"/>
      <c r="CC229" s="160"/>
      <c r="CD229" s="160"/>
      <c r="CE229" s="160"/>
      <c r="CF229" s="160"/>
      <c r="CG229" s="160"/>
      <c r="CH229" s="160"/>
      <c r="CI229" s="160"/>
      <c r="CJ229" s="160"/>
      <c r="CK229" s="160"/>
      <c r="CL229" s="160"/>
    </row>
    <row r="230">
      <c r="A230" s="174" t="s">
        <v>766</v>
      </c>
      <c r="B230" s="11" t="s">
        <v>767</v>
      </c>
      <c r="C230" s="175" t="s">
        <v>73</v>
      </c>
      <c r="D230" s="176" t="str">
        <f>IFERROR(VLOOKUP(C230, PIC!A:B, 2, 0), "")</f>
        <v>Ky Luong</v>
      </c>
      <c r="E230" s="11" t="s">
        <v>22</v>
      </c>
      <c r="F230" s="16" t="s">
        <v>849</v>
      </c>
      <c r="G230" s="16" t="s">
        <v>849</v>
      </c>
      <c r="H230" s="170">
        <f>IFERROR(
  MINIFS(ATTENDANCE_LOG!$F:$F,
         ATTENDANCE_LOG!$A:$A, C230,
         ATTENDANCE_LOG!$B:$B, E230),
"")</f>
        <v>45765.375</v>
      </c>
      <c r="I230" s="170">
        <f t="shared" si="2"/>
        <v>45765.375</v>
      </c>
      <c r="J230" s="11">
        <f>IFERROR(VLOOKUP(F230, LEVEL_HELPER!$A:$B, 2, 0), "")</f>
        <v>1</v>
      </c>
      <c r="K230" s="11">
        <f>IFERROR(VLOOKUP(G230, LEVEL_HELPER!$A:$B, 2, 0), "")</f>
        <v>1</v>
      </c>
      <c r="L230" s="171" t="s">
        <v>400</v>
      </c>
      <c r="M230" s="171" t="s">
        <v>150</v>
      </c>
      <c r="N230" s="11">
        <f t="array" ref="N230">IFERROR(
  INDEX($J$2:$J$531,
    MATCH(A230&amp;TEXT(I230,"yyyy-mm-dd"),
          $A$2:$A$531&amp;TEXT($H$2:$H$531,"yyyy-mm-dd"),
          0)),
"")</f>
        <v>1</v>
      </c>
      <c r="O230" s="160">
        <f t="shared" si="3"/>
        <v>3</v>
      </c>
      <c r="P230" s="160">
        <f t="shared" ref="P230:Q230" si="240">IF(N230="",0,IF(N230&lt;=2,1,IF(N230&lt;=4,2,IF(N230&lt;=5.5,3,4))))</f>
        <v>1</v>
      </c>
      <c r="Q230" s="160">
        <f t="shared" si="240"/>
        <v>2</v>
      </c>
      <c r="R230" s="160" t="str">
        <f t="shared" si="5"/>
        <v>Lv1 → Lv2</v>
      </c>
      <c r="S230" s="160">
        <f t="shared" si="6"/>
        <v>1</v>
      </c>
      <c r="T230" s="198"/>
      <c r="U230" s="160">
        <f>COUNTIFS(sheet2!$A:$A,A230,sheet2!$E:$E,E230)</f>
        <v>3</v>
      </c>
      <c r="V230" s="160"/>
      <c r="W230" s="160"/>
      <c r="X230" s="160" t="str">
        <f t="shared" si="7"/>
        <v>#N/A</v>
      </c>
      <c r="Y230" s="160" t="str">
        <f t="shared" si="8"/>
        <v>#N/A</v>
      </c>
      <c r="Z230" s="160" t="str">
        <f t="shared" si="9"/>
        <v>#N/A</v>
      </c>
      <c r="AA230" s="160"/>
      <c r="AB230" s="160"/>
      <c r="AC230" s="160"/>
      <c r="AD230" s="160"/>
      <c r="AE230" s="160"/>
      <c r="AF230" s="160"/>
      <c r="AG230" s="160"/>
      <c r="AH230" s="160"/>
      <c r="AI230" s="160"/>
      <c r="AJ230" s="160"/>
      <c r="AK230" s="160"/>
      <c r="AL230" s="160"/>
      <c r="AM230" s="160"/>
      <c r="AN230" s="164"/>
      <c r="AO230" s="160"/>
      <c r="AP230" s="160" t="str">
        <f t="shared" si="10"/>
        <v>#N/A</v>
      </c>
      <c r="AQ230" s="160" t="str">
        <f t="shared" si="11"/>
        <v>#N/A</v>
      </c>
      <c r="AR230" s="160" t="str">
        <f t="shared" si="12"/>
        <v>#N/A</v>
      </c>
      <c r="AS230" s="160"/>
      <c r="AT230" s="160"/>
      <c r="AU230" s="160"/>
      <c r="AV230" s="160"/>
      <c r="AW230" s="160"/>
      <c r="AX230" s="160"/>
      <c r="AY230" s="160"/>
      <c r="AZ230" s="160"/>
      <c r="BA230" s="160"/>
      <c r="BB230" s="160"/>
      <c r="BC230" s="160"/>
      <c r="BD230" s="160"/>
      <c r="BE230" s="160"/>
      <c r="BF230" s="160"/>
      <c r="BG230" s="160"/>
      <c r="BH230" s="160"/>
      <c r="BI230" s="160"/>
      <c r="BJ230" s="160"/>
      <c r="BK230" s="160"/>
      <c r="BL230" s="160"/>
      <c r="BM230" s="160"/>
      <c r="BN230" s="160"/>
      <c r="BO230" s="160"/>
      <c r="BP230" s="160"/>
      <c r="BQ230" s="160"/>
      <c r="BR230" s="160"/>
      <c r="BS230" s="160"/>
      <c r="BT230" s="160"/>
      <c r="BU230" s="160"/>
      <c r="BV230" s="160"/>
      <c r="BW230" s="160"/>
      <c r="BX230" s="160"/>
      <c r="BY230" s="160"/>
      <c r="BZ230" s="160"/>
      <c r="CA230" s="160"/>
      <c r="CB230" s="160"/>
      <c r="CC230" s="160"/>
      <c r="CD230" s="160"/>
      <c r="CE230" s="160"/>
      <c r="CF230" s="160"/>
      <c r="CG230" s="160"/>
      <c r="CH230" s="160"/>
      <c r="CI230" s="160"/>
      <c r="CJ230" s="160"/>
      <c r="CK230" s="160"/>
      <c r="CL230" s="160"/>
    </row>
    <row r="231">
      <c r="A231" s="174" t="s">
        <v>587</v>
      </c>
      <c r="B231" s="11" t="s">
        <v>588</v>
      </c>
      <c r="C231" s="175" t="s">
        <v>73</v>
      </c>
      <c r="D231" s="176" t="str">
        <f>IFERROR(VLOOKUP(C231, PIC!A:B, 2, 0), "")</f>
        <v>Ky Luong</v>
      </c>
      <c r="E231" s="11" t="s">
        <v>22</v>
      </c>
      <c r="F231" s="16" t="s">
        <v>849</v>
      </c>
      <c r="G231" s="16" t="s">
        <v>846</v>
      </c>
      <c r="H231" s="170">
        <f>IFERROR(
  MINIFS(ATTENDANCE_LOG!$F:$F,
         ATTENDANCE_LOG!$A:$A, C231,
         ATTENDANCE_LOG!$B:$B, E231),
"")</f>
        <v>45765.375</v>
      </c>
      <c r="I231" s="170">
        <f t="shared" si="2"/>
        <v>45765.375</v>
      </c>
      <c r="J231" s="11">
        <f>IFERROR(VLOOKUP(F231, LEVEL_HELPER!$A:$B, 2, 0), "")</f>
        <v>1</v>
      </c>
      <c r="K231" s="11">
        <f>IFERROR(VLOOKUP(G231, LEVEL_HELPER!$A:$B, 2, 0), "")</f>
        <v>3</v>
      </c>
      <c r="L231" s="171" t="s">
        <v>400</v>
      </c>
      <c r="M231" s="171" t="s">
        <v>151</v>
      </c>
      <c r="N231" s="11">
        <f t="array" ref="N231">IFERROR(
  INDEX($J$2:$J$531,
    MATCH(A231&amp;TEXT(I231,"yyyy-mm-dd"),
          $A$2:$A$531&amp;TEXT($H$2:$H$531,"yyyy-mm-dd"),
          0)),
"")</f>
        <v>1</v>
      </c>
      <c r="O231" s="160">
        <f t="shared" si="3"/>
        <v>3.5</v>
      </c>
      <c r="P231" s="160">
        <f t="shared" ref="P231:Q231" si="241">IF(N231="",0,IF(N231&lt;=2,1,IF(N231&lt;=4,2,IF(N231&lt;=5.5,3,4))))</f>
        <v>1</v>
      </c>
      <c r="Q231" s="160">
        <f t="shared" si="241"/>
        <v>2</v>
      </c>
      <c r="R231" s="160" t="str">
        <f t="shared" si="5"/>
        <v>Lv1 → Lv2</v>
      </c>
      <c r="S231" s="160">
        <f t="shared" si="6"/>
        <v>1</v>
      </c>
      <c r="T231" s="177" t="s">
        <v>992</v>
      </c>
      <c r="U231" s="160">
        <f>COUNTIFS(sheet2!$A:$A,A231,sheet2!$E:$E,E231)</f>
        <v>1</v>
      </c>
      <c r="V231" s="160"/>
      <c r="W231" s="160"/>
      <c r="X231" s="160" t="str">
        <f t="shared" si="7"/>
        <v>#N/A</v>
      </c>
      <c r="Y231" s="160" t="str">
        <f t="shared" si="8"/>
        <v>#N/A</v>
      </c>
      <c r="Z231" s="160" t="str">
        <f t="shared" si="9"/>
        <v>#N/A</v>
      </c>
      <c r="AA231" s="160"/>
      <c r="AB231" s="160"/>
      <c r="AC231" s="160"/>
      <c r="AD231" s="160"/>
      <c r="AE231" s="160"/>
      <c r="AF231" s="160"/>
      <c r="AG231" s="160"/>
      <c r="AH231" s="160"/>
      <c r="AI231" s="160"/>
      <c r="AJ231" s="160"/>
      <c r="AK231" s="160"/>
      <c r="AL231" s="160"/>
      <c r="AM231" s="160"/>
      <c r="AN231" s="164"/>
      <c r="AO231" s="160"/>
      <c r="AP231" s="160" t="str">
        <f t="shared" si="10"/>
        <v>#N/A</v>
      </c>
      <c r="AQ231" s="160" t="str">
        <f t="shared" si="11"/>
        <v>#N/A</v>
      </c>
      <c r="AR231" s="160" t="str">
        <f t="shared" si="12"/>
        <v>#N/A</v>
      </c>
      <c r="AS231" s="160"/>
      <c r="AT231" s="160"/>
      <c r="AU231" s="160"/>
      <c r="AV231" s="160"/>
      <c r="AW231" s="160"/>
      <c r="AX231" s="160"/>
      <c r="AY231" s="160"/>
      <c r="AZ231" s="160"/>
      <c r="BA231" s="160"/>
      <c r="BB231" s="160"/>
      <c r="BC231" s="160"/>
      <c r="BD231" s="160"/>
      <c r="BE231" s="160"/>
      <c r="BF231" s="160"/>
      <c r="BG231" s="160"/>
      <c r="BH231" s="160"/>
      <c r="BI231" s="160"/>
      <c r="BJ231" s="160"/>
      <c r="BK231" s="160"/>
      <c r="BL231" s="160"/>
      <c r="BM231" s="160"/>
      <c r="BN231" s="160"/>
      <c r="BO231" s="160"/>
      <c r="BP231" s="160"/>
      <c r="BQ231" s="160"/>
      <c r="BR231" s="160"/>
      <c r="BS231" s="160"/>
      <c r="BT231" s="160"/>
      <c r="BU231" s="160"/>
      <c r="BV231" s="160"/>
      <c r="BW231" s="160"/>
      <c r="BX231" s="160"/>
      <c r="BY231" s="160"/>
      <c r="BZ231" s="160"/>
      <c r="CA231" s="160"/>
      <c r="CB231" s="160"/>
      <c r="CC231" s="160"/>
      <c r="CD231" s="160"/>
      <c r="CE231" s="160"/>
      <c r="CF231" s="160"/>
      <c r="CG231" s="160"/>
      <c r="CH231" s="160"/>
      <c r="CI231" s="160"/>
      <c r="CJ231" s="160"/>
      <c r="CK231" s="160"/>
      <c r="CL231" s="160"/>
    </row>
    <row r="232">
      <c r="A232" s="174" t="s">
        <v>589</v>
      </c>
      <c r="B232" s="11" t="s">
        <v>590</v>
      </c>
      <c r="C232" s="175" t="s">
        <v>73</v>
      </c>
      <c r="D232" s="176" t="str">
        <f>IFERROR(VLOOKUP(C232, PIC!A:B, 2, 0), "")</f>
        <v>Ky Luong</v>
      </c>
      <c r="E232" s="11" t="s">
        <v>22</v>
      </c>
      <c r="F232" s="16" t="s">
        <v>849</v>
      </c>
      <c r="G232" s="16" t="s">
        <v>846</v>
      </c>
      <c r="H232" s="170">
        <f>IFERROR(
  MINIFS(ATTENDANCE_LOG!$F:$F,
         ATTENDANCE_LOG!$A:$A, C232,
         ATTENDANCE_LOG!$B:$B, E232),
"")</f>
        <v>45765.375</v>
      </c>
      <c r="I232" s="170">
        <f t="shared" si="2"/>
        <v>45765.375</v>
      </c>
      <c r="J232" s="11">
        <f>IFERROR(VLOOKUP(F232, LEVEL_HELPER!$A:$B, 2, 0), "")</f>
        <v>1</v>
      </c>
      <c r="K232" s="11">
        <f>IFERROR(VLOOKUP(G232, LEVEL_HELPER!$A:$B, 2, 0), "")</f>
        <v>3</v>
      </c>
      <c r="L232" s="171" t="s">
        <v>400</v>
      </c>
      <c r="M232" s="171" t="s">
        <v>151</v>
      </c>
      <c r="N232" s="11">
        <f t="array" ref="N232">IFERROR(
  INDEX($J$2:$J$531,
    MATCH(A232&amp;TEXT(I232,"yyyy-mm-dd"),
          $A$2:$A$531&amp;TEXT($H$2:$H$531,"yyyy-mm-dd"),
          0)),
"")</f>
        <v>1</v>
      </c>
      <c r="O232" s="160">
        <f t="shared" si="3"/>
        <v>3.5</v>
      </c>
      <c r="P232" s="160">
        <f t="shared" ref="P232:Q232" si="242">IF(N232="",0,IF(N232&lt;=2,1,IF(N232&lt;=4,2,IF(N232&lt;=5.5,3,4))))</f>
        <v>1</v>
      </c>
      <c r="Q232" s="160">
        <f t="shared" si="242"/>
        <v>2</v>
      </c>
      <c r="R232" s="160" t="str">
        <f t="shared" si="5"/>
        <v>Lv1 → Lv2</v>
      </c>
      <c r="S232" s="160">
        <f t="shared" si="6"/>
        <v>1</v>
      </c>
      <c r="T232" s="177" t="s">
        <v>993</v>
      </c>
      <c r="U232" s="160">
        <f>COUNTIFS(sheet2!$A:$A,A232,sheet2!$E:$E,E232)</f>
        <v>1</v>
      </c>
      <c r="V232" s="160"/>
      <c r="W232" s="160"/>
      <c r="X232" s="160" t="str">
        <f t="shared" si="7"/>
        <v>#N/A</v>
      </c>
      <c r="Y232" s="160" t="str">
        <f t="shared" si="8"/>
        <v>#N/A</v>
      </c>
      <c r="Z232" s="160" t="str">
        <f t="shared" si="9"/>
        <v>#N/A</v>
      </c>
      <c r="AA232" s="160"/>
      <c r="AB232" s="160"/>
      <c r="AC232" s="160"/>
      <c r="AD232" s="160"/>
      <c r="AE232" s="160"/>
      <c r="AF232" s="160"/>
      <c r="AG232" s="160"/>
      <c r="AH232" s="160"/>
      <c r="AI232" s="160"/>
      <c r="AJ232" s="160"/>
      <c r="AK232" s="160"/>
      <c r="AL232" s="160"/>
      <c r="AM232" s="160"/>
      <c r="AN232" s="164"/>
      <c r="AO232" s="160"/>
      <c r="AP232" s="160" t="str">
        <f t="shared" si="10"/>
        <v>#N/A</v>
      </c>
      <c r="AQ232" s="160" t="str">
        <f t="shared" si="11"/>
        <v>#N/A</v>
      </c>
      <c r="AR232" s="160" t="str">
        <f t="shared" si="12"/>
        <v>#N/A</v>
      </c>
      <c r="AS232" s="160"/>
      <c r="AT232" s="160"/>
      <c r="AU232" s="160"/>
      <c r="AV232" s="160"/>
      <c r="AW232" s="160"/>
      <c r="AX232" s="160"/>
      <c r="AY232" s="160"/>
      <c r="AZ232" s="160"/>
      <c r="BA232" s="160"/>
      <c r="BB232" s="160"/>
      <c r="BC232" s="160"/>
      <c r="BD232" s="160"/>
      <c r="BE232" s="160"/>
      <c r="BF232" s="160"/>
      <c r="BG232" s="160"/>
      <c r="BH232" s="160"/>
      <c r="BI232" s="160"/>
      <c r="BJ232" s="160"/>
      <c r="BK232" s="160"/>
      <c r="BL232" s="160"/>
      <c r="BM232" s="160"/>
      <c r="BN232" s="160"/>
      <c r="BO232" s="160"/>
      <c r="BP232" s="160"/>
      <c r="BQ232" s="160"/>
      <c r="BR232" s="160"/>
      <c r="BS232" s="160"/>
      <c r="BT232" s="160"/>
      <c r="BU232" s="160"/>
      <c r="BV232" s="160"/>
      <c r="BW232" s="160"/>
      <c r="BX232" s="160"/>
      <c r="BY232" s="160"/>
      <c r="BZ232" s="160"/>
      <c r="CA232" s="160"/>
      <c r="CB232" s="160"/>
      <c r="CC232" s="160"/>
      <c r="CD232" s="160"/>
      <c r="CE232" s="160"/>
      <c r="CF232" s="160"/>
      <c r="CG232" s="160"/>
      <c r="CH232" s="160"/>
      <c r="CI232" s="160"/>
      <c r="CJ232" s="160"/>
      <c r="CK232" s="160"/>
      <c r="CL232" s="160"/>
    </row>
    <row r="233">
      <c r="A233" s="166" t="s">
        <v>276</v>
      </c>
      <c r="B233" s="167" t="s">
        <v>277</v>
      </c>
      <c r="C233" s="168" t="s">
        <v>74</v>
      </c>
      <c r="D233" s="169" t="str">
        <f>IFERROR(VLOOKUP(C233, PIC!A:B, 2, 0), "")</f>
        <v>Dung Hoang</v>
      </c>
      <c r="E233" s="167" t="s">
        <v>26</v>
      </c>
      <c r="F233" s="16" t="s">
        <v>849</v>
      </c>
      <c r="G233" s="16" t="s">
        <v>849</v>
      </c>
      <c r="H233" s="170">
        <f>IFERROR(
  MINIFS(ATTENDANCE_LOG!$F:$F,
         ATTENDANCE_LOG!$A:$A, C233,
         ATTENDANCE_LOG!$B:$B, E233),
"")</f>
        <v>45818.375</v>
      </c>
      <c r="I233" s="170">
        <f t="shared" si="2"/>
        <v>45813.375</v>
      </c>
      <c r="J233" s="11">
        <f>IFERROR(VLOOKUP(F233, LEVEL_HELPER!$A:$B, 2, 0), "")</f>
        <v>1</v>
      </c>
      <c r="K233" s="11">
        <f>IFERROR(VLOOKUP(G233, LEVEL_HELPER!$A:$B, 2, 0), "")</f>
        <v>1</v>
      </c>
      <c r="L233" s="171" t="s">
        <v>400</v>
      </c>
      <c r="M233" s="171" t="s">
        <v>150</v>
      </c>
      <c r="N233" s="11">
        <f t="array" ref="N233">IFERROR(
  INDEX($J$2:$J$531,
    MATCH(A233&amp;TEXT(I233,"yyyy-mm-dd"),
          $A$2:$A$531&amp;TEXT($H$2:$H$531,"yyyy-mm-dd"),
          0)),
"")</f>
        <v>1</v>
      </c>
      <c r="O233" s="160">
        <f t="shared" si="3"/>
        <v>3</v>
      </c>
      <c r="P233" s="160">
        <f t="shared" ref="P233:Q233" si="243">IF(N233="",0,IF(N233&lt;=2,1,IF(N233&lt;=4,2,IF(N233&lt;=5.5,3,4))))</f>
        <v>1</v>
      </c>
      <c r="Q233" s="160">
        <f t="shared" si="243"/>
        <v>2</v>
      </c>
      <c r="R233" s="160" t="str">
        <f t="shared" si="5"/>
        <v>Lv1 → Lv2</v>
      </c>
      <c r="S233" s="160">
        <f t="shared" si="6"/>
        <v>1</v>
      </c>
      <c r="T233" s="172" t="s">
        <v>994</v>
      </c>
      <c r="U233" s="160">
        <f>COUNTIFS(sheet2!$A:$A,A233,sheet2!$E:$E,E233)</f>
        <v>1</v>
      </c>
      <c r="V233" s="160"/>
      <c r="W233" s="160"/>
      <c r="X233" s="160" t="str">
        <f t="shared" si="7"/>
        <v>#N/A</v>
      </c>
      <c r="Y233" s="160" t="str">
        <f t="shared" si="8"/>
        <v>#N/A</v>
      </c>
      <c r="Z233" s="160" t="str">
        <f t="shared" si="9"/>
        <v>#N/A</v>
      </c>
      <c r="AA233" s="160"/>
      <c r="AB233" s="160"/>
      <c r="AC233" s="160"/>
      <c r="AD233" s="160"/>
      <c r="AE233" s="160"/>
      <c r="AF233" s="160"/>
      <c r="AG233" s="160"/>
      <c r="AH233" s="160"/>
      <c r="AI233" s="160"/>
      <c r="AJ233" s="160"/>
      <c r="AK233" s="160"/>
      <c r="AL233" s="160"/>
      <c r="AM233" s="160"/>
      <c r="AN233" s="164"/>
      <c r="AO233" s="160"/>
      <c r="AP233" s="160" t="str">
        <f t="shared" si="10"/>
        <v>#N/A</v>
      </c>
      <c r="AQ233" s="160" t="str">
        <f t="shared" si="11"/>
        <v>#N/A</v>
      </c>
      <c r="AR233" s="160" t="str">
        <f t="shared" si="12"/>
        <v>#N/A</v>
      </c>
      <c r="AS233" s="160"/>
      <c r="AT233" s="160"/>
      <c r="AU233" s="160"/>
      <c r="AV233" s="160"/>
      <c r="AW233" s="160"/>
      <c r="AX233" s="160"/>
      <c r="AY233" s="160"/>
      <c r="AZ233" s="160"/>
      <c r="BA233" s="160"/>
      <c r="BB233" s="160"/>
      <c r="BC233" s="160"/>
      <c r="BD233" s="160"/>
      <c r="BE233" s="160"/>
      <c r="BF233" s="160"/>
      <c r="BG233" s="160"/>
      <c r="BH233" s="160"/>
      <c r="BI233" s="160"/>
      <c r="BJ233" s="160"/>
      <c r="BK233" s="160"/>
      <c r="BL233" s="160"/>
      <c r="BM233" s="160"/>
      <c r="BN233" s="160"/>
      <c r="BO233" s="160"/>
      <c r="BP233" s="160"/>
      <c r="BQ233" s="160"/>
      <c r="BR233" s="160"/>
      <c r="BS233" s="160"/>
      <c r="BT233" s="160"/>
      <c r="BU233" s="160"/>
      <c r="BV233" s="160"/>
      <c r="BW233" s="160"/>
      <c r="BX233" s="160"/>
      <c r="BY233" s="160"/>
      <c r="BZ233" s="160"/>
      <c r="CA233" s="160"/>
      <c r="CB233" s="160"/>
      <c r="CC233" s="160"/>
      <c r="CD233" s="160"/>
      <c r="CE233" s="160"/>
      <c r="CF233" s="160"/>
      <c r="CG233" s="160"/>
      <c r="CH233" s="160"/>
      <c r="CI233" s="160"/>
      <c r="CJ233" s="160"/>
      <c r="CK233" s="160"/>
      <c r="CL233" s="160"/>
    </row>
    <row r="234">
      <c r="A234" s="174" t="s">
        <v>274</v>
      </c>
      <c r="B234" s="11" t="s">
        <v>275</v>
      </c>
      <c r="C234" s="175" t="s">
        <v>74</v>
      </c>
      <c r="D234" s="176" t="str">
        <f>IFERROR(VLOOKUP(C234, PIC!A:B, 2, 0), "")</f>
        <v>Dung Hoang</v>
      </c>
      <c r="E234" s="11" t="s">
        <v>26</v>
      </c>
      <c r="F234" s="16" t="s">
        <v>849</v>
      </c>
      <c r="G234" s="16" t="s">
        <v>849</v>
      </c>
      <c r="H234" s="170">
        <f>IFERROR(
  MINIFS(ATTENDANCE_LOG!$F:$F,
         ATTENDANCE_LOG!$A:$A, C234,
         ATTENDANCE_LOG!$B:$B, E234),
"")</f>
        <v>45818.375</v>
      </c>
      <c r="I234" s="170">
        <f t="shared" si="2"/>
        <v>45813.375</v>
      </c>
      <c r="J234" s="11">
        <f>IFERROR(VLOOKUP(F234, LEVEL_HELPER!$A:$B, 2, 0), "")</f>
        <v>1</v>
      </c>
      <c r="K234" s="11">
        <f>IFERROR(VLOOKUP(G234, LEVEL_HELPER!$A:$B, 2, 0), "")</f>
        <v>1</v>
      </c>
      <c r="L234" s="171" t="s">
        <v>400</v>
      </c>
      <c r="M234" s="171" t="s">
        <v>151</v>
      </c>
      <c r="N234" s="11">
        <f t="array" ref="N234">IFERROR(
  INDEX($J$2:$J$531,
    MATCH(A234&amp;TEXT(I234,"yyyy-mm-dd"),
          $A$2:$A$531&amp;TEXT($H$2:$H$531,"yyyy-mm-dd"),
          0)),
"")</f>
        <v>1</v>
      </c>
      <c r="O234" s="160">
        <f t="shared" si="3"/>
        <v>3.5</v>
      </c>
      <c r="P234" s="160">
        <f t="shared" ref="P234:Q234" si="244">IF(N234="",0,IF(N234&lt;=2,1,IF(N234&lt;=4,2,IF(N234&lt;=5.5,3,4))))</f>
        <v>1</v>
      </c>
      <c r="Q234" s="160">
        <f t="shared" si="244"/>
        <v>2</v>
      </c>
      <c r="R234" s="160" t="str">
        <f t="shared" si="5"/>
        <v>Lv1 → Lv2</v>
      </c>
      <c r="S234" s="160">
        <f t="shared" si="6"/>
        <v>1</v>
      </c>
      <c r="T234" s="177" t="s">
        <v>995</v>
      </c>
      <c r="U234" s="160">
        <f>COUNTIFS(sheet2!$A:$A,A234,sheet2!$E:$E,E234)</f>
        <v>1</v>
      </c>
      <c r="V234" s="160"/>
      <c r="W234" s="160"/>
      <c r="X234" s="160" t="str">
        <f t="shared" si="7"/>
        <v>#N/A</v>
      </c>
      <c r="Y234" s="160" t="str">
        <f t="shared" si="8"/>
        <v>#N/A</v>
      </c>
      <c r="Z234" s="160" t="str">
        <f t="shared" si="9"/>
        <v>#N/A</v>
      </c>
      <c r="AA234" s="160"/>
      <c r="AB234" s="160"/>
      <c r="AC234" s="160"/>
      <c r="AD234" s="160"/>
      <c r="AE234" s="160"/>
      <c r="AF234" s="160"/>
      <c r="AG234" s="160"/>
      <c r="AH234" s="160"/>
      <c r="AI234" s="160"/>
      <c r="AJ234" s="160"/>
      <c r="AK234" s="160"/>
      <c r="AL234" s="160"/>
      <c r="AM234" s="160"/>
      <c r="AN234" s="164"/>
      <c r="AO234" s="160"/>
      <c r="AP234" s="160" t="str">
        <f t="shared" si="10"/>
        <v>#N/A</v>
      </c>
      <c r="AQ234" s="160" t="str">
        <f t="shared" si="11"/>
        <v>#N/A</v>
      </c>
      <c r="AR234" s="160" t="str">
        <f t="shared" si="12"/>
        <v>#N/A</v>
      </c>
      <c r="AS234" s="160"/>
      <c r="AT234" s="160"/>
      <c r="AU234" s="160"/>
      <c r="AV234" s="160"/>
      <c r="AW234" s="160"/>
      <c r="AX234" s="160"/>
      <c r="AY234" s="160"/>
      <c r="AZ234" s="160"/>
      <c r="BA234" s="160"/>
      <c r="BB234" s="160"/>
      <c r="BC234" s="160"/>
      <c r="BD234" s="160"/>
      <c r="BE234" s="160"/>
      <c r="BF234" s="160"/>
      <c r="BG234" s="160"/>
      <c r="BH234" s="160"/>
      <c r="BI234" s="160"/>
      <c r="BJ234" s="160"/>
      <c r="BK234" s="160"/>
      <c r="BL234" s="160"/>
      <c r="BM234" s="160"/>
      <c r="BN234" s="160"/>
      <c r="BO234" s="160"/>
      <c r="BP234" s="160"/>
      <c r="BQ234" s="160"/>
      <c r="BR234" s="160"/>
      <c r="BS234" s="160"/>
      <c r="BT234" s="160"/>
      <c r="BU234" s="160"/>
      <c r="BV234" s="160"/>
      <c r="BW234" s="160"/>
      <c r="BX234" s="160"/>
      <c r="BY234" s="160"/>
      <c r="BZ234" s="160"/>
      <c r="CA234" s="160"/>
      <c r="CB234" s="160"/>
      <c r="CC234" s="160"/>
      <c r="CD234" s="160"/>
      <c r="CE234" s="160"/>
      <c r="CF234" s="160"/>
      <c r="CG234" s="160"/>
      <c r="CH234" s="160"/>
      <c r="CI234" s="160"/>
      <c r="CJ234" s="160"/>
      <c r="CK234" s="160"/>
      <c r="CL234" s="160"/>
    </row>
    <row r="235">
      <c r="A235" s="174" t="s">
        <v>278</v>
      </c>
      <c r="B235" s="11" t="s">
        <v>279</v>
      </c>
      <c r="C235" s="175" t="s">
        <v>74</v>
      </c>
      <c r="D235" s="176" t="str">
        <f>IFERROR(VLOOKUP(C235, PIC!A:B, 2, 0), "")</f>
        <v>Dung Hoang</v>
      </c>
      <c r="E235" s="11" t="s">
        <v>26</v>
      </c>
      <c r="F235" s="16" t="s">
        <v>849</v>
      </c>
      <c r="G235" s="16" t="s">
        <v>849</v>
      </c>
      <c r="H235" s="170">
        <f>IFERROR(
  MINIFS(ATTENDANCE_LOG!$F:$F,
         ATTENDANCE_LOG!$A:$A, C235,
         ATTENDANCE_LOG!$B:$B, E235),
"")</f>
        <v>45818.375</v>
      </c>
      <c r="I235" s="170">
        <f t="shared" si="2"/>
        <v>45813.375</v>
      </c>
      <c r="J235" s="11">
        <f>IFERROR(VLOOKUP(F235, LEVEL_HELPER!$A:$B, 2, 0), "")</f>
        <v>1</v>
      </c>
      <c r="K235" s="11">
        <f>IFERROR(VLOOKUP(G235, LEVEL_HELPER!$A:$B, 2, 0), "")</f>
        <v>1</v>
      </c>
      <c r="L235" s="171" t="s">
        <v>400</v>
      </c>
      <c r="M235" s="171" t="s">
        <v>151</v>
      </c>
      <c r="N235" s="11">
        <f t="array" ref="N235">IFERROR(
  INDEX($J$2:$J$531,
    MATCH(A235&amp;TEXT(I235,"yyyy-mm-dd"),
          $A$2:$A$531&amp;TEXT($H$2:$H$531,"yyyy-mm-dd"),
          0)),
"")</f>
        <v>1</v>
      </c>
      <c r="O235" s="160">
        <f t="shared" si="3"/>
        <v>3</v>
      </c>
      <c r="P235" s="160">
        <f t="shared" ref="P235:Q235" si="245">IF(N235="",0,IF(N235&lt;=2,1,IF(N235&lt;=4,2,IF(N235&lt;=5.5,3,4))))</f>
        <v>1</v>
      </c>
      <c r="Q235" s="160">
        <f t="shared" si="245"/>
        <v>2</v>
      </c>
      <c r="R235" s="160" t="str">
        <f t="shared" si="5"/>
        <v>Lv1 → Lv2</v>
      </c>
      <c r="S235" s="160">
        <f t="shared" si="6"/>
        <v>1</v>
      </c>
      <c r="T235" s="177" t="s">
        <v>996</v>
      </c>
      <c r="U235" s="160">
        <f>COUNTIFS(sheet2!$A:$A,A235,sheet2!$E:$E,E235)</f>
        <v>1</v>
      </c>
      <c r="V235" s="160"/>
      <c r="W235" s="160"/>
      <c r="X235" s="160" t="str">
        <f t="shared" si="7"/>
        <v>#N/A</v>
      </c>
      <c r="Y235" s="160" t="str">
        <f t="shared" si="8"/>
        <v>#N/A</v>
      </c>
      <c r="Z235" s="160" t="str">
        <f t="shared" si="9"/>
        <v>#N/A</v>
      </c>
      <c r="AA235" s="160"/>
      <c r="AB235" s="160"/>
      <c r="AC235" s="160"/>
      <c r="AD235" s="160"/>
      <c r="AE235" s="160"/>
      <c r="AF235" s="160"/>
      <c r="AG235" s="160"/>
      <c r="AH235" s="160"/>
      <c r="AI235" s="160"/>
      <c r="AJ235" s="160"/>
      <c r="AK235" s="160"/>
      <c r="AL235" s="160"/>
      <c r="AM235" s="160"/>
      <c r="AN235" s="164"/>
      <c r="AO235" s="160"/>
      <c r="AP235" s="160"/>
      <c r="AQ235" s="160"/>
      <c r="AR235" s="160"/>
      <c r="AS235" s="160"/>
      <c r="AT235" s="160"/>
      <c r="AU235" s="160"/>
      <c r="AV235" s="160"/>
      <c r="AW235" s="160"/>
      <c r="AX235" s="160"/>
      <c r="AY235" s="160"/>
      <c r="AZ235" s="160"/>
      <c r="BA235" s="160"/>
      <c r="BB235" s="160"/>
      <c r="BC235" s="160"/>
      <c r="BD235" s="160"/>
      <c r="BE235" s="160"/>
      <c r="BF235" s="160"/>
      <c r="BG235" s="160"/>
      <c r="BH235" s="160"/>
      <c r="BI235" s="160"/>
      <c r="BJ235" s="160"/>
      <c r="BK235" s="160"/>
      <c r="BL235" s="160"/>
      <c r="BM235" s="160"/>
      <c r="BN235" s="160"/>
      <c r="BO235" s="160"/>
      <c r="BP235" s="160"/>
      <c r="BQ235" s="160"/>
      <c r="BR235" s="160"/>
      <c r="BS235" s="160"/>
      <c r="BT235" s="160"/>
      <c r="BU235" s="160"/>
      <c r="BV235" s="160"/>
      <c r="BW235" s="160"/>
      <c r="BX235" s="160"/>
      <c r="BY235" s="160"/>
      <c r="BZ235" s="160"/>
      <c r="CA235" s="160"/>
      <c r="CB235" s="160"/>
      <c r="CC235" s="160"/>
      <c r="CD235" s="160"/>
      <c r="CE235" s="160"/>
      <c r="CF235" s="160"/>
      <c r="CG235" s="160"/>
      <c r="CH235" s="160"/>
      <c r="CI235" s="160"/>
      <c r="CJ235" s="160"/>
      <c r="CK235" s="160"/>
      <c r="CL235" s="160"/>
    </row>
    <row r="236">
      <c r="A236" s="174" t="s">
        <v>280</v>
      </c>
      <c r="B236" s="11" t="s">
        <v>281</v>
      </c>
      <c r="C236" s="175" t="s">
        <v>74</v>
      </c>
      <c r="D236" s="176" t="str">
        <f>IFERROR(VLOOKUP(C236, PIC!A:B, 2, 0), "")</f>
        <v>Dung Hoang</v>
      </c>
      <c r="E236" s="11" t="s">
        <v>26</v>
      </c>
      <c r="F236" s="16" t="s">
        <v>849</v>
      </c>
      <c r="G236" s="16" t="s">
        <v>849</v>
      </c>
      <c r="H236" s="170">
        <f>IFERROR(
  MINIFS(ATTENDANCE_LOG!$F:$F,
         ATTENDANCE_LOG!$A:$A, C236,
         ATTENDANCE_LOG!$B:$B, E236),
"")</f>
        <v>45818.375</v>
      </c>
      <c r="I236" s="170">
        <f t="shared" si="2"/>
        <v>45813.375</v>
      </c>
      <c r="J236" s="11">
        <f>IFERROR(VLOOKUP(F236, LEVEL_HELPER!$A:$B, 2, 0), "")</f>
        <v>1</v>
      </c>
      <c r="K236" s="11">
        <f>IFERROR(VLOOKUP(G236, LEVEL_HELPER!$A:$B, 2, 0), "")</f>
        <v>1</v>
      </c>
      <c r="L236" s="171" t="s">
        <v>400</v>
      </c>
      <c r="M236" s="171" t="s">
        <v>150</v>
      </c>
      <c r="N236" s="11">
        <f t="array" ref="N236">IFERROR(
  INDEX($J$2:$J$531,
    MATCH(A236&amp;TEXT(I236,"yyyy-mm-dd"),
          $A$2:$A$531&amp;TEXT($H$2:$H$531,"yyyy-mm-dd"),
          0)),
"")</f>
        <v>1</v>
      </c>
      <c r="O236" s="160">
        <f t="shared" si="3"/>
        <v>3.5</v>
      </c>
      <c r="P236" s="160">
        <f t="shared" ref="P236:Q236" si="246">IF(N236="",0,IF(N236&lt;=2,1,IF(N236&lt;=4,2,IF(N236&lt;=5.5,3,4))))</f>
        <v>1</v>
      </c>
      <c r="Q236" s="160">
        <f t="shared" si="246"/>
        <v>2</v>
      </c>
      <c r="R236" s="160" t="str">
        <f t="shared" si="5"/>
        <v>Lv1 → Lv2</v>
      </c>
      <c r="S236" s="160">
        <f t="shared" si="6"/>
        <v>1</v>
      </c>
      <c r="T236" s="177" t="s">
        <v>997</v>
      </c>
      <c r="U236" s="160">
        <f>COUNTIFS(sheet2!$A:$A,A236,sheet2!$E:$E,E236)</f>
        <v>1</v>
      </c>
      <c r="V236" s="160"/>
      <c r="W236" s="160"/>
      <c r="X236" s="160" t="str">
        <f t="shared" si="7"/>
        <v>#N/A</v>
      </c>
      <c r="Y236" s="160" t="str">
        <f t="shared" si="8"/>
        <v>#N/A</v>
      </c>
      <c r="Z236" s="160" t="str">
        <f t="shared" si="9"/>
        <v>#N/A</v>
      </c>
      <c r="AA236" s="160"/>
      <c r="AB236" s="160"/>
      <c r="AC236" s="160"/>
      <c r="AD236" s="160"/>
      <c r="AE236" s="160"/>
      <c r="AF236" s="160"/>
      <c r="AG236" s="160"/>
      <c r="AH236" s="160"/>
      <c r="AI236" s="160"/>
      <c r="AJ236" s="160"/>
      <c r="AK236" s="160"/>
      <c r="AL236" s="160"/>
      <c r="AM236" s="160"/>
      <c r="AN236" s="164"/>
      <c r="AO236" s="160"/>
      <c r="AP236" s="160"/>
      <c r="AQ236" s="160"/>
      <c r="AR236" s="160"/>
      <c r="AS236" s="160"/>
      <c r="AT236" s="160"/>
      <c r="AU236" s="160"/>
      <c r="AV236" s="160"/>
      <c r="AW236" s="160"/>
      <c r="AX236" s="160"/>
      <c r="AY236" s="160"/>
      <c r="AZ236" s="160"/>
      <c r="BA236" s="160"/>
      <c r="BB236" s="160"/>
      <c r="BC236" s="160"/>
      <c r="BD236" s="160"/>
      <c r="BE236" s="160"/>
      <c r="BF236" s="160"/>
      <c r="BG236" s="160"/>
      <c r="BH236" s="160"/>
      <c r="BI236" s="160"/>
      <c r="BJ236" s="160"/>
      <c r="BK236" s="160"/>
      <c r="BL236" s="160"/>
      <c r="BM236" s="160"/>
      <c r="BN236" s="160"/>
      <c r="BO236" s="160"/>
      <c r="BP236" s="160"/>
      <c r="BQ236" s="160"/>
      <c r="BR236" s="160"/>
      <c r="BS236" s="160"/>
      <c r="BT236" s="160"/>
      <c r="BU236" s="160"/>
      <c r="BV236" s="160"/>
      <c r="BW236" s="160"/>
      <c r="BX236" s="160"/>
      <c r="BY236" s="160"/>
      <c r="BZ236" s="160"/>
      <c r="CA236" s="160"/>
      <c r="CB236" s="160"/>
      <c r="CC236" s="160"/>
      <c r="CD236" s="160"/>
      <c r="CE236" s="160"/>
      <c r="CF236" s="160"/>
      <c r="CG236" s="160"/>
      <c r="CH236" s="160"/>
      <c r="CI236" s="160"/>
      <c r="CJ236" s="160"/>
      <c r="CK236" s="160"/>
      <c r="CL236" s="160"/>
    </row>
    <row r="237">
      <c r="A237" s="174" t="s">
        <v>282</v>
      </c>
      <c r="B237" s="11" t="s">
        <v>283</v>
      </c>
      <c r="C237" s="175" t="s">
        <v>74</v>
      </c>
      <c r="D237" s="176" t="str">
        <f>IFERROR(VLOOKUP(C237, PIC!A:B, 2, 0), "")</f>
        <v>Dung Hoang</v>
      </c>
      <c r="E237" s="11" t="s">
        <v>26</v>
      </c>
      <c r="F237" s="16" t="s">
        <v>849</v>
      </c>
      <c r="G237" s="16" t="s">
        <v>849</v>
      </c>
      <c r="H237" s="170">
        <f>IFERROR(
  MINIFS(ATTENDANCE_LOG!$F:$F,
         ATTENDANCE_LOG!$A:$A, C237,
         ATTENDANCE_LOG!$B:$B, E237),
"")</f>
        <v>45818.375</v>
      </c>
      <c r="I237" s="170">
        <f t="shared" si="2"/>
        <v>45813.375</v>
      </c>
      <c r="J237" s="11">
        <f>IFERROR(VLOOKUP(F237, LEVEL_HELPER!$A:$B, 2, 0), "")</f>
        <v>1</v>
      </c>
      <c r="K237" s="11">
        <f>IFERROR(VLOOKUP(G237, LEVEL_HELPER!$A:$B, 2, 0), "")</f>
        <v>1</v>
      </c>
      <c r="L237" s="171" t="s">
        <v>400</v>
      </c>
      <c r="M237" s="171" t="s">
        <v>151</v>
      </c>
      <c r="N237" s="11">
        <f t="array" ref="N237">IFERROR(
  INDEX($J$2:$J$531,
    MATCH(A237&amp;TEXT(I237,"yyyy-mm-dd"),
          $A$2:$A$531&amp;TEXT($H$2:$H$531,"yyyy-mm-dd"),
          0)),
"")</f>
        <v>1</v>
      </c>
      <c r="O237" s="160">
        <f t="shared" si="3"/>
        <v>5</v>
      </c>
      <c r="P237" s="160">
        <f t="shared" ref="P237:Q237" si="247">IF(N237="",0,IF(N237&lt;=2,1,IF(N237&lt;=4,2,IF(N237&lt;=5.5,3,4))))</f>
        <v>1</v>
      </c>
      <c r="Q237" s="160">
        <f t="shared" si="247"/>
        <v>3</v>
      </c>
      <c r="R237" s="160" t="str">
        <f t="shared" si="5"/>
        <v>Lv1 → Lv3 (multi)</v>
      </c>
      <c r="S237" s="160">
        <f t="shared" si="6"/>
        <v>1</v>
      </c>
      <c r="T237" s="177" t="s">
        <v>998</v>
      </c>
      <c r="U237" s="160">
        <f>COUNTIFS(sheet2!$A:$A,A237,sheet2!$E:$E,E237)</f>
        <v>1</v>
      </c>
      <c r="V237" s="160"/>
      <c r="W237" s="160"/>
      <c r="X237" s="160" t="str">
        <f t="shared" si="7"/>
        <v>#N/A</v>
      </c>
      <c r="Y237" s="160" t="str">
        <f t="shared" si="8"/>
        <v>#N/A</v>
      </c>
      <c r="Z237" s="160" t="str">
        <f t="shared" si="9"/>
        <v>#N/A</v>
      </c>
      <c r="AA237" s="160"/>
      <c r="AB237" s="160"/>
      <c r="AC237" s="160"/>
      <c r="AD237" s="160"/>
      <c r="AE237" s="160"/>
      <c r="AF237" s="160"/>
      <c r="AG237" s="160"/>
      <c r="AH237" s="160"/>
      <c r="AI237" s="160"/>
      <c r="AJ237" s="160"/>
      <c r="AK237" s="160"/>
      <c r="AL237" s="160"/>
      <c r="AM237" s="160"/>
      <c r="AN237" s="164"/>
      <c r="AO237" s="160"/>
      <c r="AP237" s="160"/>
      <c r="AQ237" s="160"/>
      <c r="AR237" s="160"/>
      <c r="AS237" s="160"/>
      <c r="AT237" s="160"/>
      <c r="AU237" s="160"/>
      <c r="AV237" s="160"/>
      <c r="AW237" s="160"/>
      <c r="AX237" s="160"/>
      <c r="AY237" s="160"/>
      <c r="AZ237" s="160"/>
      <c r="BA237" s="160"/>
      <c r="BB237" s="160"/>
      <c r="BC237" s="160"/>
      <c r="BD237" s="160"/>
      <c r="BE237" s="160"/>
      <c r="BF237" s="160"/>
      <c r="BG237" s="160"/>
      <c r="BH237" s="160"/>
      <c r="BI237" s="160"/>
      <c r="BJ237" s="160"/>
      <c r="BK237" s="160"/>
      <c r="BL237" s="160"/>
      <c r="BM237" s="160"/>
      <c r="BN237" s="160"/>
      <c r="BO237" s="160"/>
      <c r="BP237" s="160"/>
      <c r="BQ237" s="160"/>
      <c r="BR237" s="160"/>
      <c r="BS237" s="160"/>
      <c r="BT237" s="160"/>
      <c r="BU237" s="160"/>
      <c r="BV237" s="160"/>
      <c r="BW237" s="160"/>
      <c r="BX237" s="160"/>
      <c r="BY237" s="160"/>
      <c r="BZ237" s="160"/>
      <c r="CA237" s="160"/>
      <c r="CB237" s="160"/>
      <c r="CC237" s="160"/>
      <c r="CD237" s="160"/>
      <c r="CE237" s="160"/>
      <c r="CF237" s="160"/>
      <c r="CG237" s="160"/>
      <c r="CH237" s="160"/>
      <c r="CI237" s="160"/>
      <c r="CJ237" s="160"/>
      <c r="CK237" s="160"/>
      <c r="CL237" s="160"/>
    </row>
    <row r="238">
      <c r="A238" s="174" t="s">
        <v>284</v>
      </c>
      <c r="B238" s="11" t="s">
        <v>285</v>
      </c>
      <c r="C238" s="175" t="s">
        <v>74</v>
      </c>
      <c r="D238" s="176" t="str">
        <f>IFERROR(VLOOKUP(C238, PIC!A:B, 2, 0), "")</f>
        <v>Dung Hoang</v>
      </c>
      <c r="E238" s="11" t="s">
        <v>26</v>
      </c>
      <c r="F238" s="16" t="s">
        <v>849</v>
      </c>
      <c r="G238" s="16" t="s">
        <v>849</v>
      </c>
      <c r="H238" s="170">
        <f>IFERROR(
  MINIFS(ATTENDANCE_LOG!$F:$F,
         ATTENDANCE_LOG!$A:$A, C238,
         ATTENDANCE_LOG!$B:$B, E238),
"")</f>
        <v>45818.375</v>
      </c>
      <c r="I238" s="170">
        <f t="shared" si="2"/>
        <v>45813.375</v>
      </c>
      <c r="J238" s="11">
        <f>IFERROR(VLOOKUP(F238, LEVEL_HELPER!$A:$B, 2, 0), "")</f>
        <v>1</v>
      </c>
      <c r="K238" s="11">
        <f>IFERROR(VLOOKUP(G238, LEVEL_HELPER!$A:$B, 2, 0), "")</f>
        <v>1</v>
      </c>
      <c r="L238" s="171" t="s">
        <v>400</v>
      </c>
      <c r="M238" s="171" t="s">
        <v>151</v>
      </c>
      <c r="N238" s="11">
        <f t="array" ref="N238">IFERROR(
  INDEX($J$2:$J$531,
    MATCH(A238&amp;TEXT(I238,"yyyy-mm-dd"),
          $A$2:$A$531&amp;TEXT($H$2:$H$531,"yyyy-mm-dd"),
          0)),
"")</f>
        <v>1</v>
      </c>
      <c r="O238" s="160">
        <f t="shared" si="3"/>
        <v>3</v>
      </c>
      <c r="P238" s="160">
        <f t="shared" ref="P238:Q238" si="248">IF(N238="",0,IF(N238&lt;=2,1,IF(N238&lt;=4,2,IF(N238&lt;=5.5,3,4))))</f>
        <v>1</v>
      </c>
      <c r="Q238" s="160">
        <f t="shared" si="248"/>
        <v>2</v>
      </c>
      <c r="R238" s="160" t="str">
        <f t="shared" si="5"/>
        <v>Lv1 → Lv2</v>
      </c>
      <c r="S238" s="160">
        <f t="shared" si="6"/>
        <v>1</v>
      </c>
      <c r="T238" s="177" t="s">
        <v>999</v>
      </c>
      <c r="U238" s="160">
        <f>COUNTIFS(sheet2!$A:$A,A238,sheet2!$E:$E,E238)</f>
        <v>1</v>
      </c>
      <c r="V238" s="160"/>
      <c r="W238" s="160"/>
      <c r="X238" s="160" t="str">
        <f t="shared" si="7"/>
        <v>#N/A</v>
      </c>
      <c r="Y238" s="160" t="str">
        <f t="shared" si="8"/>
        <v>#N/A</v>
      </c>
      <c r="Z238" s="160" t="str">
        <f t="shared" si="9"/>
        <v>#N/A</v>
      </c>
      <c r="AA238" s="160"/>
      <c r="AB238" s="160"/>
      <c r="AC238" s="160"/>
      <c r="AD238" s="160"/>
      <c r="AE238" s="160"/>
      <c r="AF238" s="160"/>
      <c r="AG238" s="160"/>
      <c r="AH238" s="160"/>
      <c r="AI238" s="160"/>
      <c r="AJ238" s="160"/>
      <c r="AK238" s="160"/>
      <c r="AL238" s="160"/>
      <c r="AM238" s="160"/>
      <c r="AN238" s="164"/>
      <c r="AO238" s="160"/>
      <c r="AP238" s="160"/>
      <c r="AQ238" s="160"/>
      <c r="AR238" s="160"/>
      <c r="AS238" s="160"/>
      <c r="AT238" s="160"/>
      <c r="AU238" s="160"/>
      <c r="AV238" s="160"/>
      <c r="AW238" s="160"/>
      <c r="AX238" s="160"/>
      <c r="AY238" s="160"/>
      <c r="AZ238" s="160"/>
      <c r="BA238" s="160"/>
      <c r="BB238" s="160"/>
      <c r="BC238" s="160"/>
      <c r="BD238" s="160"/>
      <c r="BE238" s="160"/>
      <c r="BF238" s="160"/>
      <c r="BG238" s="160"/>
      <c r="BH238" s="160"/>
      <c r="BI238" s="160"/>
      <c r="BJ238" s="160"/>
      <c r="BK238" s="160"/>
      <c r="BL238" s="160"/>
      <c r="BM238" s="160"/>
      <c r="BN238" s="160"/>
      <c r="BO238" s="160"/>
      <c r="BP238" s="160"/>
      <c r="BQ238" s="160"/>
      <c r="BR238" s="160"/>
      <c r="BS238" s="160"/>
      <c r="BT238" s="160"/>
      <c r="BU238" s="160"/>
      <c r="BV238" s="160"/>
      <c r="BW238" s="160"/>
      <c r="BX238" s="160"/>
      <c r="BY238" s="160"/>
      <c r="BZ238" s="160"/>
      <c r="CA238" s="160"/>
      <c r="CB238" s="160"/>
      <c r="CC238" s="160"/>
      <c r="CD238" s="160"/>
      <c r="CE238" s="160"/>
      <c r="CF238" s="160"/>
      <c r="CG238" s="160"/>
      <c r="CH238" s="160"/>
      <c r="CI238" s="160"/>
      <c r="CJ238" s="160"/>
      <c r="CK238" s="160"/>
      <c r="CL238" s="160"/>
    </row>
    <row r="239">
      <c r="A239" s="166" t="s">
        <v>276</v>
      </c>
      <c r="B239" s="167" t="s">
        <v>277</v>
      </c>
      <c r="C239" s="168" t="s">
        <v>74</v>
      </c>
      <c r="D239" s="169" t="str">
        <f>IFERROR(VLOOKUP(C239, PIC!A:B, 2, 0), "")</f>
        <v>Dung Hoang</v>
      </c>
      <c r="E239" s="167" t="s">
        <v>22</v>
      </c>
      <c r="F239" s="16" t="s">
        <v>849</v>
      </c>
      <c r="G239" s="16" t="s">
        <v>846</v>
      </c>
      <c r="H239" s="170">
        <f>IFERROR(
  MINIFS(ATTENDANCE_LOG!$F:$F,
         ATTENDANCE_LOG!$A:$A, C239,
         ATTENDANCE_LOG!$B:$B, E239),
"")</f>
        <v>45813.375</v>
      </c>
      <c r="I239" s="170">
        <f t="shared" si="2"/>
        <v>45813.375</v>
      </c>
      <c r="J239" s="11">
        <f>IFERROR(VLOOKUP(F239, LEVEL_HELPER!$A:$B, 2, 0), "")</f>
        <v>1</v>
      </c>
      <c r="K239" s="11">
        <f>IFERROR(VLOOKUP(G239, LEVEL_HELPER!$A:$B, 2, 0), "")</f>
        <v>3</v>
      </c>
      <c r="L239" s="171" t="s">
        <v>400</v>
      </c>
      <c r="M239" s="171" t="s">
        <v>150</v>
      </c>
      <c r="N239" s="11">
        <f t="array" ref="N239">IFERROR(
  INDEX($J$2:$J$531,
    MATCH(A239&amp;TEXT(I239,"yyyy-mm-dd"),
          $A$2:$A$531&amp;TEXT($H$2:$H$531,"yyyy-mm-dd"),
          0)),
"")</f>
        <v>1</v>
      </c>
      <c r="O239" s="160">
        <f t="shared" si="3"/>
        <v>3</v>
      </c>
      <c r="P239" s="160">
        <f t="shared" ref="P239:Q239" si="249">IF(N239="",0,IF(N239&lt;=2,1,IF(N239&lt;=4,2,IF(N239&lt;=5.5,3,4))))</f>
        <v>1</v>
      </c>
      <c r="Q239" s="160">
        <f t="shared" si="249"/>
        <v>2</v>
      </c>
      <c r="R239" s="160" t="str">
        <f t="shared" si="5"/>
        <v>Lv1 → Lv2</v>
      </c>
      <c r="S239" s="160">
        <f t="shared" si="6"/>
        <v>0</v>
      </c>
      <c r="T239" s="172" t="s">
        <v>994</v>
      </c>
      <c r="U239" s="160">
        <f>COUNTIFS(sheet2!$A:$A,A239,sheet2!$E:$E,E239)</f>
        <v>1</v>
      </c>
      <c r="V239" s="160"/>
      <c r="W239" s="160"/>
      <c r="X239" s="160" t="str">
        <f t="shared" si="7"/>
        <v>#N/A</v>
      </c>
      <c r="Y239" s="160" t="str">
        <f t="shared" si="8"/>
        <v>#N/A</v>
      </c>
      <c r="Z239" s="160" t="str">
        <f t="shared" si="9"/>
        <v>#N/A</v>
      </c>
      <c r="AA239" s="160"/>
      <c r="AB239" s="160"/>
      <c r="AC239" s="160"/>
      <c r="AD239" s="160"/>
      <c r="AE239" s="160"/>
      <c r="AF239" s="160"/>
      <c r="AG239" s="160"/>
      <c r="AH239" s="160"/>
      <c r="AI239" s="160"/>
      <c r="AJ239" s="160"/>
      <c r="AK239" s="160"/>
      <c r="AL239" s="160"/>
      <c r="AM239" s="160"/>
      <c r="AN239" s="164"/>
      <c r="AO239" s="160"/>
      <c r="AP239" s="160"/>
      <c r="AQ239" s="160"/>
      <c r="AR239" s="160"/>
      <c r="AS239" s="160"/>
      <c r="AT239" s="160"/>
      <c r="AU239" s="160"/>
      <c r="AV239" s="160"/>
      <c r="AW239" s="160"/>
      <c r="AX239" s="160"/>
      <c r="AY239" s="160"/>
      <c r="AZ239" s="160"/>
      <c r="BA239" s="160"/>
      <c r="BB239" s="160"/>
      <c r="BC239" s="160"/>
      <c r="BD239" s="160"/>
      <c r="BE239" s="160"/>
      <c r="BF239" s="160"/>
      <c r="BG239" s="160"/>
      <c r="BH239" s="160"/>
      <c r="BI239" s="160"/>
      <c r="BJ239" s="160"/>
      <c r="BK239" s="160"/>
      <c r="BL239" s="160"/>
      <c r="BM239" s="160"/>
      <c r="BN239" s="160"/>
      <c r="BO239" s="160"/>
      <c r="BP239" s="160"/>
      <c r="BQ239" s="160"/>
      <c r="BR239" s="160"/>
      <c r="BS239" s="160"/>
      <c r="BT239" s="160"/>
      <c r="BU239" s="160"/>
      <c r="BV239" s="160"/>
      <c r="BW239" s="160"/>
      <c r="BX239" s="160"/>
      <c r="BY239" s="160"/>
      <c r="BZ239" s="160"/>
      <c r="CA239" s="160"/>
      <c r="CB239" s="160"/>
      <c r="CC239" s="160"/>
      <c r="CD239" s="160"/>
      <c r="CE239" s="160"/>
      <c r="CF239" s="160"/>
      <c r="CG239" s="160"/>
      <c r="CH239" s="160"/>
      <c r="CI239" s="160"/>
      <c r="CJ239" s="160"/>
      <c r="CK239" s="160"/>
      <c r="CL239" s="160"/>
    </row>
    <row r="240">
      <c r="A240" s="174" t="s">
        <v>274</v>
      </c>
      <c r="B240" s="11" t="s">
        <v>275</v>
      </c>
      <c r="C240" s="175" t="s">
        <v>74</v>
      </c>
      <c r="D240" s="176" t="str">
        <f>IFERROR(VLOOKUP(C240, PIC!A:B, 2, 0), "")</f>
        <v>Dung Hoang</v>
      </c>
      <c r="E240" s="11" t="s">
        <v>22</v>
      </c>
      <c r="F240" s="16" t="s">
        <v>849</v>
      </c>
      <c r="G240" s="16" t="s">
        <v>861</v>
      </c>
      <c r="H240" s="170">
        <f>IFERROR(
  MINIFS(ATTENDANCE_LOG!$F:$F,
         ATTENDANCE_LOG!$A:$A, C240,
         ATTENDANCE_LOG!$B:$B, E240),
"")</f>
        <v>45813.375</v>
      </c>
      <c r="I240" s="170">
        <f t="shared" si="2"/>
        <v>45813.375</v>
      </c>
      <c r="J240" s="11">
        <f>IFERROR(VLOOKUP(F240, LEVEL_HELPER!$A:$B, 2, 0), "")</f>
        <v>1</v>
      </c>
      <c r="K240" s="11">
        <f>IFERROR(VLOOKUP(G240, LEVEL_HELPER!$A:$B, 2, 0), "")</f>
        <v>3.5</v>
      </c>
      <c r="L240" s="171" t="s">
        <v>400</v>
      </c>
      <c r="M240" s="171" t="s">
        <v>151</v>
      </c>
      <c r="N240" s="11">
        <f t="array" ref="N240">IFERROR(
  INDEX($J$2:$J$531,
    MATCH(A240&amp;TEXT(I240,"yyyy-mm-dd"),
          $A$2:$A$531&amp;TEXT($H$2:$H$531,"yyyy-mm-dd"),
          0)),
"")</f>
        <v>1</v>
      </c>
      <c r="O240" s="160">
        <f t="shared" si="3"/>
        <v>3.5</v>
      </c>
      <c r="P240" s="160">
        <f t="shared" ref="P240:Q240" si="250">IF(N240="",0,IF(N240&lt;=2,1,IF(N240&lt;=4,2,IF(N240&lt;=5.5,3,4))))</f>
        <v>1</v>
      </c>
      <c r="Q240" s="160">
        <f t="shared" si="250"/>
        <v>2</v>
      </c>
      <c r="R240" s="160" t="str">
        <f t="shared" si="5"/>
        <v>Lv1 → Lv2</v>
      </c>
      <c r="S240" s="160">
        <f t="shared" si="6"/>
        <v>0</v>
      </c>
      <c r="T240" s="177" t="s">
        <v>995</v>
      </c>
      <c r="U240" s="160">
        <f>COUNTIFS(sheet2!$A:$A,A240,sheet2!$E:$E,E240)</f>
        <v>1</v>
      </c>
      <c r="V240" s="160"/>
      <c r="W240" s="160"/>
      <c r="X240" s="160" t="str">
        <f t="shared" si="7"/>
        <v>#N/A</v>
      </c>
      <c r="Y240" s="160" t="str">
        <f t="shared" si="8"/>
        <v>#N/A</v>
      </c>
      <c r="Z240" s="160" t="str">
        <f t="shared" si="9"/>
        <v>#N/A</v>
      </c>
      <c r="AA240" s="160"/>
      <c r="AB240" s="160"/>
      <c r="AC240" s="160"/>
      <c r="AD240" s="160"/>
      <c r="AE240" s="160"/>
      <c r="AF240" s="160"/>
      <c r="AG240" s="160"/>
      <c r="AH240" s="160"/>
      <c r="AI240" s="160"/>
      <c r="AJ240" s="160"/>
      <c r="AK240" s="160"/>
      <c r="AL240" s="160"/>
      <c r="AM240" s="160"/>
      <c r="AN240" s="164"/>
      <c r="AO240" s="160"/>
      <c r="AP240" s="160"/>
      <c r="AQ240" s="160"/>
      <c r="AR240" s="160"/>
      <c r="AS240" s="160"/>
      <c r="AT240" s="160"/>
      <c r="AU240" s="160"/>
      <c r="AV240" s="160"/>
      <c r="AW240" s="160"/>
      <c r="AX240" s="160"/>
      <c r="AY240" s="160"/>
      <c r="AZ240" s="160"/>
      <c r="BA240" s="160"/>
      <c r="BB240" s="160"/>
      <c r="BC240" s="160"/>
      <c r="BD240" s="160"/>
      <c r="BE240" s="160"/>
      <c r="BF240" s="160"/>
      <c r="BG240" s="160"/>
      <c r="BH240" s="160"/>
      <c r="BI240" s="160"/>
      <c r="BJ240" s="160"/>
      <c r="BK240" s="160"/>
      <c r="BL240" s="160"/>
      <c r="BM240" s="160"/>
      <c r="BN240" s="160"/>
      <c r="BO240" s="160"/>
      <c r="BP240" s="160"/>
      <c r="BQ240" s="160"/>
      <c r="BR240" s="160"/>
      <c r="BS240" s="160"/>
      <c r="BT240" s="160"/>
      <c r="BU240" s="160"/>
      <c r="BV240" s="160"/>
      <c r="BW240" s="160"/>
      <c r="BX240" s="160"/>
      <c r="BY240" s="160"/>
      <c r="BZ240" s="160"/>
      <c r="CA240" s="160"/>
      <c r="CB240" s="160"/>
      <c r="CC240" s="160"/>
      <c r="CD240" s="160"/>
      <c r="CE240" s="160"/>
      <c r="CF240" s="160"/>
      <c r="CG240" s="160"/>
      <c r="CH240" s="160"/>
      <c r="CI240" s="160"/>
      <c r="CJ240" s="160"/>
      <c r="CK240" s="160"/>
      <c r="CL240" s="160"/>
    </row>
    <row r="241">
      <c r="A241" s="174" t="s">
        <v>278</v>
      </c>
      <c r="B241" s="11" t="s">
        <v>279</v>
      </c>
      <c r="C241" s="175" t="s">
        <v>74</v>
      </c>
      <c r="D241" s="176" t="str">
        <f>IFERROR(VLOOKUP(C241, PIC!A:B, 2, 0), "")</f>
        <v>Dung Hoang</v>
      </c>
      <c r="E241" s="11" t="s">
        <v>22</v>
      </c>
      <c r="F241" s="16" t="s">
        <v>849</v>
      </c>
      <c r="G241" s="16" t="s">
        <v>846</v>
      </c>
      <c r="H241" s="170">
        <f>IFERROR(
  MINIFS(ATTENDANCE_LOG!$F:$F,
         ATTENDANCE_LOG!$A:$A, C241,
         ATTENDANCE_LOG!$B:$B, E241),
"")</f>
        <v>45813.375</v>
      </c>
      <c r="I241" s="170">
        <f t="shared" si="2"/>
        <v>45813.375</v>
      </c>
      <c r="J241" s="11">
        <f>IFERROR(VLOOKUP(F241, LEVEL_HELPER!$A:$B, 2, 0), "")</f>
        <v>1</v>
      </c>
      <c r="K241" s="11">
        <f>IFERROR(VLOOKUP(G241, LEVEL_HELPER!$A:$B, 2, 0), "")</f>
        <v>3</v>
      </c>
      <c r="L241" s="171" t="s">
        <v>400</v>
      </c>
      <c r="M241" s="171" t="s">
        <v>151</v>
      </c>
      <c r="N241" s="11">
        <f t="array" ref="N241">IFERROR(
  INDEX($J$2:$J$531,
    MATCH(A241&amp;TEXT(I241,"yyyy-mm-dd"),
          $A$2:$A$531&amp;TEXT($H$2:$H$531,"yyyy-mm-dd"),
          0)),
"")</f>
        <v>1</v>
      </c>
      <c r="O241" s="160">
        <f t="shared" si="3"/>
        <v>3</v>
      </c>
      <c r="P241" s="160">
        <f t="shared" ref="P241:Q241" si="251">IF(N241="",0,IF(N241&lt;=2,1,IF(N241&lt;=4,2,IF(N241&lt;=5.5,3,4))))</f>
        <v>1</v>
      </c>
      <c r="Q241" s="160">
        <f t="shared" si="251"/>
        <v>2</v>
      </c>
      <c r="R241" s="160" t="str">
        <f t="shared" si="5"/>
        <v>Lv1 → Lv2</v>
      </c>
      <c r="S241" s="160">
        <f t="shared" si="6"/>
        <v>0</v>
      </c>
      <c r="T241" s="177" t="s">
        <v>996</v>
      </c>
      <c r="U241" s="160">
        <f>COUNTIFS(sheet2!$A:$A,A241,sheet2!$E:$E,E241)</f>
        <v>1</v>
      </c>
      <c r="V241" s="160"/>
      <c r="W241" s="160"/>
      <c r="X241" s="160" t="str">
        <f t="shared" si="7"/>
        <v>#N/A</v>
      </c>
      <c r="Y241" s="160" t="str">
        <f t="shared" si="8"/>
        <v>#N/A</v>
      </c>
      <c r="Z241" s="160" t="str">
        <f t="shared" si="9"/>
        <v>#N/A</v>
      </c>
      <c r="AA241" s="160"/>
      <c r="AB241" s="160"/>
      <c r="AC241" s="160"/>
      <c r="AD241" s="160"/>
      <c r="AE241" s="160"/>
      <c r="AF241" s="160"/>
      <c r="AG241" s="160"/>
      <c r="AH241" s="160"/>
      <c r="AI241" s="160"/>
      <c r="AJ241" s="160"/>
      <c r="AK241" s="160"/>
      <c r="AL241" s="160"/>
      <c r="AM241" s="160"/>
      <c r="AN241" s="164"/>
      <c r="AO241" s="160"/>
      <c r="AP241" s="160"/>
      <c r="AQ241" s="160"/>
      <c r="AR241" s="160"/>
      <c r="AS241" s="160"/>
      <c r="AT241" s="160"/>
      <c r="AU241" s="160"/>
      <c r="AV241" s="160"/>
      <c r="AW241" s="160"/>
      <c r="AX241" s="160"/>
      <c r="AY241" s="160"/>
      <c r="AZ241" s="160"/>
      <c r="BA241" s="160"/>
      <c r="BB241" s="160"/>
      <c r="BC241" s="160"/>
      <c r="BD241" s="160"/>
      <c r="BE241" s="160"/>
      <c r="BF241" s="160"/>
      <c r="BG241" s="160"/>
      <c r="BH241" s="160"/>
      <c r="BI241" s="160"/>
      <c r="BJ241" s="160"/>
      <c r="BK241" s="160"/>
      <c r="BL241" s="160"/>
      <c r="BM241" s="160"/>
      <c r="BN241" s="160"/>
      <c r="BO241" s="160"/>
      <c r="BP241" s="160"/>
      <c r="BQ241" s="160"/>
      <c r="BR241" s="160"/>
      <c r="BS241" s="160"/>
      <c r="BT241" s="160"/>
      <c r="BU241" s="160"/>
      <c r="BV241" s="160"/>
      <c r="BW241" s="160"/>
      <c r="BX241" s="160"/>
      <c r="BY241" s="160"/>
      <c r="BZ241" s="160"/>
      <c r="CA241" s="160"/>
      <c r="CB241" s="160"/>
      <c r="CC241" s="160"/>
      <c r="CD241" s="160"/>
      <c r="CE241" s="160"/>
      <c r="CF241" s="160"/>
      <c r="CG241" s="160"/>
      <c r="CH241" s="160"/>
      <c r="CI241" s="160"/>
      <c r="CJ241" s="160"/>
      <c r="CK241" s="160"/>
      <c r="CL241" s="160"/>
    </row>
    <row r="242">
      <c r="A242" s="174" t="s">
        <v>280</v>
      </c>
      <c r="B242" s="11" t="s">
        <v>281</v>
      </c>
      <c r="C242" s="175" t="s">
        <v>74</v>
      </c>
      <c r="D242" s="176" t="str">
        <f>IFERROR(VLOOKUP(C242, PIC!A:B, 2, 0), "")</f>
        <v>Dung Hoang</v>
      </c>
      <c r="E242" s="11" t="s">
        <v>22</v>
      </c>
      <c r="F242" s="16" t="s">
        <v>849</v>
      </c>
      <c r="G242" s="16" t="s">
        <v>861</v>
      </c>
      <c r="H242" s="170">
        <f>IFERROR(
  MINIFS(ATTENDANCE_LOG!$F:$F,
         ATTENDANCE_LOG!$A:$A, C242,
         ATTENDANCE_LOG!$B:$B, E242),
"")</f>
        <v>45813.375</v>
      </c>
      <c r="I242" s="170">
        <f t="shared" si="2"/>
        <v>45813.375</v>
      </c>
      <c r="J242" s="11">
        <f>IFERROR(VLOOKUP(F242, LEVEL_HELPER!$A:$B, 2, 0), "")</f>
        <v>1</v>
      </c>
      <c r="K242" s="11">
        <f>IFERROR(VLOOKUP(G242, LEVEL_HELPER!$A:$B, 2, 0), "")</f>
        <v>3.5</v>
      </c>
      <c r="L242" s="171" t="s">
        <v>400</v>
      </c>
      <c r="M242" s="171" t="s">
        <v>150</v>
      </c>
      <c r="N242" s="11">
        <f t="array" ref="N242">IFERROR(
  INDEX($J$2:$J$531,
    MATCH(A242&amp;TEXT(I242,"yyyy-mm-dd"),
          $A$2:$A$531&amp;TEXT($H$2:$H$531,"yyyy-mm-dd"),
          0)),
"")</f>
        <v>1</v>
      </c>
      <c r="O242" s="160">
        <f t="shared" si="3"/>
        <v>3.5</v>
      </c>
      <c r="P242" s="160">
        <f t="shared" ref="P242:Q242" si="252">IF(N242="",0,IF(N242&lt;=2,1,IF(N242&lt;=4,2,IF(N242&lt;=5.5,3,4))))</f>
        <v>1</v>
      </c>
      <c r="Q242" s="160">
        <f t="shared" si="252"/>
        <v>2</v>
      </c>
      <c r="R242" s="160" t="str">
        <f t="shared" si="5"/>
        <v>Lv1 → Lv2</v>
      </c>
      <c r="S242" s="160">
        <f t="shared" si="6"/>
        <v>0</v>
      </c>
      <c r="T242" s="177" t="s">
        <v>997</v>
      </c>
      <c r="U242" s="160">
        <f>COUNTIFS(sheet2!$A:$A,A242,sheet2!$E:$E,E242)</f>
        <v>1</v>
      </c>
      <c r="V242" s="160"/>
      <c r="W242" s="160"/>
      <c r="X242" s="160" t="str">
        <f t="shared" si="7"/>
        <v>#N/A</v>
      </c>
      <c r="Y242" s="160" t="str">
        <f t="shared" si="8"/>
        <v>#N/A</v>
      </c>
      <c r="Z242" s="160" t="str">
        <f t="shared" si="9"/>
        <v>#N/A</v>
      </c>
      <c r="AA242" s="160"/>
      <c r="AB242" s="160"/>
      <c r="AC242" s="160"/>
      <c r="AD242" s="160"/>
      <c r="AE242" s="160"/>
      <c r="AF242" s="160"/>
      <c r="AG242" s="160"/>
      <c r="AH242" s="160"/>
      <c r="AI242" s="160"/>
      <c r="AJ242" s="160"/>
      <c r="AK242" s="160"/>
      <c r="AL242" s="160"/>
      <c r="AM242" s="160"/>
      <c r="AN242" s="164"/>
      <c r="AO242" s="160"/>
      <c r="AP242" s="160"/>
      <c r="AQ242" s="160"/>
      <c r="AR242" s="160"/>
      <c r="AS242" s="160"/>
      <c r="AT242" s="160"/>
      <c r="AU242" s="160"/>
      <c r="AV242" s="160"/>
      <c r="AW242" s="160"/>
      <c r="AX242" s="160"/>
      <c r="AY242" s="160"/>
      <c r="AZ242" s="160"/>
      <c r="BA242" s="160"/>
      <c r="BB242" s="160"/>
      <c r="BC242" s="160"/>
      <c r="BD242" s="160"/>
      <c r="BE242" s="160"/>
      <c r="BF242" s="160"/>
      <c r="BG242" s="160"/>
      <c r="BH242" s="160"/>
      <c r="BI242" s="160"/>
      <c r="BJ242" s="160"/>
      <c r="BK242" s="160"/>
      <c r="BL242" s="160"/>
      <c r="BM242" s="160"/>
      <c r="BN242" s="160"/>
      <c r="BO242" s="160"/>
      <c r="BP242" s="160"/>
      <c r="BQ242" s="160"/>
      <c r="BR242" s="160"/>
      <c r="BS242" s="160"/>
      <c r="BT242" s="160"/>
      <c r="BU242" s="160"/>
      <c r="BV242" s="160"/>
      <c r="BW242" s="160"/>
      <c r="BX242" s="160"/>
      <c r="BY242" s="160"/>
      <c r="BZ242" s="160"/>
      <c r="CA242" s="160"/>
      <c r="CB242" s="160"/>
      <c r="CC242" s="160"/>
      <c r="CD242" s="160"/>
      <c r="CE242" s="160"/>
      <c r="CF242" s="160"/>
      <c r="CG242" s="160"/>
      <c r="CH242" s="160"/>
      <c r="CI242" s="160"/>
      <c r="CJ242" s="160"/>
      <c r="CK242" s="160"/>
      <c r="CL242" s="160"/>
    </row>
    <row r="243">
      <c r="A243" s="174" t="s">
        <v>282</v>
      </c>
      <c r="B243" s="11" t="s">
        <v>283</v>
      </c>
      <c r="C243" s="175" t="s">
        <v>74</v>
      </c>
      <c r="D243" s="176" t="str">
        <f>IFERROR(VLOOKUP(C243, PIC!A:B, 2, 0), "")</f>
        <v>Dung Hoang</v>
      </c>
      <c r="E243" s="11" t="s">
        <v>22</v>
      </c>
      <c r="F243" s="16" t="s">
        <v>849</v>
      </c>
      <c r="G243" s="16" t="s">
        <v>868</v>
      </c>
      <c r="H243" s="170">
        <f>IFERROR(
  MINIFS(ATTENDANCE_LOG!$F:$F,
         ATTENDANCE_LOG!$A:$A, C243,
         ATTENDANCE_LOG!$B:$B, E243),
"")</f>
        <v>45813.375</v>
      </c>
      <c r="I243" s="170">
        <f t="shared" si="2"/>
        <v>45813.375</v>
      </c>
      <c r="J243" s="11">
        <f>IFERROR(VLOOKUP(F243, LEVEL_HELPER!$A:$B, 2, 0), "")</f>
        <v>1</v>
      </c>
      <c r="K243" s="11">
        <f>IFERROR(VLOOKUP(G243, LEVEL_HELPER!$A:$B, 2, 0), "")</f>
        <v>5</v>
      </c>
      <c r="L243" s="171" t="s">
        <v>400</v>
      </c>
      <c r="M243" s="171" t="s">
        <v>151</v>
      </c>
      <c r="N243" s="11">
        <f t="array" ref="N243">IFERROR(
  INDEX($J$2:$J$531,
    MATCH(A243&amp;TEXT(I243,"yyyy-mm-dd"),
          $A$2:$A$531&amp;TEXT($H$2:$H$531,"yyyy-mm-dd"),
          0)),
"")</f>
        <v>1</v>
      </c>
      <c r="O243" s="160">
        <f t="shared" si="3"/>
        <v>5</v>
      </c>
      <c r="P243" s="160">
        <f t="shared" ref="P243:Q243" si="253">IF(N243="",0,IF(N243&lt;=2,1,IF(N243&lt;=4,2,IF(N243&lt;=5.5,3,4))))</f>
        <v>1</v>
      </c>
      <c r="Q243" s="160">
        <f t="shared" si="253"/>
        <v>3</v>
      </c>
      <c r="R243" s="160" t="str">
        <f t="shared" si="5"/>
        <v>Lv1 → Lv3 (multi)</v>
      </c>
      <c r="S243" s="160">
        <f t="shared" si="6"/>
        <v>0</v>
      </c>
      <c r="T243" s="177" t="s">
        <v>998</v>
      </c>
      <c r="U243" s="160">
        <f>COUNTIFS(sheet2!$A:$A,A243,sheet2!$E:$E,E243)</f>
        <v>1</v>
      </c>
      <c r="V243" s="160"/>
      <c r="W243" s="160"/>
      <c r="X243" s="160" t="str">
        <f t="shared" si="7"/>
        <v>#N/A</v>
      </c>
      <c r="Y243" s="160" t="str">
        <f t="shared" si="8"/>
        <v>#N/A</v>
      </c>
      <c r="Z243" s="160" t="str">
        <f t="shared" si="9"/>
        <v>#N/A</v>
      </c>
      <c r="AA243" s="160"/>
      <c r="AB243" s="160"/>
      <c r="AC243" s="160"/>
      <c r="AD243" s="160"/>
      <c r="AE243" s="160"/>
      <c r="AF243" s="160"/>
      <c r="AG243" s="160"/>
      <c r="AH243" s="160"/>
      <c r="AI243" s="160"/>
      <c r="AJ243" s="160"/>
      <c r="AK243" s="160"/>
      <c r="AL243" s="160"/>
      <c r="AM243" s="160"/>
      <c r="AN243" s="164"/>
      <c r="AO243" s="160"/>
      <c r="AP243" s="160"/>
      <c r="AQ243" s="160"/>
      <c r="AR243" s="160"/>
      <c r="AS243" s="160"/>
      <c r="AT243" s="160"/>
      <c r="AU243" s="160"/>
      <c r="AV243" s="160"/>
      <c r="AW243" s="160"/>
      <c r="AX243" s="160"/>
      <c r="AY243" s="160"/>
      <c r="AZ243" s="160"/>
      <c r="BA243" s="160"/>
      <c r="BB243" s="160"/>
      <c r="BC243" s="160"/>
      <c r="BD243" s="160"/>
      <c r="BE243" s="160"/>
      <c r="BF243" s="160"/>
      <c r="BG243" s="160"/>
      <c r="BH243" s="160"/>
      <c r="BI243" s="160"/>
      <c r="BJ243" s="160"/>
      <c r="BK243" s="160"/>
      <c r="BL243" s="160"/>
      <c r="BM243" s="160"/>
      <c r="BN243" s="160"/>
      <c r="BO243" s="160"/>
      <c r="BP243" s="160"/>
      <c r="BQ243" s="160"/>
      <c r="BR243" s="160"/>
      <c r="BS243" s="160"/>
      <c r="BT243" s="160"/>
      <c r="BU243" s="160"/>
      <c r="BV243" s="160"/>
      <c r="BW243" s="160"/>
      <c r="BX243" s="160"/>
      <c r="BY243" s="160"/>
      <c r="BZ243" s="160"/>
      <c r="CA243" s="160"/>
      <c r="CB243" s="160"/>
      <c r="CC243" s="160"/>
      <c r="CD243" s="160"/>
      <c r="CE243" s="160"/>
      <c r="CF243" s="160"/>
      <c r="CG243" s="160"/>
      <c r="CH243" s="160"/>
      <c r="CI243" s="160"/>
      <c r="CJ243" s="160"/>
      <c r="CK243" s="160"/>
      <c r="CL243" s="160"/>
    </row>
    <row r="244">
      <c r="A244" s="174" t="s">
        <v>284</v>
      </c>
      <c r="B244" s="11" t="s">
        <v>285</v>
      </c>
      <c r="C244" s="175" t="s">
        <v>74</v>
      </c>
      <c r="D244" s="176" t="str">
        <f>IFERROR(VLOOKUP(C244, PIC!A:B, 2, 0), "")</f>
        <v>Dung Hoang</v>
      </c>
      <c r="E244" s="11" t="s">
        <v>22</v>
      </c>
      <c r="F244" s="16" t="s">
        <v>849</v>
      </c>
      <c r="G244" s="16" t="s">
        <v>846</v>
      </c>
      <c r="H244" s="170">
        <f>IFERROR(
  MINIFS(ATTENDANCE_LOG!$F:$F,
         ATTENDANCE_LOG!$A:$A, C244,
         ATTENDANCE_LOG!$B:$B, E244),
"")</f>
        <v>45813.375</v>
      </c>
      <c r="I244" s="170">
        <f t="shared" si="2"/>
        <v>45813.375</v>
      </c>
      <c r="J244" s="11">
        <f>IFERROR(VLOOKUP(F244, LEVEL_HELPER!$A:$B, 2, 0), "")</f>
        <v>1</v>
      </c>
      <c r="K244" s="11">
        <f>IFERROR(VLOOKUP(G244, LEVEL_HELPER!$A:$B, 2, 0), "")</f>
        <v>3</v>
      </c>
      <c r="L244" s="171" t="s">
        <v>400</v>
      </c>
      <c r="M244" s="171" t="s">
        <v>151</v>
      </c>
      <c r="N244" s="11">
        <f t="array" ref="N244">IFERROR(
  INDEX($J$2:$J$531,
    MATCH(A244&amp;TEXT(I244,"yyyy-mm-dd"),
          $A$2:$A$531&amp;TEXT($H$2:$H$531,"yyyy-mm-dd"),
          0)),
"")</f>
        <v>1</v>
      </c>
      <c r="O244" s="160">
        <f t="shared" si="3"/>
        <v>3</v>
      </c>
      <c r="P244" s="160">
        <f t="shared" ref="P244:Q244" si="254">IF(N244="",0,IF(N244&lt;=2,1,IF(N244&lt;=4,2,IF(N244&lt;=5.5,3,4))))</f>
        <v>1</v>
      </c>
      <c r="Q244" s="160">
        <f t="shared" si="254"/>
        <v>2</v>
      </c>
      <c r="R244" s="160" t="str">
        <f t="shared" si="5"/>
        <v>Lv1 → Lv2</v>
      </c>
      <c r="S244" s="160">
        <f t="shared" si="6"/>
        <v>0</v>
      </c>
      <c r="T244" s="177" t="s">
        <v>999</v>
      </c>
      <c r="U244" s="160">
        <f>COUNTIFS(sheet2!$A:$A,A244,sheet2!$E:$E,E244)</f>
        <v>1</v>
      </c>
      <c r="V244" s="160"/>
      <c r="W244" s="160"/>
      <c r="X244" s="160" t="str">
        <f t="shared" si="7"/>
        <v>#N/A</v>
      </c>
      <c r="Y244" s="160" t="str">
        <f t="shared" si="8"/>
        <v>#N/A</v>
      </c>
      <c r="Z244" s="160" t="str">
        <f t="shared" si="9"/>
        <v>#N/A</v>
      </c>
      <c r="AA244" s="160"/>
      <c r="AB244" s="160"/>
      <c r="AC244" s="160"/>
      <c r="AD244" s="160"/>
      <c r="AE244" s="160"/>
      <c r="AF244" s="160"/>
      <c r="AG244" s="160"/>
      <c r="AH244" s="160"/>
      <c r="AI244" s="160"/>
      <c r="AJ244" s="160"/>
      <c r="AK244" s="160"/>
      <c r="AL244" s="160"/>
      <c r="AM244" s="160"/>
      <c r="AN244" s="164"/>
      <c r="AO244" s="160"/>
      <c r="AP244" s="160"/>
      <c r="AQ244" s="160"/>
      <c r="AR244" s="160"/>
      <c r="AS244" s="160"/>
      <c r="AT244" s="160"/>
      <c r="AU244" s="160"/>
      <c r="AV244" s="160"/>
      <c r="AW244" s="160"/>
      <c r="AX244" s="160"/>
      <c r="AY244" s="160"/>
      <c r="AZ244" s="160"/>
      <c r="BA244" s="160"/>
      <c r="BB244" s="160"/>
      <c r="BC244" s="160"/>
      <c r="BD244" s="160"/>
      <c r="BE244" s="160"/>
      <c r="BF244" s="160"/>
      <c r="BG244" s="160"/>
      <c r="BH244" s="160"/>
      <c r="BI244" s="160"/>
      <c r="BJ244" s="160"/>
      <c r="BK244" s="160"/>
      <c r="BL244" s="160"/>
      <c r="BM244" s="160"/>
      <c r="BN244" s="160"/>
      <c r="BO244" s="160"/>
      <c r="BP244" s="160"/>
      <c r="BQ244" s="160"/>
      <c r="BR244" s="160"/>
      <c r="BS244" s="160"/>
      <c r="BT244" s="160"/>
      <c r="BU244" s="160"/>
      <c r="BV244" s="160"/>
      <c r="BW244" s="160"/>
      <c r="BX244" s="160"/>
      <c r="BY244" s="160"/>
      <c r="BZ244" s="160"/>
      <c r="CA244" s="160"/>
      <c r="CB244" s="160"/>
      <c r="CC244" s="160"/>
      <c r="CD244" s="160"/>
      <c r="CE244" s="160"/>
      <c r="CF244" s="160"/>
      <c r="CG244" s="160"/>
      <c r="CH244" s="160"/>
      <c r="CI244" s="160"/>
      <c r="CJ244" s="160"/>
      <c r="CK244" s="160"/>
      <c r="CL244" s="160"/>
    </row>
    <row r="245">
      <c r="A245" s="174" t="s">
        <v>286</v>
      </c>
      <c r="B245" s="11" t="s">
        <v>287</v>
      </c>
      <c r="C245" s="175" t="s">
        <v>74</v>
      </c>
      <c r="D245" s="176" t="str">
        <f>IFERROR(VLOOKUP(C245, PIC!A:B, 2, 0), "")</f>
        <v>Dung Hoang</v>
      </c>
      <c r="E245" s="11" t="s">
        <v>22</v>
      </c>
      <c r="F245" s="11"/>
      <c r="G245" s="11"/>
      <c r="H245" s="170">
        <f>IFERROR(
  MINIFS(ATTENDANCE_LOG!$F:$F,
         ATTENDANCE_LOG!$A:$A, C245,
         ATTENDANCE_LOG!$B:$B, E245),
"")</f>
        <v>45813.375</v>
      </c>
      <c r="I245" s="170">
        <f t="shared" si="2"/>
        <v>45813.375</v>
      </c>
      <c r="J245" s="11" t="str">
        <f>IFERROR(VLOOKUP(F245, LEVEL_HELPER!$A:$B, 2, 0), "")</f>
        <v/>
      </c>
      <c r="K245" s="11" t="str">
        <f>IFERROR(VLOOKUP(G245, LEVEL_HELPER!$A:$B, 2, 0), "")</f>
        <v/>
      </c>
      <c r="L245" s="171" t="s">
        <v>400</v>
      </c>
      <c r="M245" s="183" t="s">
        <v>150</v>
      </c>
      <c r="N245" s="11" t="str">
        <f t="array" ref="N245">IFERROR(
  INDEX($J$2:$J$531,
    MATCH(A245&amp;TEXT(I245,"yyyy-mm-dd"),
          $A$2:$A$531&amp;TEXT($H$2:$H$531,"yyyy-mm-dd"),
          0)),
"")</f>
        <v/>
      </c>
      <c r="O245" s="160">
        <f t="shared" si="3"/>
        <v>0</v>
      </c>
      <c r="P245" s="160">
        <f t="shared" ref="P245:Q245" si="255">IF(N245="",0,IF(N245&lt;=2,1,IF(N245&lt;=4,2,IF(N245&lt;=5.5,3,4))))</f>
        <v>0</v>
      </c>
      <c r="Q245" s="160">
        <f t="shared" si="255"/>
        <v>1</v>
      </c>
      <c r="R245" s="160" t="str">
        <f t="shared" si="5"/>
        <v>Not tested yet</v>
      </c>
      <c r="S245" s="160">
        <f t="shared" si="6"/>
        <v>1</v>
      </c>
      <c r="T245" s="185"/>
      <c r="U245" s="160">
        <f>COUNTIFS(sheet2!$A:$A,A245,sheet2!$E:$E,E245)</f>
        <v>1</v>
      </c>
      <c r="V245" s="160"/>
      <c r="W245" s="160"/>
      <c r="X245" s="160" t="str">
        <f t="shared" si="7"/>
        <v>#N/A</v>
      </c>
      <c r="Y245" s="160" t="str">
        <f t="shared" si="8"/>
        <v>#N/A</v>
      </c>
      <c r="Z245" s="160" t="str">
        <f t="shared" si="9"/>
        <v>#N/A</v>
      </c>
      <c r="AA245" s="160"/>
      <c r="AB245" s="160"/>
      <c r="AC245" s="160"/>
      <c r="AD245" s="160"/>
      <c r="AE245" s="160"/>
      <c r="AF245" s="160"/>
      <c r="AG245" s="160"/>
      <c r="AH245" s="160"/>
      <c r="AI245" s="160"/>
      <c r="AJ245" s="160"/>
      <c r="AK245" s="160"/>
      <c r="AL245" s="160"/>
      <c r="AM245" s="160"/>
      <c r="AN245" s="164"/>
      <c r="AO245" s="160"/>
      <c r="AP245" s="160"/>
      <c r="AQ245" s="160"/>
      <c r="AR245" s="160"/>
      <c r="AS245" s="160"/>
      <c r="AT245" s="160"/>
      <c r="AU245" s="160"/>
      <c r="AV245" s="160"/>
      <c r="AW245" s="160"/>
      <c r="AX245" s="160"/>
      <c r="AY245" s="160"/>
      <c r="AZ245" s="160"/>
      <c r="BA245" s="160"/>
      <c r="BB245" s="160"/>
      <c r="BC245" s="160"/>
      <c r="BD245" s="160"/>
      <c r="BE245" s="160"/>
      <c r="BF245" s="160"/>
      <c r="BG245" s="160"/>
      <c r="BH245" s="160"/>
      <c r="BI245" s="160"/>
      <c r="BJ245" s="160"/>
      <c r="BK245" s="160"/>
      <c r="BL245" s="160"/>
      <c r="BM245" s="160"/>
      <c r="BN245" s="160"/>
      <c r="BO245" s="160"/>
      <c r="BP245" s="160"/>
      <c r="BQ245" s="160"/>
      <c r="BR245" s="160"/>
      <c r="BS245" s="160"/>
      <c r="BT245" s="160"/>
      <c r="BU245" s="160"/>
      <c r="BV245" s="160"/>
      <c r="BW245" s="160"/>
      <c r="BX245" s="160"/>
      <c r="BY245" s="160"/>
      <c r="BZ245" s="160"/>
      <c r="CA245" s="160"/>
      <c r="CB245" s="160"/>
      <c r="CC245" s="160"/>
      <c r="CD245" s="160"/>
      <c r="CE245" s="160"/>
      <c r="CF245" s="160"/>
      <c r="CG245" s="160"/>
      <c r="CH245" s="160"/>
      <c r="CI245" s="160"/>
      <c r="CJ245" s="160"/>
      <c r="CK245" s="160"/>
      <c r="CL245" s="160"/>
    </row>
    <row r="246">
      <c r="A246" s="166" t="s">
        <v>276</v>
      </c>
      <c r="B246" s="167" t="s">
        <v>277</v>
      </c>
      <c r="C246" s="168" t="s">
        <v>74</v>
      </c>
      <c r="D246" s="169" t="str">
        <f>IFERROR(VLOOKUP(C246, PIC!A:B, 2, 0), "")</f>
        <v>Dung Hoang</v>
      </c>
      <c r="E246" s="167" t="s">
        <v>23</v>
      </c>
      <c r="F246" s="11"/>
      <c r="G246" s="11"/>
      <c r="H246" s="170">
        <f>IFERROR(
  MINIFS(ATTENDANCE_LOG!$F:$F,
         ATTENDANCE_LOG!$A:$A, C246,
         ATTENDANCE_LOG!$B:$B, E246),
"")</f>
        <v>46106.41667</v>
      </c>
      <c r="I246" s="170">
        <f t="shared" si="2"/>
        <v>45813.375</v>
      </c>
      <c r="J246" s="11" t="str">
        <f>IFERROR(VLOOKUP(F246, LEVEL_HELPER!$A:$B, 2, 0), "")</f>
        <v/>
      </c>
      <c r="K246" s="11" t="str">
        <f>IFERROR(VLOOKUP(G246, LEVEL_HELPER!$A:$B, 2, 0), "")</f>
        <v/>
      </c>
      <c r="L246" s="171" t="s">
        <v>400</v>
      </c>
      <c r="M246" s="171" t="s">
        <v>150</v>
      </c>
      <c r="N246" s="11">
        <f t="array" ref="N246">IFERROR(
  INDEX($J$2:$J$531,
    MATCH(A246&amp;TEXT(I246,"yyyy-mm-dd"),
          $A$2:$A$531&amp;TEXT($H$2:$H$531,"yyyy-mm-dd"),
          0)),
"")</f>
        <v>1</v>
      </c>
      <c r="O246" s="160">
        <f t="shared" si="3"/>
        <v>3</v>
      </c>
      <c r="P246" s="160">
        <f t="shared" ref="P246:Q246" si="256">IF(N246="",0,IF(N246&lt;=2,1,IF(N246&lt;=4,2,IF(N246&lt;=5.5,3,4))))</f>
        <v>1</v>
      </c>
      <c r="Q246" s="160">
        <f t="shared" si="256"/>
        <v>2</v>
      </c>
      <c r="R246" s="160" t="str">
        <f t="shared" si="5"/>
        <v>Lv1 → Lv2</v>
      </c>
      <c r="S246" s="160">
        <f t="shared" si="6"/>
        <v>0</v>
      </c>
      <c r="T246" s="172" t="s">
        <v>994</v>
      </c>
      <c r="U246" s="160">
        <f>COUNTIFS(sheet2!$A:$A,A246,sheet2!$E:$E,E246)</f>
        <v>1</v>
      </c>
      <c r="V246" s="160"/>
      <c r="W246" s="160"/>
      <c r="X246" s="160" t="str">
        <f t="shared" si="7"/>
        <v>#N/A</v>
      </c>
      <c r="Y246" s="160" t="str">
        <f t="shared" si="8"/>
        <v>#N/A</v>
      </c>
      <c r="Z246" s="160" t="str">
        <f t="shared" si="9"/>
        <v>#N/A</v>
      </c>
      <c r="AA246" s="160"/>
      <c r="AB246" s="160"/>
      <c r="AC246" s="160"/>
      <c r="AD246" s="160"/>
      <c r="AE246" s="160"/>
      <c r="AF246" s="160"/>
      <c r="AG246" s="160"/>
      <c r="AH246" s="160"/>
      <c r="AI246" s="160"/>
      <c r="AJ246" s="160"/>
      <c r="AK246" s="160"/>
      <c r="AL246" s="160"/>
      <c r="AM246" s="160"/>
      <c r="AN246" s="164"/>
      <c r="AO246" s="160"/>
      <c r="AP246" s="160"/>
      <c r="AQ246" s="160"/>
      <c r="AR246" s="160"/>
      <c r="AS246" s="160"/>
      <c r="AT246" s="160"/>
      <c r="AU246" s="160"/>
      <c r="AV246" s="160"/>
      <c r="AW246" s="160"/>
      <c r="AX246" s="160"/>
      <c r="AY246" s="160"/>
      <c r="AZ246" s="160"/>
      <c r="BA246" s="160"/>
      <c r="BB246" s="160"/>
      <c r="BC246" s="160"/>
      <c r="BD246" s="160"/>
      <c r="BE246" s="160"/>
      <c r="BF246" s="160"/>
      <c r="BG246" s="160"/>
      <c r="BH246" s="160"/>
      <c r="BI246" s="160"/>
      <c r="BJ246" s="160"/>
      <c r="BK246" s="160"/>
      <c r="BL246" s="160"/>
      <c r="BM246" s="160"/>
      <c r="BN246" s="160"/>
      <c r="BO246" s="160"/>
      <c r="BP246" s="160"/>
      <c r="BQ246" s="160"/>
      <c r="BR246" s="160"/>
      <c r="BS246" s="160"/>
      <c r="BT246" s="160"/>
      <c r="BU246" s="160"/>
      <c r="BV246" s="160"/>
      <c r="BW246" s="160"/>
      <c r="BX246" s="160"/>
      <c r="BY246" s="160"/>
      <c r="BZ246" s="160"/>
      <c r="CA246" s="160"/>
      <c r="CB246" s="160"/>
      <c r="CC246" s="160"/>
      <c r="CD246" s="160"/>
      <c r="CE246" s="160"/>
      <c r="CF246" s="160"/>
      <c r="CG246" s="160"/>
      <c r="CH246" s="160"/>
      <c r="CI246" s="160"/>
      <c r="CJ246" s="160"/>
      <c r="CK246" s="160"/>
      <c r="CL246" s="160"/>
    </row>
    <row r="247">
      <c r="A247" s="174" t="s">
        <v>274</v>
      </c>
      <c r="B247" s="11" t="s">
        <v>275</v>
      </c>
      <c r="C247" s="175" t="s">
        <v>74</v>
      </c>
      <c r="D247" s="176" t="str">
        <f>IFERROR(VLOOKUP(C247, PIC!A:B, 2, 0), "")</f>
        <v>Dung Hoang</v>
      </c>
      <c r="E247" s="11" t="s">
        <v>23</v>
      </c>
      <c r="F247" s="11"/>
      <c r="G247" s="11"/>
      <c r="H247" s="170">
        <f>IFERROR(
  MINIFS(ATTENDANCE_LOG!$F:$F,
         ATTENDANCE_LOG!$A:$A, C247,
         ATTENDANCE_LOG!$B:$B, E247),
"")</f>
        <v>46106.41667</v>
      </c>
      <c r="I247" s="170">
        <f t="shared" si="2"/>
        <v>45813.375</v>
      </c>
      <c r="J247" s="11" t="str">
        <f>IFERROR(VLOOKUP(F247, LEVEL_HELPER!$A:$B, 2, 0), "")</f>
        <v/>
      </c>
      <c r="K247" s="11" t="str">
        <f>IFERROR(VLOOKUP(G247, LEVEL_HELPER!$A:$B, 2, 0), "")</f>
        <v/>
      </c>
      <c r="L247" s="171" t="s">
        <v>400</v>
      </c>
      <c r="M247" s="171" t="s">
        <v>151</v>
      </c>
      <c r="N247" s="11">
        <f t="array" ref="N247">IFERROR(
  INDEX($J$2:$J$531,
    MATCH(A247&amp;TEXT(I247,"yyyy-mm-dd"),
          $A$2:$A$531&amp;TEXT($H$2:$H$531,"yyyy-mm-dd"),
          0)),
"")</f>
        <v>1</v>
      </c>
      <c r="O247" s="160">
        <f t="shared" si="3"/>
        <v>3.5</v>
      </c>
      <c r="P247" s="160">
        <f t="shared" ref="P247:Q247" si="257">IF(N247="",0,IF(N247&lt;=2,1,IF(N247&lt;=4,2,IF(N247&lt;=5.5,3,4))))</f>
        <v>1</v>
      </c>
      <c r="Q247" s="160">
        <f t="shared" si="257"/>
        <v>2</v>
      </c>
      <c r="R247" s="160" t="str">
        <f t="shared" si="5"/>
        <v>Lv1 → Lv2</v>
      </c>
      <c r="S247" s="160">
        <f t="shared" si="6"/>
        <v>0</v>
      </c>
      <c r="T247" s="177" t="s">
        <v>995</v>
      </c>
      <c r="U247" s="160">
        <f>COUNTIFS(sheet2!$A:$A,A247,sheet2!$E:$E,E247)</f>
        <v>1</v>
      </c>
      <c r="V247" s="160"/>
      <c r="W247" s="160"/>
      <c r="X247" s="160" t="str">
        <f t="shared" si="7"/>
        <v>#N/A</v>
      </c>
      <c r="Y247" s="160" t="str">
        <f t="shared" si="8"/>
        <v>#N/A</v>
      </c>
      <c r="Z247" s="160" t="str">
        <f t="shared" si="9"/>
        <v>#N/A</v>
      </c>
      <c r="AA247" s="160"/>
      <c r="AB247" s="160"/>
      <c r="AC247" s="160"/>
      <c r="AD247" s="160"/>
      <c r="AE247" s="160"/>
      <c r="AF247" s="160"/>
      <c r="AG247" s="160"/>
      <c r="AH247" s="160"/>
      <c r="AI247" s="160"/>
      <c r="AJ247" s="160"/>
      <c r="AK247" s="160"/>
      <c r="AL247" s="160"/>
      <c r="AM247" s="160"/>
      <c r="AN247" s="164"/>
      <c r="AO247" s="160"/>
      <c r="AP247" s="160"/>
      <c r="AQ247" s="160"/>
      <c r="AR247" s="160"/>
      <c r="AS247" s="160"/>
      <c r="AT247" s="160"/>
      <c r="AU247" s="160"/>
      <c r="AV247" s="160"/>
      <c r="AW247" s="160"/>
      <c r="AX247" s="160"/>
      <c r="AY247" s="160"/>
      <c r="AZ247" s="160"/>
      <c r="BA247" s="160"/>
      <c r="BB247" s="160"/>
      <c r="BC247" s="160"/>
      <c r="BD247" s="160"/>
      <c r="BE247" s="160"/>
      <c r="BF247" s="160"/>
      <c r="BG247" s="160"/>
      <c r="BH247" s="160"/>
      <c r="BI247" s="160"/>
      <c r="BJ247" s="160"/>
      <c r="BK247" s="160"/>
      <c r="BL247" s="160"/>
      <c r="BM247" s="160"/>
      <c r="BN247" s="160"/>
      <c r="BO247" s="160"/>
      <c r="BP247" s="160"/>
      <c r="BQ247" s="160"/>
      <c r="BR247" s="160"/>
      <c r="BS247" s="160"/>
      <c r="BT247" s="160"/>
      <c r="BU247" s="160"/>
      <c r="BV247" s="160"/>
      <c r="BW247" s="160"/>
      <c r="BX247" s="160"/>
      <c r="BY247" s="160"/>
      <c r="BZ247" s="160"/>
      <c r="CA247" s="160"/>
      <c r="CB247" s="160"/>
      <c r="CC247" s="160"/>
      <c r="CD247" s="160"/>
      <c r="CE247" s="160"/>
      <c r="CF247" s="160"/>
      <c r="CG247" s="160"/>
      <c r="CH247" s="160"/>
      <c r="CI247" s="160"/>
      <c r="CJ247" s="160"/>
      <c r="CK247" s="160"/>
      <c r="CL247" s="160"/>
    </row>
    <row r="248">
      <c r="A248" s="174" t="s">
        <v>278</v>
      </c>
      <c r="B248" s="11" t="s">
        <v>279</v>
      </c>
      <c r="C248" s="175" t="s">
        <v>74</v>
      </c>
      <c r="D248" s="176" t="str">
        <f>IFERROR(VLOOKUP(C248, PIC!A:B, 2, 0), "")</f>
        <v>Dung Hoang</v>
      </c>
      <c r="E248" s="11" t="s">
        <v>23</v>
      </c>
      <c r="F248" s="11"/>
      <c r="G248" s="11"/>
      <c r="H248" s="170">
        <f>IFERROR(
  MINIFS(ATTENDANCE_LOG!$F:$F,
         ATTENDANCE_LOG!$A:$A, C248,
         ATTENDANCE_LOG!$B:$B, E248),
"")</f>
        <v>46106.41667</v>
      </c>
      <c r="I248" s="170">
        <f t="shared" si="2"/>
        <v>45813.375</v>
      </c>
      <c r="J248" s="11" t="str">
        <f>IFERROR(VLOOKUP(F248, LEVEL_HELPER!$A:$B, 2, 0), "")</f>
        <v/>
      </c>
      <c r="K248" s="11" t="str">
        <f>IFERROR(VLOOKUP(G248, LEVEL_HELPER!$A:$B, 2, 0), "")</f>
        <v/>
      </c>
      <c r="L248" s="171" t="s">
        <v>400</v>
      </c>
      <c r="M248" s="171" t="s">
        <v>151</v>
      </c>
      <c r="N248" s="11">
        <f t="array" ref="N248">IFERROR(
  INDEX($J$2:$J$531,
    MATCH(A248&amp;TEXT(I248,"yyyy-mm-dd"),
          $A$2:$A$531&amp;TEXT($H$2:$H$531,"yyyy-mm-dd"),
          0)),
"")</f>
        <v>1</v>
      </c>
      <c r="O248" s="160">
        <f t="shared" si="3"/>
        <v>3</v>
      </c>
      <c r="P248" s="160">
        <f t="shared" ref="P248:Q248" si="258">IF(N248="",0,IF(N248&lt;=2,1,IF(N248&lt;=4,2,IF(N248&lt;=5.5,3,4))))</f>
        <v>1</v>
      </c>
      <c r="Q248" s="160">
        <f t="shared" si="258"/>
        <v>2</v>
      </c>
      <c r="R248" s="160" t="str">
        <f t="shared" si="5"/>
        <v>Lv1 → Lv2</v>
      </c>
      <c r="S248" s="160">
        <f t="shared" si="6"/>
        <v>0</v>
      </c>
      <c r="T248" s="177" t="s">
        <v>996</v>
      </c>
      <c r="U248" s="160">
        <f>COUNTIFS(sheet2!$A:$A,A248,sheet2!$E:$E,E248)</f>
        <v>1</v>
      </c>
      <c r="V248" s="160"/>
      <c r="W248" s="160"/>
      <c r="X248" s="160" t="str">
        <f t="shared" si="7"/>
        <v>#N/A</v>
      </c>
      <c r="Y248" s="160" t="str">
        <f t="shared" si="8"/>
        <v>#N/A</v>
      </c>
      <c r="Z248" s="160" t="str">
        <f t="shared" si="9"/>
        <v>#N/A</v>
      </c>
      <c r="AA248" s="160"/>
      <c r="AB248" s="160"/>
      <c r="AC248" s="160"/>
      <c r="AD248" s="160"/>
      <c r="AE248" s="160"/>
      <c r="AF248" s="160"/>
      <c r="AG248" s="160"/>
      <c r="AH248" s="160"/>
      <c r="AI248" s="160"/>
      <c r="AJ248" s="160"/>
      <c r="AK248" s="160"/>
      <c r="AL248" s="160"/>
      <c r="AM248" s="160"/>
      <c r="AN248" s="164"/>
      <c r="AO248" s="160"/>
      <c r="AP248" s="160"/>
      <c r="AQ248" s="160"/>
      <c r="AR248" s="160"/>
      <c r="AS248" s="160"/>
      <c r="AT248" s="160"/>
      <c r="AU248" s="160"/>
      <c r="AV248" s="160"/>
      <c r="AW248" s="160"/>
      <c r="AX248" s="160"/>
      <c r="AY248" s="160"/>
      <c r="AZ248" s="160"/>
      <c r="BA248" s="160"/>
      <c r="BB248" s="160"/>
      <c r="BC248" s="160"/>
      <c r="BD248" s="160"/>
      <c r="BE248" s="160"/>
      <c r="BF248" s="160"/>
      <c r="BG248" s="160"/>
      <c r="BH248" s="160"/>
      <c r="BI248" s="160"/>
      <c r="BJ248" s="160"/>
      <c r="BK248" s="160"/>
      <c r="BL248" s="160"/>
      <c r="BM248" s="160"/>
      <c r="BN248" s="160"/>
      <c r="BO248" s="160"/>
      <c r="BP248" s="160"/>
      <c r="BQ248" s="160"/>
      <c r="BR248" s="160"/>
      <c r="BS248" s="160"/>
      <c r="BT248" s="160"/>
      <c r="BU248" s="160"/>
      <c r="BV248" s="160"/>
      <c r="BW248" s="160"/>
      <c r="BX248" s="160"/>
      <c r="BY248" s="160"/>
      <c r="BZ248" s="160"/>
      <c r="CA248" s="160"/>
      <c r="CB248" s="160"/>
      <c r="CC248" s="160"/>
      <c r="CD248" s="160"/>
      <c r="CE248" s="160"/>
      <c r="CF248" s="160"/>
      <c r="CG248" s="160"/>
      <c r="CH248" s="160"/>
      <c r="CI248" s="160"/>
      <c r="CJ248" s="160"/>
      <c r="CK248" s="160"/>
      <c r="CL248" s="160"/>
    </row>
    <row r="249">
      <c r="A249" s="174" t="s">
        <v>280</v>
      </c>
      <c r="B249" s="11" t="s">
        <v>281</v>
      </c>
      <c r="C249" s="175" t="s">
        <v>74</v>
      </c>
      <c r="D249" s="176" t="str">
        <f>IFERROR(VLOOKUP(C249, PIC!A:B, 2, 0), "")</f>
        <v>Dung Hoang</v>
      </c>
      <c r="E249" s="11" t="s">
        <v>23</v>
      </c>
      <c r="F249" s="11"/>
      <c r="G249" s="11"/>
      <c r="H249" s="170">
        <f>IFERROR(
  MINIFS(ATTENDANCE_LOG!$F:$F,
         ATTENDANCE_LOG!$A:$A, C249,
         ATTENDANCE_LOG!$B:$B, E249),
"")</f>
        <v>46106.41667</v>
      </c>
      <c r="I249" s="170">
        <f t="shared" si="2"/>
        <v>45813.375</v>
      </c>
      <c r="J249" s="11" t="str">
        <f>IFERROR(VLOOKUP(F249, LEVEL_HELPER!$A:$B, 2, 0), "")</f>
        <v/>
      </c>
      <c r="K249" s="11" t="str">
        <f>IFERROR(VLOOKUP(G249, LEVEL_HELPER!$A:$B, 2, 0), "")</f>
        <v/>
      </c>
      <c r="L249" s="171" t="s">
        <v>400</v>
      </c>
      <c r="M249" s="171" t="s">
        <v>150</v>
      </c>
      <c r="N249" s="11">
        <f t="array" ref="N249">IFERROR(
  INDEX($J$2:$J$531,
    MATCH(A249&amp;TEXT(I249,"yyyy-mm-dd"),
          $A$2:$A$531&amp;TEXT($H$2:$H$531,"yyyy-mm-dd"),
          0)),
"")</f>
        <v>1</v>
      </c>
      <c r="O249" s="160">
        <f t="shared" si="3"/>
        <v>3.5</v>
      </c>
      <c r="P249" s="160">
        <f t="shared" ref="P249:Q249" si="259">IF(N249="",0,IF(N249&lt;=2,1,IF(N249&lt;=4,2,IF(N249&lt;=5.5,3,4))))</f>
        <v>1</v>
      </c>
      <c r="Q249" s="160">
        <f t="shared" si="259"/>
        <v>2</v>
      </c>
      <c r="R249" s="160" t="str">
        <f t="shared" si="5"/>
        <v>Lv1 → Lv2</v>
      </c>
      <c r="S249" s="160">
        <f t="shared" si="6"/>
        <v>0</v>
      </c>
      <c r="T249" s="177" t="s">
        <v>997</v>
      </c>
      <c r="U249" s="160">
        <f>COUNTIFS(sheet2!$A:$A,A249,sheet2!$E:$E,E249)</f>
        <v>1</v>
      </c>
      <c r="V249" s="160"/>
      <c r="W249" s="160"/>
      <c r="X249" s="160" t="str">
        <f t="shared" si="7"/>
        <v>#N/A</v>
      </c>
      <c r="Y249" s="160" t="str">
        <f t="shared" si="8"/>
        <v>#N/A</v>
      </c>
      <c r="Z249" s="160" t="str">
        <f t="shared" si="9"/>
        <v>#N/A</v>
      </c>
      <c r="AA249" s="160"/>
      <c r="AB249" s="160"/>
      <c r="AC249" s="160"/>
      <c r="AD249" s="160"/>
      <c r="AE249" s="160"/>
      <c r="AF249" s="160"/>
      <c r="AG249" s="160"/>
      <c r="AH249" s="160"/>
      <c r="AI249" s="160"/>
      <c r="AJ249" s="160"/>
      <c r="AK249" s="160"/>
      <c r="AL249" s="160"/>
      <c r="AM249" s="160"/>
      <c r="AN249" s="164"/>
      <c r="AO249" s="160"/>
      <c r="AP249" s="160"/>
      <c r="AQ249" s="160"/>
      <c r="AR249" s="160"/>
      <c r="AS249" s="160"/>
      <c r="AT249" s="160"/>
      <c r="AU249" s="160"/>
      <c r="AV249" s="160"/>
      <c r="AW249" s="160"/>
      <c r="AX249" s="160"/>
      <c r="AY249" s="160"/>
      <c r="AZ249" s="160"/>
      <c r="BA249" s="160"/>
      <c r="BB249" s="160"/>
      <c r="BC249" s="160"/>
      <c r="BD249" s="160"/>
      <c r="BE249" s="160"/>
      <c r="BF249" s="160"/>
      <c r="BG249" s="160"/>
      <c r="BH249" s="160"/>
      <c r="BI249" s="160"/>
      <c r="BJ249" s="160"/>
      <c r="BK249" s="160"/>
      <c r="BL249" s="160"/>
      <c r="BM249" s="160"/>
      <c r="BN249" s="160"/>
      <c r="BO249" s="160"/>
      <c r="BP249" s="160"/>
      <c r="BQ249" s="160"/>
      <c r="BR249" s="160"/>
      <c r="BS249" s="160"/>
      <c r="BT249" s="160"/>
      <c r="BU249" s="160"/>
      <c r="BV249" s="160"/>
      <c r="BW249" s="160"/>
      <c r="BX249" s="160"/>
      <c r="BY249" s="160"/>
      <c r="BZ249" s="160"/>
      <c r="CA249" s="160"/>
      <c r="CB249" s="160"/>
      <c r="CC249" s="160"/>
      <c r="CD249" s="160"/>
      <c r="CE249" s="160"/>
      <c r="CF249" s="160"/>
      <c r="CG249" s="160"/>
      <c r="CH249" s="160"/>
      <c r="CI249" s="160"/>
      <c r="CJ249" s="160"/>
      <c r="CK249" s="160"/>
      <c r="CL249" s="160"/>
    </row>
    <row r="250">
      <c r="A250" s="174" t="s">
        <v>282</v>
      </c>
      <c r="B250" s="11" t="s">
        <v>283</v>
      </c>
      <c r="C250" s="175" t="s">
        <v>74</v>
      </c>
      <c r="D250" s="176" t="str">
        <f>IFERROR(VLOOKUP(C250, PIC!A:B, 2, 0), "")</f>
        <v>Dung Hoang</v>
      </c>
      <c r="E250" s="11" t="s">
        <v>23</v>
      </c>
      <c r="F250" s="11"/>
      <c r="G250" s="11"/>
      <c r="H250" s="170">
        <f>IFERROR(
  MINIFS(ATTENDANCE_LOG!$F:$F,
         ATTENDANCE_LOG!$A:$A, C250,
         ATTENDANCE_LOG!$B:$B, E250),
"")</f>
        <v>46106.41667</v>
      </c>
      <c r="I250" s="170">
        <f t="shared" si="2"/>
        <v>45813.375</v>
      </c>
      <c r="J250" s="11" t="str">
        <f>IFERROR(VLOOKUP(F250, LEVEL_HELPER!$A:$B, 2, 0), "")</f>
        <v/>
      </c>
      <c r="K250" s="11" t="str">
        <f>IFERROR(VLOOKUP(G250, LEVEL_HELPER!$A:$B, 2, 0), "")</f>
        <v/>
      </c>
      <c r="L250" s="171" t="s">
        <v>400</v>
      </c>
      <c r="M250" s="171" t="s">
        <v>151</v>
      </c>
      <c r="N250" s="11">
        <f t="array" ref="N250">IFERROR(
  INDEX($J$2:$J$531,
    MATCH(A250&amp;TEXT(I250,"yyyy-mm-dd"),
          $A$2:$A$531&amp;TEXT($H$2:$H$531,"yyyy-mm-dd"),
          0)),
"")</f>
        <v>1</v>
      </c>
      <c r="O250" s="160">
        <f t="shared" si="3"/>
        <v>5</v>
      </c>
      <c r="P250" s="160">
        <f t="shared" ref="P250:Q250" si="260">IF(N250="",0,IF(N250&lt;=2,1,IF(N250&lt;=4,2,IF(N250&lt;=5.5,3,4))))</f>
        <v>1</v>
      </c>
      <c r="Q250" s="160">
        <f t="shared" si="260"/>
        <v>3</v>
      </c>
      <c r="R250" s="160" t="str">
        <f t="shared" si="5"/>
        <v>Lv1 → Lv3 (multi)</v>
      </c>
      <c r="S250" s="160">
        <f t="shared" si="6"/>
        <v>0</v>
      </c>
      <c r="T250" s="177" t="s">
        <v>998</v>
      </c>
      <c r="U250" s="160">
        <f>COUNTIFS(sheet2!$A:$A,A250,sheet2!$E:$E,E250)</f>
        <v>1</v>
      </c>
      <c r="V250" s="160"/>
      <c r="W250" s="160"/>
      <c r="X250" s="160" t="str">
        <f t="shared" si="7"/>
        <v>#N/A</v>
      </c>
      <c r="Y250" s="160" t="str">
        <f t="shared" si="8"/>
        <v>#N/A</v>
      </c>
      <c r="Z250" s="160" t="str">
        <f t="shared" si="9"/>
        <v>#N/A</v>
      </c>
      <c r="AA250" s="160"/>
      <c r="AB250" s="160"/>
      <c r="AC250" s="160"/>
      <c r="AD250" s="160"/>
      <c r="AE250" s="160"/>
      <c r="AF250" s="160"/>
      <c r="AG250" s="160"/>
      <c r="AH250" s="160"/>
      <c r="AI250" s="160"/>
      <c r="AJ250" s="160"/>
      <c r="AK250" s="160"/>
      <c r="AL250" s="160"/>
      <c r="AM250" s="160"/>
      <c r="AN250" s="164"/>
      <c r="AO250" s="160"/>
      <c r="AP250" s="160"/>
      <c r="AQ250" s="160"/>
      <c r="AR250" s="160"/>
      <c r="AS250" s="160"/>
      <c r="AT250" s="160"/>
      <c r="AU250" s="160"/>
      <c r="AV250" s="160"/>
      <c r="AW250" s="160"/>
      <c r="AX250" s="160"/>
      <c r="AY250" s="160"/>
      <c r="AZ250" s="160"/>
      <c r="BA250" s="160"/>
      <c r="BB250" s="160"/>
      <c r="BC250" s="160"/>
      <c r="BD250" s="160"/>
      <c r="BE250" s="160"/>
      <c r="BF250" s="160"/>
      <c r="BG250" s="160"/>
      <c r="BH250" s="160"/>
      <c r="BI250" s="160"/>
      <c r="BJ250" s="160"/>
      <c r="BK250" s="160"/>
      <c r="BL250" s="160"/>
      <c r="BM250" s="160"/>
      <c r="BN250" s="160"/>
      <c r="BO250" s="160"/>
      <c r="BP250" s="160"/>
      <c r="BQ250" s="160"/>
      <c r="BR250" s="160"/>
      <c r="BS250" s="160"/>
      <c r="BT250" s="160"/>
      <c r="BU250" s="160"/>
      <c r="BV250" s="160"/>
      <c r="BW250" s="160"/>
      <c r="BX250" s="160"/>
      <c r="BY250" s="160"/>
      <c r="BZ250" s="160"/>
      <c r="CA250" s="160"/>
      <c r="CB250" s="160"/>
      <c r="CC250" s="160"/>
      <c r="CD250" s="160"/>
      <c r="CE250" s="160"/>
      <c r="CF250" s="160"/>
      <c r="CG250" s="160"/>
      <c r="CH250" s="160"/>
      <c r="CI250" s="160"/>
      <c r="CJ250" s="160"/>
      <c r="CK250" s="160"/>
      <c r="CL250" s="160"/>
    </row>
    <row r="251">
      <c r="A251" s="174" t="s">
        <v>284</v>
      </c>
      <c r="B251" s="11" t="s">
        <v>285</v>
      </c>
      <c r="C251" s="175" t="s">
        <v>74</v>
      </c>
      <c r="D251" s="176" t="str">
        <f>IFERROR(VLOOKUP(C251, PIC!A:B, 2, 0), "")</f>
        <v>Dung Hoang</v>
      </c>
      <c r="E251" s="11" t="s">
        <v>23</v>
      </c>
      <c r="F251" s="11"/>
      <c r="G251" s="11"/>
      <c r="H251" s="170">
        <f>IFERROR(
  MINIFS(ATTENDANCE_LOG!$F:$F,
         ATTENDANCE_LOG!$A:$A, C251,
         ATTENDANCE_LOG!$B:$B, E251),
"")</f>
        <v>46106.41667</v>
      </c>
      <c r="I251" s="170">
        <f t="shared" si="2"/>
        <v>45813.375</v>
      </c>
      <c r="J251" s="11" t="str">
        <f>IFERROR(VLOOKUP(F251, LEVEL_HELPER!$A:$B, 2, 0), "")</f>
        <v/>
      </c>
      <c r="K251" s="11" t="str">
        <f>IFERROR(VLOOKUP(G251, LEVEL_HELPER!$A:$B, 2, 0), "")</f>
        <v/>
      </c>
      <c r="L251" s="171" t="s">
        <v>400</v>
      </c>
      <c r="M251" s="171" t="s">
        <v>151</v>
      </c>
      <c r="N251" s="11">
        <f t="array" ref="N251">IFERROR(
  INDEX($J$2:$J$531,
    MATCH(A251&amp;TEXT(I251,"yyyy-mm-dd"),
          $A$2:$A$531&amp;TEXT($H$2:$H$531,"yyyy-mm-dd"),
          0)),
"")</f>
        <v>1</v>
      </c>
      <c r="O251" s="160">
        <f t="shared" si="3"/>
        <v>3</v>
      </c>
      <c r="P251" s="160">
        <f t="shared" ref="P251:Q251" si="261">IF(N251="",0,IF(N251&lt;=2,1,IF(N251&lt;=4,2,IF(N251&lt;=5.5,3,4))))</f>
        <v>1</v>
      </c>
      <c r="Q251" s="160">
        <f t="shared" si="261"/>
        <v>2</v>
      </c>
      <c r="R251" s="160" t="str">
        <f t="shared" si="5"/>
        <v>Lv1 → Lv2</v>
      </c>
      <c r="S251" s="160">
        <f t="shared" si="6"/>
        <v>0</v>
      </c>
      <c r="T251" s="177" t="s">
        <v>999</v>
      </c>
      <c r="U251" s="160">
        <f>COUNTIFS(sheet2!$A:$A,A251,sheet2!$E:$E,E251)</f>
        <v>1</v>
      </c>
      <c r="V251" s="160"/>
      <c r="W251" s="160"/>
      <c r="X251" s="160" t="str">
        <f t="shared" si="7"/>
        <v>#N/A</v>
      </c>
      <c r="Y251" s="160" t="str">
        <f t="shared" si="8"/>
        <v>#N/A</v>
      </c>
      <c r="Z251" s="160" t="str">
        <f t="shared" si="9"/>
        <v>#N/A</v>
      </c>
      <c r="AA251" s="160"/>
      <c r="AB251" s="160"/>
      <c r="AC251" s="160"/>
      <c r="AD251" s="160"/>
      <c r="AE251" s="160"/>
      <c r="AF251" s="160"/>
      <c r="AG251" s="160"/>
      <c r="AH251" s="160"/>
      <c r="AI251" s="160"/>
      <c r="AJ251" s="160"/>
      <c r="AK251" s="160"/>
      <c r="AL251" s="160"/>
      <c r="AM251" s="160"/>
      <c r="AN251" s="164"/>
      <c r="AO251" s="160"/>
      <c r="AP251" s="160"/>
      <c r="AQ251" s="160"/>
      <c r="AR251" s="160"/>
      <c r="AS251" s="160"/>
      <c r="AT251" s="160"/>
      <c r="AU251" s="160"/>
      <c r="AV251" s="160"/>
      <c r="AW251" s="160"/>
      <c r="AX251" s="160"/>
      <c r="AY251" s="160"/>
      <c r="AZ251" s="160"/>
      <c r="BA251" s="160"/>
      <c r="BB251" s="160"/>
      <c r="BC251" s="160"/>
      <c r="BD251" s="160"/>
      <c r="BE251" s="160"/>
      <c r="BF251" s="160"/>
      <c r="BG251" s="160"/>
      <c r="BH251" s="160"/>
      <c r="BI251" s="160"/>
      <c r="BJ251" s="160"/>
      <c r="BK251" s="160"/>
      <c r="BL251" s="160"/>
      <c r="BM251" s="160"/>
      <c r="BN251" s="160"/>
      <c r="BO251" s="160"/>
      <c r="BP251" s="160"/>
      <c r="BQ251" s="160"/>
      <c r="BR251" s="160"/>
      <c r="BS251" s="160"/>
      <c r="BT251" s="160"/>
      <c r="BU251" s="160"/>
      <c r="BV251" s="160"/>
      <c r="BW251" s="160"/>
      <c r="BX251" s="160"/>
      <c r="BY251" s="160"/>
      <c r="BZ251" s="160"/>
      <c r="CA251" s="160"/>
      <c r="CB251" s="160"/>
      <c r="CC251" s="160"/>
      <c r="CD251" s="160"/>
      <c r="CE251" s="160"/>
      <c r="CF251" s="160"/>
      <c r="CG251" s="160"/>
      <c r="CH251" s="160"/>
      <c r="CI251" s="160"/>
      <c r="CJ251" s="160"/>
      <c r="CK251" s="160"/>
      <c r="CL251" s="160"/>
    </row>
    <row r="252">
      <c r="A252" s="174" t="s">
        <v>286</v>
      </c>
      <c r="B252" s="11" t="s">
        <v>287</v>
      </c>
      <c r="C252" s="175" t="s">
        <v>74</v>
      </c>
      <c r="D252" s="176" t="str">
        <f>IFERROR(VLOOKUP(C252, PIC!A:B, 2, 0), "")</f>
        <v>Dung Hoang</v>
      </c>
      <c r="E252" s="11" t="s">
        <v>23</v>
      </c>
      <c r="F252" s="11"/>
      <c r="G252" s="11"/>
      <c r="H252" s="170">
        <f>IFERROR(
  MINIFS(ATTENDANCE_LOG!$F:$F,
         ATTENDANCE_LOG!$A:$A, C252,
         ATTENDANCE_LOG!$B:$B, E252),
"")</f>
        <v>46106.41667</v>
      </c>
      <c r="I252" s="170">
        <f t="shared" si="2"/>
        <v>45813.375</v>
      </c>
      <c r="J252" s="11" t="str">
        <f>IFERROR(VLOOKUP(F252, LEVEL_HELPER!$A:$B, 2, 0), "")</f>
        <v/>
      </c>
      <c r="K252" s="11" t="str">
        <f>IFERROR(VLOOKUP(G252, LEVEL_HELPER!$A:$B, 2, 0), "")</f>
        <v/>
      </c>
      <c r="L252" s="171" t="s">
        <v>400</v>
      </c>
      <c r="M252" s="183" t="s">
        <v>150</v>
      </c>
      <c r="N252" s="11" t="str">
        <f t="array" ref="N252">IFERROR(
  INDEX($J$2:$J$531,
    MATCH(A252&amp;TEXT(I252,"yyyy-mm-dd"),
          $A$2:$A$531&amp;TEXT($H$2:$H$531,"yyyy-mm-dd"),
          0)),
"")</f>
        <v/>
      </c>
      <c r="O252" s="160">
        <f t="shared" si="3"/>
        <v>0</v>
      </c>
      <c r="P252" s="160">
        <f t="shared" ref="P252:Q252" si="262">IF(N252="",0,IF(N252&lt;=2,1,IF(N252&lt;=4,2,IF(N252&lt;=5.5,3,4))))</f>
        <v>0</v>
      </c>
      <c r="Q252" s="160">
        <f t="shared" si="262"/>
        <v>1</v>
      </c>
      <c r="R252" s="160" t="str">
        <f t="shared" si="5"/>
        <v>Not tested yet</v>
      </c>
      <c r="S252" s="160">
        <f t="shared" si="6"/>
        <v>0</v>
      </c>
      <c r="T252" s="185"/>
      <c r="U252" s="160">
        <f>COUNTIFS(sheet2!$A:$A,A252,sheet2!$E:$E,E252)</f>
        <v>1</v>
      </c>
      <c r="V252" s="160"/>
      <c r="W252" s="160"/>
      <c r="X252" s="160" t="str">
        <f t="shared" si="7"/>
        <v>#N/A</v>
      </c>
      <c r="Y252" s="160" t="str">
        <f t="shared" si="8"/>
        <v>#N/A</v>
      </c>
      <c r="Z252" s="160" t="str">
        <f t="shared" si="9"/>
        <v>#N/A</v>
      </c>
      <c r="AA252" s="160"/>
      <c r="AB252" s="160"/>
      <c r="AC252" s="160"/>
      <c r="AD252" s="160"/>
      <c r="AE252" s="160"/>
      <c r="AF252" s="160"/>
      <c r="AG252" s="160"/>
      <c r="AH252" s="160"/>
      <c r="AI252" s="160"/>
      <c r="AJ252" s="160"/>
      <c r="AK252" s="160"/>
      <c r="AL252" s="160"/>
      <c r="AM252" s="160"/>
      <c r="AN252" s="164"/>
      <c r="AO252" s="160"/>
      <c r="AP252" s="160"/>
      <c r="AQ252" s="160"/>
      <c r="AR252" s="160"/>
      <c r="AS252" s="160"/>
      <c r="AT252" s="160"/>
      <c r="AU252" s="160"/>
      <c r="AV252" s="160"/>
      <c r="AW252" s="160"/>
      <c r="AX252" s="160"/>
      <c r="AY252" s="160"/>
      <c r="AZ252" s="160"/>
      <c r="BA252" s="160"/>
      <c r="BB252" s="160"/>
      <c r="BC252" s="160"/>
      <c r="BD252" s="160"/>
      <c r="BE252" s="160"/>
      <c r="BF252" s="160"/>
      <c r="BG252" s="160"/>
      <c r="BH252" s="160"/>
      <c r="BI252" s="160"/>
      <c r="BJ252" s="160"/>
      <c r="BK252" s="160"/>
      <c r="BL252" s="160"/>
      <c r="BM252" s="160"/>
      <c r="BN252" s="160"/>
      <c r="BO252" s="160"/>
      <c r="BP252" s="160"/>
      <c r="BQ252" s="160"/>
      <c r="BR252" s="160"/>
      <c r="BS252" s="160"/>
      <c r="BT252" s="160"/>
      <c r="BU252" s="160"/>
      <c r="BV252" s="160"/>
      <c r="BW252" s="160"/>
      <c r="BX252" s="160"/>
      <c r="BY252" s="160"/>
      <c r="BZ252" s="160"/>
      <c r="CA252" s="160"/>
      <c r="CB252" s="160"/>
      <c r="CC252" s="160"/>
      <c r="CD252" s="160"/>
      <c r="CE252" s="160"/>
      <c r="CF252" s="160"/>
      <c r="CG252" s="160"/>
      <c r="CH252" s="160"/>
      <c r="CI252" s="160"/>
      <c r="CJ252" s="160"/>
      <c r="CK252" s="160"/>
      <c r="CL252" s="160"/>
    </row>
    <row r="253">
      <c r="A253" s="174" t="s">
        <v>216</v>
      </c>
      <c r="B253" s="167" t="s">
        <v>217</v>
      </c>
      <c r="C253" s="168" t="s">
        <v>75</v>
      </c>
      <c r="D253" s="169" t="str">
        <f>IFERROR(VLOOKUP(C253, PIC!A:B, 2, 0), "")</f>
        <v>Anh To</v>
      </c>
      <c r="E253" s="167" t="s">
        <v>22</v>
      </c>
      <c r="F253" s="16" t="s">
        <v>849</v>
      </c>
      <c r="G253" s="16" t="s">
        <v>853</v>
      </c>
      <c r="H253" s="170">
        <f>IFERROR(
  MINIFS(ATTENDANCE_LOG!$F:$F,
         ATTENDANCE_LOG!$A:$A, C253,
         ATTENDANCE_LOG!$B:$B, E253),
"")</f>
        <v>45761.41667</v>
      </c>
      <c r="I253" s="170">
        <f t="shared" si="2"/>
        <v>45761.41667</v>
      </c>
      <c r="J253" s="11">
        <f>IFERROR(VLOOKUP(F253, LEVEL_HELPER!$A:$B, 2, 0), "")</f>
        <v>1</v>
      </c>
      <c r="K253" s="11">
        <f>IFERROR(VLOOKUP(G253, LEVEL_HELPER!$A:$B, 2, 0), "")</f>
        <v>1.5</v>
      </c>
      <c r="L253" s="171" t="s">
        <v>400</v>
      </c>
      <c r="M253" s="171" t="s">
        <v>151</v>
      </c>
      <c r="N253" s="11">
        <f t="array" ref="N253">IFERROR(
  INDEX($J$2:$J$531,
    MATCH(A253&amp;TEXT(I253,"yyyy-mm-dd"),
          $A$2:$A$531&amp;TEXT($H$2:$H$531,"yyyy-mm-dd"),
          0)),
"")</f>
        <v>1</v>
      </c>
      <c r="O253" s="160">
        <f t="shared" si="3"/>
        <v>3.5</v>
      </c>
      <c r="P253" s="160">
        <f t="shared" ref="P253:Q253" si="263">IF(N253="",0,IF(N253&lt;=2,1,IF(N253&lt;=4,2,IF(N253&lt;=5.5,3,4))))</f>
        <v>1</v>
      </c>
      <c r="Q253" s="160">
        <f t="shared" si="263"/>
        <v>2</v>
      </c>
      <c r="R253" s="160" t="str">
        <f t="shared" si="5"/>
        <v>Lv1 → Lv2</v>
      </c>
      <c r="S253" s="160">
        <f t="shared" si="6"/>
        <v>1</v>
      </c>
      <c r="T253" s="172" t="s">
        <v>1000</v>
      </c>
      <c r="U253" s="160">
        <f>COUNTIFS(sheet2!$A:$A,A253,sheet2!$E:$E,E253)</f>
        <v>1</v>
      </c>
      <c r="V253" s="160"/>
      <c r="W253" s="160"/>
      <c r="X253" s="160" t="str">
        <f t="shared" si="7"/>
        <v>#N/A</v>
      </c>
      <c r="Y253" s="160" t="str">
        <f t="shared" si="8"/>
        <v>#N/A</v>
      </c>
      <c r="Z253" s="160" t="str">
        <f t="shared" si="9"/>
        <v>#N/A</v>
      </c>
      <c r="AA253" s="160"/>
      <c r="AB253" s="160"/>
      <c r="AC253" s="160"/>
      <c r="AD253" s="160"/>
      <c r="AE253" s="160"/>
      <c r="AF253" s="160"/>
      <c r="AG253" s="160"/>
      <c r="AH253" s="160"/>
      <c r="AI253" s="160"/>
      <c r="AJ253" s="160"/>
      <c r="AK253" s="160"/>
      <c r="AL253" s="160"/>
      <c r="AM253" s="160"/>
      <c r="AN253" s="164"/>
      <c r="AO253" s="160"/>
      <c r="AP253" s="160"/>
      <c r="AQ253" s="160"/>
      <c r="AR253" s="160"/>
      <c r="AS253" s="160"/>
      <c r="AT253" s="160"/>
      <c r="AU253" s="160"/>
      <c r="AV253" s="160"/>
      <c r="AW253" s="160"/>
      <c r="AX253" s="160"/>
      <c r="AY253" s="160"/>
      <c r="AZ253" s="160"/>
      <c r="BA253" s="160"/>
      <c r="BB253" s="160"/>
      <c r="BC253" s="160"/>
      <c r="BD253" s="160"/>
      <c r="BE253" s="160"/>
      <c r="BF253" s="160"/>
      <c r="BG253" s="160"/>
      <c r="BH253" s="160"/>
      <c r="BI253" s="160"/>
      <c r="BJ253" s="160"/>
      <c r="BK253" s="160"/>
      <c r="BL253" s="160"/>
      <c r="BM253" s="160"/>
      <c r="BN253" s="160"/>
      <c r="BO253" s="160"/>
      <c r="BP253" s="160"/>
      <c r="BQ253" s="160"/>
      <c r="BR253" s="160"/>
      <c r="BS253" s="160"/>
      <c r="BT253" s="160"/>
      <c r="BU253" s="160"/>
      <c r="BV253" s="160"/>
      <c r="BW253" s="160"/>
      <c r="BX253" s="160"/>
      <c r="BY253" s="160"/>
      <c r="BZ253" s="160"/>
      <c r="CA253" s="160"/>
      <c r="CB253" s="160"/>
      <c r="CC253" s="160"/>
      <c r="CD253" s="160"/>
      <c r="CE253" s="160"/>
      <c r="CF253" s="160"/>
      <c r="CG253" s="160"/>
      <c r="CH253" s="160"/>
      <c r="CI253" s="160"/>
      <c r="CJ253" s="160"/>
      <c r="CK253" s="160"/>
      <c r="CL253" s="160"/>
    </row>
    <row r="254">
      <c r="A254" s="174" t="s">
        <v>210</v>
      </c>
      <c r="B254" s="11" t="s">
        <v>211</v>
      </c>
      <c r="C254" s="175" t="s">
        <v>75</v>
      </c>
      <c r="D254" s="176" t="str">
        <f>IFERROR(VLOOKUP(C254, PIC!A:B, 2, 0), "")</f>
        <v>Anh To</v>
      </c>
      <c r="E254" s="11" t="s">
        <v>22</v>
      </c>
      <c r="F254" s="16" t="s">
        <v>849</v>
      </c>
      <c r="G254" s="16" t="s">
        <v>846</v>
      </c>
      <c r="H254" s="170">
        <f>IFERROR(
  MINIFS(ATTENDANCE_LOG!$F:$F,
         ATTENDANCE_LOG!$A:$A, C254,
         ATTENDANCE_LOG!$B:$B, E254),
"")</f>
        <v>45761.41667</v>
      </c>
      <c r="I254" s="170">
        <f t="shared" si="2"/>
        <v>45761.41667</v>
      </c>
      <c r="J254" s="11">
        <f>IFERROR(VLOOKUP(F254, LEVEL_HELPER!$A:$B, 2, 0), "")</f>
        <v>1</v>
      </c>
      <c r="K254" s="11">
        <f>IFERROR(VLOOKUP(G254, LEVEL_HELPER!$A:$B, 2, 0), "")</f>
        <v>3</v>
      </c>
      <c r="L254" s="171" t="s">
        <v>400</v>
      </c>
      <c r="M254" s="171" t="s">
        <v>151</v>
      </c>
      <c r="N254" s="11">
        <f t="array" ref="N254">IFERROR(
  INDEX($J$2:$J$531,
    MATCH(A254&amp;TEXT(I254,"yyyy-mm-dd"),
          $A$2:$A$531&amp;TEXT($H$2:$H$531,"yyyy-mm-dd"),
          0)),
"")</f>
        <v>1</v>
      </c>
      <c r="O254" s="160">
        <f t="shared" si="3"/>
        <v>3.5</v>
      </c>
      <c r="P254" s="160">
        <f t="shared" ref="P254:Q254" si="264">IF(N254="",0,IF(N254&lt;=2,1,IF(N254&lt;=4,2,IF(N254&lt;=5.5,3,4))))</f>
        <v>1</v>
      </c>
      <c r="Q254" s="160">
        <f t="shared" si="264"/>
        <v>2</v>
      </c>
      <c r="R254" s="160" t="str">
        <f t="shared" si="5"/>
        <v>Lv1 → Lv2</v>
      </c>
      <c r="S254" s="160">
        <f t="shared" si="6"/>
        <v>1</v>
      </c>
      <c r="T254" s="177" t="s">
        <v>1001</v>
      </c>
      <c r="U254" s="160">
        <f>COUNTIFS(sheet2!$A:$A,A254,sheet2!$E:$E,E254)</f>
        <v>1</v>
      </c>
      <c r="V254" s="160"/>
      <c r="W254" s="160"/>
      <c r="X254" s="160" t="str">
        <f t="shared" si="7"/>
        <v>#N/A</v>
      </c>
      <c r="Y254" s="160" t="str">
        <f t="shared" si="8"/>
        <v>#N/A</v>
      </c>
      <c r="Z254" s="160" t="str">
        <f t="shared" si="9"/>
        <v>#N/A</v>
      </c>
      <c r="AA254" s="160"/>
      <c r="AB254" s="160"/>
      <c r="AC254" s="160"/>
      <c r="AD254" s="160"/>
      <c r="AE254" s="160"/>
      <c r="AF254" s="160"/>
      <c r="AG254" s="160"/>
      <c r="AH254" s="160"/>
      <c r="AI254" s="160"/>
      <c r="AJ254" s="160"/>
      <c r="AK254" s="160"/>
      <c r="AL254" s="160"/>
      <c r="AM254" s="160"/>
      <c r="AN254" s="164"/>
      <c r="AO254" s="160"/>
      <c r="AP254" s="160"/>
      <c r="AQ254" s="160"/>
      <c r="AR254" s="160"/>
      <c r="AS254" s="160"/>
      <c r="AT254" s="160"/>
      <c r="AU254" s="160"/>
      <c r="AV254" s="160"/>
      <c r="AW254" s="160"/>
      <c r="AX254" s="160"/>
      <c r="AY254" s="160"/>
      <c r="AZ254" s="160"/>
      <c r="BA254" s="160"/>
      <c r="BB254" s="160"/>
      <c r="BC254" s="160"/>
      <c r="BD254" s="160"/>
      <c r="BE254" s="160"/>
      <c r="BF254" s="160"/>
      <c r="BG254" s="160"/>
      <c r="BH254" s="160"/>
      <c r="BI254" s="160"/>
      <c r="BJ254" s="160"/>
      <c r="BK254" s="160"/>
      <c r="BL254" s="160"/>
      <c r="BM254" s="160"/>
      <c r="BN254" s="160"/>
      <c r="BO254" s="160"/>
      <c r="BP254" s="160"/>
      <c r="BQ254" s="160"/>
      <c r="BR254" s="160"/>
      <c r="BS254" s="160"/>
      <c r="BT254" s="160"/>
      <c r="BU254" s="160"/>
      <c r="BV254" s="160"/>
      <c r="BW254" s="160"/>
      <c r="BX254" s="160"/>
      <c r="BY254" s="160"/>
      <c r="BZ254" s="160"/>
      <c r="CA254" s="160"/>
      <c r="CB254" s="160"/>
      <c r="CC254" s="160"/>
      <c r="CD254" s="160"/>
      <c r="CE254" s="160"/>
      <c r="CF254" s="160"/>
      <c r="CG254" s="160"/>
      <c r="CH254" s="160"/>
      <c r="CI254" s="160"/>
      <c r="CJ254" s="160"/>
      <c r="CK254" s="160"/>
      <c r="CL254" s="160"/>
    </row>
    <row r="255">
      <c r="A255" s="174" t="s">
        <v>212</v>
      </c>
      <c r="B255" s="11" t="s">
        <v>213</v>
      </c>
      <c r="C255" s="175" t="s">
        <v>75</v>
      </c>
      <c r="D255" s="176" t="str">
        <f>IFERROR(VLOOKUP(C255, PIC!A:B, 2, 0), "")</f>
        <v>Anh To</v>
      </c>
      <c r="E255" s="11" t="s">
        <v>22</v>
      </c>
      <c r="F255" s="16" t="s">
        <v>849</v>
      </c>
      <c r="G255" s="16" t="s">
        <v>846</v>
      </c>
      <c r="H255" s="170">
        <f>IFERROR(
  MINIFS(ATTENDANCE_LOG!$F:$F,
         ATTENDANCE_LOG!$A:$A, C255,
         ATTENDANCE_LOG!$B:$B, E255),
"")</f>
        <v>45761.41667</v>
      </c>
      <c r="I255" s="170">
        <f t="shared" si="2"/>
        <v>45761.41667</v>
      </c>
      <c r="J255" s="11">
        <f>IFERROR(VLOOKUP(F255, LEVEL_HELPER!$A:$B, 2, 0), "")</f>
        <v>1</v>
      </c>
      <c r="K255" s="11">
        <f>IFERROR(VLOOKUP(G255, LEVEL_HELPER!$A:$B, 2, 0), "")</f>
        <v>3</v>
      </c>
      <c r="L255" s="171" t="s">
        <v>400</v>
      </c>
      <c r="M255" s="171" t="s">
        <v>151</v>
      </c>
      <c r="N255" s="11">
        <f t="array" ref="N255">IFERROR(
  INDEX($J$2:$J$531,
    MATCH(A255&amp;TEXT(I255,"yyyy-mm-dd"),
          $A$2:$A$531&amp;TEXT($H$2:$H$531,"yyyy-mm-dd"),
          0)),
"")</f>
        <v>1</v>
      </c>
      <c r="O255" s="160">
        <f t="shared" si="3"/>
        <v>3</v>
      </c>
      <c r="P255" s="160">
        <f t="shared" ref="P255:Q255" si="265">IF(N255="",0,IF(N255&lt;=2,1,IF(N255&lt;=4,2,IF(N255&lt;=5.5,3,4))))</f>
        <v>1</v>
      </c>
      <c r="Q255" s="160">
        <f t="shared" si="265"/>
        <v>2</v>
      </c>
      <c r="R255" s="160" t="str">
        <f t="shared" si="5"/>
        <v>Lv1 → Lv2</v>
      </c>
      <c r="S255" s="160">
        <f t="shared" si="6"/>
        <v>1</v>
      </c>
      <c r="T255" s="177" t="s">
        <v>1002</v>
      </c>
      <c r="U255" s="160">
        <f>COUNTIFS(sheet2!$A:$A,A255,sheet2!$E:$E,E255)</f>
        <v>1</v>
      </c>
      <c r="V255" s="160"/>
      <c r="W255" s="160"/>
      <c r="X255" s="160" t="str">
        <f t="shared" si="7"/>
        <v>#N/A</v>
      </c>
      <c r="Y255" s="160" t="str">
        <f t="shared" si="8"/>
        <v>#N/A</v>
      </c>
      <c r="Z255" s="160" t="str">
        <f t="shared" si="9"/>
        <v>#N/A</v>
      </c>
      <c r="AA255" s="160"/>
      <c r="AB255" s="160"/>
      <c r="AC255" s="160"/>
      <c r="AD255" s="160"/>
      <c r="AE255" s="160"/>
      <c r="AF255" s="160"/>
      <c r="AG255" s="160"/>
      <c r="AH255" s="160"/>
      <c r="AI255" s="160"/>
      <c r="AJ255" s="160"/>
      <c r="AK255" s="160"/>
      <c r="AL255" s="160"/>
      <c r="AM255" s="160"/>
      <c r="AN255" s="164"/>
      <c r="AO255" s="160"/>
      <c r="AP255" s="160"/>
      <c r="AQ255" s="160"/>
      <c r="AR255" s="160"/>
      <c r="AS255" s="160"/>
      <c r="AT255" s="160"/>
      <c r="AU255" s="160"/>
      <c r="AV255" s="160"/>
      <c r="AW255" s="160"/>
      <c r="AX255" s="160"/>
      <c r="AY255" s="160"/>
      <c r="AZ255" s="160"/>
      <c r="BA255" s="160"/>
      <c r="BB255" s="160"/>
      <c r="BC255" s="160"/>
      <c r="BD255" s="160"/>
      <c r="BE255" s="160"/>
      <c r="BF255" s="160"/>
      <c r="BG255" s="160"/>
      <c r="BH255" s="160"/>
      <c r="BI255" s="160"/>
      <c r="BJ255" s="160"/>
      <c r="BK255" s="160"/>
      <c r="BL255" s="160"/>
      <c r="BM255" s="160"/>
      <c r="BN255" s="160"/>
      <c r="BO255" s="160"/>
      <c r="BP255" s="160"/>
      <c r="BQ255" s="160"/>
      <c r="BR255" s="160"/>
      <c r="BS255" s="160"/>
      <c r="BT255" s="160"/>
      <c r="BU255" s="160"/>
      <c r="BV255" s="160"/>
      <c r="BW255" s="160"/>
      <c r="BX255" s="160"/>
      <c r="BY255" s="160"/>
      <c r="BZ255" s="160"/>
      <c r="CA255" s="160"/>
      <c r="CB255" s="160"/>
      <c r="CC255" s="160"/>
      <c r="CD255" s="160"/>
      <c r="CE255" s="160"/>
      <c r="CF255" s="160"/>
      <c r="CG255" s="160"/>
      <c r="CH255" s="160"/>
      <c r="CI255" s="160"/>
      <c r="CJ255" s="160"/>
      <c r="CK255" s="160"/>
      <c r="CL255" s="160"/>
    </row>
    <row r="256">
      <c r="A256" s="174" t="s">
        <v>206</v>
      </c>
      <c r="B256" s="11" t="s">
        <v>207</v>
      </c>
      <c r="C256" s="175" t="s">
        <v>75</v>
      </c>
      <c r="D256" s="176" t="str">
        <f>IFERROR(VLOOKUP(C256, PIC!A:B, 2, 0), "")</f>
        <v>Anh To</v>
      </c>
      <c r="E256" s="11" t="s">
        <v>22</v>
      </c>
      <c r="F256" s="16" t="s">
        <v>849</v>
      </c>
      <c r="G256" s="16" t="s">
        <v>861</v>
      </c>
      <c r="H256" s="170">
        <f>IFERROR(
  MINIFS(ATTENDANCE_LOG!$F:$F,
         ATTENDANCE_LOG!$A:$A, C256,
         ATTENDANCE_LOG!$B:$B, E256),
"")</f>
        <v>45761.41667</v>
      </c>
      <c r="I256" s="170">
        <f t="shared" si="2"/>
        <v>45761.41667</v>
      </c>
      <c r="J256" s="11">
        <f>IFERROR(VLOOKUP(F256, LEVEL_HELPER!$A:$B, 2, 0), "")</f>
        <v>1</v>
      </c>
      <c r="K256" s="11">
        <f>IFERROR(VLOOKUP(G256, LEVEL_HELPER!$A:$B, 2, 0), "")</f>
        <v>3.5</v>
      </c>
      <c r="L256" s="171" t="s">
        <v>847</v>
      </c>
      <c r="M256" s="171" t="s">
        <v>151</v>
      </c>
      <c r="N256" s="11">
        <f t="array" ref="N256">IFERROR(
  INDEX($J$2:$J$531,
    MATCH(A256&amp;TEXT(I256,"yyyy-mm-dd"),
          $A$2:$A$531&amp;TEXT($H$2:$H$531,"yyyy-mm-dd"),
          0)),
"")</f>
        <v>1</v>
      </c>
      <c r="O256" s="160">
        <f t="shared" si="3"/>
        <v>5</v>
      </c>
      <c r="P256" s="160">
        <f t="shared" ref="P256:Q256" si="266">IF(N256="",0,IF(N256&lt;=2,1,IF(N256&lt;=4,2,IF(N256&lt;=5.5,3,4))))</f>
        <v>1</v>
      </c>
      <c r="Q256" s="160">
        <f t="shared" si="266"/>
        <v>3</v>
      </c>
      <c r="R256" s="160" t="str">
        <f t="shared" si="5"/>
        <v>Lv1 → Lv3 (multi)</v>
      </c>
      <c r="S256" s="160">
        <f t="shared" si="6"/>
        <v>1</v>
      </c>
      <c r="T256" s="177" t="s">
        <v>1003</v>
      </c>
      <c r="U256" s="160">
        <f>COUNTIFS(sheet2!$A:$A,A256,sheet2!$E:$E,E256)</f>
        <v>1</v>
      </c>
      <c r="V256" s="160"/>
      <c r="W256" s="160"/>
      <c r="X256" s="160" t="str">
        <f t="shared" si="7"/>
        <v>#N/A</v>
      </c>
      <c r="Y256" s="160" t="str">
        <f t="shared" si="8"/>
        <v>#N/A</v>
      </c>
      <c r="Z256" s="160" t="str">
        <f t="shared" si="9"/>
        <v>#N/A</v>
      </c>
      <c r="AA256" s="160"/>
      <c r="AB256" s="160"/>
      <c r="AC256" s="160"/>
      <c r="AD256" s="160"/>
      <c r="AE256" s="160"/>
      <c r="AF256" s="160"/>
      <c r="AG256" s="160"/>
      <c r="AH256" s="160"/>
      <c r="AI256" s="160"/>
      <c r="AJ256" s="160"/>
      <c r="AK256" s="160"/>
      <c r="AL256" s="160"/>
      <c r="AM256" s="160"/>
      <c r="AN256" s="164"/>
      <c r="AO256" s="160"/>
      <c r="AP256" s="160"/>
      <c r="AQ256" s="160"/>
      <c r="AR256" s="160"/>
      <c r="AS256" s="160"/>
      <c r="AT256" s="160"/>
      <c r="AU256" s="160"/>
      <c r="AV256" s="160"/>
      <c r="AW256" s="160"/>
      <c r="AX256" s="160"/>
      <c r="AY256" s="160"/>
      <c r="AZ256" s="160"/>
      <c r="BA256" s="160"/>
      <c r="BB256" s="160"/>
      <c r="BC256" s="160"/>
      <c r="BD256" s="160"/>
      <c r="BE256" s="160"/>
      <c r="BF256" s="160"/>
      <c r="BG256" s="160"/>
      <c r="BH256" s="160"/>
      <c r="BI256" s="160"/>
      <c r="BJ256" s="160"/>
      <c r="BK256" s="160"/>
      <c r="BL256" s="160"/>
      <c r="BM256" s="160"/>
      <c r="BN256" s="160"/>
      <c r="BO256" s="160"/>
      <c r="BP256" s="160"/>
      <c r="BQ256" s="160"/>
      <c r="BR256" s="160"/>
      <c r="BS256" s="160"/>
      <c r="BT256" s="160"/>
      <c r="BU256" s="160"/>
      <c r="BV256" s="160"/>
      <c r="BW256" s="160"/>
      <c r="BX256" s="160"/>
      <c r="BY256" s="160"/>
      <c r="BZ256" s="160"/>
      <c r="CA256" s="160"/>
      <c r="CB256" s="160"/>
      <c r="CC256" s="160"/>
      <c r="CD256" s="160"/>
      <c r="CE256" s="160"/>
      <c r="CF256" s="160"/>
      <c r="CG256" s="160"/>
      <c r="CH256" s="160"/>
      <c r="CI256" s="160"/>
      <c r="CJ256" s="160"/>
      <c r="CK256" s="160"/>
      <c r="CL256" s="160"/>
    </row>
    <row r="257">
      <c r="A257" s="174" t="s">
        <v>214</v>
      </c>
      <c r="B257" s="11" t="s">
        <v>215</v>
      </c>
      <c r="C257" s="175" t="s">
        <v>75</v>
      </c>
      <c r="D257" s="176" t="str">
        <f>IFERROR(VLOOKUP(C257, PIC!A:B, 2, 0), "")</f>
        <v>Anh To</v>
      </c>
      <c r="E257" s="11" t="s">
        <v>22</v>
      </c>
      <c r="F257" s="16" t="s">
        <v>849</v>
      </c>
      <c r="G257" s="16" t="s">
        <v>853</v>
      </c>
      <c r="H257" s="170">
        <f>IFERROR(
  MINIFS(ATTENDANCE_LOG!$F:$F,
         ATTENDANCE_LOG!$A:$A, C257,
         ATTENDANCE_LOG!$B:$B, E257),
"")</f>
        <v>45761.41667</v>
      </c>
      <c r="I257" s="170">
        <f t="shared" si="2"/>
        <v>45761.41667</v>
      </c>
      <c r="J257" s="11">
        <f>IFERROR(VLOOKUP(F257, LEVEL_HELPER!$A:$B, 2, 0), "")</f>
        <v>1</v>
      </c>
      <c r="K257" s="11">
        <f>IFERROR(VLOOKUP(G257, LEVEL_HELPER!$A:$B, 2, 0), "")</f>
        <v>1.5</v>
      </c>
      <c r="L257" s="171" t="s">
        <v>847</v>
      </c>
      <c r="M257" s="171" t="s">
        <v>151</v>
      </c>
      <c r="N257" s="11">
        <f t="array" ref="N257">IFERROR(
  INDEX($J$2:$J$531,
    MATCH(A257&amp;TEXT(I257,"yyyy-mm-dd"),
          $A$2:$A$531&amp;TEXT($H$2:$H$531,"yyyy-mm-dd"),
          0)),
"")</f>
        <v>1</v>
      </c>
      <c r="O257" s="160">
        <f t="shared" si="3"/>
        <v>3</v>
      </c>
      <c r="P257" s="160">
        <f t="shared" ref="P257:Q257" si="267">IF(N257="",0,IF(N257&lt;=2,1,IF(N257&lt;=4,2,IF(N257&lt;=5.5,3,4))))</f>
        <v>1</v>
      </c>
      <c r="Q257" s="160">
        <f t="shared" si="267"/>
        <v>2</v>
      </c>
      <c r="R257" s="160" t="str">
        <f t="shared" si="5"/>
        <v>Lv1 → Lv2</v>
      </c>
      <c r="S257" s="160">
        <f t="shared" si="6"/>
        <v>1</v>
      </c>
      <c r="T257" s="177" t="s">
        <v>1004</v>
      </c>
      <c r="U257" s="160">
        <f>COUNTIFS(sheet2!$A:$A,A257,sheet2!$E:$E,E257)</f>
        <v>1</v>
      </c>
      <c r="V257" s="160"/>
      <c r="W257" s="160"/>
      <c r="X257" s="160" t="str">
        <f t="shared" si="7"/>
        <v>#N/A</v>
      </c>
      <c r="Y257" s="160" t="str">
        <f t="shared" si="8"/>
        <v>#N/A</v>
      </c>
      <c r="Z257" s="160" t="str">
        <f t="shared" si="9"/>
        <v>#N/A</v>
      </c>
      <c r="AA257" s="160"/>
      <c r="AB257" s="160"/>
      <c r="AC257" s="160"/>
      <c r="AD257" s="160"/>
      <c r="AE257" s="160"/>
      <c r="AF257" s="160"/>
      <c r="AG257" s="160"/>
      <c r="AH257" s="160"/>
      <c r="AI257" s="160"/>
      <c r="AJ257" s="160"/>
      <c r="AK257" s="160"/>
      <c r="AL257" s="160"/>
      <c r="AM257" s="160"/>
      <c r="AN257" s="164"/>
      <c r="AO257" s="160"/>
      <c r="AP257" s="160"/>
      <c r="AQ257" s="160"/>
      <c r="AR257" s="160"/>
      <c r="AS257" s="160"/>
      <c r="AT257" s="160"/>
      <c r="AU257" s="160"/>
      <c r="AV257" s="160"/>
      <c r="AW257" s="160"/>
      <c r="AX257" s="160"/>
      <c r="AY257" s="160"/>
      <c r="AZ257" s="160"/>
      <c r="BA257" s="160"/>
      <c r="BB257" s="160"/>
      <c r="BC257" s="160"/>
      <c r="BD257" s="160"/>
      <c r="BE257" s="160"/>
      <c r="BF257" s="160"/>
      <c r="BG257" s="160"/>
      <c r="BH257" s="160"/>
      <c r="BI257" s="160"/>
      <c r="BJ257" s="160"/>
      <c r="BK257" s="160"/>
      <c r="BL257" s="160"/>
      <c r="BM257" s="160"/>
      <c r="BN257" s="160"/>
      <c r="BO257" s="160"/>
      <c r="BP257" s="160"/>
      <c r="BQ257" s="160"/>
      <c r="BR257" s="160"/>
      <c r="BS257" s="160"/>
      <c r="BT257" s="160"/>
      <c r="BU257" s="160"/>
      <c r="BV257" s="160"/>
      <c r="BW257" s="160"/>
      <c r="BX257" s="160"/>
      <c r="BY257" s="160"/>
      <c r="BZ257" s="160"/>
      <c r="CA257" s="160"/>
      <c r="CB257" s="160"/>
      <c r="CC257" s="160"/>
      <c r="CD257" s="160"/>
      <c r="CE257" s="160"/>
      <c r="CF257" s="160"/>
      <c r="CG257" s="160"/>
      <c r="CH257" s="160"/>
      <c r="CI257" s="160"/>
      <c r="CJ257" s="160"/>
      <c r="CK257" s="160"/>
      <c r="CL257" s="160"/>
    </row>
    <row r="258">
      <c r="A258" s="174" t="s">
        <v>218</v>
      </c>
      <c r="B258" s="11" t="s">
        <v>219</v>
      </c>
      <c r="C258" s="175" t="s">
        <v>75</v>
      </c>
      <c r="D258" s="176" t="str">
        <f>IFERROR(VLOOKUP(C258, PIC!A:B, 2, 0), "")</f>
        <v>Anh To</v>
      </c>
      <c r="E258" s="11" t="s">
        <v>22</v>
      </c>
      <c r="F258" s="16" t="s">
        <v>849</v>
      </c>
      <c r="G258" s="16" t="s">
        <v>846</v>
      </c>
      <c r="H258" s="170">
        <f>IFERROR(
  MINIFS(ATTENDANCE_LOG!$F:$F,
         ATTENDANCE_LOG!$A:$A, C258,
         ATTENDANCE_LOG!$B:$B, E258),
"")</f>
        <v>45761.41667</v>
      </c>
      <c r="I258" s="170">
        <f t="shared" si="2"/>
        <v>45761.41667</v>
      </c>
      <c r="J258" s="11">
        <f>IFERROR(VLOOKUP(F258, LEVEL_HELPER!$A:$B, 2, 0), "")</f>
        <v>1</v>
      </c>
      <c r="K258" s="11">
        <f>IFERROR(VLOOKUP(G258, LEVEL_HELPER!$A:$B, 2, 0), "")</f>
        <v>3</v>
      </c>
      <c r="L258" s="171" t="s">
        <v>400</v>
      </c>
      <c r="M258" s="171" t="s">
        <v>150</v>
      </c>
      <c r="N258" s="11">
        <f t="array" ref="N258">IFERROR(
  INDEX($J$2:$J$531,
    MATCH(A258&amp;TEXT(I258,"yyyy-mm-dd"),
          $A$2:$A$531&amp;TEXT($H$2:$H$531,"yyyy-mm-dd"),
          0)),
"")</f>
        <v>1</v>
      </c>
      <c r="O258" s="160">
        <f t="shared" si="3"/>
        <v>3</v>
      </c>
      <c r="P258" s="160">
        <f t="shared" ref="P258:Q258" si="268">IF(N258="",0,IF(N258&lt;=2,1,IF(N258&lt;=4,2,IF(N258&lt;=5.5,3,4))))</f>
        <v>1</v>
      </c>
      <c r="Q258" s="160">
        <f t="shared" si="268"/>
        <v>2</v>
      </c>
      <c r="R258" s="160" t="str">
        <f t="shared" si="5"/>
        <v>Lv1 → Lv2</v>
      </c>
      <c r="S258" s="160">
        <f t="shared" si="6"/>
        <v>1</v>
      </c>
      <c r="T258" s="177" t="s">
        <v>1005</v>
      </c>
      <c r="U258" s="160">
        <f>COUNTIFS(sheet2!$A:$A,A258,sheet2!$E:$E,E258)</f>
        <v>1</v>
      </c>
      <c r="V258" s="160"/>
      <c r="W258" s="160"/>
      <c r="X258" s="160" t="str">
        <f t="shared" si="7"/>
        <v>#N/A</v>
      </c>
      <c r="Y258" s="160" t="str">
        <f t="shared" si="8"/>
        <v>#N/A</v>
      </c>
      <c r="Z258" s="160" t="str">
        <f t="shared" si="9"/>
        <v>#N/A</v>
      </c>
      <c r="AA258" s="160"/>
      <c r="AB258" s="160"/>
      <c r="AC258" s="160"/>
      <c r="AD258" s="160"/>
      <c r="AE258" s="160"/>
      <c r="AF258" s="160"/>
      <c r="AG258" s="160"/>
      <c r="AH258" s="160"/>
      <c r="AI258" s="160"/>
      <c r="AJ258" s="160"/>
      <c r="AK258" s="160"/>
      <c r="AL258" s="160"/>
      <c r="AM258" s="160"/>
      <c r="AN258" s="164"/>
      <c r="AO258" s="160"/>
      <c r="AP258" s="160"/>
      <c r="AQ258" s="160"/>
      <c r="AR258" s="160"/>
      <c r="AS258" s="160"/>
      <c r="AT258" s="160"/>
      <c r="AU258" s="160"/>
      <c r="AV258" s="160"/>
      <c r="AW258" s="160"/>
      <c r="AX258" s="160"/>
      <c r="AY258" s="160"/>
      <c r="AZ258" s="160"/>
      <c r="BA258" s="160"/>
      <c r="BB258" s="160"/>
      <c r="BC258" s="160"/>
      <c r="BD258" s="160"/>
      <c r="BE258" s="160"/>
      <c r="BF258" s="160"/>
      <c r="BG258" s="160"/>
      <c r="BH258" s="160"/>
      <c r="BI258" s="160"/>
      <c r="BJ258" s="160"/>
      <c r="BK258" s="160"/>
      <c r="BL258" s="160"/>
      <c r="BM258" s="160"/>
      <c r="BN258" s="160"/>
      <c r="BO258" s="160"/>
      <c r="BP258" s="160"/>
      <c r="BQ258" s="160"/>
      <c r="BR258" s="160"/>
      <c r="BS258" s="160"/>
      <c r="BT258" s="160"/>
      <c r="BU258" s="160"/>
      <c r="BV258" s="160"/>
      <c r="BW258" s="160"/>
      <c r="BX258" s="160"/>
      <c r="BY258" s="160"/>
      <c r="BZ258" s="160"/>
      <c r="CA258" s="160"/>
      <c r="CB258" s="160"/>
      <c r="CC258" s="160"/>
      <c r="CD258" s="160"/>
      <c r="CE258" s="160"/>
      <c r="CF258" s="160"/>
      <c r="CG258" s="160"/>
      <c r="CH258" s="160"/>
      <c r="CI258" s="160"/>
      <c r="CJ258" s="160"/>
      <c r="CK258" s="160"/>
      <c r="CL258" s="160"/>
    </row>
    <row r="259">
      <c r="A259" s="174" t="s">
        <v>216</v>
      </c>
      <c r="B259" s="167" t="s">
        <v>217</v>
      </c>
      <c r="C259" s="168" t="s">
        <v>75</v>
      </c>
      <c r="D259" s="169" t="str">
        <f>IFERROR(VLOOKUP(C259, PIC!A:B, 2, 0), "")</f>
        <v>Anh To</v>
      </c>
      <c r="E259" s="167" t="s">
        <v>23</v>
      </c>
      <c r="F259" s="16" t="s">
        <v>853</v>
      </c>
      <c r="G259" s="16" t="s">
        <v>861</v>
      </c>
      <c r="H259" s="170">
        <f>IFERROR(
  MINIFS(ATTENDANCE_LOG!$F:$F,
         ATTENDANCE_LOG!$A:$A, C259,
         ATTENDANCE_LOG!$B:$B, E259),
"")</f>
        <v>45922.41667</v>
      </c>
      <c r="I259" s="170">
        <f t="shared" si="2"/>
        <v>45761.41667</v>
      </c>
      <c r="J259" s="11">
        <f>IFERROR(VLOOKUP(F259, LEVEL_HELPER!$A:$B, 2, 0), "")</f>
        <v>1.5</v>
      </c>
      <c r="K259" s="11">
        <f>IFERROR(VLOOKUP(G259, LEVEL_HELPER!$A:$B, 2, 0), "")</f>
        <v>3.5</v>
      </c>
      <c r="L259" s="171" t="s">
        <v>400</v>
      </c>
      <c r="M259" s="171" t="s">
        <v>151</v>
      </c>
      <c r="N259" s="11">
        <f t="array" ref="N259">IFERROR(
  INDEX($J$2:$J$531,
    MATCH(A259&amp;TEXT(I259,"yyyy-mm-dd"),
          $A$2:$A$531&amp;TEXT($H$2:$H$531,"yyyy-mm-dd"),
          0)),
"")</f>
        <v>1</v>
      </c>
      <c r="O259" s="160">
        <f t="shared" si="3"/>
        <v>3.5</v>
      </c>
      <c r="P259" s="160">
        <f t="shared" ref="P259:Q259" si="269">IF(N259="",0,IF(N259&lt;=2,1,IF(N259&lt;=4,2,IF(N259&lt;=5.5,3,4))))</f>
        <v>1</v>
      </c>
      <c r="Q259" s="160">
        <f t="shared" si="269"/>
        <v>2</v>
      </c>
      <c r="R259" s="160" t="str">
        <f t="shared" si="5"/>
        <v>Lv1 → Lv2</v>
      </c>
      <c r="S259" s="160">
        <f t="shared" si="6"/>
        <v>0</v>
      </c>
      <c r="T259" s="172" t="s">
        <v>1000</v>
      </c>
      <c r="U259" s="160">
        <f>COUNTIFS(sheet2!$A:$A,A259,sheet2!$E:$E,E259)</f>
        <v>1</v>
      </c>
      <c r="V259" s="160"/>
      <c r="W259" s="160"/>
      <c r="X259" s="160" t="str">
        <f t="shared" si="7"/>
        <v>#N/A</v>
      </c>
      <c r="Y259" s="160" t="str">
        <f t="shared" si="8"/>
        <v>#N/A</v>
      </c>
      <c r="Z259" s="160" t="str">
        <f t="shared" si="9"/>
        <v>#N/A</v>
      </c>
      <c r="AA259" s="160"/>
      <c r="AB259" s="160"/>
      <c r="AC259" s="160"/>
      <c r="AD259" s="160"/>
      <c r="AE259" s="160"/>
      <c r="AF259" s="160"/>
      <c r="AG259" s="160"/>
      <c r="AH259" s="160"/>
      <c r="AI259" s="160"/>
      <c r="AJ259" s="160"/>
      <c r="AK259" s="160"/>
      <c r="AL259" s="160"/>
      <c r="AM259" s="160"/>
      <c r="AN259" s="164"/>
      <c r="AO259" s="160"/>
      <c r="AP259" s="160"/>
      <c r="AQ259" s="160"/>
      <c r="AR259" s="160"/>
      <c r="AS259" s="160"/>
      <c r="AT259" s="160"/>
      <c r="AU259" s="160"/>
      <c r="AV259" s="160"/>
      <c r="AW259" s="160"/>
      <c r="AX259" s="160"/>
      <c r="AY259" s="160"/>
      <c r="AZ259" s="160"/>
      <c r="BA259" s="160"/>
      <c r="BB259" s="160"/>
      <c r="BC259" s="160"/>
      <c r="BD259" s="160"/>
      <c r="BE259" s="160"/>
      <c r="BF259" s="160"/>
      <c r="BG259" s="160"/>
      <c r="BH259" s="160"/>
      <c r="BI259" s="160"/>
      <c r="BJ259" s="160"/>
      <c r="BK259" s="160"/>
      <c r="BL259" s="160"/>
      <c r="BM259" s="160"/>
      <c r="BN259" s="160"/>
      <c r="BO259" s="160"/>
      <c r="BP259" s="160"/>
      <c r="BQ259" s="160"/>
      <c r="BR259" s="160"/>
      <c r="BS259" s="160"/>
      <c r="BT259" s="160"/>
      <c r="BU259" s="160"/>
      <c r="BV259" s="160"/>
      <c r="BW259" s="160"/>
      <c r="BX259" s="160"/>
      <c r="BY259" s="160"/>
      <c r="BZ259" s="160"/>
      <c r="CA259" s="160"/>
      <c r="CB259" s="160"/>
      <c r="CC259" s="160"/>
      <c r="CD259" s="160"/>
      <c r="CE259" s="160"/>
      <c r="CF259" s="160"/>
      <c r="CG259" s="160"/>
      <c r="CH259" s="160"/>
      <c r="CI259" s="160"/>
      <c r="CJ259" s="160"/>
      <c r="CK259" s="160"/>
      <c r="CL259" s="160"/>
    </row>
    <row r="260">
      <c r="A260" s="174" t="s">
        <v>210</v>
      </c>
      <c r="B260" s="11" t="s">
        <v>211</v>
      </c>
      <c r="C260" s="175" t="s">
        <v>75</v>
      </c>
      <c r="D260" s="176" t="str">
        <f>IFERROR(VLOOKUP(C260, PIC!A:B, 2, 0), "")</f>
        <v>Anh To</v>
      </c>
      <c r="E260" s="11" t="s">
        <v>23</v>
      </c>
      <c r="F260" s="16" t="s">
        <v>846</v>
      </c>
      <c r="G260" s="16" t="s">
        <v>861</v>
      </c>
      <c r="H260" s="170">
        <f>IFERROR(
  MINIFS(ATTENDANCE_LOG!$F:$F,
         ATTENDANCE_LOG!$A:$A, C260,
         ATTENDANCE_LOG!$B:$B, E260),
"")</f>
        <v>45922.41667</v>
      </c>
      <c r="I260" s="170">
        <f t="shared" si="2"/>
        <v>45761.41667</v>
      </c>
      <c r="J260" s="11">
        <f>IFERROR(VLOOKUP(F260, LEVEL_HELPER!$A:$B, 2, 0), "")</f>
        <v>3</v>
      </c>
      <c r="K260" s="11">
        <f>IFERROR(VLOOKUP(G260, LEVEL_HELPER!$A:$B, 2, 0), "")</f>
        <v>3.5</v>
      </c>
      <c r="L260" s="171" t="s">
        <v>400</v>
      </c>
      <c r="M260" s="171" t="s">
        <v>151</v>
      </c>
      <c r="N260" s="11">
        <f t="array" ref="N260">IFERROR(
  INDEX($J$2:$J$531,
    MATCH(A260&amp;TEXT(I260,"yyyy-mm-dd"),
          $A$2:$A$531&amp;TEXT($H$2:$H$531,"yyyy-mm-dd"),
          0)),
"")</f>
        <v>1</v>
      </c>
      <c r="O260" s="160">
        <f t="shared" si="3"/>
        <v>3.5</v>
      </c>
      <c r="P260" s="160">
        <f t="shared" ref="P260:Q260" si="270">IF(N260="",0,IF(N260&lt;=2,1,IF(N260&lt;=4,2,IF(N260&lt;=5.5,3,4))))</f>
        <v>1</v>
      </c>
      <c r="Q260" s="160">
        <f t="shared" si="270"/>
        <v>2</v>
      </c>
      <c r="R260" s="160" t="str">
        <f t="shared" si="5"/>
        <v>Lv1 → Lv2</v>
      </c>
      <c r="S260" s="160">
        <f t="shared" si="6"/>
        <v>0</v>
      </c>
      <c r="T260" s="177" t="s">
        <v>1001</v>
      </c>
      <c r="U260" s="160">
        <f>COUNTIFS(sheet2!$A:$A,A260,sheet2!$E:$E,E260)</f>
        <v>1</v>
      </c>
      <c r="V260" s="160"/>
      <c r="W260" s="160"/>
      <c r="X260" s="160" t="str">
        <f t="shared" si="7"/>
        <v>#N/A</v>
      </c>
      <c r="Y260" s="160" t="str">
        <f t="shared" si="8"/>
        <v>#N/A</v>
      </c>
      <c r="Z260" s="160" t="str">
        <f t="shared" si="9"/>
        <v>#N/A</v>
      </c>
      <c r="AA260" s="160"/>
      <c r="AB260" s="160"/>
      <c r="AC260" s="160"/>
      <c r="AD260" s="160"/>
      <c r="AE260" s="160"/>
      <c r="AF260" s="160"/>
      <c r="AG260" s="160"/>
      <c r="AH260" s="160"/>
      <c r="AI260" s="160"/>
      <c r="AJ260" s="160"/>
      <c r="AK260" s="160"/>
      <c r="AL260" s="160"/>
      <c r="AM260" s="160"/>
      <c r="AN260" s="164"/>
      <c r="AO260" s="160"/>
      <c r="AP260" s="160"/>
      <c r="AQ260" s="160"/>
      <c r="AR260" s="160"/>
      <c r="AS260" s="160"/>
      <c r="AT260" s="160"/>
      <c r="AU260" s="160"/>
      <c r="AV260" s="160"/>
      <c r="AW260" s="160"/>
      <c r="AX260" s="160"/>
      <c r="AY260" s="160"/>
      <c r="AZ260" s="160"/>
      <c r="BA260" s="160"/>
      <c r="BB260" s="160"/>
      <c r="BC260" s="160"/>
      <c r="BD260" s="160"/>
      <c r="BE260" s="160"/>
      <c r="BF260" s="160"/>
      <c r="BG260" s="160"/>
      <c r="BH260" s="160"/>
      <c r="BI260" s="160"/>
      <c r="BJ260" s="160"/>
      <c r="BK260" s="160"/>
      <c r="BL260" s="160"/>
      <c r="BM260" s="160"/>
      <c r="BN260" s="160"/>
      <c r="BO260" s="160"/>
      <c r="BP260" s="160"/>
      <c r="BQ260" s="160"/>
      <c r="BR260" s="160"/>
      <c r="BS260" s="160"/>
      <c r="BT260" s="160"/>
      <c r="BU260" s="160"/>
      <c r="BV260" s="160"/>
      <c r="BW260" s="160"/>
      <c r="BX260" s="160"/>
      <c r="BY260" s="160"/>
      <c r="BZ260" s="160"/>
      <c r="CA260" s="160"/>
      <c r="CB260" s="160"/>
      <c r="CC260" s="160"/>
      <c r="CD260" s="160"/>
      <c r="CE260" s="160"/>
      <c r="CF260" s="160"/>
      <c r="CG260" s="160"/>
      <c r="CH260" s="160"/>
      <c r="CI260" s="160"/>
      <c r="CJ260" s="160"/>
      <c r="CK260" s="160"/>
      <c r="CL260" s="160"/>
    </row>
    <row r="261">
      <c r="A261" s="174" t="s">
        <v>212</v>
      </c>
      <c r="B261" s="11" t="s">
        <v>213</v>
      </c>
      <c r="C261" s="175" t="s">
        <v>75</v>
      </c>
      <c r="D261" s="176" t="str">
        <f>IFERROR(VLOOKUP(C261, PIC!A:B, 2, 0), "")</f>
        <v>Anh To</v>
      </c>
      <c r="E261" s="11" t="s">
        <v>23</v>
      </c>
      <c r="F261" s="16" t="s">
        <v>846</v>
      </c>
      <c r="G261" s="16" t="s">
        <v>846</v>
      </c>
      <c r="H261" s="170">
        <f>IFERROR(
  MINIFS(ATTENDANCE_LOG!$F:$F,
         ATTENDANCE_LOG!$A:$A, C261,
         ATTENDANCE_LOG!$B:$B, E261),
"")</f>
        <v>45922.41667</v>
      </c>
      <c r="I261" s="170">
        <f t="shared" si="2"/>
        <v>45761.41667</v>
      </c>
      <c r="J261" s="11">
        <f>IFERROR(VLOOKUP(F261, LEVEL_HELPER!$A:$B, 2, 0), "")</f>
        <v>3</v>
      </c>
      <c r="K261" s="11">
        <f>IFERROR(VLOOKUP(G261, LEVEL_HELPER!$A:$B, 2, 0), "")</f>
        <v>3</v>
      </c>
      <c r="L261" s="171" t="s">
        <v>400</v>
      </c>
      <c r="M261" s="171" t="s">
        <v>151</v>
      </c>
      <c r="N261" s="11">
        <f t="array" ref="N261">IFERROR(
  INDEX($J$2:$J$531,
    MATCH(A261&amp;TEXT(I261,"yyyy-mm-dd"),
          $A$2:$A$531&amp;TEXT($H$2:$H$531,"yyyy-mm-dd"),
          0)),
"")</f>
        <v>1</v>
      </c>
      <c r="O261" s="160">
        <f t="shared" si="3"/>
        <v>3</v>
      </c>
      <c r="P261" s="160">
        <f t="shared" ref="P261:Q261" si="271">IF(N261="",0,IF(N261&lt;=2,1,IF(N261&lt;=4,2,IF(N261&lt;=5.5,3,4))))</f>
        <v>1</v>
      </c>
      <c r="Q261" s="160">
        <f t="shared" si="271"/>
        <v>2</v>
      </c>
      <c r="R261" s="160" t="str">
        <f t="shared" si="5"/>
        <v>Lv1 → Lv2</v>
      </c>
      <c r="S261" s="160">
        <f t="shared" si="6"/>
        <v>0</v>
      </c>
      <c r="T261" s="177" t="s">
        <v>1002</v>
      </c>
      <c r="U261" s="160">
        <f>COUNTIFS(sheet2!$A:$A,A261,sheet2!$E:$E,E261)</f>
        <v>1</v>
      </c>
      <c r="V261" s="160"/>
      <c r="W261" s="160"/>
      <c r="X261" s="160" t="str">
        <f t="shared" si="7"/>
        <v>#N/A</v>
      </c>
      <c r="Y261" s="160" t="str">
        <f t="shared" si="8"/>
        <v>#N/A</v>
      </c>
      <c r="Z261" s="160" t="str">
        <f t="shared" si="9"/>
        <v>#N/A</v>
      </c>
      <c r="AA261" s="160"/>
      <c r="AB261" s="160"/>
      <c r="AC261" s="160"/>
      <c r="AD261" s="160"/>
      <c r="AE261" s="160"/>
      <c r="AF261" s="160"/>
      <c r="AG261" s="160"/>
      <c r="AH261" s="160"/>
      <c r="AI261" s="160"/>
      <c r="AJ261" s="160"/>
      <c r="AK261" s="160"/>
      <c r="AL261" s="160"/>
      <c r="AM261" s="160"/>
      <c r="AN261" s="164"/>
      <c r="AO261" s="160"/>
      <c r="AP261" s="160"/>
      <c r="AQ261" s="160"/>
      <c r="AR261" s="160"/>
      <c r="AS261" s="160"/>
      <c r="AT261" s="160"/>
      <c r="AU261" s="160"/>
      <c r="AV261" s="160"/>
      <c r="AW261" s="160"/>
      <c r="AX261" s="160"/>
      <c r="AY261" s="160"/>
      <c r="AZ261" s="160"/>
      <c r="BA261" s="160"/>
      <c r="BB261" s="160"/>
      <c r="BC261" s="160"/>
      <c r="BD261" s="160"/>
      <c r="BE261" s="160"/>
      <c r="BF261" s="160"/>
      <c r="BG261" s="160"/>
      <c r="BH261" s="160"/>
      <c r="BI261" s="160"/>
      <c r="BJ261" s="160"/>
      <c r="BK261" s="160"/>
      <c r="BL261" s="160"/>
      <c r="BM261" s="160"/>
      <c r="BN261" s="160"/>
      <c r="BO261" s="160"/>
      <c r="BP261" s="160"/>
      <c r="BQ261" s="160"/>
      <c r="BR261" s="160"/>
      <c r="BS261" s="160"/>
      <c r="BT261" s="160"/>
      <c r="BU261" s="160"/>
      <c r="BV261" s="160"/>
      <c r="BW261" s="160"/>
      <c r="BX261" s="160"/>
      <c r="BY261" s="160"/>
      <c r="BZ261" s="160"/>
      <c r="CA261" s="160"/>
      <c r="CB261" s="160"/>
      <c r="CC261" s="160"/>
      <c r="CD261" s="160"/>
      <c r="CE261" s="160"/>
      <c r="CF261" s="160"/>
      <c r="CG261" s="160"/>
      <c r="CH261" s="160"/>
      <c r="CI261" s="160"/>
      <c r="CJ261" s="160"/>
      <c r="CK261" s="160"/>
      <c r="CL261" s="160"/>
    </row>
    <row r="262">
      <c r="A262" s="174" t="s">
        <v>206</v>
      </c>
      <c r="B262" s="11" t="s">
        <v>207</v>
      </c>
      <c r="C262" s="175" t="s">
        <v>75</v>
      </c>
      <c r="D262" s="176" t="str">
        <f>IFERROR(VLOOKUP(C262, PIC!A:B, 2, 0), "")</f>
        <v>Anh To</v>
      </c>
      <c r="E262" s="11" t="s">
        <v>23</v>
      </c>
      <c r="F262" s="16" t="s">
        <v>861</v>
      </c>
      <c r="G262" s="16" t="s">
        <v>868</v>
      </c>
      <c r="H262" s="170">
        <f>IFERROR(
  MINIFS(ATTENDANCE_LOG!$F:$F,
         ATTENDANCE_LOG!$A:$A, C262,
         ATTENDANCE_LOG!$B:$B, E262),
"")</f>
        <v>45922.41667</v>
      </c>
      <c r="I262" s="170">
        <f t="shared" si="2"/>
        <v>45761.41667</v>
      </c>
      <c r="J262" s="11">
        <f>IFERROR(VLOOKUP(F262, LEVEL_HELPER!$A:$B, 2, 0), "")</f>
        <v>3.5</v>
      </c>
      <c r="K262" s="11">
        <f>IFERROR(VLOOKUP(G262, LEVEL_HELPER!$A:$B, 2, 0), "")</f>
        <v>5</v>
      </c>
      <c r="L262" s="171" t="s">
        <v>847</v>
      </c>
      <c r="M262" s="171" t="s">
        <v>151</v>
      </c>
      <c r="N262" s="11">
        <f t="array" ref="N262">IFERROR(
  INDEX($J$2:$J$531,
    MATCH(A262&amp;TEXT(I262,"yyyy-mm-dd"),
          $A$2:$A$531&amp;TEXT($H$2:$H$531,"yyyy-mm-dd"),
          0)),
"")</f>
        <v>1</v>
      </c>
      <c r="O262" s="160">
        <f t="shared" si="3"/>
        <v>5</v>
      </c>
      <c r="P262" s="160">
        <f t="shared" ref="P262:Q262" si="272">IF(N262="",0,IF(N262&lt;=2,1,IF(N262&lt;=4,2,IF(N262&lt;=5.5,3,4))))</f>
        <v>1</v>
      </c>
      <c r="Q262" s="160">
        <f t="shared" si="272"/>
        <v>3</v>
      </c>
      <c r="R262" s="160" t="str">
        <f t="shared" si="5"/>
        <v>Lv1 → Lv3 (multi)</v>
      </c>
      <c r="S262" s="160">
        <f t="shared" si="6"/>
        <v>0</v>
      </c>
      <c r="T262" s="177" t="s">
        <v>1003</v>
      </c>
      <c r="U262" s="160">
        <f>COUNTIFS(sheet2!$A:$A,A262,sheet2!$E:$E,E262)</f>
        <v>1</v>
      </c>
      <c r="V262" s="160"/>
      <c r="W262" s="160"/>
      <c r="X262" s="160" t="str">
        <f t="shared" si="7"/>
        <v>#N/A</v>
      </c>
      <c r="Y262" s="160" t="str">
        <f t="shared" si="8"/>
        <v>#N/A</v>
      </c>
      <c r="Z262" s="160" t="str">
        <f t="shared" si="9"/>
        <v>#N/A</v>
      </c>
      <c r="AA262" s="160"/>
      <c r="AB262" s="160"/>
      <c r="AC262" s="160"/>
      <c r="AD262" s="160"/>
      <c r="AE262" s="160"/>
      <c r="AF262" s="160"/>
      <c r="AG262" s="160"/>
      <c r="AH262" s="160"/>
      <c r="AI262" s="160"/>
      <c r="AJ262" s="160"/>
      <c r="AK262" s="160"/>
      <c r="AL262" s="160"/>
      <c r="AM262" s="160"/>
      <c r="AN262" s="164"/>
      <c r="AO262" s="160"/>
      <c r="AP262" s="160"/>
      <c r="AQ262" s="160"/>
      <c r="AR262" s="160"/>
      <c r="AS262" s="160"/>
      <c r="AT262" s="160"/>
      <c r="AU262" s="160"/>
      <c r="AV262" s="160"/>
      <c r="AW262" s="160"/>
      <c r="AX262" s="160"/>
      <c r="AY262" s="160"/>
      <c r="AZ262" s="160"/>
      <c r="BA262" s="160"/>
      <c r="BB262" s="160"/>
      <c r="BC262" s="160"/>
      <c r="BD262" s="160"/>
      <c r="BE262" s="160"/>
      <c r="BF262" s="160"/>
      <c r="BG262" s="160"/>
      <c r="BH262" s="160"/>
      <c r="BI262" s="160"/>
      <c r="BJ262" s="160"/>
      <c r="BK262" s="160"/>
      <c r="BL262" s="160"/>
      <c r="BM262" s="160"/>
      <c r="BN262" s="160"/>
      <c r="BO262" s="160"/>
      <c r="BP262" s="160"/>
      <c r="BQ262" s="160"/>
      <c r="BR262" s="160"/>
      <c r="BS262" s="160"/>
      <c r="BT262" s="160"/>
      <c r="BU262" s="160"/>
      <c r="BV262" s="160"/>
      <c r="BW262" s="160"/>
      <c r="BX262" s="160"/>
      <c r="BY262" s="160"/>
      <c r="BZ262" s="160"/>
      <c r="CA262" s="160"/>
      <c r="CB262" s="160"/>
      <c r="CC262" s="160"/>
      <c r="CD262" s="160"/>
      <c r="CE262" s="160"/>
      <c r="CF262" s="160"/>
      <c r="CG262" s="160"/>
      <c r="CH262" s="160"/>
      <c r="CI262" s="160"/>
      <c r="CJ262" s="160"/>
      <c r="CK262" s="160"/>
      <c r="CL262" s="160"/>
    </row>
    <row r="263">
      <c r="A263" s="174" t="s">
        <v>214</v>
      </c>
      <c r="B263" s="11" t="s">
        <v>215</v>
      </c>
      <c r="C263" s="175" t="s">
        <v>75</v>
      </c>
      <c r="D263" s="176" t="str">
        <f>IFERROR(VLOOKUP(C263, PIC!A:B, 2, 0), "")</f>
        <v>Anh To</v>
      </c>
      <c r="E263" s="11" t="s">
        <v>23</v>
      </c>
      <c r="F263" s="16" t="s">
        <v>853</v>
      </c>
      <c r="G263" s="16" t="s">
        <v>846</v>
      </c>
      <c r="H263" s="170">
        <f>IFERROR(
  MINIFS(ATTENDANCE_LOG!$F:$F,
         ATTENDANCE_LOG!$A:$A, C263,
         ATTENDANCE_LOG!$B:$B, E263),
"")</f>
        <v>45922.41667</v>
      </c>
      <c r="I263" s="170">
        <f t="shared" si="2"/>
        <v>45761.41667</v>
      </c>
      <c r="J263" s="11">
        <f>IFERROR(VLOOKUP(F263, LEVEL_HELPER!$A:$B, 2, 0), "")</f>
        <v>1.5</v>
      </c>
      <c r="K263" s="11">
        <f>IFERROR(VLOOKUP(G263, LEVEL_HELPER!$A:$B, 2, 0), "")</f>
        <v>3</v>
      </c>
      <c r="L263" s="171" t="s">
        <v>847</v>
      </c>
      <c r="M263" s="171" t="s">
        <v>151</v>
      </c>
      <c r="N263" s="11">
        <f t="array" ref="N263">IFERROR(
  INDEX($J$2:$J$531,
    MATCH(A263&amp;TEXT(I263,"yyyy-mm-dd"),
          $A$2:$A$531&amp;TEXT($H$2:$H$531,"yyyy-mm-dd"),
          0)),
"")</f>
        <v>1</v>
      </c>
      <c r="O263" s="160">
        <f t="shared" si="3"/>
        <v>3</v>
      </c>
      <c r="P263" s="160">
        <f t="shared" ref="P263:Q263" si="273">IF(N263="",0,IF(N263&lt;=2,1,IF(N263&lt;=4,2,IF(N263&lt;=5.5,3,4))))</f>
        <v>1</v>
      </c>
      <c r="Q263" s="160">
        <f t="shared" si="273"/>
        <v>2</v>
      </c>
      <c r="R263" s="160" t="str">
        <f t="shared" si="5"/>
        <v>Lv1 → Lv2</v>
      </c>
      <c r="S263" s="160">
        <f t="shared" si="6"/>
        <v>0</v>
      </c>
      <c r="T263" s="177" t="s">
        <v>1004</v>
      </c>
      <c r="U263" s="160">
        <f>COUNTIFS(sheet2!$A:$A,A263,sheet2!$E:$E,E263)</f>
        <v>1</v>
      </c>
      <c r="V263" s="160"/>
      <c r="W263" s="160"/>
      <c r="X263" s="160" t="str">
        <f t="shared" si="7"/>
        <v>#N/A</v>
      </c>
      <c r="Y263" s="160" t="str">
        <f t="shared" si="8"/>
        <v>#N/A</v>
      </c>
      <c r="Z263" s="160" t="str">
        <f t="shared" si="9"/>
        <v>#N/A</v>
      </c>
      <c r="AA263" s="160"/>
      <c r="AB263" s="160"/>
      <c r="AC263" s="160"/>
      <c r="AD263" s="160"/>
      <c r="AE263" s="160"/>
      <c r="AF263" s="160"/>
      <c r="AG263" s="160"/>
      <c r="AH263" s="160"/>
      <c r="AI263" s="160"/>
      <c r="AJ263" s="160"/>
      <c r="AK263" s="160"/>
      <c r="AL263" s="160"/>
      <c r="AM263" s="160"/>
      <c r="AN263" s="164"/>
      <c r="AO263" s="160"/>
      <c r="AP263" s="160"/>
      <c r="AQ263" s="160"/>
      <c r="AR263" s="160"/>
      <c r="AS263" s="160"/>
      <c r="AT263" s="160"/>
      <c r="AU263" s="160"/>
      <c r="AV263" s="160"/>
      <c r="AW263" s="160"/>
      <c r="AX263" s="160"/>
      <c r="AY263" s="160"/>
      <c r="AZ263" s="160"/>
      <c r="BA263" s="160"/>
      <c r="BB263" s="160"/>
      <c r="BC263" s="160"/>
      <c r="BD263" s="160"/>
      <c r="BE263" s="160"/>
      <c r="BF263" s="160"/>
      <c r="BG263" s="160"/>
      <c r="BH263" s="160"/>
      <c r="BI263" s="160"/>
      <c r="BJ263" s="160"/>
      <c r="BK263" s="160"/>
      <c r="BL263" s="160"/>
      <c r="BM263" s="160"/>
      <c r="BN263" s="160"/>
      <c r="BO263" s="160"/>
      <c r="BP263" s="160"/>
      <c r="BQ263" s="160"/>
      <c r="BR263" s="160"/>
      <c r="BS263" s="160"/>
      <c r="BT263" s="160"/>
      <c r="BU263" s="160"/>
      <c r="BV263" s="160"/>
      <c r="BW263" s="160"/>
      <c r="BX263" s="160"/>
      <c r="BY263" s="160"/>
      <c r="BZ263" s="160"/>
      <c r="CA263" s="160"/>
      <c r="CB263" s="160"/>
      <c r="CC263" s="160"/>
      <c r="CD263" s="160"/>
      <c r="CE263" s="160"/>
      <c r="CF263" s="160"/>
      <c r="CG263" s="160"/>
      <c r="CH263" s="160"/>
      <c r="CI263" s="160"/>
      <c r="CJ263" s="160"/>
      <c r="CK263" s="160"/>
      <c r="CL263" s="160"/>
    </row>
    <row r="264">
      <c r="A264" s="166" t="s">
        <v>431</v>
      </c>
      <c r="B264" s="167" t="s">
        <v>432</v>
      </c>
      <c r="C264" s="168" t="s">
        <v>76</v>
      </c>
      <c r="D264" s="169" t="str">
        <f>IFERROR(VLOOKUP(C264, PIC!A:B, 2, 0), "")</f>
        <v>My Tran</v>
      </c>
      <c r="E264" s="167" t="s">
        <v>22</v>
      </c>
      <c r="F264" s="16" t="s">
        <v>849</v>
      </c>
      <c r="G264" s="16" t="s">
        <v>846</v>
      </c>
      <c r="H264" s="170">
        <f>IFERROR(
  MINIFS(ATTENDANCE_LOG!$F:$F,
         ATTENDANCE_LOG!$A:$A, C264,
         ATTENDANCE_LOG!$B:$B, E264),
"")</f>
        <v>45763.54167</v>
      </c>
      <c r="I264" s="170">
        <f t="shared" si="2"/>
        <v>45763.54167</v>
      </c>
      <c r="J264" s="11">
        <f>IFERROR(VLOOKUP(F264, LEVEL_HELPER!$A:$B, 2, 0), "")</f>
        <v>1</v>
      </c>
      <c r="K264" s="11">
        <f>IFERROR(VLOOKUP(G264, LEVEL_HELPER!$A:$B, 2, 0), "")</f>
        <v>3</v>
      </c>
      <c r="L264" s="171" t="s">
        <v>847</v>
      </c>
      <c r="M264" s="171" t="s">
        <v>150</v>
      </c>
      <c r="N264" s="11">
        <f t="array" ref="N264">IFERROR(
  INDEX($J$2:$J$531,
    MATCH(A264&amp;TEXT(I264,"yyyy-mm-dd"),
          $A$2:$A$531&amp;TEXT($H$2:$H$531,"yyyy-mm-dd"),
          0)),
"")</f>
        <v>1</v>
      </c>
      <c r="O264" s="160">
        <f t="shared" si="3"/>
        <v>3</v>
      </c>
      <c r="P264" s="160">
        <f t="shared" ref="P264:Q264" si="274">IF(N264="",0,IF(N264&lt;=2,1,IF(N264&lt;=4,2,IF(N264&lt;=5.5,3,4))))</f>
        <v>1</v>
      </c>
      <c r="Q264" s="160">
        <f t="shared" si="274"/>
        <v>2</v>
      </c>
      <c r="R264" s="160" t="str">
        <f t="shared" si="5"/>
        <v>Lv1 → Lv2</v>
      </c>
      <c r="S264" s="160">
        <f t="shared" si="6"/>
        <v>1</v>
      </c>
      <c r="T264" s="172" t="s">
        <v>1006</v>
      </c>
      <c r="U264" s="160">
        <f>COUNTIFS(sheet2!$A:$A,A264,sheet2!$E:$E,E264)</f>
        <v>1</v>
      </c>
      <c r="V264" s="160"/>
      <c r="W264" s="160"/>
      <c r="X264" s="160" t="str">
        <f t="shared" si="7"/>
        <v>#N/A</v>
      </c>
      <c r="Y264" s="160" t="str">
        <f t="shared" si="8"/>
        <v>#N/A</v>
      </c>
      <c r="Z264" s="160" t="str">
        <f t="shared" si="9"/>
        <v>#N/A</v>
      </c>
      <c r="AA264" s="160"/>
      <c r="AB264" s="160"/>
      <c r="AC264" s="160"/>
      <c r="AD264" s="160"/>
      <c r="AE264" s="160"/>
      <c r="AF264" s="160"/>
      <c r="AG264" s="160"/>
      <c r="AH264" s="160"/>
      <c r="AI264" s="160"/>
      <c r="AJ264" s="160"/>
      <c r="AK264" s="160"/>
      <c r="AL264" s="160"/>
      <c r="AM264" s="160"/>
      <c r="AN264" s="164"/>
      <c r="AO264" s="160"/>
      <c r="AP264" s="160"/>
      <c r="AQ264" s="160"/>
      <c r="AR264" s="160"/>
      <c r="AS264" s="160"/>
      <c r="AT264" s="160"/>
      <c r="AU264" s="160"/>
      <c r="AV264" s="160"/>
      <c r="AW264" s="160"/>
      <c r="AX264" s="160"/>
      <c r="AY264" s="160"/>
      <c r="AZ264" s="160"/>
      <c r="BA264" s="160"/>
      <c r="BB264" s="160"/>
      <c r="BC264" s="160"/>
      <c r="BD264" s="160"/>
      <c r="BE264" s="160"/>
      <c r="BF264" s="160"/>
      <c r="BG264" s="160"/>
      <c r="BH264" s="160"/>
      <c r="BI264" s="160"/>
      <c r="BJ264" s="160"/>
      <c r="BK264" s="160"/>
      <c r="BL264" s="160"/>
      <c r="BM264" s="160"/>
      <c r="BN264" s="160"/>
      <c r="BO264" s="160"/>
      <c r="BP264" s="160"/>
      <c r="BQ264" s="160"/>
      <c r="BR264" s="160"/>
      <c r="BS264" s="160"/>
      <c r="BT264" s="160"/>
      <c r="BU264" s="160"/>
      <c r="BV264" s="160"/>
      <c r="BW264" s="160"/>
      <c r="BX264" s="160"/>
      <c r="BY264" s="160"/>
      <c r="BZ264" s="160"/>
      <c r="CA264" s="160"/>
      <c r="CB264" s="160"/>
      <c r="CC264" s="160"/>
      <c r="CD264" s="160"/>
      <c r="CE264" s="160"/>
      <c r="CF264" s="160"/>
      <c r="CG264" s="160"/>
      <c r="CH264" s="160"/>
      <c r="CI264" s="160"/>
      <c r="CJ264" s="160"/>
      <c r="CK264" s="160"/>
      <c r="CL264" s="160"/>
    </row>
    <row r="265">
      <c r="A265" s="174" t="s">
        <v>419</v>
      </c>
      <c r="B265" s="11" t="s">
        <v>420</v>
      </c>
      <c r="C265" s="175" t="s">
        <v>76</v>
      </c>
      <c r="D265" s="176" t="str">
        <f>IFERROR(VLOOKUP(C265, PIC!A:B, 2, 0), "")</f>
        <v>My Tran</v>
      </c>
      <c r="E265" s="11" t="s">
        <v>22</v>
      </c>
      <c r="F265" s="16" t="s">
        <v>845</v>
      </c>
      <c r="G265" s="16" t="s">
        <v>846</v>
      </c>
      <c r="H265" s="170">
        <f>IFERROR(
  MINIFS(ATTENDANCE_LOG!$F:$F,
         ATTENDANCE_LOG!$A:$A, C265,
         ATTENDANCE_LOG!$B:$B, E265),
"")</f>
        <v>45763.54167</v>
      </c>
      <c r="I265" s="170">
        <f t="shared" si="2"/>
        <v>45763.54167</v>
      </c>
      <c r="J265" s="11">
        <f>IFERROR(VLOOKUP(F265, LEVEL_HELPER!$A:$B, 2, 0), "")</f>
        <v>2.5</v>
      </c>
      <c r="K265" s="11">
        <f>IFERROR(VLOOKUP(G265, LEVEL_HELPER!$A:$B, 2, 0), "")</f>
        <v>3</v>
      </c>
      <c r="L265" s="171" t="s">
        <v>400</v>
      </c>
      <c r="M265" s="171" t="s">
        <v>150</v>
      </c>
      <c r="N265" s="11">
        <f t="array" ref="N265">IFERROR(
  INDEX($J$2:$J$531,
    MATCH(A265&amp;TEXT(I265,"yyyy-mm-dd"),
          $A$2:$A$531&amp;TEXT($H$2:$H$531,"yyyy-mm-dd"),
          0)),
"")</f>
        <v>2.5</v>
      </c>
      <c r="O265" s="160">
        <f t="shared" si="3"/>
        <v>3</v>
      </c>
      <c r="P265" s="160">
        <f t="shared" ref="P265:Q265" si="275">IF(N265="",0,IF(N265&lt;=2,1,IF(N265&lt;=4,2,IF(N265&lt;=5.5,3,4))))</f>
        <v>2</v>
      </c>
      <c r="Q265" s="160">
        <f t="shared" si="275"/>
        <v>2</v>
      </c>
      <c r="R265" s="160" t="str">
        <f t="shared" si="5"/>
        <v>Progress within level</v>
      </c>
      <c r="S265" s="160">
        <f t="shared" si="6"/>
        <v>1</v>
      </c>
      <c r="T265" s="177" t="s">
        <v>1007</v>
      </c>
      <c r="U265" s="160">
        <f>COUNTIFS(sheet2!$A:$A,A265,sheet2!$E:$E,E265)</f>
        <v>1</v>
      </c>
      <c r="V265" s="160"/>
      <c r="W265" s="160"/>
      <c r="X265" s="160" t="str">
        <f t="shared" si="7"/>
        <v>#N/A</v>
      </c>
      <c r="Y265" s="160" t="str">
        <f t="shared" si="8"/>
        <v>#N/A</v>
      </c>
      <c r="Z265" s="160" t="str">
        <f t="shared" si="9"/>
        <v>#N/A</v>
      </c>
      <c r="AA265" s="160"/>
      <c r="AB265" s="160"/>
      <c r="AC265" s="160"/>
      <c r="AD265" s="160"/>
      <c r="AE265" s="160"/>
      <c r="AF265" s="160"/>
      <c r="AG265" s="160"/>
      <c r="AH265" s="160"/>
      <c r="AI265" s="160"/>
      <c r="AJ265" s="160"/>
      <c r="AK265" s="160"/>
      <c r="AL265" s="160"/>
      <c r="AM265" s="160"/>
      <c r="AN265" s="164"/>
      <c r="AO265" s="160"/>
      <c r="AP265" s="160"/>
      <c r="AQ265" s="160"/>
      <c r="AR265" s="160"/>
      <c r="AS265" s="160"/>
      <c r="AT265" s="160"/>
      <c r="AU265" s="160"/>
      <c r="AV265" s="160"/>
      <c r="AW265" s="160"/>
      <c r="AX265" s="160"/>
      <c r="AY265" s="160"/>
      <c r="AZ265" s="160"/>
      <c r="BA265" s="160"/>
      <c r="BB265" s="160"/>
      <c r="BC265" s="160"/>
      <c r="BD265" s="160"/>
      <c r="BE265" s="160"/>
      <c r="BF265" s="160"/>
      <c r="BG265" s="160"/>
      <c r="BH265" s="160"/>
      <c r="BI265" s="160"/>
      <c r="BJ265" s="160"/>
      <c r="BK265" s="160"/>
      <c r="BL265" s="160"/>
      <c r="BM265" s="160"/>
      <c r="BN265" s="160"/>
      <c r="BO265" s="160"/>
      <c r="BP265" s="160"/>
      <c r="BQ265" s="160"/>
      <c r="BR265" s="160"/>
      <c r="BS265" s="160"/>
      <c r="BT265" s="160"/>
      <c r="BU265" s="160"/>
      <c r="BV265" s="160"/>
      <c r="BW265" s="160"/>
      <c r="BX265" s="160"/>
      <c r="BY265" s="160"/>
      <c r="BZ265" s="160"/>
      <c r="CA265" s="160"/>
      <c r="CB265" s="160"/>
      <c r="CC265" s="160"/>
      <c r="CD265" s="160"/>
      <c r="CE265" s="160"/>
      <c r="CF265" s="160"/>
      <c r="CG265" s="160"/>
      <c r="CH265" s="160"/>
      <c r="CI265" s="160"/>
      <c r="CJ265" s="160"/>
      <c r="CK265" s="160"/>
      <c r="CL265" s="160"/>
    </row>
    <row r="266">
      <c r="A266" s="174" t="s">
        <v>322</v>
      </c>
      <c r="B266" s="11" t="s">
        <v>323</v>
      </c>
      <c r="C266" s="175" t="s">
        <v>76</v>
      </c>
      <c r="D266" s="176" t="str">
        <f>IFERROR(VLOOKUP(C266, PIC!A:B, 2, 0), "")</f>
        <v>My Tran</v>
      </c>
      <c r="E266" s="11" t="s">
        <v>22</v>
      </c>
      <c r="F266" s="16" t="s">
        <v>849</v>
      </c>
      <c r="G266" s="16" t="s">
        <v>849</v>
      </c>
      <c r="H266" s="170">
        <f>IFERROR(
  MINIFS(ATTENDANCE_LOG!$F:$F,
         ATTENDANCE_LOG!$A:$A, C266,
         ATTENDANCE_LOG!$B:$B, E266),
"")</f>
        <v>45763.54167</v>
      </c>
      <c r="I266" s="170">
        <f t="shared" si="2"/>
        <v>45763.54167</v>
      </c>
      <c r="J266" s="11">
        <f>IFERROR(VLOOKUP(F266, LEVEL_HELPER!$A:$B, 2, 0), "")</f>
        <v>1</v>
      </c>
      <c r="K266" s="11">
        <f>IFERROR(VLOOKUP(G266, LEVEL_HELPER!$A:$B, 2, 0), "")</f>
        <v>1</v>
      </c>
      <c r="L266" s="171" t="s">
        <v>400</v>
      </c>
      <c r="M266" s="171" t="s">
        <v>150</v>
      </c>
      <c r="N266" s="11">
        <f t="array" ref="N266">IFERROR(
  INDEX($J$2:$J$531,
    MATCH(A266&amp;TEXT(I266,"yyyy-mm-dd"),
          $A$2:$A$531&amp;TEXT($H$2:$H$531,"yyyy-mm-dd"),
          0)),
"")</f>
        <v>1</v>
      </c>
      <c r="O266" s="160">
        <f t="shared" si="3"/>
        <v>1.5</v>
      </c>
      <c r="P266" s="160">
        <f t="shared" ref="P266:Q266" si="276">IF(N266="",0,IF(N266&lt;=2,1,IF(N266&lt;=4,2,IF(N266&lt;=5.5,3,4))))</f>
        <v>1</v>
      </c>
      <c r="Q266" s="160">
        <f t="shared" si="276"/>
        <v>1</v>
      </c>
      <c r="R266" s="160" t="str">
        <f t="shared" si="5"/>
        <v>Progress within level</v>
      </c>
      <c r="S266" s="160">
        <f t="shared" si="6"/>
        <v>1</v>
      </c>
      <c r="T266" s="177" t="s">
        <v>1008</v>
      </c>
      <c r="U266" s="160">
        <f>COUNTIFS(sheet2!$A:$A,A266,sheet2!$E:$E,E266)</f>
        <v>2</v>
      </c>
      <c r="V266" s="160"/>
      <c r="W266" s="160"/>
      <c r="X266" s="160" t="str">
        <f t="shared" si="7"/>
        <v>#N/A</v>
      </c>
      <c r="Y266" s="160" t="str">
        <f t="shared" si="8"/>
        <v>#N/A</v>
      </c>
      <c r="Z266" s="160" t="str">
        <f t="shared" si="9"/>
        <v>#N/A</v>
      </c>
      <c r="AA266" s="160"/>
      <c r="AB266" s="160"/>
      <c r="AC266" s="160"/>
      <c r="AD266" s="160"/>
      <c r="AE266" s="160"/>
      <c r="AF266" s="160"/>
      <c r="AG266" s="160"/>
      <c r="AH266" s="160"/>
      <c r="AI266" s="160"/>
      <c r="AJ266" s="160"/>
      <c r="AK266" s="160"/>
      <c r="AL266" s="160"/>
      <c r="AM266" s="160"/>
      <c r="AN266" s="164"/>
      <c r="AO266" s="160"/>
      <c r="AP266" s="160"/>
      <c r="AQ266" s="160"/>
      <c r="AR266" s="160"/>
      <c r="AS266" s="160"/>
      <c r="AT266" s="160"/>
      <c r="AU266" s="160"/>
      <c r="AV266" s="160"/>
      <c r="AW266" s="160"/>
      <c r="AX266" s="160"/>
      <c r="AY266" s="160"/>
      <c r="AZ266" s="160"/>
      <c r="BA266" s="160"/>
      <c r="BB266" s="160"/>
      <c r="BC266" s="160"/>
      <c r="BD266" s="160"/>
      <c r="BE266" s="160"/>
      <c r="BF266" s="160"/>
      <c r="BG266" s="160"/>
      <c r="BH266" s="160"/>
      <c r="BI266" s="160"/>
      <c r="BJ266" s="160"/>
      <c r="BK266" s="160"/>
      <c r="BL266" s="160"/>
      <c r="BM266" s="160"/>
      <c r="BN266" s="160"/>
      <c r="BO266" s="160"/>
      <c r="BP266" s="160"/>
      <c r="BQ266" s="160"/>
      <c r="BR266" s="160"/>
      <c r="BS266" s="160"/>
      <c r="BT266" s="160"/>
      <c r="BU266" s="160"/>
      <c r="BV266" s="160"/>
      <c r="BW266" s="160"/>
      <c r="BX266" s="160"/>
      <c r="BY266" s="160"/>
      <c r="BZ266" s="160"/>
      <c r="CA266" s="160"/>
      <c r="CB266" s="160"/>
      <c r="CC266" s="160"/>
      <c r="CD266" s="160"/>
      <c r="CE266" s="160"/>
      <c r="CF266" s="160"/>
      <c r="CG266" s="160"/>
      <c r="CH266" s="160"/>
      <c r="CI266" s="160"/>
      <c r="CJ266" s="160"/>
      <c r="CK266" s="160"/>
      <c r="CL266" s="160"/>
    </row>
    <row r="267">
      <c r="A267" s="174" t="s">
        <v>425</v>
      </c>
      <c r="B267" s="11" t="s">
        <v>426</v>
      </c>
      <c r="C267" s="175" t="s">
        <v>76</v>
      </c>
      <c r="D267" s="176" t="str">
        <f>IFERROR(VLOOKUP(C267, PIC!A:B, 2, 0), "")</f>
        <v>My Tran</v>
      </c>
      <c r="E267" s="11" t="s">
        <v>22</v>
      </c>
      <c r="F267" s="16" t="s">
        <v>849</v>
      </c>
      <c r="G267" s="16" t="s">
        <v>849</v>
      </c>
      <c r="H267" s="170">
        <f>IFERROR(
  MINIFS(ATTENDANCE_LOG!$F:$F,
         ATTENDANCE_LOG!$A:$A, C267,
         ATTENDANCE_LOG!$B:$B, E267),
"")</f>
        <v>45763.54167</v>
      </c>
      <c r="I267" s="170">
        <f t="shared" si="2"/>
        <v>45763.54167</v>
      </c>
      <c r="J267" s="11">
        <f>IFERROR(VLOOKUP(F267, LEVEL_HELPER!$A:$B, 2, 0), "")</f>
        <v>1</v>
      </c>
      <c r="K267" s="11">
        <f>IFERROR(VLOOKUP(G267, LEVEL_HELPER!$A:$B, 2, 0), "")</f>
        <v>1</v>
      </c>
      <c r="L267" s="171" t="s">
        <v>400</v>
      </c>
      <c r="M267" s="171" t="s">
        <v>150</v>
      </c>
      <c r="N267" s="11">
        <f t="array" ref="N267">IFERROR(
  INDEX($J$2:$J$531,
    MATCH(A267&amp;TEXT(I267,"yyyy-mm-dd"),
          $A$2:$A$531&amp;TEXT($H$2:$H$531,"yyyy-mm-dd"),
          0)),
"")</f>
        <v>1</v>
      </c>
      <c r="O267" s="160">
        <f t="shared" si="3"/>
        <v>1</v>
      </c>
      <c r="P267" s="160">
        <f t="shared" ref="P267:Q267" si="277">IF(N267="",0,IF(N267&lt;=2,1,IF(N267&lt;=4,2,IF(N267&lt;=5.5,3,4))))</f>
        <v>1</v>
      </c>
      <c r="Q267" s="160">
        <f t="shared" si="277"/>
        <v>1</v>
      </c>
      <c r="R267" s="160" t="str">
        <f t="shared" si="5"/>
        <v>No Progress</v>
      </c>
      <c r="S267" s="160">
        <f t="shared" si="6"/>
        <v>1</v>
      </c>
      <c r="T267" s="177" t="s">
        <v>1009</v>
      </c>
      <c r="U267" s="160">
        <f>COUNTIFS(sheet2!$A:$A,A267,sheet2!$E:$E,E267)</f>
        <v>1</v>
      </c>
      <c r="V267" s="160"/>
      <c r="W267" s="160"/>
      <c r="X267" s="160" t="str">
        <f t="shared" si="7"/>
        <v>#N/A</v>
      </c>
      <c r="Y267" s="160" t="str">
        <f t="shared" si="8"/>
        <v>#N/A</v>
      </c>
      <c r="Z267" s="160" t="str">
        <f t="shared" si="9"/>
        <v>#N/A</v>
      </c>
      <c r="AA267" s="160"/>
      <c r="AB267" s="160"/>
      <c r="AC267" s="160"/>
      <c r="AD267" s="160"/>
      <c r="AE267" s="160"/>
      <c r="AF267" s="160"/>
      <c r="AG267" s="160"/>
      <c r="AH267" s="160"/>
      <c r="AI267" s="160"/>
      <c r="AJ267" s="160"/>
      <c r="AK267" s="160"/>
      <c r="AL267" s="160"/>
      <c r="AM267" s="160"/>
      <c r="AN267" s="164"/>
      <c r="AO267" s="160"/>
      <c r="AP267" s="160"/>
      <c r="AQ267" s="160"/>
      <c r="AR267" s="160"/>
      <c r="AS267" s="160"/>
      <c r="AT267" s="160"/>
      <c r="AU267" s="160"/>
      <c r="AV267" s="160"/>
      <c r="AW267" s="160"/>
      <c r="AX267" s="160"/>
      <c r="AY267" s="160"/>
      <c r="AZ267" s="160"/>
      <c r="BA267" s="160"/>
      <c r="BB267" s="160"/>
      <c r="BC267" s="160"/>
      <c r="BD267" s="160"/>
      <c r="BE267" s="160"/>
      <c r="BF267" s="160"/>
      <c r="BG267" s="160"/>
      <c r="BH267" s="160"/>
      <c r="BI267" s="160"/>
      <c r="BJ267" s="160"/>
      <c r="BK267" s="160"/>
      <c r="BL267" s="160"/>
      <c r="BM267" s="160"/>
      <c r="BN267" s="160"/>
      <c r="BO267" s="160"/>
      <c r="BP267" s="160"/>
      <c r="BQ267" s="160"/>
      <c r="BR267" s="160"/>
      <c r="BS267" s="160"/>
      <c r="BT267" s="160"/>
      <c r="BU267" s="160"/>
      <c r="BV267" s="160"/>
      <c r="BW267" s="160"/>
      <c r="BX267" s="160"/>
      <c r="BY267" s="160"/>
      <c r="BZ267" s="160"/>
      <c r="CA267" s="160"/>
      <c r="CB267" s="160"/>
      <c r="CC267" s="160"/>
      <c r="CD267" s="160"/>
      <c r="CE267" s="160"/>
      <c r="CF267" s="160"/>
      <c r="CG267" s="160"/>
      <c r="CH267" s="160"/>
      <c r="CI267" s="160"/>
      <c r="CJ267" s="160"/>
      <c r="CK267" s="160"/>
      <c r="CL267" s="160"/>
    </row>
    <row r="268">
      <c r="A268" s="174" t="s">
        <v>427</v>
      </c>
      <c r="B268" s="11" t="s">
        <v>428</v>
      </c>
      <c r="C268" s="175" t="s">
        <v>76</v>
      </c>
      <c r="D268" s="176" t="str">
        <f>IFERROR(VLOOKUP(C268, PIC!A:B, 2, 0), "")</f>
        <v>My Tran</v>
      </c>
      <c r="E268" s="11" t="s">
        <v>22</v>
      </c>
      <c r="F268" s="16" t="s">
        <v>849</v>
      </c>
      <c r="G268" s="16" t="s">
        <v>849</v>
      </c>
      <c r="H268" s="170">
        <f>IFERROR(
  MINIFS(ATTENDANCE_LOG!$F:$F,
         ATTENDANCE_LOG!$A:$A, C268,
         ATTENDANCE_LOG!$B:$B, E268),
"")</f>
        <v>45763.54167</v>
      </c>
      <c r="I268" s="170">
        <f t="shared" si="2"/>
        <v>45763.54167</v>
      </c>
      <c r="J268" s="11">
        <f>IFERROR(VLOOKUP(F268, LEVEL_HELPER!$A:$B, 2, 0), "")</f>
        <v>1</v>
      </c>
      <c r="K268" s="11">
        <f>IFERROR(VLOOKUP(G268, LEVEL_HELPER!$A:$B, 2, 0), "")</f>
        <v>1</v>
      </c>
      <c r="L268" s="171" t="s">
        <v>400</v>
      </c>
      <c r="M268" s="171" t="s">
        <v>150</v>
      </c>
      <c r="N268" s="11">
        <f t="array" ref="N268">IFERROR(
  INDEX($J$2:$J$531,
    MATCH(A268&amp;TEXT(I268,"yyyy-mm-dd"),
          $A$2:$A$531&amp;TEXT($H$2:$H$531,"yyyy-mm-dd"),
          0)),
"")</f>
        <v>1</v>
      </c>
      <c r="O268" s="160">
        <f t="shared" si="3"/>
        <v>1</v>
      </c>
      <c r="P268" s="160">
        <f t="shared" ref="P268:Q268" si="278">IF(N268="",0,IF(N268&lt;=2,1,IF(N268&lt;=4,2,IF(N268&lt;=5.5,3,4))))</f>
        <v>1</v>
      </c>
      <c r="Q268" s="160">
        <f t="shared" si="278"/>
        <v>1</v>
      </c>
      <c r="R268" s="160" t="str">
        <f t="shared" si="5"/>
        <v>No Progress</v>
      </c>
      <c r="S268" s="160">
        <f t="shared" si="6"/>
        <v>1</v>
      </c>
      <c r="T268" s="177" t="s">
        <v>1010</v>
      </c>
      <c r="U268" s="160">
        <f>COUNTIFS(sheet2!$A:$A,A268,sheet2!$E:$E,E268)</f>
        <v>1</v>
      </c>
      <c r="V268" s="160"/>
      <c r="W268" s="160"/>
      <c r="X268" s="160" t="str">
        <f t="shared" si="7"/>
        <v>#N/A</v>
      </c>
      <c r="Y268" s="160" t="str">
        <f t="shared" si="8"/>
        <v>#N/A</v>
      </c>
      <c r="Z268" s="160" t="str">
        <f t="shared" si="9"/>
        <v>#N/A</v>
      </c>
      <c r="AA268" s="160"/>
      <c r="AB268" s="160"/>
      <c r="AC268" s="160"/>
      <c r="AD268" s="160"/>
      <c r="AE268" s="160"/>
      <c r="AF268" s="160"/>
      <c r="AG268" s="160"/>
      <c r="AH268" s="160"/>
      <c r="AI268" s="160"/>
      <c r="AJ268" s="160"/>
      <c r="AK268" s="160"/>
      <c r="AL268" s="160"/>
      <c r="AM268" s="160"/>
      <c r="AN268" s="164"/>
      <c r="AO268" s="160"/>
      <c r="AP268" s="160"/>
      <c r="AQ268" s="160"/>
      <c r="AR268" s="160"/>
      <c r="AS268" s="160"/>
      <c r="AT268" s="160"/>
      <c r="AU268" s="160"/>
      <c r="AV268" s="160"/>
      <c r="AW268" s="160"/>
      <c r="AX268" s="160"/>
      <c r="AY268" s="160"/>
      <c r="AZ268" s="160"/>
      <c r="BA268" s="160"/>
      <c r="BB268" s="160"/>
      <c r="BC268" s="160"/>
      <c r="BD268" s="160"/>
      <c r="BE268" s="160"/>
      <c r="BF268" s="160"/>
      <c r="BG268" s="160"/>
      <c r="BH268" s="160"/>
      <c r="BI268" s="160"/>
      <c r="BJ268" s="160"/>
      <c r="BK268" s="160"/>
      <c r="BL268" s="160"/>
      <c r="BM268" s="160"/>
      <c r="BN268" s="160"/>
      <c r="BO268" s="160"/>
      <c r="BP268" s="160"/>
      <c r="BQ268" s="160"/>
      <c r="BR268" s="160"/>
      <c r="BS268" s="160"/>
      <c r="BT268" s="160"/>
      <c r="BU268" s="160"/>
      <c r="BV268" s="160"/>
      <c r="BW268" s="160"/>
      <c r="BX268" s="160"/>
      <c r="BY268" s="160"/>
      <c r="BZ268" s="160"/>
      <c r="CA268" s="160"/>
      <c r="CB268" s="160"/>
      <c r="CC268" s="160"/>
      <c r="CD268" s="160"/>
      <c r="CE268" s="160"/>
      <c r="CF268" s="160"/>
      <c r="CG268" s="160"/>
      <c r="CH268" s="160"/>
      <c r="CI268" s="160"/>
      <c r="CJ268" s="160"/>
      <c r="CK268" s="160"/>
      <c r="CL268" s="160"/>
    </row>
    <row r="269">
      <c r="A269" s="174" t="s">
        <v>429</v>
      </c>
      <c r="B269" s="11" t="s">
        <v>430</v>
      </c>
      <c r="C269" s="175" t="s">
        <v>76</v>
      </c>
      <c r="D269" s="176" t="str">
        <f>IFERROR(VLOOKUP(C269, PIC!A:B, 2, 0), "")</f>
        <v>My Tran</v>
      </c>
      <c r="E269" s="11" t="s">
        <v>22</v>
      </c>
      <c r="F269" s="16" t="s">
        <v>849</v>
      </c>
      <c r="G269" s="16" t="s">
        <v>861</v>
      </c>
      <c r="H269" s="170">
        <f>IFERROR(
  MINIFS(ATTENDANCE_LOG!$F:$F,
         ATTENDANCE_LOG!$A:$A, C269,
         ATTENDANCE_LOG!$B:$B, E269),
"")</f>
        <v>45763.54167</v>
      </c>
      <c r="I269" s="170">
        <f t="shared" si="2"/>
        <v>45763.54167</v>
      </c>
      <c r="J269" s="11">
        <f>IFERROR(VLOOKUP(F269, LEVEL_HELPER!$A:$B, 2, 0), "")</f>
        <v>1</v>
      </c>
      <c r="K269" s="11">
        <f>IFERROR(VLOOKUP(G269, LEVEL_HELPER!$A:$B, 2, 0), "")</f>
        <v>3.5</v>
      </c>
      <c r="L269" s="171" t="s">
        <v>847</v>
      </c>
      <c r="M269" s="171" t="s">
        <v>150</v>
      </c>
      <c r="N269" s="11">
        <f t="array" ref="N269">IFERROR(
  INDEX($J$2:$J$531,
    MATCH(A269&amp;TEXT(I269,"yyyy-mm-dd"),
          $A$2:$A$531&amp;TEXT($H$2:$H$531,"yyyy-mm-dd"),
          0)),
"")</f>
        <v>1</v>
      </c>
      <c r="O269" s="160">
        <f t="shared" si="3"/>
        <v>3.5</v>
      </c>
      <c r="P269" s="160">
        <f t="shared" ref="P269:Q269" si="279">IF(N269="",0,IF(N269&lt;=2,1,IF(N269&lt;=4,2,IF(N269&lt;=5.5,3,4))))</f>
        <v>1</v>
      </c>
      <c r="Q269" s="160">
        <f t="shared" si="279"/>
        <v>2</v>
      </c>
      <c r="R269" s="160" t="str">
        <f t="shared" si="5"/>
        <v>Lv1 → Lv2</v>
      </c>
      <c r="S269" s="160">
        <f t="shared" si="6"/>
        <v>1</v>
      </c>
      <c r="T269" s="177" t="s">
        <v>1011</v>
      </c>
      <c r="U269" s="160">
        <f>COUNTIFS(sheet2!$A:$A,A269,sheet2!$E:$E,E269)</f>
        <v>1</v>
      </c>
      <c r="V269" s="160"/>
      <c r="W269" s="160"/>
      <c r="X269" s="160" t="str">
        <f t="shared" si="7"/>
        <v>#N/A</v>
      </c>
      <c r="Y269" s="160" t="str">
        <f t="shared" si="8"/>
        <v>#N/A</v>
      </c>
      <c r="Z269" s="160" t="str">
        <f t="shared" si="9"/>
        <v>#N/A</v>
      </c>
      <c r="AA269" s="160"/>
      <c r="AB269" s="160"/>
      <c r="AC269" s="160"/>
      <c r="AD269" s="160"/>
      <c r="AE269" s="160"/>
      <c r="AF269" s="160"/>
      <c r="AG269" s="160"/>
      <c r="AH269" s="160"/>
      <c r="AI269" s="160"/>
      <c r="AJ269" s="160"/>
      <c r="AK269" s="160"/>
      <c r="AL269" s="160"/>
      <c r="AM269" s="160"/>
      <c r="AN269" s="164"/>
      <c r="AO269" s="160"/>
      <c r="AP269" s="160"/>
      <c r="AQ269" s="160"/>
      <c r="AR269" s="160"/>
      <c r="AS269" s="160"/>
      <c r="AT269" s="160"/>
      <c r="AU269" s="160"/>
      <c r="AV269" s="160"/>
      <c r="AW269" s="160"/>
      <c r="AX269" s="160"/>
      <c r="AY269" s="160"/>
      <c r="AZ269" s="160"/>
      <c r="BA269" s="160"/>
      <c r="BB269" s="160"/>
      <c r="BC269" s="160"/>
      <c r="BD269" s="160"/>
      <c r="BE269" s="160"/>
      <c r="BF269" s="160"/>
      <c r="BG269" s="160"/>
      <c r="BH269" s="160"/>
      <c r="BI269" s="160"/>
      <c r="BJ269" s="160"/>
      <c r="BK269" s="160"/>
      <c r="BL269" s="160"/>
      <c r="BM269" s="160"/>
      <c r="BN269" s="160"/>
      <c r="BO269" s="160"/>
      <c r="BP269" s="160"/>
      <c r="BQ269" s="160"/>
      <c r="BR269" s="160"/>
      <c r="BS269" s="160"/>
      <c r="BT269" s="160"/>
      <c r="BU269" s="160"/>
      <c r="BV269" s="160"/>
      <c r="BW269" s="160"/>
      <c r="BX269" s="160"/>
      <c r="BY269" s="160"/>
      <c r="BZ269" s="160"/>
      <c r="CA269" s="160"/>
      <c r="CB269" s="160"/>
      <c r="CC269" s="160"/>
      <c r="CD269" s="160"/>
      <c r="CE269" s="160"/>
      <c r="CF269" s="160"/>
      <c r="CG269" s="160"/>
      <c r="CH269" s="160"/>
      <c r="CI269" s="160"/>
      <c r="CJ269" s="160"/>
      <c r="CK269" s="160"/>
      <c r="CL269" s="160"/>
    </row>
    <row r="270">
      <c r="A270" s="174" t="s">
        <v>326</v>
      </c>
      <c r="B270" s="11" t="s">
        <v>327</v>
      </c>
      <c r="C270" s="175" t="s">
        <v>76</v>
      </c>
      <c r="D270" s="176" t="str">
        <f>IFERROR(VLOOKUP(C270, PIC!A:B, 2, 0), "")</f>
        <v>My Tran</v>
      </c>
      <c r="E270" s="11" t="s">
        <v>22</v>
      </c>
      <c r="F270" s="16" t="s">
        <v>849</v>
      </c>
      <c r="G270" s="16" t="s">
        <v>849</v>
      </c>
      <c r="H270" s="170">
        <f>IFERROR(
  MINIFS(ATTENDANCE_LOG!$F:$F,
         ATTENDANCE_LOG!$A:$A, C270,
         ATTENDANCE_LOG!$B:$B, E270),
"")</f>
        <v>45763.54167</v>
      </c>
      <c r="I270" s="170">
        <f t="shared" si="2"/>
        <v>45763.54167</v>
      </c>
      <c r="J270" s="11">
        <f>IFERROR(VLOOKUP(F270, LEVEL_HELPER!$A:$B, 2, 0), "")</f>
        <v>1</v>
      </c>
      <c r="K270" s="11">
        <f>IFERROR(VLOOKUP(G270, LEVEL_HELPER!$A:$B, 2, 0), "")</f>
        <v>1</v>
      </c>
      <c r="L270" s="171" t="s">
        <v>400</v>
      </c>
      <c r="M270" s="171" t="s">
        <v>150</v>
      </c>
      <c r="N270" s="11">
        <f t="array" ref="N270">IFERROR(
  INDEX($J$2:$J$531,
    MATCH(A270&amp;TEXT(I270,"yyyy-mm-dd"),
          $A$2:$A$531&amp;TEXT($H$2:$H$531,"yyyy-mm-dd"),
          0)),
"")</f>
        <v>1</v>
      </c>
      <c r="O270" s="160">
        <f t="shared" si="3"/>
        <v>1.5</v>
      </c>
      <c r="P270" s="160">
        <f t="shared" ref="P270:Q270" si="280">IF(N270="",0,IF(N270&lt;=2,1,IF(N270&lt;=4,2,IF(N270&lt;=5.5,3,4))))</f>
        <v>1</v>
      </c>
      <c r="Q270" s="160">
        <f t="shared" si="280"/>
        <v>1</v>
      </c>
      <c r="R270" s="160" t="str">
        <f t="shared" si="5"/>
        <v>Progress within level</v>
      </c>
      <c r="S270" s="160">
        <f t="shared" si="6"/>
        <v>1</v>
      </c>
      <c r="T270" s="177" t="s">
        <v>1012</v>
      </c>
      <c r="U270" s="160">
        <f>COUNTIFS(sheet2!$A:$A,A270,sheet2!$E:$E,E270)</f>
        <v>2</v>
      </c>
      <c r="V270" s="160"/>
      <c r="W270" s="160"/>
      <c r="X270" s="160" t="str">
        <f t="shared" si="7"/>
        <v>#N/A</v>
      </c>
      <c r="Y270" s="160" t="str">
        <f t="shared" si="8"/>
        <v>#N/A</v>
      </c>
      <c r="Z270" s="160" t="str">
        <f t="shared" si="9"/>
        <v>#N/A</v>
      </c>
      <c r="AA270" s="160"/>
      <c r="AB270" s="160"/>
      <c r="AC270" s="160"/>
      <c r="AD270" s="160"/>
      <c r="AE270" s="160"/>
      <c r="AF270" s="160"/>
      <c r="AG270" s="160"/>
      <c r="AH270" s="160"/>
      <c r="AI270" s="160"/>
      <c r="AJ270" s="160"/>
      <c r="AK270" s="160"/>
      <c r="AL270" s="160"/>
      <c r="AM270" s="160"/>
      <c r="AN270" s="164"/>
      <c r="AO270" s="160"/>
      <c r="AP270" s="160"/>
      <c r="AQ270" s="160"/>
      <c r="AR270" s="160"/>
      <c r="AS270" s="160"/>
      <c r="AT270" s="160"/>
      <c r="AU270" s="160"/>
      <c r="AV270" s="160"/>
      <c r="AW270" s="160"/>
      <c r="AX270" s="160"/>
      <c r="AY270" s="160"/>
      <c r="AZ270" s="160"/>
      <c r="BA270" s="160"/>
      <c r="BB270" s="160"/>
      <c r="BC270" s="160"/>
      <c r="BD270" s="160"/>
      <c r="BE270" s="160"/>
      <c r="BF270" s="160"/>
      <c r="BG270" s="160"/>
      <c r="BH270" s="160"/>
      <c r="BI270" s="160"/>
      <c r="BJ270" s="160"/>
      <c r="BK270" s="160"/>
      <c r="BL270" s="160"/>
      <c r="BM270" s="160"/>
      <c r="BN270" s="160"/>
      <c r="BO270" s="160"/>
      <c r="BP270" s="160"/>
      <c r="BQ270" s="160"/>
      <c r="BR270" s="160"/>
      <c r="BS270" s="160"/>
      <c r="BT270" s="160"/>
      <c r="BU270" s="160"/>
      <c r="BV270" s="160"/>
      <c r="BW270" s="160"/>
      <c r="BX270" s="160"/>
      <c r="BY270" s="160"/>
      <c r="BZ270" s="160"/>
      <c r="CA270" s="160"/>
      <c r="CB270" s="160"/>
      <c r="CC270" s="160"/>
      <c r="CD270" s="160"/>
      <c r="CE270" s="160"/>
      <c r="CF270" s="160"/>
      <c r="CG270" s="160"/>
      <c r="CH270" s="160"/>
      <c r="CI270" s="160"/>
      <c r="CJ270" s="160"/>
      <c r="CK270" s="160"/>
      <c r="CL270" s="160"/>
    </row>
    <row r="271">
      <c r="A271" s="174" t="s">
        <v>329</v>
      </c>
      <c r="B271" s="11" t="s">
        <v>330</v>
      </c>
      <c r="C271" s="175" t="s">
        <v>76</v>
      </c>
      <c r="D271" s="176" t="str">
        <f>IFERROR(VLOOKUP(C271, PIC!A:B, 2, 0), "")</f>
        <v>My Tran</v>
      </c>
      <c r="E271" s="11" t="s">
        <v>22</v>
      </c>
      <c r="F271" s="16" t="s">
        <v>849</v>
      </c>
      <c r="G271" s="16" t="s">
        <v>849</v>
      </c>
      <c r="H271" s="170">
        <f>IFERROR(
  MINIFS(ATTENDANCE_LOG!$F:$F,
         ATTENDANCE_LOG!$A:$A, C271,
         ATTENDANCE_LOG!$B:$B, E271),
"")</f>
        <v>45763.54167</v>
      </c>
      <c r="I271" s="170">
        <f t="shared" si="2"/>
        <v>45763.54167</v>
      </c>
      <c r="J271" s="11">
        <f>IFERROR(VLOOKUP(F271, LEVEL_HELPER!$A:$B, 2, 0), "")</f>
        <v>1</v>
      </c>
      <c r="K271" s="11">
        <f>IFERROR(VLOOKUP(G271, LEVEL_HELPER!$A:$B, 2, 0), "")</f>
        <v>1</v>
      </c>
      <c r="L271" s="171" t="s">
        <v>400</v>
      </c>
      <c r="M271" s="171" t="s">
        <v>150</v>
      </c>
      <c r="N271" s="11">
        <f t="array" ref="N271">IFERROR(
  INDEX($J$2:$J$531,
    MATCH(A271&amp;TEXT(I271,"yyyy-mm-dd"),
          $A$2:$A$531&amp;TEXT($H$2:$H$531,"yyyy-mm-dd"),
          0)),
"")</f>
        <v>1</v>
      </c>
      <c r="O271" s="160">
        <f t="shared" si="3"/>
        <v>3.5</v>
      </c>
      <c r="P271" s="160">
        <f t="shared" ref="P271:Q271" si="281">IF(N271="",0,IF(N271&lt;=2,1,IF(N271&lt;=4,2,IF(N271&lt;=5.5,3,4))))</f>
        <v>1</v>
      </c>
      <c r="Q271" s="160">
        <f t="shared" si="281"/>
        <v>2</v>
      </c>
      <c r="R271" s="160" t="str">
        <f t="shared" si="5"/>
        <v>Lv1 → Lv2</v>
      </c>
      <c r="S271" s="160">
        <f t="shared" si="6"/>
        <v>1</v>
      </c>
      <c r="T271" s="177" t="s">
        <v>1013</v>
      </c>
      <c r="U271" s="160">
        <f>COUNTIFS(sheet2!$A:$A,A271,sheet2!$E:$E,E271)</f>
        <v>2</v>
      </c>
      <c r="V271" s="160"/>
      <c r="W271" s="160"/>
      <c r="X271" s="160" t="str">
        <f t="shared" si="7"/>
        <v>#N/A</v>
      </c>
      <c r="Y271" s="160" t="str">
        <f t="shared" si="8"/>
        <v>#N/A</v>
      </c>
      <c r="Z271" s="160" t="str">
        <f t="shared" si="9"/>
        <v>#N/A</v>
      </c>
      <c r="AA271" s="160"/>
      <c r="AB271" s="160"/>
      <c r="AC271" s="160"/>
      <c r="AD271" s="160"/>
      <c r="AE271" s="160"/>
      <c r="AF271" s="160"/>
      <c r="AG271" s="160"/>
      <c r="AH271" s="160"/>
      <c r="AI271" s="160"/>
      <c r="AJ271" s="160"/>
      <c r="AK271" s="160"/>
      <c r="AL271" s="160"/>
      <c r="AM271" s="160"/>
      <c r="AN271" s="164"/>
      <c r="AO271" s="160"/>
      <c r="AP271" s="160"/>
      <c r="AQ271" s="160"/>
      <c r="AR271" s="160"/>
      <c r="AS271" s="160"/>
      <c r="AT271" s="160"/>
      <c r="AU271" s="160"/>
      <c r="AV271" s="160"/>
      <c r="AW271" s="160"/>
      <c r="AX271" s="160"/>
      <c r="AY271" s="160"/>
      <c r="AZ271" s="160"/>
      <c r="BA271" s="160"/>
      <c r="BB271" s="160"/>
      <c r="BC271" s="160"/>
      <c r="BD271" s="160"/>
      <c r="BE271" s="160"/>
      <c r="BF271" s="160"/>
      <c r="BG271" s="160"/>
      <c r="BH271" s="160"/>
      <c r="BI271" s="160"/>
      <c r="BJ271" s="160"/>
      <c r="BK271" s="160"/>
      <c r="BL271" s="160"/>
      <c r="BM271" s="160"/>
      <c r="BN271" s="160"/>
      <c r="BO271" s="160"/>
      <c r="BP271" s="160"/>
      <c r="BQ271" s="160"/>
      <c r="BR271" s="160"/>
      <c r="BS271" s="160"/>
      <c r="BT271" s="160"/>
      <c r="BU271" s="160"/>
      <c r="BV271" s="160"/>
      <c r="BW271" s="160"/>
      <c r="BX271" s="160"/>
      <c r="BY271" s="160"/>
      <c r="BZ271" s="160"/>
      <c r="CA271" s="160"/>
      <c r="CB271" s="160"/>
      <c r="CC271" s="160"/>
      <c r="CD271" s="160"/>
      <c r="CE271" s="160"/>
      <c r="CF271" s="160"/>
      <c r="CG271" s="160"/>
      <c r="CH271" s="160"/>
      <c r="CI271" s="160"/>
      <c r="CJ271" s="160"/>
      <c r="CK271" s="160"/>
      <c r="CL271" s="160"/>
    </row>
    <row r="272">
      <c r="A272" s="174" t="s">
        <v>419</v>
      </c>
      <c r="B272" s="11" t="s">
        <v>420</v>
      </c>
      <c r="C272" s="175" t="s">
        <v>76</v>
      </c>
      <c r="D272" s="176" t="str">
        <f>IFERROR(VLOOKUP(C272, PIC!A:B, 2, 0), "")</f>
        <v>My Tran</v>
      </c>
      <c r="E272" s="11" t="s">
        <v>23</v>
      </c>
      <c r="F272" s="16" t="s">
        <v>845</v>
      </c>
      <c r="G272" s="16" t="s">
        <v>846</v>
      </c>
      <c r="H272" s="170">
        <f>IFERROR(
  MINIFS(ATTENDANCE_LOG!$F:$F,
         ATTENDANCE_LOG!$A:$A, C272,
         ATTENDANCE_LOG!$B:$B, E272),
"")</f>
        <v>45895.58333</v>
      </c>
      <c r="I272" s="170">
        <f t="shared" si="2"/>
        <v>45763.54167</v>
      </c>
      <c r="J272" s="11">
        <f>IFERROR(VLOOKUP(F272, LEVEL_HELPER!$A:$B, 2, 0), "")</f>
        <v>2.5</v>
      </c>
      <c r="K272" s="11">
        <f>IFERROR(VLOOKUP(G272, LEVEL_HELPER!$A:$B, 2, 0), "")</f>
        <v>3</v>
      </c>
      <c r="L272" s="171" t="s">
        <v>400</v>
      </c>
      <c r="M272" s="171" t="s">
        <v>150</v>
      </c>
      <c r="N272" s="11">
        <f t="array" ref="N272">IFERROR(
  INDEX($J$2:$J$531,
    MATCH(A272&amp;TEXT(I272,"yyyy-mm-dd"),
          $A$2:$A$531&amp;TEXT($H$2:$H$531,"yyyy-mm-dd"),
          0)),
"")</f>
        <v>2.5</v>
      </c>
      <c r="O272" s="160">
        <f t="shared" si="3"/>
        <v>3</v>
      </c>
      <c r="P272" s="160">
        <f t="shared" ref="P272:Q272" si="282">IF(N272="",0,IF(N272&lt;=2,1,IF(N272&lt;=4,2,IF(N272&lt;=5.5,3,4))))</f>
        <v>2</v>
      </c>
      <c r="Q272" s="160">
        <f t="shared" si="282"/>
        <v>2</v>
      </c>
      <c r="R272" s="160" t="str">
        <f t="shared" si="5"/>
        <v>Progress within level</v>
      </c>
      <c r="S272" s="160">
        <f t="shared" si="6"/>
        <v>0</v>
      </c>
      <c r="T272" s="177" t="s">
        <v>1007</v>
      </c>
      <c r="U272" s="160">
        <f>COUNTIFS(sheet2!$A:$A,A272,sheet2!$E:$E,E272)</f>
        <v>1</v>
      </c>
      <c r="V272" s="160"/>
      <c r="W272" s="160"/>
      <c r="X272" s="160" t="str">
        <f t="shared" si="7"/>
        <v>#N/A</v>
      </c>
      <c r="Y272" s="160" t="str">
        <f t="shared" si="8"/>
        <v>#N/A</v>
      </c>
      <c r="Z272" s="160" t="str">
        <f t="shared" si="9"/>
        <v>#N/A</v>
      </c>
      <c r="AA272" s="160"/>
      <c r="AB272" s="160"/>
      <c r="AC272" s="160"/>
      <c r="AD272" s="160"/>
      <c r="AE272" s="160"/>
      <c r="AF272" s="160"/>
      <c r="AG272" s="160"/>
      <c r="AH272" s="160"/>
      <c r="AI272" s="160"/>
      <c r="AJ272" s="160"/>
      <c r="AK272" s="160"/>
      <c r="AL272" s="160"/>
      <c r="AM272" s="160"/>
      <c r="AN272" s="164"/>
      <c r="AO272" s="160"/>
      <c r="AP272" s="160"/>
      <c r="AQ272" s="160"/>
      <c r="AR272" s="160"/>
      <c r="AS272" s="160"/>
      <c r="AT272" s="160"/>
      <c r="AU272" s="160"/>
      <c r="AV272" s="160"/>
      <c r="AW272" s="160"/>
      <c r="AX272" s="160"/>
      <c r="AY272" s="160"/>
      <c r="AZ272" s="160"/>
      <c r="BA272" s="160"/>
      <c r="BB272" s="160"/>
      <c r="BC272" s="160"/>
      <c r="BD272" s="160"/>
      <c r="BE272" s="160"/>
      <c r="BF272" s="160"/>
      <c r="BG272" s="160"/>
      <c r="BH272" s="160"/>
      <c r="BI272" s="160"/>
      <c r="BJ272" s="160"/>
      <c r="BK272" s="160"/>
      <c r="BL272" s="160"/>
      <c r="BM272" s="160"/>
      <c r="BN272" s="160"/>
      <c r="BO272" s="160"/>
      <c r="BP272" s="160"/>
      <c r="BQ272" s="160"/>
      <c r="BR272" s="160"/>
      <c r="BS272" s="160"/>
      <c r="BT272" s="160"/>
      <c r="BU272" s="160"/>
      <c r="BV272" s="160"/>
      <c r="BW272" s="160"/>
      <c r="BX272" s="160"/>
      <c r="BY272" s="160"/>
      <c r="BZ272" s="160"/>
      <c r="CA272" s="160"/>
      <c r="CB272" s="160"/>
      <c r="CC272" s="160"/>
      <c r="CD272" s="160"/>
      <c r="CE272" s="160"/>
      <c r="CF272" s="160"/>
      <c r="CG272" s="160"/>
      <c r="CH272" s="160"/>
      <c r="CI272" s="160"/>
      <c r="CJ272" s="160"/>
      <c r="CK272" s="160"/>
      <c r="CL272" s="160"/>
    </row>
    <row r="273">
      <c r="A273" s="166" t="s">
        <v>431</v>
      </c>
      <c r="B273" s="167" t="s">
        <v>432</v>
      </c>
      <c r="C273" s="168" t="s">
        <v>76</v>
      </c>
      <c r="D273" s="169" t="str">
        <f>IFERROR(VLOOKUP(C273, PIC!A:B, 2, 0), "")</f>
        <v>My Tran</v>
      </c>
      <c r="E273" s="167" t="s">
        <v>23</v>
      </c>
      <c r="F273" s="16" t="s">
        <v>846</v>
      </c>
      <c r="G273" s="11"/>
      <c r="H273" s="170">
        <f>IFERROR(
  MINIFS(ATTENDANCE_LOG!$F:$F,
         ATTENDANCE_LOG!$A:$A, C273,
         ATTENDANCE_LOG!$B:$B, E273),
"")</f>
        <v>45895.58333</v>
      </c>
      <c r="I273" s="170">
        <f t="shared" si="2"/>
        <v>45763.54167</v>
      </c>
      <c r="J273" s="11">
        <f>IFERROR(VLOOKUP(F273, LEVEL_HELPER!$A:$B, 2, 0), "")</f>
        <v>3</v>
      </c>
      <c r="K273" s="11" t="str">
        <f>IFERROR(VLOOKUP(G273, LEVEL_HELPER!$A:$B, 2, 0), "")</f>
        <v/>
      </c>
      <c r="L273" s="171" t="s">
        <v>847</v>
      </c>
      <c r="M273" s="171" t="s">
        <v>150</v>
      </c>
      <c r="N273" s="11">
        <f t="array" ref="N273">IFERROR(
  INDEX($J$2:$J$531,
    MATCH(A273&amp;TEXT(I273,"yyyy-mm-dd"),
          $A$2:$A$531&amp;TEXT($H$2:$H$531,"yyyy-mm-dd"),
          0)),
"")</f>
        <v>1</v>
      </c>
      <c r="O273" s="160">
        <f t="shared" si="3"/>
        <v>3</v>
      </c>
      <c r="P273" s="160">
        <f t="shared" ref="P273:Q273" si="283">IF(N273="",0,IF(N273&lt;=2,1,IF(N273&lt;=4,2,IF(N273&lt;=5.5,3,4))))</f>
        <v>1</v>
      </c>
      <c r="Q273" s="160">
        <f t="shared" si="283"/>
        <v>2</v>
      </c>
      <c r="R273" s="160" t="str">
        <f t="shared" si="5"/>
        <v>Lv1 → Lv2</v>
      </c>
      <c r="S273" s="160">
        <f t="shared" si="6"/>
        <v>0</v>
      </c>
      <c r="T273" s="172" t="s">
        <v>1006</v>
      </c>
      <c r="U273" s="160">
        <f>COUNTIFS(sheet2!$A:$A,A273,sheet2!$E:$E,E273)</f>
        <v>1</v>
      </c>
      <c r="V273" s="160"/>
      <c r="W273" s="160"/>
      <c r="X273" s="160" t="str">
        <f t="shared" si="7"/>
        <v>#N/A</v>
      </c>
      <c r="Y273" s="160" t="str">
        <f t="shared" si="8"/>
        <v>#N/A</v>
      </c>
      <c r="Z273" s="160" t="str">
        <f t="shared" si="9"/>
        <v>#N/A</v>
      </c>
      <c r="AA273" s="160"/>
      <c r="AB273" s="160"/>
      <c r="AC273" s="160"/>
      <c r="AD273" s="160"/>
      <c r="AE273" s="160"/>
      <c r="AF273" s="160"/>
      <c r="AG273" s="160"/>
      <c r="AH273" s="160"/>
      <c r="AI273" s="160"/>
      <c r="AJ273" s="160"/>
      <c r="AK273" s="160"/>
      <c r="AL273" s="160"/>
      <c r="AM273" s="160"/>
      <c r="AN273" s="164"/>
      <c r="AO273" s="160"/>
      <c r="AP273" s="160"/>
      <c r="AQ273" s="160"/>
      <c r="AR273" s="160"/>
      <c r="AS273" s="160"/>
      <c r="AT273" s="160"/>
      <c r="AU273" s="160"/>
      <c r="AV273" s="160"/>
      <c r="AW273" s="160"/>
      <c r="AX273" s="160"/>
      <c r="AY273" s="160"/>
      <c r="AZ273" s="160"/>
      <c r="BA273" s="160"/>
      <c r="BB273" s="160"/>
      <c r="BC273" s="160"/>
      <c r="BD273" s="160"/>
      <c r="BE273" s="160"/>
      <c r="BF273" s="160"/>
      <c r="BG273" s="160"/>
      <c r="BH273" s="160"/>
      <c r="BI273" s="160"/>
      <c r="BJ273" s="160"/>
      <c r="BK273" s="160"/>
      <c r="BL273" s="160"/>
      <c r="BM273" s="160"/>
      <c r="BN273" s="160"/>
      <c r="BO273" s="160"/>
      <c r="BP273" s="160"/>
      <c r="BQ273" s="160"/>
      <c r="BR273" s="160"/>
      <c r="BS273" s="160"/>
      <c r="BT273" s="160"/>
      <c r="BU273" s="160"/>
      <c r="BV273" s="160"/>
      <c r="BW273" s="160"/>
      <c r="BX273" s="160"/>
      <c r="BY273" s="160"/>
      <c r="BZ273" s="160"/>
      <c r="CA273" s="160"/>
      <c r="CB273" s="160"/>
      <c r="CC273" s="160"/>
      <c r="CD273" s="160"/>
      <c r="CE273" s="160"/>
      <c r="CF273" s="160"/>
      <c r="CG273" s="160"/>
      <c r="CH273" s="160"/>
      <c r="CI273" s="160"/>
      <c r="CJ273" s="160"/>
      <c r="CK273" s="160"/>
      <c r="CL273" s="160"/>
    </row>
    <row r="274">
      <c r="A274" s="174" t="s">
        <v>421</v>
      </c>
      <c r="B274" s="11" t="s">
        <v>422</v>
      </c>
      <c r="C274" s="175" t="s">
        <v>76</v>
      </c>
      <c r="D274" s="176" t="str">
        <f>IFERROR(VLOOKUP(C274, PIC!A:B, 2, 0), "")</f>
        <v>My Tran</v>
      </c>
      <c r="E274" s="11" t="s">
        <v>23</v>
      </c>
      <c r="F274" s="16" t="s">
        <v>846</v>
      </c>
      <c r="G274" s="11"/>
      <c r="H274" s="170">
        <f>IFERROR(
  MINIFS(ATTENDANCE_LOG!$F:$F,
         ATTENDANCE_LOG!$A:$A, C274,
         ATTENDANCE_LOG!$B:$B, E274),
"")</f>
        <v>45895.58333</v>
      </c>
      <c r="I274" s="170">
        <f t="shared" si="2"/>
        <v>45639.41667</v>
      </c>
      <c r="J274" s="11">
        <f>IFERROR(VLOOKUP(F274, LEVEL_HELPER!$A:$B, 2, 0), "")</f>
        <v>3</v>
      </c>
      <c r="K274" s="11" t="str">
        <f>IFERROR(VLOOKUP(G274, LEVEL_HELPER!$A:$B, 2, 0), "")</f>
        <v/>
      </c>
      <c r="L274" s="171" t="s">
        <v>400</v>
      </c>
      <c r="M274" s="171" t="s">
        <v>150</v>
      </c>
      <c r="N274" s="11">
        <f t="array" ref="N274">IFERROR(
  INDEX($J$2:$J$531,
    MATCH(A274&amp;TEXT(I274,"yyyy-mm-dd"),
          $A$2:$A$531&amp;TEXT($H$2:$H$531,"yyyy-mm-dd"),
          0)),
"")</f>
        <v>1</v>
      </c>
      <c r="O274" s="160">
        <f t="shared" si="3"/>
        <v>3</v>
      </c>
      <c r="P274" s="160">
        <f t="shared" ref="P274:Q274" si="284">IF(N274="",0,IF(N274&lt;=2,1,IF(N274&lt;=4,2,IF(N274&lt;=5.5,3,4))))</f>
        <v>1</v>
      </c>
      <c r="Q274" s="160">
        <f t="shared" si="284"/>
        <v>2</v>
      </c>
      <c r="R274" s="160" t="str">
        <f t="shared" si="5"/>
        <v>Lv1 → Lv2</v>
      </c>
      <c r="S274" s="160">
        <f t="shared" si="6"/>
        <v>0</v>
      </c>
      <c r="T274" s="177" t="s">
        <v>900</v>
      </c>
      <c r="U274" s="160">
        <f>COUNTIFS(sheet2!$A:$A,A274,sheet2!$E:$E,E274)</f>
        <v>1</v>
      </c>
      <c r="V274" s="160"/>
      <c r="W274" s="160"/>
      <c r="X274" s="160" t="str">
        <f t="shared" si="7"/>
        <v>#N/A</v>
      </c>
      <c r="Y274" s="160" t="str">
        <f t="shared" si="8"/>
        <v>#N/A</v>
      </c>
      <c r="Z274" s="160" t="str">
        <f t="shared" si="9"/>
        <v>#N/A</v>
      </c>
      <c r="AA274" s="160"/>
      <c r="AB274" s="160"/>
      <c r="AC274" s="160"/>
      <c r="AD274" s="160"/>
      <c r="AE274" s="160"/>
      <c r="AF274" s="160"/>
      <c r="AG274" s="160"/>
      <c r="AH274" s="160"/>
      <c r="AI274" s="160"/>
      <c r="AJ274" s="160"/>
      <c r="AK274" s="160"/>
      <c r="AL274" s="160"/>
      <c r="AM274" s="160"/>
      <c r="AN274" s="164"/>
      <c r="AO274" s="160"/>
      <c r="AP274" s="160"/>
      <c r="AQ274" s="160"/>
      <c r="AR274" s="160"/>
      <c r="AS274" s="160"/>
      <c r="AT274" s="160"/>
      <c r="AU274" s="160"/>
      <c r="AV274" s="160"/>
      <c r="AW274" s="160"/>
      <c r="AX274" s="160"/>
      <c r="AY274" s="160"/>
      <c r="AZ274" s="160"/>
      <c r="BA274" s="160"/>
      <c r="BB274" s="160"/>
      <c r="BC274" s="160"/>
      <c r="BD274" s="160"/>
      <c r="BE274" s="160"/>
      <c r="BF274" s="160"/>
      <c r="BG274" s="160"/>
      <c r="BH274" s="160"/>
      <c r="BI274" s="160"/>
      <c r="BJ274" s="160"/>
      <c r="BK274" s="160"/>
      <c r="BL274" s="160"/>
      <c r="BM274" s="160"/>
      <c r="BN274" s="160"/>
      <c r="BO274" s="160"/>
      <c r="BP274" s="160"/>
      <c r="BQ274" s="160"/>
      <c r="BR274" s="160"/>
      <c r="BS274" s="160"/>
      <c r="BT274" s="160"/>
      <c r="BU274" s="160"/>
      <c r="BV274" s="160"/>
      <c r="BW274" s="160"/>
      <c r="BX274" s="160"/>
      <c r="BY274" s="160"/>
      <c r="BZ274" s="160"/>
      <c r="CA274" s="160"/>
      <c r="CB274" s="160"/>
      <c r="CC274" s="160"/>
      <c r="CD274" s="160"/>
      <c r="CE274" s="160"/>
      <c r="CF274" s="160"/>
      <c r="CG274" s="160"/>
      <c r="CH274" s="160"/>
      <c r="CI274" s="160"/>
      <c r="CJ274" s="160"/>
      <c r="CK274" s="160"/>
      <c r="CL274" s="160"/>
    </row>
    <row r="275">
      <c r="A275" s="174" t="s">
        <v>423</v>
      </c>
      <c r="B275" s="11" t="s">
        <v>424</v>
      </c>
      <c r="C275" s="175" t="s">
        <v>76</v>
      </c>
      <c r="D275" s="176" t="str">
        <f>IFERROR(VLOOKUP(C275, PIC!A:B, 2, 0), "")</f>
        <v>My Tran</v>
      </c>
      <c r="E275" s="11" t="s">
        <v>23</v>
      </c>
      <c r="F275" s="16" t="s">
        <v>861</v>
      </c>
      <c r="G275" s="11"/>
      <c r="H275" s="170">
        <f>IFERROR(
  MINIFS(ATTENDANCE_LOG!$F:$F,
         ATTENDANCE_LOG!$A:$A, C275,
         ATTENDANCE_LOG!$B:$B, E275),
"")</f>
        <v>45895.58333</v>
      </c>
      <c r="I275" s="170">
        <f t="shared" si="2"/>
        <v>45715.45833</v>
      </c>
      <c r="J275" s="11">
        <f>IFERROR(VLOOKUP(F275, LEVEL_HELPER!$A:$B, 2, 0), "")</f>
        <v>3.5</v>
      </c>
      <c r="K275" s="11" t="str">
        <f>IFERROR(VLOOKUP(G275, LEVEL_HELPER!$A:$B, 2, 0), "")</f>
        <v/>
      </c>
      <c r="L275" s="171" t="s">
        <v>880</v>
      </c>
      <c r="M275" s="171" t="s">
        <v>150</v>
      </c>
      <c r="N275" s="11">
        <f t="array" ref="N275">IFERROR(
  INDEX($J$2:$J$531,
    MATCH(A275&amp;TEXT(I275,"yyyy-mm-dd"),
          $A$2:$A$531&amp;TEXT($H$2:$H$531,"yyyy-mm-dd"),
          0)),
"")</f>
        <v>2.5</v>
      </c>
      <c r="O275" s="160">
        <f t="shared" si="3"/>
        <v>3.5</v>
      </c>
      <c r="P275" s="160">
        <f t="shared" ref="P275:Q275" si="285">IF(N275="",0,IF(N275&lt;=2,1,IF(N275&lt;=4,2,IF(N275&lt;=5.5,3,4))))</f>
        <v>2</v>
      </c>
      <c r="Q275" s="160">
        <f t="shared" si="285"/>
        <v>2</v>
      </c>
      <c r="R275" s="160" t="str">
        <f t="shared" si="5"/>
        <v>Progress within level</v>
      </c>
      <c r="S275" s="160">
        <f t="shared" si="6"/>
        <v>0</v>
      </c>
      <c r="T275" s="177" t="s">
        <v>885</v>
      </c>
      <c r="U275" s="160">
        <f>COUNTIFS(sheet2!$A:$A,A275,sheet2!$E:$E,E275)</f>
        <v>1</v>
      </c>
      <c r="V275" s="160"/>
      <c r="W275" s="160"/>
      <c r="X275" s="160" t="str">
        <f t="shared" si="7"/>
        <v>#N/A</v>
      </c>
      <c r="Y275" s="160" t="str">
        <f t="shared" si="8"/>
        <v>#N/A</v>
      </c>
      <c r="Z275" s="160" t="str">
        <f t="shared" si="9"/>
        <v>#N/A</v>
      </c>
      <c r="AA275" s="160"/>
      <c r="AB275" s="160"/>
      <c r="AC275" s="160"/>
      <c r="AD275" s="160"/>
      <c r="AE275" s="160"/>
      <c r="AF275" s="160"/>
      <c r="AG275" s="160"/>
      <c r="AH275" s="160"/>
      <c r="AI275" s="160"/>
      <c r="AJ275" s="160"/>
      <c r="AK275" s="160"/>
      <c r="AL275" s="160"/>
      <c r="AM275" s="160"/>
      <c r="AN275" s="164"/>
      <c r="AO275" s="160"/>
      <c r="AP275" s="160"/>
      <c r="AQ275" s="160"/>
      <c r="AR275" s="160"/>
      <c r="AS275" s="160"/>
      <c r="AT275" s="160"/>
      <c r="AU275" s="160"/>
      <c r="AV275" s="160"/>
      <c r="AW275" s="160"/>
      <c r="AX275" s="160"/>
      <c r="AY275" s="160"/>
      <c r="AZ275" s="160"/>
      <c r="BA275" s="160"/>
      <c r="BB275" s="160"/>
      <c r="BC275" s="160"/>
      <c r="BD275" s="160"/>
      <c r="BE275" s="160"/>
      <c r="BF275" s="160"/>
      <c r="BG275" s="160"/>
      <c r="BH275" s="160"/>
      <c r="BI275" s="160"/>
      <c r="BJ275" s="160"/>
      <c r="BK275" s="160"/>
      <c r="BL275" s="160"/>
      <c r="BM275" s="160"/>
      <c r="BN275" s="160"/>
      <c r="BO275" s="160"/>
      <c r="BP275" s="160"/>
      <c r="BQ275" s="160"/>
      <c r="BR275" s="160"/>
      <c r="BS275" s="160"/>
      <c r="BT275" s="160"/>
      <c r="BU275" s="160"/>
      <c r="BV275" s="160"/>
      <c r="BW275" s="160"/>
      <c r="BX275" s="160"/>
      <c r="BY275" s="160"/>
      <c r="BZ275" s="160"/>
      <c r="CA275" s="160"/>
      <c r="CB275" s="160"/>
      <c r="CC275" s="160"/>
      <c r="CD275" s="160"/>
      <c r="CE275" s="160"/>
      <c r="CF275" s="160"/>
      <c r="CG275" s="160"/>
      <c r="CH275" s="160"/>
      <c r="CI275" s="160"/>
      <c r="CJ275" s="160"/>
      <c r="CK275" s="160"/>
      <c r="CL275" s="160"/>
    </row>
    <row r="276" ht="14.25" customHeight="1">
      <c r="A276" s="174" t="s">
        <v>417</v>
      </c>
      <c r="B276" s="11" t="s">
        <v>418</v>
      </c>
      <c r="C276" s="175" t="s">
        <v>76</v>
      </c>
      <c r="D276" s="176" t="str">
        <f>IFERROR(VLOOKUP(C276, PIC!A:B, 2, 0), "")</f>
        <v>My Tran</v>
      </c>
      <c r="E276" s="11" t="s">
        <v>23</v>
      </c>
      <c r="F276" s="16" t="s">
        <v>846</v>
      </c>
      <c r="G276" s="11"/>
      <c r="H276" s="170">
        <f>IFERROR(
  MINIFS(ATTENDANCE_LOG!$F:$F,
         ATTENDANCE_LOG!$A:$A, C276,
         ATTENDANCE_LOG!$B:$B, E276),
"")</f>
        <v>45895.58333</v>
      </c>
      <c r="I276" s="170">
        <f t="shared" si="2"/>
        <v>45715.45833</v>
      </c>
      <c r="J276" s="11">
        <f>IFERROR(VLOOKUP(F276, LEVEL_HELPER!$A:$B, 2, 0), "")</f>
        <v>3</v>
      </c>
      <c r="K276" s="11" t="str">
        <f>IFERROR(VLOOKUP(G276, LEVEL_HELPER!$A:$B, 2, 0), "")</f>
        <v/>
      </c>
      <c r="L276" s="171" t="s">
        <v>847</v>
      </c>
      <c r="M276" s="171" t="s">
        <v>150</v>
      </c>
      <c r="N276" s="11">
        <f t="array" ref="N276">IFERROR(
  INDEX($J$2:$J$531,
    MATCH(A276&amp;TEXT(I276,"yyyy-mm-dd"),
          $A$2:$A$531&amp;TEXT($H$2:$H$531,"yyyy-mm-dd"),
          0)),
"")</f>
        <v>1</v>
      </c>
      <c r="O276" s="160">
        <f t="shared" si="3"/>
        <v>3</v>
      </c>
      <c r="P276" s="160">
        <f t="shared" ref="P276:Q276" si="286">IF(N276="",0,IF(N276&lt;=2,1,IF(N276&lt;=4,2,IF(N276&lt;=5.5,3,4))))</f>
        <v>1</v>
      </c>
      <c r="Q276" s="160">
        <f t="shared" si="286"/>
        <v>2</v>
      </c>
      <c r="R276" s="160" t="str">
        <f t="shared" si="5"/>
        <v>Lv1 → Lv2</v>
      </c>
      <c r="S276" s="160">
        <f t="shared" si="6"/>
        <v>0</v>
      </c>
      <c r="T276" s="172" t="s">
        <v>879</v>
      </c>
      <c r="U276" s="160">
        <f>COUNTIFS(sheet2!$A:$A,A276,sheet2!$E:$E,E276)</f>
        <v>1</v>
      </c>
      <c r="V276" s="160"/>
      <c r="W276" s="160"/>
      <c r="X276" s="160" t="str">
        <f t="shared" si="7"/>
        <v>#N/A</v>
      </c>
      <c r="Y276" s="160" t="str">
        <f t="shared" si="8"/>
        <v>#N/A</v>
      </c>
      <c r="Z276" s="160" t="str">
        <f t="shared" si="9"/>
        <v>#N/A</v>
      </c>
      <c r="AA276" s="160"/>
      <c r="AB276" s="160"/>
      <c r="AC276" s="160"/>
      <c r="AD276" s="160"/>
      <c r="AE276" s="160"/>
      <c r="AF276" s="160"/>
      <c r="AG276" s="160"/>
      <c r="AH276" s="160"/>
      <c r="AI276" s="160"/>
      <c r="AJ276" s="160"/>
      <c r="AK276" s="160"/>
      <c r="AL276" s="160"/>
      <c r="AM276" s="160"/>
      <c r="AN276" s="164"/>
      <c r="AO276" s="160"/>
      <c r="AP276" s="160"/>
      <c r="AQ276" s="160"/>
      <c r="AR276" s="160"/>
      <c r="AS276" s="160"/>
      <c r="AT276" s="160"/>
      <c r="AU276" s="160"/>
      <c r="AV276" s="160"/>
      <c r="AW276" s="160"/>
      <c r="AX276" s="160"/>
      <c r="AY276" s="160"/>
      <c r="AZ276" s="160"/>
      <c r="BA276" s="160"/>
      <c r="BB276" s="160"/>
      <c r="BC276" s="160"/>
      <c r="BD276" s="160"/>
      <c r="BE276" s="160"/>
      <c r="BF276" s="160"/>
      <c r="BG276" s="160"/>
      <c r="BH276" s="160"/>
      <c r="BI276" s="160"/>
      <c r="BJ276" s="160"/>
      <c r="BK276" s="160"/>
      <c r="BL276" s="160"/>
      <c r="BM276" s="160"/>
      <c r="BN276" s="160"/>
      <c r="BO276" s="160"/>
      <c r="BP276" s="160"/>
      <c r="BQ276" s="160"/>
      <c r="BR276" s="160"/>
      <c r="BS276" s="160"/>
      <c r="BT276" s="160"/>
      <c r="BU276" s="160"/>
      <c r="BV276" s="160"/>
      <c r="BW276" s="160"/>
      <c r="BX276" s="160"/>
      <c r="BY276" s="160"/>
      <c r="BZ276" s="160"/>
      <c r="CA276" s="160"/>
      <c r="CB276" s="160"/>
      <c r="CC276" s="160"/>
      <c r="CD276" s="160"/>
      <c r="CE276" s="160"/>
      <c r="CF276" s="160"/>
      <c r="CG276" s="160"/>
      <c r="CH276" s="160"/>
      <c r="CI276" s="160"/>
      <c r="CJ276" s="160"/>
      <c r="CK276" s="160"/>
      <c r="CL276" s="160"/>
    </row>
    <row r="277">
      <c r="A277" s="174" t="s">
        <v>427</v>
      </c>
      <c r="B277" s="11" t="s">
        <v>428</v>
      </c>
      <c r="C277" s="175" t="s">
        <v>76</v>
      </c>
      <c r="D277" s="176" t="str">
        <f>IFERROR(VLOOKUP(C277, PIC!A:B, 2, 0), "")</f>
        <v>My Tran</v>
      </c>
      <c r="E277" s="11" t="s">
        <v>23</v>
      </c>
      <c r="F277" s="16" t="s">
        <v>849</v>
      </c>
      <c r="G277" s="11"/>
      <c r="H277" s="170">
        <f>IFERROR(
  MINIFS(ATTENDANCE_LOG!$F:$F,
         ATTENDANCE_LOG!$A:$A, C277,
         ATTENDANCE_LOG!$B:$B, E277),
"")</f>
        <v>45895.58333</v>
      </c>
      <c r="I277" s="170">
        <f t="shared" si="2"/>
        <v>45763.54167</v>
      </c>
      <c r="J277" s="11">
        <f>IFERROR(VLOOKUP(F277, LEVEL_HELPER!$A:$B, 2, 0), "")</f>
        <v>1</v>
      </c>
      <c r="K277" s="11" t="str">
        <f>IFERROR(VLOOKUP(G277, LEVEL_HELPER!$A:$B, 2, 0), "")</f>
        <v/>
      </c>
      <c r="L277" s="171" t="s">
        <v>400</v>
      </c>
      <c r="M277" s="171" t="s">
        <v>150</v>
      </c>
      <c r="N277" s="11">
        <f t="array" ref="N277">IFERROR(
  INDEX($J$2:$J$531,
    MATCH(A277&amp;TEXT(I277,"yyyy-mm-dd"),
          $A$2:$A$531&amp;TEXT($H$2:$H$531,"yyyy-mm-dd"),
          0)),
"")</f>
        <v>1</v>
      </c>
      <c r="O277" s="160">
        <f t="shared" si="3"/>
        <v>1</v>
      </c>
      <c r="P277" s="160">
        <f t="shared" ref="P277:Q277" si="287">IF(N277="",0,IF(N277&lt;=2,1,IF(N277&lt;=4,2,IF(N277&lt;=5.5,3,4))))</f>
        <v>1</v>
      </c>
      <c r="Q277" s="160">
        <f t="shared" si="287"/>
        <v>1</v>
      </c>
      <c r="R277" s="160" t="str">
        <f t="shared" si="5"/>
        <v>No Progress</v>
      </c>
      <c r="S277" s="160">
        <f t="shared" si="6"/>
        <v>0</v>
      </c>
      <c r="T277" s="177" t="s">
        <v>1010</v>
      </c>
      <c r="U277" s="160">
        <f>COUNTIFS(sheet2!$A:$A,A277,sheet2!$E:$E,E277)</f>
        <v>1</v>
      </c>
      <c r="V277" s="160"/>
      <c r="W277" s="160"/>
      <c r="X277" s="160" t="str">
        <f t="shared" si="7"/>
        <v>#N/A</v>
      </c>
      <c r="Y277" s="160" t="str">
        <f t="shared" si="8"/>
        <v>#N/A</v>
      </c>
      <c r="Z277" s="160" t="str">
        <f t="shared" si="9"/>
        <v>#N/A</v>
      </c>
      <c r="AA277" s="160"/>
      <c r="AB277" s="160"/>
      <c r="AC277" s="160"/>
      <c r="AD277" s="160"/>
      <c r="AE277" s="160"/>
      <c r="AF277" s="160"/>
      <c r="AG277" s="160"/>
      <c r="AH277" s="160"/>
      <c r="AI277" s="160"/>
      <c r="AJ277" s="160"/>
      <c r="AK277" s="160"/>
      <c r="AL277" s="160"/>
      <c r="AM277" s="160"/>
      <c r="AN277" s="164"/>
      <c r="AO277" s="160"/>
      <c r="AP277" s="160"/>
      <c r="AQ277" s="160"/>
      <c r="AR277" s="160"/>
      <c r="AS277" s="160"/>
      <c r="AT277" s="160"/>
      <c r="AU277" s="160"/>
      <c r="AV277" s="160"/>
      <c r="AW277" s="160"/>
      <c r="AX277" s="160"/>
      <c r="AY277" s="160"/>
      <c r="AZ277" s="160"/>
      <c r="BA277" s="160"/>
      <c r="BB277" s="160"/>
      <c r="BC277" s="160"/>
      <c r="BD277" s="160"/>
      <c r="BE277" s="160"/>
      <c r="BF277" s="160"/>
      <c r="BG277" s="160"/>
      <c r="BH277" s="160"/>
      <c r="BI277" s="160"/>
      <c r="BJ277" s="160"/>
      <c r="BK277" s="160"/>
      <c r="BL277" s="160"/>
      <c r="BM277" s="160"/>
      <c r="BN277" s="160"/>
      <c r="BO277" s="160"/>
      <c r="BP277" s="160"/>
      <c r="BQ277" s="160"/>
      <c r="BR277" s="160"/>
      <c r="BS277" s="160"/>
      <c r="BT277" s="160"/>
      <c r="BU277" s="160"/>
      <c r="BV277" s="160"/>
      <c r="BW277" s="160"/>
      <c r="BX277" s="160"/>
      <c r="BY277" s="160"/>
      <c r="BZ277" s="160"/>
      <c r="CA277" s="160"/>
      <c r="CB277" s="160"/>
      <c r="CC277" s="160"/>
      <c r="CD277" s="160"/>
      <c r="CE277" s="160"/>
      <c r="CF277" s="160"/>
      <c r="CG277" s="160"/>
      <c r="CH277" s="160"/>
      <c r="CI277" s="160"/>
      <c r="CJ277" s="160"/>
      <c r="CK277" s="160"/>
      <c r="CL277" s="160"/>
    </row>
    <row r="278">
      <c r="A278" s="174" t="s">
        <v>429</v>
      </c>
      <c r="B278" s="11" t="s">
        <v>430</v>
      </c>
      <c r="C278" s="175" t="s">
        <v>76</v>
      </c>
      <c r="D278" s="176" t="str">
        <f>IFERROR(VLOOKUP(C278, PIC!A:B, 2, 0), "")</f>
        <v>My Tran</v>
      </c>
      <c r="E278" s="11" t="s">
        <v>23</v>
      </c>
      <c r="F278" s="16" t="s">
        <v>861</v>
      </c>
      <c r="G278" s="11"/>
      <c r="H278" s="170">
        <f>IFERROR(
  MINIFS(ATTENDANCE_LOG!$F:$F,
         ATTENDANCE_LOG!$A:$A, C278,
         ATTENDANCE_LOG!$B:$B, E278),
"")</f>
        <v>45895.58333</v>
      </c>
      <c r="I278" s="170">
        <f t="shared" si="2"/>
        <v>45763.54167</v>
      </c>
      <c r="J278" s="11">
        <f>IFERROR(VLOOKUP(F278, LEVEL_HELPER!$A:$B, 2, 0), "")</f>
        <v>3.5</v>
      </c>
      <c r="K278" s="11" t="str">
        <f>IFERROR(VLOOKUP(G278, LEVEL_HELPER!$A:$B, 2, 0), "")</f>
        <v/>
      </c>
      <c r="L278" s="171" t="s">
        <v>847</v>
      </c>
      <c r="M278" s="171" t="s">
        <v>150</v>
      </c>
      <c r="N278" s="11">
        <f t="array" ref="N278">IFERROR(
  INDEX($J$2:$J$531,
    MATCH(A278&amp;TEXT(I278,"yyyy-mm-dd"),
          $A$2:$A$531&amp;TEXT($H$2:$H$531,"yyyy-mm-dd"),
          0)),
"")</f>
        <v>1</v>
      </c>
      <c r="O278" s="160">
        <f t="shared" si="3"/>
        <v>3.5</v>
      </c>
      <c r="P278" s="160">
        <f t="shared" ref="P278:Q278" si="288">IF(N278="",0,IF(N278&lt;=2,1,IF(N278&lt;=4,2,IF(N278&lt;=5.5,3,4))))</f>
        <v>1</v>
      </c>
      <c r="Q278" s="160">
        <f t="shared" si="288"/>
        <v>2</v>
      </c>
      <c r="R278" s="160" t="str">
        <f t="shared" si="5"/>
        <v>Lv1 → Lv2</v>
      </c>
      <c r="S278" s="160">
        <f t="shared" si="6"/>
        <v>0</v>
      </c>
      <c r="T278" s="177" t="s">
        <v>1011</v>
      </c>
      <c r="U278" s="160">
        <f>COUNTIFS(sheet2!$A:$A,A278,sheet2!$E:$E,E278)</f>
        <v>1</v>
      </c>
      <c r="V278" s="160"/>
      <c r="W278" s="160"/>
      <c r="X278" s="160" t="str">
        <f t="shared" si="7"/>
        <v>#N/A</v>
      </c>
      <c r="Y278" s="160" t="str">
        <f t="shared" si="8"/>
        <v>#N/A</v>
      </c>
      <c r="Z278" s="160" t="str">
        <f t="shared" si="9"/>
        <v>#N/A</v>
      </c>
      <c r="AA278" s="160"/>
      <c r="AB278" s="160"/>
      <c r="AC278" s="160"/>
      <c r="AD278" s="160"/>
      <c r="AE278" s="160"/>
      <c r="AF278" s="160"/>
      <c r="AG278" s="160"/>
      <c r="AH278" s="160"/>
      <c r="AI278" s="160"/>
      <c r="AJ278" s="160"/>
      <c r="AK278" s="160"/>
      <c r="AL278" s="160"/>
      <c r="AM278" s="160"/>
      <c r="AN278" s="164"/>
      <c r="AO278" s="160"/>
      <c r="AP278" s="160"/>
      <c r="AQ278" s="160"/>
      <c r="AR278" s="160"/>
      <c r="AS278" s="160"/>
      <c r="AT278" s="160"/>
      <c r="AU278" s="160"/>
      <c r="AV278" s="160"/>
      <c r="AW278" s="160"/>
      <c r="AX278" s="160"/>
      <c r="AY278" s="160"/>
      <c r="AZ278" s="160"/>
      <c r="BA278" s="160"/>
      <c r="BB278" s="160"/>
      <c r="BC278" s="160"/>
      <c r="BD278" s="160"/>
      <c r="BE278" s="160"/>
      <c r="BF278" s="160"/>
      <c r="BG278" s="160"/>
      <c r="BH278" s="160"/>
      <c r="BI278" s="160"/>
      <c r="BJ278" s="160"/>
      <c r="BK278" s="160"/>
      <c r="BL278" s="160"/>
      <c r="BM278" s="160"/>
      <c r="BN278" s="160"/>
      <c r="BO278" s="160"/>
      <c r="BP278" s="160"/>
      <c r="BQ278" s="160"/>
      <c r="BR278" s="160"/>
      <c r="BS278" s="160"/>
      <c r="BT278" s="160"/>
      <c r="BU278" s="160"/>
      <c r="BV278" s="160"/>
      <c r="BW278" s="160"/>
      <c r="BX278" s="160"/>
      <c r="BY278" s="160"/>
      <c r="BZ278" s="160"/>
      <c r="CA278" s="160"/>
      <c r="CB278" s="160"/>
      <c r="CC278" s="160"/>
      <c r="CD278" s="160"/>
      <c r="CE278" s="160"/>
      <c r="CF278" s="160"/>
      <c r="CG278" s="160"/>
      <c r="CH278" s="160"/>
      <c r="CI278" s="160"/>
      <c r="CJ278" s="160"/>
      <c r="CK278" s="160"/>
      <c r="CL278" s="160"/>
    </row>
    <row r="279">
      <c r="A279" s="166" t="s">
        <v>745</v>
      </c>
      <c r="B279" s="167" t="s">
        <v>746</v>
      </c>
      <c r="C279" s="168" t="s">
        <v>77</v>
      </c>
      <c r="D279" s="169" t="str">
        <f>IFERROR(VLOOKUP(C279, PIC!A:B, 2, 0), "")</f>
        <v>Vinh Nguyen</v>
      </c>
      <c r="E279" s="167" t="s">
        <v>22</v>
      </c>
      <c r="F279" s="16" t="s">
        <v>849</v>
      </c>
      <c r="G279" s="16" t="s">
        <v>846</v>
      </c>
      <c r="H279" s="170">
        <f>IFERROR(
  MINIFS(ATTENDANCE_LOG!$F:$F,
         ATTENDANCE_LOG!$A:$A, C279,
         ATTENDANCE_LOG!$B:$B, E279),
"")</f>
        <v>45715.58333</v>
      </c>
      <c r="I279" s="170">
        <f t="shared" si="2"/>
        <v>45715.58333</v>
      </c>
      <c r="J279" s="11">
        <f>IFERROR(VLOOKUP(F279, LEVEL_HELPER!$A:$B, 2, 0), "")</f>
        <v>1</v>
      </c>
      <c r="K279" s="11">
        <f>IFERROR(VLOOKUP(G279, LEVEL_HELPER!$A:$B, 2, 0), "")</f>
        <v>3</v>
      </c>
      <c r="L279" s="171" t="s">
        <v>857</v>
      </c>
      <c r="M279" s="171" t="s">
        <v>150</v>
      </c>
      <c r="N279" s="11">
        <f t="array" ref="N279">IFERROR(
  INDEX($J$2:$J$531,
    MATCH(A279&amp;TEXT(I279,"yyyy-mm-dd"),
          $A$2:$A$531&amp;TEXT($H$2:$H$531,"yyyy-mm-dd"),
          0)),
"")</f>
        <v>1</v>
      </c>
      <c r="O279" s="160">
        <f t="shared" si="3"/>
        <v>3.5</v>
      </c>
      <c r="P279" s="160">
        <f t="shared" ref="P279:Q279" si="289">IF(N279="",0,IF(N279&lt;=2,1,IF(N279&lt;=4,2,IF(N279&lt;=5.5,3,4))))</f>
        <v>1</v>
      </c>
      <c r="Q279" s="160">
        <f t="shared" si="289"/>
        <v>2</v>
      </c>
      <c r="R279" s="160" t="str">
        <f t="shared" si="5"/>
        <v>Lv1 → Lv2</v>
      </c>
      <c r="S279" s="160">
        <f t="shared" si="6"/>
        <v>1</v>
      </c>
      <c r="T279" s="172" t="s">
        <v>1014</v>
      </c>
      <c r="U279" s="160">
        <f>COUNTIFS(sheet2!$A:$A,A279,sheet2!$E:$E,E279)</f>
        <v>1</v>
      </c>
      <c r="V279" s="160"/>
      <c r="W279" s="160"/>
      <c r="X279" s="160" t="str">
        <f t="shared" si="7"/>
        <v>#N/A</v>
      </c>
      <c r="Y279" s="160" t="str">
        <f t="shared" si="8"/>
        <v>#N/A</v>
      </c>
      <c r="Z279" s="160" t="str">
        <f t="shared" si="9"/>
        <v>#N/A</v>
      </c>
      <c r="AA279" s="160"/>
      <c r="AB279" s="160"/>
      <c r="AC279" s="160"/>
      <c r="AD279" s="160"/>
      <c r="AE279" s="160"/>
      <c r="AF279" s="160"/>
      <c r="AG279" s="160"/>
      <c r="AH279" s="160"/>
      <c r="AI279" s="160"/>
      <c r="AJ279" s="160"/>
      <c r="AK279" s="160"/>
      <c r="AL279" s="160"/>
      <c r="AM279" s="160"/>
      <c r="AN279" s="164"/>
      <c r="AO279" s="160"/>
      <c r="AP279" s="160"/>
      <c r="AQ279" s="160"/>
      <c r="AR279" s="160"/>
      <c r="AS279" s="160"/>
      <c r="AT279" s="160"/>
      <c r="AU279" s="160"/>
      <c r="AV279" s="160"/>
      <c r="AW279" s="160"/>
      <c r="AX279" s="160"/>
      <c r="AY279" s="160"/>
      <c r="AZ279" s="160"/>
      <c r="BA279" s="160"/>
      <c r="BB279" s="160"/>
      <c r="BC279" s="160"/>
      <c r="BD279" s="160"/>
      <c r="BE279" s="160"/>
      <c r="BF279" s="160"/>
      <c r="BG279" s="160"/>
      <c r="BH279" s="160"/>
      <c r="BI279" s="160"/>
      <c r="BJ279" s="160"/>
      <c r="BK279" s="160"/>
      <c r="BL279" s="160"/>
      <c r="BM279" s="160"/>
      <c r="BN279" s="160"/>
      <c r="BO279" s="160"/>
      <c r="BP279" s="160"/>
      <c r="BQ279" s="160"/>
      <c r="BR279" s="160"/>
      <c r="BS279" s="160"/>
      <c r="BT279" s="160"/>
      <c r="BU279" s="160"/>
      <c r="BV279" s="160"/>
      <c r="BW279" s="160"/>
      <c r="BX279" s="160"/>
      <c r="BY279" s="160"/>
      <c r="BZ279" s="160"/>
      <c r="CA279" s="160"/>
      <c r="CB279" s="160"/>
      <c r="CC279" s="160"/>
      <c r="CD279" s="160"/>
      <c r="CE279" s="160"/>
      <c r="CF279" s="160"/>
      <c r="CG279" s="160"/>
      <c r="CH279" s="160"/>
      <c r="CI279" s="160"/>
      <c r="CJ279" s="160"/>
      <c r="CK279" s="160"/>
      <c r="CL279" s="160"/>
    </row>
    <row r="280">
      <c r="A280" s="174" t="s">
        <v>741</v>
      </c>
      <c r="B280" s="11" t="s">
        <v>742</v>
      </c>
      <c r="C280" s="175" t="s">
        <v>77</v>
      </c>
      <c r="D280" s="176" t="str">
        <f>IFERROR(VLOOKUP(C280, PIC!A:B, 2, 0), "")</f>
        <v>Vinh Nguyen</v>
      </c>
      <c r="E280" s="11" t="s">
        <v>22</v>
      </c>
      <c r="F280" s="16" t="s">
        <v>849</v>
      </c>
      <c r="G280" s="16" t="s">
        <v>846</v>
      </c>
      <c r="H280" s="170">
        <f>IFERROR(
  MINIFS(ATTENDANCE_LOG!$F:$F,
         ATTENDANCE_LOG!$A:$A, C280,
         ATTENDANCE_LOG!$B:$B, E280),
"")</f>
        <v>45715.58333</v>
      </c>
      <c r="I280" s="170">
        <f t="shared" si="2"/>
        <v>45715.58333</v>
      </c>
      <c r="J280" s="11">
        <f>IFERROR(VLOOKUP(F280, LEVEL_HELPER!$A:$B, 2, 0), "")</f>
        <v>1</v>
      </c>
      <c r="K280" s="11">
        <f>IFERROR(VLOOKUP(G280, LEVEL_HELPER!$A:$B, 2, 0), "")</f>
        <v>3</v>
      </c>
      <c r="L280" s="171" t="s">
        <v>857</v>
      </c>
      <c r="M280" s="171" t="s">
        <v>150</v>
      </c>
      <c r="N280" s="11">
        <f t="array" ref="N280">IFERROR(
  INDEX($J$2:$J$531,
    MATCH(A280&amp;TEXT(I280,"yyyy-mm-dd"),
          $A$2:$A$531&amp;TEXT($H$2:$H$531,"yyyy-mm-dd"),
          0)),
"")</f>
        <v>1</v>
      </c>
      <c r="O280" s="160">
        <f t="shared" si="3"/>
        <v>3.5</v>
      </c>
      <c r="P280" s="160">
        <f t="shared" ref="P280:Q280" si="290">IF(N280="",0,IF(N280&lt;=2,1,IF(N280&lt;=4,2,IF(N280&lt;=5.5,3,4))))</f>
        <v>1</v>
      </c>
      <c r="Q280" s="160">
        <f t="shared" si="290"/>
        <v>2</v>
      </c>
      <c r="R280" s="160" t="str">
        <f t="shared" si="5"/>
        <v>Lv1 → Lv2</v>
      </c>
      <c r="S280" s="160">
        <f t="shared" si="6"/>
        <v>1</v>
      </c>
      <c r="T280" s="177" t="s">
        <v>1015</v>
      </c>
      <c r="U280" s="160">
        <f>COUNTIFS(sheet2!$A:$A,A280,sheet2!$E:$E,E280)</f>
        <v>1</v>
      </c>
      <c r="V280" s="160"/>
      <c r="W280" s="160"/>
      <c r="X280" s="160" t="str">
        <f t="shared" si="7"/>
        <v>#N/A</v>
      </c>
      <c r="Y280" s="160" t="str">
        <f t="shared" si="8"/>
        <v>#N/A</v>
      </c>
      <c r="Z280" s="160" t="str">
        <f t="shared" si="9"/>
        <v>#N/A</v>
      </c>
      <c r="AA280" s="160"/>
      <c r="AB280" s="160"/>
      <c r="AC280" s="160"/>
      <c r="AD280" s="160"/>
      <c r="AE280" s="160"/>
      <c r="AF280" s="160"/>
      <c r="AG280" s="160"/>
      <c r="AH280" s="160"/>
      <c r="AI280" s="160"/>
      <c r="AJ280" s="160"/>
      <c r="AK280" s="160"/>
      <c r="AL280" s="160"/>
      <c r="AM280" s="160"/>
      <c r="AN280" s="164"/>
      <c r="AO280" s="160"/>
      <c r="AP280" s="160"/>
      <c r="AQ280" s="160"/>
      <c r="AR280" s="160"/>
      <c r="AS280" s="160"/>
      <c r="AT280" s="160"/>
      <c r="AU280" s="160"/>
      <c r="AV280" s="160"/>
      <c r="AW280" s="160"/>
      <c r="AX280" s="160"/>
      <c r="AY280" s="160"/>
      <c r="AZ280" s="160"/>
      <c r="BA280" s="160"/>
      <c r="BB280" s="160"/>
      <c r="BC280" s="160"/>
      <c r="BD280" s="160"/>
      <c r="BE280" s="160"/>
      <c r="BF280" s="160"/>
      <c r="BG280" s="160"/>
      <c r="BH280" s="160"/>
      <c r="BI280" s="160"/>
      <c r="BJ280" s="160"/>
      <c r="BK280" s="160"/>
      <c r="BL280" s="160"/>
      <c r="BM280" s="160"/>
      <c r="BN280" s="160"/>
      <c r="BO280" s="160"/>
      <c r="BP280" s="160"/>
      <c r="BQ280" s="160"/>
      <c r="BR280" s="160"/>
      <c r="BS280" s="160"/>
      <c r="BT280" s="160"/>
      <c r="BU280" s="160"/>
      <c r="BV280" s="160"/>
      <c r="BW280" s="160"/>
      <c r="BX280" s="160"/>
      <c r="BY280" s="160"/>
      <c r="BZ280" s="160"/>
      <c r="CA280" s="160"/>
      <c r="CB280" s="160"/>
      <c r="CC280" s="160"/>
      <c r="CD280" s="160"/>
      <c r="CE280" s="160"/>
      <c r="CF280" s="160"/>
      <c r="CG280" s="160"/>
      <c r="CH280" s="160"/>
      <c r="CI280" s="160"/>
      <c r="CJ280" s="160"/>
      <c r="CK280" s="160"/>
      <c r="CL280" s="160"/>
    </row>
    <row r="281">
      <c r="A281" s="174" t="s">
        <v>298</v>
      </c>
      <c r="B281" s="11" t="s">
        <v>299</v>
      </c>
      <c r="C281" s="175" t="s">
        <v>77</v>
      </c>
      <c r="D281" s="176" t="str">
        <f>IFERROR(VLOOKUP(C281, PIC!A:B, 2, 0), "")</f>
        <v>Vinh Nguyen</v>
      </c>
      <c r="E281" s="11" t="s">
        <v>22</v>
      </c>
      <c r="F281" s="16" t="s">
        <v>849</v>
      </c>
      <c r="G281" s="16" t="s">
        <v>853</v>
      </c>
      <c r="H281" s="170">
        <f>IFERROR(
  MINIFS(ATTENDANCE_LOG!$F:$F,
         ATTENDANCE_LOG!$A:$A, C281,
         ATTENDANCE_LOG!$B:$B, E281),
"")</f>
        <v>45715.58333</v>
      </c>
      <c r="I281" s="170">
        <f t="shared" si="2"/>
        <v>45715.58333</v>
      </c>
      <c r="J281" s="11">
        <f>IFERROR(VLOOKUP(F281, LEVEL_HELPER!$A:$B, 2, 0), "")</f>
        <v>1</v>
      </c>
      <c r="K281" s="11">
        <f>IFERROR(VLOOKUP(G281, LEVEL_HELPER!$A:$B, 2, 0), "")</f>
        <v>1.5</v>
      </c>
      <c r="L281" s="171" t="s">
        <v>857</v>
      </c>
      <c r="M281" s="171" t="s">
        <v>150</v>
      </c>
      <c r="N281" s="11">
        <f t="array" ref="N281">IFERROR(
  INDEX($J$2:$J$531,
    MATCH(A281&amp;TEXT(I281,"yyyy-mm-dd"),
          $A$2:$A$531&amp;TEXT($H$2:$H$531,"yyyy-mm-dd"),
          0)),
"")</f>
        <v>1</v>
      </c>
      <c r="O281" s="160">
        <f t="shared" si="3"/>
        <v>1.5</v>
      </c>
      <c r="P281" s="160">
        <f t="shared" ref="P281:Q281" si="291">IF(N281="",0,IF(N281&lt;=2,1,IF(N281&lt;=4,2,IF(N281&lt;=5.5,3,4))))</f>
        <v>1</v>
      </c>
      <c r="Q281" s="160">
        <f t="shared" si="291"/>
        <v>1</v>
      </c>
      <c r="R281" s="160" t="str">
        <f t="shared" si="5"/>
        <v>Progress within level</v>
      </c>
      <c r="S281" s="160">
        <f t="shared" si="6"/>
        <v>0</v>
      </c>
      <c r="T281" s="177" t="s">
        <v>922</v>
      </c>
      <c r="U281" s="160">
        <f>COUNTIFS(sheet2!$A:$A,A281,sheet2!$E:$E,E281)</f>
        <v>1</v>
      </c>
      <c r="V281" s="160"/>
      <c r="W281" s="160"/>
      <c r="X281" s="160" t="str">
        <f t="shared" si="7"/>
        <v>#N/A</v>
      </c>
      <c r="Y281" s="160" t="str">
        <f t="shared" si="8"/>
        <v>#N/A</v>
      </c>
      <c r="Z281" s="160" t="str">
        <f t="shared" si="9"/>
        <v>#N/A</v>
      </c>
      <c r="AA281" s="160"/>
      <c r="AB281" s="160"/>
      <c r="AC281" s="160"/>
      <c r="AD281" s="160"/>
      <c r="AE281" s="160"/>
      <c r="AF281" s="160"/>
      <c r="AG281" s="160"/>
      <c r="AH281" s="160"/>
      <c r="AI281" s="160"/>
      <c r="AJ281" s="160"/>
      <c r="AK281" s="160"/>
      <c r="AL281" s="160"/>
      <c r="AM281" s="160"/>
      <c r="AN281" s="164"/>
      <c r="AO281" s="160"/>
      <c r="AP281" s="160"/>
      <c r="AQ281" s="160"/>
      <c r="AR281" s="160"/>
      <c r="AS281" s="160"/>
      <c r="AT281" s="160"/>
      <c r="AU281" s="160"/>
      <c r="AV281" s="160"/>
      <c r="AW281" s="160"/>
      <c r="AX281" s="160"/>
      <c r="AY281" s="160"/>
      <c r="AZ281" s="160"/>
      <c r="BA281" s="160"/>
      <c r="BB281" s="160"/>
      <c r="BC281" s="160"/>
      <c r="BD281" s="160"/>
      <c r="BE281" s="160"/>
      <c r="BF281" s="160"/>
      <c r="BG281" s="160"/>
      <c r="BH281" s="160"/>
      <c r="BI281" s="160"/>
      <c r="BJ281" s="160"/>
      <c r="BK281" s="160"/>
      <c r="BL281" s="160"/>
      <c r="BM281" s="160"/>
      <c r="BN281" s="160"/>
      <c r="BO281" s="160"/>
      <c r="BP281" s="160"/>
      <c r="BQ281" s="160"/>
      <c r="BR281" s="160"/>
      <c r="BS281" s="160"/>
      <c r="BT281" s="160"/>
      <c r="BU281" s="160"/>
      <c r="BV281" s="160"/>
      <c r="BW281" s="160"/>
      <c r="BX281" s="160"/>
      <c r="BY281" s="160"/>
      <c r="BZ281" s="160"/>
      <c r="CA281" s="160"/>
      <c r="CB281" s="160"/>
      <c r="CC281" s="160"/>
      <c r="CD281" s="160"/>
      <c r="CE281" s="160"/>
      <c r="CF281" s="160"/>
      <c r="CG281" s="160"/>
      <c r="CH281" s="160"/>
      <c r="CI281" s="160"/>
      <c r="CJ281" s="160"/>
      <c r="CK281" s="160"/>
      <c r="CL281" s="160"/>
    </row>
    <row r="282">
      <c r="A282" s="174" t="s">
        <v>743</v>
      </c>
      <c r="B282" s="11" t="s">
        <v>744</v>
      </c>
      <c r="C282" s="175" t="s">
        <v>77</v>
      </c>
      <c r="D282" s="176" t="str">
        <f>IFERROR(VLOOKUP(C282, PIC!A:B, 2, 0), "")</f>
        <v>Vinh Nguyen</v>
      </c>
      <c r="E282" s="11" t="s">
        <v>22</v>
      </c>
      <c r="F282" s="16" t="s">
        <v>849</v>
      </c>
      <c r="G282" s="16" t="s">
        <v>846</v>
      </c>
      <c r="H282" s="170">
        <f>IFERROR(
  MINIFS(ATTENDANCE_LOG!$F:$F,
         ATTENDANCE_LOG!$A:$A, C282,
         ATTENDANCE_LOG!$B:$B, E282),
"")</f>
        <v>45715.58333</v>
      </c>
      <c r="I282" s="170">
        <f t="shared" si="2"/>
        <v>45715.58333</v>
      </c>
      <c r="J282" s="11">
        <f>IFERROR(VLOOKUP(F282, LEVEL_HELPER!$A:$B, 2, 0), "")</f>
        <v>1</v>
      </c>
      <c r="K282" s="11">
        <f>IFERROR(VLOOKUP(G282, LEVEL_HELPER!$A:$B, 2, 0), "")</f>
        <v>3</v>
      </c>
      <c r="L282" s="171" t="s">
        <v>857</v>
      </c>
      <c r="M282" s="171" t="s">
        <v>150</v>
      </c>
      <c r="N282" s="11">
        <f t="array" ref="N282">IFERROR(
  INDEX($J$2:$J$531,
    MATCH(A282&amp;TEXT(I282,"yyyy-mm-dd"),
          $A$2:$A$531&amp;TEXT($H$2:$H$531,"yyyy-mm-dd"),
          0)),
"")</f>
        <v>1</v>
      </c>
      <c r="O282" s="160">
        <f t="shared" si="3"/>
        <v>3.5</v>
      </c>
      <c r="P282" s="160">
        <f t="shared" ref="P282:Q282" si="292">IF(N282="",0,IF(N282&lt;=2,1,IF(N282&lt;=4,2,IF(N282&lt;=5.5,3,4))))</f>
        <v>1</v>
      </c>
      <c r="Q282" s="160">
        <f t="shared" si="292"/>
        <v>2</v>
      </c>
      <c r="R282" s="160" t="str">
        <f t="shared" si="5"/>
        <v>Lv1 → Lv2</v>
      </c>
      <c r="S282" s="160">
        <f t="shared" si="6"/>
        <v>1</v>
      </c>
      <c r="T282" s="177" t="s">
        <v>1016</v>
      </c>
      <c r="U282" s="160">
        <f>COUNTIFS(sheet2!$A:$A,A282,sheet2!$E:$E,E282)</f>
        <v>1</v>
      </c>
      <c r="V282" s="160"/>
      <c r="W282" s="160"/>
      <c r="X282" s="160" t="str">
        <f t="shared" si="7"/>
        <v>#N/A</v>
      </c>
      <c r="Y282" s="160" t="str">
        <f t="shared" si="8"/>
        <v>#N/A</v>
      </c>
      <c r="Z282" s="160" t="str">
        <f t="shared" si="9"/>
        <v>#N/A</v>
      </c>
      <c r="AA282" s="160"/>
      <c r="AB282" s="160"/>
      <c r="AC282" s="160"/>
      <c r="AD282" s="160"/>
      <c r="AE282" s="160"/>
      <c r="AF282" s="160"/>
      <c r="AG282" s="160"/>
      <c r="AH282" s="160"/>
      <c r="AI282" s="160"/>
      <c r="AJ282" s="160"/>
      <c r="AK282" s="160"/>
      <c r="AL282" s="160"/>
      <c r="AM282" s="160"/>
      <c r="AN282" s="164"/>
      <c r="AO282" s="160"/>
      <c r="AP282" s="160"/>
      <c r="AQ282" s="160"/>
      <c r="AR282" s="160"/>
      <c r="AS282" s="160"/>
      <c r="AT282" s="160"/>
      <c r="AU282" s="160"/>
      <c r="AV282" s="160"/>
      <c r="AW282" s="160"/>
      <c r="AX282" s="160"/>
      <c r="AY282" s="160"/>
      <c r="AZ282" s="160"/>
      <c r="BA282" s="160"/>
      <c r="BB282" s="160"/>
      <c r="BC282" s="160"/>
      <c r="BD282" s="160"/>
      <c r="BE282" s="160"/>
      <c r="BF282" s="160"/>
      <c r="BG282" s="160"/>
      <c r="BH282" s="160"/>
      <c r="BI282" s="160"/>
      <c r="BJ282" s="160"/>
      <c r="BK282" s="160"/>
      <c r="BL282" s="160"/>
      <c r="BM282" s="160"/>
      <c r="BN282" s="160"/>
      <c r="BO282" s="160"/>
      <c r="BP282" s="160"/>
      <c r="BQ282" s="160"/>
      <c r="BR282" s="160"/>
      <c r="BS282" s="160"/>
      <c r="BT282" s="160"/>
      <c r="BU282" s="160"/>
      <c r="BV282" s="160"/>
      <c r="BW282" s="160"/>
      <c r="BX282" s="160"/>
      <c r="BY282" s="160"/>
      <c r="BZ282" s="160"/>
      <c r="CA282" s="160"/>
      <c r="CB282" s="160"/>
      <c r="CC282" s="160"/>
      <c r="CD282" s="160"/>
      <c r="CE282" s="160"/>
      <c r="CF282" s="160"/>
      <c r="CG282" s="160"/>
      <c r="CH282" s="160"/>
      <c r="CI282" s="160"/>
      <c r="CJ282" s="160"/>
      <c r="CK282" s="160"/>
      <c r="CL282" s="160"/>
    </row>
    <row r="283">
      <c r="A283" s="188" t="s">
        <v>391</v>
      </c>
      <c r="B283" s="189" t="s">
        <v>392</v>
      </c>
      <c r="C283" s="190" t="s">
        <v>77</v>
      </c>
      <c r="D283" s="176" t="str">
        <f>IFERROR(VLOOKUP(C283, PIC!A:B, 2, 0), "")</f>
        <v>Vinh Nguyen</v>
      </c>
      <c r="E283" s="189" t="s">
        <v>22</v>
      </c>
      <c r="F283" s="191" t="s">
        <v>26</v>
      </c>
      <c r="G283" s="191" t="s">
        <v>26</v>
      </c>
      <c r="H283" s="192">
        <f>IFERROR(
  MINIFS(ATTENDANCE_LOG!$F:$F,
         ATTENDANCE_LOG!$A:$A, C283,
         ATTENDANCE_LOG!$B:$B, E283),
"")</f>
        <v>45715.58333</v>
      </c>
      <c r="I283" s="192">
        <f t="shared" si="2"/>
        <v>45715.58333</v>
      </c>
      <c r="J283" s="189">
        <f>IFERROR(VLOOKUP(F283, LEVEL_HELPER!$A:$B, 2, 0), "")</f>
        <v>0.5</v>
      </c>
      <c r="K283" s="189">
        <f>IFERROR(VLOOKUP(G283, LEVEL_HELPER!$A:$B, 2, 0), "")</f>
        <v>0.5</v>
      </c>
      <c r="L283" s="193" t="s">
        <v>857</v>
      </c>
      <c r="M283" s="193" t="s">
        <v>150</v>
      </c>
      <c r="N283" s="189">
        <f t="array" ref="N283">IFERROR(
  INDEX($J$2:$J$531,
    MATCH(A283&amp;TEXT(I283,"yyyy-mm-dd"),
          $A$2:$A$531&amp;TEXT($H$2:$H$531,"yyyy-mm-dd"),
          0)),
"")</f>
        <v>0.5</v>
      </c>
      <c r="O283" s="194">
        <f t="shared" si="3"/>
        <v>1</v>
      </c>
      <c r="P283" s="194">
        <f t="shared" ref="P283:Q283" si="293">IF(N283="",0,IF(N283&lt;=2,1,IF(N283&lt;=4,2,IF(N283&lt;=5.5,3,4))))</f>
        <v>1</v>
      </c>
      <c r="Q283" s="194">
        <f t="shared" si="293"/>
        <v>1</v>
      </c>
      <c r="R283" s="194" t="str">
        <f t="shared" si="5"/>
        <v>Progress within level</v>
      </c>
      <c r="S283" s="194">
        <f t="shared" si="6"/>
        <v>1</v>
      </c>
      <c r="T283" s="195" t="s">
        <v>1017</v>
      </c>
      <c r="U283" s="160">
        <f>COUNTIFS(sheet2!$A:$A,A283,sheet2!$E:$E,E283)</f>
        <v>1</v>
      </c>
      <c r="V283" s="194"/>
      <c r="W283" s="194"/>
      <c r="X283" s="194" t="str">
        <f t="shared" si="7"/>
        <v>#N/A</v>
      </c>
      <c r="Y283" s="194" t="str">
        <f t="shared" si="8"/>
        <v>#N/A</v>
      </c>
      <c r="Z283" s="194" t="str">
        <f t="shared" si="9"/>
        <v>#N/A</v>
      </c>
      <c r="AA283" s="194"/>
      <c r="AB283" s="194"/>
      <c r="AC283" s="194"/>
      <c r="AD283" s="194"/>
      <c r="AE283" s="194"/>
      <c r="AF283" s="194"/>
      <c r="AG283" s="194"/>
      <c r="AH283" s="194"/>
      <c r="AI283" s="194"/>
      <c r="AJ283" s="194"/>
      <c r="AK283" s="194"/>
      <c r="AL283" s="194"/>
      <c r="AM283" s="194"/>
      <c r="AN283" s="196"/>
      <c r="AO283" s="194"/>
      <c r="AP283" s="194"/>
      <c r="AQ283" s="194"/>
      <c r="AR283" s="194"/>
      <c r="AS283" s="194"/>
      <c r="AT283" s="194"/>
      <c r="AU283" s="194"/>
      <c r="AV283" s="194"/>
      <c r="AW283" s="194"/>
      <c r="AX283" s="194"/>
      <c r="AY283" s="194"/>
      <c r="AZ283" s="194"/>
      <c r="BA283" s="194"/>
      <c r="BB283" s="194"/>
      <c r="BC283" s="194"/>
      <c r="BD283" s="194"/>
      <c r="BE283" s="194"/>
      <c r="BF283" s="194"/>
      <c r="BG283" s="194"/>
      <c r="BH283" s="194"/>
      <c r="BI283" s="194"/>
      <c r="BJ283" s="194"/>
      <c r="BK283" s="194"/>
      <c r="BL283" s="194"/>
      <c r="BM283" s="194"/>
      <c r="BN283" s="194"/>
      <c r="BO283" s="194"/>
      <c r="BP283" s="194"/>
      <c r="BQ283" s="194"/>
      <c r="BR283" s="194"/>
      <c r="BS283" s="194"/>
      <c r="BT283" s="194"/>
      <c r="BU283" s="194"/>
      <c r="BV283" s="194"/>
      <c r="BW283" s="194"/>
      <c r="BX283" s="194"/>
      <c r="BY283" s="194"/>
      <c r="BZ283" s="194"/>
      <c r="CA283" s="194"/>
      <c r="CB283" s="194"/>
      <c r="CC283" s="194"/>
      <c r="CD283" s="194"/>
      <c r="CE283" s="194"/>
      <c r="CF283" s="194"/>
      <c r="CG283" s="194"/>
      <c r="CH283" s="194"/>
      <c r="CI283" s="194"/>
      <c r="CJ283" s="194"/>
      <c r="CK283" s="194"/>
      <c r="CL283" s="194"/>
    </row>
    <row r="284">
      <c r="A284" s="188" t="s">
        <v>384</v>
      </c>
      <c r="B284" s="189" t="s">
        <v>385</v>
      </c>
      <c r="C284" s="190" t="s">
        <v>77</v>
      </c>
      <c r="D284" s="176" t="str">
        <f>IFERROR(VLOOKUP(C284, PIC!A:B, 2, 0), "")</f>
        <v>Vinh Nguyen</v>
      </c>
      <c r="E284" s="189" t="s">
        <v>22</v>
      </c>
      <c r="F284" s="191" t="s">
        <v>26</v>
      </c>
      <c r="G284" s="191" t="s">
        <v>26</v>
      </c>
      <c r="H284" s="192">
        <f>IFERROR(
  MINIFS(ATTENDANCE_LOG!$F:$F,
         ATTENDANCE_LOG!$A:$A, C284,
         ATTENDANCE_LOG!$B:$B, E284),
"")</f>
        <v>45715.58333</v>
      </c>
      <c r="I284" s="192">
        <f t="shared" si="2"/>
        <v>45715.58333</v>
      </c>
      <c r="J284" s="189">
        <f>IFERROR(VLOOKUP(F284, LEVEL_HELPER!$A:$B, 2, 0), "")</f>
        <v>0.5</v>
      </c>
      <c r="K284" s="189">
        <f>IFERROR(VLOOKUP(G284, LEVEL_HELPER!$A:$B, 2, 0), "")</f>
        <v>0.5</v>
      </c>
      <c r="L284" s="193" t="s">
        <v>397</v>
      </c>
      <c r="M284" s="193" t="s">
        <v>150</v>
      </c>
      <c r="N284" s="189">
        <f t="array" ref="N284">IFERROR(
  INDEX($J$2:$J$531,
    MATCH(A284&amp;TEXT(I284,"yyyy-mm-dd"),
          $A$2:$A$531&amp;TEXT($H$2:$H$531,"yyyy-mm-dd"),
          0)),
"")</f>
        <v>0.5</v>
      </c>
      <c r="O284" s="194">
        <f t="shared" si="3"/>
        <v>0.5</v>
      </c>
      <c r="P284" s="194">
        <f t="shared" ref="P284:Q284" si="294">IF(N284="",0,IF(N284&lt;=2,1,IF(N284&lt;=4,2,IF(N284&lt;=5.5,3,4))))</f>
        <v>1</v>
      </c>
      <c r="Q284" s="194">
        <f t="shared" si="294"/>
        <v>1</v>
      </c>
      <c r="R284" s="194" t="str">
        <f t="shared" si="5"/>
        <v>No Progress</v>
      </c>
      <c r="S284" s="194">
        <f t="shared" si="6"/>
        <v>1</v>
      </c>
      <c r="T284" s="195" t="s">
        <v>1018</v>
      </c>
      <c r="U284" s="160">
        <f>COUNTIFS(sheet2!$A:$A,A284,sheet2!$E:$E,E284)</f>
        <v>1</v>
      </c>
      <c r="V284" s="194"/>
      <c r="W284" s="194"/>
      <c r="X284" s="194" t="str">
        <f t="shared" si="7"/>
        <v>#N/A</v>
      </c>
      <c r="Y284" s="194" t="str">
        <f t="shared" si="8"/>
        <v>#N/A</v>
      </c>
      <c r="Z284" s="194" t="str">
        <f t="shared" si="9"/>
        <v>#N/A</v>
      </c>
      <c r="AA284" s="194"/>
      <c r="AB284" s="194"/>
      <c r="AC284" s="194"/>
      <c r="AD284" s="194"/>
      <c r="AE284" s="194"/>
      <c r="AF284" s="194"/>
      <c r="AG284" s="194"/>
      <c r="AH284" s="194"/>
      <c r="AI284" s="194"/>
      <c r="AJ284" s="194"/>
      <c r="AK284" s="194"/>
      <c r="AL284" s="194"/>
      <c r="AM284" s="194"/>
      <c r="AN284" s="196"/>
      <c r="AO284" s="194"/>
      <c r="AP284" s="194"/>
      <c r="AQ284" s="194"/>
      <c r="AR284" s="194"/>
      <c r="AS284" s="194"/>
      <c r="AT284" s="194"/>
      <c r="AU284" s="194"/>
      <c r="AV284" s="194"/>
      <c r="AW284" s="194"/>
      <c r="AX284" s="194"/>
      <c r="AY284" s="194"/>
      <c r="AZ284" s="194"/>
      <c r="BA284" s="194"/>
      <c r="BB284" s="194"/>
      <c r="BC284" s="194"/>
      <c r="BD284" s="194"/>
      <c r="BE284" s="194"/>
      <c r="BF284" s="194"/>
      <c r="BG284" s="194"/>
      <c r="BH284" s="194"/>
      <c r="BI284" s="194"/>
      <c r="BJ284" s="194"/>
      <c r="BK284" s="194"/>
      <c r="BL284" s="194"/>
      <c r="BM284" s="194"/>
      <c r="BN284" s="194"/>
      <c r="BO284" s="194"/>
      <c r="BP284" s="194"/>
      <c r="BQ284" s="194"/>
      <c r="BR284" s="194"/>
      <c r="BS284" s="194"/>
      <c r="BT284" s="194"/>
      <c r="BU284" s="194"/>
      <c r="BV284" s="194"/>
      <c r="BW284" s="194"/>
      <c r="BX284" s="194"/>
      <c r="BY284" s="194"/>
      <c r="BZ284" s="194"/>
      <c r="CA284" s="194"/>
      <c r="CB284" s="194"/>
      <c r="CC284" s="194"/>
      <c r="CD284" s="194"/>
      <c r="CE284" s="194"/>
      <c r="CF284" s="194"/>
      <c r="CG284" s="194"/>
      <c r="CH284" s="194"/>
      <c r="CI284" s="194"/>
      <c r="CJ284" s="194"/>
      <c r="CK284" s="194"/>
      <c r="CL284" s="194"/>
    </row>
    <row r="285">
      <c r="A285" s="174" t="s">
        <v>748</v>
      </c>
      <c r="B285" s="11" t="s">
        <v>749</v>
      </c>
      <c r="C285" s="175" t="s">
        <v>77</v>
      </c>
      <c r="D285" s="176" t="str">
        <f>IFERROR(VLOOKUP(C285, PIC!A:B, 2, 0), "")</f>
        <v>Vinh Nguyen</v>
      </c>
      <c r="E285" s="11" t="s">
        <v>22</v>
      </c>
      <c r="F285" s="16" t="s">
        <v>849</v>
      </c>
      <c r="G285" s="16" t="s">
        <v>846</v>
      </c>
      <c r="H285" s="170">
        <f>IFERROR(
  MINIFS(ATTENDANCE_LOG!$F:$F,
         ATTENDANCE_LOG!$A:$A, C285,
         ATTENDANCE_LOG!$B:$B, E285),
"")</f>
        <v>45715.58333</v>
      </c>
      <c r="I285" s="170">
        <f t="shared" si="2"/>
        <v>45715.58333</v>
      </c>
      <c r="J285" s="11">
        <f>IFERROR(VLOOKUP(F285, LEVEL_HELPER!$A:$B, 2, 0), "")</f>
        <v>1</v>
      </c>
      <c r="K285" s="11">
        <f>IFERROR(VLOOKUP(G285, LEVEL_HELPER!$A:$B, 2, 0), "")</f>
        <v>3</v>
      </c>
      <c r="L285" s="171" t="s">
        <v>857</v>
      </c>
      <c r="M285" s="171" t="s">
        <v>150</v>
      </c>
      <c r="N285" s="11">
        <f t="array" ref="N285">IFERROR(
  INDEX($J$2:$J$531,
    MATCH(A285&amp;TEXT(I285,"yyyy-mm-dd"),
          $A$2:$A$531&amp;TEXT($H$2:$H$531,"yyyy-mm-dd"),
          0)),
"")</f>
        <v>1</v>
      </c>
      <c r="O285" s="160">
        <f t="shared" si="3"/>
        <v>3.5</v>
      </c>
      <c r="P285" s="160">
        <f t="shared" ref="P285:Q285" si="295">IF(N285="",0,IF(N285&lt;=2,1,IF(N285&lt;=4,2,IF(N285&lt;=5.5,3,4))))</f>
        <v>1</v>
      </c>
      <c r="Q285" s="160">
        <f t="shared" si="295"/>
        <v>2</v>
      </c>
      <c r="R285" s="160" t="str">
        <f t="shared" si="5"/>
        <v>Lv1 → Lv2</v>
      </c>
      <c r="S285" s="160">
        <f t="shared" si="6"/>
        <v>1</v>
      </c>
      <c r="T285" s="177" t="s">
        <v>1019</v>
      </c>
      <c r="U285" s="160">
        <f>COUNTIFS(sheet2!$A:$A,A285,sheet2!$E:$E,E285)</f>
        <v>1</v>
      </c>
      <c r="V285" s="160"/>
      <c r="W285" s="160"/>
      <c r="X285" s="160" t="str">
        <f t="shared" si="7"/>
        <v>#N/A</v>
      </c>
      <c r="Y285" s="160" t="str">
        <f t="shared" si="8"/>
        <v>#N/A</v>
      </c>
      <c r="Z285" s="160" t="str">
        <f t="shared" si="9"/>
        <v>#N/A</v>
      </c>
      <c r="AA285" s="160"/>
      <c r="AB285" s="160"/>
      <c r="AC285" s="160"/>
      <c r="AD285" s="160"/>
      <c r="AE285" s="160"/>
      <c r="AF285" s="160"/>
      <c r="AG285" s="160"/>
      <c r="AH285" s="160"/>
      <c r="AI285" s="160"/>
      <c r="AJ285" s="160"/>
      <c r="AK285" s="160"/>
      <c r="AL285" s="160"/>
      <c r="AM285" s="160"/>
      <c r="AN285" s="164"/>
      <c r="AO285" s="160"/>
      <c r="AP285" s="160"/>
      <c r="AQ285" s="160"/>
      <c r="AR285" s="160"/>
      <c r="AS285" s="160"/>
      <c r="AT285" s="160"/>
      <c r="AU285" s="160"/>
      <c r="AV285" s="160"/>
      <c r="AW285" s="160"/>
      <c r="AX285" s="160"/>
      <c r="AY285" s="160"/>
      <c r="AZ285" s="160"/>
      <c r="BA285" s="160"/>
      <c r="BB285" s="160"/>
      <c r="BC285" s="160"/>
      <c r="BD285" s="160"/>
      <c r="BE285" s="160"/>
      <c r="BF285" s="160"/>
      <c r="BG285" s="160"/>
      <c r="BH285" s="160"/>
      <c r="BI285" s="160"/>
      <c r="BJ285" s="160"/>
      <c r="BK285" s="160"/>
      <c r="BL285" s="160"/>
      <c r="BM285" s="160"/>
      <c r="BN285" s="160"/>
      <c r="BO285" s="160"/>
      <c r="BP285" s="160"/>
      <c r="BQ285" s="160"/>
      <c r="BR285" s="160"/>
      <c r="BS285" s="160"/>
      <c r="BT285" s="160"/>
      <c r="BU285" s="160"/>
      <c r="BV285" s="160"/>
      <c r="BW285" s="160"/>
      <c r="BX285" s="160"/>
      <c r="BY285" s="160"/>
      <c r="BZ285" s="160"/>
      <c r="CA285" s="160"/>
      <c r="CB285" s="160"/>
      <c r="CC285" s="160"/>
      <c r="CD285" s="160"/>
      <c r="CE285" s="160"/>
      <c r="CF285" s="160"/>
      <c r="CG285" s="160"/>
      <c r="CH285" s="160"/>
      <c r="CI285" s="160"/>
      <c r="CJ285" s="160"/>
      <c r="CK285" s="160"/>
      <c r="CL285" s="160"/>
    </row>
    <row r="286">
      <c r="A286" s="174" t="s">
        <v>750</v>
      </c>
      <c r="B286" s="11" t="s">
        <v>751</v>
      </c>
      <c r="C286" s="175" t="s">
        <v>77</v>
      </c>
      <c r="D286" s="176" t="str">
        <f>IFERROR(VLOOKUP(C286, PIC!A:B, 2, 0), "")</f>
        <v>Vinh Nguyen</v>
      </c>
      <c r="E286" s="11" t="s">
        <v>22</v>
      </c>
      <c r="F286" s="16" t="s">
        <v>849</v>
      </c>
      <c r="G286" s="16" t="s">
        <v>853</v>
      </c>
      <c r="H286" s="170">
        <f>IFERROR(
  MINIFS(ATTENDANCE_LOG!$F:$F,
         ATTENDANCE_LOG!$A:$A, C286,
         ATTENDANCE_LOG!$B:$B, E286),
"")</f>
        <v>45715.58333</v>
      </c>
      <c r="I286" s="170">
        <f t="shared" si="2"/>
        <v>45715.58333</v>
      </c>
      <c r="J286" s="11">
        <f>IFERROR(VLOOKUP(F286, LEVEL_HELPER!$A:$B, 2, 0), "")</f>
        <v>1</v>
      </c>
      <c r="K286" s="11">
        <f>IFERROR(VLOOKUP(G286, LEVEL_HELPER!$A:$B, 2, 0), "")</f>
        <v>1.5</v>
      </c>
      <c r="L286" s="171" t="s">
        <v>857</v>
      </c>
      <c r="M286" s="171" t="s">
        <v>150</v>
      </c>
      <c r="N286" s="11">
        <f t="array" ref="N286">IFERROR(
  INDEX($J$2:$J$531,
    MATCH(A286&amp;TEXT(I286,"yyyy-mm-dd"),
          $A$2:$A$531&amp;TEXT($H$2:$H$531,"yyyy-mm-dd"),
          0)),
"")</f>
        <v>1</v>
      </c>
      <c r="O286" s="160">
        <f t="shared" si="3"/>
        <v>3</v>
      </c>
      <c r="P286" s="160">
        <f t="shared" ref="P286:Q286" si="296">IF(N286="",0,IF(N286&lt;=2,1,IF(N286&lt;=4,2,IF(N286&lt;=5.5,3,4))))</f>
        <v>1</v>
      </c>
      <c r="Q286" s="160">
        <f t="shared" si="296"/>
        <v>2</v>
      </c>
      <c r="R286" s="160" t="str">
        <f t="shared" si="5"/>
        <v>Lv1 → Lv2</v>
      </c>
      <c r="S286" s="160">
        <f t="shared" si="6"/>
        <v>1</v>
      </c>
      <c r="T286" s="177" t="s">
        <v>1020</v>
      </c>
      <c r="U286" s="160">
        <f>COUNTIFS(sheet2!$A:$A,A286,sheet2!$E:$E,E286)</f>
        <v>1</v>
      </c>
      <c r="V286" s="160"/>
      <c r="W286" s="160"/>
      <c r="X286" s="160" t="str">
        <f t="shared" si="7"/>
        <v>#N/A</v>
      </c>
      <c r="Y286" s="160" t="str">
        <f t="shared" si="8"/>
        <v>#N/A</v>
      </c>
      <c r="Z286" s="160" t="str">
        <f t="shared" si="9"/>
        <v>#N/A</v>
      </c>
      <c r="AA286" s="160"/>
      <c r="AB286" s="160"/>
      <c r="AC286" s="160"/>
      <c r="AD286" s="160"/>
      <c r="AE286" s="160"/>
      <c r="AF286" s="160"/>
      <c r="AG286" s="160"/>
      <c r="AH286" s="160"/>
      <c r="AI286" s="160"/>
      <c r="AJ286" s="160"/>
      <c r="AK286" s="160"/>
      <c r="AL286" s="160"/>
      <c r="AM286" s="160"/>
      <c r="AN286" s="164"/>
      <c r="AO286" s="160"/>
      <c r="AP286" s="160"/>
      <c r="AQ286" s="160"/>
      <c r="AR286" s="160"/>
      <c r="AS286" s="160"/>
      <c r="AT286" s="160"/>
      <c r="AU286" s="160"/>
      <c r="AV286" s="160"/>
      <c r="AW286" s="160"/>
      <c r="AX286" s="160"/>
      <c r="AY286" s="160"/>
      <c r="AZ286" s="160"/>
      <c r="BA286" s="160"/>
      <c r="BB286" s="160"/>
      <c r="BC286" s="160"/>
      <c r="BD286" s="160"/>
      <c r="BE286" s="160"/>
      <c r="BF286" s="160"/>
      <c r="BG286" s="160"/>
      <c r="BH286" s="160"/>
      <c r="BI286" s="160"/>
      <c r="BJ286" s="160"/>
      <c r="BK286" s="160"/>
      <c r="BL286" s="160"/>
      <c r="BM286" s="160"/>
      <c r="BN286" s="160"/>
      <c r="BO286" s="160"/>
      <c r="BP286" s="160"/>
      <c r="BQ286" s="160"/>
      <c r="BR286" s="160"/>
      <c r="BS286" s="160"/>
      <c r="BT286" s="160"/>
      <c r="BU286" s="160"/>
      <c r="BV286" s="160"/>
      <c r="BW286" s="160"/>
      <c r="BX286" s="160"/>
      <c r="BY286" s="160"/>
      <c r="BZ286" s="160"/>
      <c r="CA286" s="160"/>
      <c r="CB286" s="160"/>
      <c r="CC286" s="160"/>
      <c r="CD286" s="160"/>
      <c r="CE286" s="160"/>
      <c r="CF286" s="160"/>
      <c r="CG286" s="160"/>
      <c r="CH286" s="160"/>
      <c r="CI286" s="160"/>
      <c r="CJ286" s="160"/>
      <c r="CK286" s="160"/>
      <c r="CL286" s="160"/>
    </row>
    <row r="287">
      <c r="A287" s="174" t="s">
        <v>754</v>
      </c>
      <c r="B287" s="11" t="s">
        <v>755</v>
      </c>
      <c r="C287" s="175" t="s">
        <v>77</v>
      </c>
      <c r="D287" s="176" t="str">
        <f>IFERROR(VLOOKUP(C287, PIC!A:B, 2, 0), "")</f>
        <v>Vinh Nguyen</v>
      </c>
      <c r="E287" s="11" t="s">
        <v>22</v>
      </c>
      <c r="F287" s="16" t="s">
        <v>849</v>
      </c>
      <c r="G287" s="16" t="s">
        <v>853</v>
      </c>
      <c r="H287" s="170">
        <f>IFERROR(
  MINIFS(ATTENDANCE_LOG!$F:$F,
         ATTENDANCE_LOG!$A:$A, C287,
         ATTENDANCE_LOG!$B:$B, E287),
"")</f>
        <v>45715.58333</v>
      </c>
      <c r="I287" s="170">
        <f t="shared" si="2"/>
        <v>45715.58333</v>
      </c>
      <c r="J287" s="11">
        <f>IFERROR(VLOOKUP(F287, LEVEL_HELPER!$A:$B, 2, 0), "")</f>
        <v>1</v>
      </c>
      <c r="K287" s="11">
        <f>IFERROR(VLOOKUP(G287, LEVEL_HELPER!$A:$B, 2, 0), "")</f>
        <v>1.5</v>
      </c>
      <c r="L287" s="171" t="s">
        <v>397</v>
      </c>
      <c r="M287" s="171" t="s">
        <v>150</v>
      </c>
      <c r="N287" s="11">
        <f t="array" ref="N287">IFERROR(
  INDEX($J$2:$J$531,
    MATCH(A287&amp;TEXT(I287,"yyyy-mm-dd"),
          $A$2:$A$531&amp;TEXT($H$2:$H$531,"yyyy-mm-dd"),
          0)),
"")</f>
        <v>1</v>
      </c>
      <c r="O287" s="160">
        <f t="shared" si="3"/>
        <v>1.5</v>
      </c>
      <c r="P287" s="160">
        <f t="shared" ref="P287:Q287" si="297">IF(N287="",0,IF(N287&lt;=2,1,IF(N287&lt;=4,2,IF(N287&lt;=5.5,3,4))))</f>
        <v>1</v>
      </c>
      <c r="Q287" s="160">
        <f t="shared" si="297"/>
        <v>1</v>
      </c>
      <c r="R287" s="160" t="str">
        <f t="shared" si="5"/>
        <v>Progress within level</v>
      </c>
      <c r="S287" s="160">
        <f t="shared" si="6"/>
        <v>1</v>
      </c>
      <c r="T287" s="177" t="s">
        <v>1021</v>
      </c>
      <c r="U287" s="160">
        <f>COUNTIFS(sheet2!$A:$A,A287,sheet2!$E:$E,E287)</f>
        <v>1</v>
      </c>
      <c r="V287" s="160"/>
      <c r="W287" s="160"/>
      <c r="X287" s="160" t="str">
        <f t="shared" si="7"/>
        <v>#N/A</v>
      </c>
      <c r="Y287" s="160" t="str">
        <f t="shared" si="8"/>
        <v>#N/A</v>
      </c>
      <c r="Z287" s="160" t="str">
        <f t="shared" si="9"/>
        <v>#N/A</v>
      </c>
      <c r="AA287" s="160"/>
      <c r="AB287" s="160"/>
      <c r="AC287" s="160"/>
      <c r="AD287" s="160"/>
      <c r="AE287" s="160"/>
      <c r="AF287" s="160"/>
      <c r="AG287" s="160"/>
      <c r="AH287" s="160"/>
      <c r="AI287" s="160"/>
      <c r="AJ287" s="160"/>
      <c r="AK287" s="160"/>
      <c r="AL287" s="160"/>
      <c r="AM287" s="160"/>
      <c r="AN287" s="164"/>
      <c r="AO287" s="160"/>
      <c r="AP287" s="160"/>
      <c r="AQ287" s="160"/>
      <c r="AR287" s="160"/>
      <c r="AS287" s="160"/>
      <c r="AT287" s="160"/>
      <c r="AU287" s="160"/>
      <c r="AV287" s="160"/>
      <c r="AW287" s="160"/>
      <c r="AX287" s="160"/>
      <c r="AY287" s="160"/>
      <c r="AZ287" s="160"/>
      <c r="BA287" s="160"/>
      <c r="BB287" s="160"/>
      <c r="BC287" s="160"/>
      <c r="BD287" s="160"/>
      <c r="BE287" s="160"/>
      <c r="BF287" s="160"/>
      <c r="BG287" s="160"/>
      <c r="BH287" s="160"/>
      <c r="BI287" s="160"/>
      <c r="BJ287" s="160"/>
      <c r="BK287" s="160"/>
      <c r="BL287" s="160"/>
      <c r="BM287" s="160"/>
      <c r="BN287" s="160"/>
      <c r="BO287" s="160"/>
      <c r="BP287" s="160"/>
      <c r="BQ287" s="160"/>
      <c r="BR287" s="160"/>
      <c r="BS287" s="160"/>
      <c r="BT287" s="160"/>
      <c r="BU287" s="160"/>
      <c r="BV287" s="160"/>
      <c r="BW287" s="160"/>
      <c r="BX287" s="160"/>
      <c r="BY287" s="160"/>
      <c r="BZ287" s="160"/>
      <c r="CA287" s="160"/>
      <c r="CB287" s="160"/>
      <c r="CC287" s="160"/>
      <c r="CD287" s="160"/>
      <c r="CE287" s="160"/>
      <c r="CF287" s="160"/>
      <c r="CG287" s="160"/>
      <c r="CH287" s="160"/>
      <c r="CI287" s="160"/>
      <c r="CJ287" s="160"/>
      <c r="CK287" s="160"/>
      <c r="CL287" s="160"/>
    </row>
    <row r="288">
      <c r="A288" s="166" t="s">
        <v>745</v>
      </c>
      <c r="B288" s="167" t="s">
        <v>746</v>
      </c>
      <c r="C288" s="168" t="s">
        <v>77</v>
      </c>
      <c r="D288" s="169" t="str">
        <f>IFERROR(VLOOKUP(C288, PIC!A:B, 2, 0), "")</f>
        <v>Vinh Nguyen</v>
      </c>
      <c r="E288" s="167" t="s">
        <v>23</v>
      </c>
      <c r="F288" s="16" t="s">
        <v>846</v>
      </c>
      <c r="G288" s="16" t="s">
        <v>861</v>
      </c>
      <c r="H288" s="170">
        <f>IFERROR(
  MINIFS(ATTENDANCE_LOG!$F:$F,
         ATTENDANCE_LOG!$A:$A, C288,
         ATTENDANCE_LOG!$B:$B, E288),
"")</f>
        <v>45890.54167</v>
      </c>
      <c r="I288" s="170">
        <f t="shared" si="2"/>
        <v>45715.58333</v>
      </c>
      <c r="J288" s="11">
        <f>IFERROR(VLOOKUP(F288, LEVEL_HELPER!$A:$B, 2, 0), "")</f>
        <v>3</v>
      </c>
      <c r="K288" s="11">
        <f>IFERROR(VLOOKUP(G288, LEVEL_HELPER!$A:$B, 2, 0), "")</f>
        <v>3.5</v>
      </c>
      <c r="L288" s="171" t="s">
        <v>857</v>
      </c>
      <c r="M288" s="171" t="s">
        <v>150</v>
      </c>
      <c r="N288" s="11">
        <f t="array" ref="N288">IFERROR(
  INDEX($J$2:$J$531,
    MATCH(A288&amp;TEXT(I288,"yyyy-mm-dd"),
          $A$2:$A$531&amp;TEXT($H$2:$H$531,"yyyy-mm-dd"),
          0)),
"")</f>
        <v>1</v>
      </c>
      <c r="O288" s="160">
        <f t="shared" si="3"/>
        <v>3.5</v>
      </c>
      <c r="P288" s="160">
        <f t="shared" ref="P288:Q288" si="298">IF(N288="",0,IF(N288&lt;=2,1,IF(N288&lt;=4,2,IF(N288&lt;=5.5,3,4))))</f>
        <v>1</v>
      </c>
      <c r="Q288" s="160">
        <f t="shared" si="298"/>
        <v>2</v>
      </c>
      <c r="R288" s="160" t="str">
        <f t="shared" si="5"/>
        <v>Lv1 → Lv2</v>
      </c>
      <c r="S288" s="160">
        <f t="shared" si="6"/>
        <v>0</v>
      </c>
      <c r="T288" s="172" t="s">
        <v>1014</v>
      </c>
      <c r="U288" s="160">
        <f>COUNTIFS(sheet2!$A:$A,A288,sheet2!$E:$E,E288)</f>
        <v>1</v>
      </c>
      <c r="V288" s="160"/>
      <c r="W288" s="160"/>
      <c r="X288" s="160" t="str">
        <f t="shared" si="7"/>
        <v>#N/A</v>
      </c>
      <c r="Y288" s="160" t="str">
        <f t="shared" si="8"/>
        <v>#N/A</v>
      </c>
      <c r="Z288" s="160" t="str">
        <f t="shared" si="9"/>
        <v>#N/A</v>
      </c>
      <c r="AA288" s="160"/>
      <c r="AB288" s="160"/>
      <c r="AC288" s="160"/>
      <c r="AD288" s="160"/>
      <c r="AE288" s="160"/>
      <c r="AF288" s="160"/>
      <c r="AG288" s="160"/>
      <c r="AH288" s="160"/>
      <c r="AI288" s="160"/>
      <c r="AJ288" s="160"/>
      <c r="AK288" s="160"/>
      <c r="AL288" s="160"/>
      <c r="AM288" s="160"/>
      <c r="AN288" s="164"/>
      <c r="AO288" s="160"/>
      <c r="AP288" s="160"/>
      <c r="AQ288" s="160"/>
      <c r="AR288" s="160"/>
      <c r="AS288" s="160"/>
      <c r="AT288" s="160"/>
      <c r="AU288" s="160"/>
      <c r="AV288" s="160"/>
      <c r="AW288" s="160"/>
      <c r="AX288" s="160"/>
      <c r="AY288" s="160"/>
      <c r="AZ288" s="160"/>
      <c r="BA288" s="160"/>
      <c r="BB288" s="160"/>
      <c r="BC288" s="160"/>
      <c r="BD288" s="160"/>
      <c r="BE288" s="160"/>
      <c r="BF288" s="160"/>
      <c r="BG288" s="160"/>
      <c r="BH288" s="160"/>
      <c r="BI288" s="160"/>
      <c r="BJ288" s="160"/>
      <c r="BK288" s="160"/>
      <c r="BL288" s="160"/>
      <c r="BM288" s="160"/>
      <c r="BN288" s="160"/>
      <c r="BO288" s="160"/>
      <c r="BP288" s="160"/>
      <c r="BQ288" s="160"/>
      <c r="BR288" s="160"/>
      <c r="BS288" s="160"/>
      <c r="BT288" s="160"/>
      <c r="BU288" s="160"/>
      <c r="BV288" s="160"/>
      <c r="BW288" s="160"/>
      <c r="BX288" s="160"/>
      <c r="BY288" s="160"/>
      <c r="BZ288" s="160"/>
      <c r="CA288" s="160"/>
      <c r="CB288" s="160"/>
      <c r="CC288" s="160"/>
      <c r="CD288" s="160"/>
      <c r="CE288" s="160"/>
      <c r="CF288" s="160"/>
      <c r="CG288" s="160"/>
      <c r="CH288" s="160"/>
      <c r="CI288" s="160"/>
      <c r="CJ288" s="160"/>
      <c r="CK288" s="160"/>
      <c r="CL288" s="160"/>
    </row>
    <row r="289">
      <c r="A289" s="174" t="s">
        <v>741</v>
      </c>
      <c r="B289" s="11" t="s">
        <v>742</v>
      </c>
      <c r="C289" s="175" t="s">
        <v>77</v>
      </c>
      <c r="D289" s="176" t="str">
        <f>IFERROR(VLOOKUP(C289, PIC!A:B, 2, 0), "")</f>
        <v>Vinh Nguyen</v>
      </c>
      <c r="E289" s="11" t="s">
        <v>23</v>
      </c>
      <c r="F289" s="16" t="s">
        <v>846</v>
      </c>
      <c r="G289" s="16" t="s">
        <v>861</v>
      </c>
      <c r="H289" s="170">
        <f>IFERROR(
  MINIFS(ATTENDANCE_LOG!$F:$F,
         ATTENDANCE_LOG!$A:$A, C289,
         ATTENDANCE_LOG!$B:$B, E289),
"")</f>
        <v>45890.54167</v>
      </c>
      <c r="I289" s="170">
        <f t="shared" si="2"/>
        <v>45715.58333</v>
      </c>
      <c r="J289" s="11">
        <f>IFERROR(VLOOKUP(F289, LEVEL_HELPER!$A:$B, 2, 0), "")</f>
        <v>3</v>
      </c>
      <c r="K289" s="11">
        <f>IFERROR(VLOOKUP(G289, LEVEL_HELPER!$A:$B, 2, 0), "")</f>
        <v>3.5</v>
      </c>
      <c r="L289" s="171" t="s">
        <v>857</v>
      </c>
      <c r="M289" s="171" t="s">
        <v>150</v>
      </c>
      <c r="N289" s="11">
        <f t="array" ref="N289">IFERROR(
  INDEX($J$2:$J$531,
    MATCH(A289&amp;TEXT(I289,"yyyy-mm-dd"),
          $A$2:$A$531&amp;TEXT($H$2:$H$531,"yyyy-mm-dd"),
          0)),
"")</f>
        <v>1</v>
      </c>
      <c r="O289" s="160">
        <f t="shared" si="3"/>
        <v>3.5</v>
      </c>
      <c r="P289" s="160">
        <f t="shared" ref="P289:Q289" si="299">IF(N289="",0,IF(N289&lt;=2,1,IF(N289&lt;=4,2,IF(N289&lt;=5.5,3,4))))</f>
        <v>1</v>
      </c>
      <c r="Q289" s="160">
        <f t="shared" si="299"/>
        <v>2</v>
      </c>
      <c r="R289" s="160" t="str">
        <f t="shared" si="5"/>
        <v>Lv1 → Lv2</v>
      </c>
      <c r="S289" s="160">
        <f t="shared" si="6"/>
        <v>0</v>
      </c>
      <c r="T289" s="177" t="s">
        <v>1015</v>
      </c>
      <c r="U289" s="160">
        <f>COUNTIFS(sheet2!$A:$A,A289,sheet2!$E:$E,E289)</f>
        <v>1</v>
      </c>
      <c r="V289" s="160"/>
      <c r="W289" s="160"/>
      <c r="X289" s="160" t="str">
        <f t="shared" si="7"/>
        <v>#N/A</v>
      </c>
      <c r="Y289" s="160" t="str">
        <f t="shared" si="8"/>
        <v>#N/A</v>
      </c>
      <c r="Z289" s="160" t="str">
        <f t="shared" si="9"/>
        <v>#N/A</v>
      </c>
      <c r="AA289" s="160"/>
      <c r="AB289" s="160"/>
      <c r="AC289" s="160"/>
      <c r="AD289" s="160"/>
      <c r="AE289" s="160"/>
      <c r="AF289" s="160"/>
      <c r="AG289" s="160"/>
      <c r="AH289" s="160"/>
      <c r="AI289" s="160"/>
      <c r="AJ289" s="160"/>
      <c r="AK289" s="160"/>
      <c r="AL289" s="160"/>
      <c r="AM289" s="160"/>
      <c r="AN289" s="164"/>
      <c r="AO289" s="160"/>
      <c r="AP289" s="160"/>
      <c r="AQ289" s="160"/>
      <c r="AR289" s="160"/>
      <c r="AS289" s="160"/>
      <c r="AT289" s="160"/>
      <c r="AU289" s="160"/>
      <c r="AV289" s="160"/>
      <c r="AW289" s="160"/>
      <c r="AX289" s="160"/>
      <c r="AY289" s="160"/>
      <c r="AZ289" s="160"/>
      <c r="BA289" s="160"/>
      <c r="BB289" s="160"/>
      <c r="BC289" s="160"/>
      <c r="BD289" s="160"/>
      <c r="BE289" s="160"/>
      <c r="BF289" s="160"/>
      <c r="BG289" s="160"/>
      <c r="BH289" s="160"/>
      <c r="BI289" s="160"/>
      <c r="BJ289" s="160"/>
      <c r="BK289" s="160"/>
      <c r="BL289" s="160"/>
      <c r="BM289" s="160"/>
      <c r="BN289" s="160"/>
      <c r="BO289" s="160"/>
      <c r="BP289" s="160"/>
      <c r="BQ289" s="160"/>
      <c r="BR289" s="160"/>
      <c r="BS289" s="160"/>
      <c r="BT289" s="160"/>
      <c r="BU289" s="160"/>
      <c r="BV289" s="160"/>
      <c r="BW289" s="160"/>
      <c r="BX289" s="160"/>
      <c r="BY289" s="160"/>
      <c r="BZ289" s="160"/>
      <c r="CA289" s="160"/>
      <c r="CB289" s="160"/>
      <c r="CC289" s="160"/>
      <c r="CD289" s="160"/>
      <c r="CE289" s="160"/>
      <c r="CF289" s="160"/>
      <c r="CG289" s="160"/>
      <c r="CH289" s="160"/>
      <c r="CI289" s="160"/>
      <c r="CJ289" s="160"/>
      <c r="CK289" s="160"/>
      <c r="CL289" s="160"/>
    </row>
    <row r="290">
      <c r="A290" s="174" t="s">
        <v>752</v>
      </c>
      <c r="B290" s="11" t="s">
        <v>753</v>
      </c>
      <c r="C290" s="175" t="s">
        <v>77</v>
      </c>
      <c r="D290" s="176" t="str">
        <f>IFERROR(VLOOKUP(C290, PIC!A:B, 2, 0), "")</f>
        <v>Vinh Nguyen</v>
      </c>
      <c r="E290" s="11" t="s">
        <v>23</v>
      </c>
      <c r="F290" s="16" t="s">
        <v>846</v>
      </c>
      <c r="G290" s="16" t="s">
        <v>846</v>
      </c>
      <c r="H290" s="170">
        <f>IFERROR(
  MINIFS(ATTENDANCE_LOG!$F:$F,
         ATTENDANCE_LOG!$A:$A, C290,
         ATTENDANCE_LOG!$B:$B, E290),
"")</f>
        <v>45890.54167</v>
      </c>
      <c r="I290" s="170">
        <f t="shared" si="2"/>
        <v>45663.58333</v>
      </c>
      <c r="J290" s="11">
        <f>IFERROR(VLOOKUP(F290, LEVEL_HELPER!$A:$B, 2, 0), "")</f>
        <v>3</v>
      </c>
      <c r="K290" s="11">
        <f>IFERROR(VLOOKUP(G290, LEVEL_HELPER!$A:$B, 2, 0), "")</f>
        <v>3</v>
      </c>
      <c r="L290" s="171" t="s">
        <v>857</v>
      </c>
      <c r="M290" s="171" t="s">
        <v>150</v>
      </c>
      <c r="N290" s="11">
        <f t="array" ref="N290">IFERROR(
  INDEX($J$2:$J$531,
    MATCH(A290&amp;TEXT(I290,"yyyy-mm-dd"),
          $A$2:$A$531&amp;TEXT($H$2:$H$531,"yyyy-mm-dd"),
          0)),
"")</f>
        <v>1</v>
      </c>
      <c r="O290" s="160">
        <f t="shared" si="3"/>
        <v>3</v>
      </c>
      <c r="P290" s="160">
        <f t="shared" ref="P290:Q290" si="300">IF(N290="",0,IF(N290&lt;=2,1,IF(N290&lt;=4,2,IF(N290&lt;=5.5,3,4))))</f>
        <v>1</v>
      </c>
      <c r="Q290" s="160">
        <f t="shared" si="300"/>
        <v>2</v>
      </c>
      <c r="R290" s="160" t="str">
        <f t="shared" si="5"/>
        <v>Lv1 → Lv2</v>
      </c>
      <c r="S290" s="160">
        <f t="shared" si="6"/>
        <v>0</v>
      </c>
      <c r="T290" s="177" t="s">
        <v>917</v>
      </c>
      <c r="U290" s="160">
        <f>COUNTIFS(sheet2!$A:$A,A290,sheet2!$E:$E,E290)</f>
        <v>1</v>
      </c>
      <c r="V290" s="160"/>
      <c r="W290" s="160"/>
      <c r="X290" s="160" t="str">
        <f t="shared" si="7"/>
        <v>#N/A</v>
      </c>
      <c r="Y290" s="160" t="str">
        <f t="shared" si="8"/>
        <v>#N/A</v>
      </c>
      <c r="Z290" s="160" t="str">
        <f t="shared" si="9"/>
        <v>#N/A</v>
      </c>
      <c r="AA290" s="160"/>
      <c r="AB290" s="160"/>
      <c r="AC290" s="160"/>
      <c r="AD290" s="160"/>
      <c r="AE290" s="160"/>
      <c r="AF290" s="160"/>
      <c r="AG290" s="160"/>
      <c r="AH290" s="160"/>
      <c r="AI290" s="160"/>
      <c r="AJ290" s="160"/>
      <c r="AK290" s="160"/>
      <c r="AL290" s="160"/>
      <c r="AM290" s="160"/>
      <c r="AN290" s="164"/>
      <c r="AO290" s="160"/>
      <c r="AP290" s="160"/>
      <c r="AQ290" s="160"/>
      <c r="AR290" s="160"/>
      <c r="AS290" s="160"/>
      <c r="AT290" s="160"/>
      <c r="AU290" s="160"/>
      <c r="AV290" s="160"/>
      <c r="AW290" s="160"/>
      <c r="AX290" s="160"/>
      <c r="AY290" s="160"/>
      <c r="AZ290" s="160"/>
      <c r="BA290" s="160"/>
      <c r="BB290" s="160"/>
      <c r="BC290" s="160"/>
      <c r="BD290" s="160"/>
      <c r="BE290" s="160"/>
      <c r="BF290" s="160"/>
      <c r="BG290" s="160"/>
      <c r="BH290" s="160"/>
      <c r="BI290" s="160"/>
      <c r="BJ290" s="160"/>
      <c r="BK290" s="160"/>
      <c r="BL290" s="160"/>
      <c r="BM290" s="160"/>
      <c r="BN290" s="160"/>
      <c r="BO290" s="160"/>
      <c r="BP290" s="160"/>
      <c r="BQ290" s="160"/>
      <c r="BR290" s="160"/>
      <c r="BS290" s="160"/>
      <c r="BT290" s="160"/>
      <c r="BU290" s="160"/>
      <c r="BV290" s="160"/>
      <c r="BW290" s="160"/>
      <c r="BX290" s="160"/>
      <c r="BY290" s="160"/>
      <c r="BZ290" s="160"/>
      <c r="CA290" s="160"/>
      <c r="CB290" s="160"/>
      <c r="CC290" s="160"/>
      <c r="CD290" s="160"/>
      <c r="CE290" s="160"/>
      <c r="CF290" s="160"/>
      <c r="CG290" s="160"/>
      <c r="CH290" s="160"/>
      <c r="CI290" s="160"/>
      <c r="CJ290" s="160"/>
      <c r="CK290" s="160"/>
      <c r="CL290" s="160"/>
    </row>
    <row r="291">
      <c r="A291" s="174" t="s">
        <v>743</v>
      </c>
      <c r="B291" s="11" t="s">
        <v>744</v>
      </c>
      <c r="C291" s="175" t="s">
        <v>77</v>
      </c>
      <c r="D291" s="176" t="str">
        <f>IFERROR(VLOOKUP(C291, PIC!A:B, 2, 0), "")</f>
        <v>Vinh Nguyen</v>
      </c>
      <c r="E291" s="11" t="s">
        <v>23</v>
      </c>
      <c r="F291" s="16" t="s">
        <v>846</v>
      </c>
      <c r="G291" s="16" t="s">
        <v>861</v>
      </c>
      <c r="H291" s="170">
        <f>IFERROR(
  MINIFS(ATTENDANCE_LOG!$F:$F,
         ATTENDANCE_LOG!$A:$A, C291,
         ATTENDANCE_LOG!$B:$B, E291),
"")</f>
        <v>45890.54167</v>
      </c>
      <c r="I291" s="170">
        <f t="shared" si="2"/>
        <v>45715.58333</v>
      </c>
      <c r="J291" s="11">
        <f>IFERROR(VLOOKUP(F291, LEVEL_HELPER!$A:$B, 2, 0), "")</f>
        <v>3</v>
      </c>
      <c r="K291" s="11">
        <f>IFERROR(VLOOKUP(G291, LEVEL_HELPER!$A:$B, 2, 0), "")</f>
        <v>3.5</v>
      </c>
      <c r="L291" s="171" t="s">
        <v>857</v>
      </c>
      <c r="M291" s="171" t="s">
        <v>150</v>
      </c>
      <c r="N291" s="11">
        <f t="array" ref="N291">IFERROR(
  INDEX($J$2:$J$531,
    MATCH(A291&amp;TEXT(I291,"yyyy-mm-dd"),
          $A$2:$A$531&amp;TEXT($H$2:$H$531,"yyyy-mm-dd"),
          0)),
"")</f>
        <v>1</v>
      </c>
      <c r="O291" s="160">
        <f t="shared" si="3"/>
        <v>3.5</v>
      </c>
      <c r="P291" s="160">
        <f t="shared" ref="P291:Q291" si="301">IF(N291="",0,IF(N291&lt;=2,1,IF(N291&lt;=4,2,IF(N291&lt;=5.5,3,4))))</f>
        <v>1</v>
      </c>
      <c r="Q291" s="160">
        <f t="shared" si="301"/>
        <v>2</v>
      </c>
      <c r="R291" s="160" t="str">
        <f t="shared" si="5"/>
        <v>Lv1 → Lv2</v>
      </c>
      <c r="S291" s="160">
        <f t="shared" si="6"/>
        <v>0</v>
      </c>
      <c r="T291" s="177" t="s">
        <v>1016</v>
      </c>
      <c r="U291" s="160">
        <f>COUNTIFS(sheet2!$A:$A,A291,sheet2!$E:$E,E291)</f>
        <v>1</v>
      </c>
      <c r="V291" s="160"/>
      <c r="W291" s="160"/>
      <c r="X291" s="160" t="str">
        <f t="shared" si="7"/>
        <v>#N/A</v>
      </c>
      <c r="Y291" s="160" t="str">
        <f t="shared" si="8"/>
        <v>#N/A</v>
      </c>
      <c r="Z291" s="160" t="str">
        <f t="shared" si="9"/>
        <v>#N/A</v>
      </c>
      <c r="AA291" s="160"/>
      <c r="AB291" s="160"/>
      <c r="AC291" s="160"/>
      <c r="AD291" s="160"/>
      <c r="AE291" s="160"/>
      <c r="AF291" s="160"/>
      <c r="AG291" s="160"/>
      <c r="AH291" s="160"/>
      <c r="AI291" s="160"/>
      <c r="AJ291" s="160"/>
      <c r="AK291" s="160"/>
      <c r="AL291" s="160"/>
      <c r="AM291" s="160"/>
      <c r="AN291" s="164"/>
      <c r="AO291" s="160"/>
      <c r="AP291" s="160"/>
      <c r="AQ291" s="160"/>
      <c r="AR291" s="160"/>
      <c r="AS291" s="160"/>
      <c r="AT291" s="160"/>
      <c r="AU291" s="160"/>
      <c r="AV291" s="160"/>
      <c r="AW291" s="160"/>
      <c r="AX291" s="160"/>
      <c r="AY291" s="160"/>
      <c r="AZ291" s="160"/>
      <c r="BA291" s="160"/>
      <c r="BB291" s="160"/>
      <c r="BC291" s="160"/>
      <c r="BD291" s="160"/>
      <c r="BE291" s="160"/>
      <c r="BF291" s="160"/>
      <c r="BG291" s="160"/>
      <c r="BH291" s="160"/>
      <c r="BI291" s="160"/>
      <c r="BJ291" s="160"/>
      <c r="BK291" s="160"/>
      <c r="BL291" s="160"/>
      <c r="BM291" s="160"/>
      <c r="BN291" s="160"/>
      <c r="BO291" s="160"/>
      <c r="BP291" s="160"/>
      <c r="BQ291" s="160"/>
      <c r="BR291" s="160"/>
      <c r="BS291" s="160"/>
      <c r="BT291" s="160"/>
      <c r="BU291" s="160"/>
      <c r="BV291" s="160"/>
      <c r="BW291" s="160"/>
      <c r="BX291" s="160"/>
      <c r="BY291" s="160"/>
      <c r="BZ291" s="160"/>
      <c r="CA291" s="160"/>
      <c r="CB291" s="160"/>
      <c r="CC291" s="160"/>
      <c r="CD291" s="160"/>
      <c r="CE291" s="160"/>
      <c r="CF291" s="160"/>
      <c r="CG291" s="160"/>
      <c r="CH291" s="160"/>
      <c r="CI291" s="160"/>
      <c r="CJ291" s="160"/>
      <c r="CK291" s="160"/>
      <c r="CL291" s="160"/>
    </row>
    <row r="292">
      <c r="A292" s="174" t="s">
        <v>747</v>
      </c>
      <c r="B292" s="11" t="s">
        <v>283</v>
      </c>
      <c r="C292" s="175" t="s">
        <v>77</v>
      </c>
      <c r="D292" s="176" t="str">
        <f>IFERROR(VLOOKUP(C292, PIC!A:B, 2, 0), "")</f>
        <v>Vinh Nguyen</v>
      </c>
      <c r="E292" s="11" t="s">
        <v>23</v>
      </c>
      <c r="F292" s="16" t="s">
        <v>846</v>
      </c>
      <c r="G292" s="16" t="s">
        <v>861</v>
      </c>
      <c r="H292" s="170">
        <f>IFERROR(
  MINIFS(ATTENDANCE_LOG!$F:$F,
         ATTENDANCE_LOG!$A:$A, C292,
         ATTENDANCE_LOG!$B:$B, E292),
"")</f>
        <v>45890.54167</v>
      </c>
      <c r="I292" s="170">
        <f t="shared" si="2"/>
        <v>45663.58333</v>
      </c>
      <c r="J292" s="11">
        <f>IFERROR(VLOOKUP(F292, LEVEL_HELPER!$A:$B, 2, 0), "")</f>
        <v>3</v>
      </c>
      <c r="K292" s="11">
        <f>IFERROR(VLOOKUP(G292, LEVEL_HELPER!$A:$B, 2, 0), "")</f>
        <v>3.5</v>
      </c>
      <c r="L292" s="171" t="s">
        <v>857</v>
      </c>
      <c r="M292" s="171" t="s">
        <v>150</v>
      </c>
      <c r="N292" s="11">
        <f t="array" ref="N292">IFERROR(
  INDEX($J$2:$J$531,
    MATCH(A292&amp;TEXT(I292,"yyyy-mm-dd"),
          $A$2:$A$531&amp;TEXT($H$2:$H$531,"yyyy-mm-dd"),
          0)),
"")</f>
        <v>2.5</v>
      </c>
      <c r="O292" s="160">
        <f t="shared" si="3"/>
        <v>3.5</v>
      </c>
      <c r="P292" s="160">
        <f t="shared" ref="P292:Q292" si="302">IF(N292="",0,IF(N292&lt;=2,1,IF(N292&lt;=4,2,IF(N292&lt;=5.5,3,4))))</f>
        <v>2</v>
      </c>
      <c r="Q292" s="160">
        <f t="shared" si="302"/>
        <v>2</v>
      </c>
      <c r="R292" s="160" t="str">
        <f t="shared" si="5"/>
        <v>Progress within level</v>
      </c>
      <c r="S292" s="160">
        <f t="shared" si="6"/>
        <v>0</v>
      </c>
      <c r="T292" s="177" t="s">
        <v>919</v>
      </c>
      <c r="U292" s="160">
        <f>COUNTIFS(sheet2!$A:$A,A292,sheet2!$E:$E,E292)</f>
        <v>1</v>
      </c>
      <c r="V292" s="160"/>
      <c r="W292" s="160"/>
      <c r="X292" s="160" t="str">
        <f t="shared" si="7"/>
        <v>#N/A</v>
      </c>
      <c r="Y292" s="160" t="str">
        <f t="shared" si="8"/>
        <v>#N/A</v>
      </c>
      <c r="Z292" s="160" t="str">
        <f t="shared" si="9"/>
        <v>#N/A</v>
      </c>
      <c r="AA292" s="160"/>
      <c r="AB292" s="160"/>
      <c r="AC292" s="160"/>
      <c r="AD292" s="160"/>
      <c r="AE292" s="160"/>
      <c r="AF292" s="160"/>
      <c r="AG292" s="160"/>
      <c r="AH292" s="160"/>
      <c r="AI292" s="160"/>
      <c r="AJ292" s="160"/>
      <c r="AK292" s="160"/>
      <c r="AL292" s="160"/>
      <c r="AM292" s="160"/>
      <c r="AN292" s="164"/>
      <c r="AO292" s="160"/>
      <c r="AP292" s="160"/>
      <c r="AQ292" s="160"/>
      <c r="AR292" s="160"/>
      <c r="AS292" s="160"/>
      <c r="AT292" s="160"/>
      <c r="AU292" s="160"/>
      <c r="AV292" s="160"/>
      <c r="AW292" s="160"/>
      <c r="AX292" s="160"/>
      <c r="AY292" s="160"/>
      <c r="AZ292" s="160"/>
      <c r="BA292" s="160"/>
      <c r="BB292" s="160"/>
      <c r="BC292" s="160"/>
      <c r="BD292" s="160"/>
      <c r="BE292" s="160"/>
      <c r="BF292" s="160"/>
      <c r="BG292" s="160"/>
      <c r="BH292" s="160"/>
      <c r="BI292" s="160"/>
      <c r="BJ292" s="160"/>
      <c r="BK292" s="160"/>
      <c r="BL292" s="160"/>
      <c r="BM292" s="160"/>
      <c r="BN292" s="160"/>
      <c r="BO292" s="160"/>
      <c r="BP292" s="160"/>
      <c r="BQ292" s="160"/>
      <c r="BR292" s="160"/>
      <c r="BS292" s="160"/>
      <c r="BT292" s="160"/>
      <c r="BU292" s="160"/>
      <c r="BV292" s="160"/>
      <c r="BW292" s="160"/>
      <c r="BX292" s="160"/>
      <c r="BY292" s="160"/>
      <c r="BZ292" s="160"/>
      <c r="CA292" s="160"/>
      <c r="CB292" s="160"/>
      <c r="CC292" s="160"/>
      <c r="CD292" s="160"/>
      <c r="CE292" s="160"/>
      <c r="CF292" s="160"/>
      <c r="CG292" s="160"/>
      <c r="CH292" s="160"/>
      <c r="CI292" s="160"/>
      <c r="CJ292" s="160"/>
      <c r="CK292" s="160"/>
      <c r="CL292" s="160"/>
    </row>
    <row r="293">
      <c r="A293" s="174" t="s">
        <v>748</v>
      </c>
      <c r="B293" s="11" t="s">
        <v>749</v>
      </c>
      <c r="C293" s="175" t="s">
        <v>77</v>
      </c>
      <c r="D293" s="176" t="str">
        <f>IFERROR(VLOOKUP(C293, PIC!A:B, 2, 0), "")</f>
        <v>Vinh Nguyen</v>
      </c>
      <c r="E293" s="11" t="s">
        <v>23</v>
      </c>
      <c r="F293" s="16" t="s">
        <v>846</v>
      </c>
      <c r="G293" s="16" t="s">
        <v>861</v>
      </c>
      <c r="H293" s="170">
        <f>IFERROR(
  MINIFS(ATTENDANCE_LOG!$F:$F,
         ATTENDANCE_LOG!$A:$A, C293,
         ATTENDANCE_LOG!$B:$B, E293),
"")</f>
        <v>45890.54167</v>
      </c>
      <c r="I293" s="170">
        <f t="shared" si="2"/>
        <v>45715.58333</v>
      </c>
      <c r="J293" s="11">
        <f>IFERROR(VLOOKUP(F293, LEVEL_HELPER!$A:$B, 2, 0), "")</f>
        <v>3</v>
      </c>
      <c r="K293" s="11">
        <f>IFERROR(VLOOKUP(G293, LEVEL_HELPER!$A:$B, 2, 0), "")</f>
        <v>3.5</v>
      </c>
      <c r="L293" s="171" t="s">
        <v>857</v>
      </c>
      <c r="M293" s="171" t="s">
        <v>150</v>
      </c>
      <c r="N293" s="11">
        <f t="array" ref="N293">IFERROR(
  INDEX($J$2:$J$531,
    MATCH(A293&amp;TEXT(I293,"yyyy-mm-dd"),
          $A$2:$A$531&amp;TEXT($H$2:$H$531,"yyyy-mm-dd"),
          0)),
"")</f>
        <v>1</v>
      </c>
      <c r="O293" s="160">
        <f t="shared" si="3"/>
        <v>3.5</v>
      </c>
      <c r="P293" s="160">
        <f t="shared" ref="P293:Q293" si="303">IF(N293="",0,IF(N293&lt;=2,1,IF(N293&lt;=4,2,IF(N293&lt;=5.5,3,4))))</f>
        <v>1</v>
      </c>
      <c r="Q293" s="160">
        <f t="shared" si="303"/>
        <v>2</v>
      </c>
      <c r="R293" s="160" t="str">
        <f t="shared" si="5"/>
        <v>Lv1 → Lv2</v>
      </c>
      <c r="S293" s="160">
        <f t="shared" si="6"/>
        <v>0</v>
      </c>
      <c r="T293" s="177" t="s">
        <v>1019</v>
      </c>
      <c r="U293" s="160">
        <f>COUNTIFS(sheet2!$A:$A,A293,sheet2!$E:$E,E293)</f>
        <v>1</v>
      </c>
      <c r="V293" s="160"/>
      <c r="W293" s="160"/>
      <c r="X293" s="160" t="str">
        <f t="shared" si="7"/>
        <v>#N/A</v>
      </c>
      <c r="Y293" s="160" t="str">
        <f t="shared" si="8"/>
        <v>#N/A</v>
      </c>
      <c r="Z293" s="160" t="str">
        <f t="shared" si="9"/>
        <v>#N/A</v>
      </c>
      <c r="AA293" s="160"/>
      <c r="AB293" s="160"/>
      <c r="AC293" s="160"/>
      <c r="AD293" s="160"/>
      <c r="AE293" s="160"/>
      <c r="AF293" s="160"/>
      <c r="AG293" s="160"/>
      <c r="AH293" s="160"/>
      <c r="AI293" s="160"/>
      <c r="AJ293" s="160"/>
      <c r="AK293" s="160"/>
      <c r="AL293" s="160"/>
      <c r="AM293" s="160"/>
      <c r="AN293" s="164"/>
      <c r="AO293" s="160"/>
      <c r="AP293" s="160"/>
      <c r="AQ293" s="160"/>
      <c r="AR293" s="160"/>
      <c r="AS293" s="160"/>
      <c r="AT293" s="160"/>
      <c r="AU293" s="160"/>
      <c r="AV293" s="160"/>
      <c r="AW293" s="160"/>
      <c r="AX293" s="160"/>
      <c r="AY293" s="160"/>
      <c r="AZ293" s="160"/>
      <c r="BA293" s="160"/>
      <c r="BB293" s="160"/>
      <c r="BC293" s="160"/>
      <c r="BD293" s="160"/>
      <c r="BE293" s="160"/>
      <c r="BF293" s="160"/>
      <c r="BG293" s="160"/>
      <c r="BH293" s="160"/>
      <c r="BI293" s="160"/>
      <c r="BJ293" s="160"/>
      <c r="BK293" s="160"/>
      <c r="BL293" s="160"/>
      <c r="BM293" s="160"/>
      <c r="BN293" s="160"/>
      <c r="BO293" s="160"/>
      <c r="BP293" s="160"/>
      <c r="BQ293" s="160"/>
      <c r="BR293" s="160"/>
      <c r="BS293" s="160"/>
      <c r="BT293" s="160"/>
      <c r="BU293" s="160"/>
      <c r="BV293" s="160"/>
      <c r="BW293" s="160"/>
      <c r="BX293" s="160"/>
      <c r="BY293" s="160"/>
      <c r="BZ293" s="160"/>
      <c r="CA293" s="160"/>
      <c r="CB293" s="160"/>
      <c r="CC293" s="160"/>
      <c r="CD293" s="160"/>
      <c r="CE293" s="160"/>
      <c r="CF293" s="160"/>
      <c r="CG293" s="160"/>
      <c r="CH293" s="160"/>
      <c r="CI293" s="160"/>
      <c r="CJ293" s="160"/>
      <c r="CK293" s="160"/>
      <c r="CL293" s="160"/>
    </row>
    <row r="294">
      <c r="A294" s="174" t="s">
        <v>750</v>
      </c>
      <c r="B294" s="11" t="s">
        <v>751</v>
      </c>
      <c r="C294" s="175" t="s">
        <v>77</v>
      </c>
      <c r="D294" s="176" t="str">
        <f>IFERROR(VLOOKUP(C294, PIC!A:B, 2, 0), "")</f>
        <v>Vinh Nguyen</v>
      </c>
      <c r="E294" s="11" t="s">
        <v>23</v>
      </c>
      <c r="F294" s="16" t="s">
        <v>853</v>
      </c>
      <c r="G294" s="16" t="s">
        <v>846</v>
      </c>
      <c r="H294" s="170">
        <f>IFERROR(
  MINIFS(ATTENDANCE_LOG!$F:$F,
         ATTENDANCE_LOG!$A:$A, C294,
         ATTENDANCE_LOG!$B:$B, E294),
"")</f>
        <v>45890.54167</v>
      </c>
      <c r="I294" s="170">
        <f t="shared" si="2"/>
        <v>45715.58333</v>
      </c>
      <c r="J294" s="11">
        <f>IFERROR(VLOOKUP(F294, LEVEL_HELPER!$A:$B, 2, 0), "")</f>
        <v>1.5</v>
      </c>
      <c r="K294" s="11">
        <f>IFERROR(VLOOKUP(G294, LEVEL_HELPER!$A:$B, 2, 0), "")</f>
        <v>3</v>
      </c>
      <c r="L294" s="171" t="s">
        <v>857</v>
      </c>
      <c r="M294" s="171" t="s">
        <v>150</v>
      </c>
      <c r="N294" s="11">
        <f t="array" ref="N294">IFERROR(
  INDEX($J$2:$J$531,
    MATCH(A294&amp;TEXT(I294,"yyyy-mm-dd"),
          $A$2:$A$531&amp;TEXT($H$2:$H$531,"yyyy-mm-dd"),
          0)),
"")</f>
        <v>1</v>
      </c>
      <c r="O294" s="160">
        <f t="shared" si="3"/>
        <v>3</v>
      </c>
      <c r="P294" s="160">
        <f t="shared" ref="P294:Q294" si="304">IF(N294="",0,IF(N294&lt;=2,1,IF(N294&lt;=4,2,IF(N294&lt;=5.5,3,4))))</f>
        <v>1</v>
      </c>
      <c r="Q294" s="160">
        <f t="shared" si="304"/>
        <v>2</v>
      </c>
      <c r="R294" s="160" t="str">
        <f t="shared" si="5"/>
        <v>Lv1 → Lv2</v>
      </c>
      <c r="S294" s="160">
        <f t="shared" si="6"/>
        <v>0</v>
      </c>
      <c r="T294" s="177" t="s">
        <v>1020</v>
      </c>
      <c r="U294" s="160">
        <f>COUNTIFS(sheet2!$A:$A,A294,sheet2!$E:$E,E294)</f>
        <v>1</v>
      </c>
      <c r="V294" s="160"/>
      <c r="W294" s="160"/>
      <c r="X294" s="160" t="str">
        <f t="shared" si="7"/>
        <v>#N/A</v>
      </c>
      <c r="Y294" s="160" t="str">
        <f t="shared" si="8"/>
        <v>#N/A</v>
      </c>
      <c r="Z294" s="160" t="str">
        <f t="shared" si="9"/>
        <v>#N/A</v>
      </c>
      <c r="AA294" s="160"/>
      <c r="AB294" s="160"/>
      <c r="AC294" s="160"/>
      <c r="AD294" s="160"/>
      <c r="AE294" s="160"/>
      <c r="AF294" s="160"/>
      <c r="AG294" s="160"/>
      <c r="AH294" s="160"/>
      <c r="AI294" s="160"/>
      <c r="AJ294" s="160"/>
      <c r="AK294" s="160"/>
      <c r="AL294" s="160"/>
      <c r="AM294" s="160"/>
      <c r="AN294" s="164"/>
      <c r="AO294" s="160"/>
      <c r="AP294" s="160"/>
      <c r="AQ294" s="160"/>
      <c r="AR294" s="160"/>
      <c r="AS294" s="160"/>
      <c r="AT294" s="160"/>
      <c r="AU294" s="160"/>
      <c r="AV294" s="160"/>
      <c r="AW294" s="160"/>
      <c r="AX294" s="160"/>
      <c r="AY294" s="160"/>
      <c r="AZ294" s="160"/>
      <c r="BA294" s="160"/>
      <c r="BB294" s="160"/>
      <c r="BC294" s="160"/>
      <c r="BD294" s="160"/>
      <c r="BE294" s="160"/>
      <c r="BF294" s="160"/>
      <c r="BG294" s="160"/>
      <c r="BH294" s="160"/>
      <c r="BI294" s="160"/>
      <c r="BJ294" s="160"/>
      <c r="BK294" s="160"/>
      <c r="BL294" s="160"/>
      <c r="BM294" s="160"/>
      <c r="BN294" s="160"/>
      <c r="BO294" s="160"/>
      <c r="BP294" s="160"/>
      <c r="BQ294" s="160"/>
      <c r="BR294" s="160"/>
      <c r="BS294" s="160"/>
      <c r="BT294" s="160"/>
      <c r="BU294" s="160"/>
      <c r="BV294" s="160"/>
      <c r="BW294" s="160"/>
      <c r="BX294" s="160"/>
      <c r="BY294" s="160"/>
      <c r="BZ294" s="160"/>
      <c r="CA294" s="160"/>
      <c r="CB294" s="160"/>
      <c r="CC294" s="160"/>
      <c r="CD294" s="160"/>
      <c r="CE294" s="160"/>
      <c r="CF294" s="160"/>
      <c r="CG294" s="160"/>
      <c r="CH294" s="160"/>
      <c r="CI294" s="160"/>
      <c r="CJ294" s="160"/>
      <c r="CK294" s="160"/>
      <c r="CL294" s="160"/>
    </row>
    <row r="295">
      <c r="A295" s="166" t="s">
        <v>745</v>
      </c>
      <c r="B295" s="167" t="s">
        <v>746</v>
      </c>
      <c r="C295" s="168" t="s">
        <v>77</v>
      </c>
      <c r="D295" s="169" t="str">
        <f>IFERROR(VLOOKUP(C295, PIC!A:B, 2, 0), "")</f>
        <v>Vinh Nguyen</v>
      </c>
      <c r="E295" s="167" t="s">
        <v>24</v>
      </c>
      <c r="F295" s="11"/>
      <c r="G295" s="11"/>
      <c r="H295" s="170">
        <f>IFERROR(
  MINIFS(ATTENDANCE_LOG!$F:$F,
         ATTENDANCE_LOG!$A:$A, C295,
         ATTENDANCE_LOG!$B:$B, E295),
"")</f>
        <v>46107.58333</v>
      </c>
      <c r="I295" s="170">
        <f t="shared" si="2"/>
        <v>45715.58333</v>
      </c>
      <c r="J295" s="11" t="str">
        <f>IFERROR(VLOOKUP(F295, LEVEL_HELPER!$A:$B, 2, 0), "")</f>
        <v/>
      </c>
      <c r="K295" s="11" t="str">
        <f>IFERROR(VLOOKUP(G295, LEVEL_HELPER!$A:$B, 2, 0), "")</f>
        <v/>
      </c>
      <c r="L295" s="171" t="s">
        <v>857</v>
      </c>
      <c r="M295" s="171" t="s">
        <v>150</v>
      </c>
      <c r="N295" s="11">
        <f t="array" ref="N295">IFERROR(
  INDEX($J$2:$J$531,
    MATCH(A295&amp;TEXT(I295,"yyyy-mm-dd"),
          $A$2:$A$531&amp;TEXT($H$2:$H$531,"yyyy-mm-dd"),
          0)),
"")</f>
        <v>1</v>
      </c>
      <c r="O295" s="160">
        <f t="shared" si="3"/>
        <v>3.5</v>
      </c>
      <c r="P295" s="160">
        <f t="shared" ref="P295:Q295" si="305">IF(N295="",0,IF(N295&lt;=2,1,IF(N295&lt;=4,2,IF(N295&lt;=5.5,3,4))))</f>
        <v>1</v>
      </c>
      <c r="Q295" s="160">
        <f t="shared" si="305"/>
        <v>2</v>
      </c>
      <c r="R295" s="160" t="str">
        <f t="shared" si="5"/>
        <v>Lv1 → Lv2</v>
      </c>
      <c r="S295" s="160">
        <f t="shared" si="6"/>
        <v>0</v>
      </c>
      <c r="T295" s="172" t="s">
        <v>1014</v>
      </c>
      <c r="U295" s="160">
        <f>COUNTIFS(sheet2!$A:$A,A295,sheet2!$E:$E,E295)</f>
        <v>1</v>
      </c>
      <c r="V295" s="160"/>
      <c r="W295" s="160"/>
      <c r="X295" s="160" t="str">
        <f t="shared" si="7"/>
        <v>#N/A</v>
      </c>
      <c r="Y295" s="160" t="str">
        <f t="shared" si="8"/>
        <v>#N/A</v>
      </c>
      <c r="Z295" s="160" t="str">
        <f t="shared" si="9"/>
        <v>#N/A</v>
      </c>
      <c r="AA295" s="160"/>
      <c r="AB295" s="160"/>
      <c r="AC295" s="160"/>
      <c r="AD295" s="160"/>
      <c r="AE295" s="160"/>
      <c r="AF295" s="160"/>
      <c r="AG295" s="160"/>
      <c r="AH295" s="160"/>
      <c r="AI295" s="160"/>
      <c r="AJ295" s="160"/>
      <c r="AK295" s="160"/>
      <c r="AL295" s="160"/>
      <c r="AM295" s="160"/>
      <c r="AN295" s="164"/>
      <c r="AO295" s="160"/>
      <c r="AP295" s="160"/>
      <c r="AQ295" s="160"/>
      <c r="AR295" s="160"/>
      <c r="AS295" s="160"/>
      <c r="AT295" s="160"/>
      <c r="AU295" s="160"/>
      <c r="AV295" s="160"/>
      <c r="AW295" s="160"/>
      <c r="AX295" s="160"/>
      <c r="AY295" s="160"/>
      <c r="AZ295" s="160"/>
      <c r="BA295" s="160"/>
      <c r="BB295" s="160"/>
      <c r="BC295" s="160"/>
      <c r="BD295" s="160"/>
      <c r="BE295" s="160"/>
      <c r="BF295" s="160"/>
      <c r="BG295" s="160"/>
      <c r="BH295" s="160"/>
      <c r="BI295" s="160"/>
      <c r="BJ295" s="160"/>
      <c r="BK295" s="160"/>
      <c r="BL295" s="160"/>
      <c r="BM295" s="160"/>
      <c r="BN295" s="160"/>
      <c r="BO295" s="160"/>
      <c r="BP295" s="160"/>
      <c r="BQ295" s="160"/>
      <c r="BR295" s="160"/>
      <c r="BS295" s="160"/>
      <c r="BT295" s="160"/>
      <c r="BU295" s="160"/>
      <c r="BV295" s="160"/>
      <c r="BW295" s="160"/>
      <c r="BX295" s="160"/>
      <c r="BY295" s="160"/>
      <c r="BZ295" s="160"/>
      <c r="CA295" s="160"/>
      <c r="CB295" s="160"/>
      <c r="CC295" s="160"/>
      <c r="CD295" s="160"/>
      <c r="CE295" s="160"/>
      <c r="CF295" s="160"/>
      <c r="CG295" s="160"/>
      <c r="CH295" s="160"/>
      <c r="CI295" s="160"/>
      <c r="CJ295" s="160"/>
      <c r="CK295" s="160"/>
      <c r="CL295" s="160"/>
    </row>
    <row r="296">
      <c r="A296" s="174" t="s">
        <v>754</v>
      </c>
      <c r="B296" s="11" t="s">
        <v>755</v>
      </c>
      <c r="C296" s="175" t="s">
        <v>77</v>
      </c>
      <c r="D296" s="176" t="str">
        <f>IFERROR(VLOOKUP(C296, PIC!A:B, 2, 0), "")</f>
        <v>Vinh Nguyen</v>
      </c>
      <c r="E296" s="11" t="s">
        <v>23</v>
      </c>
      <c r="F296" s="11"/>
      <c r="G296" s="11"/>
      <c r="H296" s="170">
        <f>IFERROR(
  MINIFS(ATTENDANCE_LOG!$F:$F,
         ATTENDANCE_LOG!$A:$A, C296,
         ATTENDANCE_LOG!$B:$B, E296),
"")</f>
        <v>45890.54167</v>
      </c>
      <c r="I296" s="170">
        <f t="shared" si="2"/>
        <v>45715.58333</v>
      </c>
      <c r="J296" s="11" t="str">
        <f>IFERROR(VLOOKUP(F296, LEVEL_HELPER!$A:$B, 2, 0), "")</f>
        <v/>
      </c>
      <c r="K296" s="11" t="str">
        <f>IFERROR(VLOOKUP(G296, LEVEL_HELPER!$A:$B, 2, 0), "")</f>
        <v/>
      </c>
      <c r="L296" s="171" t="s">
        <v>397</v>
      </c>
      <c r="M296" s="171" t="s">
        <v>150</v>
      </c>
      <c r="N296" s="11">
        <f t="array" ref="N296">IFERROR(
  INDEX($J$2:$J$531,
    MATCH(A296&amp;TEXT(I296,"yyyy-mm-dd"),
          $A$2:$A$531&amp;TEXT($H$2:$H$531,"yyyy-mm-dd"),
          0)),
"")</f>
        <v>1</v>
      </c>
      <c r="O296" s="160">
        <f t="shared" si="3"/>
        <v>1.5</v>
      </c>
      <c r="P296" s="160">
        <f t="shared" ref="P296:Q296" si="306">IF(N296="",0,IF(N296&lt;=2,1,IF(N296&lt;=4,2,IF(N296&lt;=5.5,3,4))))</f>
        <v>1</v>
      </c>
      <c r="Q296" s="160">
        <f t="shared" si="306"/>
        <v>1</v>
      </c>
      <c r="R296" s="160" t="str">
        <f t="shared" si="5"/>
        <v>Progress within level</v>
      </c>
      <c r="S296" s="160">
        <f t="shared" si="6"/>
        <v>0</v>
      </c>
      <c r="T296" s="177" t="s">
        <v>1021</v>
      </c>
      <c r="U296" s="160">
        <f>COUNTIFS(sheet2!$A:$A,A296,sheet2!$E:$E,E296)</f>
        <v>1</v>
      </c>
      <c r="V296" s="160"/>
      <c r="W296" s="160"/>
      <c r="X296" s="160" t="str">
        <f t="shared" si="7"/>
        <v>#N/A</v>
      </c>
      <c r="Y296" s="160" t="str">
        <f t="shared" si="8"/>
        <v>#N/A</v>
      </c>
      <c r="Z296" s="160" t="str">
        <f t="shared" si="9"/>
        <v>#N/A</v>
      </c>
      <c r="AA296" s="160"/>
      <c r="AB296" s="160"/>
      <c r="AC296" s="160"/>
      <c r="AD296" s="160"/>
      <c r="AE296" s="160"/>
      <c r="AF296" s="160"/>
      <c r="AG296" s="160"/>
      <c r="AH296" s="160"/>
      <c r="AI296" s="160"/>
      <c r="AJ296" s="160"/>
      <c r="AK296" s="160"/>
      <c r="AL296" s="160"/>
      <c r="AM296" s="160"/>
      <c r="AN296" s="164"/>
      <c r="AO296" s="160"/>
      <c r="AP296" s="160"/>
      <c r="AQ296" s="160"/>
      <c r="AR296" s="160"/>
      <c r="AS296" s="160"/>
      <c r="AT296" s="160"/>
      <c r="AU296" s="160"/>
      <c r="AV296" s="160"/>
      <c r="AW296" s="160"/>
      <c r="AX296" s="160"/>
      <c r="AY296" s="160"/>
      <c r="AZ296" s="160"/>
      <c r="BA296" s="160"/>
      <c r="BB296" s="160"/>
      <c r="BC296" s="160"/>
      <c r="BD296" s="160"/>
      <c r="BE296" s="160"/>
      <c r="BF296" s="160"/>
      <c r="BG296" s="160"/>
      <c r="BH296" s="160"/>
      <c r="BI296" s="160"/>
      <c r="BJ296" s="160"/>
      <c r="BK296" s="160"/>
      <c r="BL296" s="160"/>
      <c r="BM296" s="160"/>
      <c r="BN296" s="160"/>
      <c r="BO296" s="160"/>
      <c r="BP296" s="160"/>
      <c r="BQ296" s="160"/>
      <c r="BR296" s="160"/>
      <c r="BS296" s="160"/>
      <c r="BT296" s="160"/>
      <c r="BU296" s="160"/>
      <c r="BV296" s="160"/>
      <c r="BW296" s="160"/>
      <c r="BX296" s="160"/>
      <c r="BY296" s="160"/>
      <c r="BZ296" s="160"/>
      <c r="CA296" s="160"/>
      <c r="CB296" s="160"/>
      <c r="CC296" s="160"/>
      <c r="CD296" s="160"/>
      <c r="CE296" s="160"/>
      <c r="CF296" s="160"/>
      <c r="CG296" s="160"/>
      <c r="CH296" s="160"/>
      <c r="CI296" s="160"/>
      <c r="CJ296" s="160"/>
      <c r="CK296" s="160"/>
      <c r="CL296" s="160"/>
    </row>
    <row r="297">
      <c r="A297" s="174" t="s">
        <v>741</v>
      </c>
      <c r="B297" s="11" t="s">
        <v>742</v>
      </c>
      <c r="C297" s="175" t="s">
        <v>77</v>
      </c>
      <c r="D297" s="176" t="str">
        <f>IFERROR(VLOOKUP(C297, PIC!A:B, 2, 0), "")</f>
        <v>Vinh Nguyen</v>
      </c>
      <c r="E297" s="11" t="s">
        <v>24</v>
      </c>
      <c r="F297" s="11"/>
      <c r="G297" s="11"/>
      <c r="H297" s="170">
        <f>IFERROR(
  MINIFS(ATTENDANCE_LOG!$F:$F,
         ATTENDANCE_LOG!$A:$A, C297,
         ATTENDANCE_LOG!$B:$B, E297),
"")</f>
        <v>46107.58333</v>
      </c>
      <c r="I297" s="170">
        <f t="shared" si="2"/>
        <v>45715.58333</v>
      </c>
      <c r="J297" s="11" t="str">
        <f>IFERROR(VLOOKUP(F297, LEVEL_HELPER!$A:$B, 2, 0), "")</f>
        <v/>
      </c>
      <c r="K297" s="11" t="str">
        <f>IFERROR(VLOOKUP(G297, LEVEL_HELPER!$A:$B, 2, 0), "")</f>
        <v/>
      </c>
      <c r="L297" s="171" t="s">
        <v>857</v>
      </c>
      <c r="M297" s="171" t="s">
        <v>150</v>
      </c>
      <c r="N297" s="11">
        <f t="array" ref="N297">IFERROR(
  INDEX($J$2:$J$531,
    MATCH(A297&amp;TEXT(I297,"yyyy-mm-dd"),
          $A$2:$A$531&amp;TEXT($H$2:$H$531,"yyyy-mm-dd"),
          0)),
"")</f>
        <v>1</v>
      </c>
      <c r="O297" s="160">
        <f t="shared" si="3"/>
        <v>3.5</v>
      </c>
      <c r="P297" s="160">
        <f t="shared" ref="P297:Q297" si="307">IF(N297="",0,IF(N297&lt;=2,1,IF(N297&lt;=4,2,IF(N297&lt;=5.5,3,4))))</f>
        <v>1</v>
      </c>
      <c r="Q297" s="160">
        <f t="shared" si="307"/>
        <v>2</v>
      </c>
      <c r="R297" s="160" t="str">
        <f t="shared" si="5"/>
        <v>Lv1 → Lv2</v>
      </c>
      <c r="S297" s="160">
        <f t="shared" si="6"/>
        <v>0</v>
      </c>
      <c r="T297" s="177" t="s">
        <v>1015</v>
      </c>
      <c r="U297" s="160">
        <f>COUNTIFS(sheet2!$A:$A,A297,sheet2!$E:$E,E297)</f>
        <v>1</v>
      </c>
      <c r="V297" s="160"/>
      <c r="W297" s="160"/>
      <c r="X297" s="160"/>
      <c r="Y297" s="160"/>
      <c r="Z297" s="160"/>
      <c r="AA297" s="160"/>
      <c r="AB297" s="160"/>
      <c r="AC297" s="160"/>
      <c r="AD297" s="160"/>
      <c r="AE297" s="160"/>
      <c r="AF297" s="160"/>
      <c r="AG297" s="160"/>
      <c r="AH297" s="160"/>
      <c r="AI297" s="160"/>
      <c r="AJ297" s="160"/>
      <c r="AK297" s="160"/>
      <c r="AL297" s="160"/>
      <c r="AM297" s="160"/>
      <c r="AN297" s="164"/>
      <c r="AO297" s="160"/>
      <c r="AP297" s="160"/>
      <c r="AQ297" s="160"/>
      <c r="AR297" s="160"/>
      <c r="AS297" s="160"/>
      <c r="AT297" s="160"/>
      <c r="AU297" s="160"/>
      <c r="AV297" s="160"/>
      <c r="AW297" s="160"/>
      <c r="AX297" s="160"/>
      <c r="AY297" s="160"/>
      <c r="AZ297" s="160"/>
      <c r="BA297" s="160"/>
      <c r="BB297" s="160"/>
      <c r="BC297" s="160"/>
      <c r="BD297" s="160"/>
      <c r="BE297" s="160"/>
      <c r="BF297" s="160"/>
      <c r="BG297" s="160"/>
      <c r="BH297" s="160"/>
      <c r="BI297" s="160"/>
      <c r="BJ297" s="160"/>
      <c r="BK297" s="160"/>
      <c r="BL297" s="160"/>
      <c r="BM297" s="160"/>
      <c r="BN297" s="160"/>
      <c r="BO297" s="160"/>
      <c r="BP297" s="160"/>
      <c r="BQ297" s="160"/>
      <c r="BR297" s="160"/>
      <c r="BS297" s="160"/>
      <c r="BT297" s="160"/>
      <c r="BU297" s="160"/>
      <c r="BV297" s="160"/>
      <c r="BW297" s="160"/>
      <c r="BX297" s="160"/>
      <c r="BY297" s="160"/>
      <c r="BZ297" s="160"/>
      <c r="CA297" s="160"/>
      <c r="CB297" s="160"/>
      <c r="CC297" s="160"/>
      <c r="CD297" s="160"/>
      <c r="CE297" s="160"/>
      <c r="CF297" s="160"/>
      <c r="CG297" s="160"/>
      <c r="CH297" s="160"/>
      <c r="CI297" s="160"/>
      <c r="CJ297" s="160"/>
      <c r="CK297" s="160"/>
      <c r="CL297" s="160"/>
    </row>
    <row r="298">
      <c r="A298" s="174" t="s">
        <v>752</v>
      </c>
      <c r="B298" s="11" t="s">
        <v>753</v>
      </c>
      <c r="C298" s="175" t="s">
        <v>77</v>
      </c>
      <c r="D298" s="176" t="str">
        <f>IFERROR(VLOOKUP(C298, PIC!A:B, 2, 0), "")</f>
        <v>Vinh Nguyen</v>
      </c>
      <c r="E298" s="11" t="s">
        <v>24</v>
      </c>
      <c r="F298" s="11"/>
      <c r="G298" s="11"/>
      <c r="H298" s="170">
        <f>IFERROR(
  MINIFS(ATTENDANCE_LOG!$F:$F,
         ATTENDANCE_LOG!$A:$A, C298,
         ATTENDANCE_LOG!$B:$B, E298),
"")</f>
        <v>46107.58333</v>
      </c>
      <c r="I298" s="170">
        <f t="shared" si="2"/>
        <v>45663.58333</v>
      </c>
      <c r="J298" s="11" t="str">
        <f>IFERROR(VLOOKUP(F298, LEVEL_HELPER!$A:$B, 2, 0), "")</f>
        <v/>
      </c>
      <c r="K298" s="11" t="str">
        <f>IFERROR(VLOOKUP(G298, LEVEL_HELPER!$A:$B, 2, 0), "")</f>
        <v/>
      </c>
      <c r="L298" s="171" t="s">
        <v>857</v>
      </c>
      <c r="M298" s="171" t="s">
        <v>150</v>
      </c>
      <c r="N298" s="11">
        <f t="array" ref="N298">IFERROR(
  INDEX($J$2:$J$531,
    MATCH(A298&amp;TEXT(I298,"yyyy-mm-dd"),
          $A$2:$A$531&amp;TEXT($H$2:$H$531,"yyyy-mm-dd"),
          0)),
"")</f>
        <v>1</v>
      </c>
      <c r="O298" s="160">
        <f t="shared" si="3"/>
        <v>3</v>
      </c>
      <c r="P298" s="160">
        <f t="shared" ref="P298:Q298" si="308">IF(N298="",0,IF(N298&lt;=2,1,IF(N298&lt;=4,2,IF(N298&lt;=5.5,3,4))))</f>
        <v>1</v>
      </c>
      <c r="Q298" s="160">
        <f t="shared" si="308"/>
        <v>2</v>
      </c>
      <c r="R298" s="160" t="str">
        <f t="shared" si="5"/>
        <v>Lv1 → Lv2</v>
      </c>
      <c r="S298" s="160">
        <f t="shared" si="6"/>
        <v>0</v>
      </c>
      <c r="T298" s="177" t="s">
        <v>917</v>
      </c>
      <c r="U298" s="160">
        <f>COUNTIFS(sheet2!$A:$A,A298,sheet2!$E:$E,E298)</f>
        <v>1</v>
      </c>
      <c r="V298" s="160"/>
      <c r="W298" s="160"/>
      <c r="X298" s="160"/>
      <c r="Y298" s="160"/>
      <c r="Z298" s="160"/>
      <c r="AA298" s="160"/>
      <c r="AB298" s="160"/>
      <c r="AC298" s="160"/>
      <c r="AD298" s="160"/>
      <c r="AE298" s="160"/>
      <c r="AF298" s="160"/>
      <c r="AG298" s="160"/>
      <c r="AH298" s="160"/>
      <c r="AI298" s="160"/>
      <c r="AJ298" s="160"/>
      <c r="AK298" s="160"/>
      <c r="AL298" s="160"/>
      <c r="AM298" s="160"/>
      <c r="AN298" s="164"/>
      <c r="AO298" s="160"/>
      <c r="AP298" s="160"/>
      <c r="AQ298" s="160"/>
      <c r="AR298" s="160"/>
      <c r="AS298" s="160"/>
      <c r="AT298" s="160"/>
      <c r="AU298" s="160"/>
      <c r="AV298" s="160"/>
      <c r="AW298" s="160"/>
      <c r="AX298" s="160"/>
      <c r="AY298" s="160"/>
      <c r="AZ298" s="160"/>
      <c r="BA298" s="160"/>
      <c r="BB298" s="160"/>
      <c r="BC298" s="160"/>
      <c r="BD298" s="160"/>
      <c r="BE298" s="160"/>
      <c r="BF298" s="160"/>
      <c r="BG298" s="160"/>
      <c r="BH298" s="160"/>
      <c r="BI298" s="160"/>
      <c r="BJ298" s="160"/>
      <c r="BK298" s="160"/>
      <c r="BL298" s="160"/>
      <c r="BM298" s="160"/>
      <c r="BN298" s="160"/>
      <c r="BO298" s="160"/>
      <c r="BP298" s="160"/>
      <c r="BQ298" s="160"/>
      <c r="BR298" s="160"/>
      <c r="BS298" s="160"/>
      <c r="BT298" s="160"/>
      <c r="BU298" s="160"/>
      <c r="BV298" s="160"/>
      <c r="BW298" s="160"/>
      <c r="BX298" s="160"/>
      <c r="BY298" s="160"/>
      <c r="BZ298" s="160"/>
      <c r="CA298" s="160"/>
      <c r="CB298" s="160"/>
      <c r="CC298" s="160"/>
      <c r="CD298" s="160"/>
      <c r="CE298" s="160"/>
      <c r="CF298" s="160"/>
      <c r="CG298" s="160"/>
      <c r="CH298" s="160"/>
      <c r="CI298" s="160"/>
      <c r="CJ298" s="160"/>
      <c r="CK298" s="160"/>
      <c r="CL298" s="160"/>
    </row>
    <row r="299">
      <c r="A299" s="174" t="s">
        <v>743</v>
      </c>
      <c r="B299" s="11" t="s">
        <v>744</v>
      </c>
      <c r="C299" s="175" t="s">
        <v>77</v>
      </c>
      <c r="D299" s="176" t="str">
        <f>IFERROR(VLOOKUP(C299, PIC!A:B, 2, 0), "")</f>
        <v>Vinh Nguyen</v>
      </c>
      <c r="E299" s="11" t="s">
        <v>24</v>
      </c>
      <c r="F299" s="11"/>
      <c r="G299" s="11"/>
      <c r="H299" s="170">
        <f>IFERROR(
  MINIFS(ATTENDANCE_LOG!$F:$F,
         ATTENDANCE_LOG!$A:$A, C299,
         ATTENDANCE_LOG!$B:$B, E299),
"")</f>
        <v>46107.58333</v>
      </c>
      <c r="I299" s="170">
        <f t="shared" si="2"/>
        <v>45715.58333</v>
      </c>
      <c r="J299" s="11" t="str">
        <f>IFERROR(VLOOKUP(F299, LEVEL_HELPER!$A:$B, 2, 0), "")</f>
        <v/>
      </c>
      <c r="K299" s="11" t="str">
        <f>IFERROR(VLOOKUP(G299, LEVEL_HELPER!$A:$B, 2, 0), "")</f>
        <v/>
      </c>
      <c r="L299" s="171" t="s">
        <v>857</v>
      </c>
      <c r="M299" s="171" t="s">
        <v>150</v>
      </c>
      <c r="N299" s="11">
        <f t="array" ref="N299">IFERROR(
  INDEX($J$2:$J$531,
    MATCH(A299&amp;TEXT(I299,"yyyy-mm-dd"),
          $A$2:$A$531&amp;TEXT($H$2:$H$531,"yyyy-mm-dd"),
          0)),
"")</f>
        <v>1</v>
      </c>
      <c r="O299" s="160">
        <f t="shared" si="3"/>
        <v>3.5</v>
      </c>
      <c r="P299" s="160">
        <f t="shared" ref="P299:Q299" si="309">IF(N299="",0,IF(N299&lt;=2,1,IF(N299&lt;=4,2,IF(N299&lt;=5.5,3,4))))</f>
        <v>1</v>
      </c>
      <c r="Q299" s="160">
        <f t="shared" si="309"/>
        <v>2</v>
      </c>
      <c r="R299" s="160" t="str">
        <f t="shared" si="5"/>
        <v>Lv1 → Lv2</v>
      </c>
      <c r="S299" s="160">
        <f t="shared" si="6"/>
        <v>0</v>
      </c>
      <c r="T299" s="177" t="s">
        <v>1016</v>
      </c>
      <c r="U299" s="160">
        <f>COUNTIFS(sheet2!$A:$A,A299,sheet2!$E:$E,E299)</f>
        <v>1</v>
      </c>
      <c r="V299" s="160"/>
      <c r="W299" s="160"/>
      <c r="X299" s="160"/>
      <c r="Y299" s="160"/>
      <c r="Z299" s="160"/>
      <c r="AA299" s="160"/>
      <c r="AB299" s="160"/>
      <c r="AC299" s="160"/>
      <c r="AD299" s="160"/>
      <c r="AE299" s="160"/>
      <c r="AF299" s="160"/>
      <c r="AG299" s="160"/>
      <c r="AH299" s="160"/>
      <c r="AI299" s="160"/>
      <c r="AJ299" s="160"/>
      <c r="AK299" s="160"/>
      <c r="AL299" s="160"/>
      <c r="AM299" s="160"/>
      <c r="AN299" s="164"/>
      <c r="AO299" s="160"/>
      <c r="AP299" s="160"/>
      <c r="AQ299" s="160"/>
      <c r="AR299" s="160"/>
      <c r="AS299" s="160"/>
      <c r="AT299" s="160"/>
      <c r="AU299" s="160"/>
      <c r="AV299" s="160"/>
      <c r="AW299" s="160"/>
      <c r="AX299" s="160"/>
      <c r="AY299" s="160"/>
      <c r="AZ299" s="160"/>
      <c r="BA299" s="160"/>
      <c r="BB299" s="160"/>
      <c r="BC299" s="160"/>
      <c r="BD299" s="160"/>
      <c r="BE299" s="160"/>
      <c r="BF299" s="160"/>
      <c r="BG299" s="160"/>
      <c r="BH299" s="160"/>
      <c r="BI299" s="160"/>
      <c r="BJ299" s="160"/>
      <c r="BK299" s="160"/>
      <c r="BL299" s="160"/>
      <c r="BM299" s="160"/>
      <c r="BN299" s="160"/>
      <c r="BO299" s="160"/>
      <c r="BP299" s="160"/>
      <c r="BQ299" s="160"/>
      <c r="BR299" s="160"/>
      <c r="BS299" s="160"/>
      <c r="BT299" s="160"/>
      <c r="BU299" s="160"/>
      <c r="BV299" s="160"/>
      <c r="BW299" s="160"/>
      <c r="BX299" s="160"/>
      <c r="BY299" s="160"/>
      <c r="BZ299" s="160"/>
      <c r="CA299" s="160"/>
      <c r="CB299" s="160"/>
      <c r="CC299" s="160"/>
      <c r="CD299" s="160"/>
      <c r="CE299" s="160"/>
      <c r="CF299" s="160"/>
      <c r="CG299" s="160"/>
      <c r="CH299" s="160"/>
      <c r="CI299" s="160"/>
      <c r="CJ299" s="160"/>
      <c r="CK299" s="160"/>
      <c r="CL299" s="160"/>
    </row>
    <row r="300">
      <c r="A300" s="174" t="s">
        <v>747</v>
      </c>
      <c r="B300" s="11" t="s">
        <v>283</v>
      </c>
      <c r="C300" s="175" t="s">
        <v>77</v>
      </c>
      <c r="D300" s="176" t="str">
        <f>IFERROR(VLOOKUP(C300, PIC!A:B, 2, 0), "")</f>
        <v>Vinh Nguyen</v>
      </c>
      <c r="E300" s="11" t="s">
        <v>24</v>
      </c>
      <c r="F300" s="11"/>
      <c r="G300" s="11"/>
      <c r="H300" s="170">
        <f>IFERROR(
  MINIFS(ATTENDANCE_LOG!$F:$F,
         ATTENDANCE_LOG!$A:$A, C300,
         ATTENDANCE_LOG!$B:$B, E300),
"")</f>
        <v>46107.58333</v>
      </c>
      <c r="I300" s="170">
        <f t="shared" si="2"/>
        <v>45663.58333</v>
      </c>
      <c r="J300" s="11" t="str">
        <f>IFERROR(VLOOKUP(F300, LEVEL_HELPER!$A:$B, 2, 0), "")</f>
        <v/>
      </c>
      <c r="K300" s="11" t="str">
        <f>IFERROR(VLOOKUP(G300, LEVEL_HELPER!$A:$B, 2, 0), "")</f>
        <v/>
      </c>
      <c r="L300" s="171" t="s">
        <v>857</v>
      </c>
      <c r="M300" s="171" t="s">
        <v>150</v>
      </c>
      <c r="N300" s="11">
        <f t="array" ref="N300">IFERROR(
  INDEX($J$2:$J$531,
    MATCH(A300&amp;TEXT(I300,"yyyy-mm-dd"),
          $A$2:$A$531&amp;TEXT($H$2:$H$531,"yyyy-mm-dd"),
          0)),
"")</f>
        <v>2.5</v>
      </c>
      <c r="O300" s="160">
        <f t="shared" si="3"/>
        <v>3.5</v>
      </c>
      <c r="P300" s="160">
        <f t="shared" ref="P300:Q300" si="310">IF(N300="",0,IF(N300&lt;=2,1,IF(N300&lt;=4,2,IF(N300&lt;=5.5,3,4))))</f>
        <v>2</v>
      </c>
      <c r="Q300" s="160">
        <f t="shared" si="310"/>
        <v>2</v>
      </c>
      <c r="R300" s="160" t="str">
        <f t="shared" si="5"/>
        <v>Progress within level</v>
      </c>
      <c r="S300" s="160">
        <f t="shared" si="6"/>
        <v>0</v>
      </c>
      <c r="T300" s="177" t="s">
        <v>919</v>
      </c>
      <c r="U300" s="160">
        <f>COUNTIFS(sheet2!$A:$A,A300,sheet2!$E:$E,E300)</f>
        <v>1</v>
      </c>
      <c r="V300" s="160"/>
      <c r="W300" s="160"/>
      <c r="X300" s="160"/>
      <c r="Y300" s="160"/>
      <c r="Z300" s="160"/>
      <c r="AA300" s="160"/>
      <c r="AB300" s="160"/>
      <c r="AC300" s="160"/>
      <c r="AD300" s="160"/>
      <c r="AE300" s="160"/>
      <c r="AF300" s="160"/>
      <c r="AG300" s="160"/>
      <c r="AH300" s="160"/>
      <c r="AI300" s="160"/>
      <c r="AJ300" s="160"/>
      <c r="AK300" s="160"/>
      <c r="AL300" s="160"/>
      <c r="AM300" s="160"/>
      <c r="AN300" s="164"/>
      <c r="AO300" s="160"/>
      <c r="AP300" s="160"/>
      <c r="AQ300" s="160"/>
      <c r="AR300" s="160"/>
      <c r="AS300" s="160"/>
      <c r="AT300" s="160"/>
      <c r="AU300" s="160"/>
      <c r="AV300" s="160"/>
      <c r="AW300" s="160"/>
      <c r="AX300" s="160"/>
      <c r="AY300" s="160"/>
      <c r="AZ300" s="160"/>
      <c r="BA300" s="160"/>
      <c r="BB300" s="160"/>
      <c r="BC300" s="160"/>
      <c r="BD300" s="160"/>
      <c r="BE300" s="160"/>
      <c r="BF300" s="160"/>
      <c r="BG300" s="160"/>
      <c r="BH300" s="160"/>
      <c r="BI300" s="160"/>
      <c r="BJ300" s="160"/>
      <c r="BK300" s="160"/>
      <c r="BL300" s="160"/>
      <c r="BM300" s="160"/>
      <c r="BN300" s="160"/>
      <c r="BO300" s="160"/>
      <c r="BP300" s="160"/>
      <c r="BQ300" s="160"/>
      <c r="BR300" s="160"/>
      <c r="BS300" s="160"/>
      <c r="BT300" s="160"/>
      <c r="BU300" s="160"/>
      <c r="BV300" s="160"/>
      <c r="BW300" s="160"/>
      <c r="BX300" s="160"/>
      <c r="BY300" s="160"/>
      <c r="BZ300" s="160"/>
      <c r="CA300" s="160"/>
      <c r="CB300" s="160"/>
      <c r="CC300" s="160"/>
      <c r="CD300" s="160"/>
      <c r="CE300" s="160"/>
      <c r="CF300" s="160"/>
      <c r="CG300" s="160"/>
      <c r="CH300" s="160"/>
      <c r="CI300" s="160"/>
      <c r="CJ300" s="160"/>
      <c r="CK300" s="160"/>
      <c r="CL300" s="160"/>
    </row>
    <row r="301">
      <c r="A301" s="174" t="s">
        <v>748</v>
      </c>
      <c r="B301" s="11" t="s">
        <v>749</v>
      </c>
      <c r="C301" s="175" t="s">
        <v>77</v>
      </c>
      <c r="D301" s="176" t="str">
        <f>IFERROR(VLOOKUP(C301, PIC!A:B, 2, 0), "")</f>
        <v>Vinh Nguyen</v>
      </c>
      <c r="E301" s="11" t="s">
        <v>24</v>
      </c>
      <c r="F301" s="11"/>
      <c r="G301" s="11"/>
      <c r="H301" s="170">
        <f>IFERROR(
  MINIFS(ATTENDANCE_LOG!$F:$F,
         ATTENDANCE_LOG!$A:$A, C301,
         ATTENDANCE_LOG!$B:$B, E301),
"")</f>
        <v>46107.58333</v>
      </c>
      <c r="I301" s="170">
        <f t="shared" si="2"/>
        <v>45715.58333</v>
      </c>
      <c r="J301" s="11" t="str">
        <f>IFERROR(VLOOKUP(F301, LEVEL_HELPER!$A:$B, 2, 0), "")</f>
        <v/>
      </c>
      <c r="K301" s="11" t="str">
        <f>IFERROR(VLOOKUP(G301, LEVEL_HELPER!$A:$B, 2, 0), "")</f>
        <v/>
      </c>
      <c r="L301" s="171" t="s">
        <v>857</v>
      </c>
      <c r="M301" s="171" t="s">
        <v>150</v>
      </c>
      <c r="N301" s="11">
        <f t="array" ref="N301">IFERROR(
  INDEX($J$2:$J$531,
    MATCH(A301&amp;TEXT(I301,"yyyy-mm-dd"),
          $A$2:$A$531&amp;TEXT($H$2:$H$531,"yyyy-mm-dd"),
          0)),
"")</f>
        <v>1</v>
      </c>
      <c r="O301" s="160">
        <f t="shared" si="3"/>
        <v>3.5</v>
      </c>
      <c r="P301" s="160">
        <f t="shared" ref="P301:Q301" si="311">IF(N301="",0,IF(N301&lt;=2,1,IF(N301&lt;=4,2,IF(N301&lt;=5.5,3,4))))</f>
        <v>1</v>
      </c>
      <c r="Q301" s="160">
        <f t="shared" si="311"/>
        <v>2</v>
      </c>
      <c r="R301" s="160" t="str">
        <f t="shared" si="5"/>
        <v>Lv1 → Lv2</v>
      </c>
      <c r="S301" s="160">
        <f t="shared" si="6"/>
        <v>0</v>
      </c>
      <c r="T301" s="177" t="s">
        <v>1019</v>
      </c>
      <c r="U301" s="160">
        <f>COUNTIFS(sheet2!$A:$A,A301,sheet2!$E:$E,E301)</f>
        <v>1</v>
      </c>
      <c r="V301" s="160"/>
      <c r="W301" s="160"/>
      <c r="X301" s="160"/>
      <c r="Y301" s="160"/>
      <c r="Z301" s="160"/>
      <c r="AA301" s="160"/>
      <c r="AB301" s="160"/>
      <c r="AC301" s="160"/>
      <c r="AD301" s="160"/>
      <c r="AE301" s="160"/>
      <c r="AF301" s="160"/>
      <c r="AG301" s="160"/>
      <c r="AH301" s="160"/>
      <c r="AI301" s="160"/>
      <c r="AJ301" s="160"/>
      <c r="AK301" s="160"/>
      <c r="AL301" s="160"/>
      <c r="AM301" s="160"/>
      <c r="AN301" s="164"/>
      <c r="AO301" s="160"/>
      <c r="AP301" s="160"/>
      <c r="AQ301" s="160"/>
      <c r="AR301" s="160"/>
      <c r="AS301" s="160"/>
      <c r="AT301" s="160"/>
      <c r="AU301" s="160"/>
      <c r="AV301" s="160"/>
      <c r="AW301" s="160"/>
      <c r="AX301" s="160"/>
      <c r="AY301" s="160"/>
      <c r="AZ301" s="160"/>
      <c r="BA301" s="160"/>
      <c r="BB301" s="160"/>
      <c r="BC301" s="160"/>
      <c r="BD301" s="160"/>
      <c r="BE301" s="160"/>
      <c r="BF301" s="160"/>
      <c r="BG301" s="160"/>
      <c r="BH301" s="160"/>
      <c r="BI301" s="160"/>
      <c r="BJ301" s="160"/>
      <c r="BK301" s="160"/>
      <c r="BL301" s="160"/>
      <c r="BM301" s="160"/>
      <c r="BN301" s="160"/>
      <c r="BO301" s="160"/>
      <c r="BP301" s="160"/>
      <c r="BQ301" s="160"/>
      <c r="BR301" s="160"/>
      <c r="BS301" s="160"/>
      <c r="BT301" s="160"/>
      <c r="BU301" s="160"/>
      <c r="BV301" s="160"/>
      <c r="BW301" s="160"/>
      <c r="BX301" s="160"/>
      <c r="BY301" s="160"/>
      <c r="BZ301" s="160"/>
      <c r="CA301" s="160"/>
      <c r="CB301" s="160"/>
      <c r="CC301" s="160"/>
      <c r="CD301" s="160"/>
      <c r="CE301" s="160"/>
      <c r="CF301" s="160"/>
      <c r="CG301" s="160"/>
      <c r="CH301" s="160"/>
      <c r="CI301" s="160"/>
      <c r="CJ301" s="160"/>
      <c r="CK301" s="160"/>
      <c r="CL301" s="160"/>
    </row>
    <row r="302">
      <c r="A302" s="174" t="s">
        <v>750</v>
      </c>
      <c r="B302" s="11" t="s">
        <v>751</v>
      </c>
      <c r="C302" s="175" t="s">
        <v>77</v>
      </c>
      <c r="D302" s="176" t="str">
        <f>IFERROR(VLOOKUP(C302, PIC!A:B, 2, 0), "")</f>
        <v>Vinh Nguyen</v>
      </c>
      <c r="E302" s="11" t="s">
        <v>24</v>
      </c>
      <c r="F302" s="11"/>
      <c r="G302" s="11"/>
      <c r="H302" s="170">
        <f>IFERROR(
  MINIFS(ATTENDANCE_LOG!$F:$F,
         ATTENDANCE_LOG!$A:$A, C302,
         ATTENDANCE_LOG!$B:$B, E302),
"")</f>
        <v>46107.58333</v>
      </c>
      <c r="I302" s="170">
        <f t="shared" si="2"/>
        <v>45715.58333</v>
      </c>
      <c r="J302" s="11" t="str">
        <f>IFERROR(VLOOKUP(F302, LEVEL_HELPER!$A:$B, 2, 0), "")</f>
        <v/>
      </c>
      <c r="K302" s="11" t="str">
        <f>IFERROR(VLOOKUP(G302, LEVEL_HELPER!$A:$B, 2, 0), "")</f>
        <v/>
      </c>
      <c r="L302" s="171" t="s">
        <v>857</v>
      </c>
      <c r="M302" s="171" t="s">
        <v>150</v>
      </c>
      <c r="N302" s="11">
        <f t="array" ref="N302">IFERROR(
  INDEX($J$2:$J$531,
    MATCH(A302&amp;TEXT(I302,"yyyy-mm-dd"),
          $A$2:$A$531&amp;TEXT($H$2:$H$531,"yyyy-mm-dd"),
          0)),
"")</f>
        <v>1</v>
      </c>
      <c r="O302" s="160">
        <f t="shared" si="3"/>
        <v>3</v>
      </c>
      <c r="P302" s="160">
        <f t="shared" ref="P302:Q302" si="312">IF(N302="",0,IF(N302&lt;=2,1,IF(N302&lt;=4,2,IF(N302&lt;=5.5,3,4))))</f>
        <v>1</v>
      </c>
      <c r="Q302" s="160">
        <f t="shared" si="312"/>
        <v>2</v>
      </c>
      <c r="R302" s="160" t="str">
        <f t="shared" si="5"/>
        <v>Lv1 → Lv2</v>
      </c>
      <c r="S302" s="160">
        <f t="shared" si="6"/>
        <v>0</v>
      </c>
      <c r="T302" s="177" t="s">
        <v>1020</v>
      </c>
      <c r="U302" s="160">
        <f>COUNTIFS(sheet2!$A:$A,A302,sheet2!$E:$E,E302)</f>
        <v>1</v>
      </c>
      <c r="V302" s="160"/>
      <c r="W302" s="160"/>
      <c r="X302" s="160"/>
      <c r="Y302" s="160"/>
      <c r="Z302" s="160"/>
      <c r="AA302" s="160"/>
      <c r="AB302" s="160"/>
      <c r="AC302" s="160"/>
      <c r="AD302" s="160"/>
      <c r="AE302" s="160"/>
      <c r="AF302" s="160"/>
      <c r="AG302" s="160"/>
      <c r="AH302" s="160"/>
      <c r="AI302" s="160"/>
      <c r="AJ302" s="160"/>
      <c r="AK302" s="160"/>
      <c r="AL302" s="160"/>
      <c r="AM302" s="160"/>
      <c r="AN302" s="164"/>
      <c r="AO302" s="160"/>
      <c r="AP302" s="160"/>
      <c r="AQ302" s="160"/>
      <c r="AR302" s="160"/>
      <c r="AS302" s="160"/>
      <c r="AT302" s="160"/>
      <c r="AU302" s="160"/>
      <c r="AV302" s="160"/>
      <c r="AW302" s="160"/>
      <c r="AX302" s="160"/>
      <c r="AY302" s="160"/>
      <c r="AZ302" s="160"/>
      <c r="BA302" s="160"/>
      <c r="BB302" s="160"/>
      <c r="BC302" s="160"/>
      <c r="BD302" s="160"/>
      <c r="BE302" s="160"/>
      <c r="BF302" s="160"/>
      <c r="BG302" s="160"/>
      <c r="BH302" s="160"/>
      <c r="BI302" s="160"/>
      <c r="BJ302" s="160"/>
      <c r="BK302" s="160"/>
      <c r="BL302" s="160"/>
      <c r="BM302" s="160"/>
      <c r="BN302" s="160"/>
      <c r="BO302" s="160"/>
      <c r="BP302" s="160"/>
      <c r="BQ302" s="160"/>
      <c r="BR302" s="160"/>
      <c r="BS302" s="160"/>
      <c r="BT302" s="160"/>
      <c r="BU302" s="160"/>
      <c r="BV302" s="160"/>
      <c r="BW302" s="160"/>
      <c r="BX302" s="160"/>
      <c r="BY302" s="160"/>
      <c r="BZ302" s="160"/>
      <c r="CA302" s="160"/>
      <c r="CB302" s="160"/>
      <c r="CC302" s="160"/>
      <c r="CD302" s="160"/>
      <c r="CE302" s="160"/>
      <c r="CF302" s="160"/>
      <c r="CG302" s="160"/>
      <c r="CH302" s="160"/>
      <c r="CI302" s="160"/>
      <c r="CJ302" s="160"/>
      <c r="CK302" s="160"/>
      <c r="CL302" s="160"/>
    </row>
    <row r="303">
      <c r="A303" s="174" t="s">
        <v>754</v>
      </c>
      <c r="B303" s="11" t="s">
        <v>755</v>
      </c>
      <c r="C303" s="175" t="s">
        <v>77</v>
      </c>
      <c r="D303" s="176" t="str">
        <f>IFERROR(VLOOKUP(C303, PIC!A:B, 2, 0), "")</f>
        <v>Vinh Nguyen</v>
      </c>
      <c r="E303" s="11" t="s">
        <v>24</v>
      </c>
      <c r="F303" s="11"/>
      <c r="G303" s="11"/>
      <c r="H303" s="170">
        <f>IFERROR(
  MINIFS(ATTENDANCE_LOG!$F:$F,
         ATTENDANCE_LOG!$A:$A, C303,
         ATTENDANCE_LOG!$B:$B, E303),
"")</f>
        <v>46107.58333</v>
      </c>
      <c r="I303" s="170">
        <f t="shared" si="2"/>
        <v>45715.58333</v>
      </c>
      <c r="J303" s="11" t="str">
        <f>IFERROR(VLOOKUP(F303, LEVEL_HELPER!$A:$B, 2, 0), "")</f>
        <v/>
      </c>
      <c r="K303" s="11" t="str">
        <f>IFERROR(VLOOKUP(G303, LEVEL_HELPER!$A:$B, 2, 0), "")</f>
        <v/>
      </c>
      <c r="L303" s="171" t="s">
        <v>397</v>
      </c>
      <c r="M303" s="171" t="s">
        <v>150</v>
      </c>
      <c r="N303" s="11">
        <f t="array" ref="N303">IFERROR(
  INDEX($J$2:$J$531,
    MATCH(A303&amp;TEXT(I303,"yyyy-mm-dd"),
          $A$2:$A$531&amp;TEXT($H$2:$H$531,"yyyy-mm-dd"),
          0)),
"")</f>
        <v>1</v>
      </c>
      <c r="O303" s="160">
        <f t="shared" si="3"/>
        <v>1.5</v>
      </c>
      <c r="P303" s="160">
        <f t="shared" ref="P303:Q303" si="313">IF(N303="",0,IF(N303&lt;=2,1,IF(N303&lt;=4,2,IF(N303&lt;=5.5,3,4))))</f>
        <v>1</v>
      </c>
      <c r="Q303" s="160">
        <f t="shared" si="313"/>
        <v>1</v>
      </c>
      <c r="R303" s="160" t="str">
        <f t="shared" si="5"/>
        <v>Progress within level</v>
      </c>
      <c r="S303" s="160">
        <f t="shared" si="6"/>
        <v>0</v>
      </c>
      <c r="T303" s="177" t="s">
        <v>1021</v>
      </c>
      <c r="U303" s="160">
        <f>COUNTIFS(sheet2!$A:$A,A303,sheet2!$E:$E,E303)</f>
        <v>1</v>
      </c>
      <c r="V303" s="160"/>
      <c r="W303" s="160"/>
      <c r="X303" s="160"/>
      <c r="Y303" s="160"/>
      <c r="Z303" s="160"/>
      <c r="AA303" s="160"/>
      <c r="AB303" s="160"/>
      <c r="AC303" s="160"/>
      <c r="AD303" s="160"/>
      <c r="AE303" s="160"/>
      <c r="AF303" s="160"/>
      <c r="AG303" s="160"/>
      <c r="AH303" s="160"/>
      <c r="AI303" s="160"/>
      <c r="AJ303" s="160"/>
      <c r="AK303" s="160"/>
      <c r="AL303" s="160"/>
      <c r="AM303" s="160"/>
      <c r="AN303" s="164"/>
      <c r="AO303" s="160"/>
      <c r="AP303" s="160"/>
      <c r="AQ303" s="160"/>
      <c r="AR303" s="160"/>
      <c r="AS303" s="160"/>
      <c r="AT303" s="160"/>
      <c r="AU303" s="160"/>
      <c r="AV303" s="160"/>
      <c r="AW303" s="160"/>
      <c r="AX303" s="160"/>
      <c r="AY303" s="160"/>
      <c r="AZ303" s="160"/>
      <c r="BA303" s="160"/>
      <c r="BB303" s="160"/>
      <c r="BC303" s="160"/>
      <c r="BD303" s="160"/>
      <c r="BE303" s="160"/>
      <c r="BF303" s="160"/>
      <c r="BG303" s="160"/>
      <c r="BH303" s="160"/>
      <c r="BI303" s="160"/>
      <c r="BJ303" s="160"/>
      <c r="BK303" s="160"/>
      <c r="BL303" s="160"/>
      <c r="BM303" s="160"/>
      <c r="BN303" s="160"/>
      <c r="BO303" s="160"/>
      <c r="BP303" s="160"/>
      <c r="BQ303" s="160"/>
      <c r="BR303" s="160"/>
      <c r="BS303" s="160"/>
      <c r="BT303" s="160"/>
      <c r="BU303" s="160"/>
      <c r="BV303" s="160"/>
      <c r="BW303" s="160"/>
      <c r="BX303" s="160"/>
      <c r="BY303" s="160"/>
      <c r="BZ303" s="160"/>
      <c r="CA303" s="160"/>
      <c r="CB303" s="160"/>
      <c r="CC303" s="160"/>
      <c r="CD303" s="160"/>
      <c r="CE303" s="160"/>
      <c r="CF303" s="160"/>
      <c r="CG303" s="160"/>
      <c r="CH303" s="160"/>
      <c r="CI303" s="160"/>
      <c r="CJ303" s="160"/>
      <c r="CK303" s="160"/>
      <c r="CL303" s="160"/>
    </row>
    <row r="304">
      <c r="A304" s="174" t="s">
        <v>777</v>
      </c>
      <c r="B304" s="167" t="s">
        <v>778</v>
      </c>
      <c r="C304" s="168" t="s">
        <v>78</v>
      </c>
      <c r="D304" s="169" t="str">
        <f>IFERROR(VLOOKUP(C304, PIC!A:B, 2, 0), "")</f>
        <v>Yen Tran 1</v>
      </c>
      <c r="E304" s="167" t="s">
        <v>22</v>
      </c>
      <c r="F304" s="16" t="s">
        <v>858</v>
      </c>
      <c r="G304" s="11"/>
      <c r="H304" s="170">
        <f>IFERROR(
  MINIFS(ATTENDANCE_LOG!$F:$F,
         ATTENDANCE_LOG!$A:$A, C304,
         ATTENDANCE_LOG!$B:$B, E304),
"")</f>
        <v>45638.45833</v>
      </c>
      <c r="I304" s="170">
        <f t="shared" si="2"/>
        <v>45638.45833</v>
      </c>
      <c r="J304" s="11">
        <f>IFERROR(VLOOKUP(F304, LEVEL_HELPER!$A:$B, 2, 0), "")</f>
        <v>4.5</v>
      </c>
      <c r="K304" s="11" t="str">
        <f>IFERROR(VLOOKUP(G304, LEVEL_HELPER!$A:$B, 2, 0), "")</f>
        <v/>
      </c>
      <c r="L304" s="171" t="s">
        <v>1022</v>
      </c>
      <c r="M304" s="183" t="s">
        <v>149</v>
      </c>
      <c r="N304" s="11">
        <f t="array" ref="N304">IFERROR(
  INDEX($J$2:$J$531,
    MATCH(A304&amp;TEXT(I304,"yyyy-mm-dd"),
          $A$2:$A$531&amp;TEXT($H$2:$H$531,"yyyy-mm-dd"),
          0)),
"")</f>
        <v>4.5</v>
      </c>
      <c r="O304" s="160">
        <f t="shared" si="3"/>
        <v>0</v>
      </c>
      <c r="P304" s="160">
        <f t="shared" ref="P304:Q304" si="314">IF(N304="",0,IF(N304&lt;=2,1,IF(N304&lt;=4,2,IF(N304&lt;=5.5,3,4))))</f>
        <v>3</v>
      </c>
      <c r="Q304" s="160">
        <f t="shared" si="314"/>
        <v>1</v>
      </c>
      <c r="R304" s="160" t="str">
        <f t="shared" si="5"/>
        <v>Not tested yet</v>
      </c>
      <c r="S304" s="160">
        <f t="shared" si="6"/>
        <v>1</v>
      </c>
      <c r="T304" s="172" t="s">
        <v>1023</v>
      </c>
      <c r="U304" s="160">
        <f>COUNTIFS(sheet2!$A:$A,A304,sheet2!$E:$E,E304)</f>
        <v>1</v>
      </c>
      <c r="V304" s="160"/>
      <c r="W304" s="160"/>
      <c r="X304" s="160"/>
      <c r="Y304" s="160"/>
      <c r="Z304" s="160"/>
      <c r="AA304" s="160"/>
      <c r="AB304" s="160"/>
      <c r="AC304" s="160"/>
      <c r="AD304" s="160"/>
      <c r="AE304" s="160"/>
      <c r="AF304" s="160"/>
      <c r="AG304" s="160"/>
      <c r="AH304" s="160"/>
      <c r="AI304" s="160"/>
      <c r="AJ304" s="160"/>
      <c r="AK304" s="160"/>
      <c r="AL304" s="160"/>
      <c r="AM304" s="160"/>
      <c r="AN304" s="164"/>
      <c r="AO304" s="160"/>
      <c r="AP304" s="160"/>
      <c r="AQ304" s="160"/>
      <c r="AR304" s="160"/>
      <c r="AS304" s="160"/>
      <c r="AT304" s="160"/>
      <c r="AU304" s="160"/>
      <c r="AV304" s="160"/>
      <c r="AW304" s="160"/>
      <c r="AX304" s="160"/>
      <c r="AY304" s="160"/>
      <c r="AZ304" s="160"/>
      <c r="BA304" s="160"/>
      <c r="BB304" s="160"/>
      <c r="BC304" s="160"/>
      <c r="BD304" s="160"/>
      <c r="BE304" s="160"/>
      <c r="BF304" s="160"/>
      <c r="BG304" s="160"/>
      <c r="BH304" s="160"/>
      <c r="BI304" s="160"/>
      <c r="BJ304" s="160"/>
      <c r="BK304" s="160"/>
      <c r="BL304" s="160"/>
      <c r="BM304" s="160"/>
      <c r="BN304" s="160"/>
      <c r="BO304" s="160"/>
      <c r="BP304" s="160"/>
      <c r="BQ304" s="160"/>
      <c r="BR304" s="160"/>
      <c r="BS304" s="160"/>
      <c r="BT304" s="160"/>
      <c r="BU304" s="160"/>
      <c r="BV304" s="160"/>
      <c r="BW304" s="160"/>
      <c r="BX304" s="160"/>
      <c r="BY304" s="160"/>
      <c r="BZ304" s="160"/>
      <c r="CA304" s="160"/>
      <c r="CB304" s="160"/>
      <c r="CC304" s="160"/>
      <c r="CD304" s="160"/>
      <c r="CE304" s="160"/>
      <c r="CF304" s="160"/>
      <c r="CG304" s="160"/>
      <c r="CH304" s="160"/>
      <c r="CI304" s="160"/>
      <c r="CJ304" s="160"/>
      <c r="CK304" s="160"/>
      <c r="CL304" s="160"/>
    </row>
    <row r="305">
      <c r="A305" s="174" t="s">
        <v>769</v>
      </c>
      <c r="B305" s="11" t="s">
        <v>770</v>
      </c>
      <c r="C305" s="175" t="s">
        <v>78</v>
      </c>
      <c r="D305" s="176" t="str">
        <f>IFERROR(VLOOKUP(C305, PIC!A:B, 2, 0), "")</f>
        <v>Yen Tran 1</v>
      </c>
      <c r="E305" s="11" t="s">
        <v>22</v>
      </c>
      <c r="F305" s="16" t="s">
        <v>849</v>
      </c>
      <c r="G305" s="16" t="s">
        <v>849</v>
      </c>
      <c r="H305" s="170">
        <f>IFERROR(
  MINIFS(ATTENDANCE_LOG!$F:$F,
         ATTENDANCE_LOG!$A:$A, C305,
         ATTENDANCE_LOG!$B:$B, E305),
"")</f>
        <v>45638.45833</v>
      </c>
      <c r="I305" s="170">
        <f t="shared" si="2"/>
        <v>45638.45833</v>
      </c>
      <c r="J305" s="11">
        <f>IFERROR(VLOOKUP(F305, LEVEL_HELPER!$A:$B, 2, 0), "")</f>
        <v>1</v>
      </c>
      <c r="K305" s="11">
        <f>IFERROR(VLOOKUP(G305, LEVEL_HELPER!$A:$B, 2, 0), "")</f>
        <v>1</v>
      </c>
      <c r="L305" s="171" t="s">
        <v>847</v>
      </c>
      <c r="M305" s="183" t="s">
        <v>149</v>
      </c>
      <c r="N305" s="11">
        <f t="array" ref="N305">IFERROR(
  INDEX($J$2:$J$531,
    MATCH(A305&amp;TEXT(I305,"yyyy-mm-dd"),
          $A$2:$A$531&amp;TEXT($H$2:$H$531,"yyyy-mm-dd"),
          0)),
"")</f>
        <v>1</v>
      </c>
      <c r="O305" s="160">
        <f t="shared" si="3"/>
        <v>1</v>
      </c>
      <c r="P305" s="160">
        <f t="shared" ref="P305:Q305" si="315">IF(N305="",0,IF(N305&lt;=2,1,IF(N305&lt;=4,2,IF(N305&lt;=5.5,3,4))))</f>
        <v>1</v>
      </c>
      <c r="Q305" s="160">
        <f t="shared" si="315"/>
        <v>1</v>
      </c>
      <c r="R305" s="160" t="str">
        <f t="shared" si="5"/>
        <v>No Progress</v>
      </c>
      <c r="S305" s="160">
        <f t="shared" si="6"/>
        <v>1</v>
      </c>
      <c r="T305" s="177" t="s">
        <v>1024</v>
      </c>
      <c r="U305" s="160">
        <f>COUNTIFS(sheet2!$A:$A,A305,sheet2!$E:$E,E305)</f>
        <v>1</v>
      </c>
      <c r="V305" s="160"/>
      <c r="W305" s="160"/>
      <c r="X305" s="160"/>
      <c r="Y305" s="160"/>
      <c r="Z305" s="160"/>
      <c r="AA305" s="160"/>
      <c r="AB305" s="160"/>
      <c r="AC305" s="160"/>
      <c r="AD305" s="160"/>
      <c r="AE305" s="160"/>
      <c r="AF305" s="160"/>
      <c r="AG305" s="160"/>
      <c r="AH305" s="160"/>
      <c r="AI305" s="160"/>
      <c r="AJ305" s="160"/>
      <c r="AK305" s="160"/>
      <c r="AL305" s="160"/>
      <c r="AM305" s="160"/>
      <c r="AN305" s="164"/>
      <c r="AO305" s="160"/>
      <c r="AP305" s="160"/>
      <c r="AQ305" s="160"/>
      <c r="AR305" s="160"/>
      <c r="AS305" s="160"/>
      <c r="AT305" s="160"/>
      <c r="AU305" s="160"/>
      <c r="AV305" s="160"/>
      <c r="AW305" s="160"/>
      <c r="AX305" s="160"/>
      <c r="AY305" s="160"/>
      <c r="AZ305" s="160"/>
      <c r="BA305" s="160"/>
      <c r="BB305" s="160"/>
      <c r="BC305" s="160"/>
      <c r="BD305" s="160"/>
      <c r="BE305" s="160"/>
      <c r="BF305" s="160"/>
      <c r="BG305" s="160"/>
      <c r="BH305" s="160"/>
      <c r="BI305" s="160"/>
      <c r="BJ305" s="160"/>
      <c r="BK305" s="160"/>
      <c r="BL305" s="160"/>
      <c r="BM305" s="160"/>
      <c r="BN305" s="160"/>
      <c r="BO305" s="160"/>
      <c r="BP305" s="160"/>
      <c r="BQ305" s="160"/>
      <c r="BR305" s="160"/>
      <c r="BS305" s="160"/>
      <c r="BT305" s="160"/>
      <c r="BU305" s="160"/>
      <c r="BV305" s="160"/>
      <c r="BW305" s="160"/>
      <c r="BX305" s="160"/>
      <c r="BY305" s="160"/>
      <c r="BZ305" s="160"/>
      <c r="CA305" s="160"/>
      <c r="CB305" s="160"/>
      <c r="CC305" s="160"/>
      <c r="CD305" s="160"/>
      <c r="CE305" s="160"/>
      <c r="CF305" s="160"/>
      <c r="CG305" s="160"/>
      <c r="CH305" s="160"/>
      <c r="CI305" s="160"/>
      <c r="CJ305" s="160"/>
      <c r="CK305" s="160"/>
      <c r="CL305" s="160"/>
    </row>
    <row r="306">
      <c r="A306" s="174" t="s">
        <v>771</v>
      </c>
      <c r="B306" s="11" t="s">
        <v>772</v>
      </c>
      <c r="C306" s="175" t="s">
        <v>78</v>
      </c>
      <c r="D306" s="176" t="str">
        <f>IFERROR(VLOOKUP(C306, PIC!A:B, 2, 0), "")</f>
        <v>Yen Tran 1</v>
      </c>
      <c r="E306" s="11" t="s">
        <v>22</v>
      </c>
      <c r="F306" s="16" t="s">
        <v>849</v>
      </c>
      <c r="G306" s="16" t="s">
        <v>849</v>
      </c>
      <c r="H306" s="170">
        <f>IFERROR(
  MINIFS(ATTENDANCE_LOG!$F:$F,
         ATTENDANCE_LOG!$A:$A, C306,
         ATTENDANCE_LOG!$B:$B, E306),
"")</f>
        <v>45638.45833</v>
      </c>
      <c r="I306" s="170">
        <f t="shared" si="2"/>
        <v>45638.45833</v>
      </c>
      <c r="J306" s="11">
        <f>IFERROR(VLOOKUP(F306, LEVEL_HELPER!$A:$B, 2, 0), "")</f>
        <v>1</v>
      </c>
      <c r="K306" s="11">
        <f>IFERROR(VLOOKUP(G306, LEVEL_HELPER!$A:$B, 2, 0), "")</f>
        <v>1</v>
      </c>
      <c r="L306" s="171" t="s">
        <v>880</v>
      </c>
      <c r="M306" s="183" t="s">
        <v>149</v>
      </c>
      <c r="N306" s="11">
        <f t="array" ref="N306">IFERROR(
  INDEX($J$2:$J$531,
    MATCH(A306&amp;TEXT(I306,"yyyy-mm-dd"),
          $A$2:$A$531&amp;TEXT($H$2:$H$531,"yyyy-mm-dd"),
          0)),
"")</f>
        <v>1</v>
      </c>
      <c r="O306" s="160">
        <f t="shared" si="3"/>
        <v>1</v>
      </c>
      <c r="P306" s="160">
        <f t="shared" ref="P306:Q306" si="316">IF(N306="",0,IF(N306&lt;=2,1,IF(N306&lt;=4,2,IF(N306&lt;=5.5,3,4))))</f>
        <v>1</v>
      </c>
      <c r="Q306" s="160">
        <f t="shared" si="316"/>
        <v>1</v>
      </c>
      <c r="R306" s="160" t="str">
        <f t="shared" si="5"/>
        <v>No Progress</v>
      </c>
      <c r="S306" s="160">
        <f t="shared" si="6"/>
        <v>1</v>
      </c>
      <c r="T306" s="177" t="s">
        <v>1025</v>
      </c>
      <c r="U306" s="160">
        <f>COUNTIFS(sheet2!$A:$A,A306,sheet2!$E:$E,E306)</f>
        <v>1</v>
      </c>
      <c r="V306" s="160"/>
      <c r="W306" s="160"/>
      <c r="X306" s="160"/>
      <c r="Y306" s="160"/>
      <c r="Z306" s="160"/>
      <c r="AA306" s="160"/>
      <c r="AB306" s="160"/>
      <c r="AC306" s="160"/>
      <c r="AD306" s="160"/>
      <c r="AE306" s="160"/>
      <c r="AF306" s="160"/>
      <c r="AG306" s="160"/>
      <c r="AH306" s="160"/>
      <c r="AI306" s="160"/>
      <c r="AJ306" s="160"/>
      <c r="AK306" s="160"/>
      <c r="AL306" s="160"/>
      <c r="AM306" s="160"/>
      <c r="AN306" s="164"/>
      <c r="AO306" s="160"/>
      <c r="AP306" s="160"/>
      <c r="AQ306" s="160"/>
      <c r="AR306" s="160"/>
      <c r="AS306" s="160"/>
      <c r="AT306" s="160"/>
      <c r="AU306" s="160"/>
      <c r="AV306" s="160"/>
      <c r="AW306" s="160"/>
      <c r="AX306" s="160"/>
      <c r="AY306" s="160"/>
      <c r="AZ306" s="160"/>
      <c r="BA306" s="160"/>
      <c r="BB306" s="160"/>
      <c r="BC306" s="160"/>
      <c r="BD306" s="160"/>
      <c r="BE306" s="160"/>
      <c r="BF306" s="160"/>
      <c r="BG306" s="160"/>
      <c r="BH306" s="160"/>
      <c r="BI306" s="160"/>
      <c r="BJ306" s="160"/>
      <c r="BK306" s="160"/>
      <c r="BL306" s="160"/>
      <c r="BM306" s="160"/>
      <c r="BN306" s="160"/>
      <c r="BO306" s="160"/>
      <c r="BP306" s="160"/>
      <c r="BQ306" s="160"/>
      <c r="BR306" s="160"/>
      <c r="BS306" s="160"/>
      <c r="BT306" s="160"/>
      <c r="BU306" s="160"/>
      <c r="BV306" s="160"/>
      <c r="BW306" s="160"/>
      <c r="BX306" s="160"/>
      <c r="BY306" s="160"/>
      <c r="BZ306" s="160"/>
      <c r="CA306" s="160"/>
      <c r="CB306" s="160"/>
      <c r="CC306" s="160"/>
      <c r="CD306" s="160"/>
      <c r="CE306" s="160"/>
      <c r="CF306" s="160"/>
      <c r="CG306" s="160"/>
      <c r="CH306" s="160"/>
      <c r="CI306" s="160"/>
      <c r="CJ306" s="160"/>
      <c r="CK306" s="160"/>
      <c r="CL306" s="160"/>
    </row>
    <row r="307">
      <c r="A307" s="174" t="s">
        <v>773</v>
      </c>
      <c r="B307" s="11" t="s">
        <v>774</v>
      </c>
      <c r="C307" s="175" t="s">
        <v>78</v>
      </c>
      <c r="D307" s="176" t="str">
        <f>IFERROR(VLOOKUP(C307, PIC!A:B, 2, 0), "")</f>
        <v>Yen Tran 1</v>
      </c>
      <c r="E307" s="11" t="s">
        <v>22</v>
      </c>
      <c r="F307" s="16" t="s">
        <v>849</v>
      </c>
      <c r="G307" s="16" t="s">
        <v>846</v>
      </c>
      <c r="H307" s="170">
        <f>IFERROR(
  MINIFS(ATTENDANCE_LOG!$F:$F,
         ATTENDANCE_LOG!$A:$A, C307,
         ATTENDANCE_LOG!$B:$B, E307),
"")</f>
        <v>45638.45833</v>
      </c>
      <c r="I307" s="170">
        <f t="shared" si="2"/>
        <v>45638.45833</v>
      </c>
      <c r="J307" s="11">
        <f>IFERROR(VLOOKUP(F307, LEVEL_HELPER!$A:$B, 2, 0), "")</f>
        <v>1</v>
      </c>
      <c r="K307" s="11">
        <f>IFERROR(VLOOKUP(G307, LEVEL_HELPER!$A:$B, 2, 0), "")</f>
        <v>3</v>
      </c>
      <c r="L307" s="171" t="s">
        <v>400</v>
      </c>
      <c r="M307" s="183" t="s">
        <v>149</v>
      </c>
      <c r="N307" s="11">
        <f t="array" ref="N307">IFERROR(
  INDEX($J$2:$J$531,
    MATCH(A307&amp;TEXT(I307,"yyyy-mm-dd"),
          $A$2:$A$531&amp;TEXT($H$2:$H$531,"yyyy-mm-dd"),
          0)),
"")</f>
        <v>1</v>
      </c>
      <c r="O307" s="160">
        <f t="shared" si="3"/>
        <v>3</v>
      </c>
      <c r="P307" s="160">
        <f t="shared" ref="P307:Q307" si="317">IF(N307="",0,IF(N307&lt;=2,1,IF(N307&lt;=4,2,IF(N307&lt;=5.5,3,4))))</f>
        <v>1</v>
      </c>
      <c r="Q307" s="160">
        <f t="shared" si="317"/>
        <v>2</v>
      </c>
      <c r="R307" s="160" t="str">
        <f t="shared" si="5"/>
        <v>Lv1 → Lv2</v>
      </c>
      <c r="S307" s="160">
        <f t="shared" si="6"/>
        <v>1</v>
      </c>
      <c r="T307" s="177" t="s">
        <v>1026</v>
      </c>
      <c r="U307" s="160">
        <f>COUNTIFS(sheet2!$A:$A,A307,sheet2!$E:$E,E307)</f>
        <v>1</v>
      </c>
      <c r="V307" s="160"/>
      <c r="W307" s="160"/>
      <c r="X307" s="160"/>
      <c r="Y307" s="160"/>
      <c r="Z307" s="160"/>
      <c r="AA307" s="160"/>
      <c r="AB307" s="160"/>
      <c r="AC307" s="160"/>
      <c r="AD307" s="160"/>
      <c r="AE307" s="160"/>
      <c r="AF307" s="160"/>
      <c r="AG307" s="160"/>
      <c r="AH307" s="160"/>
      <c r="AI307" s="160"/>
      <c r="AJ307" s="160"/>
      <c r="AK307" s="160"/>
      <c r="AL307" s="160"/>
      <c r="AM307" s="160"/>
      <c r="AN307" s="164"/>
      <c r="AO307" s="160"/>
      <c r="AP307" s="160"/>
      <c r="AQ307" s="160"/>
      <c r="AR307" s="160"/>
      <c r="AS307" s="160"/>
      <c r="AT307" s="160"/>
      <c r="AU307" s="160"/>
      <c r="AV307" s="160"/>
      <c r="AW307" s="160"/>
      <c r="AX307" s="160"/>
      <c r="AY307" s="160"/>
      <c r="AZ307" s="160"/>
      <c r="BA307" s="160"/>
      <c r="BB307" s="160"/>
      <c r="BC307" s="160"/>
      <c r="BD307" s="160"/>
      <c r="BE307" s="160"/>
      <c r="BF307" s="160"/>
      <c r="BG307" s="160"/>
      <c r="BH307" s="160"/>
      <c r="BI307" s="160"/>
      <c r="BJ307" s="160"/>
      <c r="BK307" s="160"/>
      <c r="BL307" s="160"/>
      <c r="BM307" s="160"/>
      <c r="BN307" s="160"/>
      <c r="BO307" s="160"/>
      <c r="BP307" s="160"/>
      <c r="BQ307" s="160"/>
      <c r="BR307" s="160"/>
      <c r="BS307" s="160"/>
      <c r="BT307" s="160"/>
      <c r="BU307" s="160"/>
      <c r="BV307" s="160"/>
      <c r="BW307" s="160"/>
      <c r="BX307" s="160"/>
      <c r="BY307" s="160"/>
      <c r="BZ307" s="160"/>
      <c r="CA307" s="160"/>
      <c r="CB307" s="160"/>
      <c r="CC307" s="160"/>
      <c r="CD307" s="160"/>
      <c r="CE307" s="160"/>
      <c r="CF307" s="160"/>
      <c r="CG307" s="160"/>
      <c r="CH307" s="160"/>
      <c r="CI307" s="160"/>
      <c r="CJ307" s="160"/>
      <c r="CK307" s="160"/>
      <c r="CL307" s="160"/>
    </row>
    <row r="308">
      <c r="A308" s="174" t="s">
        <v>775</v>
      </c>
      <c r="B308" s="11" t="s">
        <v>776</v>
      </c>
      <c r="C308" s="175" t="s">
        <v>78</v>
      </c>
      <c r="D308" s="176" t="str">
        <f>IFERROR(VLOOKUP(C308, PIC!A:B, 2, 0), "")</f>
        <v>Yen Tran 1</v>
      </c>
      <c r="E308" s="11" t="s">
        <v>22</v>
      </c>
      <c r="F308" s="16" t="s">
        <v>845</v>
      </c>
      <c r="G308" s="16" t="s">
        <v>858</v>
      </c>
      <c r="H308" s="170">
        <f>IFERROR(
  MINIFS(ATTENDANCE_LOG!$F:$F,
         ATTENDANCE_LOG!$A:$A, C308,
         ATTENDANCE_LOG!$B:$B, E308),
"")</f>
        <v>45638.45833</v>
      </c>
      <c r="I308" s="170">
        <f t="shared" si="2"/>
        <v>45638.45833</v>
      </c>
      <c r="J308" s="11">
        <f>IFERROR(VLOOKUP(F308, LEVEL_HELPER!$A:$B, 2, 0), "")</f>
        <v>2.5</v>
      </c>
      <c r="K308" s="11">
        <f>IFERROR(VLOOKUP(G308, LEVEL_HELPER!$A:$B, 2, 0), "")</f>
        <v>4.5</v>
      </c>
      <c r="L308" s="171" t="s">
        <v>1027</v>
      </c>
      <c r="M308" s="183" t="s">
        <v>149</v>
      </c>
      <c r="N308" s="11">
        <f t="array" ref="N308">IFERROR(
  INDEX($J$2:$J$531,
    MATCH(A308&amp;TEXT(I308,"yyyy-mm-dd"),
          $A$2:$A$531&amp;TEXT($H$2:$H$531,"yyyy-mm-dd"),
          0)),
"")</f>
        <v>2.5</v>
      </c>
      <c r="O308" s="160">
        <f t="shared" si="3"/>
        <v>4.5</v>
      </c>
      <c r="P308" s="160">
        <f t="shared" ref="P308:Q308" si="318">IF(N308="",0,IF(N308&lt;=2,1,IF(N308&lt;=4,2,IF(N308&lt;=5.5,3,4))))</f>
        <v>2</v>
      </c>
      <c r="Q308" s="160">
        <f t="shared" si="318"/>
        <v>3</v>
      </c>
      <c r="R308" s="160" t="str">
        <f t="shared" si="5"/>
        <v>Lv2 → Lv3</v>
      </c>
      <c r="S308" s="160">
        <f t="shared" si="6"/>
        <v>1</v>
      </c>
      <c r="T308" s="177" t="s">
        <v>1028</v>
      </c>
      <c r="U308" s="160">
        <f>COUNTIFS(sheet2!$A:$A,A308,sheet2!$E:$E,E308)</f>
        <v>1</v>
      </c>
      <c r="V308" s="160"/>
      <c r="W308" s="160"/>
      <c r="X308" s="160"/>
      <c r="Y308" s="160"/>
      <c r="Z308" s="160"/>
      <c r="AA308" s="160"/>
      <c r="AB308" s="160"/>
      <c r="AC308" s="160"/>
      <c r="AD308" s="160"/>
      <c r="AE308" s="160"/>
      <c r="AF308" s="160"/>
      <c r="AG308" s="160"/>
      <c r="AH308" s="160"/>
      <c r="AI308" s="160"/>
      <c r="AJ308" s="160"/>
      <c r="AK308" s="160"/>
      <c r="AL308" s="160"/>
      <c r="AM308" s="160"/>
      <c r="AN308" s="164"/>
      <c r="AO308" s="160"/>
      <c r="AP308" s="160"/>
      <c r="AQ308" s="160"/>
      <c r="AR308" s="160"/>
      <c r="AS308" s="160"/>
      <c r="AT308" s="160"/>
      <c r="AU308" s="160"/>
      <c r="AV308" s="160"/>
      <c r="AW308" s="160"/>
      <c r="AX308" s="160"/>
      <c r="AY308" s="160"/>
      <c r="AZ308" s="160"/>
      <c r="BA308" s="160"/>
      <c r="BB308" s="160"/>
      <c r="BC308" s="160"/>
      <c r="BD308" s="160"/>
      <c r="BE308" s="160"/>
      <c r="BF308" s="160"/>
      <c r="BG308" s="160"/>
      <c r="BH308" s="160"/>
      <c r="BI308" s="160"/>
      <c r="BJ308" s="160"/>
      <c r="BK308" s="160"/>
      <c r="BL308" s="160"/>
      <c r="BM308" s="160"/>
      <c r="BN308" s="160"/>
      <c r="BO308" s="160"/>
      <c r="BP308" s="160"/>
      <c r="BQ308" s="160"/>
      <c r="BR308" s="160"/>
      <c r="BS308" s="160"/>
      <c r="BT308" s="160"/>
      <c r="BU308" s="160"/>
      <c r="BV308" s="160"/>
      <c r="BW308" s="160"/>
      <c r="BX308" s="160"/>
      <c r="BY308" s="160"/>
      <c r="BZ308" s="160"/>
      <c r="CA308" s="160"/>
      <c r="CB308" s="160"/>
      <c r="CC308" s="160"/>
      <c r="CD308" s="160"/>
      <c r="CE308" s="160"/>
      <c r="CF308" s="160"/>
      <c r="CG308" s="160"/>
      <c r="CH308" s="160"/>
      <c r="CI308" s="160"/>
      <c r="CJ308" s="160"/>
      <c r="CK308" s="160"/>
      <c r="CL308" s="160"/>
    </row>
    <row r="309">
      <c r="A309" s="174" t="s">
        <v>779</v>
      </c>
      <c r="B309" s="11" t="s">
        <v>780</v>
      </c>
      <c r="C309" s="175" t="s">
        <v>78</v>
      </c>
      <c r="D309" s="176" t="str">
        <f>IFERROR(VLOOKUP(C309, PIC!A:B, 2, 0), "")</f>
        <v>Yen Tran 1</v>
      </c>
      <c r="E309" s="11" t="s">
        <v>22</v>
      </c>
      <c r="F309" s="16" t="s">
        <v>849</v>
      </c>
      <c r="G309" s="11"/>
      <c r="H309" s="170">
        <f>IFERROR(
  MINIFS(ATTENDANCE_LOG!$F:$F,
         ATTENDANCE_LOG!$A:$A, C309,
         ATTENDANCE_LOG!$B:$B, E309),
"")</f>
        <v>45638.45833</v>
      </c>
      <c r="I309" s="170">
        <f t="shared" si="2"/>
        <v>45638.45833</v>
      </c>
      <c r="J309" s="11">
        <f>IFERROR(VLOOKUP(F309, LEVEL_HELPER!$A:$B, 2, 0), "")</f>
        <v>1</v>
      </c>
      <c r="K309" s="11" t="str">
        <f>IFERROR(VLOOKUP(G309, LEVEL_HELPER!$A:$B, 2, 0), "")</f>
        <v/>
      </c>
      <c r="L309" s="171" t="s">
        <v>400</v>
      </c>
      <c r="M309" s="183" t="s">
        <v>149</v>
      </c>
      <c r="N309" s="11">
        <f t="array" ref="N309">IFERROR(
  INDEX($J$2:$J$531,
    MATCH(A309&amp;TEXT(I309,"yyyy-mm-dd"),
          $A$2:$A$531&amp;TEXT($H$2:$H$531,"yyyy-mm-dd"),
          0)),
"")</f>
        <v>1</v>
      </c>
      <c r="O309" s="160">
        <f t="shared" si="3"/>
        <v>0</v>
      </c>
      <c r="P309" s="160">
        <f t="shared" ref="P309:Q309" si="319">IF(N309="",0,IF(N309&lt;=2,1,IF(N309&lt;=4,2,IF(N309&lt;=5.5,3,4))))</f>
        <v>1</v>
      </c>
      <c r="Q309" s="160">
        <f t="shared" si="319"/>
        <v>1</v>
      </c>
      <c r="R309" s="160" t="str">
        <f t="shared" si="5"/>
        <v>Not tested yet</v>
      </c>
      <c r="S309" s="160">
        <f t="shared" si="6"/>
        <v>1</v>
      </c>
      <c r="T309" s="177" t="s">
        <v>1029</v>
      </c>
      <c r="U309" s="160">
        <f>COUNTIFS(sheet2!$A:$A,A309,sheet2!$E:$E,E309)</f>
        <v>1</v>
      </c>
      <c r="V309" s="160"/>
      <c r="W309" s="160"/>
      <c r="X309" s="160"/>
      <c r="Y309" s="160"/>
      <c r="Z309" s="160"/>
      <c r="AA309" s="160"/>
      <c r="AB309" s="160"/>
      <c r="AC309" s="160"/>
      <c r="AD309" s="160"/>
      <c r="AE309" s="160"/>
      <c r="AF309" s="160"/>
      <c r="AG309" s="160"/>
      <c r="AH309" s="160"/>
      <c r="AI309" s="160"/>
      <c r="AJ309" s="160"/>
      <c r="AK309" s="160"/>
      <c r="AL309" s="160"/>
      <c r="AM309" s="160"/>
      <c r="AN309" s="164"/>
      <c r="AO309" s="160"/>
      <c r="AP309" s="160"/>
      <c r="AQ309" s="160"/>
      <c r="AR309" s="160"/>
      <c r="AS309" s="160"/>
      <c r="AT309" s="160"/>
      <c r="AU309" s="160"/>
      <c r="AV309" s="160"/>
      <c r="AW309" s="160"/>
      <c r="AX309" s="160"/>
      <c r="AY309" s="160"/>
      <c r="AZ309" s="160"/>
      <c r="BA309" s="160"/>
      <c r="BB309" s="160"/>
      <c r="BC309" s="160"/>
      <c r="BD309" s="160"/>
      <c r="BE309" s="160"/>
      <c r="BF309" s="160"/>
      <c r="BG309" s="160"/>
      <c r="BH309" s="160"/>
      <c r="BI309" s="160"/>
      <c r="BJ309" s="160"/>
      <c r="BK309" s="160"/>
      <c r="BL309" s="160"/>
      <c r="BM309" s="160"/>
      <c r="BN309" s="160"/>
      <c r="BO309" s="160"/>
      <c r="BP309" s="160"/>
      <c r="BQ309" s="160"/>
      <c r="BR309" s="160"/>
      <c r="BS309" s="160"/>
      <c r="BT309" s="160"/>
      <c r="BU309" s="160"/>
      <c r="BV309" s="160"/>
      <c r="BW309" s="160"/>
      <c r="BX309" s="160"/>
      <c r="BY309" s="160"/>
      <c r="BZ309" s="160"/>
      <c r="CA309" s="160"/>
      <c r="CB309" s="160"/>
      <c r="CC309" s="160"/>
      <c r="CD309" s="160"/>
      <c r="CE309" s="160"/>
      <c r="CF309" s="160"/>
      <c r="CG309" s="160"/>
      <c r="CH309" s="160"/>
      <c r="CI309" s="160"/>
      <c r="CJ309" s="160"/>
      <c r="CK309" s="160"/>
      <c r="CL309" s="160"/>
    </row>
    <row r="310">
      <c r="A310" s="174" t="s">
        <v>805</v>
      </c>
      <c r="B310" s="167" t="s">
        <v>806</v>
      </c>
      <c r="C310" s="168" t="s">
        <v>79</v>
      </c>
      <c r="D310" s="169" t="str">
        <f>IFERROR(VLOOKUP(C310, PIC!A:B, 2, 0), "")</f>
        <v>Yen Tran 2</v>
      </c>
      <c r="E310" s="167" t="s">
        <v>22</v>
      </c>
      <c r="F310" s="16" t="s">
        <v>845</v>
      </c>
      <c r="G310" s="16" t="s">
        <v>846</v>
      </c>
      <c r="H310" s="170">
        <f>IFERROR(
  MINIFS(ATTENDANCE_LOG!$F:$F,
         ATTENDANCE_LOG!$A:$A, C310,
         ATTENDANCE_LOG!$B:$B, E310),
"")</f>
        <v>45645.45833</v>
      </c>
      <c r="I310" s="170">
        <f t="shared" si="2"/>
        <v>45645.45833</v>
      </c>
      <c r="J310" s="11">
        <f>IFERROR(VLOOKUP(F310, LEVEL_HELPER!$A:$B, 2, 0), "")</f>
        <v>2.5</v>
      </c>
      <c r="K310" s="11">
        <f>IFERROR(VLOOKUP(G310, LEVEL_HELPER!$A:$B, 2, 0), "")</f>
        <v>3</v>
      </c>
      <c r="L310" s="171" t="s">
        <v>400</v>
      </c>
      <c r="M310" s="183" t="s">
        <v>149</v>
      </c>
      <c r="N310" s="11">
        <f t="array" ref="N310">IFERROR(
  INDEX($J$2:$J$531,
    MATCH(A310&amp;TEXT(I310,"yyyy-mm-dd"),
          $A$2:$A$531&amp;TEXT($H$2:$H$531,"yyyy-mm-dd"),
          0)),
"")</f>
        <v>2.5</v>
      </c>
      <c r="O310" s="160">
        <f t="shared" si="3"/>
        <v>3</v>
      </c>
      <c r="P310" s="160">
        <f t="shared" ref="P310:Q310" si="320">IF(N310="",0,IF(N310&lt;=2,1,IF(N310&lt;=4,2,IF(N310&lt;=5.5,3,4))))</f>
        <v>2</v>
      </c>
      <c r="Q310" s="160">
        <f t="shared" si="320"/>
        <v>2</v>
      </c>
      <c r="R310" s="160" t="str">
        <f t="shared" si="5"/>
        <v>Progress within level</v>
      </c>
      <c r="S310" s="160">
        <f t="shared" si="6"/>
        <v>1</v>
      </c>
      <c r="T310" s="172" t="s">
        <v>1030</v>
      </c>
      <c r="U310" s="160">
        <f>COUNTIFS(sheet2!$A:$A,A310,sheet2!$E:$E,E310)</f>
        <v>1</v>
      </c>
      <c r="V310" s="160"/>
      <c r="W310" s="160"/>
      <c r="X310" s="160"/>
      <c r="Y310" s="160"/>
      <c r="Z310" s="160"/>
      <c r="AA310" s="160"/>
      <c r="AB310" s="160"/>
      <c r="AC310" s="160"/>
      <c r="AD310" s="160"/>
      <c r="AE310" s="160"/>
      <c r="AF310" s="160"/>
      <c r="AG310" s="160"/>
      <c r="AH310" s="160"/>
      <c r="AI310" s="160"/>
      <c r="AJ310" s="160"/>
      <c r="AK310" s="160"/>
      <c r="AL310" s="160"/>
      <c r="AM310" s="160"/>
      <c r="AN310" s="164"/>
      <c r="AO310" s="160"/>
      <c r="AP310" s="160"/>
      <c r="AQ310" s="160"/>
      <c r="AR310" s="160"/>
      <c r="AS310" s="160"/>
      <c r="AT310" s="160"/>
      <c r="AU310" s="160"/>
      <c r="AV310" s="160"/>
      <c r="AW310" s="160"/>
      <c r="AX310" s="160"/>
      <c r="AY310" s="160"/>
      <c r="AZ310" s="160"/>
      <c r="BA310" s="160"/>
      <c r="BB310" s="160"/>
      <c r="BC310" s="160"/>
      <c r="BD310" s="160"/>
      <c r="BE310" s="160"/>
      <c r="BF310" s="160"/>
      <c r="BG310" s="160"/>
      <c r="BH310" s="160"/>
      <c r="BI310" s="160"/>
      <c r="BJ310" s="160"/>
      <c r="BK310" s="160"/>
      <c r="BL310" s="160"/>
      <c r="BM310" s="160"/>
      <c r="BN310" s="160"/>
      <c r="BO310" s="160"/>
      <c r="BP310" s="160"/>
      <c r="BQ310" s="160"/>
      <c r="BR310" s="160"/>
      <c r="BS310" s="160"/>
      <c r="BT310" s="160"/>
      <c r="BU310" s="160"/>
      <c r="BV310" s="160"/>
      <c r="BW310" s="160"/>
      <c r="BX310" s="160"/>
      <c r="BY310" s="160"/>
      <c r="BZ310" s="160"/>
      <c r="CA310" s="160"/>
      <c r="CB310" s="160"/>
      <c r="CC310" s="160"/>
      <c r="CD310" s="160"/>
      <c r="CE310" s="160"/>
      <c r="CF310" s="160"/>
      <c r="CG310" s="160"/>
      <c r="CH310" s="160"/>
      <c r="CI310" s="160"/>
      <c r="CJ310" s="160"/>
      <c r="CK310" s="160"/>
      <c r="CL310" s="160"/>
    </row>
    <row r="311">
      <c r="A311" s="174" t="s">
        <v>781</v>
      </c>
      <c r="B311" s="11" t="s">
        <v>782</v>
      </c>
      <c r="C311" s="175" t="s">
        <v>79</v>
      </c>
      <c r="D311" s="176" t="str">
        <f>IFERROR(VLOOKUP(C311, PIC!A:B, 2, 0), "")</f>
        <v>Yen Tran 2</v>
      </c>
      <c r="E311" s="11" t="s">
        <v>22</v>
      </c>
      <c r="F311" s="16" t="s">
        <v>845</v>
      </c>
      <c r="G311" s="16" t="s">
        <v>858</v>
      </c>
      <c r="H311" s="170">
        <f>IFERROR(
  MINIFS(ATTENDANCE_LOG!$F:$F,
         ATTENDANCE_LOG!$A:$A, C311,
         ATTENDANCE_LOG!$B:$B, E311),
"")</f>
        <v>45645.45833</v>
      </c>
      <c r="I311" s="170">
        <f t="shared" si="2"/>
        <v>45645.45833</v>
      </c>
      <c r="J311" s="11">
        <f>IFERROR(VLOOKUP(F311, LEVEL_HELPER!$A:$B, 2, 0), "")</f>
        <v>2.5</v>
      </c>
      <c r="K311" s="11">
        <f>IFERROR(VLOOKUP(G311, LEVEL_HELPER!$A:$B, 2, 0), "")</f>
        <v>4.5</v>
      </c>
      <c r="L311" s="171" t="s">
        <v>400</v>
      </c>
      <c r="M311" s="183" t="s">
        <v>149</v>
      </c>
      <c r="N311" s="11">
        <f t="array" ref="N311">IFERROR(
  INDEX($J$2:$J$531,
    MATCH(A311&amp;TEXT(I311,"yyyy-mm-dd"),
          $A$2:$A$531&amp;TEXT($H$2:$H$531,"yyyy-mm-dd"),
          0)),
"")</f>
        <v>2.5</v>
      </c>
      <c r="O311" s="160">
        <f t="shared" si="3"/>
        <v>4.5</v>
      </c>
      <c r="P311" s="160">
        <f t="shared" ref="P311:Q311" si="321">IF(N311="",0,IF(N311&lt;=2,1,IF(N311&lt;=4,2,IF(N311&lt;=5.5,3,4))))</f>
        <v>2</v>
      </c>
      <c r="Q311" s="160">
        <f t="shared" si="321"/>
        <v>3</v>
      </c>
      <c r="R311" s="160" t="str">
        <f t="shared" si="5"/>
        <v>Lv2 → Lv3</v>
      </c>
      <c r="S311" s="160">
        <f t="shared" si="6"/>
        <v>1</v>
      </c>
      <c r="T311" s="177" t="s">
        <v>1031</v>
      </c>
      <c r="U311" s="160">
        <f>COUNTIFS(sheet2!$A:$A,A311,sheet2!$E:$E,E311)</f>
        <v>1</v>
      </c>
      <c r="V311" s="160"/>
      <c r="W311" s="160"/>
      <c r="X311" s="160"/>
      <c r="Y311" s="160"/>
      <c r="Z311" s="160"/>
      <c r="AA311" s="160"/>
      <c r="AB311" s="160"/>
      <c r="AC311" s="160"/>
      <c r="AD311" s="160"/>
      <c r="AE311" s="160"/>
      <c r="AF311" s="160"/>
      <c r="AG311" s="160"/>
      <c r="AH311" s="160"/>
      <c r="AI311" s="160"/>
      <c r="AJ311" s="160"/>
      <c r="AK311" s="160"/>
      <c r="AL311" s="160"/>
      <c r="AM311" s="160"/>
      <c r="AN311" s="164"/>
      <c r="AO311" s="160"/>
      <c r="AP311" s="160"/>
      <c r="AQ311" s="160"/>
      <c r="AR311" s="160"/>
      <c r="AS311" s="160"/>
      <c r="AT311" s="160"/>
      <c r="AU311" s="160"/>
      <c r="AV311" s="160"/>
      <c r="AW311" s="160"/>
      <c r="AX311" s="160"/>
      <c r="AY311" s="160"/>
      <c r="AZ311" s="160"/>
      <c r="BA311" s="160"/>
      <c r="BB311" s="160"/>
      <c r="BC311" s="160"/>
      <c r="BD311" s="160"/>
      <c r="BE311" s="160"/>
      <c r="BF311" s="160"/>
      <c r="BG311" s="160"/>
      <c r="BH311" s="160"/>
      <c r="BI311" s="160"/>
      <c r="BJ311" s="160"/>
      <c r="BK311" s="160"/>
      <c r="BL311" s="160"/>
      <c r="BM311" s="160"/>
      <c r="BN311" s="160"/>
      <c r="BO311" s="160"/>
      <c r="BP311" s="160"/>
      <c r="BQ311" s="160"/>
      <c r="BR311" s="160"/>
      <c r="BS311" s="160"/>
      <c r="BT311" s="160"/>
      <c r="BU311" s="160"/>
      <c r="BV311" s="160"/>
      <c r="BW311" s="160"/>
      <c r="BX311" s="160"/>
      <c r="BY311" s="160"/>
      <c r="BZ311" s="160"/>
      <c r="CA311" s="160"/>
      <c r="CB311" s="160"/>
      <c r="CC311" s="160"/>
      <c r="CD311" s="160"/>
      <c r="CE311" s="160"/>
      <c r="CF311" s="160"/>
      <c r="CG311" s="160"/>
      <c r="CH311" s="160"/>
      <c r="CI311" s="160"/>
      <c r="CJ311" s="160"/>
      <c r="CK311" s="160"/>
      <c r="CL311" s="160"/>
    </row>
    <row r="312">
      <c r="A312" s="174" t="s">
        <v>783</v>
      </c>
      <c r="B312" s="11" t="s">
        <v>784</v>
      </c>
      <c r="C312" s="175" t="s">
        <v>79</v>
      </c>
      <c r="D312" s="176" t="str">
        <f>IFERROR(VLOOKUP(C312, PIC!A:B, 2, 0), "")</f>
        <v>Yen Tran 2</v>
      </c>
      <c r="E312" s="11" t="s">
        <v>22</v>
      </c>
      <c r="F312" s="16" t="s">
        <v>849</v>
      </c>
      <c r="G312" s="16" t="s">
        <v>853</v>
      </c>
      <c r="H312" s="170">
        <f>IFERROR(
  MINIFS(ATTENDANCE_LOG!$F:$F,
         ATTENDANCE_LOG!$A:$A, C312,
         ATTENDANCE_LOG!$B:$B, E312),
"")</f>
        <v>45645.45833</v>
      </c>
      <c r="I312" s="170">
        <f t="shared" si="2"/>
        <v>45645.45833</v>
      </c>
      <c r="J312" s="11">
        <f>IFERROR(VLOOKUP(F312, LEVEL_HELPER!$A:$B, 2, 0), "")</f>
        <v>1</v>
      </c>
      <c r="K312" s="11">
        <f>IFERROR(VLOOKUP(G312, LEVEL_HELPER!$A:$B, 2, 0), "")</f>
        <v>1.5</v>
      </c>
      <c r="L312" s="171" t="s">
        <v>400</v>
      </c>
      <c r="M312" s="183" t="s">
        <v>149</v>
      </c>
      <c r="N312" s="11">
        <f t="array" ref="N312">IFERROR(
  INDEX($J$2:$J$531,
    MATCH(A312&amp;TEXT(I312,"yyyy-mm-dd"),
          $A$2:$A$531&amp;TEXT($H$2:$H$531,"yyyy-mm-dd"),
          0)),
"")</f>
        <v>1</v>
      </c>
      <c r="O312" s="160">
        <f t="shared" si="3"/>
        <v>1.5</v>
      </c>
      <c r="P312" s="160">
        <f t="shared" ref="P312:Q312" si="322">IF(N312="",0,IF(N312&lt;=2,1,IF(N312&lt;=4,2,IF(N312&lt;=5.5,3,4))))</f>
        <v>1</v>
      </c>
      <c r="Q312" s="160">
        <f t="shared" si="322"/>
        <v>1</v>
      </c>
      <c r="R312" s="160" t="str">
        <f t="shared" si="5"/>
        <v>Progress within level</v>
      </c>
      <c r="S312" s="160">
        <f t="shared" si="6"/>
        <v>1</v>
      </c>
      <c r="T312" s="177" t="s">
        <v>1032</v>
      </c>
      <c r="U312" s="160">
        <f>COUNTIFS(sheet2!$A:$A,A312,sheet2!$E:$E,E312)</f>
        <v>1</v>
      </c>
      <c r="V312" s="160"/>
      <c r="W312" s="160"/>
      <c r="X312" s="160"/>
      <c r="Y312" s="160"/>
      <c r="Z312" s="160"/>
      <c r="AA312" s="160"/>
      <c r="AB312" s="160"/>
      <c r="AC312" s="160"/>
      <c r="AD312" s="160"/>
      <c r="AE312" s="160"/>
      <c r="AF312" s="160"/>
      <c r="AG312" s="160"/>
      <c r="AH312" s="160"/>
      <c r="AI312" s="160"/>
      <c r="AJ312" s="160"/>
      <c r="AK312" s="160"/>
      <c r="AL312" s="160"/>
      <c r="AM312" s="160"/>
      <c r="AN312" s="164"/>
      <c r="AO312" s="160"/>
      <c r="AP312" s="160"/>
      <c r="AQ312" s="160"/>
      <c r="AR312" s="160"/>
      <c r="AS312" s="160"/>
      <c r="AT312" s="160"/>
      <c r="AU312" s="160"/>
      <c r="AV312" s="160"/>
      <c r="AW312" s="160"/>
      <c r="AX312" s="160"/>
      <c r="AY312" s="160"/>
      <c r="AZ312" s="160"/>
      <c r="BA312" s="160"/>
      <c r="BB312" s="160"/>
      <c r="BC312" s="160"/>
      <c r="BD312" s="160"/>
      <c r="BE312" s="160"/>
      <c r="BF312" s="160"/>
      <c r="BG312" s="160"/>
      <c r="BH312" s="160"/>
      <c r="BI312" s="160"/>
      <c r="BJ312" s="160"/>
      <c r="BK312" s="160"/>
      <c r="BL312" s="160"/>
      <c r="BM312" s="160"/>
      <c r="BN312" s="160"/>
      <c r="BO312" s="160"/>
      <c r="BP312" s="160"/>
      <c r="BQ312" s="160"/>
      <c r="BR312" s="160"/>
      <c r="BS312" s="160"/>
      <c r="BT312" s="160"/>
      <c r="BU312" s="160"/>
      <c r="BV312" s="160"/>
      <c r="BW312" s="160"/>
      <c r="BX312" s="160"/>
      <c r="BY312" s="160"/>
      <c r="BZ312" s="160"/>
      <c r="CA312" s="160"/>
      <c r="CB312" s="160"/>
      <c r="CC312" s="160"/>
      <c r="CD312" s="160"/>
      <c r="CE312" s="160"/>
      <c r="CF312" s="160"/>
      <c r="CG312" s="160"/>
      <c r="CH312" s="160"/>
      <c r="CI312" s="160"/>
      <c r="CJ312" s="160"/>
      <c r="CK312" s="160"/>
      <c r="CL312" s="160"/>
    </row>
    <row r="313">
      <c r="A313" s="174" t="s">
        <v>785</v>
      </c>
      <c r="B313" s="11" t="s">
        <v>786</v>
      </c>
      <c r="C313" s="175" t="s">
        <v>79</v>
      </c>
      <c r="D313" s="176" t="str">
        <f>IFERROR(VLOOKUP(C313, PIC!A:B, 2, 0), "")</f>
        <v>Yen Tran 2</v>
      </c>
      <c r="E313" s="11" t="s">
        <v>22</v>
      </c>
      <c r="F313" s="16" t="s">
        <v>849</v>
      </c>
      <c r="G313" s="16" t="s">
        <v>861</v>
      </c>
      <c r="H313" s="170">
        <f>IFERROR(
  MINIFS(ATTENDANCE_LOG!$F:$F,
         ATTENDANCE_LOG!$A:$A, C313,
         ATTENDANCE_LOG!$B:$B, E313),
"")</f>
        <v>45645.45833</v>
      </c>
      <c r="I313" s="170">
        <f t="shared" si="2"/>
        <v>45645.45833</v>
      </c>
      <c r="J313" s="11">
        <f>IFERROR(VLOOKUP(F313, LEVEL_HELPER!$A:$B, 2, 0), "")</f>
        <v>1</v>
      </c>
      <c r="K313" s="11">
        <f>IFERROR(VLOOKUP(G313, LEVEL_HELPER!$A:$B, 2, 0), "")</f>
        <v>3.5</v>
      </c>
      <c r="L313" s="171" t="s">
        <v>400</v>
      </c>
      <c r="M313" s="183" t="s">
        <v>149</v>
      </c>
      <c r="N313" s="11">
        <f t="array" ref="N313">IFERROR(
  INDEX($J$2:$J$531,
    MATCH(A313&amp;TEXT(I313,"yyyy-mm-dd"),
          $A$2:$A$531&amp;TEXT($H$2:$H$531,"yyyy-mm-dd"),
          0)),
"")</f>
        <v>1</v>
      </c>
      <c r="O313" s="160">
        <f t="shared" si="3"/>
        <v>3.5</v>
      </c>
      <c r="P313" s="160">
        <f t="shared" ref="P313:Q313" si="323">IF(N313="",0,IF(N313&lt;=2,1,IF(N313&lt;=4,2,IF(N313&lt;=5.5,3,4))))</f>
        <v>1</v>
      </c>
      <c r="Q313" s="160">
        <f t="shared" si="323"/>
        <v>2</v>
      </c>
      <c r="R313" s="160" t="str">
        <f t="shared" si="5"/>
        <v>Lv1 → Lv2</v>
      </c>
      <c r="S313" s="160">
        <f t="shared" si="6"/>
        <v>1</v>
      </c>
      <c r="T313" s="177" t="s">
        <v>1033</v>
      </c>
      <c r="U313" s="160">
        <f>COUNTIFS(sheet2!$A:$A,A313,sheet2!$E:$E,E313)</f>
        <v>1</v>
      </c>
      <c r="V313" s="160"/>
      <c r="W313" s="160"/>
      <c r="X313" s="160"/>
      <c r="Y313" s="160"/>
      <c r="Z313" s="160"/>
      <c r="AA313" s="160"/>
      <c r="AB313" s="160"/>
      <c r="AC313" s="160"/>
      <c r="AD313" s="160"/>
      <c r="AE313" s="160"/>
      <c r="AF313" s="160"/>
      <c r="AG313" s="160"/>
      <c r="AH313" s="160"/>
      <c r="AI313" s="160"/>
      <c r="AJ313" s="160"/>
      <c r="AK313" s="160"/>
      <c r="AL313" s="160"/>
      <c r="AM313" s="160"/>
      <c r="AN313" s="164"/>
      <c r="AO313" s="160"/>
      <c r="AP313" s="160"/>
      <c r="AQ313" s="160"/>
      <c r="AR313" s="160"/>
      <c r="AS313" s="160"/>
      <c r="AT313" s="160"/>
      <c r="AU313" s="160"/>
      <c r="AV313" s="160"/>
      <c r="AW313" s="160"/>
      <c r="AX313" s="160"/>
      <c r="AY313" s="160"/>
      <c r="AZ313" s="160"/>
      <c r="BA313" s="160"/>
      <c r="BB313" s="160"/>
      <c r="BC313" s="160"/>
      <c r="BD313" s="160"/>
      <c r="BE313" s="160"/>
      <c r="BF313" s="160"/>
      <c r="BG313" s="160"/>
      <c r="BH313" s="160"/>
      <c r="BI313" s="160"/>
      <c r="BJ313" s="160"/>
      <c r="BK313" s="160"/>
      <c r="BL313" s="160"/>
      <c r="BM313" s="160"/>
      <c r="BN313" s="160"/>
      <c r="BO313" s="160"/>
      <c r="BP313" s="160"/>
      <c r="BQ313" s="160"/>
      <c r="BR313" s="160"/>
      <c r="BS313" s="160"/>
      <c r="BT313" s="160"/>
      <c r="BU313" s="160"/>
      <c r="BV313" s="160"/>
      <c r="BW313" s="160"/>
      <c r="BX313" s="160"/>
      <c r="BY313" s="160"/>
      <c r="BZ313" s="160"/>
      <c r="CA313" s="160"/>
      <c r="CB313" s="160"/>
      <c r="CC313" s="160"/>
      <c r="CD313" s="160"/>
      <c r="CE313" s="160"/>
      <c r="CF313" s="160"/>
      <c r="CG313" s="160"/>
      <c r="CH313" s="160"/>
      <c r="CI313" s="160"/>
      <c r="CJ313" s="160"/>
      <c r="CK313" s="160"/>
      <c r="CL313" s="160"/>
    </row>
    <row r="314">
      <c r="A314" s="174" t="s">
        <v>787</v>
      </c>
      <c r="B314" s="11" t="s">
        <v>788</v>
      </c>
      <c r="C314" s="175" t="s">
        <v>79</v>
      </c>
      <c r="D314" s="176" t="str">
        <f>IFERROR(VLOOKUP(C314, PIC!A:B, 2, 0), "")</f>
        <v>Yen Tran 2</v>
      </c>
      <c r="E314" s="11" t="s">
        <v>22</v>
      </c>
      <c r="F314" s="16" t="s">
        <v>849</v>
      </c>
      <c r="G314" s="16" t="s">
        <v>849</v>
      </c>
      <c r="H314" s="170">
        <f>IFERROR(
  MINIFS(ATTENDANCE_LOG!$F:$F,
         ATTENDANCE_LOG!$A:$A, C314,
         ATTENDANCE_LOG!$B:$B, E314),
"")</f>
        <v>45645.45833</v>
      </c>
      <c r="I314" s="170">
        <f t="shared" si="2"/>
        <v>45645.45833</v>
      </c>
      <c r="J314" s="11">
        <f>IFERROR(VLOOKUP(F314, LEVEL_HELPER!$A:$B, 2, 0), "")</f>
        <v>1</v>
      </c>
      <c r="K314" s="11">
        <f>IFERROR(VLOOKUP(G314, LEVEL_HELPER!$A:$B, 2, 0), "")</f>
        <v>1</v>
      </c>
      <c r="L314" s="171" t="s">
        <v>400</v>
      </c>
      <c r="M314" s="183" t="s">
        <v>149</v>
      </c>
      <c r="N314" s="11">
        <f t="array" ref="N314">IFERROR(
  INDEX($J$2:$J$531,
    MATCH(A314&amp;TEXT(I314,"yyyy-mm-dd"),
          $A$2:$A$531&amp;TEXT($H$2:$H$531,"yyyy-mm-dd"),
          0)),
"")</f>
        <v>1</v>
      </c>
      <c r="O314" s="160">
        <f t="shared" si="3"/>
        <v>1</v>
      </c>
      <c r="P314" s="160">
        <f t="shared" ref="P314:Q314" si="324">IF(N314="",0,IF(N314&lt;=2,1,IF(N314&lt;=4,2,IF(N314&lt;=5.5,3,4))))</f>
        <v>1</v>
      </c>
      <c r="Q314" s="160">
        <f t="shared" si="324"/>
        <v>1</v>
      </c>
      <c r="R314" s="160" t="str">
        <f t="shared" si="5"/>
        <v>No Progress</v>
      </c>
      <c r="S314" s="160">
        <f t="shared" si="6"/>
        <v>1</v>
      </c>
      <c r="T314" s="177" t="s">
        <v>1034</v>
      </c>
      <c r="U314" s="160">
        <f>COUNTIFS(sheet2!$A:$A,A314,sheet2!$E:$E,E314)</f>
        <v>1</v>
      </c>
      <c r="V314" s="160"/>
      <c r="W314" s="160"/>
      <c r="X314" s="160"/>
      <c r="Y314" s="160"/>
      <c r="Z314" s="160"/>
      <c r="AA314" s="160"/>
      <c r="AB314" s="160"/>
      <c r="AC314" s="160"/>
      <c r="AD314" s="160"/>
      <c r="AE314" s="160"/>
      <c r="AF314" s="160"/>
      <c r="AG314" s="160"/>
      <c r="AH314" s="160"/>
      <c r="AI314" s="160"/>
      <c r="AJ314" s="160"/>
      <c r="AK314" s="160"/>
      <c r="AL314" s="160"/>
      <c r="AM314" s="160"/>
      <c r="AN314" s="164"/>
      <c r="AO314" s="160"/>
      <c r="AP314" s="160"/>
      <c r="AQ314" s="160"/>
      <c r="AR314" s="160"/>
      <c r="AS314" s="160"/>
      <c r="AT314" s="160"/>
      <c r="AU314" s="160"/>
      <c r="AV314" s="160"/>
      <c r="AW314" s="160"/>
      <c r="AX314" s="160"/>
      <c r="AY314" s="160"/>
      <c r="AZ314" s="160"/>
      <c r="BA314" s="160"/>
      <c r="BB314" s="160"/>
      <c r="BC314" s="160"/>
      <c r="BD314" s="160"/>
      <c r="BE314" s="160"/>
      <c r="BF314" s="160"/>
      <c r="BG314" s="160"/>
      <c r="BH314" s="160"/>
      <c r="BI314" s="160"/>
      <c r="BJ314" s="160"/>
      <c r="BK314" s="160"/>
      <c r="BL314" s="160"/>
      <c r="BM314" s="160"/>
      <c r="BN314" s="160"/>
      <c r="BO314" s="160"/>
      <c r="BP314" s="160"/>
      <c r="BQ314" s="160"/>
      <c r="BR314" s="160"/>
      <c r="BS314" s="160"/>
      <c r="BT314" s="160"/>
      <c r="BU314" s="160"/>
      <c r="BV314" s="160"/>
      <c r="BW314" s="160"/>
      <c r="BX314" s="160"/>
      <c r="BY314" s="160"/>
      <c r="BZ314" s="160"/>
      <c r="CA314" s="160"/>
      <c r="CB314" s="160"/>
      <c r="CC314" s="160"/>
      <c r="CD314" s="160"/>
      <c r="CE314" s="160"/>
      <c r="CF314" s="160"/>
      <c r="CG314" s="160"/>
      <c r="CH314" s="160"/>
      <c r="CI314" s="160"/>
      <c r="CJ314" s="160"/>
      <c r="CK314" s="160"/>
      <c r="CL314" s="160"/>
    </row>
    <row r="315">
      <c r="A315" s="174" t="s">
        <v>789</v>
      </c>
      <c r="B315" s="11" t="s">
        <v>790</v>
      </c>
      <c r="C315" s="175" t="s">
        <v>79</v>
      </c>
      <c r="D315" s="176" t="str">
        <f>IFERROR(VLOOKUP(C315, PIC!A:B, 2, 0), "")</f>
        <v>Yen Tran 2</v>
      </c>
      <c r="E315" s="11" t="s">
        <v>22</v>
      </c>
      <c r="F315" s="16" t="s">
        <v>845</v>
      </c>
      <c r="G315" s="16" t="s">
        <v>853</v>
      </c>
      <c r="H315" s="170">
        <f>IFERROR(
  MINIFS(ATTENDANCE_LOG!$F:$F,
         ATTENDANCE_LOG!$A:$A, C315,
         ATTENDANCE_LOG!$B:$B, E315),
"")</f>
        <v>45645.45833</v>
      </c>
      <c r="I315" s="170">
        <f t="shared" si="2"/>
        <v>45645.45833</v>
      </c>
      <c r="J315" s="11">
        <f>IFERROR(VLOOKUP(F315, LEVEL_HELPER!$A:$B, 2, 0), "")</f>
        <v>2.5</v>
      </c>
      <c r="K315" s="11">
        <f>IFERROR(VLOOKUP(G315, LEVEL_HELPER!$A:$B, 2, 0), "")</f>
        <v>1.5</v>
      </c>
      <c r="L315" s="183" t="s">
        <v>847</v>
      </c>
      <c r="M315" s="183" t="s">
        <v>149</v>
      </c>
      <c r="N315" s="11">
        <f t="array" ref="N315">IFERROR(
  INDEX($J$2:$J$531,
    MATCH(A315&amp;TEXT(I315,"yyyy-mm-dd"),
          $A$2:$A$531&amp;TEXT($H$2:$H$531,"yyyy-mm-dd"),
          0)),
"")</f>
        <v>2.5</v>
      </c>
      <c r="O315" s="160">
        <f t="shared" si="3"/>
        <v>1.5</v>
      </c>
      <c r="P315" s="160">
        <f t="shared" ref="P315:Q315" si="325">IF(N315="",0,IF(N315&lt;=2,1,IF(N315&lt;=4,2,IF(N315&lt;=5.5,3,4))))</f>
        <v>2</v>
      </c>
      <c r="Q315" s="160">
        <f t="shared" si="325"/>
        <v>1</v>
      </c>
      <c r="R315" s="160" t="str">
        <f t="shared" si="5"/>
        <v>Regressed</v>
      </c>
      <c r="S315" s="160">
        <f t="shared" si="6"/>
        <v>1</v>
      </c>
      <c r="T315" s="177" t="s">
        <v>1035</v>
      </c>
      <c r="U315" s="160">
        <f>COUNTIFS(sheet2!$A:$A,A315,sheet2!$E:$E,E315)</f>
        <v>1</v>
      </c>
      <c r="V315" s="160"/>
      <c r="W315" s="160"/>
      <c r="X315" s="160"/>
      <c r="Y315" s="160"/>
      <c r="Z315" s="160"/>
      <c r="AA315" s="160"/>
      <c r="AB315" s="160"/>
      <c r="AC315" s="160"/>
      <c r="AD315" s="160"/>
      <c r="AE315" s="160"/>
      <c r="AF315" s="160"/>
      <c r="AG315" s="160"/>
      <c r="AH315" s="160"/>
      <c r="AI315" s="160"/>
      <c r="AJ315" s="160"/>
      <c r="AK315" s="160"/>
      <c r="AL315" s="160"/>
      <c r="AM315" s="160"/>
      <c r="AN315" s="164"/>
      <c r="AO315" s="160"/>
      <c r="AP315" s="160"/>
      <c r="AQ315" s="160"/>
      <c r="AR315" s="160"/>
      <c r="AS315" s="160"/>
      <c r="AT315" s="160"/>
      <c r="AU315" s="160"/>
      <c r="AV315" s="160"/>
      <c r="AW315" s="160"/>
      <c r="AX315" s="160"/>
      <c r="AY315" s="160"/>
      <c r="AZ315" s="160"/>
      <c r="BA315" s="160"/>
      <c r="BB315" s="160"/>
      <c r="BC315" s="160"/>
      <c r="BD315" s="160"/>
      <c r="BE315" s="160"/>
      <c r="BF315" s="160"/>
      <c r="BG315" s="160"/>
      <c r="BH315" s="160"/>
      <c r="BI315" s="160"/>
      <c r="BJ315" s="160"/>
      <c r="BK315" s="160"/>
      <c r="BL315" s="160"/>
      <c r="BM315" s="160"/>
      <c r="BN315" s="160"/>
      <c r="BO315" s="160"/>
      <c r="BP315" s="160"/>
      <c r="BQ315" s="160"/>
      <c r="BR315" s="160"/>
      <c r="BS315" s="160"/>
      <c r="BT315" s="160"/>
      <c r="BU315" s="160"/>
      <c r="BV315" s="160"/>
      <c r="BW315" s="160"/>
      <c r="BX315" s="160"/>
      <c r="BY315" s="160"/>
      <c r="BZ315" s="160"/>
      <c r="CA315" s="160"/>
      <c r="CB315" s="160"/>
      <c r="CC315" s="160"/>
      <c r="CD315" s="160"/>
      <c r="CE315" s="160"/>
      <c r="CF315" s="160"/>
      <c r="CG315" s="160"/>
      <c r="CH315" s="160"/>
      <c r="CI315" s="160"/>
      <c r="CJ315" s="160"/>
      <c r="CK315" s="160"/>
      <c r="CL315" s="160"/>
    </row>
    <row r="316">
      <c r="A316" s="174" t="s">
        <v>809</v>
      </c>
      <c r="B316" s="167" t="s">
        <v>810</v>
      </c>
      <c r="C316" s="168" t="s">
        <v>80</v>
      </c>
      <c r="D316" s="169" t="str">
        <f>IFERROR(VLOOKUP(C316, PIC!A:B, 2, 0), "")</f>
        <v>Yen Tran 3</v>
      </c>
      <c r="E316" s="167" t="s">
        <v>22</v>
      </c>
      <c r="F316" s="16" t="s">
        <v>845</v>
      </c>
      <c r="G316" s="11"/>
      <c r="H316" s="170">
        <f>IFERROR(
  MINIFS(ATTENDANCE_LOG!$F:$F,
         ATTENDANCE_LOG!$A:$A, C316,
         ATTENDANCE_LOG!$B:$B, E316),
"")</f>
        <v>45646.41667</v>
      </c>
      <c r="I316" s="170">
        <f t="shared" si="2"/>
        <v>45646.41667</v>
      </c>
      <c r="J316" s="11">
        <f>IFERROR(VLOOKUP(F316, LEVEL_HELPER!$A:$B, 2, 0), "")</f>
        <v>2.5</v>
      </c>
      <c r="K316" s="11" t="str">
        <f>IFERROR(VLOOKUP(G316, LEVEL_HELPER!$A:$B, 2, 0), "")</f>
        <v/>
      </c>
      <c r="L316" s="171" t="s">
        <v>869</v>
      </c>
      <c r="M316" s="183" t="s">
        <v>149</v>
      </c>
      <c r="N316" s="11">
        <f t="array" ref="N316">IFERROR(
  INDEX($J$2:$J$531,
    MATCH(A316&amp;TEXT(I316,"yyyy-mm-dd"),
          $A$2:$A$531&amp;TEXT($H$2:$H$531,"yyyy-mm-dd"),
          0)),
"")</f>
        <v>2.5</v>
      </c>
      <c r="O316" s="160">
        <f t="shared" si="3"/>
        <v>0</v>
      </c>
      <c r="P316" s="160">
        <f t="shared" ref="P316:Q316" si="326">IF(N316="",0,IF(N316&lt;=2,1,IF(N316&lt;=4,2,IF(N316&lt;=5.5,3,4))))</f>
        <v>2</v>
      </c>
      <c r="Q316" s="160">
        <f t="shared" si="326"/>
        <v>1</v>
      </c>
      <c r="R316" s="160" t="str">
        <f t="shared" si="5"/>
        <v>Not tested yet</v>
      </c>
      <c r="S316" s="160">
        <f t="shared" si="6"/>
        <v>1</v>
      </c>
      <c r="T316" s="172" t="s">
        <v>1036</v>
      </c>
      <c r="U316" s="160">
        <f>COUNTIFS(sheet2!$A:$A,A316,sheet2!$E:$E,E316)</f>
        <v>1</v>
      </c>
      <c r="V316" s="160"/>
      <c r="W316" s="160"/>
      <c r="X316" s="160"/>
      <c r="Y316" s="160"/>
      <c r="Z316" s="160"/>
      <c r="AA316" s="160"/>
      <c r="AB316" s="160"/>
      <c r="AC316" s="160"/>
      <c r="AD316" s="160"/>
      <c r="AE316" s="160"/>
      <c r="AF316" s="160"/>
      <c r="AG316" s="160"/>
      <c r="AH316" s="160"/>
      <c r="AI316" s="160"/>
      <c r="AJ316" s="160"/>
      <c r="AK316" s="160"/>
      <c r="AL316" s="160"/>
      <c r="AM316" s="160"/>
      <c r="AN316" s="164"/>
      <c r="AO316" s="160"/>
      <c r="AP316" s="160"/>
      <c r="AQ316" s="160"/>
      <c r="AR316" s="160"/>
      <c r="AS316" s="160"/>
      <c r="AT316" s="160"/>
      <c r="AU316" s="160"/>
      <c r="AV316" s="160"/>
      <c r="AW316" s="160"/>
      <c r="AX316" s="160"/>
      <c r="AY316" s="160"/>
      <c r="AZ316" s="160"/>
      <c r="BA316" s="160"/>
      <c r="BB316" s="160"/>
      <c r="BC316" s="160"/>
      <c r="BD316" s="160"/>
      <c r="BE316" s="160"/>
      <c r="BF316" s="160"/>
      <c r="BG316" s="160"/>
      <c r="BH316" s="160"/>
      <c r="BI316" s="160"/>
      <c r="BJ316" s="160"/>
      <c r="BK316" s="160"/>
      <c r="BL316" s="160"/>
      <c r="BM316" s="160"/>
      <c r="BN316" s="160"/>
      <c r="BO316" s="160"/>
      <c r="BP316" s="160"/>
      <c r="BQ316" s="160"/>
      <c r="BR316" s="160"/>
      <c r="BS316" s="160"/>
      <c r="BT316" s="160"/>
      <c r="BU316" s="160"/>
      <c r="BV316" s="160"/>
      <c r="BW316" s="160"/>
      <c r="BX316" s="160"/>
      <c r="BY316" s="160"/>
      <c r="BZ316" s="160"/>
      <c r="CA316" s="160"/>
      <c r="CB316" s="160"/>
      <c r="CC316" s="160"/>
      <c r="CD316" s="160"/>
      <c r="CE316" s="160"/>
      <c r="CF316" s="160"/>
      <c r="CG316" s="160"/>
      <c r="CH316" s="160"/>
      <c r="CI316" s="160"/>
      <c r="CJ316" s="160"/>
      <c r="CK316" s="160"/>
      <c r="CL316" s="160"/>
    </row>
    <row r="317">
      <c r="A317" s="174" t="s">
        <v>813</v>
      </c>
      <c r="B317" s="11" t="s">
        <v>814</v>
      </c>
      <c r="C317" s="175" t="s">
        <v>80</v>
      </c>
      <c r="D317" s="176" t="str">
        <f>IFERROR(VLOOKUP(C317, PIC!A:B, 2, 0), "")</f>
        <v>Yen Tran 3</v>
      </c>
      <c r="E317" s="11" t="s">
        <v>22</v>
      </c>
      <c r="F317" s="16" t="s">
        <v>849</v>
      </c>
      <c r="G317" s="11"/>
      <c r="H317" s="170">
        <f>IFERROR(
  MINIFS(ATTENDANCE_LOG!$F:$F,
         ATTENDANCE_LOG!$A:$A, C317,
         ATTENDANCE_LOG!$B:$B, E317),
"")</f>
        <v>45646.41667</v>
      </c>
      <c r="I317" s="170">
        <f t="shared" si="2"/>
        <v>45646.41667</v>
      </c>
      <c r="J317" s="11">
        <f>IFERROR(VLOOKUP(F317, LEVEL_HELPER!$A:$B, 2, 0), "")</f>
        <v>1</v>
      </c>
      <c r="K317" s="11" t="str">
        <f>IFERROR(VLOOKUP(G317, LEVEL_HELPER!$A:$B, 2, 0), "")</f>
        <v/>
      </c>
      <c r="L317" s="171" t="s">
        <v>847</v>
      </c>
      <c r="M317" s="183" t="s">
        <v>149</v>
      </c>
      <c r="N317" s="11">
        <f t="array" ref="N317">IFERROR(
  INDEX($J$2:$J$531,
    MATCH(A317&amp;TEXT(I317,"yyyy-mm-dd"),
          $A$2:$A$531&amp;TEXT($H$2:$H$531,"yyyy-mm-dd"),
          0)),
"")</f>
        <v>1</v>
      </c>
      <c r="O317" s="160">
        <f t="shared" si="3"/>
        <v>0</v>
      </c>
      <c r="P317" s="160">
        <f t="shared" ref="P317:Q317" si="327">IF(N317="",0,IF(N317&lt;=2,1,IF(N317&lt;=4,2,IF(N317&lt;=5.5,3,4))))</f>
        <v>1</v>
      </c>
      <c r="Q317" s="160">
        <f t="shared" si="327"/>
        <v>1</v>
      </c>
      <c r="R317" s="160" t="str">
        <f t="shared" si="5"/>
        <v>Not tested yet</v>
      </c>
      <c r="S317" s="160">
        <f t="shared" si="6"/>
        <v>1</v>
      </c>
      <c r="T317" s="198"/>
      <c r="U317" s="160">
        <f>COUNTIFS(sheet2!$A:$A,A317,sheet2!$E:$E,E317)</f>
        <v>1</v>
      </c>
      <c r="V317" s="160"/>
      <c r="W317" s="160"/>
      <c r="X317" s="160"/>
      <c r="Y317" s="160"/>
      <c r="Z317" s="160"/>
      <c r="AA317" s="160"/>
      <c r="AB317" s="160"/>
      <c r="AC317" s="160"/>
      <c r="AD317" s="160"/>
      <c r="AE317" s="160"/>
      <c r="AF317" s="160"/>
      <c r="AG317" s="160"/>
      <c r="AH317" s="160"/>
      <c r="AI317" s="160"/>
      <c r="AJ317" s="160"/>
      <c r="AK317" s="160"/>
      <c r="AL317" s="160"/>
      <c r="AM317" s="160"/>
      <c r="AN317" s="164"/>
      <c r="AO317" s="160"/>
      <c r="AP317" s="160"/>
      <c r="AQ317" s="160"/>
      <c r="AR317" s="160"/>
      <c r="AS317" s="160"/>
      <c r="AT317" s="160"/>
      <c r="AU317" s="160"/>
      <c r="AV317" s="160"/>
      <c r="AW317" s="160"/>
      <c r="AX317" s="160"/>
      <c r="AY317" s="160"/>
      <c r="AZ317" s="160"/>
      <c r="BA317" s="160"/>
      <c r="BB317" s="160"/>
      <c r="BC317" s="160"/>
      <c r="BD317" s="160"/>
      <c r="BE317" s="160"/>
      <c r="BF317" s="160"/>
      <c r="BG317" s="160"/>
      <c r="BH317" s="160"/>
      <c r="BI317" s="160"/>
      <c r="BJ317" s="160"/>
      <c r="BK317" s="160"/>
      <c r="BL317" s="160"/>
      <c r="BM317" s="160"/>
      <c r="BN317" s="160"/>
      <c r="BO317" s="160"/>
      <c r="BP317" s="160"/>
      <c r="BQ317" s="160"/>
      <c r="BR317" s="160"/>
      <c r="BS317" s="160"/>
      <c r="BT317" s="160"/>
      <c r="BU317" s="160"/>
      <c r="BV317" s="160"/>
      <c r="BW317" s="160"/>
      <c r="BX317" s="160"/>
      <c r="BY317" s="160"/>
      <c r="BZ317" s="160"/>
      <c r="CA317" s="160"/>
      <c r="CB317" s="160"/>
      <c r="CC317" s="160"/>
      <c r="CD317" s="160"/>
      <c r="CE317" s="160"/>
      <c r="CF317" s="160"/>
      <c r="CG317" s="160"/>
      <c r="CH317" s="160"/>
      <c r="CI317" s="160"/>
      <c r="CJ317" s="160"/>
      <c r="CK317" s="160"/>
      <c r="CL317" s="160"/>
    </row>
    <row r="318">
      <c r="A318" s="174" t="s">
        <v>815</v>
      </c>
      <c r="B318" s="11" t="s">
        <v>816</v>
      </c>
      <c r="C318" s="175" t="s">
        <v>80</v>
      </c>
      <c r="D318" s="176" t="str">
        <f>IFERROR(VLOOKUP(C318, PIC!A:B, 2, 0), "")</f>
        <v>Yen Tran 3</v>
      </c>
      <c r="E318" s="11" t="s">
        <v>22</v>
      </c>
      <c r="F318" s="16" t="s">
        <v>849</v>
      </c>
      <c r="G318" s="11"/>
      <c r="H318" s="170">
        <f>IFERROR(
  MINIFS(ATTENDANCE_LOG!$F:$F,
         ATTENDANCE_LOG!$A:$A, C318,
         ATTENDANCE_LOG!$B:$B, E318),
"")</f>
        <v>45646.41667</v>
      </c>
      <c r="I318" s="170">
        <f t="shared" si="2"/>
        <v>45646.41667</v>
      </c>
      <c r="J318" s="11">
        <f>IFERROR(VLOOKUP(F318, LEVEL_HELPER!$A:$B, 2, 0), "")</f>
        <v>1</v>
      </c>
      <c r="K318" s="11" t="str">
        <f>IFERROR(VLOOKUP(G318, LEVEL_HELPER!$A:$B, 2, 0), "")</f>
        <v/>
      </c>
      <c r="L318" s="171" t="s">
        <v>400</v>
      </c>
      <c r="M318" s="183" t="s">
        <v>149</v>
      </c>
      <c r="N318" s="11">
        <f t="array" ref="N318">IFERROR(
  INDEX($J$2:$J$531,
    MATCH(A318&amp;TEXT(I318,"yyyy-mm-dd"),
          $A$2:$A$531&amp;TEXT($H$2:$H$531,"yyyy-mm-dd"),
          0)),
"")</f>
        <v>1</v>
      </c>
      <c r="O318" s="160">
        <f t="shared" si="3"/>
        <v>0</v>
      </c>
      <c r="P318" s="160">
        <f t="shared" ref="P318:Q318" si="328">IF(N318="",0,IF(N318&lt;=2,1,IF(N318&lt;=4,2,IF(N318&lt;=5.5,3,4))))</f>
        <v>1</v>
      </c>
      <c r="Q318" s="160">
        <f t="shared" si="328"/>
        <v>1</v>
      </c>
      <c r="R318" s="160" t="str">
        <f t="shared" si="5"/>
        <v>Not tested yet</v>
      </c>
      <c r="S318" s="160">
        <f t="shared" si="6"/>
        <v>1</v>
      </c>
      <c r="T318" s="177" t="s">
        <v>1037</v>
      </c>
      <c r="U318" s="160">
        <f>COUNTIFS(sheet2!$A:$A,A318,sheet2!$E:$E,E318)</f>
        <v>1</v>
      </c>
      <c r="V318" s="160"/>
      <c r="W318" s="160"/>
      <c r="X318" s="160"/>
      <c r="Y318" s="160"/>
      <c r="Z318" s="160"/>
      <c r="AA318" s="160"/>
      <c r="AB318" s="160"/>
      <c r="AC318" s="160"/>
      <c r="AD318" s="160"/>
      <c r="AE318" s="160"/>
      <c r="AF318" s="160"/>
      <c r="AG318" s="160"/>
      <c r="AH318" s="160"/>
      <c r="AI318" s="160"/>
      <c r="AJ318" s="160"/>
      <c r="AK318" s="160"/>
      <c r="AL318" s="160"/>
      <c r="AM318" s="160"/>
      <c r="AN318" s="164"/>
      <c r="AO318" s="160"/>
      <c r="AP318" s="160"/>
      <c r="AQ318" s="160"/>
      <c r="AR318" s="160"/>
      <c r="AS318" s="160"/>
      <c r="AT318" s="160"/>
      <c r="AU318" s="160"/>
      <c r="AV318" s="160"/>
      <c r="AW318" s="160"/>
      <c r="AX318" s="160"/>
      <c r="AY318" s="160"/>
      <c r="AZ318" s="160"/>
      <c r="BA318" s="160"/>
      <c r="BB318" s="160"/>
      <c r="BC318" s="160"/>
      <c r="BD318" s="160"/>
      <c r="BE318" s="160"/>
      <c r="BF318" s="160"/>
      <c r="BG318" s="160"/>
      <c r="BH318" s="160"/>
      <c r="BI318" s="160"/>
      <c r="BJ318" s="160"/>
      <c r="BK318" s="160"/>
      <c r="BL318" s="160"/>
      <c r="BM318" s="160"/>
      <c r="BN318" s="160"/>
      <c r="BO318" s="160"/>
      <c r="BP318" s="160"/>
      <c r="BQ318" s="160"/>
      <c r="BR318" s="160"/>
      <c r="BS318" s="160"/>
      <c r="BT318" s="160"/>
      <c r="BU318" s="160"/>
      <c r="BV318" s="160"/>
      <c r="BW318" s="160"/>
      <c r="BX318" s="160"/>
      <c r="BY318" s="160"/>
      <c r="BZ318" s="160"/>
      <c r="CA318" s="160"/>
      <c r="CB318" s="160"/>
      <c r="CC318" s="160"/>
      <c r="CD318" s="160"/>
      <c r="CE318" s="160"/>
      <c r="CF318" s="160"/>
      <c r="CG318" s="160"/>
      <c r="CH318" s="160"/>
      <c r="CI318" s="160"/>
      <c r="CJ318" s="160"/>
      <c r="CK318" s="160"/>
      <c r="CL318" s="160"/>
    </row>
    <row r="319">
      <c r="A319" s="174" t="s">
        <v>807</v>
      </c>
      <c r="B319" s="11" t="s">
        <v>808</v>
      </c>
      <c r="C319" s="175" t="s">
        <v>80</v>
      </c>
      <c r="D319" s="176" t="str">
        <f>IFERROR(VLOOKUP(C319, PIC!A:B, 2, 0), "")</f>
        <v>Yen Tran 3</v>
      </c>
      <c r="E319" s="11" t="s">
        <v>22</v>
      </c>
      <c r="F319" s="16" t="s">
        <v>845</v>
      </c>
      <c r="G319" s="11"/>
      <c r="H319" s="170">
        <f>IFERROR(
  MINIFS(ATTENDANCE_LOG!$F:$F,
         ATTENDANCE_LOG!$A:$A, C319,
         ATTENDANCE_LOG!$B:$B, E319),
"")</f>
        <v>45646.41667</v>
      </c>
      <c r="I319" s="170">
        <f t="shared" si="2"/>
        <v>45646.41667</v>
      </c>
      <c r="J319" s="11">
        <f>IFERROR(VLOOKUP(F319, LEVEL_HELPER!$A:$B, 2, 0), "")</f>
        <v>2.5</v>
      </c>
      <c r="K319" s="11" t="str">
        <f>IFERROR(VLOOKUP(G319, LEVEL_HELPER!$A:$B, 2, 0), "")</f>
        <v/>
      </c>
      <c r="L319" s="171" t="s">
        <v>847</v>
      </c>
      <c r="M319" s="183" t="s">
        <v>149</v>
      </c>
      <c r="N319" s="11">
        <f t="array" ref="N319">IFERROR(
  INDEX($J$2:$J$531,
    MATCH(A319&amp;TEXT(I319,"yyyy-mm-dd"),
          $A$2:$A$531&amp;TEXT($H$2:$H$531,"yyyy-mm-dd"),
          0)),
"")</f>
        <v>2.5</v>
      </c>
      <c r="O319" s="160">
        <f t="shared" si="3"/>
        <v>0</v>
      </c>
      <c r="P319" s="160">
        <f t="shared" ref="P319:Q319" si="329">IF(N319="",0,IF(N319&lt;=2,1,IF(N319&lt;=4,2,IF(N319&lt;=5.5,3,4))))</f>
        <v>2</v>
      </c>
      <c r="Q319" s="160">
        <f t="shared" si="329"/>
        <v>1</v>
      </c>
      <c r="R319" s="160" t="str">
        <f t="shared" si="5"/>
        <v>Not tested yet</v>
      </c>
      <c r="S319" s="160">
        <f t="shared" si="6"/>
        <v>1</v>
      </c>
      <c r="T319" s="177" t="s">
        <v>1038</v>
      </c>
      <c r="U319" s="160">
        <f>COUNTIFS(sheet2!$A:$A,A319,sheet2!$E:$E,E319)</f>
        <v>1</v>
      </c>
      <c r="V319" s="160"/>
      <c r="W319" s="160"/>
      <c r="X319" s="160"/>
      <c r="Y319" s="160"/>
      <c r="Z319" s="160"/>
      <c r="AA319" s="160"/>
      <c r="AB319" s="160"/>
      <c r="AC319" s="160"/>
      <c r="AD319" s="160"/>
      <c r="AE319" s="160"/>
      <c r="AF319" s="160"/>
      <c r="AG319" s="160"/>
      <c r="AH319" s="160"/>
      <c r="AI319" s="160"/>
      <c r="AJ319" s="160"/>
      <c r="AK319" s="160"/>
      <c r="AL319" s="160"/>
      <c r="AM319" s="160"/>
      <c r="AN319" s="164"/>
      <c r="AO319" s="160"/>
      <c r="AP319" s="160"/>
      <c r="AQ319" s="160"/>
      <c r="AR319" s="160"/>
      <c r="AS319" s="160"/>
      <c r="AT319" s="160"/>
      <c r="AU319" s="160"/>
      <c r="AV319" s="160"/>
      <c r="AW319" s="160"/>
      <c r="AX319" s="160"/>
      <c r="AY319" s="160"/>
      <c r="AZ319" s="160"/>
      <c r="BA319" s="160"/>
      <c r="BB319" s="160"/>
      <c r="BC319" s="160"/>
      <c r="BD319" s="160"/>
      <c r="BE319" s="160"/>
      <c r="BF319" s="160"/>
      <c r="BG319" s="160"/>
      <c r="BH319" s="160"/>
      <c r="BI319" s="160"/>
      <c r="BJ319" s="160"/>
      <c r="BK319" s="160"/>
      <c r="BL319" s="160"/>
      <c r="BM319" s="160"/>
      <c r="BN319" s="160"/>
      <c r="BO319" s="160"/>
      <c r="BP319" s="160"/>
      <c r="BQ319" s="160"/>
      <c r="BR319" s="160"/>
      <c r="BS319" s="160"/>
      <c r="BT319" s="160"/>
      <c r="BU319" s="160"/>
      <c r="BV319" s="160"/>
      <c r="BW319" s="160"/>
      <c r="BX319" s="160"/>
      <c r="BY319" s="160"/>
      <c r="BZ319" s="160"/>
      <c r="CA319" s="160"/>
      <c r="CB319" s="160"/>
      <c r="CC319" s="160"/>
      <c r="CD319" s="160"/>
      <c r="CE319" s="160"/>
      <c r="CF319" s="160"/>
      <c r="CG319" s="160"/>
      <c r="CH319" s="160"/>
      <c r="CI319" s="160"/>
      <c r="CJ319" s="160"/>
      <c r="CK319" s="160"/>
      <c r="CL319" s="160"/>
    </row>
    <row r="320">
      <c r="A320" s="174" t="s">
        <v>817</v>
      </c>
      <c r="B320" s="11" t="s">
        <v>818</v>
      </c>
      <c r="C320" s="175" t="s">
        <v>80</v>
      </c>
      <c r="D320" s="176" t="str">
        <f>IFERROR(VLOOKUP(C320, PIC!A:B, 2, 0), "")</f>
        <v>Yen Tran 3</v>
      </c>
      <c r="E320" s="11" t="s">
        <v>22</v>
      </c>
      <c r="F320" s="16" t="s">
        <v>849</v>
      </c>
      <c r="G320" s="11"/>
      <c r="H320" s="170">
        <f>IFERROR(
  MINIFS(ATTENDANCE_LOG!$F:$F,
         ATTENDANCE_LOG!$A:$A, C320,
         ATTENDANCE_LOG!$B:$B, E320),
"")</f>
        <v>45646.41667</v>
      </c>
      <c r="I320" s="170">
        <f t="shared" si="2"/>
        <v>45646.41667</v>
      </c>
      <c r="J320" s="11">
        <f>IFERROR(VLOOKUP(F320, LEVEL_HELPER!$A:$B, 2, 0), "")</f>
        <v>1</v>
      </c>
      <c r="K320" s="11" t="str">
        <f>IFERROR(VLOOKUP(G320, LEVEL_HELPER!$A:$B, 2, 0), "")</f>
        <v/>
      </c>
      <c r="L320" s="171" t="s">
        <v>869</v>
      </c>
      <c r="M320" s="183" t="s">
        <v>149</v>
      </c>
      <c r="N320" s="11">
        <f t="array" ref="N320">IFERROR(
  INDEX($J$2:$J$531,
    MATCH(A320&amp;TEXT(I320,"yyyy-mm-dd"),
          $A$2:$A$531&amp;TEXT($H$2:$H$531,"yyyy-mm-dd"),
          0)),
"")</f>
        <v>1</v>
      </c>
      <c r="O320" s="160">
        <f t="shared" si="3"/>
        <v>0</v>
      </c>
      <c r="P320" s="160">
        <f t="shared" ref="P320:Q320" si="330">IF(N320="",0,IF(N320&lt;=2,1,IF(N320&lt;=4,2,IF(N320&lt;=5.5,3,4))))</f>
        <v>1</v>
      </c>
      <c r="Q320" s="160">
        <f t="shared" si="330"/>
        <v>1</v>
      </c>
      <c r="R320" s="160" t="str">
        <f t="shared" si="5"/>
        <v>Not tested yet</v>
      </c>
      <c r="S320" s="160">
        <f t="shared" si="6"/>
        <v>1</v>
      </c>
      <c r="T320" s="177" t="s">
        <v>1039</v>
      </c>
      <c r="U320" s="160">
        <f>COUNTIFS(sheet2!$A:$A,A320,sheet2!$E:$E,E320)</f>
        <v>1</v>
      </c>
      <c r="V320" s="160"/>
      <c r="W320" s="160"/>
      <c r="X320" s="160"/>
      <c r="Y320" s="160"/>
      <c r="Z320" s="160"/>
      <c r="AA320" s="160"/>
      <c r="AB320" s="160"/>
      <c r="AC320" s="160"/>
      <c r="AD320" s="160"/>
      <c r="AE320" s="160"/>
      <c r="AF320" s="160"/>
      <c r="AG320" s="160"/>
      <c r="AH320" s="160"/>
      <c r="AI320" s="160"/>
      <c r="AJ320" s="160"/>
      <c r="AK320" s="160"/>
      <c r="AL320" s="160"/>
      <c r="AM320" s="160"/>
      <c r="AN320" s="164"/>
      <c r="AO320" s="160"/>
      <c r="AP320" s="160"/>
      <c r="AQ320" s="160"/>
      <c r="AR320" s="160"/>
      <c r="AS320" s="160"/>
      <c r="AT320" s="160"/>
      <c r="AU320" s="160"/>
      <c r="AV320" s="160"/>
      <c r="AW320" s="160"/>
      <c r="AX320" s="160"/>
      <c r="AY320" s="160"/>
      <c r="AZ320" s="160"/>
      <c r="BA320" s="160"/>
      <c r="BB320" s="160"/>
      <c r="BC320" s="160"/>
      <c r="BD320" s="160"/>
      <c r="BE320" s="160"/>
      <c r="BF320" s="160"/>
      <c r="BG320" s="160"/>
      <c r="BH320" s="160"/>
      <c r="BI320" s="160"/>
      <c r="BJ320" s="160"/>
      <c r="BK320" s="160"/>
      <c r="BL320" s="160"/>
      <c r="BM320" s="160"/>
      <c r="BN320" s="160"/>
      <c r="BO320" s="160"/>
      <c r="BP320" s="160"/>
      <c r="BQ320" s="160"/>
      <c r="BR320" s="160"/>
      <c r="BS320" s="160"/>
      <c r="BT320" s="160"/>
      <c r="BU320" s="160"/>
      <c r="BV320" s="160"/>
      <c r="BW320" s="160"/>
      <c r="BX320" s="160"/>
      <c r="BY320" s="160"/>
      <c r="BZ320" s="160"/>
      <c r="CA320" s="160"/>
      <c r="CB320" s="160"/>
      <c r="CC320" s="160"/>
      <c r="CD320" s="160"/>
      <c r="CE320" s="160"/>
      <c r="CF320" s="160"/>
      <c r="CG320" s="160"/>
      <c r="CH320" s="160"/>
      <c r="CI320" s="160"/>
      <c r="CJ320" s="160"/>
      <c r="CK320" s="160"/>
      <c r="CL320" s="160"/>
    </row>
    <row r="321">
      <c r="A321" s="174" t="s">
        <v>819</v>
      </c>
      <c r="B321" s="11" t="s">
        <v>820</v>
      </c>
      <c r="C321" s="175" t="s">
        <v>80</v>
      </c>
      <c r="D321" s="176" t="str">
        <f>IFERROR(VLOOKUP(C321, PIC!A:B, 2, 0), "")</f>
        <v>Yen Tran 3</v>
      </c>
      <c r="E321" s="11" t="s">
        <v>22</v>
      </c>
      <c r="F321" s="16" t="s">
        <v>849</v>
      </c>
      <c r="G321" s="11"/>
      <c r="H321" s="170">
        <f>IFERROR(
  MINIFS(ATTENDANCE_LOG!$F:$F,
         ATTENDANCE_LOG!$A:$A, C321,
         ATTENDANCE_LOG!$B:$B, E321),
"")</f>
        <v>45646.41667</v>
      </c>
      <c r="I321" s="170">
        <f t="shared" si="2"/>
        <v>45646.41667</v>
      </c>
      <c r="J321" s="11">
        <f>IFERROR(VLOOKUP(F321, LEVEL_HELPER!$A:$B, 2, 0), "")</f>
        <v>1</v>
      </c>
      <c r="K321" s="11" t="str">
        <f>IFERROR(VLOOKUP(G321, LEVEL_HELPER!$A:$B, 2, 0), "")</f>
        <v/>
      </c>
      <c r="L321" s="171" t="s">
        <v>400</v>
      </c>
      <c r="M321" s="183" t="s">
        <v>149</v>
      </c>
      <c r="N321" s="11">
        <f t="array" ref="N321">IFERROR(
  INDEX($J$2:$J$531,
    MATCH(A321&amp;TEXT(I321,"yyyy-mm-dd"),
          $A$2:$A$531&amp;TEXT($H$2:$H$531,"yyyy-mm-dd"),
          0)),
"")</f>
        <v>1</v>
      </c>
      <c r="O321" s="160">
        <f t="shared" si="3"/>
        <v>0</v>
      </c>
      <c r="P321" s="160">
        <f t="shared" ref="P321:Q321" si="331">IF(N321="",0,IF(N321&lt;=2,1,IF(N321&lt;=4,2,IF(N321&lt;=5.5,3,4))))</f>
        <v>1</v>
      </c>
      <c r="Q321" s="160">
        <f t="shared" si="331"/>
        <v>1</v>
      </c>
      <c r="R321" s="160" t="str">
        <f t="shared" si="5"/>
        <v>Not tested yet</v>
      </c>
      <c r="S321" s="160">
        <f t="shared" si="6"/>
        <v>1</v>
      </c>
      <c r="T321" s="177" t="s">
        <v>1040</v>
      </c>
      <c r="U321" s="160">
        <f>COUNTIFS(sheet2!$A:$A,A321,sheet2!$E:$E,E321)</f>
        <v>1</v>
      </c>
      <c r="V321" s="160"/>
      <c r="W321" s="160"/>
      <c r="X321" s="160"/>
      <c r="Y321" s="160"/>
      <c r="Z321" s="160"/>
      <c r="AA321" s="160"/>
      <c r="AB321" s="160"/>
      <c r="AC321" s="160"/>
      <c r="AD321" s="160"/>
      <c r="AE321" s="160"/>
      <c r="AF321" s="160"/>
      <c r="AG321" s="160"/>
      <c r="AH321" s="160"/>
      <c r="AI321" s="160"/>
      <c r="AJ321" s="160"/>
      <c r="AK321" s="160"/>
      <c r="AL321" s="160"/>
      <c r="AM321" s="160"/>
      <c r="AN321" s="164"/>
      <c r="AO321" s="160"/>
      <c r="AP321" s="160"/>
      <c r="AQ321" s="160"/>
      <c r="AR321" s="160"/>
      <c r="AS321" s="160"/>
      <c r="AT321" s="160"/>
      <c r="AU321" s="160"/>
      <c r="AV321" s="160"/>
      <c r="AW321" s="160"/>
      <c r="AX321" s="160"/>
      <c r="AY321" s="160"/>
      <c r="AZ321" s="160"/>
      <c r="BA321" s="160"/>
      <c r="BB321" s="160"/>
      <c r="BC321" s="160"/>
      <c r="BD321" s="160"/>
      <c r="BE321" s="160"/>
      <c r="BF321" s="160"/>
      <c r="BG321" s="160"/>
      <c r="BH321" s="160"/>
      <c r="BI321" s="160"/>
      <c r="BJ321" s="160"/>
      <c r="BK321" s="160"/>
      <c r="BL321" s="160"/>
      <c r="BM321" s="160"/>
      <c r="BN321" s="160"/>
      <c r="BO321" s="160"/>
      <c r="BP321" s="160"/>
      <c r="BQ321" s="160"/>
      <c r="BR321" s="160"/>
      <c r="BS321" s="160"/>
      <c r="BT321" s="160"/>
      <c r="BU321" s="160"/>
      <c r="BV321" s="160"/>
      <c r="BW321" s="160"/>
      <c r="BX321" s="160"/>
      <c r="BY321" s="160"/>
      <c r="BZ321" s="160"/>
      <c r="CA321" s="160"/>
      <c r="CB321" s="160"/>
      <c r="CC321" s="160"/>
      <c r="CD321" s="160"/>
      <c r="CE321" s="160"/>
      <c r="CF321" s="160"/>
      <c r="CG321" s="160"/>
      <c r="CH321" s="160"/>
      <c r="CI321" s="160"/>
      <c r="CJ321" s="160"/>
      <c r="CK321" s="160"/>
      <c r="CL321" s="160"/>
    </row>
    <row r="322">
      <c r="A322" s="174" t="s">
        <v>811</v>
      </c>
      <c r="B322" s="11" t="s">
        <v>812</v>
      </c>
      <c r="C322" s="175" t="s">
        <v>80</v>
      </c>
      <c r="D322" s="176" t="str">
        <f>IFERROR(VLOOKUP(C322, PIC!A:B, 2, 0), "")</f>
        <v>Yen Tran 3</v>
      </c>
      <c r="E322" s="11" t="s">
        <v>22</v>
      </c>
      <c r="F322" s="16" t="s">
        <v>849</v>
      </c>
      <c r="G322" s="11"/>
      <c r="H322" s="170">
        <f>IFERROR(
  MINIFS(ATTENDANCE_LOG!$F:$F,
         ATTENDANCE_LOG!$A:$A, C322,
         ATTENDANCE_LOG!$B:$B, E322),
"")</f>
        <v>45646.41667</v>
      </c>
      <c r="I322" s="170">
        <f t="shared" si="2"/>
        <v>45646.41667</v>
      </c>
      <c r="J322" s="11">
        <f>IFERROR(VLOOKUP(F322, LEVEL_HELPER!$A:$B, 2, 0), "")</f>
        <v>1</v>
      </c>
      <c r="K322" s="11" t="str">
        <f>IFERROR(VLOOKUP(G322, LEVEL_HELPER!$A:$B, 2, 0), "")</f>
        <v/>
      </c>
      <c r="L322" s="171" t="s">
        <v>869</v>
      </c>
      <c r="M322" s="183" t="s">
        <v>149</v>
      </c>
      <c r="N322" s="11">
        <f t="array" ref="N322">IFERROR(
  INDEX($J$2:$J$531,
    MATCH(A322&amp;TEXT(I322,"yyyy-mm-dd"),
          $A$2:$A$531&amp;TEXT($H$2:$H$531,"yyyy-mm-dd"),
          0)),
"")</f>
        <v>1</v>
      </c>
      <c r="O322" s="160">
        <f t="shared" si="3"/>
        <v>0</v>
      </c>
      <c r="P322" s="160">
        <f t="shared" ref="P322:Q322" si="332">IF(N322="",0,IF(N322&lt;=2,1,IF(N322&lt;=4,2,IF(N322&lt;=5.5,3,4))))</f>
        <v>1</v>
      </c>
      <c r="Q322" s="160">
        <f t="shared" si="332"/>
        <v>1</v>
      </c>
      <c r="R322" s="160" t="str">
        <f t="shared" si="5"/>
        <v>Not tested yet</v>
      </c>
      <c r="S322" s="160">
        <f t="shared" si="6"/>
        <v>1</v>
      </c>
      <c r="T322" s="177" t="s">
        <v>1041</v>
      </c>
      <c r="U322" s="160">
        <f>COUNTIFS(sheet2!$A:$A,A322,sheet2!$E:$E,E322)</f>
        <v>1</v>
      </c>
      <c r="V322" s="160"/>
      <c r="W322" s="160"/>
      <c r="X322" s="160"/>
      <c r="Y322" s="160"/>
      <c r="Z322" s="160"/>
      <c r="AA322" s="160"/>
      <c r="AB322" s="160"/>
      <c r="AC322" s="160"/>
      <c r="AD322" s="160"/>
      <c r="AE322" s="160"/>
      <c r="AF322" s="160"/>
      <c r="AG322" s="160"/>
      <c r="AH322" s="160"/>
      <c r="AI322" s="160"/>
      <c r="AJ322" s="160"/>
      <c r="AK322" s="160"/>
      <c r="AL322" s="160"/>
      <c r="AM322" s="160"/>
      <c r="AN322" s="164"/>
      <c r="AO322" s="160"/>
      <c r="AP322" s="160"/>
      <c r="AQ322" s="160"/>
      <c r="AR322" s="160"/>
      <c r="AS322" s="160"/>
      <c r="AT322" s="160"/>
      <c r="AU322" s="160"/>
      <c r="AV322" s="160"/>
      <c r="AW322" s="160"/>
      <c r="AX322" s="160"/>
      <c r="AY322" s="160"/>
      <c r="AZ322" s="160"/>
      <c r="BA322" s="160"/>
      <c r="BB322" s="160"/>
      <c r="BC322" s="160"/>
      <c r="BD322" s="160"/>
      <c r="BE322" s="160"/>
      <c r="BF322" s="160"/>
      <c r="BG322" s="160"/>
      <c r="BH322" s="160"/>
      <c r="BI322" s="160"/>
      <c r="BJ322" s="160"/>
      <c r="BK322" s="160"/>
      <c r="BL322" s="160"/>
      <c r="BM322" s="160"/>
      <c r="BN322" s="160"/>
      <c r="BO322" s="160"/>
      <c r="BP322" s="160"/>
      <c r="BQ322" s="160"/>
      <c r="BR322" s="160"/>
      <c r="BS322" s="160"/>
      <c r="BT322" s="160"/>
      <c r="BU322" s="160"/>
      <c r="BV322" s="160"/>
      <c r="BW322" s="160"/>
      <c r="BX322" s="160"/>
      <c r="BY322" s="160"/>
      <c r="BZ322" s="160"/>
      <c r="CA322" s="160"/>
      <c r="CB322" s="160"/>
      <c r="CC322" s="160"/>
      <c r="CD322" s="160"/>
      <c r="CE322" s="160"/>
      <c r="CF322" s="160"/>
      <c r="CG322" s="160"/>
      <c r="CH322" s="160"/>
      <c r="CI322" s="160"/>
      <c r="CJ322" s="160"/>
      <c r="CK322" s="160"/>
      <c r="CL322" s="160"/>
    </row>
    <row r="323">
      <c r="A323" s="174" t="s">
        <v>729</v>
      </c>
      <c r="B323" s="167" t="s">
        <v>730</v>
      </c>
      <c r="C323" s="168" t="s">
        <v>81</v>
      </c>
      <c r="D323" s="169" t="str">
        <f>IFERROR(VLOOKUP(C323, PIC!A:B, 2, 0), "")</f>
        <v>Tai Nguyen</v>
      </c>
      <c r="E323" s="167" t="s">
        <v>22</v>
      </c>
      <c r="F323" s="16" t="s">
        <v>849</v>
      </c>
      <c r="G323" s="16" t="s">
        <v>845</v>
      </c>
      <c r="H323" s="170">
        <f>IFERROR(
  MINIFS(ATTENDANCE_LOG!$F:$F,
         ATTENDANCE_LOG!$A:$A, C323,
         ATTENDANCE_LOG!$B:$B, E323),
"")</f>
        <v>45765.41667</v>
      </c>
      <c r="I323" s="170">
        <f t="shared" si="2"/>
        <v>45765.41667</v>
      </c>
      <c r="J323" s="11">
        <f>IFERROR(VLOOKUP(F323, LEVEL_HELPER!$A:$B, 2, 0), "")</f>
        <v>1</v>
      </c>
      <c r="K323" s="11">
        <f>IFERROR(VLOOKUP(G323, LEVEL_HELPER!$A:$B, 2, 0), "")</f>
        <v>2.5</v>
      </c>
      <c r="L323" s="171" t="s">
        <v>400</v>
      </c>
      <c r="M323" s="171" t="s">
        <v>151</v>
      </c>
      <c r="N323" s="11">
        <f t="array" ref="N323">IFERROR(
  INDEX($J$2:$J$531,
    MATCH(A323&amp;TEXT(I323,"yyyy-mm-dd"),
          $A$2:$A$531&amp;TEXT($H$2:$H$531,"yyyy-mm-dd"),
          0)),
"")</f>
        <v>1</v>
      </c>
      <c r="O323" s="160">
        <f t="shared" si="3"/>
        <v>2.5</v>
      </c>
      <c r="P323" s="160">
        <f t="shared" ref="P323:Q323" si="333">IF(N323="",0,IF(N323&lt;=2,1,IF(N323&lt;=4,2,IF(N323&lt;=5.5,3,4))))</f>
        <v>1</v>
      </c>
      <c r="Q323" s="160">
        <f t="shared" si="333"/>
        <v>2</v>
      </c>
      <c r="R323" s="160" t="str">
        <f t="shared" si="5"/>
        <v>Lv1 → Lv2</v>
      </c>
      <c r="S323" s="160">
        <f t="shared" si="6"/>
        <v>1</v>
      </c>
      <c r="T323" s="186" t="s">
        <v>1042</v>
      </c>
      <c r="U323" s="160">
        <f>COUNTIFS(sheet2!$A:$A,A323,sheet2!$E:$E,E323)</f>
        <v>1</v>
      </c>
      <c r="V323" s="160"/>
      <c r="W323" s="160"/>
      <c r="X323" s="160"/>
      <c r="Y323" s="160"/>
      <c r="Z323" s="160"/>
      <c r="AA323" s="160"/>
      <c r="AB323" s="160"/>
      <c r="AC323" s="160"/>
      <c r="AD323" s="160"/>
      <c r="AE323" s="160"/>
      <c r="AF323" s="160"/>
      <c r="AG323" s="160"/>
      <c r="AH323" s="160"/>
      <c r="AI323" s="160"/>
      <c r="AJ323" s="160"/>
      <c r="AK323" s="160"/>
      <c r="AL323" s="160"/>
      <c r="AM323" s="160"/>
      <c r="AN323" s="164"/>
      <c r="AO323" s="160"/>
      <c r="AP323" s="160"/>
      <c r="AQ323" s="160"/>
      <c r="AR323" s="160"/>
      <c r="AS323" s="160"/>
      <c r="AT323" s="160"/>
      <c r="AU323" s="160"/>
      <c r="AV323" s="160"/>
      <c r="AW323" s="160"/>
      <c r="AX323" s="160"/>
      <c r="AY323" s="160"/>
      <c r="AZ323" s="160"/>
      <c r="BA323" s="160"/>
      <c r="BB323" s="160"/>
      <c r="BC323" s="160"/>
      <c r="BD323" s="160"/>
      <c r="BE323" s="160"/>
      <c r="BF323" s="160"/>
      <c r="BG323" s="160"/>
      <c r="BH323" s="160"/>
      <c r="BI323" s="160"/>
      <c r="BJ323" s="160"/>
      <c r="BK323" s="160"/>
      <c r="BL323" s="160"/>
      <c r="BM323" s="160"/>
      <c r="BN323" s="160"/>
      <c r="BO323" s="160"/>
      <c r="BP323" s="160"/>
      <c r="BQ323" s="160"/>
      <c r="BR323" s="160"/>
      <c r="BS323" s="160"/>
      <c r="BT323" s="160"/>
      <c r="BU323" s="160"/>
      <c r="BV323" s="160"/>
      <c r="BW323" s="160"/>
      <c r="BX323" s="160"/>
      <c r="BY323" s="160"/>
      <c r="BZ323" s="160"/>
      <c r="CA323" s="160"/>
      <c r="CB323" s="160"/>
      <c r="CC323" s="160"/>
      <c r="CD323" s="160"/>
      <c r="CE323" s="160"/>
      <c r="CF323" s="160"/>
      <c r="CG323" s="160"/>
      <c r="CH323" s="160"/>
      <c r="CI323" s="160"/>
      <c r="CJ323" s="160"/>
      <c r="CK323" s="160"/>
      <c r="CL323" s="160"/>
    </row>
    <row r="324">
      <c r="A324" s="174" t="s">
        <v>731</v>
      </c>
      <c r="B324" s="11" t="s">
        <v>732</v>
      </c>
      <c r="C324" s="175" t="s">
        <v>81</v>
      </c>
      <c r="D324" s="176" t="str">
        <f>IFERROR(VLOOKUP(C324, PIC!A:B, 2, 0), "")</f>
        <v>Tai Nguyen</v>
      </c>
      <c r="E324" s="11" t="s">
        <v>22</v>
      </c>
      <c r="F324" s="16" t="s">
        <v>26</v>
      </c>
      <c r="G324" s="16" t="s">
        <v>853</v>
      </c>
      <c r="H324" s="170">
        <f>IFERROR(
  MINIFS(ATTENDANCE_LOG!$F:$F,
         ATTENDANCE_LOG!$A:$A, C324,
         ATTENDANCE_LOG!$B:$B, E324),
"")</f>
        <v>45765.41667</v>
      </c>
      <c r="I324" s="170">
        <f t="shared" si="2"/>
        <v>45765.41667</v>
      </c>
      <c r="J324" s="11">
        <f>IFERROR(VLOOKUP(F324, LEVEL_HELPER!$A:$B, 2, 0), "")</f>
        <v>0.5</v>
      </c>
      <c r="K324" s="11">
        <f>IFERROR(VLOOKUP(G324, LEVEL_HELPER!$A:$B, 2, 0), "")</f>
        <v>1.5</v>
      </c>
      <c r="L324" s="171" t="s">
        <v>400</v>
      </c>
      <c r="M324" s="171" t="s">
        <v>151</v>
      </c>
      <c r="N324" s="11">
        <f t="array" ref="N324">IFERROR(
  INDEX($J$2:$J$531,
    MATCH(A324&amp;TEXT(I324,"yyyy-mm-dd"),
          $A$2:$A$531&amp;TEXT($H$2:$H$531,"yyyy-mm-dd"),
          0)),
"")</f>
        <v>0.5</v>
      </c>
      <c r="O324" s="160">
        <f t="shared" si="3"/>
        <v>3.5</v>
      </c>
      <c r="P324" s="160">
        <f t="shared" ref="P324:Q324" si="334">IF(N324="",0,IF(N324&lt;=2,1,IF(N324&lt;=4,2,IF(N324&lt;=5.5,3,4))))</f>
        <v>1</v>
      </c>
      <c r="Q324" s="160">
        <f t="shared" si="334"/>
        <v>2</v>
      </c>
      <c r="R324" s="160" t="str">
        <f t="shared" si="5"/>
        <v>Lv1 → Lv2</v>
      </c>
      <c r="S324" s="160">
        <f t="shared" si="6"/>
        <v>1</v>
      </c>
      <c r="T324" s="187" t="s">
        <v>1043</v>
      </c>
      <c r="U324" s="160">
        <f>COUNTIFS(sheet2!$A:$A,A324,sheet2!$E:$E,E324)</f>
        <v>1</v>
      </c>
      <c r="V324" s="160"/>
      <c r="W324" s="160"/>
      <c r="X324" s="160"/>
      <c r="Y324" s="160"/>
      <c r="Z324" s="160"/>
      <c r="AA324" s="160"/>
      <c r="AB324" s="160"/>
      <c r="AC324" s="160"/>
      <c r="AD324" s="160"/>
      <c r="AE324" s="160"/>
      <c r="AF324" s="160"/>
      <c r="AG324" s="160"/>
      <c r="AH324" s="160"/>
      <c r="AI324" s="160"/>
      <c r="AJ324" s="160"/>
      <c r="AK324" s="160"/>
      <c r="AL324" s="160"/>
      <c r="AM324" s="160"/>
      <c r="AN324" s="164"/>
      <c r="AO324" s="160"/>
      <c r="AP324" s="160"/>
      <c r="AQ324" s="160"/>
      <c r="AR324" s="160"/>
      <c r="AS324" s="160"/>
      <c r="AT324" s="160"/>
      <c r="AU324" s="160"/>
      <c r="AV324" s="160"/>
      <c r="AW324" s="160"/>
      <c r="AX324" s="160"/>
      <c r="AY324" s="160"/>
      <c r="AZ324" s="160"/>
      <c r="BA324" s="160"/>
      <c r="BB324" s="160"/>
      <c r="BC324" s="160"/>
      <c r="BD324" s="160"/>
      <c r="BE324" s="160"/>
      <c r="BF324" s="160"/>
      <c r="BG324" s="160"/>
      <c r="BH324" s="160"/>
      <c r="BI324" s="160"/>
      <c r="BJ324" s="160"/>
      <c r="BK324" s="160"/>
      <c r="BL324" s="160"/>
      <c r="BM324" s="160"/>
      <c r="BN324" s="160"/>
      <c r="BO324" s="160"/>
      <c r="BP324" s="160"/>
      <c r="BQ324" s="160"/>
      <c r="BR324" s="160"/>
      <c r="BS324" s="160"/>
      <c r="BT324" s="160"/>
      <c r="BU324" s="160"/>
      <c r="BV324" s="160"/>
      <c r="BW324" s="160"/>
      <c r="BX324" s="160"/>
      <c r="BY324" s="160"/>
      <c r="BZ324" s="160"/>
      <c r="CA324" s="160"/>
      <c r="CB324" s="160"/>
      <c r="CC324" s="160"/>
      <c r="CD324" s="160"/>
      <c r="CE324" s="160"/>
      <c r="CF324" s="160"/>
      <c r="CG324" s="160"/>
      <c r="CH324" s="160"/>
      <c r="CI324" s="160"/>
      <c r="CJ324" s="160"/>
      <c r="CK324" s="160"/>
      <c r="CL324" s="160"/>
    </row>
    <row r="325">
      <c r="A325" s="174" t="s">
        <v>723</v>
      </c>
      <c r="B325" s="11" t="s">
        <v>724</v>
      </c>
      <c r="C325" s="175" t="s">
        <v>81</v>
      </c>
      <c r="D325" s="176" t="str">
        <f>IFERROR(VLOOKUP(C325, PIC!A:B, 2, 0), "")</f>
        <v>Tai Nguyen</v>
      </c>
      <c r="E325" s="11" t="s">
        <v>22</v>
      </c>
      <c r="F325" s="16" t="s">
        <v>849</v>
      </c>
      <c r="G325" s="16" t="s">
        <v>846</v>
      </c>
      <c r="H325" s="170">
        <f>IFERROR(
  MINIFS(ATTENDANCE_LOG!$F:$F,
         ATTENDANCE_LOG!$A:$A, C325,
         ATTENDANCE_LOG!$B:$B, E325),
"")</f>
        <v>45765.41667</v>
      </c>
      <c r="I325" s="170">
        <f t="shared" si="2"/>
        <v>45765.41667</v>
      </c>
      <c r="J325" s="11">
        <f>IFERROR(VLOOKUP(F325, LEVEL_HELPER!$A:$B, 2, 0), "")</f>
        <v>1</v>
      </c>
      <c r="K325" s="11">
        <f>IFERROR(VLOOKUP(G325, LEVEL_HELPER!$A:$B, 2, 0), "")</f>
        <v>3</v>
      </c>
      <c r="L325" s="171" t="s">
        <v>400</v>
      </c>
      <c r="M325" s="171" t="s">
        <v>151</v>
      </c>
      <c r="N325" s="11">
        <f t="array" ref="N325">IFERROR(
  INDEX($J$2:$J$531,
    MATCH(A325&amp;TEXT(I325,"yyyy-mm-dd"),
          $A$2:$A$531&amp;TEXT($H$2:$H$531,"yyyy-mm-dd"),
          0)),
"")</f>
        <v>1</v>
      </c>
      <c r="O325" s="160">
        <f t="shared" si="3"/>
        <v>5</v>
      </c>
      <c r="P325" s="160">
        <f t="shared" ref="P325:Q325" si="335">IF(N325="",0,IF(N325&lt;=2,1,IF(N325&lt;=4,2,IF(N325&lt;=5.5,3,4))))</f>
        <v>1</v>
      </c>
      <c r="Q325" s="160">
        <f t="shared" si="335"/>
        <v>3</v>
      </c>
      <c r="R325" s="160" t="str">
        <f t="shared" si="5"/>
        <v>Lv1 → Lv3 (multi)</v>
      </c>
      <c r="S325" s="160">
        <f t="shared" si="6"/>
        <v>1</v>
      </c>
      <c r="T325" s="187" t="s">
        <v>1044</v>
      </c>
      <c r="U325" s="160">
        <f>COUNTIFS(sheet2!$A:$A,A325,sheet2!$E:$E,E325)</f>
        <v>1</v>
      </c>
      <c r="V325" s="160"/>
      <c r="W325" s="160"/>
      <c r="X325" s="160"/>
      <c r="Y325" s="160"/>
      <c r="Z325" s="160"/>
      <c r="AA325" s="160"/>
      <c r="AB325" s="160"/>
      <c r="AC325" s="160"/>
      <c r="AD325" s="160"/>
      <c r="AE325" s="160"/>
      <c r="AF325" s="160"/>
      <c r="AG325" s="160"/>
      <c r="AH325" s="160"/>
      <c r="AI325" s="160"/>
      <c r="AJ325" s="160"/>
      <c r="AK325" s="160"/>
      <c r="AL325" s="160"/>
      <c r="AM325" s="160"/>
      <c r="AN325" s="164"/>
      <c r="AO325" s="160"/>
      <c r="AP325" s="160"/>
      <c r="AQ325" s="160"/>
      <c r="AR325" s="160"/>
      <c r="AS325" s="160"/>
      <c r="AT325" s="160"/>
      <c r="AU325" s="160"/>
      <c r="AV325" s="160"/>
      <c r="AW325" s="160"/>
      <c r="AX325" s="160"/>
      <c r="AY325" s="160"/>
      <c r="AZ325" s="160"/>
      <c r="BA325" s="160"/>
      <c r="BB325" s="160"/>
      <c r="BC325" s="160"/>
      <c r="BD325" s="160"/>
      <c r="BE325" s="160"/>
      <c r="BF325" s="160"/>
      <c r="BG325" s="160"/>
      <c r="BH325" s="160"/>
      <c r="BI325" s="160"/>
      <c r="BJ325" s="160"/>
      <c r="BK325" s="160"/>
      <c r="BL325" s="160"/>
      <c r="BM325" s="160"/>
      <c r="BN325" s="160"/>
      <c r="BO325" s="160"/>
      <c r="BP325" s="160"/>
      <c r="BQ325" s="160"/>
      <c r="BR325" s="160"/>
      <c r="BS325" s="160"/>
      <c r="BT325" s="160"/>
      <c r="BU325" s="160"/>
      <c r="BV325" s="160"/>
      <c r="BW325" s="160"/>
      <c r="BX325" s="160"/>
      <c r="BY325" s="160"/>
      <c r="BZ325" s="160"/>
      <c r="CA325" s="160"/>
      <c r="CB325" s="160"/>
      <c r="CC325" s="160"/>
      <c r="CD325" s="160"/>
      <c r="CE325" s="160"/>
      <c r="CF325" s="160"/>
      <c r="CG325" s="160"/>
      <c r="CH325" s="160"/>
      <c r="CI325" s="160"/>
      <c r="CJ325" s="160"/>
      <c r="CK325" s="160"/>
      <c r="CL325" s="160"/>
    </row>
    <row r="326">
      <c r="A326" s="174" t="s">
        <v>725</v>
      </c>
      <c r="B326" s="11" t="s">
        <v>726</v>
      </c>
      <c r="C326" s="175" t="s">
        <v>81</v>
      </c>
      <c r="D326" s="176" t="str">
        <f>IFERROR(VLOOKUP(C326, PIC!A:B, 2, 0), "")</f>
        <v>Tai Nguyen</v>
      </c>
      <c r="E326" s="11" t="s">
        <v>22</v>
      </c>
      <c r="F326" s="16" t="s">
        <v>849</v>
      </c>
      <c r="G326" s="16" t="s">
        <v>861</v>
      </c>
      <c r="H326" s="170">
        <f>IFERROR(
  MINIFS(ATTENDANCE_LOG!$F:$F,
         ATTENDANCE_LOG!$A:$A, C326,
         ATTENDANCE_LOG!$B:$B, E326),
"")</f>
        <v>45765.41667</v>
      </c>
      <c r="I326" s="170">
        <f t="shared" si="2"/>
        <v>45765.41667</v>
      </c>
      <c r="J326" s="11">
        <f>IFERROR(VLOOKUP(F326, LEVEL_HELPER!$A:$B, 2, 0), "")</f>
        <v>1</v>
      </c>
      <c r="K326" s="11">
        <f>IFERROR(VLOOKUP(G326, LEVEL_HELPER!$A:$B, 2, 0), "")</f>
        <v>3.5</v>
      </c>
      <c r="L326" s="171" t="s">
        <v>400</v>
      </c>
      <c r="M326" s="171" t="s">
        <v>151</v>
      </c>
      <c r="N326" s="11">
        <f t="array" ref="N326">IFERROR(
  INDEX($J$2:$J$531,
    MATCH(A326&amp;TEXT(I326,"yyyy-mm-dd"),
          $A$2:$A$531&amp;TEXT($H$2:$H$531,"yyyy-mm-dd"),
          0)),
"")</f>
        <v>1</v>
      </c>
      <c r="O326" s="160">
        <f t="shared" si="3"/>
        <v>5</v>
      </c>
      <c r="P326" s="160">
        <f t="shared" ref="P326:Q326" si="336">IF(N326="",0,IF(N326&lt;=2,1,IF(N326&lt;=4,2,IF(N326&lt;=5.5,3,4))))</f>
        <v>1</v>
      </c>
      <c r="Q326" s="160">
        <f t="shared" si="336"/>
        <v>3</v>
      </c>
      <c r="R326" s="160" t="str">
        <f t="shared" si="5"/>
        <v>Lv1 → Lv3 (multi)</v>
      </c>
      <c r="S326" s="160">
        <f t="shared" si="6"/>
        <v>1</v>
      </c>
      <c r="T326" s="187" t="s">
        <v>1045</v>
      </c>
      <c r="U326" s="160">
        <f>COUNTIFS(sheet2!$A:$A,A326,sheet2!$E:$E,E326)</f>
        <v>1</v>
      </c>
      <c r="V326" s="160"/>
      <c r="W326" s="160"/>
      <c r="X326" s="160"/>
      <c r="Y326" s="160"/>
      <c r="Z326" s="160"/>
      <c r="AA326" s="160"/>
      <c r="AB326" s="160"/>
      <c r="AC326" s="160"/>
      <c r="AD326" s="160"/>
      <c r="AE326" s="160"/>
      <c r="AF326" s="160"/>
      <c r="AG326" s="160"/>
      <c r="AH326" s="160"/>
      <c r="AI326" s="160"/>
      <c r="AJ326" s="160"/>
      <c r="AK326" s="160"/>
      <c r="AL326" s="160"/>
      <c r="AM326" s="160"/>
      <c r="AN326" s="164"/>
      <c r="AO326" s="160"/>
      <c r="AP326" s="160"/>
      <c r="AQ326" s="160"/>
      <c r="AR326" s="160"/>
      <c r="AS326" s="160"/>
      <c r="AT326" s="160"/>
      <c r="AU326" s="160"/>
      <c r="AV326" s="160"/>
      <c r="AW326" s="160"/>
      <c r="AX326" s="160"/>
      <c r="AY326" s="160"/>
      <c r="AZ326" s="160"/>
      <c r="BA326" s="160"/>
      <c r="BB326" s="160"/>
      <c r="BC326" s="160"/>
      <c r="BD326" s="160"/>
      <c r="BE326" s="160"/>
      <c r="BF326" s="160"/>
      <c r="BG326" s="160"/>
      <c r="BH326" s="160"/>
      <c r="BI326" s="160"/>
      <c r="BJ326" s="160"/>
      <c r="BK326" s="160"/>
      <c r="BL326" s="160"/>
      <c r="BM326" s="160"/>
      <c r="BN326" s="160"/>
      <c r="BO326" s="160"/>
      <c r="BP326" s="160"/>
      <c r="BQ326" s="160"/>
      <c r="BR326" s="160"/>
      <c r="BS326" s="160"/>
      <c r="BT326" s="160"/>
      <c r="BU326" s="160"/>
      <c r="BV326" s="160"/>
      <c r="BW326" s="160"/>
      <c r="BX326" s="160"/>
      <c r="BY326" s="160"/>
      <c r="BZ326" s="160"/>
      <c r="CA326" s="160"/>
      <c r="CB326" s="160"/>
      <c r="CC326" s="160"/>
      <c r="CD326" s="160"/>
      <c r="CE326" s="160"/>
      <c r="CF326" s="160"/>
      <c r="CG326" s="160"/>
      <c r="CH326" s="160"/>
      <c r="CI326" s="160"/>
      <c r="CJ326" s="160"/>
      <c r="CK326" s="160"/>
      <c r="CL326" s="160"/>
    </row>
    <row r="327">
      <c r="A327" s="174" t="s">
        <v>585</v>
      </c>
      <c r="B327" s="167" t="s">
        <v>586</v>
      </c>
      <c r="C327" s="168" t="s">
        <v>82</v>
      </c>
      <c r="D327" s="169" t="str">
        <f>IFERROR(VLOOKUP(C327, PIC!A:B, 2, 0), "")</f>
        <v>Tai Pham</v>
      </c>
      <c r="E327" s="167" t="s">
        <v>22</v>
      </c>
      <c r="F327" s="16" t="s">
        <v>849</v>
      </c>
      <c r="G327" s="16" t="s">
        <v>849</v>
      </c>
      <c r="H327" s="170">
        <f>IFERROR(
  MINIFS(ATTENDANCE_LOG!$F:$F,
         ATTENDANCE_LOG!$A:$A, C327,
         ATTENDANCE_LOG!$B:$B, E327),
"")</f>
        <v>45765.58333</v>
      </c>
      <c r="I327" s="170">
        <f t="shared" si="2"/>
        <v>45765.58333</v>
      </c>
      <c r="J327" s="11">
        <f>IFERROR(VLOOKUP(F327, LEVEL_HELPER!$A:$B, 2, 0), "")</f>
        <v>1</v>
      </c>
      <c r="K327" s="11">
        <f>IFERROR(VLOOKUP(G327, LEVEL_HELPER!$A:$B, 2, 0), "")</f>
        <v>1</v>
      </c>
      <c r="L327" s="171" t="s">
        <v>400</v>
      </c>
      <c r="M327" s="171" t="s">
        <v>151</v>
      </c>
      <c r="N327" s="11">
        <f t="array" ref="N327">IFERROR(
  INDEX($J$2:$J$531,
    MATCH(A327&amp;TEXT(I327,"yyyy-mm-dd"),
          $A$2:$A$531&amp;TEXT($H$2:$H$531,"yyyy-mm-dd"),
          0)),
"")</f>
        <v>1</v>
      </c>
      <c r="O327" s="160">
        <f t="shared" si="3"/>
        <v>3</v>
      </c>
      <c r="P327" s="160">
        <f t="shared" ref="P327:Q327" si="337">IF(N327="",0,IF(N327&lt;=2,1,IF(N327&lt;=4,2,IF(N327&lt;=5.5,3,4))))</f>
        <v>1</v>
      </c>
      <c r="Q327" s="160">
        <f t="shared" si="337"/>
        <v>2</v>
      </c>
      <c r="R327" s="160" t="str">
        <f t="shared" si="5"/>
        <v>Lv1 → Lv2</v>
      </c>
      <c r="S327" s="160">
        <f t="shared" si="6"/>
        <v>1</v>
      </c>
      <c r="T327" s="186" t="s">
        <v>1046</v>
      </c>
      <c r="U327" s="160">
        <f>COUNTIFS(sheet2!$A:$A,A327,sheet2!$E:$E,E327)</f>
        <v>1</v>
      </c>
      <c r="V327" s="160"/>
      <c r="W327" s="160"/>
      <c r="X327" s="160"/>
      <c r="Y327" s="160"/>
      <c r="Z327" s="160"/>
      <c r="AA327" s="160"/>
      <c r="AB327" s="160"/>
      <c r="AC327" s="160"/>
      <c r="AD327" s="160"/>
      <c r="AE327" s="160"/>
      <c r="AF327" s="160"/>
      <c r="AG327" s="160"/>
      <c r="AH327" s="160"/>
      <c r="AI327" s="160"/>
      <c r="AJ327" s="160"/>
      <c r="AK327" s="160"/>
      <c r="AL327" s="160"/>
      <c r="AM327" s="160"/>
      <c r="AN327" s="164"/>
      <c r="AO327" s="160"/>
      <c r="AP327" s="160"/>
      <c r="AQ327" s="160"/>
      <c r="AR327" s="160"/>
      <c r="AS327" s="160"/>
      <c r="AT327" s="160"/>
      <c r="AU327" s="160"/>
      <c r="AV327" s="160"/>
      <c r="AW327" s="160"/>
      <c r="AX327" s="160"/>
      <c r="AY327" s="160"/>
      <c r="AZ327" s="160"/>
      <c r="BA327" s="160"/>
      <c r="BB327" s="160"/>
      <c r="BC327" s="160"/>
      <c r="BD327" s="160"/>
      <c r="BE327" s="160"/>
      <c r="BF327" s="160"/>
      <c r="BG327" s="160"/>
      <c r="BH327" s="160"/>
      <c r="BI327" s="160"/>
      <c r="BJ327" s="160"/>
      <c r="BK327" s="160"/>
      <c r="BL327" s="160"/>
      <c r="BM327" s="160"/>
      <c r="BN327" s="160"/>
      <c r="BO327" s="160"/>
      <c r="BP327" s="160"/>
      <c r="BQ327" s="160"/>
      <c r="BR327" s="160"/>
      <c r="BS327" s="160"/>
      <c r="BT327" s="160"/>
      <c r="BU327" s="160"/>
      <c r="BV327" s="160"/>
      <c r="BW327" s="160"/>
      <c r="BX327" s="160"/>
      <c r="BY327" s="160"/>
      <c r="BZ327" s="160"/>
      <c r="CA327" s="160"/>
      <c r="CB327" s="160"/>
      <c r="CC327" s="160"/>
      <c r="CD327" s="160"/>
      <c r="CE327" s="160"/>
      <c r="CF327" s="160"/>
      <c r="CG327" s="160"/>
      <c r="CH327" s="160"/>
      <c r="CI327" s="160"/>
      <c r="CJ327" s="160"/>
      <c r="CK327" s="160"/>
      <c r="CL327" s="160"/>
    </row>
    <row r="328">
      <c r="A328" s="174" t="s">
        <v>577</v>
      </c>
      <c r="B328" s="11" t="s">
        <v>578</v>
      </c>
      <c r="C328" s="175" t="s">
        <v>82</v>
      </c>
      <c r="D328" s="176" t="str">
        <f>IFERROR(VLOOKUP(C328, PIC!A:B, 2, 0), "")</f>
        <v>Tai Pham</v>
      </c>
      <c r="E328" s="11" t="s">
        <v>22</v>
      </c>
      <c r="F328" s="16" t="s">
        <v>849</v>
      </c>
      <c r="G328" s="16" t="s">
        <v>849</v>
      </c>
      <c r="H328" s="170">
        <f>IFERROR(
  MINIFS(ATTENDANCE_LOG!$F:$F,
         ATTENDANCE_LOG!$A:$A, C328,
         ATTENDANCE_LOG!$B:$B, E328),
"")</f>
        <v>45765.58333</v>
      </c>
      <c r="I328" s="170">
        <f t="shared" si="2"/>
        <v>45765.58333</v>
      </c>
      <c r="J328" s="11">
        <f>IFERROR(VLOOKUP(F328, LEVEL_HELPER!$A:$B, 2, 0), "")</f>
        <v>1</v>
      </c>
      <c r="K328" s="11">
        <f>IFERROR(VLOOKUP(G328, LEVEL_HELPER!$A:$B, 2, 0), "")</f>
        <v>1</v>
      </c>
      <c r="L328" s="171" t="s">
        <v>400</v>
      </c>
      <c r="M328" s="171" t="s">
        <v>154</v>
      </c>
      <c r="N328" s="11">
        <f t="array" ref="N328">IFERROR(
  INDEX($J$2:$J$531,
    MATCH(A328&amp;TEXT(I328,"yyyy-mm-dd"),
          $A$2:$A$531&amp;TEXT($H$2:$H$531,"yyyy-mm-dd"),
          0)),
"")</f>
        <v>1</v>
      </c>
      <c r="O328" s="160">
        <f t="shared" si="3"/>
        <v>1</v>
      </c>
      <c r="P328" s="160">
        <f t="shared" ref="P328:Q328" si="338">IF(N328="",0,IF(N328&lt;=2,1,IF(N328&lt;=4,2,IF(N328&lt;=5.5,3,4))))</f>
        <v>1</v>
      </c>
      <c r="Q328" s="160">
        <f t="shared" si="338"/>
        <v>1</v>
      </c>
      <c r="R328" s="160" t="str">
        <f t="shared" si="5"/>
        <v>No Progress</v>
      </c>
      <c r="S328" s="160">
        <f t="shared" si="6"/>
        <v>1</v>
      </c>
      <c r="T328" s="187" t="s">
        <v>1047</v>
      </c>
      <c r="U328" s="160">
        <f>COUNTIFS(sheet2!$A:$A,A328,sheet2!$E:$E,E328)</f>
        <v>1</v>
      </c>
      <c r="V328" s="160"/>
      <c r="W328" s="160"/>
      <c r="X328" s="160"/>
      <c r="Y328" s="160"/>
      <c r="Z328" s="160"/>
      <c r="AA328" s="160"/>
      <c r="AB328" s="160"/>
      <c r="AC328" s="160"/>
      <c r="AD328" s="160"/>
      <c r="AE328" s="160"/>
      <c r="AF328" s="160"/>
      <c r="AG328" s="160"/>
      <c r="AH328" s="160"/>
      <c r="AI328" s="160"/>
      <c r="AJ328" s="160"/>
      <c r="AK328" s="160"/>
      <c r="AL328" s="160"/>
      <c r="AM328" s="160"/>
      <c r="AN328" s="164"/>
      <c r="AO328" s="160"/>
      <c r="AP328" s="160"/>
      <c r="AQ328" s="160"/>
      <c r="AR328" s="160"/>
      <c r="AS328" s="160"/>
      <c r="AT328" s="160"/>
      <c r="AU328" s="160"/>
      <c r="AV328" s="160"/>
      <c r="AW328" s="160"/>
      <c r="AX328" s="160"/>
      <c r="AY328" s="160"/>
      <c r="AZ328" s="160"/>
      <c r="BA328" s="160"/>
      <c r="BB328" s="160"/>
      <c r="BC328" s="160"/>
      <c r="BD328" s="160"/>
      <c r="BE328" s="160"/>
      <c r="BF328" s="160"/>
      <c r="BG328" s="160"/>
      <c r="BH328" s="160"/>
      <c r="BI328" s="160"/>
      <c r="BJ328" s="160"/>
      <c r="BK328" s="160"/>
      <c r="BL328" s="160"/>
      <c r="BM328" s="160"/>
      <c r="BN328" s="160"/>
      <c r="BO328" s="160"/>
      <c r="BP328" s="160"/>
      <c r="BQ328" s="160"/>
      <c r="BR328" s="160"/>
      <c r="BS328" s="160"/>
      <c r="BT328" s="160"/>
      <c r="BU328" s="160"/>
      <c r="BV328" s="160"/>
      <c r="BW328" s="160"/>
      <c r="BX328" s="160"/>
      <c r="BY328" s="160"/>
      <c r="BZ328" s="160"/>
      <c r="CA328" s="160"/>
      <c r="CB328" s="160"/>
      <c r="CC328" s="160"/>
      <c r="CD328" s="160"/>
      <c r="CE328" s="160"/>
      <c r="CF328" s="160"/>
      <c r="CG328" s="160"/>
      <c r="CH328" s="160"/>
      <c r="CI328" s="160"/>
      <c r="CJ328" s="160"/>
      <c r="CK328" s="160"/>
      <c r="CL328" s="160"/>
    </row>
    <row r="329">
      <c r="A329" s="174" t="s">
        <v>579</v>
      </c>
      <c r="B329" s="11" t="s">
        <v>580</v>
      </c>
      <c r="C329" s="175" t="s">
        <v>82</v>
      </c>
      <c r="D329" s="176" t="str">
        <f>IFERROR(VLOOKUP(C329, PIC!A:B, 2, 0), "")</f>
        <v>Tai Pham</v>
      </c>
      <c r="E329" s="11" t="s">
        <v>22</v>
      </c>
      <c r="F329" s="16" t="s">
        <v>849</v>
      </c>
      <c r="G329" s="16" t="s">
        <v>846</v>
      </c>
      <c r="H329" s="170">
        <f>IFERROR(
  MINIFS(ATTENDANCE_LOG!$F:$F,
         ATTENDANCE_LOG!$A:$A, C329,
         ATTENDANCE_LOG!$B:$B, E329),
"")</f>
        <v>45765.58333</v>
      </c>
      <c r="I329" s="170">
        <f t="shared" si="2"/>
        <v>45765.58333</v>
      </c>
      <c r="J329" s="11">
        <f>IFERROR(VLOOKUP(F329, LEVEL_HELPER!$A:$B, 2, 0), "")</f>
        <v>1</v>
      </c>
      <c r="K329" s="11">
        <f>IFERROR(VLOOKUP(G329, LEVEL_HELPER!$A:$B, 2, 0), "")</f>
        <v>3</v>
      </c>
      <c r="L329" s="171" t="s">
        <v>400</v>
      </c>
      <c r="M329" s="171" t="s">
        <v>151</v>
      </c>
      <c r="N329" s="11">
        <f t="array" ref="N329">IFERROR(
  INDEX($J$2:$J$531,
    MATCH(A329&amp;TEXT(I329,"yyyy-mm-dd"),
          $A$2:$A$531&amp;TEXT($H$2:$H$531,"yyyy-mm-dd"),
          0)),
"")</f>
        <v>1</v>
      </c>
      <c r="O329" s="160">
        <f t="shared" si="3"/>
        <v>3</v>
      </c>
      <c r="P329" s="160">
        <f t="shared" ref="P329:Q329" si="339">IF(N329="",0,IF(N329&lt;=2,1,IF(N329&lt;=4,2,IF(N329&lt;=5.5,3,4))))</f>
        <v>1</v>
      </c>
      <c r="Q329" s="160">
        <f t="shared" si="339"/>
        <v>2</v>
      </c>
      <c r="R329" s="160" t="str">
        <f t="shared" si="5"/>
        <v>Lv1 → Lv2</v>
      </c>
      <c r="S329" s="160">
        <f t="shared" si="6"/>
        <v>1</v>
      </c>
      <c r="T329" s="187" t="s">
        <v>1048</v>
      </c>
      <c r="U329" s="160">
        <f>COUNTIFS(sheet2!$A:$A,A329,sheet2!$E:$E,E329)</f>
        <v>1</v>
      </c>
      <c r="V329" s="160"/>
      <c r="W329" s="160"/>
      <c r="X329" s="160"/>
      <c r="Y329" s="160"/>
      <c r="Z329" s="160"/>
      <c r="AA329" s="160"/>
      <c r="AB329" s="160"/>
      <c r="AC329" s="160"/>
      <c r="AD329" s="160"/>
      <c r="AE329" s="160"/>
      <c r="AF329" s="160"/>
      <c r="AG329" s="160"/>
      <c r="AH329" s="160"/>
      <c r="AI329" s="160"/>
      <c r="AJ329" s="160"/>
      <c r="AK329" s="160"/>
      <c r="AL329" s="160"/>
      <c r="AM329" s="160"/>
      <c r="AN329" s="164"/>
      <c r="AO329" s="160"/>
      <c r="AP329" s="160"/>
      <c r="AQ329" s="160"/>
      <c r="AR329" s="160"/>
      <c r="AS329" s="160"/>
      <c r="AT329" s="160"/>
      <c r="AU329" s="160"/>
      <c r="AV329" s="160"/>
      <c r="AW329" s="160"/>
      <c r="AX329" s="160"/>
      <c r="AY329" s="160"/>
      <c r="AZ329" s="160"/>
      <c r="BA329" s="160"/>
      <c r="BB329" s="160"/>
      <c r="BC329" s="160"/>
      <c r="BD329" s="160"/>
      <c r="BE329" s="160"/>
      <c r="BF329" s="160"/>
      <c r="BG329" s="160"/>
      <c r="BH329" s="160"/>
      <c r="BI329" s="160"/>
      <c r="BJ329" s="160"/>
      <c r="BK329" s="160"/>
      <c r="BL329" s="160"/>
      <c r="BM329" s="160"/>
      <c r="BN329" s="160"/>
      <c r="BO329" s="160"/>
      <c r="BP329" s="160"/>
      <c r="BQ329" s="160"/>
      <c r="BR329" s="160"/>
      <c r="BS329" s="160"/>
      <c r="BT329" s="160"/>
      <c r="BU329" s="160"/>
      <c r="BV329" s="160"/>
      <c r="BW329" s="160"/>
      <c r="BX329" s="160"/>
      <c r="BY329" s="160"/>
      <c r="BZ329" s="160"/>
      <c r="CA329" s="160"/>
      <c r="CB329" s="160"/>
      <c r="CC329" s="160"/>
      <c r="CD329" s="160"/>
      <c r="CE329" s="160"/>
      <c r="CF329" s="160"/>
      <c r="CG329" s="160"/>
      <c r="CH329" s="160"/>
      <c r="CI329" s="160"/>
      <c r="CJ329" s="160"/>
      <c r="CK329" s="160"/>
      <c r="CL329" s="160"/>
    </row>
    <row r="330">
      <c r="A330" s="174" t="s">
        <v>719</v>
      </c>
      <c r="B330" s="11" t="s">
        <v>720</v>
      </c>
      <c r="C330" s="175" t="s">
        <v>82</v>
      </c>
      <c r="D330" s="176" t="str">
        <f>IFERROR(VLOOKUP(C330, PIC!A:B, 2, 0), "")</f>
        <v>Tai Pham</v>
      </c>
      <c r="E330" s="11" t="s">
        <v>22</v>
      </c>
      <c r="F330" s="16" t="s">
        <v>849</v>
      </c>
      <c r="G330" s="16" t="s">
        <v>846</v>
      </c>
      <c r="H330" s="170">
        <f>IFERROR(
  MINIFS(ATTENDANCE_LOG!$F:$F,
         ATTENDANCE_LOG!$A:$A, C330,
         ATTENDANCE_LOG!$B:$B, E330),
"")</f>
        <v>45765.58333</v>
      </c>
      <c r="I330" s="170">
        <f t="shared" si="2"/>
        <v>45765.58333</v>
      </c>
      <c r="J330" s="11">
        <f>IFERROR(VLOOKUP(F330, LEVEL_HELPER!$A:$B, 2, 0), "")</f>
        <v>1</v>
      </c>
      <c r="K330" s="11">
        <f>IFERROR(VLOOKUP(G330, LEVEL_HELPER!$A:$B, 2, 0), "")</f>
        <v>3</v>
      </c>
      <c r="L330" s="171" t="s">
        <v>400</v>
      </c>
      <c r="M330" s="171" t="s">
        <v>151</v>
      </c>
      <c r="N330" s="11">
        <f t="array" ref="N330">IFERROR(
  INDEX($J$2:$J$531,
    MATCH(A330&amp;TEXT(I330,"yyyy-mm-dd"),
          $A$2:$A$531&amp;TEXT($H$2:$H$531,"yyyy-mm-dd"),
          0)),
"")</f>
        <v>1</v>
      </c>
      <c r="O330" s="160">
        <f t="shared" si="3"/>
        <v>5</v>
      </c>
      <c r="P330" s="160">
        <f t="shared" ref="P330:Q330" si="340">IF(N330="",0,IF(N330&lt;=2,1,IF(N330&lt;=4,2,IF(N330&lt;=5.5,3,4))))</f>
        <v>1</v>
      </c>
      <c r="Q330" s="160">
        <f t="shared" si="340"/>
        <v>3</v>
      </c>
      <c r="R330" s="160" t="str">
        <f t="shared" si="5"/>
        <v>Lv1 → Lv3 (multi)</v>
      </c>
      <c r="S330" s="160">
        <f t="shared" si="6"/>
        <v>1</v>
      </c>
      <c r="T330" s="187" t="s">
        <v>1049</v>
      </c>
      <c r="U330" s="160">
        <f>COUNTIFS(sheet2!$A:$A,A330,sheet2!$E:$E,E330)</f>
        <v>1</v>
      </c>
      <c r="V330" s="160"/>
      <c r="W330" s="160"/>
      <c r="X330" s="160"/>
      <c r="Y330" s="160"/>
      <c r="Z330" s="160"/>
      <c r="AA330" s="160"/>
      <c r="AB330" s="160"/>
      <c r="AC330" s="160"/>
      <c r="AD330" s="160"/>
      <c r="AE330" s="160"/>
      <c r="AF330" s="160"/>
      <c r="AG330" s="160"/>
      <c r="AH330" s="160"/>
      <c r="AI330" s="160"/>
      <c r="AJ330" s="160"/>
      <c r="AK330" s="160"/>
      <c r="AL330" s="160"/>
      <c r="AM330" s="160"/>
      <c r="AN330" s="164"/>
      <c r="AO330" s="160"/>
      <c r="AP330" s="160"/>
      <c r="AQ330" s="160"/>
      <c r="AR330" s="160"/>
      <c r="AS330" s="160"/>
      <c r="AT330" s="160"/>
      <c r="AU330" s="160"/>
      <c r="AV330" s="160"/>
      <c r="AW330" s="160"/>
      <c r="AX330" s="160"/>
      <c r="AY330" s="160"/>
      <c r="AZ330" s="160"/>
      <c r="BA330" s="160"/>
      <c r="BB330" s="160"/>
      <c r="BC330" s="160"/>
      <c r="BD330" s="160"/>
      <c r="BE330" s="160"/>
      <c r="BF330" s="160"/>
      <c r="BG330" s="160"/>
      <c r="BH330" s="160"/>
      <c r="BI330" s="160"/>
      <c r="BJ330" s="160"/>
      <c r="BK330" s="160"/>
      <c r="BL330" s="160"/>
      <c r="BM330" s="160"/>
      <c r="BN330" s="160"/>
      <c r="BO330" s="160"/>
      <c r="BP330" s="160"/>
      <c r="BQ330" s="160"/>
      <c r="BR330" s="160"/>
      <c r="BS330" s="160"/>
      <c r="BT330" s="160"/>
      <c r="BU330" s="160"/>
      <c r="BV330" s="160"/>
      <c r="BW330" s="160"/>
      <c r="BX330" s="160"/>
      <c r="BY330" s="160"/>
      <c r="BZ330" s="160"/>
      <c r="CA330" s="160"/>
      <c r="CB330" s="160"/>
      <c r="CC330" s="160"/>
      <c r="CD330" s="160"/>
      <c r="CE330" s="160"/>
      <c r="CF330" s="160"/>
      <c r="CG330" s="160"/>
      <c r="CH330" s="160"/>
      <c r="CI330" s="160"/>
      <c r="CJ330" s="160"/>
      <c r="CK330" s="160"/>
      <c r="CL330" s="160"/>
    </row>
    <row r="331">
      <c r="A331" s="174" t="s">
        <v>583</v>
      </c>
      <c r="B331" s="11" t="s">
        <v>584</v>
      </c>
      <c r="C331" s="175" t="s">
        <v>82</v>
      </c>
      <c r="D331" s="176" t="str">
        <f>IFERROR(VLOOKUP(C331, PIC!A:B, 2, 0), "")</f>
        <v>Tai Pham</v>
      </c>
      <c r="E331" s="11" t="s">
        <v>22</v>
      </c>
      <c r="F331" s="16" t="s">
        <v>849</v>
      </c>
      <c r="G331" s="16" t="s">
        <v>849</v>
      </c>
      <c r="H331" s="170">
        <f>IFERROR(
  MINIFS(ATTENDANCE_LOG!$F:$F,
         ATTENDANCE_LOG!$A:$A, C331,
         ATTENDANCE_LOG!$B:$B, E331),
"")</f>
        <v>45765.58333</v>
      </c>
      <c r="I331" s="170">
        <f t="shared" si="2"/>
        <v>45765.58333</v>
      </c>
      <c r="J331" s="11">
        <f>IFERROR(VLOOKUP(F331, LEVEL_HELPER!$A:$B, 2, 0), "")</f>
        <v>1</v>
      </c>
      <c r="K331" s="11">
        <f>IFERROR(VLOOKUP(G331, LEVEL_HELPER!$A:$B, 2, 0), "")</f>
        <v>1</v>
      </c>
      <c r="L331" s="171" t="s">
        <v>400</v>
      </c>
      <c r="M331" s="171" t="s">
        <v>151</v>
      </c>
      <c r="N331" s="11">
        <f t="array" ref="N331">IFERROR(
  INDEX($J$2:$J$531,
    MATCH(A331&amp;TEXT(I331,"yyyy-mm-dd"),
          $A$2:$A$531&amp;TEXT($H$2:$H$531,"yyyy-mm-dd"),
          0)),
"")</f>
        <v>1</v>
      </c>
      <c r="O331" s="160">
        <f t="shared" si="3"/>
        <v>1</v>
      </c>
      <c r="P331" s="160">
        <f t="shared" ref="P331:Q331" si="341">IF(N331="",0,IF(N331&lt;=2,1,IF(N331&lt;=4,2,IF(N331&lt;=5.5,3,4))))</f>
        <v>1</v>
      </c>
      <c r="Q331" s="160">
        <f t="shared" si="341"/>
        <v>1</v>
      </c>
      <c r="R331" s="160" t="str">
        <f t="shared" si="5"/>
        <v>No Progress</v>
      </c>
      <c r="S331" s="160">
        <f t="shared" si="6"/>
        <v>1</v>
      </c>
      <c r="T331" s="187" t="s">
        <v>1050</v>
      </c>
      <c r="U331" s="160">
        <f>COUNTIFS(sheet2!$A:$A,A331,sheet2!$E:$E,E331)</f>
        <v>1</v>
      </c>
      <c r="V331" s="160"/>
      <c r="W331" s="160"/>
      <c r="X331" s="160"/>
      <c r="Y331" s="160"/>
      <c r="Z331" s="160"/>
      <c r="AA331" s="160"/>
      <c r="AB331" s="160"/>
      <c r="AC331" s="160"/>
      <c r="AD331" s="160"/>
      <c r="AE331" s="160"/>
      <c r="AF331" s="160"/>
      <c r="AG331" s="160"/>
      <c r="AH331" s="160"/>
      <c r="AI331" s="160"/>
      <c r="AJ331" s="160"/>
      <c r="AK331" s="160"/>
      <c r="AL331" s="160"/>
      <c r="AM331" s="160"/>
      <c r="AN331" s="164"/>
      <c r="AO331" s="160"/>
      <c r="AP331" s="160"/>
      <c r="AQ331" s="160"/>
      <c r="AR331" s="160"/>
      <c r="AS331" s="160"/>
      <c r="AT331" s="160"/>
      <c r="AU331" s="160"/>
      <c r="AV331" s="160"/>
      <c r="AW331" s="160"/>
      <c r="AX331" s="160"/>
      <c r="AY331" s="160"/>
      <c r="AZ331" s="160"/>
      <c r="BA331" s="160"/>
      <c r="BB331" s="160"/>
      <c r="BC331" s="160"/>
      <c r="BD331" s="160"/>
      <c r="BE331" s="160"/>
      <c r="BF331" s="160"/>
      <c r="BG331" s="160"/>
      <c r="BH331" s="160"/>
      <c r="BI331" s="160"/>
      <c r="BJ331" s="160"/>
      <c r="BK331" s="160"/>
      <c r="BL331" s="160"/>
      <c r="BM331" s="160"/>
      <c r="BN331" s="160"/>
      <c r="BO331" s="160"/>
      <c r="BP331" s="160"/>
      <c r="BQ331" s="160"/>
      <c r="BR331" s="160"/>
      <c r="BS331" s="160"/>
      <c r="BT331" s="160"/>
      <c r="BU331" s="160"/>
      <c r="BV331" s="160"/>
      <c r="BW331" s="160"/>
      <c r="BX331" s="160"/>
      <c r="BY331" s="160"/>
      <c r="BZ331" s="160"/>
      <c r="CA331" s="160"/>
      <c r="CB331" s="160"/>
      <c r="CC331" s="160"/>
      <c r="CD331" s="160"/>
      <c r="CE331" s="160"/>
      <c r="CF331" s="160"/>
      <c r="CG331" s="160"/>
      <c r="CH331" s="160"/>
      <c r="CI331" s="160"/>
      <c r="CJ331" s="160"/>
      <c r="CK331" s="160"/>
      <c r="CL331" s="160"/>
    </row>
    <row r="332">
      <c r="A332" s="174" t="s">
        <v>585</v>
      </c>
      <c r="B332" s="167" t="s">
        <v>586</v>
      </c>
      <c r="C332" s="168" t="s">
        <v>82</v>
      </c>
      <c r="D332" s="169" t="str">
        <f>IFERROR(VLOOKUP(C332, PIC!A:B, 2, 0), "")</f>
        <v>Tai Pham</v>
      </c>
      <c r="E332" s="167" t="s">
        <v>23</v>
      </c>
      <c r="F332" s="16" t="s">
        <v>849</v>
      </c>
      <c r="G332" s="16" t="s">
        <v>846</v>
      </c>
      <c r="H332" s="170">
        <f>IFERROR(
  MINIFS(ATTENDANCE_LOG!$F:$F,
         ATTENDANCE_LOG!$A:$A, C332,
         ATTENDANCE_LOG!$B:$B, E332),
"")</f>
        <v>45881.54167</v>
      </c>
      <c r="I332" s="170">
        <f t="shared" si="2"/>
        <v>45765.58333</v>
      </c>
      <c r="J332" s="11">
        <f>IFERROR(VLOOKUP(F332, LEVEL_HELPER!$A:$B, 2, 0), "")</f>
        <v>1</v>
      </c>
      <c r="K332" s="11">
        <f>IFERROR(VLOOKUP(G332, LEVEL_HELPER!$A:$B, 2, 0), "")</f>
        <v>3</v>
      </c>
      <c r="L332" s="171" t="s">
        <v>400</v>
      </c>
      <c r="M332" s="171" t="s">
        <v>151</v>
      </c>
      <c r="N332" s="11">
        <f t="array" ref="N332">IFERROR(
  INDEX($J$2:$J$531,
    MATCH(A332&amp;TEXT(I332,"yyyy-mm-dd"),
          $A$2:$A$531&amp;TEXT($H$2:$H$531,"yyyy-mm-dd"),
          0)),
"")</f>
        <v>1</v>
      </c>
      <c r="O332" s="160">
        <f t="shared" si="3"/>
        <v>3</v>
      </c>
      <c r="P332" s="160">
        <f t="shared" ref="P332:Q332" si="342">IF(N332="",0,IF(N332&lt;=2,1,IF(N332&lt;=4,2,IF(N332&lt;=5.5,3,4))))</f>
        <v>1</v>
      </c>
      <c r="Q332" s="160">
        <f t="shared" si="342"/>
        <v>2</v>
      </c>
      <c r="R332" s="160" t="str">
        <f t="shared" si="5"/>
        <v>Lv1 → Lv2</v>
      </c>
      <c r="S332" s="160">
        <f t="shared" si="6"/>
        <v>0</v>
      </c>
      <c r="T332" s="186" t="s">
        <v>1046</v>
      </c>
      <c r="U332" s="160">
        <f>COUNTIFS(sheet2!$A:$A,A332,sheet2!$E:$E,E332)</f>
        <v>1</v>
      </c>
      <c r="V332" s="160"/>
      <c r="W332" s="160"/>
      <c r="X332" s="160"/>
      <c r="Y332" s="160"/>
      <c r="Z332" s="160"/>
      <c r="AA332" s="160"/>
      <c r="AB332" s="160"/>
      <c r="AC332" s="160"/>
      <c r="AD332" s="160"/>
      <c r="AE332" s="160"/>
      <c r="AF332" s="160"/>
      <c r="AG332" s="160"/>
      <c r="AH332" s="160"/>
      <c r="AI332" s="160"/>
      <c r="AJ332" s="160"/>
      <c r="AK332" s="160"/>
      <c r="AL332" s="160"/>
      <c r="AM332" s="160"/>
      <c r="AN332" s="164"/>
      <c r="AO332" s="160"/>
      <c r="AP332" s="160"/>
      <c r="AQ332" s="160"/>
      <c r="AR332" s="160"/>
      <c r="AS332" s="160"/>
      <c r="AT332" s="160"/>
      <c r="AU332" s="160"/>
      <c r="AV332" s="160"/>
      <c r="AW332" s="160"/>
      <c r="AX332" s="160"/>
      <c r="AY332" s="160"/>
      <c r="AZ332" s="160"/>
      <c r="BA332" s="160"/>
      <c r="BB332" s="160"/>
      <c r="BC332" s="160"/>
      <c r="BD332" s="160"/>
      <c r="BE332" s="160"/>
      <c r="BF332" s="160"/>
      <c r="BG332" s="160"/>
      <c r="BH332" s="160"/>
      <c r="BI332" s="160"/>
      <c r="BJ332" s="160"/>
      <c r="BK332" s="160"/>
      <c r="BL332" s="160"/>
      <c r="BM332" s="160"/>
      <c r="BN332" s="160"/>
      <c r="BO332" s="160"/>
      <c r="BP332" s="160"/>
      <c r="BQ332" s="160"/>
      <c r="BR332" s="160"/>
      <c r="BS332" s="160"/>
      <c r="BT332" s="160"/>
      <c r="BU332" s="160"/>
      <c r="BV332" s="160"/>
      <c r="BW332" s="160"/>
      <c r="BX332" s="160"/>
      <c r="BY332" s="160"/>
      <c r="BZ332" s="160"/>
      <c r="CA332" s="160"/>
      <c r="CB332" s="160"/>
      <c r="CC332" s="160"/>
      <c r="CD332" s="160"/>
      <c r="CE332" s="160"/>
      <c r="CF332" s="160"/>
      <c r="CG332" s="160"/>
      <c r="CH332" s="160"/>
      <c r="CI332" s="160"/>
      <c r="CJ332" s="160"/>
      <c r="CK332" s="160"/>
      <c r="CL332" s="160"/>
    </row>
    <row r="333">
      <c r="A333" s="174" t="s">
        <v>577</v>
      </c>
      <c r="B333" s="11" t="s">
        <v>578</v>
      </c>
      <c r="C333" s="175" t="s">
        <v>82</v>
      </c>
      <c r="D333" s="176" t="str">
        <f>IFERROR(VLOOKUP(C333, PIC!A:B, 2, 0), "")</f>
        <v>Tai Pham</v>
      </c>
      <c r="E333" s="11" t="s">
        <v>23</v>
      </c>
      <c r="F333" s="16" t="s">
        <v>849</v>
      </c>
      <c r="G333" s="11"/>
      <c r="H333" s="170">
        <f>IFERROR(
  MINIFS(ATTENDANCE_LOG!$F:$F,
         ATTENDANCE_LOG!$A:$A, C333,
         ATTENDANCE_LOG!$B:$B, E333),
"")</f>
        <v>45881.54167</v>
      </c>
      <c r="I333" s="170">
        <f t="shared" si="2"/>
        <v>45765.58333</v>
      </c>
      <c r="J333" s="11">
        <f>IFERROR(VLOOKUP(F333, LEVEL_HELPER!$A:$B, 2, 0), "")</f>
        <v>1</v>
      </c>
      <c r="K333" s="11" t="str">
        <f>IFERROR(VLOOKUP(G333, LEVEL_HELPER!$A:$B, 2, 0), "")</f>
        <v/>
      </c>
      <c r="L333" s="171" t="s">
        <v>400</v>
      </c>
      <c r="M333" s="171" t="s">
        <v>154</v>
      </c>
      <c r="N333" s="11">
        <f t="array" ref="N333">IFERROR(
  INDEX($J$2:$J$531,
    MATCH(A333&amp;TEXT(I333,"yyyy-mm-dd"),
          $A$2:$A$531&amp;TEXT($H$2:$H$531,"yyyy-mm-dd"),
          0)),
"")</f>
        <v>1</v>
      </c>
      <c r="O333" s="160">
        <f t="shared" si="3"/>
        <v>1</v>
      </c>
      <c r="P333" s="160">
        <f t="shared" ref="P333:Q333" si="343">IF(N333="",0,IF(N333&lt;=2,1,IF(N333&lt;=4,2,IF(N333&lt;=5.5,3,4))))</f>
        <v>1</v>
      </c>
      <c r="Q333" s="160">
        <f t="shared" si="343"/>
        <v>1</v>
      </c>
      <c r="R333" s="160" t="str">
        <f t="shared" si="5"/>
        <v>No Progress</v>
      </c>
      <c r="S333" s="160">
        <f t="shared" si="6"/>
        <v>0</v>
      </c>
      <c r="T333" s="187" t="s">
        <v>1047</v>
      </c>
      <c r="U333" s="160">
        <f>COUNTIFS(sheet2!$A:$A,A333,sheet2!$E:$E,E333)</f>
        <v>1</v>
      </c>
      <c r="V333" s="160"/>
      <c r="W333" s="160"/>
      <c r="X333" s="160"/>
      <c r="Y333" s="160"/>
      <c r="Z333" s="160"/>
      <c r="AA333" s="160"/>
      <c r="AB333" s="160"/>
      <c r="AC333" s="160"/>
      <c r="AD333" s="160"/>
      <c r="AE333" s="160"/>
      <c r="AF333" s="160"/>
      <c r="AG333" s="160"/>
      <c r="AH333" s="160"/>
      <c r="AI333" s="160"/>
      <c r="AJ333" s="160"/>
      <c r="AK333" s="160"/>
      <c r="AL333" s="160"/>
      <c r="AM333" s="160"/>
      <c r="AN333" s="164"/>
      <c r="AO333" s="160"/>
      <c r="AP333" s="160"/>
      <c r="AQ333" s="160"/>
      <c r="AR333" s="160"/>
      <c r="AS333" s="160"/>
      <c r="AT333" s="160"/>
      <c r="AU333" s="160"/>
      <c r="AV333" s="160"/>
      <c r="AW333" s="160"/>
      <c r="AX333" s="160"/>
      <c r="AY333" s="160"/>
      <c r="AZ333" s="160"/>
      <c r="BA333" s="160"/>
      <c r="BB333" s="160"/>
      <c r="BC333" s="160"/>
      <c r="BD333" s="160"/>
      <c r="BE333" s="160"/>
      <c r="BF333" s="160"/>
      <c r="BG333" s="160"/>
      <c r="BH333" s="160"/>
      <c r="BI333" s="160"/>
      <c r="BJ333" s="160"/>
      <c r="BK333" s="160"/>
      <c r="BL333" s="160"/>
      <c r="BM333" s="160"/>
      <c r="BN333" s="160"/>
      <c r="BO333" s="160"/>
      <c r="BP333" s="160"/>
      <c r="BQ333" s="160"/>
      <c r="BR333" s="160"/>
      <c r="BS333" s="160"/>
      <c r="BT333" s="160"/>
      <c r="BU333" s="160"/>
      <c r="BV333" s="160"/>
      <c r="BW333" s="160"/>
      <c r="BX333" s="160"/>
      <c r="BY333" s="160"/>
      <c r="BZ333" s="160"/>
      <c r="CA333" s="160"/>
      <c r="CB333" s="160"/>
      <c r="CC333" s="160"/>
      <c r="CD333" s="160"/>
      <c r="CE333" s="160"/>
      <c r="CF333" s="160"/>
      <c r="CG333" s="160"/>
      <c r="CH333" s="160"/>
      <c r="CI333" s="160"/>
      <c r="CJ333" s="160"/>
      <c r="CK333" s="160"/>
      <c r="CL333" s="160"/>
    </row>
    <row r="334">
      <c r="A334" s="174" t="s">
        <v>579</v>
      </c>
      <c r="B334" s="11" t="s">
        <v>580</v>
      </c>
      <c r="C334" s="175" t="s">
        <v>82</v>
      </c>
      <c r="D334" s="176" t="str">
        <f>IFERROR(VLOOKUP(C334, PIC!A:B, 2, 0), "")</f>
        <v>Tai Pham</v>
      </c>
      <c r="E334" s="11" t="s">
        <v>23</v>
      </c>
      <c r="F334" s="16" t="s">
        <v>846</v>
      </c>
      <c r="G334" s="11"/>
      <c r="H334" s="170">
        <f>IFERROR(
  MINIFS(ATTENDANCE_LOG!$F:$F,
         ATTENDANCE_LOG!$A:$A, C334,
         ATTENDANCE_LOG!$B:$B, E334),
"")</f>
        <v>45881.54167</v>
      </c>
      <c r="I334" s="170">
        <f t="shared" si="2"/>
        <v>45765.58333</v>
      </c>
      <c r="J334" s="11">
        <f>IFERROR(VLOOKUP(F334, LEVEL_HELPER!$A:$B, 2, 0), "")</f>
        <v>3</v>
      </c>
      <c r="K334" s="11" t="str">
        <f>IFERROR(VLOOKUP(G334, LEVEL_HELPER!$A:$B, 2, 0), "")</f>
        <v/>
      </c>
      <c r="L334" s="171" t="s">
        <v>400</v>
      </c>
      <c r="M334" s="171" t="s">
        <v>151</v>
      </c>
      <c r="N334" s="11">
        <f t="array" ref="N334">IFERROR(
  INDEX($J$2:$J$531,
    MATCH(A334&amp;TEXT(I334,"yyyy-mm-dd"),
          $A$2:$A$531&amp;TEXT($H$2:$H$531,"yyyy-mm-dd"),
          0)),
"")</f>
        <v>1</v>
      </c>
      <c r="O334" s="160">
        <f t="shared" si="3"/>
        <v>3</v>
      </c>
      <c r="P334" s="160">
        <f t="shared" ref="P334:Q334" si="344">IF(N334="",0,IF(N334&lt;=2,1,IF(N334&lt;=4,2,IF(N334&lt;=5.5,3,4))))</f>
        <v>1</v>
      </c>
      <c r="Q334" s="160">
        <f t="shared" si="344"/>
        <v>2</v>
      </c>
      <c r="R334" s="160" t="str">
        <f t="shared" si="5"/>
        <v>Lv1 → Lv2</v>
      </c>
      <c r="S334" s="160">
        <f t="shared" si="6"/>
        <v>0</v>
      </c>
      <c r="T334" s="187" t="s">
        <v>1048</v>
      </c>
      <c r="U334" s="160">
        <f>COUNTIFS(sheet2!$A:$A,A334,sheet2!$E:$E,E334)</f>
        <v>1</v>
      </c>
      <c r="V334" s="160"/>
      <c r="W334" s="160"/>
      <c r="X334" s="160"/>
      <c r="Y334" s="160"/>
      <c r="Z334" s="160"/>
      <c r="AA334" s="160"/>
      <c r="AB334" s="160"/>
      <c r="AC334" s="160"/>
      <c r="AD334" s="160"/>
      <c r="AE334" s="160"/>
      <c r="AF334" s="160"/>
      <c r="AG334" s="160"/>
      <c r="AH334" s="160"/>
      <c r="AI334" s="160"/>
      <c r="AJ334" s="160"/>
      <c r="AK334" s="160"/>
      <c r="AL334" s="160"/>
      <c r="AM334" s="160"/>
      <c r="AN334" s="164"/>
      <c r="AO334" s="160"/>
      <c r="AP334" s="160"/>
      <c r="AQ334" s="160"/>
      <c r="AR334" s="160"/>
      <c r="AS334" s="160"/>
      <c r="AT334" s="160"/>
      <c r="AU334" s="160"/>
      <c r="AV334" s="160"/>
      <c r="AW334" s="160"/>
      <c r="AX334" s="160"/>
      <c r="AY334" s="160"/>
      <c r="AZ334" s="160"/>
      <c r="BA334" s="160"/>
      <c r="BB334" s="160"/>
      <c r="BC334" s="160"/>
      <c r="BD334" s="160"/>
      <c r="BE334" s="160"/>
      <c r="BF334" s="160"/>
      <c r="BG334" s="160"/>
      <c r="BH334" s="160"/>
      <c r="BI334" s="160"/>
      <c r="BJ334" s="160"/>
      <c r="BK334" s="160"/>
      <c r="BL334" s="160"/>
      <c r="BM334" s="160"/>
      <c r="BN334" s="160"/>
      <c r="BO334" s="160"/>
      <c r="BP334" s="160"/>
      <c r="BQ334" s="160"/>
      <c r="BR334" s="160"/>
      <c r="BS334" s="160"/>
      <c r="BT334" s="160"/>
      <c r="BU334" s="160"/>
      <c r="BV334" s="160"/>
      <c r="BW334" s="160"/>
      <c r="BX334" s="160"/>
      <c r="BY334" s="160"/>
      <c r="BZ334" s="160"/>
      <c r="CA334" s="160"/>
      <c r="CB334" s="160"/>
      <c r="CC334" s="160"/>
      <c r="CD334" s="160"/>
      <c r="CE334" s="160"/>
      <c r="CF334" s="160"/>
      <c r="CG334" s="160"/>
      <c r="CH334" s="160"/>
      <c r="CI334" s="160"/>
      <c r="CJ334" s="160"/>
      <c r="CK334" s="160"/>
      <c r="CL334" s="160"/>
    </row>
    <row r="335">
      <c r="A335" s="174" t="s">
        <v>719</v>
      </c>
      <c r="B335" s="11" t="s">
        <v>720</v>
      </c>
      <c r="C335" s="175" t="s">
        <v>82</v>
      </c>
      <c r="D335" s="176" t="str">
        <f>IFERROR(VLOOKUP(C335, PIC!A:B, 2, 0), "")</f>
        <v>Tai Pham</v>
      </c>
      <c r="E335" s="11" t="s">
        <v>23</v>
      </c>
      <c r="F335" s="16" t="s">
        <v>846</v>
      </c>
      <c r="G335" s="16" t="s">
        <v>868</v>
      </c>
      <c r="H335" s="170">
        <f>IFERROR(
  MINIFS(ATTENDANCE_LOG!$F:$F,
         ATTENDANCE_LOG!$A:$A, C335,
         ATTENDANCE_LOG!$B:$B, E335),
"")</f>
        <v>45881.54167</v>
      </c>
      <c r="I335" s="170">
        <f t="shared" si="2"/>
        <v>45765.58333</v>
      </c>
      <c r="J335" s="11">
        <f>IFERROR(VLOOKUP(F335, LEVEL_HELPER!$A:$B, 2, 0), "")</f>
        <v>3</v>
      </c>
      <c r="K335" s="11">
        <f>IFERROR(VLOOKUP(G335, LEVEL_HELPER!$A:$B, 2, 0), "")</f>
        <v>5</v>
      </c>
      <c r="L335" s="171" t="s">
        <v>400</v>
      </c>
      <c r="M335" s="171" t="s">
        <v>151</v>
      </c>
      <c r="N335" s="11">
        <f t="array" ref="N335">IFERROR(
  INDEX($J$2:$J$531,
    MATCH(A335&amp;TEXT(I335,"yyyy-mm-dd"),
          $A$2:$A$531&amp;TEXT($H$2:$H$531,"yyyy-mm-dd"),
          0)),
"")</f>
        <v>1</v>
      </c>
      <c r="O335" s="160">
        <f t="shared" si="3"/>
        <v>5</v>
      </c>
      <c r="P335" s="160">
        <f t="shared" ref="P335:Q335" si="345">IF(N335="",0,IF(N335&lt;=2,1,IF(N335&lt;=4,2,IF(N335&lt;=5.5,3,4))))</f>
        <v>1</v>
      </c>
      <c r="Q335" s="160">
        <f t="shared" si="345"/>
        <v>3</v>
      </c>
      <c r="R335" s="160" t="str">
        <f t="shared" si="5"/>
        <v>Lv1 → Lv3 (multi)</v>
      </c>
      <c r="S335" s="160">
        <f t="shared" si="6"/>
        <v>0</v>
      </c>
      <c r="T335" s="187" t="s">
        <v>1049</v>
      </c>
      <c r="U335" s="160">
        <f>COUNTIFS(sheet2!$A:$A,A335,sheet2!$E:$E,E335)</f>
        <v>1</v>
      </c>
      <c r="V335" s="160"/>
      <c r="W335" s="160"/>
      <c r="X335" s="160"/>
      <c r="Y335" s="160"/>
      <c r="Z335" s="160"/>
      <c r="AA335" s="160"/>
      <c r="AB335" s="160"/>
      <c r="AC335" s="160"/>
      <c r="AD335" s="160"/>
      <c r="AE335" s="160"/>
      <c r="AF335" s="160"/>
      <c r="AG335" s="160"/>
      <c r="AH335" s="160"/>
      <c r="AI335" s="160"/>
      <c r="AJ335" s="160"/>
      <c r="AK335" s="160"/>
      <c r="AL335" s="160"/>
      <c r="AM335" s="160"/>
      <c r="AN335" s="164"/>
      <c r="AO335" s="160"/>
      <c r="AP335" s="160"/>
      <c r="AQ335" s="160"/>
      <c r="AR335" s="160"/>
      <c r="AS335" s="160"/>
      <c r="AT335" s="160"/>
      <c r="AU335" s="160"/>
      <c r="AV335" s="160"/>
      <c r="AW335" s="160"/>
      <c r="AX335" s="160"/>
      <c r="AY335" s="160"/>
      <c r="AZ335" s="160"/>
      <c r="BA335" s="160"/>
      <c r="BB335" s="160"/>
      <c r="BC335" s="160"/>
      <c r="BD335" s="160"/>
      <c r="BE335" s="160"/>
      <c r="BF335" s="160"/>
      <c r="BG335" s="160"/>
      <c r="BH335" s="160"/>
      <c r="BI335" s="160"/>
      <c r="BJ335" s="160"/>
      <c r="BK335" s="160"/>
      <c r="BL335" s="160"/>
      <c r="BM335" s="160"/>
      <c r="BN335" s="160"/>
      <c r="BO335" s="160"/>
      <c r="BP335" s="160"/>
      <c r="BQ335" s="160"/>
      <c r="BR335" s="160"/>
      <c r="BS335" s="160"/>
      <c r="BT335" s="160"/>
      <c r="BU335" s="160"/>
      <c r="BV335" s="160"/>
      <c r="BW335" s="160"/>
      <c r="BX335" s="160"/>
      <c r="BY335" s="160"/>
      <c r="BZ335" s="160"/>
      <c r="CA335" s="160"/>
      <c r="CB335" s="160"/>
      <c r="CC335" s="160"/>
      <c r="CD335" s="160"/>
      <c r="CE335" s="160"/>
      <c r="CF335" s="160"/>
      <c r="CG335" s="160"/>
      <c r="CH335" s="160"/>
      <c r="CI335" s="160"/>
      <c r="CJ335" s="160"/>
      <c r="CK335" s="160"/>
      <c r="CL335" s="160"/>
    </row>
    <row r="336">
      <c r="A336" s="174" t="s">
        <v>721</v>
      </c>
      <c r="B336" s="11" t="s">
        <v>722</v>
      </c>
      <c r="C336" s="175" t="s">
        <v>82</v>
      </c>
      <c r="D336" s="176" t="str">
        <f>IFERROR(VLOOKUP(C336, PIC!A:B, 2, 0), "")</f>
        <v>Tai Pham</v>
      </c>
      <c r="E336" s="11" t="s">
        <v>23</v>
      </c>
      <c r="F336" s="16" t="s">
        <v>853</v>
      </c>
      <c r="G336" s="16" t="s">
        <v>868</v>
      </c>
      <c r="H336" s="170">
        <f>IFERROR(
  MINIFS(ATTENDANCE_LOG!$F:$F,
         ATTENDANCE_LOG!$A:$A, C336,
         ATTENDANCE_LOG!$B:$B, E336),
"")</f>
        <v>45881.54167</v>
      </c>
      <c r="I336" s="170">
        <f t="shared" si="2"/>
        <v>45765.375</v>
      </c>
      <c r="J336" s="11">
        <f>IFERROR(VLOOKUP(F336, LEVEL_HELPER!$A:$B, 2, 0), "")</f>
        <v>1.5</v>
      </c>
      <c r="K336" s="11">
        <f>IFERROR(VLOOKUP(G336, LEVEL_HELPER!$A:$B, 2, 0), "")</f>
        <v>5</v>
      </c>
      <c r="L336" s="171" t="s">
        <v>400</v>
      </c>
      <c r="M336" s="171" t="s">
        <v>151</v>
      </c>
      <c r="N336" s="11">
        <f t="array" ref="N336">IFERROR(
  INDEX($J$2:$J$531,
    MATCH(A336&amp;TEXT(I336,"yyyy-mm-dd"),
          $A$2:$A$531&amp;TEXT($H$2:$H$531,"yyyy-mm-dd"),
          0)),
"")</f>
        <v>1</v>
      </c>
      <c r="O336" s="160">
        <f t="shared" si="3"/>
        <v>5</v>
      </c>
      <c r="P336" s="160">
        <f t="shared" ref="P336:Q336" si="346">IF(N336="",0,IF(N336&lt;=2,1,IF(N336&lt;=4,2,IF(N336&lt;=5.5,3,4))))</f>
        <v>1</v>
      </c>
      <c r="Q336" s="160">
        <f t="shared" si="346"/>
        <v>3</v>
      </c>
      <c r="R336" s="160" t="str">
        <f t="shared" si="5"/>
        <v>Lv1 → Lv3 (multi)</v>
      </c>
      <c r="S336" s="160">
        <f t="shared" si="6"/>
        <v>0</v>
      </c>
      <c r="T336" s="172" t="s">
        <v>990</v>
      </c>
      <c r="U336" s="160">
        <f>COUNTIFS(sheet2!$A:$A,A336,sheet2!$E:$E,E336)</f>
        <v>1</v>
      </c>
      <c r="V336" s="160"/>
      <c r="W336" s="160"/>
      <c r="X336" s="160"/>
      <c r="Y336" s="160"/>
      <c r="Z336" s="160"/>
      <c r="AA336" s="160"/>
      <c r="AB336" s="160"/>
      <c r="AC336" s="160"/>
      <c r="AD336" s="160"/>
      <c r="AE336" s="160"/>
      <c r="AF336" s="160"/>
      <c r="AG336" s="160"/>
      <c r="AH336" s="160"/>
      <c r="AI336" s="160"/>
      <c r="AJ336" s="160"/>
      <c r="AK336" s="160"/>
      <c r="AL336" s="160"/>
      <c r="AM336" s="160"/>
      <c r="AN336" s="164"/>
      <c r="AO336" s="160"/>
      <c r="AP336" s="160"/>
      <c r="AQ336" s="160"/>
      <c r="AR336" s="160"/>
      <c r="AS336" s="160"/>
      <c r="AT336" s="160"/>
      <c r="AU336" s="160"/>
      <c r="AV336" s="160"/>
      <c r="AW336" s="160"/>
      <c r="AX336" s="160"/>
      <c r="AY336" s="160"/>
      <c r="AZ336" s="160"/>
      <c r="BA336" s="160"/>
      <c r="BB336" s="160"/>
      <c r="BC336" s="160"/>
      <c r="BD336" s="160"/>
      <c r="BE336" s="160"/>
      <c r="BF336" s="160"/>
      <c r="BG336" s="160"/>
      <c r="BH336" s="160"/>
      <c r="BI336" s="160"/>
      <c r="BJ336" s="160"/>
      <c r="BK336" s="160"/>
      <c r="BL336" s="160"/>
      <c r="BM336" s="160"/>
      <c r="BN336" s="160"/>
      <c r="BO336" s="160"/>
      <c r="BP336" s="160"/>
      <c r="BQ336" s="160"/>
      <c r="BR336" s="160"/>
      <c r="BS336" s="160"/>
      <c r="BT336" s="160"/>
      <c r="BU336" s="160"/>
      <c r="BV336" s="160"/>
      <c r="BW336" s="160"/>
      <c r="BX336" s="160"/>
      <c r="BY336" s="160"/>
      <c r="BZ336" s="160"/>
      <c r="CA336" s="160"/>
      <c r="CB336" s="160"/>
      <c r="CC336" s="160"/>
      <c r="CD336" s="160"/>
      <c r="CE336" s="160"/>
      <c r="CF336" s="160"/>
      <c r="CG336" s="160"/>
      <c r="CH336" s="160"/>
      <c r="CI336" s="160"/>
      <c r="CJ336" s="160"/>
      <c r="CK336" s="160"/>
      <c r="CL336" s="160"/>
    </row>
    <row r="337">
      <c r="A337" s="174" t="s">
        <v>581</v>
      </c>
      <c r="B337" s="11" t="s">
        <v>582</v>
      </c>
      <c r="C337" s="175" t="s">
        <v>82</v>
      </c>
      <c r="D337" s="176" t="str">
        <f>IFERROR(VLOOKUP(C337, PIC!A:B, 2, 0), "")</f>
        <v>Tai Pham</v>
      </c>
      <c r="E337" s="11" t="s">
        <v>23</v>
      </c>
      <c r="F337" s="16" t="s">
        <v>846</v>
      </c>
      <c r="G337" s="16" t="s">
        <v>868</v>
      </c>
      <c r="H337" s="170">
        <f>IFERROR(
  MINIFS(ATTENDANCE_LOG!$F:$F,
         ATTENDANCE_LOG!$A:$A, C337,
         ATTENDANCE_LOG!$B:$B, E337),
"")</f>
        <v>45881.54167</v>
      </c>
      <c r="I337" s="170">
        <f t="shared" si="2"/>
        <v>45765.375</v>
      </c>
      <c r="J337" s="11">
        <f>IFERROR(VLOOKUP(F337, LEVEL_HELPER!$A:$B, 2, 0), "")</f>
        <v>3</v>
      </c>
      <c r="K337" s="11">
        <f>IFERROR(VLOOKUP(G337, LEVEL_HELPER!$A:$B, 2, 0), "")</f>
        <v>5</v>
      </c>
      <c r="L337" s="171" t="s">
        <v>400</v>
      </c>
      <c r="M337" s="171" t="s">
        <v>151</v>
      </c>
      <c r="N337" s="11">
        <f t="array" ref="N337">IFERROR(
  INDEX($J$2:$J$531,
    MATCH(A337&amp;TEXT(I337,"yyyy-mm-dd"),
          $A$2:$A$531&amp;TEXT($H$2:$H$531,"yyyy-mm-dd"),
          0)),
"")</f>
        <v>1</v>
      </c>
      <c r="O337" s="160">
        <f t="shared" si="3"/>
        <v>5</v>
      </c>
      <c r="P337" s="160">
        <f t="shared" ref="P337:Q337" si="347">IF(N337="",0,IF(N337&lt;=2,1,IF(N337&lt;=4,2,IF(N337&lt;=5.5,3,4))))</f>
        <v>1</v>
      </c>
      <c r="Q337" s="160">
        <f t="shared" si="347"/>
        <v>3</v>
      </c>
      <c r="R337" s="160" t="str">
        <f t="shared" si="5"/>
        <v>Lv1 → Lv3 (multi)</v>
      </c>
      <c r="S337" s="160">
        <f t="shared" si="6"/>
        <v>0</v>
      </c>
      <c r="T337" s="177" t="s">
        <v>991</v>
      </c>
      <c r="U337" s="160">
        <f>COUNTIFS(sheet2!$A:$A,A337,sheet2!$E:$E,E337)</f>
        <v>1</v>
      </c>
      <c r="V337" s="160"/>
      <c r="W337" s="160"/>
      <c r="X337" s="160"/>
      <c r="Y337" s="160"/>
      <c r="Z337" s="160"/>
      <c r="AA337" s="160"/>
      <c r="AB337" s="160"/>
      <c r="AC337" s="160"/>
      <c r="AD337" s="160"/>
      <c r="AE337" s="160"/>
      <c r="AF337" s="160"/>
      <c r="AG337" s="160"/>
      <c r="AH337" s="160"/>
      <c r="AI337" s="160"/>
      <c r="AJ337" s="160"/>
      <c r="AK337" s="160"/>
      <c r="AL337" s="160"/>
      <c r="AM337" s="160"/>
      <c r="AN337" s="164"/>
      <c r="AO337" s="160"/>
      <c r="AP337" s="160"/>
      <c r="AQ337" s="160"/>
      <c r="AR337" s="160"/>
      <c r="AS337" s="160"/>
      <c r="AT337" s="160"/>
      <c r="AU337" s="160"/>
      <c r="AV337" s="160"/>
      <c r="AW337" s="160"/>
      <c r="AX337" s="160"/>
      <c r="AY337" s="160"/>
      <c r="AZ337" s="160"/>
      <c r="BA337" s="160"/>
      <c r="BB337" s="160"/>
      <c r="BC337" s="160"/>
      <c r="BD337" s="160"/>
      <c r="BE337" s="160"/>
      <c r="BF337" s="160"/>
      <c r="BG337" s="160"/>
      <c r="BH337" s="160"/>
      <c r="BI337" s="160"/>
      <c r="BJ337" s="160"/>
      <c r="BK337" s="160"/>
      <c r="BL337" s="160"/>
      <c r="BM337" s="160"/>
      <c r="BN337" s="160"/>
      <c r="BO337" s="160"/>
      <c r="BP337" s="160"/>
      <c r="BQ337" s="160"/>
      <c r="BR337" s="160"/>
      <c r="BS337" s="160"/>
      <c r="BT337" s="160"/>
      <c r="BU337" s="160"/>
      <c r="BV337" s="160"/>
      <c r="BW337" s="160"/>
      <c r="BX337" s="160"/>
      <c r="BY337" s="160"/>
      <c r="BZ337" s="160"/>
      <c r="CA337" s="160"/>
      <c r="CB337" s="160"/>
      <c r="CC337" s="160"/>
      <c r="CD337" s="160"/>
      <c r="CE337" s="160"/>
      <c r="CF337" s="160"/>
      <c r="CG337" s="160"/>
      <c r="CH337" s="160"/>
      <c r="CI337" s="160"/>
      <c r="CJ337" s="160"/>
      <c r="CK337" s="160"/>
      <c r="CL337" s="160"/>
    </row>
    <row r="338">
      <c r="A338" s="174" t="s">
        <v>587</v>
      </c>
      <c r="B338" s="11" t="s">
        <v>588</v>
      </c>
      <c r="C338" s="175" t="s">
        <v>82</v>
      </c>
      <c r="D338" s="176" t="str">
        <f>IFERROR(VLOOKUP(C338, PIC!A:B, 2, 0), "")</f>
        <v>Tai Pham</v>
      </c>
      <c r="E338" s="11" t="s">
        <v>23</v>
      </c>
      <c r="F338" s="16" t="s">
        <v>846</v>
      </c>
      <c r="G338" s="16" t="s">
        <v>861</v>
      </c>
      <c r="H338" s="170">
        <f>IFERROR(
  MINIFS(ATTENDANCE_LOG!$F:$F,
         ATTENDANCE_LOG!$A:$A, C338,
         ATTENDANCE_LOG!$B:$B, E338),
"")</f>
        <v>45881.54167</v>
      </c>
      <c r="I338" s="170">
        <f t="shared" si="2"/>
        <v>45765.375</v>
      </c>
      <c r="J338" s="11">
        <f>IFERROR(VLOOKUP(F338, LEVEL_HELPER!$A:$B, 2, 0), "")</f>
        <v>3</v>
      </c>
      <c r="K338" s="11">
        <f>IFERROR(VLOOKUP(G338, LEVEL_HELPER!$A:$B, 2, 0), "")</f>
        <v>3.5</v>
      </c>
      <c r="L338" s="171" t="s">
        <v>400</v>
      </c>
      <c r="M338" s="171" t="s">
        <v>151</v>
      </c>
      <c r="N338" s="11">
        <f t="array" ref="N338">IFERROR(
  INDEX($J$2:$J$531,
    MATCH(A338&amp;TEXT(I338,"yyyy-mm-dd"),
          $A$2:$A$531&amp;TEXT($H$2:$H$531,"yyyy-mm-dd"),
          0)),
"")</f>
        <v>1</v>
      </c>
      <c r="O338" s="160">
        <f t="shared" si="3"/>
        <v>3.5</v>
      </c>
      <c r="P338" s="160">
        <f t="shared" ref="P338:Q338" si="348">IF(N338="",0,IF(N338&lt;=2,1,IF(N338&lt;=4,2,IF(N338&lt;=5.5,3,4))))</f>
        <v>1</v>
      </c>
      <c r="Q338" s="160">
        <f t="shared" si="348"/>
        <v>2</v>
      </c>
      <c r="R338" s="160" t="str">
        <f t="shared" si="5"/>
        <v>Lv1 → Lv2</v>
      </c>
      <c r="S338" s="160">
        <f t="shared" si="6"/>
        <v>0</v>
      </c>
      <c r="T338" s="177" t="s">
        <v>992</v>
      </c>
      <c r="U338" s="160">
        <f>COUNTIFS(sheet2!$A:$A,A338,sheet2!$E:$E,E338)</f>
        <v>1</v>
      </c>
      <c r="V338" s="160"/>
      <c r="W338" s="160"/>
      <c r="X338" s="160"/>
      <c r="Y338" s="160"/>
      <c r="Z338" s="160"/>
      <c r="AA338" s="160"/>
      <c r="AB338" s="160"/>
      <c r="AC338" s="160"/>
      <c r="AD338" s="160"/>
      <c r="AE338" s="160"/>
      <c r="AF338" s="160"/>
      <c r="AG338" s="160"/>
      <c r="AH338" s="160"/>
      <c r="AI338" s="160"/>
      <c r="AJ338" s="160"/>
      <c r="AK338" s="160"/>
      <c r="AL338" s="160"/>
      <c r="AM338" s="160"/>
      <c r="AN338" s="164"/>
      <c r="AO338" s="160"/>
      <c r="AP338" s="160"/>
      <c r="AQ338" s="160"/>
      <c r="AR338" s="160"/>
      <c r="AS338" s="160"/>
      <c r="AT338" s="160"/>
      <c r="AU338" s="160"/>
      <c r="AV338" s="160"/>
      <c r="AW338" s="160"/>
      <c r="AX338" s="160"/>
      <c r="AY338" s="160"/>
      <c r="AZ338" s="160"/>
      <c r="BA338" s="160"/>
      <c r="BB338" s="160"/>
      <c r="BC338" s="160"/>
      <c r="BD338" s="160"/>
      <c r="BE338" s="160"/>
      <c r="BF338" s="160"/>
      <c r="BG338" s="160"/>
      <c r="BH338" s="160"/>
      <c r="BI338" s="160"/>
      <c r="BJ338" s="160"/>
      <c r="BK338" s="160"/>
      <c r="BL338" s="160"/>
      <c r="BM338" s="160"/>
      <c r="BN338" s="160"/>
      <c r="BO338" s="160"/>
      <c r="BP338" s="160"/>
      <c r="BQ338" s="160"/>
      <c r="BR338" s="160"/>
      <c r="BS338" s="160"/>
      <c r="BT338" s="160"/>
      <c r="BU338" s="160"/>
      <c r="BV338" s="160"/>
      <c r="BW338" s="160"/>
      <c r="BX338" s="160"/>
      <c r="BY338" s="160"/>
      <c r="BZ338" s="160"/>
      <c r="CA338" s="160"/>
      <c r="CB338" s="160"/>
      <c r="CC338" s="160"/>
      <c r="CD338" s="160"/>
      <c r="CE338" s="160"/>
      <c r="CF338" s="160"/>
      <c r="CG338" s="160"/>
      <c r="CH338" s="160"/>
      <c r="CI338" s="160"/>
      <c r="CJ338" s="160"/>
      <c r="CK338" s="160"/>
      <c r="CL338" s="160"/>
    </row>
    <row r="339">
      <c r="A339" s="174" t="s">
        <v>589</v>
      </c>
      <c r="B339" s="11" t="s">
        <v>590</v>
      </c>
      <c r="C339" s="175" t="s">
        <v>82</v>
      </c>
      <c r="D339" s="176" t="str">
        <f>IFERROR(VLOOKUP(C339, PIC!A:B, 2, 0), "")</f>
        <v>Tai Pham</v>
      </c>
      <c r="E339" s="11" t="s">
        <v>23</v>
      </c>
      <c r="F339" s="16" t="s">
        <v>846</v>
      </c>
      <c r="G339" s="16" t="s">
        <v>861</v>
      </c>
      <c r="H339" s="170">
        <f>IFERROR(
  MINIFS(ATTENDANCE_LOG!$F:$F,
         ATTENDANCE_LOG!$A:$A, C339,
         ATTENDANCE_LOG!$B:$B, E339),
"")</f>
        <v>45881.54167</v>
      </c>
      <c r="I339" s="170">
        <f t="shared" si="2"/>
        <v>45765.375</v>
      </c>
      <c r="J339" s="11">
        <f>IFERROR(VLOOKUP(F339, LEVEL_HELPER!$A:$B, 2, 0), "")</f>
        <v>3</v>
      </c>
      <c r="K339" s="11">
        <f>IFERROR(VLOOKUP(G339, LEVEL_HELPER!$A:$B, 2, 0), "")</f>
        <v>3.5</v>
      </c>
      <c r="L339" s="171" t="s">
        <v>400</v>
      </c>
      <c r="M339" s="171" t="s">
        <v>151</v>
      </c>
      <c r="N339" s="11">
        <f t="array" ref="N339">IFERROR(
  INDEX($J$2:$J$531,
    MATCH(A339&amp;TEXT(I339,"yyyy-mm-dd"),
          $A$2:$A$531&amp;TEXT($H$2:$H$531,"yyyy-mm-dd"),
          0)),
"")</f>
        <v>1</v>
      </c>
      <c r="O339" s="160">
        <f t="shared" si="3"/>
        <v>3.5</v>
      </c>
      <c r="P339" s="160">
        <f t="shared" ref="P339:Q339" si="349">IF(N339="",0,IF(N339&lt;=2,1,IF(N339&lt;=4,2,IF(N339&lt;=5.5,3,4))))</f>
        <v>1</v>
      </c>
      <c r="Q339" s="160">
        <f t="shared" si="349"/>
        <v>2</v>
      </c>
      <c r="R339" s="160" t="str">
        <f t="shared" si="5"/>
        <v>Lv1 → Lv2</v>
      </c>
      <c r="S339" s="160">
        <f t="shared" si="6"/>
        <v>0</v>
      </c>
      <c r="T339" s="177" t="s">
        <v>993</v>
      </c>
      <c r="U339" s="160">
        <f>COUNTIFS(sheet2!$A:$A,A339,sheet2!$E:$E,E339)</f>
        <v>1</v>
      </c>
      <c r="V339" s="160"/>
      <c r="W339" s="160"/>
      <c r="X339" s="160"/>
      <c r="Y339" s="160"/>
      <c r="Z339" s="160"/>
      <c r="AA339" s="160"/>
      <c r="AB339" s="160"/>
      <c r="AC339" s="160"/>
      <c r="AD339" s="160"/>
      <c r="AE339" s="160"/>
      <c r="AF339" s="160"/>
      <c r="AG339" s="160"/>
      <c r="AH339" s="160"/>
      <c r="AI339" s="160"/>
      <c r="AJ339" s="160"/>
      <c r="AK339" s="160"/>
      <c r="AL339" s="160"/>
      <c r="AM339" s="160"/>
      <c r="AN339" s="164"/>
      <c r="AO339" s="160"/>
      <c r="AP339" s="160"/>
      <c r="AQ339" s="160"/>
      <c r="AR339" s="160"/>
      <c r="AS339" s="160"/>
      <c r="AT339" s="160"/>
      <c r="AU339" s="160"/>
      <c r="AV339" s="160"/>
      <c r="AW339" s="160"/>
      <c r="AX339" s="160"/>
      <c r="AY339" s="160"/>
      <c r="AZ339" s="160"/>
      <c r="BA339" s="160"/>
      <c r="BB339" s="160"/>
      <c r="BC339" s="160"/>
      <c r="BD339" s="160"/>
      <c r="BE339" s="160"/>
      <c r="BF339" s="160"/>
      <c r="BG339" s="160"/>
      <c r="BH339" s="160"/>
      <c r="BI339" s="160"/>
      <c r="BJ339" s="160"/>
      <c r="BK339" s="160"/>
      <c r="BL339" s="160"/>
      <c r="BM339" s="160"/>
      <c r="BN339" s="160"/>
      <c r="BO339" s="160"/>
      <c r="BP339" s="160"/>
      <c r="BQ339" s="160"/>
      <c r="BR339" s="160"/>
      <c r="BS339" s="160"/>
      <c r="BT339" s="160"/>
      <c r="BU339" s="160"/>
      <c r="BV339" s="160"/>
      <c r="BW339" s="160"/>
      <c r="BX339" s="160"/>
      <c r="BY339" s="160"/>
      <c r="BZ339" s="160"/>
      <c r="CA339" s="160"/>
      <c r="CB339" s="160"/>
      <c r="CC339" s="160"/>
      <c r="CD339" s="160"/>
      <c r="CE339" s="160"/>
      <c r="CF339" s="160"/>
      <c r="CG339" s="160"/>
      <c r="CH339" s="160"/>
      <c r="CI339" s="160"/>
      <c r="CJ339" s="160"/>
      <c r="CK339" s="160"/>
      <c r="CL339" s="160"/>
    </row>
    <row r="340">
      <c r="A340" s="174" t="s">
        <v>717</v>
      </c>
      <c r="B340" s="167" t="s">
        <v>718</v>
      </c>
      <c r="C340" s="168" t="s">
        <v>83</v>
      </c>
      <c r="D340" s="169" t="str">
        <f>IFERROR(VLOOKUP(C340, PIC!A:B, 2, 0), "")</f>
        <v>Anh Ha</v>
      </c>
      <c r="E340" s="167" t="s">
        <v>22</v>
      </c>
      <c r="F340" s="16" t="s">
        <v>849</v>
      </c>
      <c r="G340" s="16" t="s">
        <v>861</v>
      </c>
      <c r="H340" s="170">
        <f>IFERROR(
  MINIFS(ATTENDANCE_LOG!$F:$F,
         ATTENDANCE_LOG!$A:$A, C340,
         ATTENDANCE_LOG!$B:$B, E340),
"")</f>
        <v>45764.41667</v>
      </c>
      <c r="I340" s="170">
        <f t="shared" si="2"/>
        <v>45764.41667</v>
      </c>
      <c r="J340" s="11">
        <f>IFERROR(VLOOKUP(F340, LEVEL_HELPER!$A:$B, 2, 0), "")</f>
        <v>1</v>
      </c>
      <c r="K340" s="11">
        <f>IFERROR(VLOOKUP(G340, LEVEL_HELPER!$A:$B, 2, 0), "")</f>
        <v>3.5</v>
      </c>
      <c r="L340" s="171" t="s">
        <v>400</v>
      </c>
      <c r="M340" s="171" t="s">
        <v>151</v>
      </c>
      <c r="N340" s="11">
        <f t="array" ref="N340">IFERROR(
  INDEX($J$2:$J$531,
    MATCH(A340&amp;TEXT(I340,"yyyy-mm-dd"),
          $A$2:$A$531&amp;TEXT($H$2:$H$531,"yyyy-mm-dd"),
          0)),
"")</f>
        <v>1</v>
      </c>
      <c r="O340" s="160">
        <f t="shared" si="3"/>
        <v>5</v>
      </c>
      <c r="P340" s="160">
        <f t="shared" ref="P340:Q340" si="350">IF(N340="",0,IF(N340&lt;=2,1,IF(N340&lt;=4,2,IF(N340&lt;=5.5,3,4))))</f>
        <v>1</v>
      </c>
      <c r="Q340" s="160">
        <f t="shared" si="350"/>
        <v>3</v>
      </c>
      <c r="R340" s="160" t="str">
        <f t="shared" si="5"/>
        <v>Lv1 → Lv3 (multi)</v>
      </c>
      <c r="S340" s="160">
        <f t="shared" si="6"/>
        <v>1</v>
      </c>
      <c r="T340" s="172" t="s">
        <v>1051</v>
      </c>
      <c r="U340" s="160">
        <f>COUNTIFS(sheet2!$A:$A,A340,sheet2!$E:$E,E340)</f>
        <v>1</v>
      </c>
      <c r="V340" s="160"/>
      <c r="W340" s="160"/>
      <c r="X340" s="160"/>
      <c r="Y340" s="160"/>
      <c r="Z340" s="160"/>
      <c r="AA340" s="160"/>
      <c r="AB340" s="160"/>
      <c r="AC340" s="160"/>
      <c r="AD340" s="160"/>
      <c r="AE340" s="160"/>
      <c r="AF340" s="160"/>
      <c r="AG340" s="160"/>
      <c r="AH340" s="160"/>
      <c r="AI340" s="160"/>
      <c r="AJ340" s="160"/>
      <c r="AK340" s="160"/>
      <c r="AL340" s="160"/>
      <c r="AM340" s="160"/>
      <c r="AN340" s="164"/>
      <c r="AO340" s="160"/>
      <c r="AP340" s="160"/>
      <c r="AQ340" s="160"/>
      <c r="AR340" s="160"/>
      <c r="AS340" s="160"/>
      <c r="AT340" s="160"/>
      <c r="AU340" s="160"/>
      <c r="AV340" s="160"/>
      <c r="AW340" s="160"/>
      <c r="AX340" s="160"/>
      <c r="AY340" s="160"/>
      <c r="AZ340" s="160"/>
      <c r="BA340" s="160"/>
      <c r="BB340" s="160"/>
      <c r="BC340" s="160"/>
      <c r="BD340" s="160"/>
      <c r="BE340" s="160"/>
      <c r="BF340" s="160"/>
      <c r="BG340" s="160"/>
      <c r="BH340" s="160"/>
      <c r="BI340" s="160"/>
      <c r="BJ340" s="160"/>
      <c r="BK340" s="160"/>
      <c r="BL340" s="160"/>
      <c r="BM340" s="160"/>
      <c r="BN340" s="160"/>
      <c r="BO340" s="160"/>
      <c r="BP340" s="160"/>
      <c r="BQ340" s="160"/>
      <c r="BR340" s="160"/>
      <c r="BS340" s="160"/>
      <c r="BT340" s="160"/>
      <c r="BU340" s="160"/>
      <c r="BV340" s="160"/>
      <c r="BW340" s="160"/>
      <c r="BX340" s="160"/>
      <c r="BY340" s="160"/>
      <c r="BZ340" s="160"/>
      <c r="CA340" s="160"/>
      <c r="CB340" s="160"/>
      <c r="CC340" s="160"/>
      <c r="CD340" s="160"/>
      <c r="CE340" s="160"/>
      <c r="CF340" s="160"/>
      <c r="CG340" s="160"/>
      <c r="CH340" s="160"/>
      <c r="CI340" s="160"/>
      <c r="CJ340" s="160"/>
      <c r="CK340" s="160"/>
      <c r="CL340" s="160"/>
    </row>
    <row r="341">
      <c r="A341" s="174" t="s">
        <v>185</v>
      </c>
      <c r="B341" s="11" t="s">
        <v>186</v>
      </c>
      <c r="C341" s="175" t="s">
        <v>83</v>
      </c>
      <c r="D341" s="176" t="str">
        <f>IFERROR(VLOOKUP(C341, PIC!A:B, 2, 0), "")</f>
        <v>Anh Ha</v>
      </c>
      <c r="E341" s="11" t="s">
        <v>22</v>
      </c>
      <c r="F341" s="16" t="s">
        <v>849</v>
      </c>
      <c r="G341" s="16" t="s">
        <v>846</v>
      </c>
      <c r="H341" s="170">
        <f>IFERROR(
  MINIFS(ATTENDANCE_LOG!$F:$F,
         ATTENDANCE_LOG!$A:$A, C341,
         ATTENDANCE_LOG!$B:$B, E341),
"")</f>
        <v>45764.41667</v>
      </c>
      <c r="I341" s="170">
        <f t="shared" si="2"/>
        <v>45764.41667</v>
      </c>
      <c r="J341" s="11">
        <f>IFERROR(VLOOKUP(F341, LEVEL_HELPER!$A:$B, 2, 0), "")</f>
        <v>1</v>
      </c>
      <c r="K341" s="11">
        <f>IFERROR(VLOOKUP(G341, LEVEL_HELPER!$A:$B, 2, 0), "")</f>
        <v>3</v>
      </c>
      <c r="L341" s="171" t="s">
        <v>400</v>
      </c>
      <c r="M341" s="171" t="s">
        <v>151</v>
      </c>
      <c r="N341" s="11">
        <f t="array" ref="N341">IFERROR(
  INDEX($J$2:$J$531,
    MATCH(A341&amp;TEXT(I341,"yyyy-mm-dd"),
          $A$2:$A$531&amp;TEXT($H$2:$H$531,"yyyy-mm-dd"),
          0)),
"")</f>
        <v>1</v>
      </c>
      <c r="O341" s="160">
        <f t="shared" si="3"/>
        <v>3</v>
      </c>
      <c r="P341" s="160">
        <f t="shared" ref="P341:Q341" si="351">IF(N341="",0,IF(N341&lt;=2,1,IF(N341&lt;=4,2,IF(N341&lt;=5.5,3,4))))</f>
        <v>1</v>
      </c>
      <c r="Q341" s="160">
        <f t="shared" si="351"/>
        <v>2</v>
      </c>
      <c r="R341" s="160" t="str">
        <f t="shared" si="5"/>
        <v>Lv1 → Lv2</v>
      </c>
      <c r="S341" s="160">
        <f t="shared" si="6"/>
        <v>1</v>
      </c>
      <c r="T341" s="177" t="s">
        <v>1052</v>
      </c>
      <c r="U341" s="160">
        <f>COUNTIFS(sheet2!$A:$A,A341,sheet2!$E:$E,E341)</f>
        <v>1</v>
      </c>
      <c r="V341" s="160"/>
      <c r="W341" s="160"/>
      <c r="X341" s="160"/>
      <c r="Y341" s="160"/>
      <c r="Z341" s="160"/>
      <c r="AA341" s="160"/>
      <c r="AB341" s="160"/>
      <c r="AC341" s="160"/>
      <c r="AD341" s="160"/>
      <c r="AE341" s="160"/>
      <c r="AF341" s="160"/>
      <c r="AG341" s="160"/>
      <c r="AH341" s="160"/>
      <c r="AI341" s="160"/>
      <c r="AJ341" s="160"/>
      <c r="AK341" s="160"/>
      <c r="AL341" s="160"/>
      <c r="AM341" s="160"/>
      <c r="AN341" s="164"/>
      <c r="AO341" s="160"/>
      <c r="AP341" s="160"/>
      <c r="AQ341" s="160"/>
      <c r="AR341" s="160"/>
      <c r="AS341" s="160"/>
      <c r="AT341" s="160"/>
      <c r="AU341" s="160"/>
      <c r="AV341" s="160"/>
      <c r="AW341" s="160"/>
      <c r="AX341" s="160"/>
      <c r="AY341" s="160"/>
      <c r="AZ341" s="160"/>
      <c r="BA341" s="160"/>
      <c r="BB341" s="160"/>
      <c r="BC341" s="160"/>
      <c r="BD341" s="160"/>
      <c r="BE341" s="160"/>
      <c r="BF341" s="160"/>
      <c r="BG341" s="160"/>
      <c r="BH341" s="160"/>
      <c r="BI341" s="160"/>
      <c r="BJ341" s="160"/>
      <c r="BK341" s="160"/>
      <c r="BL341" s="160"/>
      <c r="BM341" s="160"/>
      <c r="BN341" s="160"/>
      <c r="BO341" s="160"/>
      <c r="BP341" s="160"/>
      <c r="BQ341" s="160"/>
      <c r="BR341" s="160"/>
      <c r="BS341" s="160"/>
      <c r="BT341" s="160"/>
      <c r="BU341" s="160"/>
      <c r="BV341" s="160"/>
      <c r="BW341" s="160"/>
      <c r="BX341" s="160"/>
      <c r="BY341" s="160"/>
      <c r="BZ341" s="160"/>
      <c r="CA341" s="160"/>
      <c r="CB341" s="160"/>
      <c r="CC341" s="160"/>
      <c r="CD341" s="160"/>
      <c r="CE341" s="160"/>
      <c r="CF341" s="160"/>
      <c r="CG341" s="160"/>
      <c r="CH341" s="160"/>
      <c r="CI341" s="160"/>
      <c r="CJ341" s="160"/>
      <c r="CK341" s="160"/>
      <c r="CL341" s="160"/>
    </row>
    <row r="342">
      <c r="A342" s="174" t="s">
        <v>200</v>
      </c>
      <c r="B342" s="11" t="s">
        <v>201</v>
      </c>
      <c r="C342" s="175" t="s">
        <v>83</v>
      </c>
      <c r="D342" s="176" t="str">
        <f>IFERROR(VLOOKUP(C342, PIC!A:B, 2, 0), "")</f>
        <v>Anh Ha</v>
      </c>
      <c r="E342" s="11" t="s">
        <v>22</v>
      </c>
      <c r="F342" s="16" t="s">
        <v>849</v>
      </c>
      <c r="G342" s="16" t="s">
        <v>853</v>
      </c>
      <c r="H342" s="170">
        <f>IFERROR(
  MINIFS(ATTENDANCE_LOG!$F:$F,
         ATTENDANCE_LOG!$A:$A, C342,
         ATTENDANCE_LOG!$B:$B, E342),
"")</f>
        <v>45764.41667</v>
      </c>
      <c r="I342" s="170">
        <f t="shared" si="2"/>
        <v>45764.41667</v>
      </c>
      <c r="J342" s="11">
        <f>IFERROR(VLOOKUP(F342, LEVEL_HELPER!$A:$B, 2, 0), "")</f>
        <v>1</v>
      </c>
      <c r="K342" s="11">
        <f>IFERROR(VLOOKUP(G342, LEVEL_HELPER!$A:$B, 2, 0), "")</f>
        <v>1.5</v>
      </c>
      <c r="L342" s="171" t="s">
        <v>400</v>
      </c>
      <c r="M342" s="171" t="s">
        <v>151</v>
      </c>
      <c r="N342" s="11">
        <f t="array" ref="N342">IFERROR(
  INDEX($J$2:$J$531,
    MATCH(A342&amp;TEXT(I342,"yyyy-mm-dd"),
          $A$2:$A$531&amp;TEXT($H$2:$H$531,"yyyy-mm-dd"),
          0)),
"")</f>
        <v>1</v>
      </c>
      <c r="O342" s="160">
        <f t="shared" si="3"/>
        <v>3</v>
      </c>
      <c r="P342" s="160">
        <f t="shared" ref="P342:Q342" si="352">IF(N342="",0,IF(N342&lt;=2,1,IF(N342&lt;=4,2,IF(N342&lt;=5.5,3,4))))</f>
        <v>1</v>
      </c>
      <c r="Q342" s="160">
        <f t="shared" si="352"/>
        <v>2</v>
      </c>
      <c r="R342" s="160" t="str">
        <f t="shared" si="5"/>
        <v>Lv1 → Lv2</v>
      </c>
      <c r="S342" s="160">
        <f t="shared" si="6"/>
        <v>1</v>
      </c>
      <c r="T342" s="177" t="s">
        <v>1053</v>
      </c>
      <c r="U342" s="160">
        <f>COUNTIFS(sheet2!$A:$A,A342,sheet2!$E:$E,E342)</f>
        <v>1</v>
      </c>
      <c r="V342" s="160"/>
      <c r="W342" s="160"/>
      <c r="X342" s="160"/>
      <c r="Y342" s="160"/>
      <c r="Z342" s="160"/>
      <c r="AA342" s="160"/>
      <c r="AB342" s="160"/>
      <c r="AC342" s="160"/>
      <c r="AD342" s="160"/>
      <c r="AE342" s="160"/>
      <c r="AF342" s="160"/>
      <c r="AG342" s="160"/>
      <c r="AH342" s="160"/>
      <c r="AI342" s="160"/>
      <c r="AJ342" s="160"/>
      <c r="AK342" s="160"/>
      <c r="AL342" s="160"/>
      <c r="AM342" s="160"/>
      <c r="AN342" s="164"/>
      <c r="AO342" s="160"/>
      <c r="AP342" s="160"/>
      <c r="AQ342" s="160"/>
      <c r="AR342" s="160"/>
      <c r="AS342" s="160"/>
      <c r="AT342" s="160"/>
      <c r="AU342" s="160"/>
      <c r="AV342" s="160"/>
      <c r="AW342" s="160"/>
      <c r="AX342" s="160"/>
      <c r="AY342" s="160"/>
      <c r="AZ342" s="160"/>
      <c r="BA342" s="160"/>
      <c r="BB342" s="160"/>
      <c r="BC342" s="160"/>
      <c r="BD342" s="160"/>
      <c r="BE342" s="160"/>
      <c r="BF342" s="160"/>
      <c r="BG342" s="160"/>
      <c r="BH342" s="160"/>
      <c r="BI342" s="160"/>
      <c r="BJ342" s="160"/>
      <c r="BK342" s="160"/>
      <c r="BL342" s="160"/>
      <c r="BM342" s="160"/>
      <c r="BN342" s="160"/>
      <c r="BO342" s="160"/>
      <c r="BP342" s="160"/>
      <c r="BQ342" s="160"/>
      <c r="BR342" s="160"/>
      <c r="BS342" s="160"/>
      <c r="BT342" s="160"/>
      <c r="BU342" s="160"/>
      <c r="BV342" s="160"/>
      <c r="BW342" s="160"/>
      <c r="BX342" s="160"/>
      <c r="BY342" s="160"/>
      <c r="BZ342" s="160"/>
      <c r="CA342" s="160"/>
      <c r="CB342" s="160"/>
      <c r="CC342" s="160"/>
      <c r="CD342" s="160"/>
      <c r="CE342" s="160"/>
      <c r="CF342" s="160"/>
      <c r="CG342" s="160"/>
      <c r="CH342" s="160"/>
      <c r="CI342" s="160"/>
      <c r="CJ342" s="160"/>
      <c r="CK342" s="160"/>
      <c r="CL342" s="160"/>
    </row>
    <row r="343">
      <c r="A343" s="174" t="s">
        <v>187</v>
      </c>
      <c r="B343" s="11" t="s">
        <v>188</v>
      </c>
      <c r="C343" s="175" t="s">
        <v>83</v>
      </c>
      <c r="D343" s="176" t="str">
        <f>IFERROR(VLOOKUP(C343, PIC!A:B, 2, 0), "")</f>
        <v>Anh Ha</v>
      </c>
      <c r="E343" s="11" t="s">
        <v>22</v>
      </c>
      <c r="F343" s="16" t="s">
        <v>849</v>
      </c>
      <c r="G343" s="16" t="s">
        <v>846</v>
      </c>
      <c r="H343" s="170">
        <f>IFERROR(
  MINIFS(ATTENDANCE_LOG!$F:$F,
         ATTENDANCE_LOG!$A:$A, C343,
         ATTENDANCE_LOG!$B:$B, E343),
"")</f>
        <v>45764.41667</v>
      </c>
      <c r="I343" s="170">
        <f t="shared" si="2"/>
        <v>45764.41667</v>
      </c>
      <c r="J343" s="11">
        <f>IFERROR(VLOOKUP(F343, LEVEL_HELPER!$A:$B, 2, 0), "")</f>
        <v>1</v>
      </c>
      <c r="K343" s="11">
        <f>IFERROR(VLOOKUP(G343, LEVEL_HELPER!$A:$B, 2, 0), "")</f>
        <v>3</v>
      </c>
      <c r="L343" s="171" t="s">
        <v>400</v>
      </c>
      <c r="M343" s="171" t="s">
        <v>151</v>
      </c>
      <c r="N343" s="11">
        <f t="array" ref="N343">IFERROR(
  INDEX($J$2:$J$531,
    MATCH(A343&amp;TEXT(I343,"yyyy-mm-dd"),
          $A$2:$A$531&amp;TEXT($H$2:$H$531,"yyyy-mm-dd"),
          0)),
"")</f>
        <v>1</v>
      </c>
      <c r="O343" s="160">
        <f t="shared" si="3"/>
        <v>3.5</v>
      </c>
      <c r="P343" s="160">
        <f t="shared" ref="P343:Q343" si="353">IF(N343="",0,IF(N343&lt;=2,1,IF(N343&lt;=4,2,IF(N343&lt;=5.5,3,4))))</f>
        <v>1</v>
      </c>
      <c r="Q343" s="160">
        <f t="shared" si="353"/>
        <v>2</v>
      </c>
      <c r="R343" s="160" t="str">
        <f t="shared" si="5"/>
        <v>Lv1 → Lv2</v>
      </c>
      <c r="S343" s="160">
        <f t="shared" si="6"/>
        <v>1</v>
      </c>
      <c r="T343" s="177" t="s">
        <v>1054</v>
      </c>
      <c r="U343" s="160">
        <f>COUNTIFS(sheet2!$A:$A,A343,sheet2!$E:$E,E343)</f>
        <v>1</v>
      </c>
      <c r="V343" s="160"/>
      <c r="W343" s="160"/>
      <c r="X343" s="160"/>
      <c r="Y343" s="160"/>
      <c r="Z343" s="160"/>
      <c r="AA343" s="160"/>
      <c r="AB343" s="160"/>
      <c r="AC343" s="160"/>
      <c r="AD343" s="160"/>
      <c r="AE343" s="160"/>
      <c r="AF343" s="160"/>
      <c r="AG343" s="160"/>
      <c r="AH343" s="160"/>
      <c r="AI343" s="160"/>
      <c r="AJ343" s="160"/>
      <c r="AK343" s="160"/>
      <c r="AL343" s="160"/>
      <c r="AM343" s="160"/>
      <c r="AN343" s="164"/>
      <c r="AO343" s="160"/>
      <c r="AP343" s="160"/>
      <c r="AQ343" s="160"/>
      <c r="AR343" s="160"/>
      <c r="AS343" s="160"/>
      <c r="AT343" s="160"/>
      <c r="AU343" s="160"/>
      <c r="AV343" s="160"/>
      <c r="AW343" s="160"/>
      <c r="AX343" s="160"/>
      <c r="AY343" s="160"/>
      <c r="AZ343" s="160"/>
      <c r="BA343" s="160"/>
      <c r="BB343" s="160"/>
      <c r="BC343" s="160"/>
      <c r="BD343" s="160"/>
      <c r="BE343" s="160"/>
      <c r="BF343" s="160"/>
      <c r="BG343" s="160"/>
      <c r="BH343" s="160"/>
      <c r="BI343" s="160"/>
      <c r="BJ343" s="160"/>
      <c r="BK343" s="160"/>
      <c r="BL343" s="160"/>
      <c r="BM343" s="160"/>
      <c r="BN343" s="160"/>
      <c r="BO343" s="160"/>
      <c r="BP343" s="160"/>
      <c r="BQ343" s="160"/>
      <c r="BR343" s="160"/>
      <c r="BS343" s="160"/>
      <c r="BT343" s="160"/>
      <c r="BU343" s="160"/>
      <c r="BV343" s="160"/>
      <c r="BW343" s="160"/>
      <c r="BX343" s="160"/>
      <c r="BY343" s="160"/>
      <c r="BZ343" s="160"/>
      <c r="CA343" s="160"/>
      <c r="CB343" s="160"/>
      <c r="CC343" s="160"/>
      <c r="CD343" s="160"/>
      <c r="CE343" s="160"/>
      <c r="CF343" s="160"/>
      <c r="CG343" s="160"/>
      <c r="CH343" s="160"/>
      <c r="CI343" s="160"/>
      <c r="CJ343" s="160"/>
      <c r="CK343" s="160"/>
      <c r="CL343" s="160"/>
    </row>
    <row r="344">
      <c r="A344" s="174" t="s">
        <v>194</v>
      </c>
      <c r="B344" s="11" t="s">
        <v>195</v>
      </c>
      <c r="C344" s="175" t="s">
        <v>83</v>
      </c>
      <c r="D344" s="176" t="str">
        <f>IFERROR(VLOOKUP(C344, PIC!A:B, 2, 0), "")</f>
        <v>Anh Ha</v>
      </c>
      <c r="E344" s="11" t="s">
        <v>22</v>
      </c>
      <c r="F344" s="16" t="s">
        <v>849</v>
      </c>
      <c r="G344" s="16" t="s">
        <v>846</v>
      </c>
      <c r="H344" s="170">
        <f>IFERROR(
  MINIFS(ATTENDANCE_LOG!$F:$F,
         ATTENDANCE_LOG!$A:$A, C344,
         ATTENDANCE_LOG!$B:$B, E344),
"")</f>
        <v>45764.41667</v>
      </c>
      <c r="I344" s="170">
        <f t="shared" si="2"/>
        <v>45764.41667</v>
      </c>
      <c r="J344" s="11">
        <f>IFERROR(VLOOKUP(F344, LEVEL_HELPER!$A:$B, 2, 0), "")</f>
        <v>1</v>
      </c>
      <c r="K344" s="11">
        <f>IFERROR(VLOOKUP(G344, LEVEL_HELPER!$A:$B, 2, 0), "")</f>
        <v>3</v>
      </c>
      <c r="L344" s="171" t="s">
        <v>400</v>
      </c>
      <c r="M344" s="171" t="s">
        <v>151</v>
      </c>
      <c r="N344" s="11">
        <f t="array" ref="N344">IFERROR(
  INDEX($J$2:$J$531,
    MATCH(A344&amp;TEXT(I344,"yyyy-mm-dd"),
          $A$2:$A$531&amp;TEXT($H$2:$H$531,"yyyy-mm-dd"),
          0)),
"")</f>
        <v>1</v>
      </c>
      <c r="O344" s="160">
        <f t="shared" si="3"/>
        <v>3</v>
      </c>
      <c r="P344" s="160">
        <f t="shared" ref="P344:Q344" si="354">IF(N344="",0,IF(N344&lt;=2,1,IF(N344&lt;=4,2,IF(N344&lt;=5.5,3,4))))</f>
        <v>1</v>
      </c>
      <c r="Q344" s="160">
        <f t="shared" si="354"/>
        <v>2</v>
      </c>
      <c r="R344" s="160" t="str">
        <f t="shared" si="5"/>
        <v>Lv1 → Lv2</v>
      </c>
      <c r="S344" s="160">
        <f t="shared" si="6"/>
        <v>1</v>
      </c>
      <c r="T344" s="177" t="s">
        <v>1055</v>
      </c>
      <c r="U344" s="160">
        <f>COUNTIFS(sheet2!$A:$A,A344,sheet2!$E:$E,E344)</f>
        <v>1</v>
      </c>
      <c r="V344" s="160"/>
      <c r="W344" s="160"/>
      <c r="X344" s="160"/>
      <c r="Y344" s="160"/>
      <c r="Z344" s="160"/>
      <c r="AA344" s="160"/>
      <c r="AB344" s="160"/>
      <c r="AC344" s="160"/>
      <c r="AD344" s="160"/>
      <c r="AE344" s="160"/>
      <c r="AF344" s="160"/>
      <c r="AG344" s="160"/>
      <c r="AH344" s="160"/>
      <c r="AI344" s="160"/>
      <c r="AJ344" s="160"/>
      <c r="AK344" s="160"/>
      <c r="AL344" s="160"/>
      <c r="AM344" s="160"/>
      <c r="AN344" s="164"/>
      <c r="AO344" s="160"/>
      <c r="AP344" s="160"/>
      <c r="AQ344" s="160"/>
      <c r="AR344" s="160"/>
      <c r="AS344" s="160"/>
      <c r="AT344" s="160"/>
      <c r="AU344" s="160"/>
      <c r="AV344" s="160"/>
      <c r="AW344" s="160"/>
      <c r="AX344" s="160"/>
      <c r="AY344" s="160"/>
      <c r="AZ344" s="160"/>
      <c r="BA344" s="160"/>
      <c r="BB344" s="160"/>
      <c r="BC344" s="160"/>
      <c r="BD344" s="160"/>
      <c r="BE344" s="160"/>
      <c r="BF344" s="160"/>
      <c r="BG344" s="160"/>
      <c r="BH344" s="160"/>
      <c r="BI344" s="160"/>
      <c r="BJ344" s="160"/>
      <c r="BK344" s="160"/>
      <c r="BL344" s="160"/>
      <c r="BM344" s="160"/>
      <c r="BN344" s="160"/>
      <c r="BO344" s="160"/>
      <c r="BP344" s="160"/>
      <c r="BQ344" s="160"/>
      <c r="BR344" s="160"/>
      <c r="BS344" s="160"/>
      <c r="BT344" s="160"/>
      <c r="BU344" s="160"/>
      <c r="BV344" s="160"/>
      <c r="BW344" s="160"/>
      <c r="BX344" s="160"/>
      <c r="BY344" s="160"/>
      <c r="BZ344" s="160"/>
      <c r="CA344" s="160"/>
      <c r="CB344" s="160"/>
      <c r="CC344" s="160"/>
      <c r="CD344" s="160"/>
      <c r="CE344" s="160"/>
      <c r="CF344" s="160"/>
      <c r="CG344" s="160"/>
      <c r="CH344" s="160"/>
      <c r="CI344" s="160"/>
      <c r="CJ344" s="160"/>
      <c r="CK344" s="160"/>
      <c r="CL344" s="160"/>
    </row>
    <row r="345">
      <c r="A345" s="174" t="s">
        <v>196</v>
      </c>
      <c r="B345" s="11" t="s">
        <v>197</v>
      </c>
      <c r="C345" s="175" t="s">
        <v>83</v>
      </c>
      <c r="D345" s="176" t="str">
        <f>IFERROR(VLOOKUP(C345, PIC!A:B, 2, 0), "")</f>
        <v>Anh Ha</v>
      </c>
      <c r="E345" s="11" t="s">
        <v>22</v>
      </c>
      <c r="F345" s="16" t="s">
        <v>849</v>
      </c>
      <c r="G345" s="16" t="s">
        <v>861</v>
      </c>
      <c r="H345" s="170">
        <f>IFERROR(
  MINIFS(ATTENDANCE_LOG!$F:$F,
         ATTENDANCE_LOG!$A:$A, C345,
         ATTENDANCE_LOG!$B:$B, E345),
"")</f>
        <v>45764.41667</v>
      </c>
      <c r="I345" s="170">
        <f t="shared" si="2"/>
        <v>45764.41667</v>
      </c>
      <c r="J345" s="11">
        <f>IFERROR(VLOOKUP(F345, LEVEL_HELPER!$A:$B, 2, 0), "")</f>
        <v>1</v>
      </c>
      <c r="K345" s="11">
        <f>IFERROR(VLOOKUP(G345, LEVEL_HELPER!$A:$B, 2, 0), "")</f>
        <v>3.5</v>
      </c>
      <c r="L345" s="171" t="s">
        <v>400</v>
      </c>
      <c r="M345" s="171" t="s">
        <v>151</v>
      </c>
      <c r="N345" s="11">
        <f t="array" ref="N345">IFERROR(
  INDEX($J$2:$J$531,
    MATCH(A345&amp;TEXT(I345,"yyyy-mm-dd"),
          $A$2:$A$531&amp;TEXT($H$2:$H$531,"yyyy-mm-dd"),
          0)),
"")</f>
        <v>1</v>
      </c>
      <c r="O345" s="160">
        <f t="shared" si="3"/>
        <v>5</v>
      </c>
      <c r="P345" s="160">
        <f t="shared" ref="P345:Q345" si="355">IF(N345="",0,IF(N345&lt;=2,1,IF(N345&lt;=4,2,IF(N345&lt;=5.5,3,4))))</f>
        <v>1</v>
      </c>
      <c r="Q345" s="160">
        <f t="shared" si="355"/>
        <v>3</v>
      </c>
      <c r="R345" s="160" t="str">
        <f t="shared" si="5"/>
        <v>Lv1 → Lv3 (multi)</v>
      </c>
      <c r="S345" s="160">
        <f t="shared" si="6"/>
        <v>1</v>
      </c>
      <c r="T345" s="177" t="s">
        <v>1056</v>
      </c>
      <c r="U345" s="160">
        <f>COUNTIFS(sheet2!$A:$A,A345,sheet2!$E:$E,E345)</f>
        <v>1</v>
      </c>
      <c r="V345" s="160"/>
      <c r="W345" s="160"/>
      <c r="X345" s="160"/>
      <c r="Y345" s="160"/>
      <c r="Z345" s="160"/>
      <c r="AA345" s="160"/>
      <c r="AB345" s="160"/>
      <c r="AC345" s="160"/>
      <c r="AD345" s="160"/>
      <c r="AE345" s="160"/>
      <c r="AF345" s="160"/>
      <c r="AG345" s="160"/>
      <c r="AH345" s="160"/>
      <c r="AI345" s="160"/>
      <c r="AJ345" s="160"/>
      <c r="AK345" s="160"/>
      <c r="AL345" s="160"/>
      <c r="AM345" s="160"/>
      <c r="AN345" s="164"/>
      <c r="AO345" s="160"/>
      <c r="AP345" s="160"/>
      <c r="AQ345" s="160"/>
      <c r="AR345" s="160"/>
      <c r="AS345" s="160"/>
      <c r="AT345" s="160"/>
      <c r="AU345" s="160"/>
      <c r="AV345" s="160"/>
      <c r="AW345" s="160"/>
      <c r="AX345" s="160"/>
      <c r="AY345" s="160"/>
      <c r="AZ345" s="160"/>
      <c r="BA345" s="160"/>
      <c r="BB345" s="160"/>
      <c r="BC345" s="160"/>
      <c r="BD345" s="160"/>
      <c r="BE345" s="160"/>
      <c r="BF345" s="160"/>
      <c r="BG345" s="160"/>
      <c r="BH345" s="160"/>
      <c r="BI345" s="160"/>
      <c r="BJ345" s="160"/>
      <c r="BK345" s="160"/>
      <c r="BL345" s="160"/>
      <c r="BM345" s="160"/>
      <c r="BN345" s="160"/>
      <c r="BO345" s="160"/>
      <c r="BP345" s="160"/>
      <c r="BQ345" s="160"/>
      <c r="BR345" s="160"/>
      <c r="BS345" s="160"/>
      <c r="BT345" s="160"/>
      <c r="BU345" s="160"/>
      <c r="BV345" s="160"/>
      <c r="BW345" s="160"/>
      <c r="BX345" s="160"/>
      <c r="BY345" s="160"/>
      <c r="BZ345" s="160"/>
      <c r="CA345" s="160"/>
      <c r="CB345" s="160"/>
      <c r="CC345" s="160"/>
      <c r="CD345" s="160"/>
      <c r="CE345" s="160"/>
      <c r="CF345" s="160"/>
      <c r="CG345" s="160"/>
      <c r="CH345" s="160"/>
      <c r="CI345" s="160"/>
      <c r="CJ345" s="160"/>
      <c r="CK345" s="160"/>
      <c r="CL345" s="160"/>
    </row>
    <row r="346">
      <c r="A346" s="174" t="s">
        <v>198</v>
      </c>
      <c r="B346" s="11" t="s">
        <v>199</v>
      </c>
      <c r="C346" s="175" t="s">
        <v>83</v>
      </c>
      <c r="D346" s="176" t="str">
        <f>IFERROR(VLOOKUP(C346, PIC!A:B, 2, 0), "")</f>
        <v>Anh Ha</v>
      </c>
      <c r="E346" s="11" t="s">
        <v>22</v>
      </c>
      <c r="F346" s="16" t="s">
        <v>849</v>
      </c>
      <c r="G346" s="16" t="s">
        <v>861</v>
      </c>
      <c r="H346" s="170">
        <f>IFERROR(
  MINIFS(ATTENDANCE_LOG!$F:$F,
         ATTENDANCE_LOG!$A:$A, C346,
         ATTENDANCE_LOG!$B:$B, E346),
"")</f>
        <v>45764.41667</v>
      </c>
      <c r="I346" s="170">
        <f t="shared" si="2"/>
        <v>45764.41667</v>
      </c>
      <c r="J346" s="11">
        <f>IFERROR(VLOOKUP(F346, LEVEL_HELPER!$A:$B, 2, 0), "")</f>
        <v>1</v>
      </c>
      <c r="K346" s="11">
        <f>IFERROR(VLOOKUP(G346, LEVEL_HELPER!$A:$B, 2, 0), "")</f>
        <v>3.5</v>
      </c>
      <c r="L346" s="171" t="s">
        <v>400</v>
      </c>
      <c r="M346" s="171" t="s">
        <v>151</v>
      </c>
      <c r="N346" s="11">
        <f t="array" ref="N346">IFERROR(
  INDEX($J$2:$J$531,
    MATCH(A346&amp;TEXT(I346,"yyyy-mm-dd"),
          $A$2:$A$531&amp;TEXT($H$2:$H$531,"yyyy-mm-dd"),
          0)),
"")</f>
        <v>1</v>
      </c>
      <c r="O346" s="160">
        <f t="shared" si="3"/>
        <v>3.5</v>
      </c>
      <c r="P346" s="160">
        <f t="shared" ref="P346:Q346" si="356">IF(N346="",0,IF(N346&lt;=2,1,IF(N346&lt;=4,2,IF(N346&lt;=5.5,3,4))))</f>
        <v>1</v>
      </c>
      <c r="Q346" s="160">
        <f t="shared" si="356"/>
        <v>2</v>
      </c>
      <c r="R346" s="160" t="str">
        <f t="shared" si="5"/>
        <v>Lv1 → Lv2</v>
      </c>
      <c r="S346" s="160">
        <f t="shared" si="6"/>
        <v>1</v>
      </c>
      <c r="T346" s="177" t="s">
        <v>1057</v>
      </c>
      <c r="U346" s="160">
        <f>COUNTIFS(sheet2!$A:$A,A346,sheet2!$E:$E,E346)</f>
        <v>1</v>
      </c>
      <c r="V346" s="160"/>
      <c r="W346" s="160"/>
      <c r="X346" s="160"/>
      <c r="Y346" s="160"/>
      <c r="Z346" s="160"/>
      <c r="AA346" s="160"/>
      <c r="AB346" s="160"/>
      <c r="AC346" s="160"/>
      <c r="AD346" s="160"/>
      <c r="AE346" s="160"/>
      <c r="AF346" s="160"/>
      <c r="AG346" s="160"/>
      <c r="AH346" s="160"/>
      <c r="AI346" s="160"/>
      <c r="AJ346" s="160"/>
      <c r="AK346" s="160"/>
      <c r="AL346" s="160"/>
      <c r="AM346" s="160"/>
      <c r="AN346" s="164"/>
      <c r="AO346" s="160"/>
      <c r="AP346" s="160"/>
      <c r="AQ346" s="160"/>
      <c r="AR346" s="160"/>
      <c r="AS346" s="160"/>
      <c r="AT346" s="160"/>
      <c r="AU346" s="160"/>
      <c r="AV346" s="160"/>
      <c r="AW346" s="160"/>
      <c r="AX346" s="160"/>
      <c r="AY346" s="160"/>
      <c r="AZ346" s="160"/>
      <c r="BA346" s="160"/>
      <c r="BB346" s="160"/>
      <c r="BC346" s="160"/>
      <c r="BD346" s="160"/>
      <c r="BE346" s="160"/>
      <c r="BF346" s="160"/>
      <c r="BG346" s="160"/>
      <c r="BH346" s="160"/>
      <c r="BI346" s="160"/>
      <c r="BJ346" s="160"/>
      <c r="BK346" s="160"/>
      <c r="BL346" s="160"/>
      <c r="BM346" s="160"/>
      <c r="BN346" s="160"/>
      <c r="BO346" s="160"/>
      <c r="BP346" s="160"/>
      <c r="BQ346" s="160"/>
      <c r="BR346" s="160"/>
      <c r="BS346" s="160"/>
      <c r="BT346" s="160"/>
      <c r="BU346" s="160"/>
      <c r="BV346" s="160"/>
      <c r="BW346" s="160"/>
      <c r="BX346" s="160"/>
      <c r="BY346" s="160"/>
      <c r="BZ346" s="160"/>
      <c r="CA346" s="160"/>
      <c r="CB346" s="160"/>
      <c r="CC346" s="160"/>
      <c r="CD346" s="160"/>
      <c r="CE346" s="160"/>
      <c r="CF346" s="160"/>
      <c r="CG346" s="160"/>
      <c r="CH346" s="160"/>
      <c r="CI346" s="160"/>
      <c r="CJ346" s="160"/>
      <c r="CK346" s="160"/>
      <c r="CL346" s="160"/>
    </row>
    <row r="347">
      <c r="A347" s="174" t="s">
        <v>717</v>
      </c>
      <c r="B347" s="167" t="s">
        <v>718</v>
      </c>
      <c r="C347" s="168" t="s">
        <v>83</v>
      </c>
      <c r="D347" s="169" t="str">
        <f>IFERROR(VLOOKUP(C347, PIC!A:B, 2, 0), "")</f>
        <v>Anh Ha</v>
      </c>
      <c r="E347" s="167" t="s">
        <v>23</v>
      </c>
      <c r="F347" s="16" t="s">
        <v>861</v>
      </c>
      <c r="G347" s="16" t="s">
        <v>868</v>
      </c>
      <c r="H347" s="170">
        <f>IFERROR(
  MINIFS(ATTENDANCE_LOG!$F:$F,
         ATTENDANCE_LOG!$A:$A, C347,
         ATTENDANCE_LOG!$B:$B, E347),
"")</f>
        <v>45882.41667</v>
      </c>
      <c r="I347" s="170">
        <f t="shared" si="2"/>
        <v>45764.41667</v>
      </c>
      <c r="J347" s="11">
        <f>IFERROR(VLOOKUP(F347, LEVEL_HELPER!$A:$B, 2, 0), "")</f>
        <v>3.5</v>
      </c>
      <c r="K347" s="11">
        <f>IFERROR(VLOOKUP(G347, LEVEL_HELPER!$A:$B, 2, 0), "")</f>
        <v>5</v>
      </c>
      <c r="L347" s="171" t="s">
        <v>400</v>
      </c>
      <c r="M347" s="171" t="s">
        <v>151</v>
      </c>
      <c r="N347" s="11">
        <f t="array" ref="N347">IFERROR(
  INDEX($J$2:$J$531,
    MATCH(A347&amp;TEXT(I347,"yyyy-mm-dd"),
          $A$2:$A$531&amp;TEXT($H$2:$H$531,"yyyy-mm-dd"),
          0)),
"")</f>
        <v>1</v>
      </c>
      <c r="O347" s="160">
        <f t="shared" si="3"/>
        <v>5</v>
      </c>
      <c r="P347" s="160">
        <f t="shared" ref="P347:Q347" si="357">IF(N347="",0,IF(N347&lt;=2,1,IF(N347&lt;=4,2,IF(N347&lt;=5.5,3,4))))</f>
        <v>1</v>
      </c>
      <c r="Q347" s="160">
        <f t="shared" si="357"/>
        <v>3</v>
      </c>
      <c r="R347" s="160" t="str">
        <f t="shared" si="5"/>
        <v>Lv1 → Lv3 (multi)</v>
      </c>
      <c r="S347" s="160">
        <f t="shared" si="6"/>
        <v>0</v>
      </c>
      <c r="T347" s="172" t="s">
        <v>1051</v>
      </c>
      <c r="U347" s="160">
        <f>COUNTIFS(sheet2!$A:$A,A347,sheet2!$E:$E,E347)</f>
        <v>1</v>
      </c>
      <c r="V347" s="160"/>
      <c r="W347" s="160"/>
      <c r="X347" s="160"/>
      <c r="Y347" s="160"/>
      <c r="Z347" s="160"/>
      <c r="AA347" s="160"/>
      <c r="AB347" s="160"/>
      <c r="AC347" s="160"/>
      <c r="AD347" s="160"/>
      <c r="AE347" s="160"/>
      <c r="AF347" s="160"/>
      <c r="AG347" s="160"/>
      <c r="AH347" s="160"/>
      <c r="AI347" s="160"/>
      <c r="AJ347" s="160"/>
      <c r="AK347" s="160"/>
      <c r="AL347" s="160"/>
      <c r="AM347" s="160"/>
      <c r="AN347" s="164"/>
      <c r="AO347" s="160"/>
      <c r="AP347" s="160"/>
      <c r="AQ347" s="160"/>
      <c r="AR347" s="160"/>
      <c r="AS347" s="160"/>
      <c r="AT347" s="160"/>
      <c r="AU347" s="160"/>
      <c r="AV347" s="160"/>
      <c r="AW347" s="160"/>
      <c r="AX347" s="160"/>
      <c r="AY347" s="160"/>
      <c r="AZ347" s="160"/>
      <c r="BA347" s="160"/>
      <c r="BB347" s="160"/>
      <c r="BC347" s="160"/>
      <c r="BD347" s="160"/>
      <c r="BE347" s="160"/>
      <c r="BF347" s="160"/>
      <c r="BG347" s="160"/>
      <c r="BH347" s="160"/>
      <c r="BI347" s="160"/>
      <c r="BJ347" s="160"/>
      <c r="BK347" s="160"/>
      <c r="BL347" s="160"/>
      <c r="BM347" s="160"/>
      <c r="BN347" s="160"/>
      <c r="BO347" s="160"/>
      <c r="BP347" s="160"/>
      <c r="BQ347" s="160"/>
      <c r="BR347" s="160"/>
      <c r="BS347" s="160"/>
      <c r="BT347" s="160"/>
      <c r="BU347" s="160"/>
      <c r="BV347" s="160"/>
      <c r="BW347" s="160"/>
      <c r="BX347" s="160"/>
      <c r="BY347" s="160"/>
      <c r="BZ347" s="160"/>
      <c r="CA347" s="160"/>
      <c r="CB347" s="160"/>
      <c r="CC347" s="160"/>
      <c r="CD347" s="160"/>
      <c r="CE347" s="160"/>
      <c r="CF347" s="160"/>
      <c r="CG347" s="160"/>
      <c r="CH347" s="160"/>
      <c r="CI347" s="160"/>
      <c r="CJ347" s="160"/>
      <c r="CK347" s="160"/>
      <c r="CL347" s="160"/>
    </row>
    <row r="348">
      <c r="A348" s="174" t="s">
        <v>183</v>
      </c>
      <c r="B348" s="11" t="s">
        <v>184</v>
      </c>
      <c r="C348" s="175" t="s">
        <v>83</v>
      </c>
      <c r="D348" s="176" t="str">
        <f>IFERROR(VLOOKUP(C348, PIC!A:B, 2, 0), "")</f>
        <v>Anh Ha</v>
      </c>
      <c r="E348" s="11" t="s">
        <v>23</v>
      </c>
      <c r="F348" s="16" t="s">
        <v>853</v>
      </c>
      <c r="G348" s="16" t="s">
        <v>846</v>
      </c>
      <c r="H348" s="170">
        <f>IFERROR(
  MINIFS(ATTENDANCE_LOG!$F:$F,
         ATTENDANCE_LOG!$A:$A, C348,
         ATTENDANCE_LOG!$B:$B, E348),
"")</f>
        <v>45882.41667</v>
      </c>
      <c r="I348" s="170">
        <f t="shared" si="2"/>
        <v>45764.58333</v>
      </c>
      <c r="J348" s="11">
        <f>IFERROR(VLOOKUP(F348, LEVEL_HELPER!$A:$B, 2, 0), "")</f>
        <v>1.5</v>
      </c>
      <c r="K348" s="11">
        <f>IFERROR(VLOOKUP(G348, LEVEL_HELPER!$A:$B, 2, 0), "")</f>
        <v>3</v>
      </c>
      <c r="L348" s="171" t="s">
        <v>847</v>
      </c>
      <c r="M348" s="171" t="s">
        <v>151</v>
      </c>
      <c r="N348" s="11">
        <f t="array" ref="N348">IFERROR(
  INDEX($J$2:$J$531,
    MATCH(A348&amp;TEXT(I348,"yyyy-mm-dd"),
          $A$2:$A$531&amp;TEXT($H$2:$H$531,"yyyy-mm-dd"),
          0)),
"")</f>
        <v>1</v>
      </c>
      <c r="O348" s="160">
        <f t="shared" si="3"/>
        <v>3</v>
      </c>
      <c r="P348" s="160">
        <f t="shared" ref="P348:Q348" si="358">IF(N348="",0,IF(N348&lt;=2,1,IF(N348&lt;=4,2,IF(N348&lt;=5.5,3,4))))</f>
        <v>1</v>
      </c>
      <c r="Q348" s="160">
        <f t="shared" si="358"/>
        <v>2</v>
      </c>
      <c r="R348" s="160" t="str">
        <f t="shared" si="5"/>
        <v>Lv1 → Lv2</v>
      </c>
      <c r="S348" s="160">
        <f t="shared" si="6"/>
        <v>1</v>
      </c>
      <c r="T348" s="177" t="s">
        <v>1058</v>
      </c>
      <c r="U348" s="160">
        <f>COUNTIFS(sheet2!$A:$A,A348,sheet2!$E:$E,E348)</f>
        <v>1</v>
      </c>
      <c r="V348" s="160"/>
      <c r="W348" s="160"/>
      <c r="X348" s="160"/>
      <c r="Y348" s="160"/>
      <c r="Z348" s="160"/>
      <c r="AA348" s="160"/>
      <c r="AB348" s="160"/>
      <c r="AC348" s="160"/>
      <c r="AD348" s="160"/>
      <c r="AE348" s="160"/>
      <c r="AF348" s="160"/>
      <c r="AG348" s="160"/>
      <c r="AH348" s="160"/>
      <c r="AI348" s="160"/>
      <c r="AJ348" s="160"/>
      <c r="AK348" s="160"/>
      <c r="AL348" s="160"/>
      <c r="AM348" s="160"/>
      <c r="AN348" s="164"/>
      <c r="AO348" s="160"/>
      <c r="AP348" s="160"/>
      <c r="AQ348" s="160"/>
      <c r="AR348" s="160"/>
      <c r="AS348" s="160"/>
      <c r="AT348" s="160"/>
      <c r="AU348" s="160"/>
      <c r="AV348" s="160"/>
      <c r="AW348" s="160"/>
      <c r="AX348" s="160"/>
      <c r="AY348" s="160"/>
      <c r="AZ348" s="160"/>
      <c r="BA348" s="160"/>
      <c r="BB348" s="160"/>
      <c r="BC348" s="160"/>
      <c r="BD348" s="160"/>
      <c r="BE348" s="160"/>
      <c r="BF348" s="160"/>
      <c r="BG348" s="160"/>
      <c r="BH348" s="160"/>
      <c r="BI348" s="160"/>
      <c r="BJ348" s="160"/>
      <c r="BK348" s="160"/>
      <c r="BL348" s="160"/>
      <c r="BM348" s="160"/>
      <c r="BN348" s="160"/>
      <c r="BO348" s="160"/>
      <c r="BP348" s="160"/>
      <c r="BQ348" s="160"/>
      <c r="BR348" s="160"/>
      <c r="BS348" s="160"/>
      <c r="BT348" s="160"/>
      <c r="BU348" s="160"/>
      <c r="BV348" s="160"/>
      <c r="BW348" s="160"/>
      <c r="BX348" s="160"/>
      <c r="BY348" s="160"/>
      <c r="BZ348" s="160"/>
      <c r="CA348" s="160"/>
      <c r="CB348" s="160"/>
      <c r="CC348" s="160"/>
      <c r="CD348" s="160"/>
      <c r="CE348" s="160"/>
      <c r="CF348" s="160"/>
      <c r="CG348" s="160"/>
      <c r="CH348" s="160"/>
      <c r="CI348" s="160"/>
      <c r="CJ348" s="160"/>
      <c r="CK348" s="160"/>
      <c r="CL348" s="160"/>
    </row>
    <row r="349">
      <c r="A349" s="174" t="s">
        <v>185</v>
      </c>
      <c r="B349" s="11" t="s">
        <v>186</v>
      </c>
      <c r="C349" s="175" t="s">
        <v>83</v>
      </c>
      <c r="D349" s="176" t="str">
        <f>IFERROR(VLOOKUP(C349, PIC!A:B, 2, 0), "")</f>
        <v>Anh Ha</v>
      </c>
      <c r="E349" s="11" t="s">
        <v>23</v>
      </c>
      <c r="F349" s="16" t="s">
        <v>849</v>
      </c>
      <c r="G349" s="16" t="s">
        <v>846</v>
      </c>
      <c r="H349" s="170">
        <f>IFERROR(
  MINIFS(ATTENDANCE_LOG!$F:$F,
         ATTENDANCE_LOG!$A:$A, C349,
         ATTENDANCE_LOG!$B:$B, E349),
"")</f>
        <v>45882.41667</v>
      </c>
      <c r="I349" s="170">
        <f t="shared" si="2"/>
        <v>45764.41667</v>
      </c>
      <c r="J349" s="11">
        <f>IFERROR(VLOOKUP(F349, LEVEL_HELPER!$A:$B, 2, 0), "")</f>
        <v>1</v>
      </c>
      <c r="K349" s="11">
        <f>IFERROR(VLOOKUP(G349, LEVEL_HELPER!$A:$B, 2, 0), "")</f>
        <v>3</v>
      </c>
      <c r="L349" s="171" t="s">
        <v>400</v>
      </c>
      <c r="M349" s="171" t="s">
        <v>151</v>
      </c>
      <c r="N349" s="11">
        <f t="array" ref="N349">IFERROR(
  INDEX($J$2:$J$531,
    MATCH(A349&amp;TEXT(I349,"yyyy-mm-dd"),
          $A$2:$A$531&amp;TEXT($H$2:$H$531,"yyyy-mm-dd"),
          0)),
"")</f>
        <v>1</v>
      </c>
      <c r="O349" s="160">
        <f t="shared" si="3"/>
        <v>3</v>
      </c>
      <c r="P349" s="160">
        <f t="shared" ref="P349:Q349" si="359">IF(N349="",0,IF(N349&lt;=2,1,IF(N349&lt;=4,2,IF(N349&lt;=5.5,3,4))))</f>
        <v>1</v>
      </c>
      <c r="Q349" s="160">
        <f t="shared" si="359"/>
        <v>2</v>
      </c>
      <c r="R349" s="160" t="str">
        <f t="shared" si="5"/>
        <v>Lv1 → Lv2</v>
      </c>
      <c r="S349" s="160">
        <f t="shared" si="6"/>
        <v>0</v>
      </c>
      <c r="T349" s="177" t="s">
        <v>1052</v>
      </c>
      <c r="U349" s="160">
        <f>COUNTIFS(sheet2!$A:$A,A349,sheet2!$E:$E,E349)</f>
        <v>1</v>
      </c>
      <c r="V349" s="160"/>
      <c r="W349" s="160"/>
      <c r="X349" s="160"/>
      <c r="Y349" s="160"/>
      <c r="Z349" s="160"/>
      <c r="AA349" s="160"/>
      <c r="AB349" s="160"/>
      <c r="AC349" s="160"/>
      <c r="AD349" s="160"/>
      <c r="AE349" s="160"/>
      <c r="AF349" s="160"/>
      <c r="AG349" s="160"/>
      <c r="AH349" s="160"/>
      <c r="AI349" s="160"/>
      <c r="AJ349" s="160"/>
      <c r="AK349" s="160"/>
      <c r="AL349" s="160"/>
      <c r="AM349" s="160"/>
      <c r="AN349" s="164"/>
      <c r="AO349" s="160"/>
      <c r="AP349" s="160"/>
      <c r="AQ349" s="160"/>
      <c r="AR349" s="160"/>
      <c r="AS349" s="160"/>
      <c r="AT349" s="160"/>
      <c r="AU349" s="160"/>
      <c r="AV349" s="160"/>
      <c r="AW349" s="160"/>
      <c r="AX349" s="160"/>
      <c r="AY349" s="160"/>
      <c r="AZ349" s="160"/>
      <c r="BA349" s="160"/>
      <c r="BB349" s="160"/>
      <c r="BC349" s="160"/>
      <c r="BD349" s="160"/>
      <c r="BE349" s="160"/>
      <c r="BF349" s="160"/>
      <c r="BG349" s="160"/>
      <c r="BH349" s="160"/>
      <c r="BI349" s="160"/>
      <c r="BJ349" s="160"/>
      <c r="BK349" s="160"/>
      <c r="BL349" s="160"/>
      <c r="BM349" s="160"/>
      <c r="BN349" s="160"/>
      <c r="BO349" s="160"/>
      <c r="BP349" s="160"/>
      <c r="BQ349" s="160"/>
      <c r="BR349" s="160"/>
      <c r="BS349" s="160"/>
      <c r="BT349" s="160"/>
      <c r="BU349" s="160"/>
      <c r="BV349" s="160"/>
      <c r="BW349" s="160"/>
      <c r="BX349" s="160"/>
      <c r="BY349" s="160"/>
      <c r="BZ349" s="160"/>
      <c r="CA349" s="160"/>
      <c r="CB349" s="160"/>
      <c r="CC349" s="160"/>
      <c r="CD349" s="160"/>
      <c r="CE349" s="160"/>
      <c r="CF349" s="160"/>
      <c r="CG349" s="160"/>
      <c r="CH349" s="160"/>
      <c r="CI349" s="160"/>
      <c r="CJ349" s="160"/>
      <c r="CK349" s="160"/>
      <c r="CL349" s="160"/>
    </row>
    <row r="350">
      <c r="A350" s="174" t="s">
        <v>200</v>
      </c>
      <c r="B350" s="11" t="s">
        <v>201</v>
      </c>
      <c r="C350" s="175" t="s">
        <v>83</v>
      </c>
      <c r="D350" s="176" t="str">
        <f>IFERROR(VLOOKUP(C350, PIC!A:B, 2, 0), "")</f>
        <v>Anh Ha</v>
      </c>
      <c r="E350" s="11" t="s">
        <v>23</v>
      </c>
      <c r="F350" s="16" t="s">
        <v>853</v>
      </c>
      <c r="G350" s="16" t="s">
        <v>846</v>
      </c>
      <c r="H350" s="170">
        <f>IFERROR(
  MINIFS(ATTENDANCE_LOG!$F:$F,
         ATTENDANCE_LOG!$A:$A, C350,
         ATTENDANCE_LOG!$B:$B, E350),
"")</f>
        <v>45882.41667</v>
      </c>
      <c r="I350" s="170">
        <f t="shared" si="2"/>
        <v>45764.41667</v>
      </c>
      <c r="J350" s="11">
        <f>IFERROR(VLOOKUP(F350, LEVEL_HELPER!$A:$B, 2, 0), "")</f>
        <v>1.5</v>
      </c>
      <c r="K350" s="11">
        <f>IFERROR(VLOOKUP(G350, LEVEL_HELPER!$A:$B, 2, 0), "")</f>
        <v>3</v>
      </c>
      <c r="L350" s="171" t="s">
        <v>400</v>
      </c>
      <c r="M350" s="171" t="s">
        <v>151</v>
      </c>
      <c r="N350" s="11">
        <f t="array" ref="N350">IFERROR(
  INDEX($J$2:$J$531,
    MATCH(A350&amp;TEXT(I350,"yyyy-mm-dd"),
          $A$2:$A$531&amp;TEXT($H$2:$H$531,"yyyy-mm-dd"),
          0)),
"")</f>
        <v>1</v>
      </c>
      <c r="O350" s="160">
        <f t="shared" si="3"/>
        <v>3</v>
      </c>
      <c r="P350" s="160">
        <f t="shared" ref="P350:Q350" si="360">IF(N350="",0,IF(N350&lt;=2,1,IF(N350&lt;=4,2,IF(N350&lt;=5.5,3,4))))</f>
        <v>1</v>
      </c>
      <c r="Q350" s="160">
        <f t="shared" si="360"/>
        <v>2</v>
      </c>
      <c r="R350" s="160" t="str">
        <f t="shared" si="5"/>
        <v>Lv1 → Lv2</v>
      </c>
      <c r="S350" s="160">
        <f t="shared" si="6"/>
        <v>0</v>
      </c>
      <c r="T350" s="177" t="s">
        <v>1053</v>
      </c>
      <c r="U350" s="160">
        <f>COUNTIFS(sheet2!$A:$A,A350,sheet2!$E:$E,E350)</f>
        <v>1</v>
      </c>
      <c r="V350" s="160"/>
      <c r="W350" s="160"/>
      <c r="X350" s="160"/>
      <c r="Y350" s="160"/>
      <c r="Z350" s="160"/>
      <c r="AA350" s="160"/>
      <c r="AB350" s="160"/>
      <c r="AC350" s="160"/>
      <c r="AD350" s="160"/>
      <c r="AE350" s="160"/>
      <c r="AF350" s="160"/>
      <c r="AG350" s="160"/>
      <c r="AH350" s="160"/>
      <c r="AI350" s="160"/>
      <c r="AJ350" s="160"/>
      <c r="AK350" s="160"/>
      <c r="AL350" s="160"/>
      <c r="AM350" s="160"/>
      <c r="AN350" s="164"/>
      <c r="AO350" s="160"/>
      <c r="AP350" s="160"/>
      <c r="AQ350" s="160"/>
      <c r="AR350" s="160"/>
      <c r="AS350" s="160"/>
      <c r="AT350" s="160"/>
      <c r="AU350" s="160"/>
      <c r="AV350" s="160"/>
      <c r="AW350" s="160"/>
      <c r="AX350" s="160"/>
      <c r="AY350" s="160"/>
      <c r="AZ350" s="160"/>
      <c r="BA350" s="160"/>
      <c r="BB350" s="160"/>
      <c r="BC350" s="160"/>
      <c r="BD350" s="160"/>
      <c r="BE350" s="160"/>
      <c r="BF350" s="160"/>
      <c r="BG350" s="160"/>
      <c r="BH350" s="160"/>
      <c r="BI350" s="160"/>
      <c r="BJ350" s="160"/>
      <c r="BK350" s="160"/>
      <c r="BL350" s="160"/>
      <c r="BM350" s="160"/>
      <c r="BN350" s="160"/>
      <c r="BO350" s="160"/>
      <c r="BP350" s="160"/>
      <c r="BQ350" s="160"/>
      <c r="BR350" s="160"/>
      <c r="BS350" s="160"/>
      <c r="BT350" s="160"/>
      <c r="BU350" s="160"/>
      <c r="BV350" s="160"/>
      <c r="BW350" s="160"/>
      <c r="BX350" s="160"/>
      <c r="BY350" s="160"/>
      <c r="BZ350" s="160"/>
      <c r="CA350" s="160"/>
      <c r="CB350" s="160"/>
      <c r="CC350" s="160"/>
      <c r="CD350" s="160"/>
      <c r="CE350" s="160"/>
      <c r="CF350" s="160"/>
      <c r="CG350" s="160"/>
      <c r="CH350" s="160"/>
      <c r="CI350" s="160"/>
      <c r="CJ350" s="160"/>
      <c r="CK350" s="160"/>
      <c r="CL350" s="160"/>
    </row>
    <row r="351">
      <c r="A351" s="174" t="s">
        <v>187</v>
      </c>
      <c r="B351" s="11" t="s">
        <v>188</v>
      </c>
      <c r="C351" s="175" t="s">
        <v>83</v>
      </c>
      <c r="D351" s="176" t="str">
        <f>IFERROR(VLOOKUP(C351, PIC!A:B, 2, 0), "")</f>
        <v>Anh Ha</v>
      </c>
      <c r="E351" s="11" t="s">
        <v>23</v>
      </c>
      <c r="F351" s="16" t="s">
        <v>846</v>
      </c>
      <c r="G351" s="16" t="s">
        <v>861</v>
      </c>
      <c r="H351" s="170">
        <f>IFERROR(
  MINIFS(ATTENDANCE_LOG!$F:$F,
         ATTENDANCE_LOG!$A:$A, C351,
         ATTENDANCE_LOG!$B:$B, E351),
"")</f>
        <v>45882.41667</v>
      </c>
      <c r="I351" s="170">
        <f t="shared" si="2"/>
        <v>45764.41667</v>
      </c>
      <c r="J351" s="11">
        <f>IFERROR(VLOOKUP(F351, LEVEL_HELPER!$A:$B, 2, 0), "")</f>
        <v>3</v>
      </c>
      <c r="K351" s="11">
        <f>IFERROR(VLOOKUP(G351, LEVEL_HELPER!$A:$B, 2, 0), "")</f>
        <v>3.5</v>
      </c>
      <c r="L351" s="171" t="s">
        <v>400</v>
      </c>
      <c r="M351" s="171" t="s">
        <v>151</v>
      </c>
      <c r="N351" s="11">
        <f t="array" ref="N351">IFERROR(
  INDEX($J$2:$J$531,
    MATCH(A351&amp;TEXT(I351,"yyyy-mm-dd"),
          $A$2:$A$531&amp;TEXT($H$2:$H$531,"yyyy-mm-dd"),
          0)),
"")</f>
        <v>1</v>
      </c>
      <c r="O351" s="160">
        <f t="shared" si="3"/>
        <v>3.5</v>
      </c>
      <c r="P351" s="160">
        <f t="shared" ref="P351:Q351" si="361">IF(N351="",0,IF(N351&lt;=2,1,IF(N351&lt;=4,2,IF(N351&lt;=5.5,3,4))))</f>
        <v>1</v>
      </c>
      <c r="Q351" s="160">
        <f t="shared" si="361"/>
        <v>2</v>
      </c>
      <c r="R351" s="160" t="str">
        <f t="shared" si="5"/>
        <v>Lv1 → Lv2</v>
      </c>
      <c r="S351" s="160">
        <f t="shared" si="6"/>
        <v>0</v>
      </c>
      <c r="T351" s="177" t="s">
        <v>1054</v>
      </c>
      <c r="U351" s="160">
        <f>COUNTIFS(sheet2!$A:$A,A351,sheet2!$E:$E,E351)</f>
        <v>1</v>
      </c>
      <c r="V351" s="160"/>
      <c r="W351" s="160"/>
      <c r="X351" s="160"/>
      <c r="Y351" s="160"/>
      <c r="Z351" s="160"/>
      <c r="AA351" s="160"/>
      <c r="AB351" s="160"/>
      <c r="AC351" s="160"/>
      <c r="AD351" s="160"/>
      <c r="AE351" s="160"/>
      <c r="AF351" s="160"/>
      <c r="AG351" s="160"/>
      <c r="AH351" s="160"/>
      <c r="AI351" s="160"/>
      <c r="AJ351" s="160"/>
      <c r="AK351" s="160"/>
      <c r="AL351" s="160"/>
      <c r="AM351" s="160"/>
      <c r="AN351" s="164"/>
      <c r="AO351" s="160"/>
      <c r="AP351" s="160"/>
      <c r="AQ351" s="160"/>
      <c r="AR351" s="160"/>
      <c r="AS351" s="160"/>
      <c r="AT351" s="160"/>
      <c r="AU351" s="160"/>
      <c r="AV351" s="160"/>
      <c r="AW351" s="160"/>
      <c r="AX351" s="160"/>
      <c r="AY351" s="160"/>
      <c r="AZ351" s="160"/>
      <c r="BA351" s="160"/>
      <c r="BB351" s="160"/>
      <c r="BC351" s="160"/>
      <c r="BD351" s="160"/>
      <c r="BE351" s="160"/>
      <c r="BF351" s="160"/>
      <c r="BG351" s="160"/>
      <c r="BH351" s="160"/>
      <c r="BI351" s="160"/>
      <c r="BJ351" s="160"/>
      <c r="BK351" s="160"/>
      <c r="BL351" s="160"/>
      <c r="BM351" s="160"/>
      <c r="BN351" s="160"/>
      <c r="BO351" s="160"/>
      <c r="BP351" s="160"/>
      <c r="BQ351" s="160"/>
      <c r="BR351" s="160"/>
      <c r="BS351" s="160"/>
      <c r="BT351" s="160"/>
      <c r="BU351" s="160"/>
      <c r="BV351" s="160"/>
      <c r="BW351" s="160"/>
      <c r="BX351" s="160"/>
      <c r="BY351" s="160"/>
      <c r="BZ351" s="160"/>
      <c r="CA351" s="160"/>
      <c r="CB351" s="160"/>
      <c r="CC351" s="160"/>
      <c r="CD351" s="160"/>
      <c r="CE351" s="160"/>
      <c r="CF351" s="160"/>
      <c r="CG351" s="160"/>
      <c r="CH351" s="160"/>
      <c r="CI351" s="160"/>
      <c r="CJ351" s="160"/>
      <c r="CK351" s="160"/>
      <c r="CL351" s="160"/>
    </row>
    <row r="352">
      <c r="A352" s="174" t="s">
        <v>191</v>
      </c>
      <c r="B352" s="11" t="s">
        <v>192</v>
      </c>
      <c r="C352" s="175" t="s">
        <v>83</v>
      </c>
      <c r="D352" s="176" t="str">
        <f>IFERROR(VLOOKUP(C352, PIC!A:B, 2, 0), "")</f>
        <v>Anh Ha</v>
      </c>
      <c r="E352" s="11" t="s">
        <v>23</v>
      </c>
      <c r="F352" s="16" t="s">
        <v>853</v>
      </c>
      <c r="G352" s="11"/>
      <c r="H352" s="170">
        <f>IFERROR(
  MINIFS(ATTENDANCE_LOG!$F:$F,
         ATTENDANCE_LOG!$A:$A, C352,
         ATTENDANCE_LOG!$B:$B, E352),
"")</f>
        <v>45882.41667</v>
      </c>
      <c r="I352" s="170">
        <f t="shared" si="2"/>
        <v>45764.58333</v>
      </c>
      <c r="J352" s="11">
        <f>IFERROR(VLOOKUP(F352, LEVEL_HELPER!$A:$B, 2, 0), "")</f>
        <v>1.5</v>
      </c>
      <c r="K352" s="11" t="str">
        <f>IFERROR(VLOOKUP(G352, LEVEL_HELPER!$A:$B, 2, 0), "")</f>
        <v/>
      </c>
      <c r="L352" s="171" t="s">
        <v>847</v>
      </c>
      <c r="M352" s="171" t="s">
        <v>151</v>
      </c>
      <c r="N352" s="11">
        <f t="array" ref="N352">IFERROR(
  INDEX($J$2:$J$531,
    MATCH(A352&amp;TEXT(I352,"yyyy-mm-dd"),
          $A$2:$A$531&amp;TEXT($H$2:$H$531,"yyyy-mm-dd"),
          0)),
"")</f>
        <v>1</v>
      </c>
      <c r="O352" s="160">
        <f t="shared" si="3"/>
        <v>1.5</v>
      </c>
      <c r="P352" s="160">
        <f t="shared" ref="P352:Q352" si="362">IF(N352="",0,IF(N352&lt;=2,1,IF(N352&lt;=4,2,IF(N352&lt;=5.5,3,4))))</f>
        <v>1</v>
      </c>
      <c r="Q352" s="160">
        <f t="shared" si="362"/>
        <v>1</v>
      </c>
      <c r="R352" s="160" t="str">
        <f t="shared" si="5"/>
        <v>Progress within level</v>
      </c>
      <c r="S352" s="160">
        <f t="shared" si="6"/>
        <v>1</v>
      </c>
      <c r="T352" s="177" t="s">
        <v>1059</v>
      </c>
      <c r="U352" s="160">
        <f>COUNTIFS(sheet2!$A:$A,A352,sheet2!$E:$E,E352)</f>
        <v>1</v>
      </c>
      <c r="V352" s="160"/>
      <c r="W352" s="160"/>
      <c r="X352" s="160"/>
      <c r="Y352" s="160"/>
      <c r="Z352" s="160"/>
      <c r="AA352" s="160"/>
      <c r="AB352" s="160"/>
      <c r="AC352" s="160"/>
      <c r="AD352" s="160"/>
      <c r="AE352" s="160"/>
      <c r="AF352" s="160"/>
      <c r="AG352" s="160"/>
      <c r="AH352" s="160"/>
      <c r="AI352" s="160"/>
      <c r="AJ352" s="160"/>
      <c r="AK352" s="160"/>
      <c r="AL352" s="160"/>
      <c r="AM352" s="160"/>
      <c r="AN352" s="164"/>
      <c r="AO352" s="160"/>
      <c r="AP352" s="160"/>
      <c r="AQ352" s="160"/>
      <c r="AR352" s="160"/>
      <c r="AS352" s="160"/>
      <c r="AT352" s="160"/>
      <c r="AU352" s="160"/>
      <c r="AV352" s="160"/>
      <c r="AW352" s="160"/>
      <c r="AX352" s="160"/>
      <c r="AY352" s="160"/>
      <c r="AZ352" s="160"/>
      <c r="BA352" s="160"/>
      <c r="BB352" s="160"/>
      <c r="BC352" s="160"/>
      <c r="BD352" s="160"/>
      <c r="BE352" s="160"/>
      <c r="BF352" s="160"/>
      <c r="BG352" s="160"/>
      <c r="BH352" s="160"/>
      <c r="BI352" s="160"/>
      <c r="BJ352" s="160"/>
      <c r="BK352" s="160"/>
      <c r="BL352" s="160"/>
      <c r="BM352" s="160"/>
      <c r="BN352" s="160"/>
      <c r="BO352" s="160"/>
      <c r="BP352" s="160"/>
      <c r="BQ352" s="160"/>
      <c r="BR352" s="160"/>
      <c r="BS352" s="160"/>
      <c r="BT352" s="160"/>
      <c r="BU352" s="160"/>
      <c r="BV352" s="160"/>
      <c r="BW352" s="160"/>
      <c r="BX352" s="160"/>
      <c r="BY352" s="160"/>
      <c r="BZ352" s="160"/>
      <c r="CA352" s="160"/>
      <c r="CB352" s="160"/>
      <c r="CC352" s="160"/>
      <c r="CD352" s="160"/>
      <c r="CE352" s="160"/>
      <c r="CF352" s="160"/>
      <c r="CG352" s="160"/>
      <c r="CH352" s="160"/>
      <c r="CI352" s="160"/>
      <c r="CJ352" s="160"/>
      <c r="CK352" s="160"/>
      <c r="CL352" s="160"/>
    </row>
    <row r="353">
      <c r="A353" s="174" t="s">
        <v>194</v>
      </c>
      <c r="B353" s="11" t="s">
        <v>195</v>
      </c>
      <c r="C353" s="175" t="s">
        <v>83</v>
      </c>
      <c r="D353" s="176" t="str">
        <f>IFERROR(VLOOKUP(C353, PIC!A:B, 2, 0), "")</f>
        <v>Anh Ha</v>
      </c>
      <c r="E353" s="11" t="s">
        <v>23</v>
      </c>
      <c r="F353" s="16" t="s">
        <v>846</v>
      </c>
      <c r="G353" s="16" t="s">
        <v>853</v>
      </c>
      <c r="H353" s="170">
        <f>IFERROR(
  MINIFS(ATTENDANCE_LOG!$F:$F,
         ATTENDANCE_LOG!$A:$A, C353,
         ATTENDANCE_LOG!$B:$B, E353),
"")</f>
        <v>45882.41667</v>
      </c>
      <c r="I353" s="170">
        <f t="shared" si="2"/>
        <v>45764.41667</v>
      </c>
      <c r="J353" s="11">
        <f>IFERROR(VLOOKUP(F353, LEVEL_HELPER!$A:$B, 2, 0), "")</f>
        <v>3</v>
      </c>
      <c r="K353" s="11">
        <f>IFERROR(VLOOKUP(G353, LEVEL_HELPER!$A:$B, 2, 0), "")</f>
        <v>1.5</v>
      </c>
      <c r="L353" s="171" t="s">
        <v>400</v>
      </c>
      <c r="M353" s="171" t="s">
        <v>151</v>
      </c>
      <c r="N353" s="11">
        <f t="array" ref="N353">IFERROR(
  INDEX($J$2:$J$531,
    MATCH(A353&amp;TEXT(I353,"yyyy-mm-dd"),
          $A$2:$A$531&amp;TEXT($H$2:$H$531,"yyyy-mm-dd"),
          0)),
"")</f>
        <v>1</v>
      </c>
      <c r="O353" s="160">
        <f t="shared" si="3"/>
        <v>3</v>
      </c>
      <c r="P353" s="160">
        <f t="shared" ref="P353:Q353" si="363">IF(N353="",0,IF(N353&lt;=2,1,IF(N353&lt;=4,2,IF(N353&lt;=5.5,3,4))))</f>
        <v>1</v>
      </c>
      <c r="Q353" s="160">
        <f t="shared" si="363"/>
        <v>2</v>
      </c>
      <c r="R353" s="160" t="str">
        <f t="shared" si="5"/>
        <v>Lv1 → Lv2</v>
      </c>
      <c r="S353" s="160">
        <f t="shared" si="6"/>
        <v>0</v>
      </c>
      <c r="T353" s="177" t="s">
        <v>1055</v>
      </c>
      <c r="U353" s="160">
        <f>COUNTIFS(sheet2!$A:$A,A353,sheet2!$E:$E,E353)</f>
        <v>1</v>
      </c>
      <c r="V353" s="160"/>
      <c r="W353" s="160"/>
      <c r="X353" s="160"/>
      <c r="Y353" s="160"/>
      <c r="Z353" s="160"/>
      <c r="AA353" s="160"/>
      <c r="AB353" s="160"/>
      <c r="AC353" s="160"/>
      <c r="AD353" s="160"/>
      <c r="AE353" s="160"/>
      <c r="AF353" s="160"/>
      <c r="AG353" s="160"/>
      <c r="AH353" s="160"/>
      <c r="AI353" s="160"/>
      <c r="AJ353" s="160"/>
      <c r="AK353" s="160"/>
      <c r="AL353" s="160"/>
      <c r="AM353" s="160"/>
      <c r="AN353" s="164"/>
      <c r="AO353" s="160"/>
      <c r="AP353" s="160"/>
      <c r="AQ353" s="160"/>
      <c r="AR353" s="160"/>
      <c r="AS353" s="160"/>
      <c r="AT353" s="160"/>
      <c r="AU353" s="160"/>
      <c r="AV353" s="160"/>
      <c r="AW353" s="160"/>
      <c r="AX353" s="160"/>
      <c r="AY353" s="160"/>
      <c r="AZ353" s="160"/>
      <c r="BA353" s="160"/>
      <c r="BB353" s="160"/>
      <c r="BC353" s="160"/>
      <c r="BD353" s="160"/>
      <c r="BE353" s="160"/>
      <c r="BF353" s="160"/>
      <c r="BG353" s="160"/>
      <c r="BH353" s="160"/>
      <c r="BI353" s="160"/>
      <c r="BJ353" s="160"/>
      <c r="BK353" s="160"/>
      <c r="BL353" s="160"/>
      <c r="BM353" s="160"/>
      <c r="BN353" s="160"/>
      <c r="BO353" s="160"/>
      <c r="BP353" s="160"/>
      <c r="BQ353" s="160"/>
      <c r="BR353" s="160"/>
      <c r="BS353" s="160"/>
      <c r="BT353" s="160"/>
      <c r="BU353" s="160"/>
      <c r="BV353" s="160"/>
      <c r="BW353" s="160"/>
      <c r="BX353" s="160"/>
      <c r="BY353" s="160"/>
      <c r="BZ353" s="160"/>
      <c r="CA353" s="160"/>
      <c r="CB353" s="160"/>
      <c r="CC353" s="160"/>
      <c r="CD353" s="160"/>
      <c r="CE353" s="160"/>
      <c r="CF353" s="160"/>
      <c r="CG353" s="160"/>
      <c r="CH353" s="160"/>
      <c r="CI353" s="160"/>
      <c r="CJ353" s="160"/>
      <c r="CK353" s="160"/>
      <c r="CL353" s="160"/>
    </row>
    <row r="354">
      <c r="A354" s="174" t="s">
        <v>196</v>
      </c>
      <c r="B354" s="11" t="s">
        <v>197</v>
      </c>
      <c r="C354" s="175" t="s">
        <v>83</v>
      </c>
      <c r="D354" s="176" t="str">
        <f>IFERROR(VLOOKUP(C354, PIC!A:B, 2, 0), "")</f>
        <v>Anh Ha</v>
      </c>
      <c r="E354" s="11" t="s">
        <v>23</v>
      </c>
      <c r="F354" s="16" t="s">
        <v>861</v>
      </c>
      <c r="G354" s="16" t="s">
        <v>868</v>
      </c>
      <c r="H354" s="170">
        <f>IFERROR(
  MINIFS(ATTENDANCE_LOG!$F:$F,
         ATTENDANCE_LOG!$A:$A, C354,
         ATTENDANCE_LOG!$B:$B, E354),
"")</f>
        <v>45882.41667</v>
      </c>
      <c r="I354" s="170">
        <f t="shared" si="2"/>
        <v>45764.41667</v>
      </c>
      <c r="J354" s="11">
        <f>IFERROR(VLOOKUP(F354, LEVEL_HELPER!$A:$B, 2, 0), "")</f>
        <v>3.5</v>
      </c>
      <c r="K354" s="11">
        <f>IFERROR(VLOOKUP(G354, LEVEL_HELPER!$A:$B, 2, 0), "")</f>
        <v>5</v>
      </c>
      <c r="L354" s="171" t="s">
        <v>400</v>
      </c>
      <c r="M354" s="171" t="s">
        <v>151</v>
      </c>
      <c r="N354" s="11">
        <f t="array" ref="N354">IFERROR(
  INDEX($J$2:$J$531,
    MATCH(A354&amp;TEXT(I354,"yyyy-mm-dd"),
          $A$2:$A$531&amp;TEXT($H$2:$H$531,"yyyy-mm-dd"),
          0)),
"")</f>
        <v>1</v>
      </c>
      <c r="O354" s="160">
        <f t="shared" si="3"/>
        <v>5</v>
      </c>
      <c r="P354" s="160">
        <f t="shared" ref="P354:Q354" si="364">IF(N354="",0,IF(N354&lt;=2,1,IF(N354&lt;=4,2,IF(N354&lt;=5.5,3,4))))</f>
        <v>1</v>
      </c>
      <c r="Q354" s="160">
        <f t="shared" si="364"/>
        <v>3</v>
      </c>
      <c r="R354" s="160" t="str">
        <f t="shared" si="5"/>
        <v>Lv1 → Lv3 (multi)</v>
      </c>
      <c r="S354" s="160">
        <f t="shared" si="6"/>
        <v>0</v>
      </c>
      <c r="T354" s="177" t="s">
        <v>1056</v>
      </c>
      <c r="U354" s="160">
        <f>COUNTIFS(sheet2!$A:$A,A354,sheet2!$E:$E,E354)</f>
        <v>1</v>
      </c>
      <c r="V354" s="160"/>
      <c r="W354" s="160"/>
      <c r="X354" s="160"/>
      <c r="Y354" s="160"/>
      <c r="Z354" s="160"/>
      <c r="AA354" s="160"/>
      <c r="AB354" s="160"/>
      <c r="AC354" s="160"/>
      <c r="AD354" s="160"/>
      <c r="AE354" s="160"/>
      <c r="AF354" s="160"/>
      <c r="AG354" s="160"/>
      <c r="AH354" s="160"/>
      <c r="AI354" s="160"/>
      <c r="AJ354" s="160"/>
      <c r="AK354" s="160"/>
      <c r="AL354" s="160"/>
      <c r="AM354" s="160"/>
      <c r="AN354" s="164"/>
      <c r="AO354" s="160"/>
      <c r="AP354" s="160"/>
      <c r="AQ354" s="160"/>
      <c r="AR354" s="160"/>
      <c r="AS354" s="160"/>
      <c r="AT354" s="160"/>
      <c r="AU354" s="160"/>
      <c r="AV354" s="160"/>
      <c r="AW354" s="160"/>
      <c r="AX354" s="160"/>
      <c r="AY354" s="160"/>
      <c r="AZ354" s="160"/>
      <c r="BA354" s="160"/>
      <c r="BB354" s="160"/>
      <c r="BC354" s="160"/>
      <c r="BD354" s="160"/>
      <c r="BE354" s="160"/>
      <c r="BF354" s="160"/>
      <c r="BG354" s="160"/>
      <c r="BH354" s="160"/>
      <c r="BI354" s="160"/>
      <c r="BJ354" s="160"/>
      <c r="BK354" s="160"/>
      <c r="BL354" s="160"/>
      <c r="BM354" s="160"/>
      <c r="BN354" s="160"/>
      <c r="BO354" s="160"/>
      <c r="BP354" s="160"/>
      <c r="BQ354" s="160"/>
      <c r="BR354" s="160"/>
      <c r="BS354" s="160"/>
      <c r="BT354" s="160"/>
      <c r="BU354" s="160"/>
      <c r="BV354" s="160"/>
      <c r="BW354" s="160"/>
      <c r="BX354" s="160"/>
      <c r="BY354" s="160"/>
      <c r="BZ354" s="160"/>
      <c r="CA354" s="160"/>
      <c r="CB354" s="160"/>
      <c r="CC354" s="160"/>
      <c r="CD354" s="160"/>
      <c r="CE354" s="160"/>
      <c r="CF354" s="160"/>
      <c r="CG354" s="160"/>
      <c r="CH354" s="160"/>
      <c r="CI354" s="160"/>
      <c r="CJ354" s="160"/>
      <c r="CK354" s="160"/>
      <c r="CL354" s="160"/>
    </row>
    <row r="355">
      <c r="A355" s="174" t="s">
        <v>198</v>
      </c>
      <c r="B355" s="11" t="s">
        <v>199</v>
      </c>
      <c r="C355" s="175" t="s">
        <v>83</v>
      </c>
      <c r="D355" s="176" t="str">
        <f>IFERROR(VLOOKUP(C355, PIC!A:B, 2, 0), "")</f>
        <v>Anh Ha</v>
      </c>
      <c r="E355" s="11" t="s">
        <v>23</v>
      </c>
      <c r="F355" s="16" t="s">
        <v>861</v>
      </c>
      <c r="G355" s="16" t="s">
        <v>861</v>
      </c>
      <c r="H355" s="170">
        <f>IFERROR(
  MINIFS(ATTENDANCE_LOG!$F:$F,
         ATTENDANCE_LOG!$A:$A, C355,
         ATTENDANCE_LOG!$B:$B, E355),
"")</f>
        <v>45882.41667</v>
      </c>
      <c r="I355" s="170">
        <f t="shared" si="2"/>
        <v>45764.41667</v>
      </c>
      <c r="J355" s="11">
        <f>IFERROR(VLOOKUP(F355, LEVEL_HELPER!$A:$B, 2, 0), "")</f>
        <v>3.5</v>
      </c>
      <c r="K355" s="11">
        <f>IFERROR(VLOOKUP(G355, LEVEL_HELPER!$A:$B, 2, 0), "")</f>
        <v>3.5</v>
      </c>
      <c r="L355" s="171" t="s">
        <v>400</v>
      </c>
      <c r="M355" s="171" t="s">
        <v>151</v>
      </c>
      <c r="N355" s="11">
        <f t="array" ref="N355">IFERROR(
  INDEX($J$2:$J$531,
    MATCH(A355&amp;TEXT(I355,"yyyy-mm-dd"),
          $A$2:$A$531&amp;TEXT($H$2:$H$531,"yyyy-mm-dd"),
          0)),
"")</f>
        <v>1</v>
      </c>
      <c r="O355" s="160">
        <f t="shared" si="3"/>
        <v>3.5</v>
      </c>
      <c r="P355" s="160">
        <f t="shared" ref="P355:Q355" si="365">IF(N355="",0,IF(N355&lt;=2,1,IF(N355&lt;=4,2,IF(N355&lt;=5.5,3,4))))</f>
        <v>1</v>
      </c>
      <c r="Q355" s="160">
        <f t="shared" si="365"/>
        <v>2</v>
      </c>
      <c r="R355" s="160" t="str">
        <f t="shared" si="5"/>
        <v>Lv1 → Lv2</v>
      </c>
      <c r="S355" s="160">
        <f t="shared" si="6"/>
        <v>0</v>
      </c>
      <c r="T355" s="177" t="s">
        <v>1057</v>
      </c>
      <c r="U355" s="160">
        <f>COUNTIFS(sheet2!$A:$A,A355,sheet2!$E:$E,E355)</f>
        <v>1</v>
      </c>
      <c r="V355" s="160"/>
      <c r="W355" s="160"/>
      <c r="X355" s="160"/>
      <c r="Y355" s="160"/>
      <c r="Z355" s="160"/>
      <c r="AA355" s="160"/>
      <c r="AB355" s="160"/>
      <c r="AC355" s="160"/>
      <c r="AD355" s="160"/>
      <c r="AE355" s="160"/>
      <c r="AF355" s="160"/>
      <c r="AG355" s="160"/>
      <c r="AH355" s="160"/>
      <c r="AI355" s="160"/>
      <c r="AJ355" s="160"/>
      <c r="AK355" s="160"/>
      <c r="AL355" s="160"/>
      <c r="AM355" s="160"/>
      <c r="AN355" s="164"/>
      <c r="AO355" s="160"/>
      <c r="AP355" s="160"/>
      <c r="AQ355" s="160"/>
      <c r="AR355" s="160"/>
      <c r="AS355" s="160"/>
      <c r="AT355" s="160"/>
      <c r="AU355" s="160"/>
      <c r="AV355" s="160"/>
      <c r="AW355" s="160"/>
      <c r="AX355" s="160"/>
      <c r="AY355" s="160"/>
      <c r="AZ355" s="160"/>
      <c r="BA355" s="160"/>
      <c r="BB355" s="160"/>
      <c r="BC355" s="160"/>
      <c r="BD355" s="160"/>
      <c r="BE355" s="160"/>
      <c r="BF355" s="160"/>
      <c r="BG355" s="160"/>
      <c r="BH355" s="160"/>
      <c r="BI355" s="160"/>
      <c r="BJ355" s="160"/>
      <c r="BK355" s="160"/>
      <c r="BL355" s="160"/>
      <c r="BM355" s="160"/>
      <c r="BN355" s="160"/>
      <c r="BO355" s="160"/>
      <c r="BP355" s="160"/>
      <c r="BQ355" s="160"/>
      <c r="BR355" s="160"/>
      <c r="BS355" s="160"/>
      <c r="BT355" s="160"/>
      <c r="BU355" s="160"/>
      <c r="BV355" s="160"/>
      <c r="BW355" s="160"/>
      <c r="BX355" s="160"/>
      <c r="BY355" s="160"/>
      <c r="BZ355" s="160"/>
      <c r="CA355" s="160"/>
      <c r="CB355" s="160"/>
      <c r="CC355" s="160"/>
      <c r="CD355" s="160"/>
      <c r="CE355" s="160"/>
      <c r="CF355" s="160"/>
      <c r="CG355" s="160"/>
      <c r="CH355" s="160"/>
      <c r="CI355" s="160"/>
      <c r="CJ355" s="160"/>
      <c r="CK355" s="160"/>
      <c r="CL355" s="160"/>
    </row>
    <row r="356">
      <c r="A356" s="166" t="s">
        <v>683</v>
      </c>
      <c r="B356" s="167" t="s">
        <v>684</v>
      </c>
      <c r="C356" s="168" t="s">
        <v>84</v>
      </c>
      <c r="D356" s="169" t="str">
        <f>IFERROR(VLOOKUP(C356, PIC!A:B, 2, 0), "")</f>
        <v>Thuong Tran</v>
      </c>
      <c r="E356" s="167" t="s">
        <v>25</v>
      </c>
      <c r="F356" s="11"/>
      <c r="G356" s="11"/>
      <c r="H356" s="170">
        <f>IFERROR(
  MINIFS(ATTENDANCE_LOG!$F:$F,
         ATTENDANCE_LOG!$A:$A, C356,
         ATTENDANCE_LOG!$B:$B, E356),
"")</f>
        <v>46091.54167</v>
      </c>
      <c r="I356" s="170">
        <f t="shared" si="2"/>
        <v>45764.58333</v>
      </c>
      <c r="J356" s="11" t="str">
        <f>IFERROR(VLOOKUP(F356, LEVEL_HELPER!$A:$B, 2, 0), "")</f>
        <v/>
      </c>
      <c r="K356" s="11" t="str">
        <f>IFERROR(VLOOKUP(G356, LEVEL_HELPER!$A:$B, 2, 0), "")</f>
        <v/>
      </c>
      <c r="L356" s="171" t="s">
        <v>857</v>
      </c>
      <c r="M356" s="171" t="s">
        <v>151</v>
      </c>
      <c r="N356" s="11">
        <f t="array" ref="N356">IFERROR(
  INDEX($J$2:$J$531,
    MATCH(A356&amp;TEXT(I356,"yyyy-mm-dd"),
          $A$2:$A$531&amp;TEXT($H$2:$H$531,"yyyy-mm-dd"),
          0)),
"")</f>
        <v>1</v>
      </c>
      <c r="O356" s="160">
        <f t="shared" si="3"/>
        <v>5</v>
      </c>
      <c r="P356" s="160">
        <f t="shared" ref="P356:Q356" si="366">IF(N356="",0,IF(N356&lt;=2,1,IF(N356&lt;=4,2,IF(N356&lt;=5.5,3,4))))</f>
        <v>1</v>
      </c>
      <c r="Q356" s="160">
        <f t="shared" si="366"/>
        <v>3</v>
      </c>
      <c r="R356" s="160" t="str">
        <f t="shared" si="5"/>
        <v>Lv1 → Lv3 (multi)</v>
      </c>
      <c r="S356" s="160">
        <f t="shared" si="6"/>
        <v>1</v>
      </c>
      <c r="T356" s="172" t="s">
        <v>1060</v>
      </c>
      <c r="U356" s="160">
        <f>COUNTIFS(sheet2!$A:$A,A356,sheet2!$E:$E,E356)</f>
        <v>1</v>
      </c>
      <c r="V356" s="160"/>
      <c r="W356" s="160"/>
      <c r="X356" s="160"/>
      <c r="Y356" s="160"/>
      <c r="Z356" s="160"/>
      <c r="AA356" s="160"/>
      <c r="AB356" s="160"/>
      <c r="AC356" s="160"/>
      <c r="AD356" s="160"/>
      <c r="AE356" s="160"/>
      <c r="AF356" s="160"/>
      <c r="AG356" s="160"/>
      <c r="AH356" s="160"/>
      <c r="AI356" s="160"/>
      <c r="AJ356" s="160"/>
      <c r="AK356" s="160"/>
      <c r="AL356" s="160"/>
      <c r="AM356" s="160"/>
      <c r="AN356" s="164"/>
      <c r="AO356" s="160"/>
      <c r="AP356" s="160"/>
      <c r="AQ356" s="160"/>
      <c r="AR356" s="160"/>
      <c r="AS356" s="160"/>
      <c r="AT356" s="160"/>
      <c r="AU356" s="160"/>
      <c r="AV356" s="160"/>
      <c r="AW356" s="160"/>
      <c r="AX356" s="160"/>
      <c r="AY356" s="160"/>
      <c r="AZ356" s="160"/>
      <c r="BA356" s="160"/>
      <c r="BB356" s="160"/>
      <c r="BC356" s="160"/>
      <c r="BD356" s="160"/>
      <c r="BE356" s="160"/>
      <c r="BF356" s="160"/>
      <c r="BG356" s="160"/>
      <c r="BH356" s="160"/>
      <c r="BI356" s="160"/>
      <c r="BJ356" s="160"/>
      <c r="BK356" s="160"/>
      <c r="BL356" s="160"/>
      <c r="BM356" s="160"/>
      <c r="BN356" s="160"/>
      <c r="BO356" s="160"/>
      <c r="BP356" s="160"/>
      <c r="BQ356" s="160"/>
      <c r="BR356" s="160"/>
      <c r="BS356" s="160"/>
      <c r="BT356" s="160"/>
      <c r="BU356" s="160"/>
      <c r="BV356" s="160"/>
      <c r="BW356" s="160"/>
      <c r="BX356" s="160"/>
      <c r="BY356" s="160"/>
      <c r="BZ356" s="160"/>
      <c r="CA356" s="160"/>
      <c r="CB356" s="160"/>
      <c r="CC356" s="160"/>
      <c r="CD356" s="160"/>
      <c r="CE356" s="160"/>
      <c r="CF356" s="160"/>
      <c r="CG356" s="160"/>
      <c r="CH356" s="160"/>
      <c r="CI356" s="160"/>
      <c r="CJ356" s="160"/>
      <c r="CK356" s="160"/>
      <c r="CL356" s="160"/>
    </row>
    <row r="357">
      <c r="A357" s="174" t="s">
        <v>675</v>
      </c>
      <c r="B357" s="11" t="s">
        <v>676</v>
      </c>
      <c r="C357" s="175" t="s">
        <v>84</v>
      </c>
      <c r="D357" s="176" t="str">
        <f>IFERROR(VLOOKUP(C357, PIC!A:B, 2, 0), "")</f>
        <v>Thuong Tran</v>
      </c>
      <c r="E357" s="11" t="s">
        <v>25</v>
      </c>
      <c r="F357" s="11"/>
      <c r="G357" s="11"/>
      <c r="H357" s="170">
        <f>IFERROR(
  MINIFS(ATTENDANCE_LOG!$F:$F,
         ATTENDANCE_LOG!$A:$A, C357,
         ATTENDANCE_LOG!$B:$B, E357),
"")</f>
        <v>46091.54167</v>
      </c>
      <c r="I357" s="170">
        <f t="shared" si="2"/>
        <v>45764.58333</v>
      </c>
      <c r="J357" s="11" t="str">
        <f>IFERROR(VLOOKUP(F357, LEVEL_HELPER!$A:$B, 2, 0), "")</f>
        <v/>
      </c>
      <c r="K357" s="11" t="str">
        <f>IFERROR(VLOOKUP(G357, LEVEL_HELPER!$A:$B, 2, 0), "")</f>
        <v/>
      </c>
      <c r="L357" s="171" t="s">
        <v>857</v>
      </c>
      <c r="M357" s="171" t="s">
        <v>151</v>
      </c>
      <c r="N357" s="11">
        <f t="array" ref="N357">IFERROR(
  INDEX($J$2:$J$531,
    MATCH(A357&amp;TEXT(I357,"yyyy-mm-dd"),
          $A$2:$A$531&amp;TEXT($H$2:$H$531,"yyyy-mm-dd"),
          0)),
"")</f>
        <v>2.5</v>
      </c>
      <c r="O357" s="160">
        <f t="shared" si="3"/>
        <v>5.5</v>
      </c>
      <c r="P357" s="160">
        <f t="shared" ref="P357:Q357" si="367">IF(N357="",0,IF(N357&lt;=2,1,IF(N357&lt;=4,2,IF(N357&lt;=5.5,3,4))))</f>
        <v>2</v>
      </c>
      <c r="Q357" s="160">
        <f t="shared" si="367"/>
        <v>3</v>
      </c>
      <c r="R357" s="160" t="str">
        <f t="shared" si="5"/>
        <v>Lv2 → Lv3</v>
      </c>
      <c r="S357" s="160">
        <f t="shared" si="6"/>
        <v>1</v>
      </c>
      <c r="T357" s="177" t="s">
        <v>1061</v>
      </c>
      <c r="U357" s="160">
        <f>COUNTIFS(sheet2!$A:$A,A357,sheet2!$E:$E,E357)</f>
        <v>1</v>
      </c>
      <c r="V357" s="160"/>
      <c r="W357" s="160"/>
      <c r="X357" s="160"/>
      <c r="Y357" s="160"/>
      <c r="Z357" s="160"/>
      <c r="AA357" s="160"/>
      <c r="AB357" s="160"/>
      <c r="AC357" s="160"/>
      <c r="AD357" s="160"/>
      <c r="AE357" s="160"/>
      <c r="AF357" s="160"/>
      <c r="AG357" s="160"/>
      <c r="AH357" s="160"/>
      <c r="AI357" s="160"/>
      <c r="AJ357" s="160"/>
      <c r="AK357" s="160"/>
      <c r="AL357" s="160"/>
      <c r="AM357" s="160"/>
      <c r="AN357" s="164"/>
      <c r="AO357" s="160"/>
      <c r="AP357" s="160"/>
      <c r="AQ357" s="160"/>
      <c r="AR357" s="160"/>
      <c r="AS357" s="160"/>
      <c r="AT357" s="160"/>
      <c r="AU357" s="160"/>
      <c r="AV357" s="160"/>
      <c r="AW357" s="160"/>
      <c r="AX357" s="160"/>
      <c r="AY357" s="160"/>
      <c r="AZ357" s="160"/>
      <c r="BA357" s="160"/>
      <c r="BB357" s="160"/>
      <c r="BC357" s="160"/>
      <c r="BD357" s="160"/>
      <c r="BE357" s="160"/>
      <c r="BF357" s="160"/>
      <c r="BG357" s="160"/>
      <c r="BH357" s="160"/>
      <c r="BI357" s="160"/>
      <c r="BJ357" s="160"/>
      <c r="BK357" s="160"/>
      <c r="BL357" s="160"/>
      <c r="BM357" s="160"/>
      <c r="BN357" s="160"/>
      <c r="BO357" s="160"/>
      <c r="BP357" s="160"/>
      <c r="BQ357" s="160"/>
      <c r="BR357" s="160"/>
      <c r="BS357" s="160"/>
      <c r="BT357" s="160"/>
      <c r="BU357" s="160"/>
      <c r="BV357" s="160"/>
      <c r="BW357" s="160"/>
      <c r="BX357" s="160"/>
      <c r="BY357" s="160"/>
      <c r="BZ357" s="160"/>
      <c r="CA357" s="160"/>
      <c r="CB357" s="160"/>
      <c r="CC357" s="160"/>
      <c r="CD357" s="160"/>
      <c r="CE357" s="160"/>
      <c r="CF357" s="160"/>
      <c r="CG357" s="160"/>
      <c r="CH357" s="160"/>
      <c r="CI357" s="160"/>
      <c r="CJ357" s="160"/>
      <c r="CK357" s="160"/>
      <c r="CL357" s="160"/>
    </row>
    <row r="358">
      <c r="A358" s="174" t="s">
        <v>677</v>
      </c>
      <c r="B358" s="11" t="s">
        <v>678</v>
      </c>
      <c r="C358" s="175" t="s">
        <v>84</v>
      </c>
      <c r="D358" s="176" t="str">
        <f>IFERROR(VLOOKUP(C358, PIC!A:B, 2, 0), "")</f>
        <v>Thuong Tran</v>
      </c>
      <c r="E358" s="11" t="s">
        <v>25</v>
      </c>
      <c r="F358" s="11"/>
      <c r="G358" s="11"/>
      <c r="H358" s="170">
        <f>IFERROR(
  MINIFS(ATTENDANCE_LOG!$F:$F,
         ATTENDANCE_LOG!$A:$A, C358,
         ATTENDANCE_LOG!$B:$B, E358),
"")</f>
        <v>46091.54167</v>
      </c>
      <c r="I358" s="170">
        <f t="shared" si="2"/>
        <v>45764.58333</v>
      </c>
      <c r="J358" s="11" t="str">
        <f>IFERROR(VLOOKUP(F358, LEVEL_HELPER!$A:$B, 2, 0), "")</f>
        <v/>
      </c>
      <c r="K358" s="11" t="str">
        <f>IFERROR(VLOOKUP(G358, LEVEL_HELPER!$A:$B, 2, 0), "")</f>
        <v/>
      </c>
      <c r="L358" s="171" t="s">
        <v>857</v>
      </c>
      <c r="M358" s="171" t="s">
        <v>151</v>
      </c>
      <c r="N358" s="11">
        <f t="array" ref="N358">IFERROR(
  INDEX($J$2:$J$531,
    MATCH(A358&amp;TEXT(I358,"yyyy-mm-dd"),
          $A$2:$A$531&amp;TEXT($H$2:$H$531,"yyyy-mm-dd"),
          0)),
"")</f>
        <v>1</v>
      </c>
      <c r="O358" s="160">
        <f t="shared" si="3"/>
        <v>5</v>
      </c>
      <c r="P358" s="160">
        <f t="shared" ref="P358:Q358" si="368">IF(N358="",0,IF(N358&lt;=2,1,IF(N358&lt;=4,2,IF(N358&lt;=5.5,3,4))))</f>
        <v>1</v>
      </c>
      <c r="Q358" s="160">
        <f t="shared" si="368"/>
        <v>3</v>
      </c>
      <c r="R358" s="160" t="str">
        <f t="shared" si="5"/>
        <v>Lv1 → Lv3 (multi)</v>
      </c>
      <c r="S358" s="160">
        <f t="shared" si="6"/>
        <v>1</v>
      </c>
      <c r="T358" s="177" t="s">
        <v>1062</v>
      </c>
      <c r="U358" s="160">
        <f>COUNTIFS(sheet2!$A:$A,A358,sheet2!$E:$E,E358)</f>
        <v>1</v>
      </c>
      <c r="V358" s="160"/>
      <c r="W358" s="160"/>
      <c r="X358" s="160"/>
      <c r="Y358" s="160"/>
      <c r="Z358" s="160"/>
      <c r="AA358" s="160"/>
      <c r="AB358" s="160"/>
      <c r="AC358" s="160"/>
      <c r="AD358" s="160"/>
      <c r="AE358" s="160"/>
      <c r="AF358" s="160"/>
      <c r="AG358" s="160"/>
      <c r="AH358" s="160"/>
      <c r="AI358" s="160"/>
      <c r="AJ358" s="160"/>
      <c r="AK358" s="160"/>
      <c r="AL358" s="160"/>
      <c r="AM358" s="160"/>
      <c r="AN358" s="164"/>
      <c r="AO358" s="160"/>
      <c r="AP358" s="160"/>
      <c r="AQ358" s="160"/>
      <c r="AR358" s="160"/>
      <c r="AS358" s="160"/>
      <c r="AT358" s="160"/>
      <c r="AU358" s="160"/>
      <c r="AV358" s="160"/>
      <c r="AW358" s="160"/>
      <c r="AX358" s="160"/>
      <c r="AY358" s="160"/>
      <c r="AZ358" s="160"/>
      <c r="BA358" s="160"/>
      <c r="BB358" s="160"/>
      <c r="BC358" s="160"/>
      <c r="BD358" s="160"/>
      <c r="BE358" s="160"/>
      <c r="BF358" s="160"/>
      <c r="BG358" s="160"/>
      <c r="BH358" s="160"/>
      <c r="BI358" s="160"/>
      <c r="BJ358" s="160"/>
      <c r="BK358" s="160"/>
      <c r="BL358" s="160"/>
      <c r="BM358" s="160"/>
      <c r="BN358" s="160"/>
      <c r="BO358" s="160"/>
      <c r="BP358" s="160"/>
      <c r="BQ358" s="160"/>
      <c r="BR358" s="160"/>
      <c r="BS358" s="160"/>
      <c r="BT358" s="160"/>
      <c r="BU358" s="160"/>
      <c r="BV358" s="160"/>
      <c r="BW358" s="160"/>
      <c r="BX358" s="160"/>
      <c r="BY358" s="160"/>
      <c r="BZ358" s="160"/>
      <c r="CA358" s="160"/>
      <c r="CB358" s="160"/>
      <c r="CC358" s="160"/>
      <c r="CD358" s="160"/>
      <c r="CE358" s="160"/>
      <c r="CF358" s="160"/>
      <c r="CG358" s="160"/>
      <c r="CH358" s="160"/>
      <c r="CI358" s="160"/>
      <c r="CJ358" s="160"/>
      <c r="CK358" s="160"/>
      <c r="CL358" s="160"/>
    </row>
    <row r="359">
      <c r="A359" s="174" t="s">
        <v>679</v>
      </c>
      <c r="B359" s="11" t="s">
        <v>680</v>
      </c>
      <c r="C359" s="175" t="s">
        <v>84</v>
      </c>
      <c r="D359" s="176" t="str">
        <f>IFERROR(VLOOKUP(C359, PIC!A:B, 2, 0), "")</f>
        <v>Thuong Tran</v>
      </c>
      <c r="E359" s="11" t="s">
        <v>25</v>
      </c>
      <c r="F359" s="11"/>
      <c r="G359" s="11"/>
      <c r="H359" s="170">
        <f>IFERROR(
  MINIFS(ATTENDANCE_LOG!$F:$F,
         ATTENDANCE_LOG!$A:$A, C359,
         ATTENDANCE_LOG!$B:$B, E359),
"")</f>
        <v>46091.54167</v>
      </c>
      <c r="I359" s="170">
        <f t="shared" si="2"/>
        <v>45764.58333</v>
      </c>
      <c r="J359" s="11" t="str">
        <f>IFERROR(VLOOKUP(F359, LEVEL_HELPER!$A:$B, 2, 0), "")</f>
        <v/>
      </c>
      <c r="K359" s="11" t="str">
        <f>IFERROR(VLOOKUP(G359, LEVEL_HELPER!$A:$B, 2, 0), "")</f>
        <v/>
      </c>
      <c r="L359" s="171" t="s">
        <v>857</v>
      </c>
      <c r="M359" s="171" t="s">
        <v>151</v>
      </c>
      <c r="N359" s="11">
        <f t="array" ref="N359">IFERROR(
  INDEX($J$2:$J$531,
    MATCH(A359&amp;TEXT(I359,"yyyy-mm-dd"),
          $A$2:$A$531&amp;TEXT($H$2:$H$531,"yyyy-mm-dd"),
          0)),
"")</f>
        <v>1</v>
      </c>
      <c r="O359" s="160">
        <f t="shared" si="3"/>
        <v>5</v>
      </c>
      <c r="P359" s="160">
        <f t="shared" ref="P359:Q359" si="369">IF(N359="",0,IF(N359&lt;=2,1,IF(N359&lt;=4,2,IF(N359&lt;=5.5,3,4))))</f>
        <v>1</v>
      </c>
      <c r="Q359" s="160">
        <f t="shared" si="369"/>
        <v>3</v>
      </c>
      <c r="R359" s="160" t="str">
        <f t="shared" si="5"/>
        <v>Lv1 → Lv3 (multi)</v>
      </c>
      <c r="S359" s="160">
        <f t="shared" si="6"/>
        <v>1</v>
      </c>
      <c r="T359" s="177" t="s">
        <v>1063</v>
      </c>
      <c r="U359" s="160">
        <f>COUNTIFS(sheet2!$A:$A,A359,sheet2!$E:$E,E359)</f>
        <v>1</v>
      </c>
      <c r="V359" s="160"/>
      <c r="W359" s="160"/>
      <c r="X359" s="160"/>
      <c r="Y359" s="160"/>
      <c r="Z359" s="160"/>
      <c r="AA359" s="160"/>
      <c r="AB359" s="160"/>
      <c r="AC359" s="160"/>
      <c r="AD359" s="160"/>
      <c r="AE359" s="160"/>
      <c r="AF359" s="160"/>
      <c r="AG359" s="160"/>
      <c r="AH359" s="160"/>
      <c r="AI359" s="160"/>
      <c r="AJ359" s="160"/>
      <c r="AK359" s="160"/>
      <c r="AL359" s="160"/>
      <c r="AM359" s="160"/>
      <c r="AN359" s="164"/>
      <c r="AO359" s="160"/>
      <c r="AP359" s="160"/>
      <c r="AQ359" s="160"/>
      <c r="AR359" s="160"/>
      <c r="AS359" s="160"/>
      <c r="AT359" s="160"/>
      <c r="AU359" s="160"/>
      <c r="AV359" s="160"/>
      <c r="AW359" s="160"/>
      <c r="AX359" s="160"/>
      <c r="AY359" s="160"/>
      <c r="AZ359" s="160"/>
      <c r="BA359" s="160"/>
      <c r="BB359" s="160"/>
      <c r="BC359" s="160"/>
      <c r="BD359" s="160"/>
      <c r="BE359" s="160"/>
      <c r="BF359" s="160"/>
      <c r="BG359" s="160"/>
      <c r="BH359" s="160"/>
      <c r="BI359" s="160"/>
      <c r="BJ359" s="160"/>
      <c r="BK359" s="160"/>
      <c r="BL359" s="160"/>
      <c r="BM359" s="160"/>
      <c r="BN359" s="160"/>
      <c r="BO359" s="160"/>
      <c r="BP359" s="160"/>
      <c r="BQ359" s="160"/>
      <c r="BR359" s="160"/>
      <c r="BS359" s="160"/>
      <c r="BT359" s="160"/>
      <c r="BU359" s="160"/>
      <c r="BV359" s="160"/>
      <c r="BW359" s="160"/>
      <c r="BX359" s="160"/>
      <c r="BY359" s="160"/>
      <c r="BZ359" s="160"/>
      <c r="CA359" s="160"/>
      <c r="CB359" s="160"/>
      <c r="CC359" s="160"/>
      <c r="CD359" s="160"/>
      <c r="CE359" s="160"/>
      <c r="CF359" s="160"/>
      <c r="CG359" s="160"/>
      <c r="CH359" s="160"/>
      <c r="CI359" s="160"/>
      <c r="CJ359" s="160"/>
      <c r="CK359" s="160"/>
      <c r="CL359" s="160"/>
    </row>
    <row r="360">
      <c r="A360" s="174" t="s">
        <v>687</v>
      </c>
      <c r="B360" s="11" t="s">
        <v>688</v>
      </c>
      <c r="C360" s="175" t="s">
        <v>84</v>
      </c>
      <c r="D360" s="176" t="str">
        <f>IFERROR(VLOOKUP(C360, PIC!A:B, 2, 0), "")</f>
        <v>Thuong Tran</v>
      </c>
      <c r="E360" s="11" t="s">
        <v>25</v>
      </c>
      <c r="F360" s="11"/>
      <c r="G360" s="11"/>
      <c r="H360" s="170">
        <f>IFERROR(
  MINIFS(ATTENDANCE_LOG!$F:$F,
         ATTENDANCE_LOG!$A:$A, C360,
         ATTENDANCE_LOG!$B:$B, E360),
"")</f>
        <v>46091.54167</v>
      </c>
      <c r="I360" s="170">
        <f t="shared" si="2"/>
        <v>45764.58333</v>
      </c>
      <c r="J360" s="11" t="str">
        <f>IFERROR(VLOOKUP(F360, LEVEL_HELPER!$A:$B, 2, 0), "")</f>
        <v/>
      </c>
      <c r="K360" s="11" t="str">
        <f>IFERROR(VLOOKUP(G360, LEVEL_HELPER!$A:$B, 2, 0), "")</f>
        <v/>
      </c>
      <c r="L360" s="171" t="s">
        <v>857</v>
      </c>
      <c r="M360" s="171" t="s">
        <v>151</v>
      </c>
      <c r="N360" s="11">
        <f t="array" ref="N360">IFERROR(
  INDEX($J$2:$J$531,
    MATCH(A360&amp;TEXT(I360,"yyyy-mm-dd"),
          $A$2:$A$531&amp;TEXT($H$2:$H$531,"yyyy-mm-dd"),
          0)),
"")</f>
        <v>1</v>
      </c>
      <c r="O360" s="160">
        <f t="shared" si="3"/>
        <v>5.5</v>
      </c>
      <c r="P360" s="160">
        <f t="shared" ref="P360:Q360" si="370">IF(N360="",0,IF(N360&lt;=2,1,IF(N360&lt;=4,2,IF(N360&lt;=5.5,3,4))))</f>
        <v>1</v>
      </c>
      <c r="Q360" s="160">
        <f t="shared" si="370"/>
        <v>3</v>
      </c>
      <c r="R360" s="160" t="str">
        <f t="shared" si="5"/>
        <v>Lv1 → Lv3 (multi)</v>
      </c>
      <c r="S360" s="160">
        <f t="shared" si="6"/>
        <v>1</v>
      </c>
      <c r="T360" s="177" t="s">
        <v>1064</v>
      </c>
      <c r="U360" s="160">
        <f>COUNTIFS(sheet2!$A:$A,A360,sheet2!$E:$E,E360)</f>
        <v>1</v>
      </c>
      <c r="V360" s="160"/>
      <c r="W360" s="160"/>
      <c r="X360" s="160"/>
      <c r="Y360" s="160"/>
      <c r="Z360" s="160"/>
      <c r="AA360" s="160"/>
      <c r="AB360" s="160"/>
      <c r="AC360" s="160"/>
      <c r="AD360" s="160"/>
      <c r="AE360" s="160"/>
      <c r="AF360" s="160"/>
      <c r="AG360" s="160"/>
      <c r="AH360" s="160"/>
      <c r="AI360" s="160"/>
      <c r="AJ360" s="160"/>
      <c r="AK360" s="160"/>
      <c r="AL360" s="160"/>
      <c r="AM360" s="160"/>
      <c r="AN360" s="164"/>
      <c r="AO360" s="160"/>
      <c r="AP360" s="160"/>
      <c r="AQ360" s="160"/>
      <c r="AR360" s="160"/>
      <c r="AS360" s="160"/>
      <c r="AT360" s="160"/>
      <c r="AU360" s="160"/>
      <c r="AV360" s="160"/>
      <c r="AW360" s="160"/>
      <c r="AX360" s="160"/>
      <c r="AY360" s="160"/>
      <c r="AZ360" s="160"/>
      <c r="BA360" s="160"/>
      <c r="BB360" s="160"/>
      <c r="BC360" s="160"/>
      <c r="BD360" s="160"/>
      <c r="BE360" s="160"/>
      <c r="BF360" s="160"/>
      <c r="BG360" s="160"/>
      <c r="BH360" s="160"/>
      <c r="BI360" s="160"/>
      <c r="BJ360" s="160"/>
      <c r="BK360" s="160"/>
      <c r="BL360" s="160"/>
      <c r="BM360" s="160"/>
      <c r="BN360" s="160"/>
      <c r="BO360" s="160"/>
      <c r="BP360" s="160"/>
      <c r="BQ360" s="160"/>
      <c r="BR360" s="160"/>
      <c r="BS360" s="160"/>
      <c r="BT360" s="160"/>
      <c r="BU360" s="160"/>
      <c r="BV360" s="160"/>
      <c r="BW360" s="160"/>
      <c r="BX360" s="160"/>
      <c r="BY360" s="160"/>
      <c r="BZ360" s="160"/>
      <c r="CA360" s="160"/>
      <c r="CB360" s="160"/>
      <c r="CC360" s="160"/>
      <c r="CD360" s="160"/>
      <c r="CE360" s="160"/>
      <c r="CF360" s="160"/>
      <c r="CG360" s="160"/>
      <c r="CH360" s="160"/>
      <c r="CI360" s="160"/>
      <c r="CJ360" s="160"/>
      <c r="CK360" s="160"/>
      <c r="CL360" s="160"/>
    </row>
    <row r="361">
      <c r="A361" s="174" t="s">
        <v>681</v>
      </c>
      <c r="B361" s="11" t="s">
        <v>682</v>
      </c>
      <c r="C361" s="175" t="s">
        <v>84</v>
      </c>
      <c r="D361" s="176" t="str">
        <f>IFERROR(VLOOKUP(C361, PIC!A:B, 2, 0), "")</f>
        <v>Thuong Tran</v>
      </c>
      <c r="E361" s="11" t="s">
        <v>25</v>
      </c>
      <c r="F361" s="11"/>
      <c r="G361" s="11"/>
      <c r="H361" s="170">
        <f>IFERROR(
  MINIFS(ATTENDANCE_LOG!$F:$F,
         ATTENDANCE_LOG!$A:$A, C361,
         ATTENDANCE_LOG!$B:$B, E361),
"")</f>
        <v>46091.54167</v>
      </c>
      <c r="I361" s="170">
        <f t="shared" si="2"/>
        <v>45764.58333</v>
      </c>
      <c r="J361" s="11" t="str">
        <f>IFERROR(VLOOKUP(F361, LEVEL_HELPER!$A:$B, 2, 0), "")</f>
        <v/>
      </c>
      <c r="K361" s="11" t="str">
        <f>IFERROR(VLOOKUP(G361, LEVEL_HELPER!$A:$B, 2, 0), "")</f>
        <v/>
      </c>
      <c r="L361" s="171" t="s">
        <v>857</v>
      </c>
      <c r="M361" s="171" t="s">
        <v>151</v>
      </c>
      <c r="N361" s="11">
        <f t="array" ref="N361">IFERROR(
  INDEX($J$2:$J$531,
    MATCH(A361&amp;TEXT(I361,"yyyy-mm-dd"),
          $A$2:$A$531&amp;TEXT($H$2:$H$531,"yyyy-mm-dd"),
          0)),
"")</f>
        <v>1</v>
      </c>
      <c r="O361" s="160">
        <f t="shared" si="3"/>
        <v>5</v>
      </c>
      <c r="P361" s="160">
        <f t="shared" ref="P361:Q361" si="371">IF(N361="",0,IF(N361&lt;=2,1,IF(N361&lt;=4,2,IF(N361&lt;=5.5,3,4))))</f>
        <v>1</v>
      </c>
      <c r="Q361" s="160">
        <f t="shared" si="371"/>
        <v>3</v>
      </c>
      <c r="R361" s="160" t="str">
        <f t="shared" si="5"/>
        <v>Lv1 → Lv3 (multi)</v>
      </c>
      <c r="S361" s="160">
        <f t="shared" si="6"/>
        <v>1</v>
      </c>
      <c r="T361" s="177" t="s">
        <v>1065</v>
      </c>
      <c r="U361" s="160">
        <f>COUNTIFS(sheet2!$A:$A,A361,sheet2!$E:$E,E361)</f>
        <v>1</v>
      </c>
      <c r="V361" s="160"/>
      <c r="W361" s="160"/>
      <c r="X361" s="160"/>
      <c r="Y361" s="160"/>
      <c r="Z361" s="160"/>
      <c r="AA361" s="160"/>
      <c r="AB361" s="160"/>
      <c r="AC361" s="160"/>
      <c r="AD361" s="160"/>
      <c r="AE361" s="160"/>
      <c r="AF361" s="160"/>
      <c r="AG361" s="160"/>
      <c r="AH361" s="160"/>
      <c r="AI361" s="160"/>
      <c r="AJ361" s="160"/>
      <c r="AK361" s="160"/>
      <c r="AL361" s="160"/>
      <c r="AM361" s="160"/>
      <c r="AN361" s="164"/>
      <c r="AO361" s="160"/>
      <c r="AP361" s="160"/>
      <c r="AQ361" s="160"/>
      <c r="AR361" s="160"/>
      <c r="AS361" s="160"/>
      <c r="AT361" s="160"/>
      <c r="AU361" s="160"/>
      <c r="AV361" s="160"/>
      <c r="AW361" s="160"/>
      <c r="AX361" s="160"/>
      <c r="AY361" s="160"/>
      <c r="AZ361" s="160"/>
      <c r="BA361" s="160"/>
      <c r="BB361" s="160"/>
      <c r="BC361" s="160"/>
      <c r="BD361" s="160"/>
      <c r="BE361" s="160"/>
      <c r="BF361" s="160"/>
      <c r="BG361" s="160"/>
      <c r="BH361" s="160"/>
      <c r="BI361" s="160"/>
      <c r="BJ361" s="160"/>
      <c r="BK361" s="160"/>
      <c r="BL361" s="160"/>
      <c r="BM361" s="160"/>
      <c r="BN361" s="160"/>
      <c r="BO361" s="160"/>
      <c r="BP361" s="160"/>
      <c r="BQ361" s="160"/>
      <c r="BR361" s="160"/>
      <c r="BS361" s="160"/>
      <c r="BT361" s="160"/>
      <c r="BU361" s="160"/>
      <c r="BV361" s="160"/>
      <c r="BW361" s="160"/>
      <c r="BX361" s="160"/>
      <c r="BY361" s="160"/>
      <c r="BZ361" s="160"/>
      <c r="CA361" s="160"/>
      <c r="CB361" s="160"/>
      <c r="CC361" s="160"/>
      <c r="CD361" s="160"/>
      <c r="CE361" s="160"/>
      <c r="CF361" s="160"/>
      <c r="CG361" s="160"/>
      <c r="CH361" s="160"/>
      <c r="CI361" s="160"/>
      <c r="CJ361" s="160"/>
      <c r="CK361" s="160"/>
      <c r="CL361" s="160"/>
    </row>
    <row r="362">
      <c r="A362" s="174" t="s">
        <v>689</v>
      </c>
      <c r="B362" s="11" t="s">
        <v>690</v>
      </c>
      <c r="C362" s="175" t="s">
        <v>84</v>
      </c>
      <c r="D362" s="176" t="str">
        <f>IFERROR(VLOOKUP(C362, PIC!A:B, 2, 0), "")</f>
        <v>Thuong Tran</v>
      </c>
      <c r="E362" s="11" t="s">
        <v>25</v>
      </c>
      <c r="F362" s="11"/>
      <c r="G362" s="11"/>
      <c r="H362" s="170">
        <f>IFERROR(
  MINIFS(ATTENDANCE_LOG!$F:$F,
         ATTENDANCE_LOG!$A:$A, C362,
         ATTENDANCE_LOG!$B:$B, E362),
"")</f>
        <v>46091.54167</v>
      </c>
      <c r="I362" s="170">
        <f t="shared" si="2"/>
        <v>45764.58333</v>
      </c>
      <c r="J362" s="11" t="str">
        <f>IFERROR(VLOOKUP(F362, LEVEL_HELPER!$A:$B, 2, 0), "")</f>
        <v/>
      </c>
      <c r="K362" s="11" t="str">
        <f>IFERROR(VLOOKUP(G362, LEVEL_HELPER!$A:$B, 2, 0), "")</f>
        <v/>
      </c>
      <c r="L362" s="171" t="s">
        <v>857</v>
      </c>
      <c r="M362" s="171" t="s">
        <v>151</v>
      </c>
      <c r="N362" s="11">
        <f t="array" ref="N362">IFERROR(
  INDEX($J$2:$J$531,
    MATCH(A362&amp;TEXT(I362,"yyyy-mm-dd"),
          $A$2:$A$531&amp;TEXT($H$2:$H$531,"yyyy-mm-dd"),
          0)),
"")</f>
        <v>1</v>
      </c>
      <c r="O362" s="160">
        <f t="shared" si="3"/>
        <v>3</v>
      </c>
      <c r="P362" s="160">
        <f t="shared" ref="P362:Q362" si="372">IF(N362="",0,IF(N362&lt;=2,1,IF(N362&lt;=4,2,IF(N362&lt;=5.5,3,4))))</f>
        <v>1</v>
      </c>
      <c r="Q362" s="160">
        <f t="shared" si="372"/>
        <v>2</v>
      </c>
      <c r="R362" s="160" t="str">
        <f t="shared" si="5"/>
        <v>Lv1 → Lv2</v>
      </c>
      <c r="S362" s="160">
        <f t="shared" si="6"/>
        <v>1</v>
      </c>
      <c r="T362" s="177" t="s">
        <v>1066</v>
      </c>
      <c r="U362" s="160">
        <f>COUNTIFS(sheet2!$A:$A,A362,sheet2!$E:$E,E362)</f>
        <v>1</v>
      </c>
      <c r="V362" s="160"/>
      <c r="W362" s="160"/>
      <c r="X362" s="160"/>
      <c r="Y362" s="160"/>
      <c r="Z362" s="160"/>
      <c r="AA362" s="160"/>
      <c r="AB362" s="160"/>
      <c r="AC362" s="160"/>
      <c r="AD362" s="160"/>
      <c r="AE362" s="160"/>
      <c r="AF362" s="160"/>
      <c r="AG362" s="160"/>
      <c r="AH362" s="160"/>
      <c r="AI362" s="160"/>
      <c r="AJ362" s="160"/>
      <c r="AK362" s="160"/>
      <c r="AL362" s="160"/>
      <c r="AM362" s="160"/>
      <c r="AN362" s="164"/>
      <c r="AO362" s="160"/>
      <c r="AP362" s="160"/>
      <c r="AQ362" s="160"/>
      <c r="AR362" s="160"/>
      <c r="AS362" s="160"/>
      <c r="AT362" s="160"/>
      <c r="AU362" s="160"/>
      <c r="AV362" s="160"/>
      <c r="AW362" s="160"/>
      <c r="AX362" s="160"/>
      <c r="AY362" s="160"/>
      <c r="AZ362" s="160"/>
      <c r="BA362" s="160"/>
      <c r="BB362" s="160"/>
      <c r="BC362" s="160"/>
      <c r="BD362" s="160"/>
      <c r="BE362" s="160"/>
      <c r="BF362" s="160"/>
      <c r="BG362" s="160"/>
      <c r="BH362" s="160"/>
      <c r="BI362" s="160"/>
      <c r="BJ362" s="160"/>
      <c r="BK362" s="160"/>
      <c r="BL362" s="160"/>
      <c r="BM362" s="160"/>
      <c r="BN362" s="160"/>
      <c r="BO362" s="160"/>
      <c r="BP362" s="160"/>
      <c r="BQ362" s="160"/>
      <c r="BR362" s="160"/>
      <c r="BS362" s="160"/>
      <c r="BT362" s="160"/>
      <c r="BU362" s="160"/>
      <c r="BV362" s="160"/>
      <c r="BW362" s="160"/>
      <c r="BX362" s="160"/>
      <c r="BY362" s="160"/>
      <c r="BZ362" s="160"/>
      <c r="CA362" s="160"/>
      <c r="CB362" s="160"/>
      <c r="CC362" s="160"/>
      <c r="CD362" s="160"/>
      <c r="CE362" s="160"/>
      <c r="CF362" s="160"/>
      <c r="CG362" s="160"/>
      <c r="CH362" s="160"/>
      <c r="CI362" s="160"/>
      <c r="CJ362" s="160"/>
      <c r="CK362" s="160"/>
      <c r="CL362" s="160"/>
    </row>
    <row r="363">
      <c r="A363" s="166" t="s">
        <v>683</v>
      </c>
      <c r="B363" s="167" t="s">
        <v>684</v>
      </c>
      <c r="C363" s="168" t="s">
        <v>84</v>
      </c>
      <c r="D363" s="169" t="str">
        <f>IFERROR(VLOOKUP(C363, PIC!A:B, 2, 0), "")</f>
        <v>Thuong Tran</v>
      </c>
      <c r="E363" s="167" t="s">
        <v>22</v>
      </c>
      <c r="F363" s="16" t="s">
        <v>849</v>
      </c>
      <c r="G363" s="16" t="s">
        <v>846</v>
      </c>
      <c r="H363" s="170">
        <f>IFERROR(
  MINIFS(ATTENDANCE_LOG!$F:$F,
         ATTENDANCE_LOG!$A:$A, C363,
         ATTENDANCE_LOG!$B:$B, E363),
"")</f>
        <v>45764.58333</v>
      </c>
      <c r="I363" s="170">
        <f t="shared" si="2"/>
        <v>45764.58333</v>
      </c>
      <c r="J363" s="11">
        <f>IFERROR(VLOOKUP(F363, LEVEL_HELPER!$A:$B, 2, 0), "")</f>
        <v>1</v>
      </c>
      <c r="K363" s="11">
        <f>IFERROR(VLOOKUP(G363, LEVEL_HELPER!$A:$B, 2, 0), "")</f>
        <v>3</v>
      </c>
      <c r="L363" s="171" t="s">
        <v>857</v>
      </c>
      <c r="M363" s="171" t="s">
        <v>151</v>
      </c>
      <c r="N363" s="11">
        <f t="array" ref="N363">IFERROR(
  INDEX($J$2:$J$531,
    MATCH(A363&amp;TEXT(I363,"yyyy-mm-dd"),
          $A$2:$A$531&amp;TEXT($H$2:$H$531,"yyyy-mm-dd"),
          0)),
"")</f>
        <v>1</v>
      </c>
      <c r="O363" s="160">
        <f t="shared" si="3"/>
        <v>5</v>
      </c>
      <c r="P363" s="160">
        <f t="shared" ref="P363:Q363" si="373">IF(N363="",0,IF(N363&lt;=2,1,IF(N363&lt;=4,2,IF(N363&lt;=5.5,3,4))))</f>
        <v>1</v>
      </c>
      <c r="Q363" s="160">
        <f t="shared" si="373"/>
        <v>3</v>
      </c>
      <c r="R363" s="160" t="str">
        <f t="shared" si="5"/>
        <v>Lv1 → Lv3 (multi)</v>
      </c>
      <c r="S363" s="160">
        <f t="shared" si="6"/>
        <v>0</v>
      </c>
      <c r="T363" s="172" t="s">
        <v>1060</v>
      </c>
      <c r="U363" s="160">
        <f>COUNTIFS(sheet2!$A:$A,A363,sheet2!$E:$E,E363)</f>
        <v>1</v>
      </c>
      <c r="V363" s="160"/>
      <c r="W363" s="160"/>
      <c r="X363" s="160"/>
      <c r="Y363" s="160"/>
      <c r="Z363" s="160"/>
      <c r="AA363" s="160"/>
      <c r="AB363" s="160"/>
      <c r="AC363" s="160"/>
      <c r="AD363" s="160"/>
      <c r="AE363" s="160"/>
      <c r="AF363" s="160"/>
      <c r="AG363" s="160"/>
      <c r="AH363" s="160"/>
      <c r="AI363" s="160"/>
      <c r="AJ363" s="160"/>
      <c r="AK363" s="160"/>
      <c r="AL363" s="160"/>
      <c r="AM363" s="160"/>
      <c r="AN363" s="164"/>
      <c r="AO363" s="160"/>
      <c r="AP363" s="160"/>
      <c r="AQ363" s="160"/>
      <c r="AR363" s="160"/>
      <c r="AS363" s="160"/>
      <c r="AT363" s="160"/>
      <c r="AU363" s="160"/>
      <c r="AV363" s="160"/>
      <c r="AW363" s="160"/>
      <c r="AX363" s="160"/>
      <c r="AY363" s="160"/>
      <c r="AZ363" s="160"/>
      <c r="BA363" s="160"/>
      <c r="BB363" s="160"/>
      <c r="BC363" s="160"/>
      <c r="BD363" s="160"/>
      <c r="BE363" s="160"/>
      <c r="BF363" s="160"/>
      <c r="BG363" s="160"/>
      <c r="BH363" s="160"/>
      <c r="BI363" s="160"/>
      <c r="BJ363" s="160"/>
      <c r="BK363" s="160"/>
      <c r="BL363" s="160"/>
      <c r="BM363" s="160"/>
      <c r="BN363" s="160"/>
      <c r="BO363" s="160"/>
      <c r="BP363" s="160"/>
      <c r="BQ363" s="160"/>
      <c r="BR363" s="160"/>
      <c r="BS363" s="160"/>
      <c r="BT363" s="160"/>
      <c r="BU363" s="160"/>
      <c r="BV363" s="160"/>
      <c r="BW363" s="160"/>
      <c r="BX363" s="160"/>
      <c r="BY363" s="160"/>
      <c r="BZ363" s="160"/>
      <c r="CA363" s="160"/>
      <c r="CB363" s="160"/>
      <c r="CC363" s="160"/>
      <c r="CD363" s="160"/>
      <c r="CE363" s="160"/>
      <c r="CF363" s="160"/>
      <c r="CG363" s="160"/>
      <c r="CH363" s="160"/>
      <c r="CI363" s="160"/>
      <c r="CJ363" s="160"/>
      <c r="CK363" s="160"/>
      <c r="CL363" s="160"/>
    </row>
    <row r="364">
      <c r="A364" s="174" t="s">
        <v>183</v>
      </c>
      <c r="B364" s="11" t="s">
        <v>184</v>
      </c>
      <c r="C364" s="175" t="s">
        <v>84</v>
      </c>
      <c r="D364" s="176" t="str">
        <f>IFERROR(VLOOKUP(C364, PIC!A:B, 2, 0), "")</f>
        <v>Thuong Tran</v>
      </c>
      <c r="E364" s="11" t="s">
        <v>22</v>
      </c>
      <c r="F364" s="16" t="s">
        <v>849</v>
      </c>
      <c r="G364" s="16" t="s">
        <v>853</v>
      </c>
      <c r="H364" s="170">
        <f>IFERROR(
  MINIFS(ATTENDANCE_LOG!$F:$F,
         ATTENDANCE_LOG!$A:$A, C364,
         ATTENDANCE_LOG!$B:$B, E364),
"")</f>
        <v>45764.58333</v>
      </c>
      <c r="I364" s="170">
        <f t="shared" si="2"/>
        <v>45764.58333</v>
      </c>
      <c r="J364" s="11">
        <f>IFERROR(VLOOKUP(F364, LEVEL_HELPER!$A:$B, 2, 0), "")</f>
        <v>1</v>
      </c>
      <c r="K364" s="11">
        <f>IFERROR(VLOOKUP(G364, LEVEL_HELPER!$A:$B, 2, 0), "")</f>
        <v>1.5</v>
      </c>
      <c r="L364" s="171" t="s">
        <v>847</v>
      </c>
      <c r="M364" s="171" t="s">
        <v>151</v>
      </c>
      <c r="N364" s="11">
        <f t="array" ref="N364">IFERROR(
  INDEX($J$2:$J$531,
    MATCH(A364&amp;TEXT(I364,"yyyy-mm-dd"),
          $A$2:$A$531&amp;TEXT($H$2:$H$531,"yyyy-mm-dd"),
          0)),
"")</f>
        <v>1</v>
      </c>
      <c r="O364" s="160">
        <f t="shared" si="3"/>
        <v>3</v>
      </c>
      <c r="P364" s="160">
        <f t="shared" ref="P364:Q364" si="374">IF(N364="",0,IF(N364&lt;=2,1,IF(N364&lt;=4,2,IF(N364&lt;=5.5,3,4))))</f>
        <v>1</v>
      </c>
      <c r="Q364" s="160">
        <f t="shared" si="374"/>
        <v>2</v>
      </c>
      <c r="R364" s="160" t="str">
        <f t="shared" si="5"/>
        <v>Lv1 → Lv2</v>
      </c>
      <c r="S364" s="160">
        <f t="shared" si="6"/>
        <v>0</v>
      </c>
      <c r="T364" s="177" t="s">
        <v>1058</v>
      </c>
      <c r="U364" s="160">
        <f>COUNTIFS(sheet2!$A:$A,A364,sheet2!$E:$E,E364)</f>
        <v>1</v>
      </c>
      <c r="V364" s="160"/>
      <c r="W364" s="160"/>
      <c r="X364" s="160"/>
      <c r="Y364" s="160"/>
      <c r="Z364" s="160"/>
      <c r="AA364" s="160"/>
      <c r="AB364" s="160"/>
      <c r="AC364" s="160"/>
      <c r="AD364" s="160"/>
      <c r="AE364" s="160"/>
      <c r="AF364" s="160"/>
      <c r="AG364" s="160"/>
      <c r="AH364" s="160"/>
      <c r="AI364" s="160"/>
      <c r="AJ364" s="160"/>
      <c r="AK364" s="160"/>
      <c r="AL364" s="160"/>
      <c r="AM364" s="160"/>
      <c r="AN364" s="164"/>
      <c r="AO364" s="160"/>
      <c r="AP364" s="160"/>
      <c r="AQ364" s="160"/>
      <c r="AR364" s="160"/>
      <c r="AS364" s="160"/>
      <c r="AT364" s="160"/>
      <c r="AU364" s="160"/>
      <c r="AV364" s="160"/>
      <c r="AW364" s="160"/>
      <c r="AX364" s="160"/>
      <c r="AY364" s="160"/>
      <c r="AZ364" s="160"/>
      <c r="BA364" s="160"/>
      <c r="BB364" s="160"/>
      <c r="BC364" s="160"/>
      <c r="BD364" s="160"/>
      <c r="BE364" s="160"/>
      <c r="BF364" s="160"/>
      <c r="BG364" s="160"/>
      <c r="BH364" s="160"/>
      <c r="BI364" s="160"/>
      <c r="BJ364" s="160"/>
      <c r="BK364" s="160"/>
      <c r="BL364" s="160"/>
      <c r="BM364" s="160"/>
      <c r="BN364" s="160"/>
      <c r="BO364" s="160"/>
      <c r="BP364" s="160"/>
      <c r="BQ364" s="160"/>
      <c r="BR364" s="160"/>
      <c r="BS364" s="160"/>
      <c r="BT364" s="160"/>
      <c r="BU364" s="160"/>
      <c r="BV364" s="160"/>
      <c r="BW364" s="160"/>
      <c r="BX364" s="160"/>
      <c r="BY364" s="160"/>
      <c r="BZ364" s="160"/>
      <c r="CA364" s="160"/>
      <c r="CB364" s="160"/>
      <c r="CC364" s="160"/>
      <c r="CD364" s="160"/>
      <c r="CE364" s="160"/>
      <c r="CF364" s="160"/>
      <c r="CG364" s="160"/>
      <c r="CH364" s="160"/>
      <c r="CI364" s="160"/>
      <c r="CJ364" s="160"/>
      <c r="CK364" s="160"/>
      <c r="CL364" s="160"/>
    </row>
    <row r="365">
      <c r="A365" s="174" t="s">
        <v>675</v>
      </c>
      <c r="B365" s="11" t="s">
        <v>676</v>
      </c>
      <c r="C365" s="175" t="s">
        <v>84</v>
      </c>
      <c r="D365" s="176" t="str">
        <f>IFERROR(VLOOKUP(C365, PIC!A:B, 2, 0), "")</f>
        <v>Thuong Tran</v>
      </c>
      <c r="E365" s="11" t="s">
        <v>22</v>
      </c>
      <c r="F365" s="16" t="s">
        <v>845</v>
      </c>
      <c r="G365" s="16" t="s">
        <v>861</v>
      </c>
      <c r="H365" s="170">
        <f>IFERROR(
  MINIFS(ATTENDANCE_LOG!$F:$F,
         ATTENDANCE_LOG!$A:$A, C365,
         ATTENDANCE_LOG!$B:$B, E365),
"")</f>
        <v>45764.58333</v>
      </c>
      <c r="I365" s="170">
        <f t="shared" si="2"/>
        <v>45764.58333</v>
      </c>
      <c r="J365" s="11">
        <f>IFERROR(VLOOKUP(F365, LEVEL_HELPER!$A:$B, 2, 0), "")</f>
        <v>2.5</v>
      </c>
      <c r="K365" s="11">
        <f>IFERROR(VLOOKUP(G365, LEVEL_HELPER!$A:$B, 2, 0), "")</f>
        <v>3.5</v>
      </c>
      <c r="L365" s="171" t="s">
        <v>857</v>
      </c>
      <c r="M365" s="171" t="s">
        <v>151</v>
      </c>
      <c r="N365" s="11">
        <f t="array" ref="N365">IFERROR(
  INDEX($J$2:$J$531,
    MATCH(A365&amp;TEXT(I365,"yyyy-mm-dd"),
          $A$2:$A$531&amp;TEXT($H$2:$H$531,"yyyy-mm-dd"),
          0)),
"")</f>
        <v>2.5</v>
      </c>
      <c r="O365" s="160">
        <f t="shared" si="3"/>
        <v>5.5</v>
      </c>
      <c r="P365" s="160">
        <f t="shared" ref="P365:Q365" si="375">IF(N365="",0,IF(N365&lt;=2,1,IF(N365&lt;=4,2,IF(N365&lt;=5.5,3,4))))</f>
        <v>2</v>
      </c>
      <c r="Q365" s="160">
        <f t="shared" si="375"/>
        <v>3</v>
      </c>
      <c r="R365" s="160" t="str">
        <f t="shared" si="5"/>
        <v>Lv2 → Lv3</v>
      </c>
      <c r="S365" s="160">
        <f t="shared" si="6"/>
        <v>0</v>
      </c>
      <c r="T365" s="177" t="s">
        <v>1061</v>
      </c>
      <c r="U365" s="160">
        <f>COUNTIFS(sheet2!$A:$A,A365,sheet2!$E:$E,E365)</f>
        <v>1</v>
      </c>
      <c r="V365" s="160"/>
      <c r="W365" s="160"/>
      <c r="X365" s="160"/>
      <c r="Y365" s="160"/>
      <c r="Z365" s="160"/>
      <c r="AA365" s="160"/>
      <c r="AB365" s="160"/>
      <c r="AC365" s="160"/>
      <c r="AD365" s="160"/>
      <c r="AE365" s="160"/>
      <c r="AF365" s="160"/>
      <c r="AG365" s="160"/>
      <c r="AH365" s="160"/>
      <c r="AI365" s="160"/>
      <c r="AJ365" s="160"/>
      <c r="AK365" s="160"/>
      <c r="AL365" s="160"/>
      <c r="AM365" s="160"/>
      <c r="AN365" s="164"/>
      <c r="AO365" s="160"/>
      <c r="AP365" s="160"/>
      <c r="AQ365" s="160"/>
      <c r="AR365" s="160"/>
      <c r="AS365" s="160"/>
      <c r="AT365" s="160"/>
      <c r="AU365" s="160"/>
      <c r="AV365" s="160"/>
      <c r="AW365" s="160"/>
      <c r="AX365" s="160"/>
      <c r="AY365" s="160"/>
      <c r="AZ365" s="160"/>
      <c r="BA365" s="160"/>
      <c r="BB365" s="160"/>
      <c r="BC365" s="160"/>
      <c r="BD365" s="160"/>
      <c r="BE365" s="160"/>
      <c r="BF365" s="160"/>
      <c r="BG365" s="160"/>
      <c r="BH365" s="160"/>
      <c r="BI365" s="160"/>
      <c r="BJ365" s="160"/>
      <c r="BK365" s="160"/>
      <c r="BL365" s="160"/>
      <c r="BM365" s="160"/>
      <c r="BN365" s="160"/>
      <c r="BO365" s="160"/>
      <c r="BP365" s="160"/>
      <c r="BQ365" s="160"/>
      <c r="BR365" s="160"/>
      <c r="BS365" s="160"/>
      <c r="BT365" s="160"/>
      <c r="BU365" s="160"/>
      <c r="BV365" s="160"/>
      <c r="BW365" s="160"/>
      <c r="BX365" s="160"/>
      <c r="BY365" s="160"/>
      <c r="BZ365" s="160"/>
      <c r="CA365" s="160"/>
      <c r="CB365" s="160"/>
      <c r="CC365" s="160"/>
      <c r="CD365" s="160"/>
      <c r="CE365" s="160"/>
      <c r="CF365" s="160"/>
      <c r="CG365" s="160"/>
      <c r="CH365" s="160"/>
      <c r="CI365" s="160"/>
      <c r="CJ365" s="160"/>
      <c r="CK365" s="160"/>
      <c r="CL365" s="160"/>
    </row>
    <row r="366">
      <c r="A366" s="174" t="s">
        <v>677</v>
      </c>
      <c r="B366" s="11" t="s">
        <v>678</v>
      </c>
      <c r="C366" s="175" t="s">
        <v>84</v>
      </c>
      <c r="D366" s="176" t="str">
        <f>IFERROR(VLOOKUP(C366, PIC!A:B, 2, 0), "")</f>
        <v>Thuong Tran</v>
      </c>
      <c r="E366" s="11" t="s">
        <v>22</v>
      </c>
      <c r="F366" s="16" t="s">
        <v>849</v>
      </c>
      <c r="G366" s="16" t="s">
        <v>853</v>
      </c>
      <c r="H366" s="170">
        <f>IFERROR(
  MINIFS(ATTENDANCE_LOG!$F:$F,
         ATTENDANCE_LOG!$A:$A, C366,
         ATTENDANCE_LOG!$B:$B, E366),
"")</f>
        <v>45764.58333</v>
      </c>
      <c r="I366" s="170">
        <f t="shared" si="2"/>
        <v>45764.58333</v>
      </c>
      <c r="J366" s="11">
        <f>IFERROR(VLOOKUP(F366, LEVEL_HELPER!$A:$B, 2, 0), "")</f>
        <v>1</v>
      </c>
      <c r="K366" s="11">
        <f>IFERROR(VLOOKUP(G366, LEVEL_HELPER!$A:$B, 2, 0), "")</f>
        <v>1.5</v>
      </c>
      <c r="L366" s="171" t="s">
        <v>857</v>
      </c>
      <c r="M366" s="171" t="s">
        <v>151</v>
      </c>
      <c r="N366" s="11">
        <f t="array" ref="N366">IFERROR(
  INDEX($J$2:$J$531,
    MATCH(A366&amp;TEXT(I366,"yyyy-mm-dd"),
          $A$2:$A$531&amp;TEXT($H$2:$H$531,"yyyy-mm-dd"),
          0)),
"")</f>
        <v>1</v>
      </c>
      <c r="O366" s="160">
        <f t="shared" si="3"/>
        <v>5</v>
      </c>
      <c r="P366" s="160">
        <f t="shared" ref="P366:Q366" si="376">IF(N366="",0,IF(N366&lt;=2,1,IF(N366&lt;=4,2,IF(N366&lt;=5.5,3,4))))</f>
        <v>1</v>
      </c>
      <c r="Q366" s="160">
        <f t="shared" si="376"/>
        <v>3</v>
      </c>
      <c r="R366" s="160" t="str">
        <f t="shared" si="5"/>
        <v>Lv1 → Lv3 (multi)</v>
      </c>
      <c r="S366" s="160">
        <f t="shared" si="6"/>
        <v>0</v>
      </c>
      <c r="T366" s="177" t="s">
        <v>1062</v>
      </c>
      <c r="U366" s="160">
        <f>COUNTIFS(sheet2!$A:$A,A366,sheet2!$E:$E,E366)</f>
        <v>1</v>
      </c>
      <c r="V366" s="160"/>
      <c r="W366" s="160"/>
      <c r="X366" s="160"/>
      <c r="Y366" s="160"/>
      <c r="Z366" s="160"/>
      <c r="AA366" s="160"/>
      <c r="AB366" s="160"/>
      <c r="AC366" s="160"/>
      <c r="AD366" s="160"/>
      <c r="AE366" s="160"/>
      <c r="AF366" s="160"/>
      <c r="AG366" s="160"/>
      <c r="AH366" s="160"/>
      <c r="AI366" s="160"/>
      <c r="AJ366" s="160"/>
      <c r="AK366" s="160"/>
      <c r="AL366" s="160"/>
      <c r="AM366" s="160"/>
      <c r="AN366" s="164"/>
      <c r="AO366" s="160"/>
      <c r="AP366" s="160"/>
      <c r="AQ366" s="160"/>
      <c r="AR366" s="160"/>
      <c r="AS366" s="160"/>
      <c r="AT366" s="160"/>
      <c r="AU366" s="160"/>
      <c r="AV366" s="160"/>
      <c r="AW366" s="160"/>
      <c r="AX366" s="160"/>
      <c r="AY366" s="160"/>
      <c r="AZ366" s="160"/>
      <c r="BA366" s="160"/>
      <c r="BB366" s="160"/>
      <c r="BC366" s="160"/>
      <c r="BD366" s="160"/>
      <c r="BE366" s="160"/>
      <c r="BF366" s="160"/>
      <c r="BG366" s="160"/>
      <c r="BH366" s="160"/>
      <c r="BI366" s="160"/>
      <c r="BJ366" s="160"/>
      <c r="BK366" s="160"/>
      <c r="BL366" s="160"/>
      <c r="BM366" s="160"/>
      <c r="BN366" s="160"/>
      <c r="BO366" s="160"/>
      <c r="BP366" s="160"/>
      <c r="BQ366" s="160"/>
      <c r="BR366" s="160"/>
      <c r="BS366" s="160"/>
      <c r="BT366" s="160"/>
      <c r="BU366" s="160"/>
      <c r="BV366" s="160"/>
      <c r="BW366" s="160"/>
      <c r="BX366" s="160"/>
      <c r="BY366" s="160"/>
      <c r="BZ366" s="160"/>
      <c r="CA366" s="160"/>
      <c r="CB366" s="160"/>
      <c r="CC366" s="160"/>
      <c r="CD366" s="160"/>
      <c r="CE366" s="160"/>
      <c r="CF366" s="160"/>
      <c r="CG366" s="160"/>
      <c r="CH366" s="160"/>
      <c r="CI366" s="160"/>
      <c r="CJ366" s="160"/>
      <c r="CK366" s="160"/>
      <c r="CL366" s="160"/>
    </row>
    <row r="367">
      <c r="A367" s="174" t="s">
        <v>191</v>
      </c>
      <c r="B367" s="11" t="s">
        <v>192</v>
      </c>
      <c r="C367" s="175" t="s">
        <v>84</v>
      </c>
      <c r="D367" s="176" t="str">
        <f>IFERROR(VLOOKUP(C367, PIC!A:B, 2, 0), "")</f>
        <v>Thuong Tran</v>
      </c>
      <c r="E367" s="11" t="s">
        <v>22</v>
      </c>
      <c r="F367" s="16" t="s">
        <v>849</v>
      </c>
      <c r="G367" s="16" t="s">
        <v>853</v>
      </c>
      <c r="H367" s="170">
        <f>IFERROR(
  MINIFS(ATTENDANCE_LOG!$F:$F,
         ATTENDANCE_LOG!$A:$A, C367,
         ATTENDANCE_LOG!$B:$B, E367),
"")</f>
        <v>45764.58333</v>
      </c>
      <c r="I367" s="170">
        <f t="shared" si="2"/>
        <v>45764.58333</v>
      </c>
      <c r="J367" s="11">
        <f>IFERROR(VLOOKUP(F367, LEVEL_HELPER!$A:$B, 2, 0), "")</f>
        <v>1</v>
      </c>
      <c r="K367" s="11">
        <f>IFERROR(VLOOKUP(G367, LEVEL_HELPER!$A:$B, 2, 0), "")</f>
        <v>1.5</v>
      </c>
      <c r="L367" s="171" t="s">
        <v>847</v>
      </c>
      <c r="M367" s="171" t="s">
        <v>151</v>
      </c>
      <c r="N367" s="11">
        <f t="array" ref="N367">IFERROR(
  INDEX($J$2:$J$531,
    MATCH(A367&amp;TEXT(I367,"yyyy-mm-dd"),
          $A$2:$A$531&amp;TEXT($H$2:$H$531,"yyyy-mm-dd"),
          0)),
"")</f>
        <v>1</v>
      </c>
      <c r="O367" s="160">
        <f t="shared" si="3"/>
        <v>1.5</v>
      </c>
      <c r="P367" s="160">
        <f t="shared" ref="P367:Q367" si="377">IF(N367="",0,IF(N367&lt;=2,1,IF(N367&lt;=4,2,IF(N367&lt;=5.5,3,4))))</f>
        <v>1</v>
      </c>
      <c r="Q367" s="160">
        <f t="shared" si="377"/>
        <v>1</v>
      </c>
      <c r="R367" s="160" t="str">
        <f t="shared" si="5"/>
        <v>Progress within level</v>
      </c>
      <c r="S367" s="160">
        <f t="shared" si="6"/>
        <v>0</v>
      </c>
      <c r="T367" s="177" t="s">
        <v>1059</v>
      </c>
      <c r="U367" s="160">
        <f>COUNTIFS(sheet2!$A:$A,A367,sheet2!$E:$E,E367)</f>
        <v>1</v>
      </c>
      <c r="V367" s="160"/>
      <c r="W367" s="160"/>
      <c r="X367" s="160"/>
      <c r="Y367" s="160"/>
      <c r="Z367" s="160"/>
      <c r="AA367" s="160"/>
      <c r="AB367" s="160"/>
      <c r="AC367" s="160"/>
      <c r="AD367" s="160"/>
      <c r="AE367" s="160"/>
      <c r="AF367" s="160"/>
      <c r="AG367" s="160"/>
      <c r="AH367" s="160"/>
      <c r="AI367" s="160"/>
      <c r="AJ367" s="160"/>
      <c r="AK367" s="160"/>
      <c r="AL367" s="160"/>
      <c r="AM367" s="160"/>
      <c r="AN367" s="164"/>
      <c r="AO367" s="160"/>
      <c r="AP367" s="160"/>
      <c r="AQ367" s="160"/>
      <c r="AR367" s="160"/>
      <c r="AS367" s="160"/>
      <c r="AT367" s="160"/>
      <c r="AU367" s="160"/>
      <c r="AV367" s="160"/>
      <c r="AW367" s="160"/>
      <c r="AX367" s="160"/>
      <c r="AY367" s="160"/>
      <c r="AZ367" s="160"/>
      <c r="BA367" s="160"/>
      <c r="BB367" s="160"/>
      <c r="BC367" s="160"/>
      <c r="BD367" s="160"/>
      <c r="BE367" s="160"/>
      <c r="BF367" s="160"/>
      <c r="BG367" s="160"/>
      <c r="BH367" s="160"/>
      <c r="BI367" s="160"/>
      <c r="BJ367" s="160"/>
      <c r="BK367" s="160"/>
      <c r="BL367" s="160"/>
      <c r="BM367" s="160"/>
      <c r="BN367" s="160"/>
      <c r="BO367" s="160"/>
      <c r="BP367" s="160"/>
      <c r="BQ367" s="160"/>
      <c r="BR367" s="160"/>
      <c r="BS367" s="160"/>
      <c r="BT367" s="160"/>
      <c r="BU367" s="160"/>
      <c r="BV367" s="160"/>
      <c r="BW367" s="160"/>
      <c r="BX367" s="160"/>
      <c r="BY367" s="160"/>
      <c r="BZ367" s="160"/>
      <c r="CA367" s="160"/>
      <c r="CB367" s="160"/>
      <c r="CC367" s="160"/>
      <c r="CD367" s="160"/>
      <c r="CE367" s="160"/>
      <c r="CF367" s="160"/>
      <c r="CG367" s="160"/>
      <c r="CH367" s="160"/>
      <c r="CI367" s="160"/>
      <c r="CJ367" s="160"/>
      <c r="CK367" s="160"/>
      <c r="CL367" s="160"/>
    </row>
    <row r="368">
      <c r="A368" s="174" t="s">
        <v>685</v>
      </c>
      <c r="B368" s="11" t="s">
        <v>686</v>
      </c>
      <c r="C368" s="175" t="s">
        <v>84</v>
      </c>
      <c r="D368" s="176" t="str">
        <f>IFERROR(VLOOKUP(C368, PIC!A:B, 2, 0), "")</f>
        <v>Thuong Tran</v>
      </c>
      <c r="E368" s="11" t="s">
        <v>22</v>
      </c>
      <c r="F368" s="16" t="s">
        <v>849</v>
      </c>
      <c r="G368" s="11"/>
      <c r="H368" s="170">
        <f>IFERROR(
  MINIFS(ATTENDANCE_LOG!$F:$F,
         ATTENDANCE_LOG!$A:$A, C368,
         ATTENDANCE_LOG!$B:$B, E368),
"")</f>
        <v>45764.58333</v>
      </c>
      <c r="I368" s="170">
        <f t="shared" si="2"/>
        <v>45764.58333</v>
      </c>
      <c r="J368" s="11">
        <f>IFERROR(VLOOKUP(F368, LEVEL_HELPER!$A:$B, 2, 0), "")</f>
        <v>1</v>
      </c>
      <c r="K368" s="11" t="str">
        <f>IFERROR(VLOOKUP(G368, LEVEL_HELPER!$A:$B, 2, 0), "")</f>
        <v/>
      </c>
      <c r="L368" s="171" t="s">
        <v>847</v>
      </c>
      <c r="M368" s="171" t="s">
        <v>150</v>
      </c>
      <c r="N368" s="11">
        <f t="array" ref="N368">IFERROR(
  INDEX($J$2:$J$531,
    MATCH(A368&amp;TEXT(I368,"yyyy-mm-dd"),
          $A$2:$A$531&amp;TEXT($H$2:$H$531,"yyyy-mm-dd"),
          0)),
"")</f>
        <v>1</v>
      </c>
      <c r="O368" s="160">
        <f t="shared" si="3"/>
        <v>0</v>
      </c>
      <c r="P368" s="160">
        <f t="shared" ref="P368:Q368" si="378">IF(N368="",0,IF(N368&lt;=2,1,IF(N368&lt;=4,2,IF(N368&lt;=5.5,3,4))))</f>
        <v>1</v>
      </c>
      <c r="Q368" s="160">
        <f t="shared" si="378"/>
        <v>1</v>
      </c>
      <c r="R368" s="160" t="str">
        <f t="shared" si="5"/>
        <v>Not tested yet</v>
      </c>
      <c r="S368" s="160">
        <f t="shared" si="6"/>
        <v>1</v>
      </c>
      <c r="T368" s="198"/>
      <c r="U368" s="160">
        <f>COUNTIFS(sheet2!$A:$A,A368,sheet2!$E:$E,E368)</f>
        <v>1</v>
      </c>
      <c r="V368" s="160"/>
      <c r="W368" s="160"/>
      <c r="X368" s="160"/>
      <c r="Y368" s="160"/>
      <c r="Z368" s="160"/>
      <c r="AA368" s="160"/>
      <c r="AB368" s="160"/>
      <c r="AC368" s="160"/>
      <c r="AD368" s="160"/>
      <c r="AE368" s="160"/>
      <c r="AF368" s="160"/>
      <c r="AG368" s="160"/>
      <c r="AH368" s="160"/>
      <c r="AI368" s="160"/>
      <c r="AJ368" s="160"/>
      <c r="AK368" s="160"/>
      <c r="AL368" s="160"/>
      <c r="AM368" s="160"/>
      <c r="AN368" s="164"/>
      <c r="AO368" s="160"/>
      <c r="AP368" s="160"/>
      <c r="AQ368" s="160"/>
      <c r="AR368" s="160"/>
      <c r="AS368" s="160"/>
      <c r="AT368" s="160"/>
      <c r="AU368" s="160"/>
      <c r="AV368" s="160"/>
      <c r="AW368" s="160"/>
      <c r="AX368" s="160"/>
      <c r="AY368" s="160"/>
      <c r="AZ368" s="160"/>
      <c r="BA368" s="160"/>
      <c r="BB368" s="160"/>
      <c r="BC368" s="160"/>
      <c r="BD368" s="160"/>
      <c r="BE368" s="160"/>
      <c r="BF368" s="160"/>
      <c r="BG368" s="160"/>
      <c r="BH368" s="160"/>
      <c r="BI368" s="160"/>
      <c r="BJ368" s="160"/>
      <c r="BK368" s="160"/>
      <c r="BL368" s="160"/>
      <c r="BM368" s="160"/>
      <c r="BN368" s="160"/>
      <c r="BO368" s="160"/>
      <c r="BP368" s="160"/>
      <c r="BQ368" s="160"/>
      <c r="BR368" s="160"/>
      <c r="BS368" s="160"/>
      <c r="BT368" s="160"/>
      <c r="BU368" s="160"/>
      <c r="BV368" s="160"/>
      <c r="BW368" s="160"/>
      <c r="BX368" s="160"/>
      <c r="BY368" s="160"/>
      <c r="BZ368" s="160"/>
      <c r="CA368" s="160"/>
      <c r="CB368" s="160"/>
      <c r="CC368" s="160"/>
      <c r="CD368" s="160"/>
      <c r="CE368" s="160"/>
      <c r="CF368" s="160"/>
      <c r="CG368" s="160"/>
      <c r="CH368" s="160"/>
      <c r="CI368" s="160"/>
      <c r="CJ368" s="160"/>
      <c r="CK368" s="160"/>
      <c r="CL368" s="160"/>
    </row>
    <row r="369">
      <c r="A369" s="174" t="s">
        <v>679</v>
      </c>
      <c r="B369" s="11" t="s">
        <v>680</v>
      </c>
      <c r="C369" s="175" t="s">
        <v>84</v>
      </c>
      <c r="D369" s="176" t="str">
        <f>IFERROR(VLOOKUP(C369, PIC!A:B, 2, 0), "")</f>
        <v>Thuong Tran</v>
      </c>
      <c r="E369" s="11" t="s">
        <v>22</v>
      </c>
      <c r="F369" s="16" t="s">
        <v>849</v>
      </c>
      <c r="G369" s="16" t="s">
        <v>846</v>
      </c>
      <c r="H369" s="170">
        <f>IFERROR(
  MINIFS(ATTENDANCE_LOG!$F:$F,
         ATTENDANCE_LOG!$A:$A, C369,
         ATTENDANCE_LOG!$B:$B, E369),
"")</f>
        <v>45764.58333</v>
      </c>
      <c r="I369" s="170">
        <f t="shared" si="2"/>
        <v>45764.58333</v>
      </c>
      <c r="J369" s="11">
        <f>IFERROR(VLOOKUP(F369, LEVEL_HELPER!$A:$B, 2, 0), "")</f>
        <v>1</v>
      </c>
      <c r="K369" s="11">
        <f>IFERROR(VLOOKUP(G369, LEVEL_HELPER!$A:$B, 2, 0), "")</f>
        <v>3</v>
      </c>
      <c r="L369" s="171" t="s">
        <v>857</v>
      </c>
      <c r="M369" s="171" t="s">
        <v>151</v>
      </c>
      <c r="N369" s="11">
        <f t="array" ref="N369">IFERROR(
  INDEX($J$2:$J$531,
    MATCH(A369&amp;TEXT(I369,"yyyy-mm-dd"),
          $A$2:$A$531&amp;TEXT($H$2:$H$531,"yyyy-mm-dd"),
          0)),
"")</f>
        <v>1</v>
      </c>
      <c r="O369" s="160">
        <f t="shared" si="3"/>
        <v>5</v>
      </c>
      <c r="P369" s="160">
        <f t="shared" ref="P369:Q369" si="379">IF(N369="",0,IF(N369&lt;=2,1,IF(N369&lt;=4,2,IF(N369&lt;=5.5,3,4))))</f>
        <v>1</v>
      </c>
      <c r="Q369" s="160">
        <f t="shared" si="379"/>
        <v>3</v>
      </c>
      <c r="R369" s="160" t="str">
        <f t="shared" si="5"/>
        <v>Lv1 → Lv3 (multi)</v>
      </c>
      <c r="S369" s="160">
        <f t="shared" si="6"/>
        <v>0</v>
      </c>
      <c r="T369" s="177" t="s">
        <v>1063</v>
      </c>
      <c r="U369" s="160">
        <f>COUNTIFS(sheet2!$A:$A,A369,sheet2!$E:$E,E369)</f>
        <v>1</v>
      </c>
      <c r="V369" s="160"/>
      <c r="W369" s="160"/>
      <c r="X369" s="160"/>
      <c r="Y369" s="160"/>
      <c r="Z369" s="160"/>
      <c r="AA369" s="160"/>
      <c r="AB369" s="160"/>
      <c r="AC369" s="160"/>
      <c r="AD369" s="160"/>
      <c r="AE369" s="160"/>
      <c r="AF369" s="160"/>
      <c r="AG369" s="160"/>
      <c r="AH369" s="160"/>
      <c r="AI369" s="160"/>
      <c r="AJ369" s="160"/>
      <c r="AK369" s="160"/>
      <c r="AL369" s="160"/>
      <c r="AM369" s="160"/>
      <c r="AN369" s="164"/>
      <c r="AO369" s="160"/>
      <c r="AP369" s="160"/>
      <c r="AQ369" s="160"/>
      <c r="AR369" s="160"/>
      <c r="AS369" s="160"/>
      <c r="AT369" s="160"/>
      <c r="AU369" s="160"/>
      <c r="AV369" s="160"/>
      <c r="AW369" s="160"/>
      <c r="AX369" s="160"/>
      <c r="AY369" s="160"/>
      <c r="AZ369" s="160"/>
      <c r="BA369" s="160"/>
      <c r="BB369" s="160"/>
      <c r="BC369" s="160"/>
      <c r="BD369" s="160"/>
      <c r="BE369" s="160"/>
      <c r="BF369" s="160"/>
      <c r="BG369" s="160"/>
      <c r="BH369" s="160"/>
      <c r="BI369" s="160"/>
      <c r="BJ369" s="160"/>
      <c r="BK369" s="160"/>
      <c r="BL369" s="160"/>
      <c r="BM369" s="160"/>
      <c r="BN369" s="160"/>
      <c r="BO369" s="160"/>
      <c r="BP369" s="160"/>
      <c r="BQ369" s="160"/>
      <c r="BR369" s="160"/>
      <c r="BS369" s="160"/>
      <c r="BT369" s="160"/>
      <c r="BU369" s="160"/>
      <c r="BV369" s="160"/>
      <c r="BW369" s="160"/>
      <c r="BX369" s="160"/>
      <c r="BY369" s="160"/>
      <c r="BZ369" s="160"/>
      <c r="CA369" s="160"/>
      <c r="CB369" s="160"/>
      <c r="CC369" s="160"/>
      <c r="CD369" s="160"/>
      <c r="CE369" s="160"/>
      <c r="CF369" s="160"/>
      <c r="CG369" s="160"/>
      <c r="CH369" s="160"/>
      <c r="CI369" s="160"/>
      <c r="CJ369" s="160"/>
      <c r="CK369" s="160"/>
      <c r="CL369" s="160"/>
    </row>
    <row r="370">
      <c r="A370" s="174" t="s">
        <v>687</v>
      </c>
      <c r="B370" s="11" t="s">
        <v>688</v>
      </c>
      <c r="C370" s="175" t="s">
        <v>84</v>
      </c>
      <c r="D370" s="176" t="str">
        <f>IFERROR(VLOOKUP(C370, PIC!A:B, 2, 0), "")</f>
        <v>Thuong Tran</v>
      </c>
      <c r="E370" s="11" t="s">
        <v>22</v>
      </c>
      <c r="F370" s="16" t="s">
        <v>849</v>
      </c>
      <c r="G370" s="16" t="s">
        <v>846</v>
      </c>
      <c r="H370" s="170">
        <f>IFERROR(
  MINIFS(ATTENDANCE_LOG!$F:$F,
         ATTENDANCE_LOG!$A:$A, C370,
         ATTENDANCE_LOG!$B:$B, E370),
"")</f>
        <v>45764.58333</v>
      </c>
      <c r="I370" s="170">
        <f t="shared" si="2"/>
        <v>45764.58333</v>
      </c>
      <c r="J370" s="11">
        <f>IFERROR(VLOOKUP(F370, LEVEL_HELPER!$A:$B, 2, 0), "")</f>
        <v>1</v>
      </c>
      <c r="K370" s="11">
        <f>IFERROR(VLOOKUP(G370, LEVEL_HELPER!$A:$B, 2, 0), "")</f>
        <v>3</v>
      </c>
      <c r="L370" s="171" t="s">
        <v>857</v>
      </c>
      <c r="M370" s="171" t="s">
        <v>151</v>
      </c>
      <c r="N370" s="11">
        <f t="array" ref="N370">IFERROR(
  INDEX($J$2:$J$531,
    MATCH(A370&amp;TEXT(I370,"yyyy-mm-dd"),
          $A$2:$A$531&amp;TEXT($H$2:$H$531,"yyyy-mm-dd"),
          0)),
"")</f>
        <v>1</v>
      </c>
      <c r="O370" s="160">
        <f t="shared" si="3"/>
        <v>5.5</v>
      </c>
      <c r="P370" s="160">
        <f t="shared" ref="P370:Q370" si="380">IF(N370="",0,IF(N370&lt;=2,1,IF(N370&lt;=4,2,IF(N370&lt;=5.5,3,4))))</f>
        <v>1</v>
      </c>
      <c r="Q370" s="160">
        <f t="shared" si="380"/>
        <v>3</v>
      </c>
      <c r="R370" s="160" t="str">
        <f t="shared" si="5"/>
        <v>Lv1 → Lv3 (multi)</v>
      </c>
      <c r="S370" s="160">
        <f t="shared" si="6"/>
        <v>0</v>
      </c>
      <c r="T370" s="177" t="s">
        <v>1064</v>
      </c>
      <c r="U370" s="160">
        <f>COUNTIFS(sheet2!$A:$A,A370,sheet2!$E:$E,E370)</f>
        <v>1</v>
      </c>
      <c r="V370" s="160"/>
      <c r="W370" s="160"/>
      <c r="X370" s="160"/>
      <c r="Y370" s="160"/>
      <c r="Z370" s="160"/>
      <c r="AA370" s="160"/>
      <c r="AB370" s="160"/>
      <c r="AC370" s="160"/>
      <c r="AD370" s="160"/>
      <c r="AE370" s="160"/>
      <c r="AF370" s="160"/>
      <c r="AG370" s="160"/>
      <c r="AH370" s="160"/>
      <c r="AI370" s="160"/>
      <c r="AJ370" s="160"/>
      <c r="AK370" s="160"/>
      <c r="AL370" s="160"/>
      <c r="AM370" s="160"/>
      <c r="AN370" s="164"/>
      <c r="AO370" s="160"/>
      <c r="AP370" s="160"/>
      <c r="AQ370" s="160"/>
      <c r="AR370" s="160"/>
      <c r="AS370" s="160"/>
      <c r="AT370" s="160"/>
      <c r="AU370" s="160"/>
      <c r="AV370" s="160"/>
      <c r="AW370" s="160"/>
      <c r="AX370" s="160"/>
      <c r="AY370" s="160"/>
      <c r="AZ370" s="160"/>
      <c r="BA370" s="160"/>
      <c r="BB370" s="160"/>
      <c r="BC370" s="160"/>
      <c r="BD370" s="160"/>
      <c r="BE370" s="160"/>
      <c r="BF370" s="160"/>
      <c r="BG370" s="160"/>
      <c r="BH370" s="160"/>
      <c r="BI370" s="160"/>
      <c r="BJ370" s="160"/>
      <c r="BK370" s="160"/>
      <c r="BL370" s="160"/>
      <c r="BM370" s="160"/>
      <c r="BN370" s="160"/>
      <c r="BO370" s="160"/>
      <c r="BP370" s="160"/>
      <c r="BQ370" s="160"/>
      <c r="BR370" s="160"/>
      <c r="BS370" s="160"/>
      <c r="BT370" s="160"/>
      <c r="BU370" s="160"/>
      <c r="BV370" s="160"/>
      <c r="BW370" s="160"/>
      <c r="BX370" s="160"/>
      <c r="BY370" s="160"/>
      <c r="BZ370" s="160"/>
      <c r="CA370" s="160"/>
      <c r="CB370" s="160"/>
      <c r="CC370" s="160"/>
      <c r="CD370" s="160"/>
      <c r="CE370" s="160"/>
      <c r="CF370" s="160"/>
      <c r="CG370" s="160"/>
      <c r="CH370" s="160"/>
      <c r="CI370" s="160"/>
      <c r="CJ370" s="160"/>
      <c r="CK370" s="160"/>
      <c r="CL370" s="160"/>
    </row>
    <row r="371">
      <c r="A371" s="174" t="s">
        <v>681</v>
      </c>
      <c r="B371" s="11" t="s">
        <v>682</v>
      </c>
      <c r="C371" s="175" t="s">
        <v>84</v>
      </c>
      <c r="D371" s="176" t="str">
        <f>IFERROR(VLOOKUP(C371, PIC!A:B, 2, 0), "")</f>
        <v>Thuong Tran</v>
      </c>
      <c r="E371" s="11" t="s">
        <v>22</v>
      </c>
      <c r="F371" s="16" t="s">
        <v>849</v>
      </c>
      <c r="G371" s="16" t="s">
        <v>846</v>
      </c>
      <c r="H371" s="170">
        <f>IFERROR(
  MINIFS(ATTENDANCE_LOG!$F:$F,
         ATTENDANCE_LOG!$A:$A, C371,
         ATTENDANCE_LOG!$B:$B, E371),
"")</f>
        <v>45764.58333</v>
      </c>
      <c r="I371" s="170">
        <f t="shared" si="2"/>
        <v>45764.58333</v>
      </c>
      <c r="J371" s="11">
        <f>IFERROR(VLOOKUP(F371, LEVEL_HELPER!$A:$B, 2, 0), "")</f>
        <v>1</v>
      </c>
      <c r="K371" s="11">
        <f>IFERROR(VLOOKUP(G371, LEVEL_HELPER!$A:$B, 2, 0), "")</f>
        <v>3</v>
      </c>
      <c r="L371" s="171" t="s">
        <v>857</v>
      </c>
      <c r="M371" s="171" t="s">
        <v>151</v>
      </c>
      <c r="N371" s="11">
        <f t="array" ref="N371">IFERROR(
  INDEX($J$2:$J$531,
    MATCH(A371&amp;TEXT(I371,"yyyy-mm-dd"),
          $A$2:$A$531&amp;TEXT($H$2:$H$531,"yyyy-mm-dd"),
          0)),
"")</f>
        <v>1</v>
      </c>
      <c r="O371" s="160">
        <f t="shared" si="3"/>
        <v>5</v>
      </c>
      <c r="P371" s="160">
        <f t="shared" ref="P371:Q371" si="381">IF(N371="",0,IF(N371&lt;=2,1,IF(N371&lt;=4,2,IF(N371&lt;=5.5,3,4))))</f>
        <v>1</v>
      </c>
      <c r="Q371" s="160">
        <f t="shared" si="381"/>
        <v>3</v>
      </c>
      <c r="R371" s="160" t="str">
        <f t="shared" si="5"/>
        <v>Lv1 → Lv3 (multi)</v>
      </c>
      <c r="S371" s="160">
        <f t="shared" si="6"/>
        <v>0</v>
      </c>
      <c r="T371" s="177" t="s">
        <v>1065</v>
      </c>
      <c r="U371" s="160">
        <f>COUNTIFS(sheet2!$A:$A,A371,sheet2!$E:$E,E371)</f>
        <v>1</v>
      </c>
      <c r="V371" s="160"/>
      <c r="W371" s="160"/>
      <c r="X371" s="160"/>
      <c r="Y371" s="160"/>
      <c r="Z371" s="160"/>
      <c r="AA371" s="160"/>
      <c r="AB371" s="160"/>
      <c r="AC371" s="160"/>
      <c r="AD371" s="160"/>
      <c r="AE371" s="160"/>
      <c r="AF371" s="160"/>
      <c r="AG371" s="160"/>
      <c r="AH371" s="160"/>
      <c r="AI371" s="160"/>
      <c r="AJ371" s="160"/>
      <c r="AK371" s="160"/>
      <c r="AL371" s="160"/>
      <c r="AM371" s="160"/>
      <c r="AN371" s="164"/>
      <c r="AO371" s="160"/>
      <c r="AP371" s="160"/>
      <c r="AQ371" s="160"/>
      <c r="AR371" s="160"/>
      <c r="AS371" s="160"/>
      <c r="AT371" s="160"/>
      <c r="AU371" s="160"/>
      <c r="AV371" s="160"/>
      <c r="AW371" s="160"/>
      <c r="AX371" s="160"/>
      <c r="AY371" s="160"/>
      <c r="AZ371" s="160"/>
      <c r="BA371" s="160"/>
      <c r="BB371" s="160"/>
      <c r="BC371" s="160"/>
      <c r="BD371" s="160"/>
      <c r="BE371" s="160"/>
      <c r="BF371" s="160"/>
      <c r="BG371" s="160"/>
      <c r="BH371" s="160"/>
      <c r="BI371" s="160"/>
      <c r="BJ371" s="160"/>
      <c r="BK371" s="160"/>
      <c r="BL371" s="160"/>
      <c r="BM371" s="160"/>
      <c r="BN371" s="160"/>
      <c r="BO371" s="160"/>
      <c r="BP371" s="160"/>
      <c r="BQ371" s="160"/>
      <c r="BR371" s="160"/>
      <c r="BS371" s="160"/>
      <c r="BT371" s="160"/>
      <c r="BU371" s="160"/>
      <c r="BV371" s="160"/>
      <c r="BW371" s="160"/>
      <c r="BX371" s="160"/>
      <c r="BY371" s="160"/>
      <c r="BZ371" s="160"/>
      <c r="CA371" s="160"/>
      <c r="CB371" s="160"/>
      <c r="CC371" s="160"/>
      <c r="CD371" s="160"/>
      <c r="CE371" s="160"/>
      <c r="CF371" s="160"/>
      <c r="CG371" s="160"/>
      <c r="CH371" s="160"/>
      <c r="CI371" s="160"/>
      <c r="CJ371" s="160"/>
      <c r="CK371" s="160"/>
      <c r="CL371" s="160"/>
    </row>
    <row r="372">
      <c r="A372" s="174" t="s">
        <v>689</v>
      </c>
      <c r="B372" s="11" t="s">
        <v>690</v>
      </c>
      <c r="C372" s="175" t="s">
        <v>84</v>
      </c>
      <c r="D372" s="176" t="str">
        <f>IFERROR(VLOOKUP(C372, PIC!A:B, 2, 0), "")</f>
        <v>Thuong Tran</v>
      </c>
      <c r="E372" s="11" t="s">
        <v>22</v>
      </c>
      <c r="F372" s="16" t="s">
        <v>849</v>
      </c>
      <c r="G372" s="16" t="s">
        <v>846</v>
      </c>
      <c r="H372" s="170">
        <f>IFERROR(
  MINIFS(ATTENDANCE_LOG!$F:$F,
         ATTENDANCE_LOG!$A:$A, C372,
         ATTENDANCE_LOG!$B:$B, E372),
"")</f>
        <v>45764.58333</v>
      </c>
      <c r="I372" s="170">
        <f t="shared" si="2"/>
        <v>45764.58333</v>
      </c>
      <c r="J372" s="11">
        <f>IFERROR(VLOOKUP(F372, LEVEL_HELPER!$A:$B, 2, 0), "")</f>
        <v>1</v>
      </c>
      <c r="K372" s="11">
        <f>IFERROR(VLOOKUP(G372, LEVEL_HELPER!$A:$B, 2, 0), "")</f>
        <v>3</v>
      </c>
      <c r="L372" s="171" t="s">
        <v>857</v>
      </c>
      <c r="M372" s="171" t="s">
        <v>151</v>
      </c>
      <c r="N372" s="11">
        <f t="array" ref="N372">IFERROR(
  INDEX($J$2:$J$531,
    MATCH(A372&amp;TEXT(I372,"yyyy-mm-dd"),
          $A$2:$A$531&amp;TEXT($H$2:$H$531,"yyyy-mm-dd"),
          0)),
"")</f>
        <v>1</v>
      </c>
      <c r="O372" s="160">
        <f t="shared" si="3"/>
        <v>3</v>
      </c>
      <c r="P372" s="160">
        <f t="shared" ref="P372:Q372" si="382">IF(N372="",0,IF(N372&lt;=2,1,IF(N372&lt;=4,2,IF(N372&lt;=5.5,3,4))))</f>
        <v>1</v>
      </c>
      <c r="Q372" s="160">
        <f t="shared" si="382"/>
        <v>2</v>
      </c>
      <c r="R372" s="160" t="str">
        <f t="shared" si="5"/>
        <v>Lv1 → Lv2</v>
      </c>
      <c r="S372" s="160">
        <f t="shared" si="6"/>
        <v>0</v>
      </c>
      <c r="T372" s="177" t="s">
        <v>1066</v>
      </c>
      <c r="U372" s="160">
        <f>COUNTIFS(sheet2!$A:$A,A372,sheet2!$E:$E,E372)</f>
        <v>1</v>
      </c>
      <c r="V372" s="160"/>
      <c r="W372" s="160"/>
      <c r="X372" s="160"/>
      <c r="Y372" s="160"/>
      <c r="Z372" s="160"/>
      <c r="AA372" s="160"/>
      <c r="AB372" s="160"/>
      <c r="AC372" s="160"/>
      <c r="AD372" s="160"/>
      <c r="AE372" s="160"/>
      <c r="AF372" s="160"/>
      <c r="AG372" s="160"/>
      <c r="AH372" s="160"/>
      <c r="AI372" s="160"/>
      <c r="AJ372" s="160"/>
      <c r="AK372" s="160"/>
      <c r="AL372" s="160"/>
      <c r="AM372" s="160"/>
      <c r="AN372" s="164"/>
      <c r="AO372" s="160"/>
      <c r="AP372" s="160"/>
      <c r="AQ372" s="160"/>
      <c r="AR372" s="160"/>
      <c r="AS372" s="160"/>
      <c r="AT372" s="160"/>
      <c r="AU372" s="160"/>
      <c r="AV372" s="160"/>
      <c r="AW372" s="160"/>
      <c r="AX372" s="160"/>
      <c r="AY372" s="160"/>
      <c r="AZ372" s="160"/>
      <c r="BA372" s="160"/>
      <c r="BB372" s="160"/>
      <c r="BC372" s="160"/>
      <c r="BD372" s="160"/>
      <c r="BE372" s="160"/>
      <c r="BF372" s="160"/>
      <c r="BG372" s="160"/>
      <c r="BH372" s="160"/>
      <c r="BI372" s="160"/>
      <c r="BJ372" s="160"/>
      <c r="BK372" s="160"/>
      <c r="BL372" s="160"/>
      <c r="BM372" s="160"/>
      <c r="BN372" s="160"/>
      <c r="BO372" s="160"/>
      <c r="BP372" s="160"/>
      <c r="BQ372" s="160"/>
      <c r="BR372" s="160"/>
      <c r="BS372" s="160"/>
      <c r="BT372" s="160"/>
      <c r="BU372" s="160"/>
      <c r="BV372" s="160"/>
      <c r="BW372" s="160"/>
      <c r="BX372" s="160"/>
      <c r="BY372" s="160"/>
      <c r="BZ372" s="160"/>
      <c r="CA372" s="160"/>
      <c r="CB372" s="160"/>
      <c r="CC372" s="160"/>
      <c r="CD372" s="160"/>
      <c r="CE372" s="160"/>
      <c r="CF372" s="160"/>
      <c r="CG372" s="160"/>
      <c r="CH372" s="160"/>
      <c r="CI372" s="160"/>
      <c r="CJ372" s="160"/>
      <c r="CK372" s="160"/>
      <c r="CL372" s="160"/>
    </row>
    <row r="373">
      <c r="A373" s="166" t="s">
        <v>683</v>
      </c>
      <c r="B373" s="167" t="s">
        <v>684</v>
      </c>
      <c r="C373" s="168" t="s">
        <v>84</v>
      </c>
      <c r="D373" s="169" t="str">
        <f>IFERROR(VLOOKUP(C373, PIC!A:B, 2, 0), "")</f>
        <v>Thuong Tran</v>
      </c>
      <c r="E373" s="167" t="s">
        <v>23</v>
      </c>
      <c r="F373" s="16" t="s">
        <v>846</v>
      </c>
      <c r="G373" s="16" t="s">
        <v>868</v>
      </c>
      <c r="H373" s="170">
        <f>IFERROR(
  MINIFS(ATTENDANCE_LOG!$F:$F,
         ATTENDANCE_LOG!$A:$A, C373,
         ATTENDANCE_LOG!$B:$B, E373),
"")</f>
        <v>45882.58333</v>
      </c>
      <c r="I373" s="170">
        <f t="shared" si="2"/>
        <v>45764.58333</v>
      </c>
      <c r="J373" s="11">
        <f>IFERROR(VLOOKUP(F373, LEVEL_HELPER!$A:$B, 2, 0), "")</f>
        <v>3</v>
      </c>
      <c r="K373" s="11">
        <f>IFERROR(VLOOKUP(G373, LEVEL_HELPER!$A:$B, 2, 0), "")</f>
        <v>5</v>
      </c>
      <c r="L373" s="171" t="s">
        <v>857</v>
      </c>
      <c r="M373" s="171" t="s">
        <v>151</v>
      </c>
      <c r="N373" s="11">
        <f t="array" ref="N373">IFERROR(
  INDEX($J$2:$J$531,
    MATCH(A373&amp;TEXT(I373,"yyyy-mm-dd"),
          $A$2:$A$531&amp;TEXT($H$2:$H$531,"yyyy-mm-dd"),
          0)),
"")</f>
        <v>1</v>
      </c>
      <c r="O373" s="160">
        <f t="shared" si="3"/>
        <v>5</v>
      </c>
      <c r="P373" s="160">
        <f t="shared" ref="P373:Q373" si="383">IF(N373="",0,IF(N373&lt;=2,1,IF(N373&lt;=4,2,IF(N373&lt;=5.5,3,4))))</f>
        <v>1</v>
      </c>
      <c r="Q373" s="160">
        <f t="shared" si="383"/>
        <v>3</v>
      </c>
      <c r="R373" s="160" t="str">
        <f t="shared" si="5"/>
        <v>Lv1 → Lv3 (multi)</v>
      </c>
      <c r="S373" s="160">
        <f t="shared" si="6"/>
        <v>0</v>
      </c>
      <c r="T373" s="172" t="s">
        <v>1060</v>
      </c>
      <c r="U373" s="160">
        <f>COUNTIFS(sheet2!$A:$A,A373,sheet2!$E:$E,E373)</f>
        <v>1</v>
      </c>
      <c r="V373" s="160"/>
      <c r="W373" s="160"/>
      <c r="X373" s="160"/>
      <c r="Y373" s="160"/>
      <c r="Z373" s="160"/>
      <c r="AA373" s="160"/>
      <c r="AB373" s="160"/>
      <c r="AC373" s="160"/>
      <c r="AD373" s="160"/>
      <c r="AE373" s="160"/>
      <c r="AF373" s="160"/>
      <c r="AG373" s="160"/>
      <c r="AH373" s="160"/>
      <c r="AI373" s="160"/>
      <c r="AJ373" s="160"/>
      <c r="AK373" s="160"/>
      <c r="AL373" s="160"/>
      <c r="AM373" s="160"/>
      <c r="AN373" s="164"/>
      <c r="AO373" s="160"/>
      <c r="AP373" s="160"/>
      <c r="AQ373" s="160"/>
      <c r="AR373" s="160"/>
      <c r="AS373" s="160"/>
      <c r="AT373" s="160"/>
      <c r="AU373" s="160"/>
      <c r="AV373" s="160"/>
      <c r="AW373" s="160"/>
      <c r="AX373" s="160"/>
      <c r="AY373" s="160"/>
      <c r="AZ373" s="160"/>
      <c r="BA373" s="160"/>
      <c r="BB373" s="160"/>
      <c r="BC373" s="160"/>
      <c r="BD373" s="160"/>
      <c r="BE373" s="160"/>
      <c r="BF373" s="160"/>
      <c r="BG373" s="160"/>
      <c r="BH373" s="160"/>
      <c r="BI373" s="160"/>
      <c r="BJ373" s="160"/>
      <c r="BK373" s="160"/>
      <c r="BL373" s="160"/>
      <c r="BM373" s="160"/>
      <c r="BN373" s="160"/>
      <c r="BO373" s="160"/>
      <c r="BP373" s="160"/>
      <c r="BQ373" s="160"/>
      <c r="BR373" s="160"/>
      <c r="BS373" s="160"/>
      <c r="BT373" s="160"/>
      <c r="BU373" s="160"/>
      <c r="BV373" s="160"/>
      <c r="BW373" s="160"/>
      <c r="BX373" s="160"/>
      <c r="BY373" s="160"/>
      <c r="BZ373" s="160"/>
      <c r="CA373" s="160"/>
      <c r="CB373" s="160"/>
      <c r="CC373" s="160"/>
      <c r="CD373" s="160"/>
      <c r="CE373" s="160"/>
      <c r="CF373" s="160"/>
      <c r="CG373" s="160"/>
      <c r="CH373" s="160"/>
      <c r="CI373" s="160"/>
      <c r="CJ373" s="160"/>
      <c r="CK373" s="160"/>
      <c r="CL373" s="160"/>
    </row>
    <row r="374">
      <c r="A374" s="174" t="s">
        <v>675</v>
      </c>
      <c r="B374" s="11" t="s">
        <v>676</v>
      </c>
      <c r="C374" s="175" t="s">
        <v>84</v>
      </c>
      <c r="D374" s="176" t="str">
        <f>IFERROR(VLOOKUP(C374, PIC!A:B, 2, 0), "")</f>
        <v>Thuong Tran</v>
      </c>
      <c r="E374" s="11" t="s">
        <v>23</v>
      </c>
      <c r="F374" s="16" t="s">
        <v>861</v>
      </c>
      <c r="G374" s="16" t="s">
        <v>865</v>
      </c>
      <c r="H374" s="170">
        <f>IFERROR(
  MINIFS(ATTENDANCE_LOG!$F:$F,
         ATTENDANCE_LOG!$A:$A, C374,
         ATTENDANCE_LOG!$B:$B, E374),
"")</f>
        <v>45882.58333</v>
      </c>
      <c r="I374" s="170">
        <f t="shared" si="2"/>
        <v>45764.58333</v>
      </c>
      <c r="J374" s="11">
        <f>IFERROR(VLOOKUP(F374, LEVEL_HELPER!$A:$B, 2, 0), "")</f>
        <v>3.5</v>
      </c>
      <c r="K374" s="11">
        <f>IFERROR(VLOOKUP(G374, LEVEL_HELPER!$A:$B, 2, 0), "")</f>
        <v>5.5</v>
      </c>
      <c r="L374" s="171" t="s">
        <v>857</v>
      </c>
      <c r="M374" s="171" t="s">
        <v>151</v>
      </c>
      <c r="N374" s="11">
        <f t="array" ref="N374">IFERROR(
  INDEX($J$2:$J$531,
    MATCH(A374&amp;TEXT(I374,"yyyy-mm-dd"),
          $A$2:$A$531&amp;TEXT($H$2:$H$531,"yyyy-mm-dd"),
          0)),
"")</f>
        <v>2.5</v>
      </c>
      <c r="O374" s="160">
        <f t="shared" si="3"/>
        <v>5.5</v>
      </c>
      <c r="P374" s="160">
        <f t="shared" ref="P374:Q374" si="384">IF(N374="",0,IF(N374&lt;=2,1,IF(N374&lt;=4,2,IF(N374&lt;=5.5,3,4))))</f>
        <v>2</v>
      </c>
      <c r="Q374" s="160">
        <f t="shared" si="384"/>
        <v>3</v>
      </c>
      <c r="R374" s="160" t="str">
        <f t="shared" si="5"/>
        <v>Lv2 → Lv3</v>
      </c>
      <c r="S374" s="160">
        <f t="shared" si="6"/>
        <v>0</v>
      </c>
      <c r="T374" s="177" t="s">
        <v>1061</v>
      </c>
      <c r="U374" s="160">
        <f>COUNTIFS(sheet2!$A:$A,A374,sheet2!$E:$E,E374)</f>
        <v>1</v>
      </c>
      <c r="V374" s="160"/>
      <c r="W374" s="160"/>
      <c r="X374" s="160"/>
      <c r="Y374" s="160"/>
      <c r="Z374" s="160"/>
      <c r="AA374" s="160"/>
      <c r="AB374" s="160"/>
      <c r="AC374" s="160"/>
      <c r="AD374" s="160"/>
      <c r="AE374" s="160"/>
      <c r="AF374" s="160"/>
      <c r="AG374" s="160"/>
      <c r="AH374" s="160"/>
      <c r="AI374" s="160"/>
      <c r="AJ374" s="160"/>
      <c r="AK374" s="160"/>
      <c r="AL374" s="160"/>
      <c r="AM374" s="160"/>
      <c r="AN374" s="164"/>
      <c r="AO374" s="160"/>
      <c r="AP374" s="160"/>
      <c r="AQ374" s="160"/>
      <c r="AR374" s="160"/>
      <c r="AS374" s="160"/>
      <c r="AT374" s="160"/>
      <c r="AU374" s="160"/>
      <c r="AV374" s="160"/>
      <c r="AW374" s="160"/>
      <c r="AX374" s="160"/>
      <c r="AY374" s="160"/>
      <c r="AZ374" s="160"/>
      <c r="BA374" s="160"/>
      <c r="BB374" s="160"/>
      <c r="BC374" s="160"/>
      <c r="BD374" s="160"/>
      <c r="BE374" s="160"/>
      <c r="BF374" s="160"/>
      <c r="BG374" s="160"/>
      <c r="BH374" s="160"/>
      <c r="BI374" s="160"/>
      <c r="BJ374" s="160"/>
      <c r="BK374" s="160"/>
      <c r="BL374" s="160"/>
      <c r="BM374" s="160"/>
      <c r="BN374" s="160"/>
      <c r="BO374" s="160"/>
      <c r="BP374" s="160"/>
      <c r="BQ374" s="160"/>
      <c r="BR374" s="160"/>
      <c r="BS374" s="160"/>
      <c r="BT374" s="160"/>
      <c r="BU374" s="160"/>
      <c r="BV374" s="160"/>
      <c r="BW374" s="160"/>
      <c r="BX374" s="160"/>
      <c r="BY374" s="160"/>
      <c r="BZ374" s="160"/>
      <c r="CA374" s="160"/>
      <c r="CB374" s="160"/>
      <c r="CC374" s="160"/>
      <c r="CD374" s="160"/>
      <c r="CE374" s="160"/>
      <c r="CF374" s="160"/>
      <c r="CG374" s="160"/>
      <c r="CH374" s="160"/>
      <c r="CI374" s="160"/>
      <c r="CJ374" s="160"/>
      <c r="CK374" s="160"/>
      <c r="CL374" s="160"/>
    </row>
    <row r="375">
      <c r="A375" s="174" t="s">
        <v>677</v>
      </c>
      <c r="B375" s="11" t="s">
        <v>678</v>
      </c>
      <c r="C375" s="175" t="s">
        <v>84</v>
      </c>
      <c r="D375" s="176" t="str">
        <f>IFERROR(VLOOKUP(C375, PIC!A:B, 2, 0), "")</f>
        <v>Thuong Tran</v>
      </c>
      <c r="E375" s="11" t="s">
        <v>23</v>
      </c>
      <c r="F375" s="16" t="s">
        <v>853</v>
      </c>
      <c r="G375" s="16" t="s">
        <v>868</v>
      </c>
      <c r="H375" s="170">
        <f>IFERROR(
  MINIFS(ATTENDANCE_LOG!$F:$F,
         ATTENDANCE_LOG!$A:$A, C375,
         ATTENDANCE_LOG!$B:$B, E375),
"")</f>
        <v>45882.58333</v>
      </c>
      <c r="I375" s="170">
        <f t="shared" si="2"/>
        <v>45764.58333</v>
      </c>
      <c r="J375" s="11">
        <f>IFERROR(VLOOKUP(F375, LEVEL_HELPER!$A:$B, 2, 0), "")</f>
        <v>1.5</v>
      </c>
      <c r="K375" s="11">
        <f>IFERROR(VLOOKUP(G375, LEVEL_HELPER!$A:$B, 2, 0), "")</f>
        <v>5</v>
      </c>
      <c r="L375" s="171" t="s">
        <v>857</v>
      </c>
      <c r="M375" s="171" t="s">
        <v>151</v>
      </c>
      <c r="N375" s="11">
        <f t="array" ref="N375">IFERROR(
  INDEX($J$2:$J$531,
    MATCH(A375&amp;TEXT(I375,"yyyy-mm-dd"),
          $A$2:$A$531&amp;TEXT($H$2:$H$531,"yyyy-mm-dd"),
          0)),
"")</f>
        <v>1</v>
      </c>
      <c r="O375" s="160">
        <f t="shared" si="3"/>
        <v>5</v>
      </c>
      <c r="P375" s="160">
        <f t="shared" ref="P375:Q375" si="385">IF(N375="",0,IF(N375&lt;=2,1,IF(N375&lt;=4,2,IF(N375&lt;=5.5,3,4))))</f>
        <v>1</v>
      </c>
      <c r="Q375" s="160">
        <f t="shared" si="385"/>
        <v>3</v>
      </c>
      <c r="R375" s="160" t="str">
        <f t="shared" si="5"/>
        <v>Lv1 → Lv3 (multi)</v>
      </c>
      <c r="S375" s="160">
        <f t="shared" si="6"/>
        <v>0</v>
      </c>
      <c r="T375" s="177" t="s">
        <v>1062</v>
      </c>
      <c r="U375" s="160">
        <f>COUNTIFS(sheet2!$A:$A,A375,sheet2!$E:$E,E375)</f>
        <v>1</v>
      </c>
      <c r="V375" s="160"/>
      <c r="W375" s="160"/>
      <c r="X375" s="160"/>
      <c r="Y375" s="160"/>
      <c r="Z375" s="160"/>
      <c r="AA375" s="160"/>
      <c r="AB375" s="160"/>
      <c r="AC375" s="160"/>
      <c r="AD375" s="160"/>
      <c r="AE375" s="160"/>
      <c r="AF375" s="160"/>
      <c r="AG375" s="160"/>
      <c r="AH375" s="160"/>
      <c r="AI375" s="160"/>
      <c r="AJ375" s="160"/>
      <c r="AK375" s="160"/>
      <c r="AL375" s="160"/>
      <c r="AM375" s="160"/>
      <c r="AN375" s="164"/>
      <c r="AO375" s="160"/>
      <c r="AP375" s="160"/>
      <c r="AQ375" s="160"/>
      <c r="AR375" s="160"/>
      <c r="AS375" s="160"/>
      <c r="AT375" s="160"/>
      <c r="AU375" s="160"/>
      <c r="AV375" s="160"/>
      <c r="AW375" s="160"/>
      <c r="AX375" s="160"/>
      <c r="AY375" s="160"/>
      <c r="AZ375" s="160"/>
      <c r="BA375" s="160"/>
      <c r="BB375" s="160"/>
      <c r="BC375" s="160"/>
      <c r="BD375" s="160"/>
      <c r="BE375" s="160"/>
      <c r="BF375" s="160"/>
      <c r="BG375" s="160"/>
      <c r="BH375" s="160"/>
      <c r="BI375" s="160"/>
      <c r="BJ375" s="160"/>
      <c r="BK375" s="160"/>
      <c r="BL375" s="160"/>
      <c r="BM375" s="160"/>
      <c r="BN375" s="160"/>
      <c r="BO375" s="160"/>
      <c r="BP375" s="160"/>
      <c r="BQ375" s="160"/>
      <c r="BR375" s="160"/>
      <c r="BS375" s="160"/>
      <c r="BT375" s="160"/>
      <c r="BU375" s="160"/>
      <c r="BV375" s="160"/>
      <c r="BW375" s="160"/>
      <c r="BX375" s="160"/>
      <c r="BY375" s="160"/>
      <c r="BZ375" s="160"/>
      <c r="CA375" s="160"/>
      <c r="CB375" s="160"/>
      <c r="CC375" s="160"/>
      <c r="CD375" s="160"/>
      <c r="CE375" s="160"/>
      <c r="CF375" s="160"/>
      <c r="CG375" s="160"/>
      <c r="CH375" s="160"/>
      <c r="CI375" s="160"/>
      <c r="CJ375" s="160"/>
      <c r="CK375" s="160"/>
      <c r="CL375" s="160"/>
    </row>
    <row r="376">
      <c r="A376" s="174" t="s">
        <v>679</v>
      </c>
      <c r="B376" s="11" t="s">
        <v>680</v>
      </c>
      <c r="C376" s="175" t="s">
        <v>84</v>
      </c>
      <c r="D376" s="176" t="str">
        <f>IFERROR(VLOOKUP(C376, PIC!A:B, 2, 0), "")</f>
        <v>Thuong Tran</v>
      </c>
      <c r="E376" s="11" t="s">
        <v>23</v>
      </c>
      <c r="F376" s="16" t="s">
        <v>846</v>
      </c>
      <c r="G376" s="16" t="s">
        <v>868</v>
      </c>
      <c r="H376" s="170">
        <f>IFERROR(
  MINIFS(ATTENDANCE_LOG!$F:$F,
         ATTENDANCE_LOG!$A:$A, C376,
         ATTENDANCE_LOG!$B:$B, E376),
"")</f>
        <v>45882.58333</v>
      </c>
      <c r="I376" s="170">
        <f t="shared" si="2"/>
        <v>45764.58333</v>
      </c>
      <c r="J376" s="11">
        <f>IFERROR(VLOOKUP(F376, LEVEL_HELPER!$A:$B, 2, 0), "")</f>
        <v>3</v>
      </c>
      <c r="K376" s="11">
        <f>IFERROR(VLOOKUP(G376, LEVEL_HELPER!$A:$B, 2, 0), "")</f>
        <v>5</v>
      </c>
      <c r="L376" s="171" t="s">
        <v>857</v>
      </c>
      <c r="M376" s="171" t="s">
        <v>151</v>
      </c>
      <c r="N376" s="11">
        <f t="array" ref="N376">IFERROR(
  INDEX($J$2:$J$531,
    MATCH(A376&amp;TEXT(I376,"yyyy-mm-dd"),
          $A$2:$A$531&amp;TEXT($H$2:$H$531,"yyyy-mm-dd"),
          0)),
"")</f>
        <v>1</v>
      </c>
      <c r="O376" s="160">
        <f t="shared" si="3"/>
        <v>5</v>
      </c>
      <c r="P376" s="160">
        <f t="shared" ref="P376:Q376" si="386">IF(N376="",0,IF(N376&lt;=2,1,IF(N376&lt;=4,2,IF(N376&lt;=5.5,3,4))))</f>
        <v>1</v>
      </c>
      <c r="Q376" s="160">
        <f t="shared" si="386"/>
        <v>3</v>
      </c>
      <c r="R376" s="160" t="str">
        <f t="shared" si="5"/>
        <v>Lv1 → Lv3 (multi)</v>
      </c>
      <c r="S376" s="160">
        <f t="shared" si="6"/>
        <v>0</v>
      </c>
      <c r="T376" s="177" t="s">
        <v>1063</v>
      </c>
      <c r="U376" s="160">
        <f>COUNTIFS(sheet2!$A:$A,A376,sheet2!$E:$E,E376)</f>
        <v>1</v>
      </c>
      <c r="V376" s="160"/>
      <c r="W376" s="160"/>
      <c r="X376" s="160"/>
      <c r="Y376" s="160"/>
      <c r="Z376" s="160"/>
      <c r="AA376" s="160"/>
      <c r="AB376" s="160"/>
      <c r="AC376" s="160"/>
      <c r="AD376" s="160"/>
      <c r="AE376" s="160"/>
      <c r="AF376" s="160"/>
      <c r="AG376" s="160"/>
      <c r="AH376" s="160"/>
      <c r="AI376" s="160"/>
      <c r="AJ376" s="160"/>
      <c r="AK376" s="160"/>
      <c r="AL376" s="160"/>
      <c r="AM376" s="160"/>
      <c r="AN376" s="164"/>
      <c r="AO376" s="160"/>
      <c r="AP376" s="160"/>
      <c r="AQ376" s="160"/>
      <c r="AR376" s="160"/>
      <c r="AS376" s="160"/>
      <c r="AT376" s="160"/>
      <c r="AU376" s="160"/>
      <c r="AV376" s="160"/>
      <c r="AW376" s="160"/>
      <c r="AX376" s="160"/>
      <c r="AY376" s="160"/>
      <c r="AZ376" s="160"/>
      <c r="BA376" s="160"/>
      <c r="BB376" s="160"/>
      <c r="BC376" s="160"/>
      <c r="BD376" s="160"/>
      <c r="BE376" s="160"/>
      <c r="BF376" s="160"/>
      <c r="BG376" s="160"/>
      <c r="BH376" s="160"/>
      <c r="BI376" s="160"/>
      <c r="BJ376" s="160"/>
      <c r="BK376" s="160"/>
      <c r="BL376" s="160"/>
      <c r="BM376" s="160"/>
      <c r="BN376" s="160"/>
      <c r="BO376" s="160"/>
      <c r="BP376" s="160"/>
      <c r="BQ376" s="160"/>
      <c r="BR376" s="160"/>
      <c r="BS376" s="160"/>
      <c r="BT376" s="160"/>
      <c r="BU376" s="160"/>
      <c r="BV376" s="160"/>
      <c r="BW376" s="160"/>
      <c r="BX376" s="160"/>
      <c r="BY376" s="160"/>
      <c r="BZ376" s="160"/>
      <c r="CA376" s="160"/>
      <c r="CB376" s="160"/>
      <c r="CC376" s="160"/>
      <c r="CD376" s="160"/>
      <c r="CE376" s="160"/>
      <c r="CF376" s="160"/>
      <c r="CG376" s="160"/>
      <c r="CH376" s="160"/>
      <c r="CI376" s="160"/>
      <c r="CJ376" s="160"/>
      <c r="CK376" s="160"/>
      <c r="CL376" s="160"/>
    </row>
    <row r="377">
      <c r="A377" s="174" t="s">
        <v>687</v>
      </c>
      <c r="B377" s="11" t="s">
        <v>688</v>
      </c>
      <c r="C377" s="175" t="s">
        <v>84</v>
      </c>
      <c r="D377" s="176" t="str">
        <f>IFERROR(VLOOKUP(C377, PIC!A:B, 2, 0), "")</f>
        <v>Thuong Tran</v>
      </c>
      <c r="E377" s="11" t="s">
        <v>23</v>
      </c>
      <c r="F377" s="16" t="s">
        <v>846</v>
      </c>
      <c r="G377" s="16" t="s">
        <v>865</v>
      </c>
      <c r="H377" s="170">
        <f>IFERROR(
  MINIFS(ATTENDANCE_LOG!$F:$F,
         ATTENDANCE_LOG!$A:$A, C377,
         ATTENDANCE_LOG!$B:$B, E377),
"")</f>
        <v>45882.58333</v>
      </c>
      <c r="I377" s="170">
        <f t="shared" si="2"/>
        <v>45764.58333</v>
      </c>
      <c r="J377" s="11">
        <f>IFERROR(VLOOKUP(F377, LEVEL_HELPER!$A:$B, 2, 0), "")</f>
        <v>3</v>
      </c>
      <c r="K377" s="11">
        <f>IFERROR(VLOOKUP(G377, LEVEL_HELPER!$A:$B, 2, 0), "")</f>
        <v>5.5</v>
      </c>
      <c r="L377" s="171" t="s">
        <v>857</v>
      </c>
      <c r="M377" s="171" t="s">
        <v>151</v>
      </c>
      <c r="N377" s="11">
        <f t="array" ref="N377">IFERROR(
  INDEX($J$2:$J$531,
    MATCH(A377&amp;TEXT(I377,"yyyy-mm-dd"),
          $A$2:$A$531&amp;TEXT($H$2:$H$531,"yyyy-mm-dd"),
          0)),
"")</f>
        <v>1</v>
      </c>
      <c r="O377" s="160">
        <f t="shared" si="3"/>
        <v>5.5</v>
      </c>
      <c r="P377" s="160">
        <f t="shared" ref="P377:Q377" si="387">IF(N377="",0,IF(N377&lt;=2,1,IF(N377&lt;=4,2,IF(N377&lt;=5.5,3,4))))</f>
        <v>1</v>
      </c>
      <c r="Q377" s="160">
        <f t="shared" si="387"/>
        <v>3</v>
      </c>
      <c r="R377" s="160" t="str">
        <f t="shared" si="5"/>
        <v>Lv1 → Lv3 (multi)</v>
      </c>
      <c r="S377" s="160">
        <f t="shared" si="6"/>
        <v>0</v>
      </c>
      <c r="T377" s="177" t="s">
        <v>1064</v>
      </c>
      <c r="U377" s="160">
        <f>COUNTIFS(sheet2!$A:$A,A377,sheet2!$E:$E,E377)</f>
        <v>1</v>
      </c>
      <c r="V377" s="160"/>
      <c r="W377" s="160"/>
      <c r="X377" s="160"/>
      <c r="Y377" s="160"/>
      <c r="Z377" s="160"/>
      <c r="AA377" s="160"/>
      <c r="AB377" s="160"/>
      <c r="AC377" s="160"/>
      <c r="AD377" s="160"/>
      <c r="AE377" s="160"/>
      <c r="AF377" s="160"/>
      <c r="AG377" s="160"/>
      <c r="AH377" s="160"/>
      <c r="AI377" s="160"/>
      <c r="AJ377" s="160"/>
      <c r="AK377" s="160"/>
      <c r="AL377" s="160"/>
      <c r="AM377" s="160"/>
      <c r="AN377" s="164"/>
      <c r="AO377" s="160"/>
      <c r="AP377" s="160"/>
      <c r="AQ377" s="160"/>
      <c r="AR377" s="160"/>
      <c r="AS377" s="160"/>
      <c r="AT377" s="160"/>
      <c r="AU377" s="160"/>
      <c r="AV377" s="160"/>
      <c r="AW377" s="160"/>
      <c r="AX377" s="160"/>
      <c r="AY377" s="160"/>
      <c r="AZ377" s="160"/>
      <c r="BA377" s="160"/>
      <c r="BB377" s="160"/>
      <c r="BC377" s="160"/>
      <c r="BD377" s="160"/>
      <c r="BE377" s="160"/>
      <c r="BF377" s="160"/>
      <c r="BG377" s="160"/>
      <c r="BH377" s="160"/>
      <c r="BI377" s="160"/>
      <c r="BJ377" s="160"/>
      <c r="BK377" s="160"/>
      <c r="BL377" s="160"/>
      <c r="BM377" s="160"/>
      <c r="BN377" s="160"/>
      <c r="BO377" s="160"/>
      <c r="BP377" s="160"/>
      <c r="BQ377" s="160"/>
      <c r="BR377" s="160"/>
      <c r="BS377" s="160"/>
      <c r="BT377" s="160"/>
      <c r="BU377" s="160"/>
      <c r="BV377" s="160"/>
      <c r="BW377" s="160"/>
      <c r="BX377" s="160"/>
      <c r="BY377" s="160"/>
      <c r="BZ377" s="160"/>
      <c r="CA377" s="160"/>
      <c r="CB377" s="160"/>
      <c r="CC377" s="160"/>
      <c r="CD377" s="160"/>
      <c r="CE377" s="160"/>
      <c r="CF377" s="160"/>
      <c r="CG377" s="160"/>
      <c r="CH377" s="160"/>
      <c r="CI377" s="160"/>
      <c r="CJ377" s="160"/>
      <c r="CK377" s="160"/>
      <c r="CL377" s="160"/>
    </row>
    <row r="378">
      <c r="A378" s="174" t="s">
        <v>681</v>
      </c>
      <c r="B378" s="11" t="s">
        <v>682</v>
      </c>
      <c r="C378" s="175" t="s">
        <v>84</v>
      </c>
      <c r="D378" s="176" t="str">
        <f>IFERROR(VLOOKUP(C378, PIC!A:B, 2, 0), "")</f>
        <v>Thuong Tran</v>
      </c>
      <c r="E378" s="11" t="s">
        <v>23</v>
      </c>
      <c r="F378" s="16" t="s">
        <v>846</v>
      </c>
      <c r="G378" s="16" t="s">
        <v>868</v>
      </c>
      <c r="H378" s="170">
        <f>IFERROR(
  MINIFS(ATTENDANCE_LOG!$F:$F,
         ATTENDANCE_LOG!$A:$A, C378,
         ATTENDANCE_LOG!$B:$B, E378),
"")</f>
        <v>45882.58333</v>
      </c>
      <c r="I378" s="170">
        <f t="shared" si="2"/>
        <v>45764.58333</v>
      </c>
      <c r="J378" s="11">
        <f>IFERROR(VLOOKUP(F378, LEVEL_HELPER!$A:$B, 2, 0), "")</f>
        <v>3</v>
      </c>
      <c r="K378" s="11">
        <f>IFERROR(VLOOKUP(G378, LEVEL_HELPER!$A:$B, 2, 0), "")</f>
        <v>5</v>
      </c>
      <c r="L378" s="171" t="s">
        <v>857</v>
      </c>
      <c r="M378" s="171" t="s">
        <v>151</v>
      </c>
      <c r="N378" s="11">
        <f t="array" ref="N378">IFERROR(
  INDEX($J$2:$J$531,
    MATCH(A378&amp;TEXT(I378,"yyyy-mm-dd"),
          $A$2:$A$531&amp;TEXT($H$2:$H$531,"yyyy-mm-dd"),
          0)),
"")</f>
        <v>1</v>
      </c>
      <c r="O378" s="160">
        <f t="shared" si="3"/>
        <v>5</v>
      </c>
      <c r="P378" s="160">
        <f t="shared" ref="P378:Q378" si="388">IF(N378="",0,IF(N378&lt;=2,1,IF(N378&lt;=4,2,IF(N378&lt;=5.5,3,4))))</f>
        <v>1</v>
      </c>
      <c r="Q378" s="160">
        <f t="shared" si="388"/>
        <v>3</v>
      </c>
      <c r="R378" s="160" t="str">
        <f t="shared" si="5"/>
        <v>Lv1 → Lv3 (multi)</v>
      </c>
      <c r="S378" s="160">
        <f t="shared" si="6"/>
        <v>0</v>
      </c>
      <c r="T378" s="177" t="s">
        <v>1065</v>
      </c>
      <c r="U378" s="160">
        <f>COUNTIFS(sheet2!$A:$A,A378,sheet2!$E:$E,E378)</f>
        <v>1</v>
      </c>
      <c r="V378" s="160"/>
      <c r="W378" s="160"/>
      <c r="X378" s="160"/>
      <c r="Y378" s="160"/>
      <c r="Z378" s="160"/>
      <c r="AA378" s="160"/>
      <c r="AB378" s="160"/>
      <c r="AC378" s="160"/>
      <c r="AD378" s="160"/>
      <c r="AE378" s="160"/>
      <c r="AF378" s="160"/>
      <c r="AG378" s="160"/>
      <c r="AH378" s="160"/>
      <c r="AI378" s="160"/>
      <c r="AJ378" s="160"/>
      <c r="AK378" s="160"/>
      <c r="AL378" s="160"/>
      <c r="AM378" s="160"/>
      <c r="AN378" s="164"/>
      <c r="AO378" s="160"/>
      <c r="AP378" s="160"/>
      <c r="AQ378" s="160"/>
      <c r="AR378" s="160"/>
      <c r="AS378" s="160"/>
      <c r="AT378" s="160"/>
      <c r="AU378" s="160"/>
      <c r="AV378" s="160"/>
      <c r="AW378" s="160"/>
      <c r="AX378" s="160"/>
      <c r="AY378" s="160"/>
      <c r="AZ378" s="160"/>
      <c r="BA378" s="160"/>
      <c r="BB378" s="160"/>
      <c r="BC378" s="160"/>
      <c r="BD378" s="160"/>
      <c r="BE378" s="160"/>
      <c r="BF378" s="160"/>
      <c r="BG378" s="160"/>
      <c r="BH378" s="160"/>
      <c r="BI378" s="160"/>
      <c r="BJ378" s="160"/>
      <c r="BK378" s="160"/>
      <c r="BL378" s="160"/>
      <c r="BM378" s="160"/>
      <c r="BN378" s="160"/>
      <c r="BO378" s="160"/>
      <c r="BP378" s="160"/>
      <c r="BQ378" s="160"/>
      <c r="BR378" s="160"/>
      <c r="BS378" s="160"/>
      <c r="BT378" s="160"/>
      <c r="BU378" s="160"/>
      <c r="BV378" s="160"/>
      <c r="BW378" s="160"/>
      <c r="BX378" s="160"/>
      <c r="BY378" s="160"/>
      <c r="BZ378" s="160"/>
      <c r="CA378" s="160"/>
      <c r="CB378" s="160"/>
      <c r="CC378" s="160"/>
      <c r="CD378" s="160"/>
      <c r="CE378" s="160"/>
      <c r="CF378" s="160"/>
      <c r="CG378" s="160"/>
      <c r="CH378" s="160"/>
      <c r="CI378" s="160"/>
      <c r="CJ378" s="160"/>
      <c r="CK378" s="160"/>
      <c r="CL378" s="160"/>
    </row>
    <row r="379">
      <c r="A379" s="174" t="s">
        <v>689</v>
      </c>
      <c r="B379" s="11" t="s">
        <v>690</v>
      </c>
      <c r="C379" s="175" t="s">
        <v>84</v>
      </c>
      <c r="D379" s="176" t="str">
        <f>IFERROR(VLOOKUP(C379, PIC!A:B, 2, 0), "")</f>
        <v>Thuong Tran</v>
      </c>
      <c r="E379" s="11" t="s">
        <v>23</v>
      </c>
      <c r="F379" s="16" t="s">
        <v>858</v>
      </c>
      <c r="G379" s="11"/>
      <c r="H379" s="170">
        <f>IFERROR(
  MINIFS(ATTENDANCE_LOG!$F:$F,
         ATTENDANCE_LOG!$A:$A, C379,
         ATTENDANCE_LOG!$B:$B, E379),
"")</f>
        <v>45882.58333</v>
      </c>
      <c r="I379" s="170">
        <f t="shared" si="2"/>
        <v>45764.58333</v>
      </c>
      <c r="J379" s="11">
        <f>IFERROR(VLOOKUP(F379, LEVEL_HELPER!$A:$B, 2, 0), "")</f>
        <v>4.5</v>
      </c>
      <c r="K379" s="11" t="str">
        <f>IFERROR(VLOOKUP(G379, LEVEL_HELPER!$A:$B, 2, 0), "")</f>
        <v/>
      </c>
      <c r="L379" s="171" t="s">
        <v>857</v>
      </c>
      <c r="M379" s="171" t="s">
        <v>151</v>
      </c>
      <c r="N379" s="11">
        <f t="array" ref="N379">IFERROR(
  INDEX($J$2:$J$531,
    MATCH(A379&amp;TEXT(I379,"yyyy-mm-dd"),
          $A$2:$A$531&amp;TEXT($H$2:$H$531,"yyyy-mm-dd"),
          0)),
"")</f>
        <v>1</v>
      </c>
      <c r="O379" s="160">
        <f t="shared" si="3"/>
        <v>3</v>
      </c>
      <c r="P379" s="160">
        <f t="shared" ref="P379:Q379" si="389">IF(N379="",0,IF(N379&lt;=2,1,IF(N379&lt;=4,2,IF(N379&lt;=5.5,3,4))))</f>
        <v>1</v>
      </c>
      <c r="Q379" s="160">
        <f t="shared" si="389"/>
        <v>2</v>
      </c>
      <c r="R379" s="160" t="str">
        <f t="shared" si="5"/>
        <v>Lv1 → Lv2</v>
      </c>
      <c r="S379" s="160">
        <f t="shared" si="6"/>
        <v>0</v>
      </c>
      <c r="T379" s="177" t="s">
        <v>1066</v>
      </c>
      <c r="U379" s="160">
        <f>COUNTIFS(sheet2!$A:$A,A379,sheet2!$E:$E,E379)</f>
        <v>1</v>
      </c>
      <c r="V379" s="160"/>
      <c r="W379" s="160"/>
      <c r="X379" s="160"/>
      <c r="Y379" s="160"/>
      <c r="Z379" s="160"/>
      <c r="AA379" s="160"/>
      <c r="AB379" s="160"/>
      <c r="AC379" s="160"/>
      <c r="AD379" s="160"/>
      <c r="AE379" s="160"/>
      <c r="AF379" s="160"/>
      <c r="AG379" s="160"/>
      <c r="AH379" s="160"/>
      <c r="AI379" s="160"/>
      <c r="AJ379" s="160"/>
      <c r="AK379" s="160"/>
      <c r="AL379" s="160"/>
      <c r="AM379" s="160"/>
      <c r="AN379" s="164"/>
      <c r="AO379" s="160"/>
      <c r="AP379" s="160"/>
      <c r="AQ379" s="160"/>
      <c r="AR379" s="160"/>
      <c r="AS379" s="160"/>
      <c r="AT379" s="160"/>
      <c r="AU379" s="160"/>
      <c r="AV379" s="160"/>
      <c r="AW379" s="160"/>
      <c r="AX379" s="160"/>
      <c r="AY379" s="160"/>
      <c r="AZ379" s="160"/>
      <c r="BA379" s="160"/>
      <c r="BB379" s="160"/>
      <c r="BC379" s="160"/>
      <c r="BD379" s="160"/>
      <c r="BE379" s="160"/>
      <c r="BF379" s="160"/>
      <c r="BG379" s="160"/>
      <c r="BH379" s="160"/>
      <c r="BI379" s="160"/>
      <c r="BJ379" s="160"/>
      <c r="BK379" s="160"/>
      <c r="BL379" s="160"/>
      <c r="BM379" s="160"/>
      <c r="BN379" s="160"/>
      <c r="BO379" s="160"/>
      <c r="BP379" s="160"/>
      <c r="BQ379" s="160"/>
      <c r="BR379" s="160"/>
      <c r="BS379" s="160"/>
      <c r="BT379" s="160"/>
      <c r="BU379" s="160"/>
      <c r="BV379" s="160"/>
      <c r="BW379" s="160"/>
      <c r="BX379" s="160"/>
      <c r="BY379" s="160"/>
      <c r="BZ379" s="160"/>
      <c r="CA379" s="160"/>
      <c r="CB379" s="160"/>
      <c r="CC379" s="160"/>
      <c r="CD379" s="160"/>
      <c r="CE379" s="160"/>
      <c r="CF379" s="160"/>
      <c r="CG379" s="160"/>
      <c r="CH379" s="160"/>
      <c r="CI379" s="160"/>
      <c r="CJ379" s="160"/>
      <c r="CK379" s="160"/>
      <c r="CL379" s="160"/>
    </row>
    <row r="380">
      <c r="A380" s="166" t="s">
        <v>737</v>
      </c>
      <c r="B380" s="167" t="s">
        <v>738</v>
      </c>
      <c r="C380" s="168" t="s">
        <v>85</v>
      </c>
      <c r="D380" s="169" t="str">
        <f>IFERROR(VLOOKUP(C380, PIC!A:B, 2, 0), "")</f>
        <v>Van Nguyen</v>
      </c>
      <c r="E380" s="167" t="s">
        <v>25</v>
      </c>
      <c r="F380" s="202"/>
      <c r="G380" s="202"/>
      <c r="H380" s="170">
        <f>IFERROR(
  MINIFS(ATTENDANCE_LOG!$F:$F,
         ATTENDANCE_LOG!$A:$A, C380,
         ATTENDANCE_LOG!$B:$B, E380),
"")</f>
        <v>46086.45833</v>
      </c>
      <c r="I380" s="170">
        <f t="shared" si="2"/>
        <v>45764.45833</v>
      </c>
      <c r="J380" s="202" t="str">
        <f>IFERROR(VLOOKUP(F380, LEVEL_HELPER!$A:$B, 2, 0), "")</f>
        <v/>
      </c>
      <c r="K380" s="202" t="str">
        <f>IFERROR(VLOOKUP(G380, LEVEL_HELPER!$A:$B, 2, 0), "")</f>
        <v/>
      </c>
      <c r="L380" s="203" t="s">
        <v>1067</v>
      </c>
      <c r="M380" s="203" t="s">
        <v>151</v>
      </c>
      <c r="N380" s="11">
        <f t="array" ref="N380">IFERROR(
  INDEX($J$2:$J$531,
    MATCH(A380&amp;TEXT(I380,"yyyy-mm-dd"),
          $A$2:$A$531&amp;TEXT($H$2:$H$531,"yyyy-mm-dd"),
          0)),
"")</f>
        <v>1</v>
      </c>
      <c r="O380" s="204">
        <f t="shared" si="3"/>
        <v>5</v>
      </c>
      <c r="P380" s="160">
        <f t="shared" ref="P380:Q380" si="390">IF(N380="",0,IF(N380&lt;=2,1,IF(N380&lt;=4,2,IF(N380&lt;=5.5,3,4))))</f>
        <v>1</v>
      </c>
      <c r="Q380" s="160">
        <f t="shared" si="390"/>
        <v>3</v>
      </c>
      <c r="R380" s="160" t="str">
        <f t="shared" si="5"/>
        <v>Lv1 → Lv3 (multi)</v>
      </c>
      <c r="S380" s="160">
        <f t="shared" si="6"/>
        <v>1</v>
      </c>
      <c r="T380" s="187" t="s">
        <v>1068</v>
      </c>
      <c r="U380" s="160">
        <f>COUNTIFS(sheet2!$A:$A,A380,sheet2!$E:$E,E380)</f>
        <v>1</v>
      </c>
      <c r="V380" s="160"/>
      <c r="W380" s="160"/>
      <c r="X380" s="160"/>
      <c r="Y380" s="160"/>
      <c r="Z380" s="160"/>
      <c r="AA380" s="160"/>
      <c r="AB380" s="160"/>
      <c r="AC380" s="160"/>
      <c r="AD380" s="160"/>
      <c r="AE380" s="160"/>
      <c r="AF380" s="160"/>
      <c r="AG380" s="160"/>
      <c r="AH380" s="160"/>
      <c r="AI380" s="160"/>
      <c r="AJ380" s="160"/>
      <c r="AK380" s="160"/>
      <c r="AL380" s="160"/>
      <c r="AM380" s="160"/>
      <c r="AN380" s="164"/>
      <c r="AO380" s="160"/>
      <c r="AP380" s="160"/>
      <c r="AQ380" s="160"/>
      <c r="AR380" s="160"/>
      <c r="AS380" s="160"/>
      <c r="AT380" s="160"/>
      <c r="AU380" s="160"/>
      <c r="AV380" s="160"/>
      <c r="AW380" s="160"/>
      <c r="AX380" s="160"/>
      <c r="AY380" s="160"/>
      <c r="AZ380" s="160"/>
      <c r="BA380" s="160"/>
      <c r="BB380" s="160"/>
      <c r="BC380" s="160"/>
      <c r="BD380" s="160"/>
      <c r="BE380" s="160"/>
      <c r="BF380" s="160"/>
      <c r="BG380" s="160"/>
      <c r="BH380" s="160"/>
      <c r="BI380" s="160"/>
      <c r="BJ380" s="160"/>
      <c r="BK380" s="160"/>
      <c r="BL380" s="160"/>
      <c r="BM380" s="160"/>
      <c r="BN380" s="160"/>
      <c r="BO380" s="160"/>
      <c r="BP380" s="160"/>
      <c r="BQ380" s="160"/>
      <c r="BR380" s="160"/>
      <c r="BS380" s="160"/>
      <c r="BT380" s="160"/>
      <c r="BU380" s="160"/>
      <c r="BV380" s="160"/>
      <c r="BW380" s="160"/>
      <c r="BX380" s="160"/>
      <c r="BY380" s="160"/>
      <c r="BZ380" s="160"/>
      <c r="CA380" s="160"/>
      <c r="CB380" s="160"/>
      <c r="CC380" s="160"/>
      <c r="CD380" s="160"/>
      <c r="CE380" s="160"/>
      <c r="CF380" s="160"/>
      <c r="CG380" s="160"/>
      <c r="CH380" s="160"/>
      <c r="CI380" s="160"/>
      <c r="CJ380" s="160"/>
      <c r="CK380" s="160"/>
      <c r="CL380" s="160"/>
    </row>
    <row r="381">
      <c r="A381" s="174" t="s">
        <v>727</v>
      </c>
      <c r="B381" s="11" t="s">
        <v>728</v>
      </c>
      <c r="C381" s="175" t="s">
        <v>85</v>
      </c>
      <c r="D381" s="176" t="str">
        <f>IFERROR(VLOOKUP(C381, PIC!A:B, 2, 0), "")</f>
        <v>Van Nguyen</v>
      </c>
      <c r="E381" s="11" t="s">
        <v>25</v>
      </c>
      <c r="F381" s="11"/>
      <c r="G381" s="11"/>
      <c r="H381" s="170">
        <f>IFERROR(
  MINIFS(ATTENDANCE_LOG!$F:$F,
         ATTENDANCE_LOG!$A:$A, C381,
         ATTENDANCE_LOG!$B:$B, E381),
"")</f>
        <v>46086.45833</v>
      </c>
      <c r="I381" s="170">
        <f t="shared" si="2"/>
        <v>45764.45833</v>
      </c>
      <c r="J381" s="11" t="str">
        <f>IFERROR(VLOOKUP(F381, LEVEL_HELPER!$A:$B, 2, 0), "")</f>
        <v/>
      </c>
      <c r="K381" s="11" t="str">
        <f>IFERROR(VLOOKUP(G381, LEVEL_HELPER!$A:$B, 2, 0), "")</f>
        <v/>
      </c>
      <c r="L381" s="171" t="s">
        <v>400</v>
      </c>
      <c r="M381" s="171" t="s">
        <v>151</v>
      </c>
      <c r="N381" s="11">
        <f t="array" ref="N381">IFERROR(
  INDEX($J$2:$J$531,
    MATCH(A381&amp;TEXT(I381,"yyyy-mm-dd"),
          $A$2:$A$531&amp;TEXT($H$2:$H$531,"yyyy-mm-dd"),
          0)),
"")</f>
        <v>0</v>
      </c>
      <c r="O381" s="160">
        <f t="shared" si="3"/>
        <v>5</v>
      </c>
      <c r="P381" s="160">
        <f t="shared" ref="P381:Q381" si="391">IF(N381="",0,IF(N381&lt;=2,1,IF(N381&lt;=4,2,IF(N381&lt;=5.5,3,4))))</f>
        <v>1</v>
      </c>
      <c r="Q381" s="160">
        <f t="shared" si="391"/>
        <v>3</v>
      </c>
      <c r="R381" s="160" t="str">
        <f t="shared" si="5"/>
        <v>Lv1 → Lv3 (multi)</v>
      </c>
      <c r="S381" s="160">
        <f t="shared" si="6"/>
        <v>1</v>
      </c>
      <c r="T381" s="187" t="s">
        <v>1069</v>
      </c>
      <c r="U381" s="160">
        <f>COUNTIFS(sheet2!$A:$A,A381,sheet2!$E:$E,E381)</f>
        <v>1</v>
      </c>
      <c r="V381" s="160"/>
      <c r="W381" s="160"/>
      <c r="X381" s="160"/>
      <c r="Y381" s="160"/>
      <c r="Z381" s="160"/>
      <c r="AA381" s="160"/>
      <c r="AB381" s="160"/>
      <c r="AC381" s="160"/>
      <c r="AD381" s="160"/>
      <c r="AE381" s="160"/>
      <c r="AF381" s="160"/>
      <c r="AG381" s="160"/>
      <c r="AH381" s="160"/>
      <c r="AI381" s="160"/>
      <c r="AJ381" s="160"/>
      <c r="AK381" s="160"/>
      <c r="AL381" s="160"/>
      <c r="AM381" s="160"/>
      <c r="AN381" s="164"/>
      <c r="AO381" s="160"/>
      <c r="AP381" s="160"/>
      <c r="AQ381" s="160"/>
      <c r="AR381" s="160"/>
      <c r="AS381" s="160"/>
      <c r="AT381" s="160"/>
      <c r="AU381" s="160"/>
      <c r="AV381" s="160"/>
      <c r="AW381" s="160"/>
      <c r="AX381" s="160"/>
      <c r="AY381" s="160"/>
      <c r="AZ381" s="160"/>
      <c r="BA381" s="160"/>
      <c r="BB381" s="160"/>
      <c r="BC381" s="160"/>
      <c r="BD381" s="160"/>
      <c r="BE381" s="160"/>
      <c r="BF381" s="160"/>
      <c r="BG381" s="160"/>
      <c r="BH381" s="160"/>
      <c r="BI381" s="160"/>
      <c r="BJ381" s="160"/>
      <c r="BK381" s="160"/>
      <c r="BL381" s="160"/>
      <c r="BM381" s="160"/>
      <c r="BN381" s="160"/>
      <c r="BO381" s="160"/>
      <c r="BP381" s="160"/>
      <c r="BQ381" s="160"/>
      <c r="BR381" s="160"/>
      <c r="BS381" s="160"/>
      <c r="BT381" s="160"/>
      <c r="BU381" s="160"/>
      <c r="BV381" s="160"/>
      <c r="BW381" s="160"/>
      <c r="BX381" s="160"/>
      <c r="BY381" s="160"/>
      <c r="BZ381" s="160"/>
      <c r="CA381" s="160"/>
      <c r="CB381" s="160"/>
      <c r="CC381" s="160"/>
      <c r="CD381" s="160"/>
      <c r="CE381" s="160"/>
      <c r="CF381" s="160"/>
      <c r="CG381" s="160"/>
      <c r="CH381" s="160"/>
      <c r="CI381" s="160"/>
      <c r="CJ381" s="160"/>
      <c r="CK381" s="160"/>
      <c r="CL381" s="160"/>
    </row>
    <row r="382">
      <c r="A382" s="174" t="s">
        <v>717</v>
      </c>
      <c r="B382" s="11" t="s">
        <v>718</v>
      </c>
      <c r="C382" s="175" t="s">
        <v>85</v>
      </c>
      <c r="D382" s="176" t="str">
        <f>IFERROR(VLOOKUP(C382, PIC!A:B, 2, 0), "")</f>
        <v>Van Nguyen</v>
      </c>
      <c r="E382" s="11" t="s">
        <v>25</v>
      </c>
      <c r="F382" s="11"/>
      <c r="G382" s="11"/>
      <c r="H382" s="170">
        <f>IFERROR(
  MINIFS(ATTENDANCE_LOG!$F:$F,
         ATTENDANCE_LOG!$A:$A, C382,
         ATTENDANCE_LOG!$B:$B, E382),
"")</f>
        <v>46086.45833</v>
      </c>
      <c r="I382" s="170">
        <f t="shared" si="2"/>
        <v>45764.41667</v>
      </c>
      <c r="J382" s="11" t="str">
        <f>IFERROR(VLOOKUP(F382, LEVEL_HELPER!$A:$B, 2, 0), "")</f>
        <v/>
      </c>
      <c r="K382" s="11" t="str">
        <f>IFERROR(VLOOKUP(G382, LEVEL_HELPER!$A:$B, 2, 0), "")</f>
        <v/>
      </c>
      <c r="L382" s="171" t="s">
        <v>400</v>
      </c>
      <c r="M382" s="171" t="s">
        <v>151</v>
      </c>
      <c r="N382" s="11">
        <f t="array" ref="N382">IFERROR(
  INDEX($J$2:$J$531,
    MATCH(A382&amp;TEXT(I382,"yyyy-mm-dd"),
          $A$2:$A$531&amp;TEXT($H$2:$H$531,"yyyy-mm-dd"),
          0)),
"")</f>
        <v>1</v>
      </c>
      <c r="O382" s="160">
        <f t="shared" si="3"/>
        <v>5</v>
      </c>
      <c r="P382" s="160">
        <f t="shared" ref="P382:Q382" si="392">IF(N382="",0,IF(N382&lt;=2,1,IF(N382&lt;=4,2,IF(N382&lt;=5.5,3,4))))</f>
        <v>1</v>
      </c>
      <c r="Q382" s="160">
        <f t="shared" si="392"/>
        <v>3</v>
      </c>
      <c r="R382" s="160" t="str">
        <f t="shared" si="5"/>
        <v>Lv1 → Lv3 (multi)</v>
      </c>
      <c r="S382" s="160">
        <f t="shared" si="6"/>
        <v>0</v>
      </c>
      <c r="T382" s="172" t="s">
        <v>1051</v>
      </c>
      <c r="U382" s="160">
        <f>COUNTIFS(sheet2!$A:$A,A382,sheet2!$E:$E,E382)</f>
        <v>1</v>
      </c>
      <c r="V382" s="160"/>
      <c r="W382" s="160"/>
      <c r="X382" s="160"/>
      <c r="Y382" s="160"/>
      <c r="Z382" s="160"/>
      <c r="AA382" s="160"/>
      <c r="AB382" s="160"/>
      <c r="AC382" s="160"/>
      <c r="AD382" s="160"/>
      <c r="AE382" s="160"/>
      <c r="AF382" s="160"/>
      <c r="AG382" s="160"/>
      <c r="AH382" s="160"/>
      <c r="AI382" s="160"/>
      <c r="AJ382" s="160"/>
      <c r="AK382" s="160"/>
      <c r="AL382" s="160"/>
      <c r="AM382" s="160"/>
      <c r="AN382" s="164"/>
      <c r="AO382" s="160"/>
      <c r="AP382" s="160"/>
      <c r="AQ382" s="160"/>
      <c r="AR382" s="160"/>
      <c r="AS382" s="160"/>
      <c r="AT382" s="160"/>
      <c r="AU382" s="160"/>
      <c r="AV382" s="160"/>
      <c r="AW382" s="160"/>
      <c r="AX382" s="160"/>
      <c r="AY382" s="160"/>
      <c r="AZ382" s="160"/>
      <c r="BA382" s="160"/>
      <c r="BB382" s="160"/>
      <c r="BC382" s="160"/>
      <c r="BD382" s="160"/>
      <c r="BE382" s="160"/>
      <c r="BF382" s="160"/>
      <c r="BG382" s="160"/>
      <c r="BH382" s="160"/>
      <c r="BI382" s="160"/>
      <c r="BJ382" s="160"/>
      <c r="BK382" s="160"/>
      <c r="BL382" s="160"/>
      <c r="BM382" s="160"/>
      <c r="BN382" s="160"/>
      <c r="BO382" s="160"/>
      <c r="BP382" s="160"/>
      <c r="BQ382" s="160"/>
      <c r="BR382" s="160"/>
      <c r="BS382" s="160"/>
      <c r="BT382" s="160"/>
      <c r="BU382" s="160"/>
      <c r="BV382" s="160"/>
      <c r="BW382" s="160"/>
      <c r="BX382" s="160"/>
      <c r="BY382" s="160"/>
      <c r="BZ382" s="160"/>
      <c r="CA382" s="160"/>
      <c r="CB382" s="160"/>
      <c r="CC382" s="160"/>
      <c r="CD382" s="160"/>
      <c r="CE382" s="160"/>
      <c r="CF382" s="160"/>
      <c r="CG382" s="160"/>
      <c r="CH382" s="160"/>
      <c r="CI382" s="160"/>
      <c r="CJ382" s="160"/>
      <c r="CK382" s="160"/>
      <c r="CL382" s="160"/>
    </row>
    <row r="383">
      <c r="A383" s="174" t="s">
        <v>719</v>
      </c>
      <c r="B383" s="11" t="s">
        <v>720</v>
      </c>
      <c r="C383" s="175" t="s">
        <v>85</v>
      </c>
      <c r="D383" s="176" t="str">
        <f>IFERROR(VLOOKUP(C383, PIC!A:B, 2, 0), "")</f>
        <v>Van Nguyen</v>
      </c>
      <c r="E383" s="11" t="s">
        <v>25</v>
      </c>
      <c r="F383" s="11"/>
      <c r="G383" s="11"/>
      <c r="H383" s="170">
        <f>IFERROR(
  MINIFS(ATTENDANCE_LOG!$F:$F,
         ATTENDANCE_LOG!$A:$A, C383,
         ATTENDANCE_LOG!$B:$B, E383),
"")</f>
        <v>46086.45833</v>
      </c>
      <c r="I383" s="170">
        <f t="shared" si="2"/>
        <v>45765.58333</v>
      </c>
      <c r="J383" s="11" t="str">
        <f>IFERROR(VLOOKUP(F383, LEVEL_HELPER!$A:$B, 2, 0), "")</f>
        <v/>
      </c>
      <c r="K383" s="11" t="str">
        <f>IFERROR(VLOOKUP(G383, LEVEL_HELPER!$A:$B, 2, 0), "")</f>
        <v/>
      </c>
      <c r="L383" s="171" t="s">
        <v>400</v>
      </c>
      <c r="M383" s="171" t="s">
        <v>151</v>
      </c>
      <c r="N383" s="11">
        <f t="array" ref="N383">IFERROR(
  INDEX($J$2:$J$531,
    MATCH(A383&amp;TEXT(I383,"yyyy-mm-dd"),
          $A$2:$A$531&amp;TEXT($H$2:$H$531,"yyyy-mm-dd"),
          0)),
"")</f>
        <v>1</v>
      </c>
      <c r="O383" s="160">
        <f t="shared" si="3"/>
        <v>5</v>
      </c>
      <c r="P383" s="160">
        <f t="shared" ref="P383:Q383" si="393">IF(N383="",0,IF(N383&lt;=2,1,IF(N383&lt;=4,2,IF(N383&lt;=5.5,3,4))))</f>
        <v>1</v>
      </c>
      <c r="Q383" s="160">
        <f t="shared" si="393"/>
        <v>3</v>
      </c>
      <c r="R383" s="160" t="str">
        <f t="shared" si="5"/>
        <v>Lv1 → Lv3 (multi)</v>
      </c>
      <c r="S383" s="160">
        <f t="shared" si="6"/>
        <v>0</v>
      </c>
      <c r="T383" s="187" t="s">
        <v>1049</v>
      </c>
      <c r="U383" s="160">
        <f>COUNTIFS(sheet2!$A:$A,A383,sheet2!$E:$E,E383)</f>
        <v>1</v>
      </c>
      <c r="V383" s="160"/>
      <c r="W383" s="160"/>
      <c r="X383" s="160"/>
      <c r="Y383" s="160"/>
      <c r="Z383" s="160"/>
      <c r="AA383" s="160"/>
      <c r="AB383" s="160"/>
      <c r="AC383" s="160"/>
      <c r="AD383" s="160"/>
      <c r="AE383" s="160"/>
      <c r="AF383" s="160"/>
      <c r="AG383" s="160"/>
      <c r="AH383" s="160"/>
      <c r="AI383" s="160"/>
      <c r="AJ383" s="160"/>
      <c r="AK383" s="160"/>
      <c r="AL383" s="160"/>
      <c r="AM383" s="160"/>
      <c r="AN383" s="164"/>
      <c r="AO383" s="160"/>
      <c r="AP383" s="160"/>
      <c r="AQ383" s="160"/>
      <c r="AR383" s="160"/>
      <c r="AS383" s="160"/>
      <c r="AT383" s="160"/>
      <c r="AU383" s="160"/>
      <c r="AV383" s="160"/>
      <c r="AW383" s="160"/>
      <c r="AX383" s="160"/>
      <c r="AY383" s="160"/>
      <c r="AZ383" s="160"/>
      <c r="BA383" s="160"/>
      <c r="BB383" s="160"/>
      <c r="BC383" s="160"/>
      <c r="BD383" s="160"/>
      <c r="BE383" s="160"/>
      <c r="BF383" s="160"/>
      <c r="BG383" s="160"/>
      <c r="BH383" s="160"/>
      <c r="BI383" s="160"/>
      <c r="BJ383" s="160"/>
      <c r="BK383" s="160"/>
      <c r="BL383" s="160"/>
      <c r="BM383" s="160"/>
      <c r="BN383" s="160"/>
      <c r="BO383" s="160"/>
      <c r="BP383" s="160"/>
      <c r="BQ383" s="160"/>
      <c r="BR383" s="160"/>
      <c r="BS383" s="160"/>
      <c r="BT383" s="160"/>
      <c r="BU383" s="160"/>
      <c r="BV383" s="160"/>
      <c r="BW383" s="160"/>
      <c r="BX383" s="160"/>
      <c r="BY383" s="160"/>
      <c r="BZ383" s="160"/>
      <c r="CA383" s="160"/>
      <c r="CB383" s="160"/>
      <c r="CC383" s="160"/>
      <c r="CD383" s="160"/>
      <c r="CE383" s="160"/>
      <c r="CF383" s="160"/>
      <c r="CG383" s="160"/>
      <c r="CH383" s="160"/>
      <c r="CI383" s="160"/>
      <c r="CJ383" s="160"/>
      <c r="CK383" s="160"/>
      <c r="CL383" s="160"/>
    </row>
    <row r="384">
      <c r="A384" s="174" t="s">
        <v>721</v>
      </c>
      <c r="B384" s="11" t="s">
        <v>722</v>
      </c>
      <c r="C384" s="175" t="s">
        <v>85</v>
      </c>
      <c r="D384" s="176" t="str">
        <f>IFERROR(VLOOKUP(C384, PIC!A:B, 2, 0), "")</f>
        <v>Van Nguyen</v>
      </c>
      <c r="E384" s="11" t="s">
        <v>25</v>
      </c>
      <c r="F384" s="11"/>
      <c r="G384" s="11"/>
      <c r="H384" s="170">
        <f>IFERROR(
  MINIFS(ATTENDANCE_LOG!$F:$F,
         ATTENDANCE_LOG!$A:$A, C384,
         ATTENDANCE_LOG!$B:$B, E384),
"")</f>
        <v>46086.45833</v>
      </c>
      <c r="I384" s="170">
        <f t="shared" si="2"/>
        <v>45765.375</v>
      </c>
      <c r="J384" s="11" t="str">
        <f>IFERROR(VLOOKUP(F384, LEVEL_HELPER!$A:$B, 2, 0), "")</f>
        <v/>
      </c>
      <c r="K384" s="11" t="str">
        <f>IFERROR(VLOOKUP(G384, LEVEL_HELPER!$A:$B, 2, 0), "")</f>
        <v/>
      </c>
      <c r="L384" s="171" t="s">
        <v>400</v>
      </c>
      <c r="M384" s="171" t="s">
        <v>151</v>
      </c>
      <c r="N384" s="11">
        <f t="array" ref="N384">IFERROR(
  INDEX($J$2:$J$531,
    MATCH(A384&amp;TEXT(I384,"yyyy-mm-dd"),
          $A$2:$A$531&amp;TEXT($H$2:$H$531,"yyyy-mm-dd"),
          0)),
"")</f>
        <v>1</v>
      </c>
      <c r="O384" s="160">
        <f t="shared" si="3"/>
        <v>5</v>
      </c>
      <c r="P384" s="160">
        <f t="shared" ref="P384:Q384" si="394">IF(N384="",0,IF(N384&lt;=2,1,IF(N384&lt;=4,2,IF(N384&lt;=5.5,3,4))))</f>
        <v>1</v>
      </c>
      <c r="Q384" s="160">
        <f t="shared" si="394"/>
        <v>3</v>
      </c>
      <c r="R384" s="160" t="str">
        <f t="shared" si="5"/>
        <v>Lv1 → Lv3 (multi)</v>
      </c>
      <c r="S384" s="160">
        <f t="shared" si="6"/>
        <v>0</v>
      </c>
      <c r="T384" s="172" t="s">
        <v>990</v>
      </c>
      <c r="U384" s="160">
        <f>COUNTIFS(sheet2!$A:$A,A384,sheet2!$E:$E,E384)</f>
        <v>1</v>
      </c>
      <c r="V384" s="160"/>
      <c r="W384" s="160"/>
      <c r="X384" s="160"/>
      <c r="Y384" s="160"/>
      <c r="Z384" s="160"/>
      <c r="AA384" s="160"/>
      <c r="AB384" s="160"/>
      <c r="AC384" s="160"/>
      <c r="AD384" s="160"/>
      <c r="AE384" s="160"/>
      <c r="AF384" s="160"/>
      <c r="AG384" s="160"/>
      <c r="AH384" s="160"/>
      <c r="AI384" s="160"/>
      <c r="AJ384" s="160"/>
      <c r="AK384" s="160"/>
      <c r="AL384" s="160"/>
      <c r="AM384" s="160"/>
      <c r="AN384" s="164"/>
      <c r="AO384" s="160"/>
      <c r="AP384" s="160"/>
      <c r="AQ384" s="160"/>
      <c r="AR384" s="160"/>
      <c r="AS384" s="160"/>
      <c r="AT384" s="160"/>
      <c r="AU384" s="160"/>
      <c r="AV384" s="160"/>
      <c r="AW384" s="160"/>
      <c r="AX384" s="160"/>
      <c r="AY384" s="160"/>
      <c r="AZ384" s="160"/>
      <c r="BA384" s="160"/>
      <c r="BB384" s="160"/>
      <c r="BC384" s="160"/>
      <c r="BD384" s="160"/>
      <c r="BE384" s="160"/>
      <c r="BF384" s="160"/>
      <c r="BG384" s="160"/>
      <c r="BH384" s="160"/>
      <c r="BI384" s="160"/>
      <c r="BJ384" s="160"/>
      <c r="BK384" s="160"/>
      <c r="BL384" s="160"/>
      <c r="BM384" s="160"/>
      <c r="BN384" s="160"/>
      <c r="BO384" s="160"/>
      <c r="BP384" s="160"/>
      <c r="BQ384" s="160"/>
      <c r="BR384" s="160"/>
      <c r="BS384" s="160"/>
      <c r="BT384" s="160"/>
      <c r="BU384" s="160"/>
      <c r="BV384" s="160"/>
      <c r="BW384" s="160"/>
      <c r="BX384" s="160"/>
      <c r="BY384" s="160"/>
      <c r="BZ384" s="160"/>
      <c r="CA384" s="160"/>
      <c r="CB384" s="160"/>
      <c r="CC384" s="160"/>
      <c r="CD384" s="160"/>
      <c r="CE384" s="160"/>
      <c r="CF384" s="160"/>
      <c r="CG384" s="160"/>
      <c r="CH384" s="160"/>
      <c r="CI384" s="160"/>
      <c r="CJ384" s="160"/>
      <c r="CK384" s="160"/>
      <c r="CL384" s="160"/>
    </row>
    <row r="385">
      <c r="A385" s="174" t="s">
        <v>723</v>
      </c>
      <c r="B385" s="11" t="s">
        <v>724</v>
      </c>
      <c r="C385" s="175" t="s">
        <v>85</v>
      </c>
      <c r="D385" s="176" t="str">
        <f>IFERROR(VLOOKUP(C385, PIC!A:B, 2, 0), "")</f>
        <v>Van Nguyen</v>
      </c>
      <c r="E385" s="11" t="s">
        <v>25</v>
      </c>
      <c r="F385" s="11"/>
      <c r="G385" s="11"/>
      <c r="H385" s="170">
        <f>IFERROR(
  MINIFS(ATTENDANCE_LOG!$F:$F,
         ATTENDANCE_LOG!$A:$A, C385,
         ATTENDANCE_LOG!$B:$B, E385),
"")</f>
        <v>46086.45833</v>
      </c>
      <c r="I385" s="170">
        <f t="shared" si="2"/>
        <v>45765.41667</v>
      </c>
      <c r="J385" s="11" t="str">
        <f>IFERROR(VLOOKUP(F385, LEVEL_HELPER!$A:$B, 2, 0), "")</f>
        <v/>
      </c>
      <c r="K385" s="11" t="str">
        <f>IFERROR(VLOOKUP(G385, LEVEL_HELPER!$A:$B, 2, 0), "")</f>
        <v/>
      </c>
      <c r="L385" s="171" t="s">
        <v>400</v>
      </c>
      <c r="M385" s="171" t="s">
        <v>151</v>
      </c>
      <c r="N385" s="11">
        <f t="array" ref="N385">IFERROR(
  INDEX($J$2:$J$531,
    MATCH(A385&amp;TEXT(I385,"yyyy-mm-dd"),
          $A$2:$A$531&amp;TEXT($H$2:$H$531,"yyyy-mm-dd"),
          0)),
"")</f>
        <v>1</v>
      </c>
      <c r="O385" s="160">
        <f t="shared" si="3"/>
        <v>5</v>
      </c>
      <c r="P385" s="160">
        <f t="shared" ref="P385:Q385" si="395">IF(N385="",0,IF(N385&lt;=2,1,IF(N385&lt;=4,2,IF(N385&lt;=5.5,3,4))))</f>
        <v>1</v>
      </c>
      <c r="Q385" s="160">
        <f t="shared" si="395"/>
        <v>3</v>
      </c>
      <c r="R385" s="160" t="str">
        <f t="shared" si="5"/>
        <v>Lv1 → Lv3 (multi)</v>
      </c>
      <c r="S385" s="160">
        <f t="shared" si="6"/>
        <v>0</v>
      </c>
      <c r="T385" s="187" t="s">
        <v>1044</v>
      </c>
      <c r="U385" s="160">
        <f>COUNTIFS(sheet2!$A:$A,A385,sheet2!$E:$E,E385)</f>
        <v>1</v>
      </c>
      <c r="V385" s="160"/>
      <c r="W385" s="160"/>
      <c r="X385" s="160"/>
      <c r="Y385" s="160"/>
      <c r="Z385" s="160"/>
      <c r="AA385" s="160"/>
      <c r="AB385" s="160"/>
      <c r="AC385" s="160"/>
      <c r="AD385" s="160"/>
      <c r="AE385" s="160"/>
      <c r="AF385" s="160"/>
      <c r="AG385" s="160"/>
      <c r="AH385" s="160"/>
      <c r="AI385" s="160"/>
      <c r="AJ385" s="160"/>
      <c r="AK385" s="160"/>
      <c r="AL385" s="160"/>
      <c r="AM385" s="160"/>
      <c r="AN385" s="164"/>
      <c r="AO385" s="160"/>
      <c r="AP385" s="160"/>
      <c r="AQ385" s="160"/>
      <c r="AR385" s="160"/>
      <c r="AS385" s="160"/>
      <c r="AT385" s="160"/>
      <c r="AU385" s="160"/>
      <c r="AV385" s="160"/>
      <c r="AW385" s="160"/>
      <c r="AX385" s="160"/>
      <c r="AY385" s="160"/>
      <c r="AZ385" s="160"/>
      <c r="BA385" s="160"/>
      <c r="BB385" s="160"/>
      <c r="BC385" s="160"/>
      <c r="BD385" s="160"/>
      <c r="BE385" s="160"/>
      <c r="BF385" s="160"/>
      <c r="BG385" s="160"/>
      <c r="BH385" s="160"/>
      <c r="BI385" s="160"/>
      <c r="BJ385" s="160"/>
      <c r="BK385" s="160"/>
      <c r="BL385" s="160"/>
      <c r="BM385" s="160"/>
      <c r="BN385" s="160"/>
      <c r="BO385" s="160"/>
      <c r="BP385" s="160"/>
      <c r="BQ385" s="160"/>
      <c r="BR385" s="160"/>
      <c r="BS385" s="160"/>
      <c r="BT385" s="160"/>
      <c r="BU385" s="160"/>
      <c r="BV385" s="160"/>
      <c r="BW385" s="160"/>
      <c r="BX385" s="160"/>
      <c r="BY385" s="160"/>
      <c r="BZ385" s="160"/>
      <c r="CA385" s="160"/>
      <c r="CB385" s="160"/>
      <c r="CC385" s="160"/>
      <c r="CD385" s="160"/>
      <c r="CE385" s="160"/>
      <c r="CF385" s="160"/>
      <c r="CG385" s="160"/>
      <c r="CH385" s="160"/>
      <c r="CI385" s="160"/>
      <c r="CJ385" s="160"/>
      <c r="CK385" s="160"/>
      <c r="CL385" s="160"/>
    </row>
    <row r="386">
      <c r="A386" s="174" t="s">
        <v>725</v>
      </c>
      <c r="B386" s="11" t="s">
        <v>726</v>
      </c>
      <c r="C386" s="175" t="s">
        <v>85</v>
      </c>
      <c r="D386" s="176" t="str">
        <f>IFERROR(VLOOKUP(C386, PIC!A:B, 2, 0), "")</f>
        <v>Van Nguyen</v>
      </c>
      <c r="E386" s="11" t="s">
        <v>25</v>
      </c>
      <c r="F386" s="11"/>
      <c r="G386" s="11"/>
      <c r="H386" s="170">
        <f>IFERROR(
  MINIFS(ATTENDANCE_LOG!$F:$F,
         ATTENDANCE_LOG!$A:$A, C386,
         ATTENDANCE_LOG!$B:$B, E386),
"")</f>
        <v>46086.45833</v>
      </c>
      <c r="I386" s="170">
        <f t="shared" si="2"/>
        <v>45765.41667</v>
      </c>
      <c r="J386" s="11" t="str">
        <f>IFERROR(VLOOKUP(F386, LEVEL_HELPER!$A:$B, 2, 0), "")</f>
        <v/>
      </c>
      <c r="K386" s="11" t="str">
        <f>IFERROR(VLOOKUP(G386, LEVEL_HELPER!$A:$B, 2, 0), "")</f>
        <v/>
      </c>
      <c r="L386" s="171" t="s">
        <v>400</v>
      </c>
      <c r="M386" s="171" t="s">
        <v>151</v>
      </c>
      <c r="N386" s="11">
        <f t="array" ref="N386">IFERROR(
  INDEX($J$2:$J$531,
    MATCH(A386&amp;TEXT(I386,"yyyy-mm-dd"),
          $A$2:$A$531&amp;TEXT($H$2:$H$531,"yyyy-mm-dd"),
          0)),
"")</f>
        <v>1</v>
      </c>
      <c r="O386" s="160">
        <f t="shared" si="3"/>
        <v>5</v>
      </c>
      <c r="P386" s="160">
        <f t="shared" ref="P386:Q386" si="396">IF(N386="",0,IF(N386&lt;=2,1,IF(N386&lt;=4,2,IF(N386&lt;=5.5,3,4))))</f>
        <v>1</v>
      </c>
      <c r="Q386" s="160">
        <f t="shared" si="396"/>
        <v>3</v>
      </c>
      <c r="R386" s="160" t="str">
        <f t="shared" si="5"/>
        <v>Lv1 → Lv3 (multi)</v>
      </c>
      <c r="S386" s="160">
        <f t="shared" si="6"/>
        <v>0</v>
      </c>
      <c r="T386" s="187" t="s">
        <v>1045</v>
      </c>
      <c r="U386" s="160">
        <f>COUNTIFS(sheet2!$A:$A,A386,sheet2!$E:$E,E386)</f>
        <v>1</v>
      </c>
      <c r="V386" s="160"/>
      <c r="W386" s="160"/>
      <c r="X386" s="160"/>
      <c r="Y386" s="160"/>
      <c r="Z386" s="160"/>
      <c r="AA386" s="160"/>
      <c r="AB386" s="160"/>
      <c r="AC386" s="160"/>
      <c r="AD386" s="160"/>
      <c r="AE386" s="160"/>
      <c r="AF386" s="160"/>
      <c r="AG386" s="160"/>
      <c r="AH386" s="160"/>
      <c r="AI386" s="160"/>
      <c r="AJ386" s="160"/>
      <c r="AK386" s="160"/>
      <c r="AL386" s="160"/>
      <c r="AM386" s="160"/>
      <c r="AN386" s="164"/>
      <c r="AO386" s="160"/>
      <c r="AP386" s="160"/>
      <c r="AQ386" s="160"/>
      <c r="AR386" s="160"/>
      <c r="AS386" s="160"/>
      <c r="AT386" s="160"/>
      <c r="AU386" s="160"/>
      <c r="AV386" s="160"/>
      <c r="AW386" s="160"/>
      <c r="AX386" s="160"/>
      <c r="AY386" s="160"/>
      <c r="AZ386" s="160"/>
      <c r="BA386" s="160"/>
      <c r="BB386" s="160"/>
      <c r="BC386" s="160"/>
      <c r="BD386" s="160"/>
      <c r="BE386" s="160"/>
      <c r="BF386" s="160"/>
      <c r="BG386" s="160"/>
      <c r="BH386" s="160"/>
      <c r="BI386" s="160"/>
      <c r="BJ386" s="160"/>
      <c r="BK386" s="160"/>
      <c r="BL386" s="160"/>
      <c r="BM386" s="160"/>
      <c r="BN386" s="160"/>
      <c r="BO386" s="160"/>
      <c r="BP386" s="160"/>
      <c r="BQ386" s="160"/>
      <c r="BR386" s="160"/>
      <c r="BS386" s="160"/>
      <c r="BT386" s="160"/>
      <c r="BU386" s="160"/>
      <c r="BV386" s="160"/>
      <c r="BW386" s="160"/>
      <c r="BX386" s="160"/>
      <c r="BY386" s="160"/>
      <c r="BZ386" s="160"/>
      <c r="CA386" s="160"/>
      <c r="CB386" s="160"/>
      <c r="CC386" s="160"/>
      <c r="CD386" s="160"/>
      <c r="CE386" s="160"/>
      <c r="CF386" s="160"/>
      <c r="CG386" s="160"/>
      <c r="CH386" s="160"/>
      <c r="CI386" s="160"/>
      <c r="CJ386" s="160"/>
      <c r="CK386" s="160"/>
      <c r="CL386" s="160"/>
    </row>
    <row r="387">
      <c r="A387" s="166" t="s">
        <v>737</v>
      </c>
      <c r="B387" s="167" t="s">
        <v>738</v>
      </c>
      <c r="C387" s="168" t="s">
        <v>85</v>
      </c>
      <c r="D387" s="169" t="str">
        <f>IFERROR(VLOOKUP(C387, PIC!A:B, 2, 0), "")</f>
        <v>Van Nguyen</v>
      </c>
      <c r="E387" s="167" t="s">
        <v>22</v>
      </c>
      <c r="F387" s="16" t="s">
        <v>849</v>
      </c>
      <c r="G387" s="16" t="s">
        <v>861</v>
      </c>
      <c r="H387" s="170">
        <f>IFERROR(
  MINIFS(ATTENDANCE_LOG!$F:$F,
         ATTENDANCE_LOG!$A:$A, C387,
         ATTENDANCE_LOG!$B:$B, E387),
"")</f>
        <v>45764.45833</v>
      </c>
      <c r="I387" s="170">
        <f t="shared" si="2"/>
        <v>45764.45833</v>
      </c>
      <c r="J387" s="11">
        <f>IFERROR(VLOOKUP(F387, LEVEL_HELPER!$A:$B, 2, 0), "")</f>
        <v>1</v>
      </c>
      <c r="K387" s="11">
        <f>IFERROR(VLOOKUP(G387, LEVEL_HELPER!$A:$B, 2, 0), "")</f>
        <v>3.5</v>
      </c>
      <c r="L387" s="171" t="s">
        <v>1067</v>
      </c>
      <c r="M387" s="171" t="s">
        <v>151</v>
      </c>
      <c r="N387" s="11">
        <f t="array" ref="N387">IFERROR(
  INDEX($J$2:$J$531,
    MATCH(A387&amp;TEXT(I387,"yyyy-mm-dd"),
          $A$2:$A$531&amp;TEXT($H$2:$H$531,"yyyy-mm-dd"),
          0)),
"")</f>
        <v>1</v>
      </c>
      <c r="O387" s="160">
        <f t="shared" si="3"/>
        <v>5</v>
      </c>
      <c r="P387" s="160">
        <f t="shared" ref="P387:Q387" si="397">IF(N387="",0,IF(N387&lt;=2,1,IF(N387&lt;=4,2,IF(N387&lt;=5.5,3,4))))</f>
        <v>1</v>
      </c>
      <c r="Q387" s="160">
        <f t="shared" si="397"/>
        <v>3</v>
      </c>
      <c r="R387" s="160" t="str">
        <f t="shared" si="5"/>
        <v>Lv1 → Lv3 (multi)</v>
      </c>
      <c r="S387" s="160">
        <f t="shared" si="6"/>
        <v>0</v>
      </c>
      <c r="T387" s="187" t="s">
        <v>1068</v>
      </c>
      <c r="U387" s="160">
        <f>COUNTIFS(sheet2!$A:$A,A387,sheet2!$E:$E,E387)</f>
        <v>1</v>
      </c>
      <c r="V387" s="160"/>
      <c r="W387" s="160"/>
      <c r="X387" s="160"/>
      <c r="Y387" s="160"/>
      <c r="Z387" s="160"/>
      <c r="AA387" s="160"/>
      <c r="AB387" s="160"/>
      <c r="AC387" s="160"/>
      <c r="AD387" s="160"/>
      <c r="AE387" s="160"/>
      <c r="AF387" s="160"/>
      <c r="AG387" s="160"/>
      <c r="AH387" s="160"/>
      <c r="AI387" s="160"/>
      <c r="AJ387" s="160"/>
      <c r="AK387" s="160"/>
      <c r="AL387" s="160"/>
      <c r="AM387" s="160"/>
      <c r="AN387" s="164"/>
      <c r="AO387" s="160"/>
      <c r="AP387" s="160"/>
      <c r="AQ387" s="160"/>
      <c r="AR387" s="160"/>
      <c r="AS387" s="160"/>
      <c r="AT387" s="160"/>
      <c r="AU387" s="160"/>
      <c r="AV387" s="160"/>
      <c r="AW387" s="160"/>
      <c r="AX387" s="160"/>
      <c r="AY387" s="160"/>
      <c r="AZ387" s="160"/>
      <c r="BA387" s="160"/>
      <c r="BB387" s="160"/>
      <c r="BC387" s="160"/>
      <c r="BD387" s="160"/>
      <c r="BE387" s="160"/>
      <c r="BF387" s="160"/>
      <c r="BG387" s="160"/>
      <c r="BH387" s="160"/>
      <c r="BI387" s="160"/>
      <c r="BJ387" s="160"/>
      <c r="BK387" s="160"/>
      <c r="BL387" s="160"/>
      <c r="BM387" s="160"/>
      <c r="BN387" s="160"/>
      <c r="BO387" s="160"/>
      <c r="BP387" s="160"/>
      <c r="BQ387" s="160"/>
      <c r="BR387" s="160"/>
      <c r="BS387" s="160"/>
      <c r="BT387" s="160"/>
      <c r="BU387" s="160"/>
      <c r="BV387" s="160"/>
      <c r="BW387" s="160"/>
      <c r="BX387" s="160"/>
      <c r="BY387" s="160"/>
      <c r="BZ387" s="160"/>
      <c r="CA387" s="160"/>
      <c r="CB387" s="160"/>
      <c r="CC387" s="160"/>
      <c r="CD387" s="160"/>
      <c r="CE387" s="160"/>
      <c r="CF387" s="160"/>
      <c r="CG387" s="160"/>
      <c r="CH387" s="160"/>
      <c r="CI387" s="160"/>
      <c r="CJ387" s="160"/>
      <c r="CK387" s="160"/>
      <c r="CL387" s="160"/>
    </row>
    <row r="388">
      <c r="A388" s="174" t="s">
        <v>727</v>
      </c>
      <c r="B388" s="11" t="s">
        <v>728</v>
      </c>
      <c r="C388" s="175" t="s">
        <v>85</v>
      </c>
      <c r="D388" s="176" t="str">
        <f>IFERROR(VLOOKUP(C388, PIC!A:B, 2, 0), "")</f>
        <v>Van Nguyen</v>
      </c>
      <c r="E388" s="11" t="s">
        <v>22</v>
      </c>
      <c r="F388" s="16" t="s">
        <v>1070</v>
      </c>
      <c r="G388" s="16" t="s">
        <v>861</v>
      </c>
      <c r="H388" s="170">
        <f>IFERROR(
  MINIFS(ATTENDANCE_LOG!$F:$F,
         ATTENDANCE_LOG!$A:$A, C388,
         ATTENDANCE_LOG!$B:$B, E388),
"")</f>
        <v>45764.45833</v>
      </c>
      <c r="I388" s="170">
        <f t="shared" si="2"/>
        <v>45764.45833</v>
      </c>
      <c r="J388" s="11">
        <f>IFERROR(VLOOKUP(F388, LEVEL_HELPER!$A:$B, 2, 0), "")</f>
        <v>0</v>
      </c>
      <c r="K388" s="11">
        <f>IFERROR(VLOOKUP(G388, LEVEL_HELPER!$A:$B, 2, 0), "")</f>
        <v>3.5</v>
      </c>
      <c r="L388" s="171" t="s">
        <v>400</v>
      </c>
      <c r="M388" s="171" t="s">
        <v>151</v>
      </c>
      <c r="N388" s="11">
        <f t="array" ref="N388">IFERROR(
  INDEX($J$2:$J$531,
    MATCH(A388&amp;TEXT(I388,"yyyy-mm-dd"),
          $A$2:$A$531&amp;TEXT($H$2:$H$531,"yyyy-mm-dd"),
          0)),
"")</f>
        <v>0</v>
      </c>
      <c r="O388" s="160">
        <f t="shared" si="3"/>
        <v>5</v>
      </c>
      <c r="P388" s="160">
        <f t="shared" ref="P388:Q388" si="398">IF(N388="",0,IF(N388&lt;=2,1,IF(N388&lt;=4,2,IF(N388&lt;=5.5,3,4))))</f>
        <v>1</v>
      </c>
      <c r="Q388" s="160">
        <f t="shared" si="398"/>
        <v>3</v>
      </c>
      <c r="R388" s="160" t="str">
        <f t="shared" si="5"/>
        <v>Lv1 → Lv3 (multi)</v>
      </c>
      <c r="S388" s="160">
        <f t="shared" si="6"/>
        <v>0</v>
      </c>
      <c r="T388" s="187" t="s">
        <v>1069</v>
      </c>
      <c r="U388" s="160">
        <f>COUNTIFS(sheet2!$A:$A,A388,sheet2!$E:$E,E388)</f>
        <v>1</v>
      </c>
      <c r="V388" s="160"/>
      <c r="W388" s="160"/>
      <c r="X388" s="160"/>
      <c r="Y388" s="160"/>
      <c r="Z388" s="160"/>
      <c r="AA388" s="160"/>
      <c r="AB388" s="160"/>
      <c r="AC388" s="160"/>
      <c r="AD388" s="160"/>
      <c r="AE388" s="160"/>
      <c r="AF388" s="160"/>
      <c r="AG388" s="160"/>
      <c r="AH388" s="160"/>
      <c r="AI388" s="160"/>
      <c r="AJ388" s="160"/>
      <c r="AK388" s="160"/>
      <c r="AL388" s="160"/>
      <c r="AM388" s="160"/>
      <c r="AN388" s="164"/>
      <c r="AO388" s="160"/>
      <c r="AP388" s="160"/>
      <c r="AQ388" s="160"/>
      <c r="AR388" s="160"/>
      <c r="AS388" s="160"/>
      <c r="AT388" s="160"/>
      <c r="AU388" s="160"/>
      <c r="AV388" s="160"/>
      <c r="AW388" s="160"/>
      <c r="AX388" s="160"/>
      <c r="AY388" s="160"/>
      <c r="AZ388" s="160"/>
      <c r="BA388" s="160"/>
      <c r="BB388" s="160"/>
      <c r="BC388" s="160"/>
      <c r="BD388" s="160"/>
      <c r="BE388" s="160"/>
      <c r="BF388" s="160"/>
      <c r="BG388" s="160"/>
      <c r="BH388" s="160"/>
      <c r="BI388" s="160"/>
      <c r="BJ388" s="160"/>
      <c r="BK388" s="160"/>
      <c r="BL388" s="160"/>
      <c r="BM388" s="160"/>
      <c r="BN388" s="160"/>
      <c r="BO388" s="160"/>
      <c r="BP388" s="160"/>
      <c r="BQ388" s="160"/>
      <c r="BR388" s="160"/>
      <c r="BS388" s="160"/>
      <c r="BT388" s="160"/>
      <c r="BU388" s="160"/>
      <c r="BV388" s="160"/>
      <c r="BW388" s="160"/>
      <c r="BX388" s="160"/>
      <c r="BY388" s="160"/>
      <c r="BZ388" s="160"/>
      <c r="CA388" s="160"/>
      <c r="CB388" s="160"/>
      <c r="CC388" s="160"/>
      <c r="CD388" s="160"/>
      <c r="CE388" s="160"/>
      <c r="CF388" s="160"/>
      <c r="CG388" s="160"/>
      <c r="CH388" s="160"/>
      <c r="CI388" s="160"/>
      <c r="CJ388" s="160"/>
      <c r="CK388" s="160"/>
      <c r="CL388" s="160"/>
    </row>
    <row r="389">
      <c r="A389" s="174" t="s">
        <v>733</v>
      </c>
      <c r="B389" s="11" t="s">
        <v>734</v>
      </c>
      <c r="C389" s="175" t="s">
        <v>85</v>
      </c>
      <c r="D389" s="176" t="str">
        <f>IFERROR(VLOOKUP(C389, PIC!A:B, 2, 0), "")</f>
        <v>Van Nguyen</v>
      </c>
      <c r="E389" s="11" t="s">
        <v>22</v>
      </c>
      <c r="F389" s="16" t="s">
        <v>849</v>
      </c>
      <c r="G389" s="16" t="s">
        <v>846</v>
      </c>
      <c r="H389" s="170">
        <f>IFERROR(
  MINIFS(ATTENDANCE_LOG!$F:$F,
         ATTENDANCE_LOG!$A:$A, C389,
         ATTENDANCE_LOG!$B:$B, E389),
"")</f>
        <v>45764.45833</v>
      </c>
      <c r="I389" s="170">
        <f t="shared" si="2"/>
        <v>45764.45833</v>
      </c>
      <c r="J389" s="11">
        <f>IFERROR(VLOOKUP(F389, LEVEL_HELPER!$A:$B, 2, 0), "")</f>
        <v>1</v>
      </c>
      <c r="K389" s="11">
        <f>IFERROR(VLOOKUP(G389, LEVEL_HELPER!$A:$B, 2, 0), "")</f>
        <v>3</v>
      </c>
      <c r="L389" s="171" t="s">
        <v>400</v>
      </c>
      <c r="M389" s="171" t="s">
        <v>151</v>
      </c>
      <c r="N389" s="11">
        <f t="array" ref="N389">IFERROR(
  INDEX($J$2:$J$531,
    MATCH(A389&amp;TEXT(I389,"yyyy-mm-dd"),
          $A$2:$A$531&amp;TEXT($H$2:$H$531,"yyyy-mm-dd"),
          0)),
"")</f>
        <v>1</v>
      </c>
      <c r="O389" s="160">
        <f t="shared" si="3"/>
        <v>3</v>
      </c>
      <c r="P389" s="160">
        <f t="shared" ref="P389:Q389" si="399">IF(N389="",0,IF(N389&lt;=2,1,IF(N389&lt;=4,2,IF(N389&lt;=5.5,3,4))))</f>
        <v>1</v>
      </c>
      <c r="Q389" s="160">
        <f t="shared" si="399"/>
        <v>2</v>
      </c>
      <c r="R389" s="160" t="str">
        <f t="shared" si="5"/>
        <v>Lv1 → Lv2</v>
      </c>
      <c r="S389" s="160">
        <f t="shared" si="6"/>
        <v>1</v>
      </c>
      <c r="T389" s="187" t="s">
        <v>1071</v>
      </c>
      <c r="U389" s="160">
        <f>COUNTIFS(sheet2!$A:$A,A389,sheet2!$E:$E,E389)</f>
        <v>1</v>
      </c>
      <c r="V389" s="160"/>
      <c r="W389" s="160"/>
      <c r="X389" s="160"/>
      <c r="Y389" s="160"/>
      <c r="Z389" s="160"/>
      <c r="AA389" s="160"/>
      <c r="AB389" s="160"/>
      <c r="AC389" s="160"/>
      <c r="AD389" s="160"/>
      <c r="AE389" s="160"/>
      <c r="AF389" s="160"/>
      <c r="AG389" s="160"/>
      <c r="AH389" s="160"/>
      <c r="AI389" s="160"/>
      <c r="AJ389" s="160"/>
      <c r="AK389" s="160"/>
      <c r="AL389" s="160"/>
      <c r="AM389" s="160"/>
      <c r="AN389" s="164"/>
      <c r="AO389" s="160"/>
      <c r="AP389" s="160"/>
      <c r="AQ389" s="160"/>
      <c r="AR389" s="160"/>
      <c r="AS389" s="160"/>
      <c r="AT389" s="160"/>
      <c r="AU389" s="160"/>
      <c r="AV389" s="160"/>
      <c r="AW389" s="160"/>
      <c r="AX389" s="160"/>
      <c r="AY389" s="160"/>
      <c r="AZ389" s="160"/>
      <c r="BA389" s="160"/>
      <c r="BB389" s="160"/>
      <c r="BC389" s="160"/>
      <c r="BD389" s="160"/>
      <c r="BE389" s="160"/>
      <c r="BF389" s="160"/>
      <c r="BG389" s="160"/>
      <c r="BH389" s="160"/>
      <c r="BI389" s="160"/>
      <c r="BJ389" s="160"/>
      <c r="BK389" s="160"/>
      <c r="BL389" s="160"/>
      <c r="BM389" s="160"/>
      <c r="BN389" s="160"/>
      <c r="BO389" s="160"/>
      <c r="BP389" s="160"/>
      <c r="BQ389" s="160"/>
      <c r="BR389" s="160"/>
      <c r="BS389" s="160"/>
      <c r="BT389" s="160"/>
      <c r="BU389" s="160"/>
      <c r="BV389" s="160"/>
      <c r="BW389" s="160"/>
      <c r="BX389" s="160"/>
      <c r="BY389" s="160"/>
      <c r="BZ389" s="160"/>
      <c r="CA389" s="160"/>
      <c r="CB389" s="160"/>
      <c r="CC389" s="160"/>
      <c r="CD389" s="160"/>
      <c r="CE389" s="160"/>
      <c r="CF389" s="160"/>
      <c r="CG389" s="160"/>
      <c r="CH389" s="160"/>
      <c r="CI389" s="160"/>
      <c r="CJ389" s="160"/>
      <c r="CK389" s="160"/>
      <c r="CL389" s="160"/>
    </row>
    <row r="390">
      <c r="A390" s="174" t="s">
        <v>735</v>
      </c>
      <c r="B390" s="11" t="s">
        <v>736</v>
      </c>
      <c r="C390" s="175" t="s">
        <v>85</v>
      </c>
      <c r="D390" s="176" t="str">
        <f>IFERROR(VLOOKUP(C390, PIC!A:B, 2, 0), "")</f>
        <v>Van Nguyen</v>
      </c>
      <c r="E390" s="11" t="s">
        <v>22</v>
      </c>
      <c r="F390" s="16" t="s">
        <v>849</v>
      </c>
      <c r="G390" s="16" t="s">
        <v>846</v>
      </c>
      <c r="H390" s="170">
        <f>IFERROR(
  MINIFS(ATTENDANCE_LOG!$F:$F,
         ATTENDANCE_LOG!$A:$A, C390,
         ATTENDANCE_LOG!$B:$B, E390),
"")</f>
        <v>45764.45833</v>
      </c>
      <c r="I390" s="170">
        <f t="shared" si="2"/>
        <v>45764.45833</v>
      </c>
      <c r="J390" s="11">
        <f>IFERROR(VLOOKUP(F390, LEVEL_HELPER!$A:$B, 2, 0), "")</f>
        <v>1</v>
      </c>
      <c r="K390" s="11">
        <f>IFERROR(VLOOKUP(G390, LEVEL_HELPER!$A:$B, 2, 0), "")</f>
        <v>3</v>
      </c>
      <c r="L390" s="171" t="s">
        <v>400</v>
      </c>
      <c r="M390" s="171" t="s">
        <v>151</v>
      </c>
      <c r="N390" s="11">
        <f t="array" ref="N390">IFERROR(
  INDEX($J$2:$J$531,
    MATCH(A390&amp;TEXT(I390,"yyyy-mm-dd"),
          $A$2:$A$531&amp;TEXT($H$2:$H$531,"yyyy-mm-dd"),
          0)),
"")</f>
        <v>1</v>
      </c>
      <c r="O390" s="160">
        <f t="shared" si="3"/>
        <v>3</v>
      </c>
      <c r="P390" s="160">
        <f t="shared" ref="P390:Q390" si="400">IF(N390="",0,IF(N390&lt;=2,1,IF(N390&lt;=4,2,IF(N390&lt;=5.5,3,4))))</f>
        <v>1</v>
      </c>
      <c r="Q390" s="160">
        <f t="shared" si="400"/>
        <v>2</v>
      </c>
      <c r="R390" s="160" t="str">
        <f t="shared" si="5"/>
        <v>Lv1 → Lv2</v>
      </c>
      <c r="S390" s="160">
        <f t="shared" si="6"/>
        <v>1</v>
      </c>
      <c r="T390" s="187" t="s">
        <v>1072</v>
      </c>
      <c r="U390" s="160">
        <f>COUNTIFS(sheet2!$A:$A,A390,sheet2!$E:$E,E390)</f>
        <v>1</v>
      </c>
      <c r="V390" s="160"/>
      <c r="W390" s="160"/>
      <c r="X390" s="160"/>
      <c r="Y390" s="160"/>
      <c r="Z390" s="160"/>
      <c r="AA390" s="160"/>
      <c r="AB390" s="160"/>
      <c r="AC390" s="160"/>
      <c r="AD390" s="160"/>
      <c r="AE390" s="160"/>
      <c r="AF390" s="160"/>
      <c r="AG390" s="160"/>
      <c r="AH390" s="160"/>
      <c r="AI390" s="160"/>
      <c r="AJ390" s="160"/>
      <c r="AK390" s="160"/>
      <c r="AL390" s="160"/>
      <c r="AM390" s="160"/>
      <c r="AN390" s="164"/>
      <c r="AO390" s="160"/>
      <c r="AP390" s="160"/>
      <c r="AQ390" s="160"/>
      <c r="AR390" s="160"/>
      <c r="AS390" s="160"/>
      <c r="AT390" s="160"/>
      <c r="AU390" s="160"/>
      <c r="AV390" s="160"/>
      <c r="AW390" s="160"/>
      <c r="AX390" s="160"/>
      <c r="AY390" s="160"/>
      <c r="AZ390" s="160"/>
      <c r="BA390" s="160"/>
      <c r="BB390" s="160"/>
      <c r="BC390" s="160"/>
      <c r="BD390" s="160"/>
      <c r="BE390" s="160"/>
      <c r="BF390" s="160"/>
      <c r="BG390" s="160"/>
      <c r="BH390" s="160"/>
      <c r="BI390" s="160"/>
      <c r="BJ390" s="160"/>
      <c r="BK390" s="160"/>
      <c r="BL390" s="160"/>
      <c r="BM390" s="160"/>
      <c r="BN390" s="160"/>
      <c r="BO390" s="160"/>
      <c r="BP390" s="160"/>
      <c r="BQ390" s="160"/>
      <c r="BR390" s="160"/>
      <c r="BS390" s="160"/>
      <c r="BT390" s="160"/>
      <c r="BU390" s="160"/>
      <c r="BV390" s="160"/>
      <c r="BW390" s="160"/>
      <c r="BX390" s="160"/>
      <c r="BY390" s="160"/>
      <c r="BZ390" s="160"/>
      <c r="CA390" s="160"/>
      <c r="CB390" s="160"/>
      <c r="CC390" s="160"/>
      <c r="CD390" s="160"/>
      <c r="CE390" s="160"/>
      <c r="CF390" s="160"/>
      <c r="CG390" s="160"/>
      <c r="CH390" s="160"/>
      <c r="CI390" s="160"/>
      <c r="CJ390" s="160"/>
      <c r="CK390" s="160"/>
      <c r="CL390" s="160"/>
    </row>
    <row r="391">
      <c r="A391" s="174" t="s">
        <v>320</v>
      </c>
      <c r="B391" s="11" t="s">
        <v>321</v>
      </c>
      <c r="C391" s="175" t="s">
        <v>85</v>
      </c>
      <c r="D391" s="176" t="str">
        <f>IFERROR(VLOOKUP(C391, PIC!A:B, 2, 0), "")</f>
        <v>Van Nguyen</v>
      </c>
      <c r="E391" s="11" t="s">
        <v>22</v>
      </c>
      <c r="F391" s="16" t="s">
        <v>849</v>
      </c>
      <c r="G391" s="16" t="s">
        <v>849</v>
      </c>
      <c r="H391" s="170">
        <f>IFERROR(
  MINIFS(ATTENDANCE_LOG!$F:$F,
         ATTENDANCE_LOG!$A:$A, C391,
         ATTENDANCE_LOG!$B:$B, E391),
"")</f>
        <v>45764.45833</v>
      </c>
      <c r="I391" s="170">
        <f t="shared" si="2"/>
        <v>45764.45833</v>
      </c>
      <c r="J391" s="11">
        <f>IFERROR(VLOOKUP(F391, LEVEL_HELPER!$A:$B, 2, 0), "")</f>
        <v>1</v>
      </c>
      <c r="K391" s="11">
        <f>IFERROR(VLOOKUP(G391, LEVEL_HELPER!$A:$B, 2, 0), "")</f>
        <v>1</v>
      </c>
      <c r="L391" s="171" t="s">
        <v>400</v>
      </c>
      <c r="M391" s="171" t="s">
        <v>151</v>
      </c>
      <c r="N391" s="11">
        <f t="array" ref="N391">IFERROR(
  INDEX($J$2:$J$531,
    MATCH(A391&amp;TEXT(I391,"yyyy-mm-dd"),
          $A$2:$A$531&amp;TEXT($H$2:$H$531,"yyyy-mm-dd"),
          0)),
"")</f>
        <v>1</v>
      </c>
      <c r="O391" s="160">
        <f t="shared" si="3"/>
        <v>3</v>
      </c>
      <c r="P391" s="160">
        <f t="shared" ref="P391:Q391" si="401">IF(N391="",0,IF(N391&lt;=2,1,IF(N391&lt;=4,2,IF(N391&lt;=5.5,3,4))))</f>
        <v>1</v>
      </c>
      <c r="Q391" s="160">
        <f t="shared" si="401"/>
        <v>2</v>
      </c>
      <c r="R391" s="160" t="str">
        <f t="shared" si="5"/>
        <v>Lv1 → Lv2</v>
      </c>
      <c r="S391" s="160">
        <f t="shared" si="6"/>
        <v>1</v>
      </c>
      <c r="T391" s="187" t="s">
        <v>1073</v>
      </c>
      <c r="U391" s="160">
        <f>COUNTIFS(sheet2!$A:$A,A391,sheet2!$E:$E,E391)</f>
        <v>2</v>
      </c>
      <c r="V391" s="160"/>
      <c r="W391" s="160"/>
      <c r="X391" s="160"/>
      <c r="Y391" s="160"/>
      <c r="Z391" s="160"/>
      <c r="AA391" s="160"/>
      <c r="AB391" s="160"/>
      <c r="AC391" s="160"/>
      <c r="AD391" s="160"/>
      <c r="AE391" s="160"/>
      <c r="AF391" s="160"/>
      <c r="AG391" s="160"/>
      <c r="AH391" s="160"/>
      <c r="AI391" s="160"/>
      <c r="AJ391" s="160"/>
      <c r="AK391" s="160"/>
      <c r="AL391" s="160"/>
      <c r="AM391" s="160"/>
      <c r="AN391" s="164"/>
      <c r="AO391" s="160"/>
      <c r="AP391" s="160"/>
      <c r="AQ391" s="160"/>
      <c r="AR391" s="160"/>
      <c r="AS391" s="160"/>
      <c r="AT391" s="160"/>
      <c r="AU391" s="160"/>
      <c r="AV391" s="160"/>
      <c r="AW391" s="160"/>
      <c r="AX391" s="160"/>
      <c r="AY391" s="160"/>
      <c r="AZ391" s="160"/>
      <c r="BA391" s="160"/>
      <c r="BB391" s="160"/>
      <c r="BC391" s="160"/>
      <c r="BD391" s="160"/>
      <c r="BE391" s="160"/>
      <c r="BF391" s="160"/>
      <c r="BG391" s="160"/>
      <c r="BH391" s="160"/>
      <c r="BI391" s="160"/>
      <c r="BJ391" s="160"/>
      <c r="BK391" s="160"/>
      <c r="BL391" s="160"/>
      <c r="BM391" s="160"/>
      <c r="BN391" s="160"/>
      <c r="BO391" s="160"/>
      <c r="BP391" s="160"/>
      <c r="BQ391" s="160"/>
      <c r="BR391" s="160"/>
      <c r="BS391" s="160"/>
      <c r="BT391" s="160"/>
      <c r="BU391" s="160"/>
      <c r="BV391" s="160"/>
      <c r="BW391" s="160"/>
      <c r="BX391" s="160"/>
      <c r="BY391" s="160"/>
      <c r="BZ391" s="160"/>
      <c r="CA391" s="160"/>
      <c r="CB391" s="160"/>
      <c r="CC391" s="160"/>
      <c r="CD391" s="160"/>
      <c r="CE391" s="160"/>
      <c r="CF391" s="160"/>
      <c r="CG391" s="160"/>
      <c r="CH391" s="160"/>
      <c r="CI391" s="160"/>
      <c r="CJ391" s="160"/>
      <c r="CK391" s="160"/>
      <c r="CL391" s="160"/>
    </row>
    <row r="392">
      <c r="A392" s="174" t="s">
        <v>739</v>
      </c>
      <c r="B392" s="11" t="s">
        <v>740</v>
      </c>
      <c r="C392" s="175" t="s">
        <v>85</v>
      </c>
      <c r="D392" s="176" t="str">
        <f>IFERROR(VLOOKUP(C392, PIC!A:B, 2, 0), "")</f>
        <v>Van Nguyen</v>
      </c>
      <c r="E392" s="11" t="s">
        <v>22</v>
      </c>
      <c r="F392" s="16" t="s">
        <v>1070</v>
      </c>
      <c r="G392" s="16" t="s">
        <v>861</v>
      </c>
      <c r="H392" s="170">
        <f>IFERROR(
  MINIFS(ATTENDANCE_LOG!$F:$F,
         ATTENDANCE_LOG!$A:$A, C392,
         ATTENDANCE_LOG!$B:$B, E392),
"")</f>
        <v>45764.45833</v>
      </c>
      <c r="I392" s="170">
        <f t="shared" si="2"/>
        <v>45764.45833</v>
      </c>
      <c r="J392" s="11">
        <f>IFERROR(VLOOKUP(F392, LEVEL_HELPER!$A:$B, 2, 0), "")</f>
        <v>0</v>
      </c>
      <c r="K392" s="11">
        <f>IFERROR(VLOOKUP(G392, LEVEL_HELPER!$A:$B, 2, 0), "")</f>
        <v>3.5</v>
      </c>
      <c r="L392" s="171" t="s">
        <v>1067</v>
      </c>
      <c r="M392" s="171" t="s">
        <v>151</v>
      </c>
      <c r="N392" s="11">
        <f t="array" ref="N392">IFERROR(
  INDEX($J$2:$J$531,
    MATCH(A392&amp;TEXT(I392,"yyyy-mm-dd"),
          $A$2:$A$531&amp;TEXT($H$2:$H$531,"yyyy-mm-dd"),
          0)),
"")</f>
        <v>0</v>
      </c>
      <c r="O392" s="160">
        <f t="shared" si="3"/>
        <v>5</v>
      </c>
      <c r="P392" s="160">
        <f t="shared" ref="P392:Q392" si="402">IF(N392="",0,IF(N392&lt;=2,1,IF(N392&lt;=4,2,IF(N392&lt;=5.5,3,4))))</f>
        <v>1</v>
      </c>
      <c r="Q392" s="160">
        <f t="shared" si="402"/>
        <v>3</v>
      </c>
      <c r="R392" s="160" t="str">
        <f t="shared" si="5"/>
        <v>Lv1 → Lv3 (multi)</v>
      </c>
      <c r="S392" s="160">
        <f t="shared" si="6"/>
        <v>1</v>
      </c>
      <c r="T392" s="187" t="s">
        <v>1072</v>
      </c>
      <c r="U392" s="160">
        <f>COUNTIFS(sheet2!$A:$A,A392,sheet2!$E:$E,E392)</f>
        <v>1</v>
      </c>
      <c r="V392" s="160"/>
      <c r="W392" s="160"/>
      <c r="X392" s="160"/>
      <c r="Y392" s="160"/>
      <c r="Z392" s="160"/>
      <c r="AA392" s="160"/>
      <c r="AB392" s="160"/>
      <c r="AC392" s="160"/>
      <c r="AD392" s="160"/>
      <c r="AE392" s="160"/>
      <c r="AF392" s="160"/>
      <c r="AG392" s="160"/>
      <c r="AH392" s="160"/>
      <c r="AI392" s="160"/>
      <c r="AJ392" s="160"/>
      <c r="AK392" s="160"/>
      <c r="AL392" s="160"/>
      <c r="AM392" s="160"/>
      <c r="AN392" s="164"/>
      <c r="AO392" s="160"/>
      <c r="AP392" s="160"/>
      <c r="AQ392" s="160"/>
      <c r="AR392" s="160"/>
      <c r="AS392" s="160"/>
      <c r="AT392" s="160"/>
      <c r="AU392" s="160"/>
      <c r="AV392" s="160"/>
      <c r="AW392" s="160"/>
      <c r="AX392" s="160"/>
      <c r="AY392" s="160"/>
      <c r="AZ392" s="160"/>
      <c r="BA392" s="160"/>
      <c r="BB392" s="160"/>
      <c r="BC392" s="160"/>
      <c r="BD392" s="160"/>
      <c r="BE392" s="160"/>
      <c r="BF392" s="160"/>
      <c r="BG392" s="160"/>
      <c r="BH392" s="160"/>
      <c r="BI392" s="160"/>
      <c r="BJ392" s="160"/>
      <c r="BK392" s="160"/>
      <c r="BL392" s="160"/>
      <c r="BM392" s="160"/>
      <c r="BN392" s="160"/>
      <c r="BO392" s="160"/>
      <c r="BP392" s="160"/>
      <c r="BQ392" s="160"/>
      <c r="BR392" s="160"/>
      <c r="BS392" s="160"/>
      <c r="BT392" s="160"/>
      <c r="BU392" s="160"/>
      <c r="BV392" s="160"/>
      <c r="BW392" s="160"/>
      <c r="BX392" s="160"/>
      <c r="BY392" s="160"/>
      <c r="BZ392" s="160"/>
      <c r="CA392" s="160"/>
      <c r="CB392" s="160"/>
      <c r="CC392" s="160"/>
      <c r="CD392" s="160"/>
      <c r="CE392" s="160"/>
      <c r="CF392" s="160"/>
      <c r="CG392" s="160"/>
      <c r="CH392" s="160"/>
      <c r="CI392" s="160"/>
      <c r="CJ392" s="160"/>
      <c r="CK392" s="160"/>
      <c r="CL392" s="160"/>
    </row>
    <row r="393">
      <c r="A393" s="166" t="s">
        <v>737</v>
      </c>
      <c r="B393" s="167" t="s">
        <v>738</v>
      </c>
      <c r="C393" s="168" t="s">
        <v>85</v>
      </c>
      <c r="D393" s="169" t="str">
        <f>IFERROR(VLOOKUP(C393, PIC!A:B, 2, 0), "")</f>
        <v>Van Nguyen</v>
      </c>
      <c r="E393" s="167" t="s">
        <v>23</v>
      </c>
      <c r="F393" s="16" t="s">
        <v>861</v>
      </c>
      <c r="G393" s="16" t="s">
        <v>868</v>
      </c>
      <c r="H393" s="170">
        <f>IFERROR(
  MINIFS(ATTENDANCE_LOG!$F:$F,
         ATTENDANCE_LOG!$A:$A, C393,
         ATTENDANCE_LOG!$B:$B, E393),
"")</f>
        <v>45910.54167</v>
      </c>
      <c r="I393" s="170">
        <f t="shared" si="2"/>
        <v>45764.45833</v>
      </c>
      <c r="J393" s="11">
        <f>IFERROR(VLOOKUP(F393, LEVEL_HELPER!$A:$B, 2, 0), "")</f>
        <v>3.5</v>
      </c>
      <c r="K393" s="11">
        <f>IFERROR(VLOOKUP(G393, LEVEL_HELPER!$A:$B, 2, 0), "")</f>
        <v>5</v>
      </c>
      <c r="L393" s="171" t="s">
        <v>1067</v>
      </c>
      <c r="M393" s="171" t="s">
        <v>151</v>
      </c>
      <c r="N393" s="11">
        <f t="array" ref="N393">IFERROR(
  INDEX($J$2:$J$531,
    MATCH(A393&amp;TEXT(I393,"yyyy-mm-dd"),
          $A$2:$A$531&amp;TEXT($H$2:$H$531,"yyyy-mm-dd"),
          0)),
"")</f>
        <v>1</v>
      </c>
      <c r="O393" s="160">
        <f t="shared" si="3"/>
        <v>5</v>
      </c>
      <c r="P393" s="160">
        <f t="shared" ref="P393:Q393" si="403">IF(N393="",0,IF(N393&lt;=2,1,IF(N393&lt;=4,2,IF(N393&lt;=5.5,3,4))))</f>
        <v>1</v>
      </c>
      <c r="Q393" s="160">
        <f t="shared" si="403"/>
        <v>3</v>
      </c>
      <c r="R393" s="160" t="str">
        <f t="shared" si="5"/>
        <v>Lv1 → Lv3 (multi)</v>
      </c>
      <c r="S393" s="160">
        <f t="shared" si="6"/>
        <v>0</v>
      </c>
      <c r="T393" s="187" t="s">
        <v>1068</v>
      </c>
      <c r="U393" s="160">
        <f>COUNTIFS(sheet2!$A:$A,A393,sheet2!$E:$E,E393)</f>
        <v>1</v>
      </c>
      <c r="V393" s="160"/>
      <c r="W393" s="160"/>
      <c r="X393" s="160"/>
      <c r="Y393" s="160"/>
      <c r="Z393" s="160"/>
      <c r="AA393" s="160"/>
      <c r="AB393" s="160"/>
      <c r="AC393" s="160"/>
      <c r="AD393" s="160"/>
      <c r="AE393" s="160"/>
      <c r="AF393" s="160"/>
      <c r="AG393" s="160"/>
      <c r="AH393" s="160"/>
      <c r="AI393" s="160"/>
      <c r="AJ393" s="160"/>
      <c r="AK393" s="160"/>
      <c r="AL393" s="160"/>
      <c r="AM393" s="160"/>
      <c r="AN393" s="164"/>
      <c r="AO393" s="160"/>
      <c r="AP393" s="160"/>
      <c r="AQ393" s="160"/>
      <c r="AR393" s="160"/>
      <c r="AS393" s="160"/>
      <c r="AT393" s="160"/>
      <c r="AU393" s="160"/>
      <c r="AV393" s="160"/>
      <c r="AW393" s="160"/>
      <c r="AX393" s="160"/>
      <c r="AY393" s="160"/>
      <c r="AZ393" s="160"/>
      <c r="BA393" s="160"/>
      <c r="BB393" s="160"/>
      <c r="BC393" s="160"/>
      <c r="BD393" s="160"/>
      <c r="BE393" s="160"/>
      <c r="BF393" s="160"/>
      <c r="BG393" s="160"/>
      <c r="BH393" s="160"/>
      <c r="BI393" s="160"/>
      <c r="BJ393" s="160"/>
      <c r="BK393" s="160"/>
      <c r="BL393" s="160"/>
      <c r="BM393" s="160"/>
      <c r="BN393" s="160"/>
      <c r="BO393" s="160"/>
      <c r="BP393" s="160"/>
      <c r="BQ393" s="160"/>
      <c r="BR393" s="160"/>
      <c r="BS393" s="160"/>
      <c r="BT393" s="160"/>
      <c r="BU393" s="160"/>
      <c r="BV393" s="160"/>
      <c r="BW393" s="160"/>
      <c r="BX393" s="160"/>
      <c r="BY393" s="160"/>
      <c r="BZ393" s="160"/>
      <c r="CA393" s="160"/>
      <c r="CB393" s="160"/>
      <c r="CC393" s="160"/>
      <c r="CD393" s="160"/>
      <c r="CE393" s="160"/>
      <c r="CF393" s="160"/>
      <c r="CG393" s="160"/>
      <c r="CH393" s="160"/>
      <c r="CI393" s="160"/>
      <c r="CJ393" s="160"/>
      <c r="CK393" s="160"/>
      <c r="CL393" s="160"/>
    </row>
    <row r="394">
      <c r="A394" s="174" t="s">
        <v>727</v>
      </c>
      <c r="B394" s="11" t="s">
        <v>728</v>
      </c>
      <c r="C394" s="175" t="s">
        <v>85</v>
      </c>
      <c r="D394" s="176" t="str">
        <f>IFERROR(VLOOKUP(C394, PIC!A:B, 2, 0), "")</f>
        <v>Van Nguyen</v>
      </c>
      <c r="E394" s="11" t="s">
        <v>23</v>
      </c>
      <c r="F394" s="16" t="s">
        <v>861</v>
      </c>
      <c r="G394" s="16" t="s">
        <v>868</v>
      </c>
      <c r="H394" s="170">
        <f>IFERROR(
  MINIFS(ATTENDANCE_LOG!$F:$F,
         ATTENDANCE_LOG!$A:$A, C394,
         ATTENDANCE_LOG!$B:$B, E394),
"")</f>
        <v>45910.54167</v>
      </c>
      <c r="I394" s="170">
        <f t="shared" si="2"/>
        <v>45764.45833</v>
      </c>
      <c r="J394" s="11">
        <f>IFERROR(VLOOKUP(F394, LEVEL_HELPER!$A:$B, 2, 0), "")</f>
        <v>3.5</v>
      </c>
      <c r="K394" s="11">
        <f>IFERROR(VLOOKUP(G394, LEVEL_HELPER!$A:$B, 2, 0), "")</f>
        <v>5</v>
      </c>
      <c r="L394" s="171" t="s">
        <v>400</v>
      </c>
      <c r="M394" s="171" t="s">
        <v>151</v>
      </c>
      <c r="N394" s="11">
        <f t="array" ref="N394">IFERROR(
  INDEX($J$2:$J$531,
    MATCH(A394&amp;TEXT(I394,"yyyy-mm-dd"),
          $A$2:$A$531&amp;TEXT($H$2:$H$531,"yyyy-mm-dd"),
          0)),
"")</f>
        <v>0</v>
      </c>
      <c r="O394" s="160">
        <f t="shared" si="3"/>
        <v>5</v>
      </c>
      <c r="P394" s="160">
        <f t="shared" ref="P394:Q394" si="404">IF(N394="",0,IF(N394&lt;=2,1,IF(N394&lt;=4,2,IF(N394&lt;=5.5,3,4))))</f>
        <v>1</v>
      </c>
      <c r="Q394" s="160">
        <f t="shared" si="404"/>
        <v>3</v>
      </c>
      <c r="R394" s="160" t="str">
        <f t="shared" si="5"/>
        <v>Lv1 → Lv3 (multi)</v>
      </c>
      <c r="S394" s="160">
        <f t="shared" si="6"/>
        <v>0</v>
      </c>
      <c r="T394" s="187" t="s">
        <v>1069</v>
      </c>
      <c r="U394" s="160">
        <f>COUNTIFS(sheet2!$A:$A,A394,sheet2!$E:$E,E394)</f>
        <v>1</v>
      </c>
      <c r="V394" s="160"/>
      <c r="W394" s="160"/>
      <c r="X394" s="160"/>
      <c r="Y394" s="160"/>
      <c r="Z394" s="160"/>
      <c r="AA394" s="160"/>
      <c r="AB394" s="160"/>
      <c r="AC394" s="160"/>
      <c r="AD394" s="160"/>
      <c r="AE394" s="160"/>
      <c r="AF394" s="160"/>
      <c r="AG394" s="160"/>
      <c r="AH394" s="160"/>
      <c r="AI394" s="160"/>
      <c r="AJ394" s="160"/>
      <c r="AK394" s="160"/>
      <c r="AL394" s="160"/>
      <c r="AM394" s="160"/>
      <c r="AN394" s="164"/>
      <c r="AO394" s="160"/>
      <c r="AP394" s="160"/>
      <c r="AQ394" s="160"/>
      <c r="AR394" s="160"/>
      <c r="AS394" s="160"/>
      <c r="AT394" s="160"/>
      <c r="AU394" s="160"/>
      <c r="AV394" s="160"/>
      <c r="AW394" s="160"/>
      <c r="AX394" s="160"/>
      <c r="AY394" s="160"/>
      <c r="AZ394" s="160"/>
      <c r="BA394" s="160"/>
      <c r="BB394" s="160"/>
      <c r="BC394" s="160"/>
      <c r="BD394" s="160"/>
      <c r="BE394" s="160"/>
      <c r="BF394" s="160"/>
      <c r="BG394" s="160"/>
      <c r="BH394" s="160"/>
      <c r="BI394" s="160"/>
      <c r="BJ394" s="160"/>
      <c r="BK394" s="160"/>
      <c r="BL394" s="160"/>
      <c r="BM394" s="160"/>
      <c r="BN394" s="160"/>
      <c r="BO394" s="160"/>
      <c r="BP394" s="160"/>
      <c r="BQ394" s="160"/>
      <c r="BR394" s="160"/>
      <c r="BS394" s="160"/>
      <c r="BT394" s="160"/>
      <c r="BU394" s="160"/>
      <c r="BV394" s="160"/>
      <c r="BW394" s="160"/>
      <c r="BX394" s="160"/>
      <c r="BY394" s="160"/>
      <c r="BZ394" s="160"/>
      <c r="CA394" s="160"/>
      <c r="CB394" s="160"/>
      <c r="CC394" s="160"/>
      <c r="CD394" s="160"/>
      <c r="CE394" s="160"/>
      <c r="CF394" s="160"/>
      <c r="CG394" s="160"/>
      <c r="CH394" s="160"/>
      <c r="CI394" s="160"/>
      <c r="CJ394" s="160"/>
      <c r="CK394" s="160"/>
      <c r="CL394" s="160"/>
    </row>
    <row r="395">
      <c r="A395" s="174" t="s">
        <v>733</v>
      </c>
      <c r="B395" s="11" t="s">
        <v>734</v>
      </c>
      <c r="C395" s="175" t="s">
        <v>85</v>
      </c>
      <c r="D395" s="176" t="str">
        <f>IFERROR(VLOOKUP(C395, PIC!A:B, 2, 0), "")</f>
        <v>Van Nguyen</v>
      </c>
      <c r="E395" s="11" t="s">
        <v>23</v>
      </c>
      <c r="F395" s="16" t="s">
        <v>846</v>
      </c>
      <c r="G395" s="11"/>
      <c r="H395" s="170">
        <f>IFERROR(
  MINIFS(ATTENDANCE_LOG!$F:$F,
         ATTENDANCE_LOG!$A:$A, C395,
         ATTENDANCE_LOG!$B:$B, E395),
"")</f>
        <v>45910.54167</v>
      </c>
      <c r="I395" s="170">
        <f t="shared" si="2"/>
        <v>45764.45833</v>
      </c>
      <c r="J395" s="11">
        <f>IFERROR(VLOOKUP(F395, LEVEL_HELPER!$A:$B, 2, 0), "")</f>
        <v>3</v>
      </c>
      <c r="K395" s="11" t="str">
        <f>IFERROR(VLOOKUP(G395, LEVEL_HELPER!$A:$B, 2, 0), "")</f>
        <v/>
      </c>
      <c r="L395" s="171" t="s">
        <v>400</v>
      </c>
      <c r="M395" s="171" t="s">
        <v>151</v>
      </c>
      <c r="N395" s="11">
        <f t="array" ref="N395">IFERROR(
  INDEX($J$2:$J$531,
    MATCH(A395&amp;TEXT(I395,"yyyy-mm-dd"),
          $A$2:$A$531&amp;TEXT($H$2:$H$531,"yyyy-mm-dd"),
          0)),
"")</f>
        <v>1</v>
      </c>
      <c r="O395" s="160">
        <f t="shared" si="3"/>
        <v>3</v>
      </c>
      <c r="P395" s="160">
        <f t="shared" ref="P395:Q395" si="405">IF(N395="",0,IF(N395&lt;=2,1,IF(N395&lt;=4,2,IF(N395&lt;=5.5,3,4))))</f>
        <v>1</v>
      </c>
      <c r="Q395" s="160">
        <f t="shared" si="405"/>
        <v>2</v>
      </c>
      <c r="R395" s="160" t="str">
        <f t="shared" si="5"/>
        <v>Lv1 → Lv2</v>
      </c>
      <c r="S395" s="160">
        <f t="shared" si="6"/>
        <v>0</v>
      </c>
      <c r="T395" s="187" t="s">
        <v>1071</v>
      </c>
      <c r="U395" s="160">
        <f>COUNTIFS(sheet2!$A:$A,A395,sheet2!$E:$E,E395)</f>
        <v>1</v>
      </c>
      <c r="V395" s="160"/>
      <c r="W395" s="160"/>
      <c r="X395" s="160"/>
      <c r="Y395" s="160"/>
      <c r="Z395" s="160"/>
      <c r="AA395" s="160"/>
      <c r="AB395" s="160"/>
      <c r="AC395" s="160"/>
      <c r="AD395" s="160"/>
      <c r="AE395" s="160"/>
      <c r="AF395" s="160"/>
      <c r="AG395" s="160"/>
      <c r="AH395" s="160"/>
      <c r="AI395" s="160"/>
      <c r="AJ395" s="160"/>
      <c r="AK395" s="160"/>
      <c r="AL395" s="160"/>
      <c r="AM395" s="160"/>
      <c r="AN395" s="164"/>
      <c r="AO395" s="160"/>
      <c r="AP395" s="160"/>
      <c r="AQ395" s="160"/>
      <c r="AR395" s="160"/>
      <c r="AS395" s="160"/>
      <c r="AT395" s="160"/>
      <c r="AU395" s="160"/>
      <c r="AV395" s="160"/>
      <c r="AW395" s="160"/>
      <c r="AX395" s="160"/>
      <c r="AY395" s="160"/>
      <c r="AZ395" s="160"/>
      <c r="BA395" s="160"/>
      <c r="BB395" s="160"/>
      <c r="BC395" s="160"/>
      <c r="BD395" s="160"/>
      <c r="BE395" s="160"/>
      <c r="BF395" s="160"/>
      <c r="BG395" s="160"/>
      <c r="BH395" s="160"/>
      <c r="BI395" s="160"/>
      <c r="BJ395" s="160"/>
      <c r="BK395" s="160"/>
      <c r="BL395" s="160"/>
      <c r="BM395" s="160"/>
      <c r="BN395" s="160"/>
      <c r="BO395" s="160"/>
      <c r="BP395" s="160"/>
      <c r="BQ395" s="160"/>
      <c r="BR395" s="160"/>
      <c r="BS395" s="160"/>
      <c r="BT395" s="160"/>
      <c r="BU395" s="160"/>
      <c r="BV395" s="160"/>
      <c r="BW395" s="160"/>
      <c r="BX395" s="160"/>
      <c r="BY395" s="160"/>
      <c r="BZ395" s="160"/>
      <c r="CA395" s="160"/>
      <c r="CB395" s="160"/>
      <c r="CC395" s="160"/>
      <c r="CD395" s="160"/>
      <c r="CE395" s="160"/>
      <c r="CF395" s="160"/>
      <c r="CG395" s="160"/>
      <c r="CH395" s="160"/>
      <c r="CI395" s="160"/>
      <c r="CJ395" s="160"/>
      <c r="CK395" s="160"/>
      <c r="CL395" s="160"/>
    </row>
    <row r="396">
      <c r="A396" s="174" t="s">
        <v>735</v>
      </c>
      <c r="B396" s="11" t="s">
        <v>736</v>
      </c>
      <c r="C396" s="175" t="s">
        <v>85</v>
      </c>
      <c r="D396" s="176" t="str">
        <f>IFERROR(VLOOKUP(C396, PIC!A:B, 2, 0), "")</f>
        <v>Van Nguyen</v>
      </c>
      <c r="E396" s="11" t="s">
        <v>23</v>
      </c>
      <c r="F396" s="16" t="s">
        <v>846</v>
      </c>
      <c r="G396" s="11"/>
      <c r="H396" s="170">
        <f>IFERROR(
  MINIFS(ATTENDANCE_LOG!$F:$F,
         ATTENDANCE_LOG!$A:$A, C396,
         ATTENDANCE_LOG!$B:$B, E396),
"")</f>
        <v>45910.54167</v>
      </c>
      <c r="I396" s="170">
        <f t="shared" si="2"/>
        <v>45764.45833</v>
      </c>
      <c r="J396" s="11">
        <f>IFERROR(VLOOKUP(F396, LEVEL_HELPER!$A:$B, 2, 0), "")</f>
        <v>3</v>
      </c>
      <c r="K396" s="11" t="str">
        <f>IFERROR(VLOOKUP(G396, LEVEL_HELPER!$A:$B, 2, 0), "")</f>
        <v/>
      </c>
      <c r="L396" s="171" t="s">
        <v>400</v>
      </c>
      <c r="M396" s="171" t="s">
        <v>151</v>
      </c>
      <c r="N396" s="11">
        <f t="array" ref="N396">IFERROR(
  INDEX($J$2:$J$531,
    MATCH(A396&amp;TEXT(I396,"yyyy-mm-dd"),
          $A$2:$A$531&amp;TEXT($H$2:$H$531,"yyyy-mm-dd"),
          0)),
"")</f>
        <v>1</v>
      </c>
      <c r="O396" s="160">
        <f t="shared" si="3"/>
        <v>3</v>
      </c>
      <c r="P396" s="160">
        <f t="shared" ref="P396:Q396" si="406">IF(N396="",0,IF(N396&lt;=2,1,IF(N396&lt;=4,2,IF(N396&lt;=5.5,3,4))))</f>
        <v>1</v>
      </c>
      <c r="Q396" s="160">
        <f t="shared" si="406"/>
        <v>2</v>
      </c>
      <c r="R396" s="160" t="str">
        <f t="shared" si="5"/>
        <v>Lv1 → Lv2</v>
      </c>
      <c r="S396" s="160">
        <f t="shared" si="6"/>
        <v>0</v>
      </c>
      <c r="T396" s="187" t="s">
        <v>1072</v>
      </c>
      <c r="U396" s="160">
        <f>COUNTIFS(sheet2!$A:$A,A396,sheet2!$E:$E,E396)</f>
        <v>1</v>
      </c>
      <c r="V396" s="160"/>
      <c r="W396" s="160"/>
      <c r="X396" s="160"/>
      <c r="Y396" s="160"/>
      <c r="Z396" s="160"/>
      <c r="AA396" s="160"/>
      <c r="AB396" s="160"/>
      <c r="AC396" s="160"/>
      <c r="AD396" s="160"/>
      <c r="AE396" s="160"/>
      <c r="AF396" s="160"/>
      <c r="AG396" s="160"/>
      <c r="AH396" s="160"/>
      <c r="AI396" s="160"/>
      <c r="AJ396" s="160"/>
      <c r="AK396" s="160"/>
      <c r="AL396" s="160"/>
      <c r="AM396" s="160"/>
      <c r="AN396" s="164"/>
      <c r="AO396" s="160"/>
      <c r="AP396" s="160"/>
      <c r="AQ396" s="160"/>
      <c r="AR396" s="160"/>
      <c r="AS396" s="160"/>
      <c r="AT396" s="160"/>
      <c r="AU396" s="160"/>
      <c r="AV396" s="160"/>
      <c r="AW396" s="160"/>
      <c r="AX396" s="160"/>
      <c r="AY396" s="160"/>
      <c r="AZ396" s="160"/>
      <c r="BA396" s="160"/>
      <c r="BB396" s="160"/>
      <c r="BC396" s="160"/>
      <c r="BD396" s="160"/>
      <c r="BE396" s="160"/>
      <c r="BF396" s="160"/>
      <c r="BG396" s="160"/>
      <c r="BH396" s="160"/>
      <c r="BI396" s="160"/>
      <c r="BJ396" s="160"/>
      <c r="BK396" s="160"/>
      <c r="BL396" s="160"/>
      <c r="BM396" s="160"/>
      <c r="BN396" s="160"/>
      <c r="BO396" s="160"/>
      <c r="BP396" s="160"/>
      <c r="BQ396" s="160"/>
      <c r="BR396" s="160"/>
      <c r="BS396" s="160"/>
      <c r="BT396" s="160"/>
      <c r="BU396" s="160"/>
      <c r="BV396" s="160"/>
      <c r="BW396" s="160"/>
      <c r="BX396" s="160"/>
      <c r="BY396" s="160"/>
      <c r="BZ396" s="160"/>
      <c r="CA396" s="160"/>
      <c r="CB396" s="160"/>
      <c r="CC396" s="160"/>
      <c r="CD396" s="160"/>
      <c r="CE396" s="160"/>
      <c r="CF396" s="160"/>
      <c r="CG396" s="160"/>
      <c r="CH396" s="160"/>
      <c r="CI396" s="160"/>
      <c r="CJ396" s="160"/>
      <c r="CK396" s="160"/>
      <c r="CL396" s="160"/>
    </row>
    <row r="397">
      <c r="A397" s="174" t="s">
        <v>729</v>
      </c>
      <c r="B397" s="11" t="s">
        <v>730</v>
      </c>
      <c r="C397" s="175" t="s">
        <v>85</v>
      </c>
      <c r="D397" s="176" t="str">
        <f>IFERROR(VLOOKUP(C397, PIC!A:B, 2, 0), "")</f>
        <v>Van Nguyen</v>
      </c>
      <c r="E397" s="11" t="s">
        <v>23</v>
      </c>
      <c r="F397" s="16" t="s">
        <v>846</v>
      </c>
      <c r="G397" s="11"/>
      <c r="H397" s="170">
        <f>IFERROR(
  MINIFS(ATTENDANCE_LOG!$F:$F,
         ATTENDANCE_LOG!$A:$A, C397,
         ATTENDANCE_LOG!$B:$B, E397),
"")</f>
        <v>45910.54167</v>
      </c>
      <c r="I397" s="170">
        <f t="shared" si="2"/>
        <v>45765.41667</v>
      </c>
      <c r="J397" s="11">
        <f>IFERROR(VLOOKUP(F397, LEVEL_HELPER!$A:$B, 2, 0), "")</f>
        <v>3</v>
      </c>
      <c r="K397" s="11" t="str">
        <f>IFERROR(VLOOKUP(G397, LEVEL_HELPER!$A:$B, 2, 0), "")</f>
        <v/>
      </c>
      <c r="L397" s="171" t="s">
        <v>400</v>
      </c>
      <c r="M397" s="171" t="s">
        <v>151</v>
      </c>
      <c r="N397" s="11">
        <f t="array" ref="N397">IFERROR(
  INDEX($J$2:$J$531,
    MATCH(A397&amp;TEXT(I397,"yyyy-mm-dd"),
          $A$2:$A$531&amp;TEXT($H$2:$H$531,"yyyy-mm-dd"),
          0)),
"")</f>
        <v>1</v>
      </c>
      <c r="O397" s="160">
        <f t="shared" si="3"/>
        <v>2.5</v>
      </c>
      <c r="P397" s="160">
        <f t="shared" ref="P397:Q397" si="407">IF(N397="",0,IF(N397&lt;=2,1,IF(N397&lt;=4,2,IF(N397&lt;=5.5,3,4))))</f>
        <v>1</v>
      </c>
      <c r="Q397" s="160">
        <f t="shared" si="407"/>
        <v>2</v>
      </c>
      <c r="R397" s="160" t="str">
        <f t="shared" si="5"/>
        <v>Lv1 → Lv2</v>
      </c>
      <c r="S397" s="160">
        <f t="shared" si="6"/>
        <v>0</v>
      </c>
      <c r="T397" s="186" t="s">
        <v>1042</v>
      </c>
      <c r="U397" s="160">
        <f>COUNTIFS(sheet2!$A:$A,A397,sheet2!$E:$E,E397)</f>
        <v>1</v>
      </c>
      <c r="V397" s="160"/>
      <c r="W397" s="160"/>
      <c r="X397" s="160"/>
      <c r="Y397" s="160"/>
      <c r="Z397" s="160"/>
      <c r="AA397" s="160"/>
      <c r="AB397" s="160"/>
      <c r="AC397" s="160"/>
      <c r="AD397" s="160"/>
      <c r="AE397" s="160"/>
      <c r="AF397" s="160"/>
      <c r="AG397" s="160"/>
      <c r="AH397" s="160"/>
      <c r="AI397" s="160"/>
      <c r="AJ397" s="160"/>
      <c r="AK397" s="160"/>
      <c r="AL397" s="160"/>
      <c r="AM397" s="160"/>
      <c r="AN397" s="164"/>
      <c r="AO397" s="160"/>
      <c r="AP397" s="160"/>
      <c r="AQ397" s="160"/>
      <c r="AR397" s="160"/>
      <c r="AS397" s="160"/>
      <c r="AT397" s="160"/>
      <c r="AU397" s="160"/>
      <c r="AV397" s="160"/>
      <c r="AW397" s="160"/>
      <c r="AX397" s="160"/>
      <c r="AY397" s="160"/>
      <c r="AZ397" s="160"/>
      <c r="BA397" s="160"/>
      <c r="BB397" s="160"/>
      <c r="BC397" s="160"/>
      <c r="BD397" s="160"/>
      <c r="BE397" s="160"/>
      <c r="BF397" s="160"/>
      <c r="BG397" s="160"/>
      <c r="BH397" s="160"/>
      <c r="BI397" s="160"/>
      <c r="BJ397" s="160"/>
      <c r="BK397" s="160"/>
      <c r="BL397" s="160"/>
      <c r="BM397" s="160"/>
      <c r="BN397" s="160"/>
      <c r="BO397" s="160"/>
      <c r="BP397" s="160"/>
      <c r="BQ397" s="160"/>
      <c r="BR397" s="160"/>
      <c r="BS397" s="160"/>
      <c r="BT397" s="160"/>
      <c r="BU397" s="160"/>
      <c r="BV397" s="160"/>
      <c r="BW397" s="160"/>
      <c r="BX397" s="160"/>
      <c r="BY397" s="160"/>
      <c r="BZ397" s="160"/>
      <c r="CA397" s="160"/>
      <c r="CB397" s="160"/>
      <c r="CC397" s="160"/>
      <c r="CD397" s="160"/>
      <c r="CE397" s="160"/>
      <c r="CF397" s="160"/>
      <c r="CG397" s="160"/>
      <c r="CH397" s="160"/>
      <c r="CI397" s="160"/>
      <c r="CJ397" s="160"/>
      <c r="CK397" s="160"/>
      <c r="CL397" s="160"/>
    </row>
    <row r="398">
      <c r="A398" s="174" t="s">
        <v>731</v>
      </c>
      <c r="B398" s="11" t="s">
        <v>732</v>
      </c>
      <c r="C398" s="175" t="s">
        <v>85</v>
      </c>
      <c r="D398" s="176" t="str">
        <f>IFERROR(VLOOKUP(C398, PIC!A:B, 2, 0), "")</f>
        <v>Van Nguyen</v>
      </c>
      <c r="E398" s="11" t="s">
        <v>23</v>
      </c>
      <c r="F398" s="16" t="s">
        <v>853</v>
      </c>
      <c r="G398" s="16" t="s">
        <v>861</v>
      </c>
      <c r="H398" s="170">
        <f>IFERROR(
  MINIFS(ATTENDANCE_LOG!$F:$F,
         ATTENDANCE_LOG!$A:$A, C398,
         ATTENDANCE_LOG!$B:$B, E398),
"")</f>
        <v>45910.54167</v>
      </c>
      <c r="I398" s="170">
        <f t="shared" si="2"/>
        <v>45765.41667</v>
      </c>
      <c r="J398" s="11">
        <f>IFERROR(VLOOKUP(F398, LEVEL_HELPER!$A:$B, 2, 0), "")</f>
        <v>1.5</v>
      </c>
      <c r="K398" s="11">
        <f>IFERROR(VLOOKUP(G398, LEVEL_HELPER!$A:$B, 2, 0), "")</f>
        <v>3.5</v>
      </c>
      <c r="L398" s="171" t="s">
        <v>400</v>
      </c>
      <c r="M398" s="171" t="s">
        <v>151</v>
      </c>
      <c r="N398" s="11">
        <f t="array" ref="N398">IFERROR(
  INDEX($J$2:$J$531,
    MATCH(A398&amp;TEXT(I398,"yyyy-mm-dd"),
          $A$2:$A$531&amp;TEXT($H$2:$H$531,"yyyy-mm-dd"),
          0)),
"")</f>
        <v>0.5</v>
      </c>
      <c r="O398" s="160">
        <f t="shared" si="3"/>
        <v>3.5</v>
      </c>
      <c r="P398" s="160">
        <f t="shared" ref="P398:Q398" si="408">IF(N398="",0,IF(N398&lt;=2,1,IF(N398&lt;=4,2,IF(N398&lt;=5.5,3,4))))</f>
        <v>1</v>
      </c>
      <c r="Q398" s="160">
        <f t="shared" si="408"/>
        <v>2</v>
      </c>
      <c r="R398" s="160" t="str">
        <f t="shared" si="5"/>
        <v>Lv1 → Lv2</v>
      </c>
      <c r="S398" s="160">
        <f t="shared" si="6"/>
        <v>0</v>
      </c>
      <c r="T398" s="187" t="s">
        <v>1043</v>
      </c>
      <c r="U398" s="160">
        <f>COUNTIFS(sheet2!$A:$A,A398,sheet2!$E:$E,E398)</f>
        <v>1</v>
      </c>
      <c r="V398" s="160"/>
      <c r="W398" s="160"/>
      <c r="X398" s="160"/>
      <c r="Y398" s="160"/>
      <c r="Z398" s="160"/>
      <c r="AA398" s="160"/>
      <c r="AB398" s="160"/>
      <c r="AC398" s="160"/>
      <c r="AD398" s="160"/>
      <c r="AE398" s="160"/>
      <c r="AF398" s="160"/>
      <c r="AG398" s="160"/>
      <c r="AH398" s="160"/>
      <c r="AI398" s="160"/>
      <c r="AJ398" s="160"/>
      <c r="AK398" s="160"/>
      <c r="AL398" s="160"/>
      <c r="AM398" s="160"/>
      <c r="AN398" s="164"/>
      <c r="AO398" s="160"/>
      <c r="AP398" s="160"/>
      <c r="AQ398" s="160"/>
      <c r="AR398" s="160"/>
      <c r="AS398" s="160"/>
      <c r="AT398" s="160"/>
      <c r="AU398" s="160"/>
      <c r="AV398" s="160"/>
      <c r="AW398" s="160"/>
      <c r="AX398" s="160"/>
      <c r="AY398" s="160"/>
      <c r="AZ398" s="160"/>
      <c r="BA398" s="160"/>
      <c r="BB398" s="160"/>
      <c r="BC398" s="160"/>
      <c r="BD398" s="160"/>
      <c r="BE398" s="160"/>
      <c r="BF398" s="160"/>
      <c r="BG398" s="160"/>
      <c r="BH398" s="160"/>
      <c r="BI398" s="160"/>
      <c r="BJ398" s="160"/>
      <c r="BK398" s="160"/>
      <c r="BL398" s="160"/>
      <c r="BM398" s="160"/>
      <c r="BN398" s="160"/>
      <c r="BO398" s="160"/>
      <c r="BP398" s="160"/>
      <c r="BQ398" s="160"/>
      <c r="BR398" s="160"/>
      <c r="BS398" s="160"/>
      <c r="BT398" s="160"/>
      <c r="BU398" s="160"/>
      <c r="BV398" s="160"/>
      <c r="BW398" s="160"/>
      <c r="BX398" s="160"/>
      <c r="BY398" s="160"/>
      <c r="BZ398" s="160"/>
      <c r="CA398" s="160"/>
      <c r="CB398" s="160"/>
      <c r="CC398" s="160"/>
      <c r="CD398" s="160"/>
      <c r="CE398" s="160"/>
      <c r="CF398" s="160"/>
      <c r="CG398" s="160"/>
      <c r="CH398" s="160"/>
      <c r="CI398" s="160"/>
      <c r="CJ398" s="160"/>
      <c r="CK398" s="160"/>
      <c r="CL398" s="160"/>
    </row>
    <row r="399">
      <c r="A399" s="174" t="s">
        <v>723</v>
      </c>
      <c r="B399" s="11" t="s">
        <v>724</v>
      </c>
      <c r="C399" s="175" t="s">
        <v>85</v>
      </c>
      <c r="D399" s="176" t="str">
        <f>IFERROR(VLOOKUP(C399, PIC!A:B, 2, 0), "")</f>
        <v>Van Nguyen</v>
      </c>
      <c r="E399" s="11" t="s">
        <v>23</v>
      </c>
      <c r="F399" s="16" t="s">
        <v>846</v>
      </c>
      <c r="G399" s="16" t="s">
        <v>868</v>
      </c>
      <c r="H399" s="170">
        <f>IFERROR(
  MINIFS(ATTENDANCE_LOG!$F:$F,
         ATTENDANCE_LOG!$A:$A, C399,
         ATTENDANCE_LOG!$B:$B, E399),
"")</f>
        <v>45910.54167</v>
      </c>
      <c r="I399" s="170">
        <f t="shared" si="2"/>
        <v>45765.41667</v>
      </c>
      <c r="J399" s="11">
        <f>IFERROR(VLOOKUP(F399, LEVEL_HELPER!$A:$B, 2, 0), "")</f>
        <v>3</v>
      </c>
      <c r="K399" s="11">
        <f>IFERROR(VLOOKUP(G399, LEVEL_HELPER!$A:$B, 2, 0), "")</f>
        <v>5</v>
      </c>
      <c r="L399" s="171" t="s">
        <v>400</v>
      </c>
      <c r="M399" s="171" t="s">
        <v>151</v>
      </c>
      <c r="N399" s="11">
        <f t="array" ref="N399">IFERROR(
  INDEX($J$2:$J$531,
    MATCH(A399&amp;TEXT(I399,"yyyy-mm-dd"),
          $A$2:$A$531&amp;TEXT($H$2:$H$531,"yyyy-mm-dd"),
          0)),
"")</f>
        <v>1</v>
      </c>
      <c r="O399" s="160">
        <f t="shared" si="3"/>
        <v>5</v>
      </c>
      <c r="P399" s="160">
        <f t="shared" ref="P399:Q399" si="409">IF(N399="",0,IF(N399&lt;=2,1,IF(N399&lt;=4,2,IF(N399&lt;=5.5,3,4))))</f>
        <v>1</v>
      </c>
      <c r="Q399" s="160">
        <f t="shared" si="409"/>
        <v>3</v>
      </c>
      <c r="R399" s="160" t="str">
        <f t="shared" si="5"/>
        <v>Lv1 → Lv3 (multi)</v>
      </c>
      <c r="S399" s="160">
        <f t="shared" si="6"/>
        <v>0</v>
      </c>
      <c r="T399" s="187" t="s">
        <v>1044</v>
      </c>
      <c r="U399" s="160">
        <f>COUNTIFS(sheet2!$A:$A,A399,sheet2!$E:$E,E399)</f>
        <v>1</v>
      </c>
      <c r="V399" s="160"/>
      <c r="W399" s="160"/>
      <c r="X399" s="160"/>
      <c r="Y399" s="160"/>
      <c r="Z399" s="160"/>
      <c r="AA399" s="160"/>
      <c r="AB399" s="160"/>
      <c r="AC399" s="160"/>
      <c r="AD399" s="160"/>
      <c r="AE399" s="160"/>
      <c r="AF399" s="160"/>
      <c r="AG399" s="160"/>
      <c r="AH399" s="160"/>
      <c r="AI399" s="160"/>
      <c r="AJ399" s="160"/>
      <c r="AK399" s="160"/>
      <c r="AL399" s="160"/>
      <c r="AM399" s="160"/>
      <c r="AN399" s="164"/>
      <c r="AO399" s="160"/>
      <c r="AP399" s="160"/>
      <c r="AQ399" s="160"/>
      <c r="AR399" s="160"/>
      <c r="AS399" s="160"/>
      <c r="AT399" s="160"/>
      <c r="AU399" s="160"/>
      <c r="AV399" s="160"/>
      <c r="AW399" s="160"/>
      <c r="AX399" s="160"/>
      <c r="AY399" s="160"/>
      <c r="AZ399" s="160"/>
      <c r="BA399" s="160"/>
      <c r="BB399" s="160"/>
      <c r="BC399" s="160"/>
      <c r="BD399" s="160"/>
      <c r="BE399" s="160"/>
      <c r="BF399" s="160"/>
      <c r="BG399" s="160"/>
      <c r="BH399" s="160"/>
      <c r="BI399" s="160"/>
      <c r="BJ399" s="160"/>
      <c r="BK399" s="160"/>
      <c r="BL399" s="160"/>
      <c r="BM399" s="160"/>
      <c r="BN399" s="160"/>
      <c r="BO399" s="160"/>
      <c r="BP399" s="160"/>
      <c r="BQ399" s="160"/>
      <c r="BR399" s="160"/>
      <c r="BS399" s="160"/>
      <c r="BT399" s="160"/>
      <c r="BU399" s="160"/>
      <c r="BV399" s="160"/>
      <c r="BW399" s="160"/>
      <c r="BX399" s="160"/>
      <c r="BY399" s="160"/>
      <c r="BZ399" s="160"/>
      <c r="CA399" s="160"/>
      <c r="CB399" s="160"/>
      <c r="CC399" s="160"/>
      <c r="CD399" s="160"/>
      <c r="CE399" s="160"/>
      <c r="CF399" s="160"/>
      <c r="CG399" s="160"/>
      <c r="CH399" s="160"/>
      <c r="CI399" s="160"/>
      <c r="CJ399" s="160"/>
      <c r="CK399" s="160"/>
      <c r="CL399" s="160"/>
    </row>
    <row r="400">
      <c r="A400" s="174" t="s">
        <v>725</v>
      </c>
      <c r="B400" s="11" t="s">
        <v>726</v>
      </c>
      <c r="C400" s="175" t="s">
        <v>85</v>
      </c>
      <c r="D400" s="176" t="str">
        <f>IFERROR(VLOOKUP(C400, PIC!A:B, 2, 0), "")</f>
        <v>Van Nguyen</v>
      </c>
      <c r="E400" s="11" t="s">
        <v>23</v>
      </c>
      <c r="F400" s="16" t="s">
        <v>861</v>
      </c>
      <c r="G400" s="16" t="s">
        <v>868</v>
      </c>
      <c r="H400" s="170">
        <f>IFERROR(
  MINIFS(ATTENDANCE_LOG!$F:$F,
         ATTENDANCE_LOG!$A:$A, C400,
         ATTENDANCE_LOG!$B:$B, E400),
"")</f>
        <v>45910.54167</v>
      </c>
      <c r="I400" s="170">
        <f t="shared" si="2"/>
        <v>45765.41667</v>
      </c>
      <c r="J400" s="11">
        <f>IFERROR(VLOOKUP(F400, LEVEL_HELPER!$A:$B, 2, 0), "")</f>
        <v>3.5</v>
      </c>
      <c r="K400" s="11">
        <f>IFERROR(VLOOKUP(G400, LEVEL_HELPER!$A:$B, 2, 0), "")</f>
        <v>5</v>
      </c>
      <c r="L400" s="171" t="s">
        <v>400</v>
      </c>
      <c r="M400" s="171" t="s">
        <v>151</v>
      </c>
      <c r="N400" s="11">
        <f t="array" ref="N400">IFERROR(
  INDEX($J$2:$J$531,
    MATCH(A400&amp;TEXT(I400,"yyyy-mm-dd"),
          $A$2:$A$531&amp;TEXT($H$2:$H$531,"yyyy-mm-dd"),
          0)),
"")</f>
        <v>1</v>
      </c>
      <c r="O400" s="160">
        <f t="shared" si="3"/>
        <v>5</v>
      </c>
      <c r="P400" s="160">
        <f t="shared" ref="P400:Q400" si="410">IF(N400="",0,IF(N400&lt;=2,1,IF(N400&lt;=4,2,IF(N400&lt;=5.5,3,4))))</f>
        <v>1</v>
      </c>
      <c r="Q400" s="160">
        <f t="shared" si="410"/>
        <v>3</v>
      </c>
      <c r="R400" s="160" t="str">
        <f t="shared" si="5"/>
        <v>Lv1 → Lv3 (multi)</v>
      </c>
      <c r="S400" s="160">
        <f t="shared" si="6"/>
        <v>0</v>
      </c>
      <c r="T400" s="187" t="s">
        <v>1045</v>
      </c>
      <c r="U400" s="160">
        <f>COUNTIFS(sheet2!$A:$A,A400,sheet2!$E:$E,E400)</f>
        <v>1</v>
      </c>
      <c r="V400" s="160"/>
      <c r="W400" s="160"/>
      <c r="X400" s="160"/>
      <c r="Y400" s="160"/>
      <c r="Z400" s="160"/>
      <c r="AA400" s="160"/>
      <c r="AB400" s="160"/>
      <c r="AC400" s="160"/>
      <c r="AD400" s="160"/>
      <c r="AE400" s="160"/>
      <c r="AF400" s="160"/>
      <c r="AG400" s="160"/>
      <c r="AH400" s="160"/>
      <c r="AI400" s="160"/>
      <c r="AJ400" s="160"/>
      <c r="AK400" s="160"/>
      <c r="AL400" s="160"/>
      <c r="AM400" s="160"/>
      <c r="AN400" s="164"/>
      <c r="AO400" s="160"/>
      <c r="AP400" s="160"/>
      <c r="AQ400" s="160"/>
      <c r="AR400" s="160"/>
      <c r="AS400" s="160"/>
      <c r="AT400" s="160"/>
      <c r="AU400" s="160"/>
      <c r="AV400" s="160"/>
      <c r="AW400" s="160"/>
      <c r="AX400" s="160"/>
      <c r="AY400" s="160"/>
      <c r="AZ400" s="160"/>
      <c r="BA400" s="160"/>
      <c r="BB400" s="160"/>
      <c r="BC400" s="160"/>
      <c r="BD400" s="160"/>
      <c r="BE400" s="160"/>
      <c r="BF400" s="160"/>
      <c r="BG400" s="160"/>
      <c r="BH400" s="160"/>
      <c r="BI400" s="160"/>
      <c r="BJ400" s="160"/>
      <c r="BK400" s="160"/>
      <c r="BL400" s="160"/>
      <c r="BM400" s="160"/>
      <c r="BN400" s="160"/>
      <c r="BO400" s="160"/>
      <c r="BP400" s="160"/>
      <c r="BQ400" s="160"/>
      <c r="BR400" s="160"/>
      <c r="BS400" s="160"/>
      <c r="BT400" s="160"/>
      <c r="BU400" s="160"/>
      <c r="BV400" s="160"/>
      <c r="BW400" s="160"/>
      <c r="BX400" s="160"/>
      <c r="BY400" s="160"/>
      <c r="BZ400" s="160"/>
      <c r="CA400" s="160"/>
      <c r="CB400" s="160"/>
      <c r="CC400" s="160"/>
      <c r="CD400" s="160"/>
      <c r="CE400" s="160"/>
      <c r="CF400" s="160"/>
      <c r="CG400" s="160"/>
      <c r="CH400" s="160"/>
      <c r="CI400" s="160"/>
      <c r="CJ400" s="160"/>
      <c r="CK400" s="160"/>
      <c r="CL400" s="160"/>
    </row>
    <row r="401">
      <c r="A401" s="174" t="s">
        <v>739</v>
      </c>
      <c r="B401" s="11" t="s">
        <v>740</v>
      </c>
      <c r="C401" s="175" t="s">
        <v>85</v>
      </c>
      <c r="D401" s="176" t="str">
        <f>IFERROR(VLOOKUP(C401, PIC!A:B, 2, 0), "")</f>
        <v>Van Nguyen</v>
      </c>
      <c r="E401" s="11" t="s">
        <v>23</v>
      </c>
      <c r="F401" s="16" t="s">
        <v>861</v>
      </c>
      <c r="G401" s="16" t="s">
        <v>868</v>
      </c>
      <c r="H401" s="170">
        <f>IFERROR(
  MINIFS(ATTENDANCE_LOG!$F:$F,
         ATTENDANCE_LOG!$A:$A, C401,
         ATTENDANCE_LOG!$B:$B, E401),
"")</f>
        <v>45910.54167</v>
      </c>
      <c r="I401" s="170">
        <f t="shared" si="2"/>
        <v>45764.45833</v>
      </c>
      <c r="J401" s="11">
        <f>IFERROR(VLOOKUP(F401, LEVEL_HELPER!$A:$B, 2, 0), "")</f>
        <v>3.5</v>
      </c>
      <c r="K401" s="11">
        <f>IFERROR(VLOOKUP(G401, LEVEL_HELPER!$A:$B, 2, 0), "")</f>
        <v>5</v>
      </c>
      <c r="L401" s="171" t="s">
        <v>1067</v>
      </c>
      <c r="M401" s="171" t="s">
        <v>151</v>
      </c>
      <c r="N401" s="11">
        <f t="array" ref="N401">IFERROR(
  INDEX($J$2:$J$531,
    MATCH(A401&amp;TEXT(I401,"yyyy-mm-dd"),
          $A$2:$A$531&amp;TEXT($H$2:$H$531,"yyyy-mm-dd"),
          0)),
"")</f>
        <v>0</v>
      </c>
      <c r="O401" s="160">
        <f t="shared" si="3"/>
        <v>5</v>
      </c>
      <c r="P401" s="160">
        <f t="shared" ref="P401:Q401" si="411">IF(N401="",0,IF(N401&lt;=2,1,IF(N401&lt;=4,2,IF(N401&lt;=5.5,3,4))))</f>
        <v>1</v>
      </c>
      <c r="Q401" s="160">
        <f t="shared" si="411"/>
        <v>3</v>
      </c>
      <c r="R401" s="160" t="str">
        <f t="shared" si="5"/>
        <v>Lv1 → Lv3 (multi)</v>
      </c>
      <c r="S401" s="160">
        <f t="shared" si="6"/>
        <v>0</v>
      </c>
      <c r="T401" s="187" t="s">
        <v>1072</v>
      </c>
      <c r="U401" s="160">
        <f>COUNTIFS(sheet2!$A:$A,A401,sheet2!$E:$E,E401)</f>
        <v>1</v>
      </c>
      <c r="V401" s="160"/>
      <c r="W401" s="160"/>
      <c r="X401" s="160"/>
      <c r="Y401" s="160"/>
      <c r="Z401" s="160"/>
      <c r="AA401" s="160"/>
      <c r="AB401" s="160"/>
      <c r="AC401" s="160"/>
      <c r="AD401" s="160"/>
      <c r="AE401" s="160"/>
      <c r="AF401" s="160"/>
      <c r="AG401" s="160"/>
      <c r="AH401" s="160"/>
      <c r="AI401" s="160"/>
      <c r="AJ401" s="160"/>
      <c r="AK401" s="160"/>
      <c r="AL401" s="160"/>
      <c r="AM401" s="160"/>
      <c r="AN401" s="164"/>
      <c r="AO401" s="160"/>
      <c r="AP401" s="160"/>
      <c r="AQ401" s="160"/>
      <c r="AR401" s="160"/>
      <c r="AS401" s="160"/>
      <c r="AT401" s="160"/>
      <c r="AU401" s="160"/>
      <c r="AV401" s="160"/>
      <c r="AW401" s="160"/>
      <c r="AX401" s="160"/>
      <c r="AY401" s="160"/>
      <c r="AZ401" s="160"/>
      <c r="BA401" s="160"/>
      <c r="BB401" s="160"/>
      <c r="BC401" s="160"/>
      <c r="BD401" s="160"/>
      <c r="BE401" s="160"/>
      <c r="BF401" s="160"/>
      <c r="BG401" s="160"/>
      <c r="BH401" s="160"/>
      <c r="BI401" s="160"/>
      <c r="BJ401" s="160"/>
      <c r="BK401" s="160"/>
      <c r="BL401" s="160"/>
      <c r="BM401" s="160"/>
      <c r="BN401" s="160"/>
      <c r="BO401" s="160"/>
      <c r="BP401" s="160"/>
      <c r="BQ401" s="160"/>
      <c r="BR401" s="160"/>
      <c r="BS401" s="160"/>
      <c r="BT401" s="160"/>
      <c r="BU401" s="160"/>
      <c r="BV401" s="160"/>
      <c r="BW401" s="160"/>
      <c r="BX401" s="160"/>
      <c r="BY401" s="160"/>
      <c r="BZ401" s="160"/>
      <c r="CA401" s="160"/>
      <c r="CB401" s="160"/>
      <c r="CC401" s="160"/>
      <c r="CD401" s="160"/>
      <c r="CE401" s="160"/>
      <c r="CF401" s="160"/>
      <c r="CG401" s="160"/>
      <c r="CH401" s="160"/>
      <c r="CI401" s="160"/>
      <c r="CJ401" s="160"/>
      <c r="CK401" s="160"/>
      <c r="CL401" s="160"/>
    </row>
    <row r="402">
      <c r="A402" s="166" t="s">
        <v>544</v>
      </c>
      <c r="B402" s="167" t="s">
        <v>545</v>
      </c>
      <c r="C402" s="168" t="s">
        <v>86</v>
      </c>
      <c r="D402" s="169" t="str">
        <f>IFERROR(VLOOKUP(C402, PIC!A:B, 2, 0), "")</f>
        <v>Quan Nguyen</v>
      </c>
      <c r="E402" s="167" t="s">
        <v>26</v>
      </c>
      <c r="F402" s="200" t="s">
        <v>26</v>
      </c>
      <c r="G402" s="200" t="s">
        <v>849</v>
      </c>
      <c r="H402" s="170">
        <f>IFERROR(
  MINIFS(ATTENDANCE_LOG!$F:$F,
         ATTENDANCE_LOG!$A:$A, C402,
         ATTENDANCE_LOG!$B:$B, E402),
"")</f>
        <v>45805.375</v>
      </c>
      <c r="I402" s="170">
        <f t="shared" si="2"/>
        <v>45805.375</v>
      </c>
      <c r="J402" s="167">
        <f>IFERROR(VLOOKUP(F402, LEVEL_HELPER!$A:$B, 2, 0), "")</f>
        <v>0.5</v>
      </c>
      <c r="K402" s="167">
        <f>IFERROR(VLOOKUP(G402, LEVEL_HELPER!$A:$B, 2, 0), "")</f>
        <v>1</v>
      </c>
      <c r="L402" s="205" t="s">
        <v>400</v>
      </c>
      <c r="M402" s="205" t="s">
        <v>151</v>
      </c>
      <c r="N402" s="11">
        <f t="array" ref="N402">IFERROR(
  INDEX($J$2:$J$531,
    MATCH(A402&amp;TEXT(I402,"yyyy-mm-dd"),
          $A$2:$A$531&amp;TEXT($H$2:$H$531,"yyyy-mm-dd"),
          0)),
"")</f>
        <v>0.5</v>
      </c>
      <c r="O402" s="206">
        <f t="shared" si="3"/>
        <v>3</v>
      </c>
      <c r="P402" s="160">
        <f t="shared" ref="P402:Q402" si="412">IF(N402="",0,IF(N402&lt;=2,1,IF(N402&lt;=4,2,IF(N402&lt;=5.5,3,4))))</f>
        <v>1</v>
      </c>
      <c r="Q402" s="160">
        <f t="shared" si="412"/>
        <v>2</v>
      </c>
      <c r="R402" s="160" t="str">
        <f t="shared" si="5"/>
        <v>Lv1 → Lv2</v>
      </c>
      <c r="S402" s="160">
        <f t="shared" si="6"/>
        <v>1</v>
      </c>
      <c r="T402" s="172" t="s">
        <v>1074</v>
      </c>
      <c r="U402" s="160">
        <f>COUNTIFS(sheet2!$A:$A,A402,sheet2!$E:$E,E402)</f>
        <v>1</v>
      </c>
      <c r="V402" s="160"/>
      <c r="W402" s="160"/>
      <c r="X402" s="160"/>
      <c r="Y402" s="160"/>
      <c r="Z402" s="160"/>
      <c r="AA402" s="160"/>
      <c r="AB402" s="160"/>
      <c r="AC402" s="160"/>
      <c r="AD402" s="160"/>
      <c r="AE402" s="160"/>
      <c r="AF402" s="160"/>
      <c r="AG402" s="160"/>
      <c r="AH402" s="160"/>
      <c r="AI402" s="160"/>
      <c r="AJ402" s="160"/>
      <c r="AK402" s="160"/>
      <c r="AL402" s="160"/>
      <c r="AM402" s="160"/>
      <c r="AN402" s="164"/>
      <c r="AO402" s="160"/>
      <c r="AP402" s="160"/>
      <c r="AQ402" s="160"/>
      <c r="AR402" s="160"/>
      <c r="AS402" s="160"/>
      <c r="AT402" s="160"/>
      <c r="AU402" s="160"/>
      <c r="AV402" s="160"/>
      <c r="AW402" s="160"/>
      <c r="AX402" s="160"/>
      <c r="AY402" s="160"/>
      <c r="AZ402" s="160"/>
      <c r="BA402" s="160"/>
      <c r="BB402" s="160"/>
      <c r="BC402" s="160"/>
      <c r="BD402" s="160"/>
      <c r="BE402" s="160"/>
      <c r="BF402" s="160"/>
      <c r="BG402" s="160"/>
      <c r="BH402" s="160"/>
      <c r="BI402" s="160"/>
      <c r="BJ402" s="160"/>
      <c r="BK402" s="160"/>
      <c r="BL402" s="160"/>
      <c r="BM402" s="160"/>
      <c r="BN402" s="160"/>
      <c r="BO402" s="160"/>
      <c r="BP402" s="160"/>
      <c r="BQ402" s="160"/>
      <c r="BR402" s="160"/>
      <c r="BS402" s="160"/>
      <c r="BT402" s="160"/>
      <c r="BU402" s="160"/>
      <c r="BV402" s="160"/>
      <c r="BW402" s="160"/>
      <c r="BX402" s="160"/>
      <c r="BY402" s="160"/>
      <c r="BZ402" s="160"/>
      <c r="CA402" s="160"/>
      <c r="CB402" s="160"/>
      <c r="CC402" s="160"/>
      <c r="CD402" s="160"/>
      <c r="CE402" s="160"/>
      <c r="CF402" s="160"/>
      <c r="CG402" s="160"/>
      <c r="CH402" s="160"/>
      <c r="CI402" s="160"/>
      <c r="CJ402" s="160"/>
      <c r="CK402" s="160"/>
      <c r="CL402" s="160"/>
    </row>
    <row r="403">
      <c r="A403" s="174" t="s">
        <v>382</v>
      </c>
      <c r="B403" s="11" t="s">
        <v>383</v>
      </c>
      <c r="C403" s="175" t="s">
        <v>86</v>
      </c>
      <c r="D403" s="176" t="str">
        <f>IFERROR(VLOOKUP(C403, PIC!A:B, 2, 0), "")</f>
        <v>Quan Nguyen</v>
      </c>
      <c r="E403" s="11" t="s">
        <v>26</v>
      </c>
      <c r="F403" s="16" t="s">
        <v>26</v>
      </c>
      <c r="G403" s="16" t="s">
        <v>26</v>
      </c>
      <c r="H403" s="170">
        <f>IFERROR(
  MINIFS(ATTENDANCE_LOG!$F:$F,
         ATTENDANCE_LOG!$A:$A, C403,
         ATTENDANCE_LOG!$B:$B, E403),
"")</f>
        <v>45805.375</v>
      </c>
      <c r="I403" s="170">
        <f t="shared" si="2"/>
        <v>45805.375</v>
      </c>
      <c r="J403" s="11">
        <f>IFERROR(VLOOKUP(F403, LEVEL_HELPER!$A:$B, 2, 0), "")</f>
        <v>0.5</v>
      </c>
      <c r="K403" s="11">
        <f>IFERROR(VLOOKUP(G403, LEVEL_HELPER!$A:$B, 2, 0), "")</f>
        <v>0.5</v>
      </c>
      <c r="L403" s="171" t="s">
        <v>400</v>
      </c>
      <c r="M403" s="171" t="s">
        <v>151</v>
      </c>
      <c r="N403" s="11">
        <f t="array" ref="N403">IFERROR(
  INDEX($J$2:$J$531,
    MATCH(A403&amp;TEXT(I403,"yyyy-mm-dd"),
          $A$2:$A$531&amp;TEXT($H$2:$H$531,"yyyy-mm-dd"),
          0)),
"")</f>
        <v>0.5</v>
      </c>
      <c r="O403" s="160">
        <f t="shared" si="3"/>
        <v>0.5</v>
      </c>
      <c r="P403" s="160">
        <f t="shared" ref="P403:Q403" si="413">IF(N403="",0,IF(N403&lt;=2,1,IF(N403&lt;=4,2,IF(N403&lt;=5.5,3,4))))</f>
        <v>1</v>
      </c>
      <c r="Q403" s="160">
        <f t="shared" si="413"/>
        <v>1</v>
      </c>
      <c r="R403" s="160" t="str">
        <f t="shared" si="5"/>
        <v>No Progress</v>
      </c>
      <c r="S403" s="160">
        <f t="shared" si="6"/>
        <v>1</v>
      </c>
      <c r="T403" s="177" t="s">
        <v>1075</v>
      </c>
      <c r="U403" s="160">
        <f>COUNTIFS(sheet2!$A:$A,A403,sheet2!$E:$E,E403)</f>
        <v>2</v>
      </c>
      <c r="V403" s="160"/>
      <c r="W403" s="160"/>
      <c r="X403" s="160"/>
      <c r="Y403" s="160"/>
      <c r="Z403" s="160"/>
      <c r="AA403" s="160"/>
      <c r="AB403" s="160"/>
      <c r="AC403" s="160"/>
      <c r="AD403" s="160"/>
      <c r="AE403" s="160"/>
      <c r="AF403" s="160"/>
      <c r="AG403" s="160"/>
      <c r="AH403" s="160"/>
      <c r="AI403" s="160"/>
      <c r="AJ403" s="160"/>
      <c r="AK403" s="160"/>
      <c r="AL403" s="160"/>
      <c r="AM403" s="160"/>
      <c r="AN403" s="164"/>
      <c r="AO403" s="160"/>
      <c r="AP403" s="160"/>
      <c r="AQ403" s="160"/>
      <c r="AR403" s="160"/>
      <c r="AS403" s="160"/>
      <c r="AT403" s="160"/>
      <c r="AU403" s="160"/>
      <c r="AV403" s="160"/>
      <c r="AW403" s="160"/>
      <c r="AX403" s="160"/>
      <c r="AY403" s="160"/>
      <c r="AZ403" s="160"/>
      <c r="BA403" s="160"/>
      <c r="BB403" s="160"/>
      <c r="BC403" s="160"/>
      <c r="BD403" s="160"/>
      <c r="BE403" s="160"/>
      <c r="BF403" s="160"/>
      <c r="BG403" s="160"/>
      <c r="BH403" s="160"/>
      <c r="BI403" s="160"/>
      <c r="BJ403" s="160"/>
      <c r="BK403" s="160"/>
      <c r="BL403" s="160"/>
      <c r="BM403" s="160"/>
      <c r="BN403" s="160"/>
      <c r="BO403" s="160"/>
      <c r="BP403" s="160"/>
      <c r="BQ403" s="160"/>
      <c r="BR403" s="160"/>
      <c r="BS403" s="160"/>
      <c r="BT403" s="160"/>
      <c r="BU403" s="160"/>
      <c r="BV403" s="160"/>
      <c r="BW403" s="160"/>
      <c r="BX403" s="160"/>
      <c r="BY403" s="160"/>
      <c r="BZ403" s="160"/>
      <c r="CA403" s="160"/>
      <c r="CB403" s="160"/>
      <c r="CC403" s="160"/>
      <c r="CD403" s="160"/>
      <c r="CE403" s="160"/>
      <c r="CF403" s="160"/>
      <c r="CG403" s="160"/>
      <c r="CH403" s="160"/>
      <c r="CI403" s="160"/>
      <c r="CJ403" s="160"/>
      <c r="CK403" s="160"/>
      <c r="CL403" s="160"/>
    </row>
    <row r="404">
      <c r="A404" s="174" t="s">
        <v>553</v>
      </c>
      <c r="B404" s="11" t="s">
        <v>554</v>
      </c>
      <c r="C404" s="175" t="s">
        <v>86</v>
      </c>
      <c r="D404" s="176" t="str">
        <f>IFERROR(VLOOKUP(C404, PIC!A:B, 2, 0), "")</f>
        <v>Quan Nguyen</v>
      </c>
      <c r="E404" s="11" t="s">
        <v>26</v>
      </c>
      <c r="F404" s="16" t="s">
        <v>26</v>
      </c>
      <c r="G404" s="16" t="s">
        <v>26</v>
      </c>
      <c r="H404" s="170">
        <f>IFERROR(
  MINIFS(ATTENDANCE_LOG!$F:$F,
         ATTENDANCE_LOG!$A:$A, C404,
         ATTENDANCE_LOG!$B:$B, E404),
"")</f>
        <v>45805.375</v>
      </c>
      <c r="I404" s="170">
        <f t="shared" si="2"/>
        <v>45805.375</v>
      </c>
      <c r="J404" s="11">
        <f>IFERROR(VLOOKUP(F404, LEVEL_HELPER!$A:$B, 2, 0), "")</f>
        <v>0.5</v>
      </c>
      <c r="K404" s="11">
        <f>IFERROR(VLOOKUP(G404, LEVEL_HELPER!$A:$B, 2, 0), "")</f>
        <v>0.5</v>
      </c>
      <c r="L404" s="171" t="s">
        <v>400</v>
      </c>
      <c r="M404" s="171" t="s">
        <v>151</v>
      </c>
      <c r="N404" s="11">
        <f t="array" ref="N404">IFERROR(
  INDEX($J$2:$J$531,
    MATCH(A404&amp;TEXT(I404,"yyyy-mm-dd"),
          $A$2:$A$531&amp;TEXT($H$2:$H$531,"yyyy-mm-dd"),
          0)),
"")</f>
        <v>0.5</v>
      </c>
      <c r="O404" s="160">
        <f t="shared" si="3"/>
        <v>1.5</v>
      </c>
      <c r="P404" s="160">
        <f t="shared" ref="P404:Q404" si="414">IF(N404="",0,IF(N404&lt;=2,1,IF(N404&lt;=4,2,IF(N404&lt;=5.5,3,4))))</f>
        <v>1</v>
      </c>
      <c r="Q404" s="160">
        <f t="shared" si="414"/>
        <v>1</v>
      </c>
      <c r="R404" s="160" t="str">
        <f t="shared" si="5"/>
        <v>Progress within level</v>
      </c>
      <c r="S404" s="160">
        <f t="shared" si="6"/>
        <v>1</v>
      </c>
      <c r="T404" s="177" t="s">
        <v>1076</v>
      </c>
      <c r="U404" s="160">
        <f>COUNTIFS(sheet2!$A:$A,A404,sheet2!$E:$E,E404)</f>
        <v>1</v>
      </c>
      <c r="V404" s="160"/>
      <c r="W404" s="160"/>
      <c r="X404" s="160"/>
      <c r="Y404" s="160"/>
      <c r="Z404" s="160"/>
      <c r="AA404" s="160"/>
      <c r="AB404" s="160"/>
      <c r="AC404" s="160"/>
      <c r="AD404" s="160"/>
      <c r="AE404" s="160"/>
      <c r="AF404" s="160"/>
      <c r="AG404" s="160"/>
      <c r="AH404" s="160"/>
      <c r="AI404" s="160"/>
      <c r="AJ404" s="160"/>
      <c r="AK404" s="160"/>
      <c r="AL404" s="160"/>
      <c r="AM404" s="160"/>
      <c r="AN404" s="164"/>
      <c r="AO404" s="160"/>
      <c r="AP404" s="160"/>
      <c r="AQ404" s="160"/>
      <c r="AR404" s="160"/>
      <c r="AS404" s="160"/>
      <c r="AT404" s="160"/>
      <c r="AU404" s="160"/>
      <c r="AV404" s="160"/>
      <c r="AW404" s="160"/>
      <c r="AX404" s="160"/>
      <c r="AY404" s="160"/>
      <c r="AZ404" s="160"/>
      <c r="BA404" s="160"/>
      <c r="BB404" s="160"/>
      <c r="BC404" s="160"/>
      <c r="BD404" s="160"/>
      <c r="BE404" s="160"/>
      <c r="BF404" s="160"/>
      <c r="BG404" s="160"/>
      <c r="BH404" s="160"/>
      <c r="BI404" s="160"/>
      <c r="BJ404" s="160"/>
      <c r="BK404" s="160"/>
      <c r="BL404" s="160"/>
      <c r="BM404" s="160"/>
      <c r="BN404" s="160"/>
      <c r="BO404" s="160"/>
      <c r="BP404" s="160"/>
      <c r="BQ404" s="160"/>
      <c r="BR404" s="160"/>
      <c r="BS404" s="160"/>
      <c r="BT404" s="160"/>
      <c r="BU404" s="160"/>
      <c r="BV404" s="160"/>
      <c r="BW404" s="160"/>
      <c r="BX404" s="160"/>
      <c r="BY404" s="160"/>
      <c r="BZ404" s="160"/>
      <c r="CA404" s="160"/>
      <c r="CB404" s="160"/>
      <c r="CC404" s="160"/>
      <c r="CD404" s="160"/>
      <c r="CE404" s="160"/>
      <c r="CF404" s="160"/>
      <c r="CG404" s="160"/>
      <c r="CH404" s="160"/>
      <c r="CI404" s="160"/>
      <c r="CJ404" s="160"/>
      <c r="CK404" s="160"/>
      <c r="CL404" s="160"/>
    </row>
    <row r="405">
      <c r="A405" s="174" t="s">
        <v>555</v>
      </c>
      <c r="B405" s="11" t="s">
        <v>556</v>
      </c>
      <c r="C405" s="175" t="s">
        <v>86</v>
      </c>
      <c r="D405" s="176" t="str">
        <f>IFERROR(VLOOKUP(C405, PIC!A:B, 2, 0), "")</f>
        <v>Quan Nguyen</v>
      </c>
      <c r="E405" s="11" t="s">
        <v>26</v>
      </c>
      <c r="F405" s="16" t="s">
        <v>26</v>
      </c>
      <c r="G405" s="16" t="s">
        <v>26</v>
      </c>
      <c r="H405" s="170">
        <f>IFERROR(
  MINIFS(ATTENDANCE_LOG!$F:$F,
         ATTENDANCE_LOG!$A:$A, C405,
         ATTENDANCE_LOG!$B:$B, E405),
"")</f>
        <v>45805.375</v>
      </c>
      <c r="I405" s="170">
        <f t="shared" si="2"/>
        <v>45805.375</v>
      </c>
      <c r="J405" s="11">
        <f>IFERROR(VLOOKUP(F405, LEVEL_HELPER!$A:$B, 2, 0), "")</f>
        <v>0.5</v>
      </c>
      <c r="K405" s="11">
        <f>IFERROR(VLOOKUP(G405, LEVEL_HELPER!$A:$B, 2, 0), "")</f>
        <v>0.5</v>
      </c>
      <c r="L405" s="171" t="s">
        <v>400</v>
      </c>
      <c r="M405" s="171" t="s">
        <v>151</v>
      </c>
      <c r="N405" s="11">
        <f t="array" ref="N405">IFERROR(
  INDEX($J$2:$J$531,
    MATCH(A405&amp;TEXT(I405,"yyyy-mm-dd"),
          $A$2:$A$531&amp;TEXT($H$2:$H$531,"yyyy-mm-dd"),
          0)),
"")</f>
        <v>0.5</v>
      </c>
      <c r="O405" s="160">
        <f t="shared" si="3"/>
        <v>0.5</v>
      </c>
      <c r="P405" s="160">
        <f t="shared" ref="P405:Q405" si="415">IF(N405="",0,IF(N405&lt;=2,1,IF(N405&lt;=4,2,IF(N405&lt;=5.5,3,4))))</f>
        <v>1</v>
      </c>
      <c r="Q405" s="160">
        <f t="shared" si="415"/>
        <v>1</v>
      </c>
      <c r="R405" s="160" t="str">
        <f t="shared" si="5"/>
        <v>No Progress</v>
      </c>
      <c r="S405" s="160">
        <f t="shared" si="6"/>
        <v>1</v>
      </c>
      <c r="T405" s="177" t="s">
        <v>1077</v>
      </c>
      <c r="U405" s="160">
        <f>COUNTIFS(sheet2!$A:$A,A405,sheet2!$E:$E,E405)</f>
        <v>1</v>
      </c>
      <c r="V405" s="160"/>
      <c r="W405" s="160"/>
      <c r="X405" s="160"/>
      <c r="Y405" s="160"/>
      <c r="Z405" s="160"/>
      <c r="AA405" s="160"/>
      <c r="AB405" s="160"/>
      <c r="AC405" s="160"/>
      <c r="AD405" s="160"/>
      <c r="AE405" s="160"/>
      <c r="AF405" s="160"/>
      <c r="AG405" s="160"/>
      <c r="AH405" s="160"/>
      <c r="AI405" s="160"/>
      <c r="AJ405" s="160"/>
      <c r="AK405" s="160"/>
      <c r="AL405" s="160"/>
      <c r="AM405" s="160"/>
      <c r="AN405" s="164"/>
      <c r="AO405" s="160"/>
      <c r="AP405" s="160"/>
      <c r="AQ405" s="160"/>
      <c r="AR405" s="160"/>
      <c r="AS405" s="160"/>
      <c r="AT405" s="160"/>
      <c r="AU405" s="160"/>
      <c r="AV405" s="160"/>
      <c r="AW405" s="160"/>
      <c r="AX405" s="160"/>
      <c r="AY405" s="160"/>
      <c r="AZ405" s="160"/>
      <c r="BA405" s="160"/>
      <c r="BB405" s="160"/>
      <c r="BC405" s="160"/>
      <c r="BD405" s="160"/>
      <c r="BE405" s="160"/>
      <c r="BF405" s="160"/>
      <c r="BG405" s="160"/>
      <c r="BH405" s="160"/>
      <c r="BI405" s="160"/>
      <c r="BJ405" s="160"/>
      <c r="BK405" s="160"/>
      <c r="BL405" s="160"/>
      <c r="BM405" s="160"/>
      <c r="BN405" s="160"/>
      <c r="BO405" s="160"/>
      <c r="BP405" s="160"/>
      <c r="BQ405" s="160"/>
      <c r="BR405" s="160"/>
      <c r="BS405" s="160"/>
      <c r="BT405" s="160"/>
      <c r="BU405" s="160"/>
      <c r="BV405" s="160"/>
      <c r="BW405" s="160"/>
      <c r="BX405" s="160"/>
      <c r="BY405" s="160"/>
      <c r="BZ405" s="160"/>
      <c r="CA405" s="160"/>
      <c r="CB405" s="160"/>
      <c r="CC405" s="160"/>
      <c r="CD405" s="160"/>
      <c r="CE405" s="160"/>
      <c r="CF405" s="160"/>
      <c r="CG405" s="160"/>
      <c r="CH405" s="160"/>
      <c r="CI405" s="160"/>
      <c r="CJ405" s="160"/>
      <c r="CK405" s="160"/>
      <c r="CL405" s="160"/>
    </row>
    <row r="406">
      <c r="A406" s="174" t="s">
        <v>546</v>
      </c>
      <c r="B406" s="11" t="s">
        <v>547</v>
      </c>
      <c r="C406" s="175" t="s">
        <v>86</v>
      </c>
      <c r="D406" s="176" t="str">
        <f>IFERROR(VLOOKUP(C406, PIC!A:B, 2, 0), "")</f>
        <v>Quan Nguyen</v>
      </c>
      <c r="E406" s="11" t="s">
        <v>26</v>
      </c>
      <c r="F406" s="16" t="s">
        <v>26</v>
      </c>
      <c r="G406" s="16" t="s">
        <v>26</v>
      </c>
      <c r="H406" s="170">
        <f>IFERROR(
  MINIFS(ATTENDANCE_LOG!$F:$F,
         ATTENDANCE_LOG!$A:$A, C406,
         ATTENDANCE_LOG!$B:$B, E406),
"")</f>
        <v>45805.375</v>
      </c>
      <c r="I406" s="170">
        <f t="shared" si="2"/>
        <v>45805.375</v>
      </c>
      <c r="J406" s="11">
        <f>IFERROR(VLOOKUP(F406, LEVEL_HELPER!$A:$B, 2, 0), "")</f>
        <v>0.5</v>
      </c>
      <c r="K406" s="11">
        <f>IFERROR(VLOOKUP(G406, LEVEL_HELPER!$A:$B, 2, 0), "")</f>
        <v>0.5</v>
      </c>
      <c r="L406" s="171" t="s">
        <v>873</v>
      </c>
      <c r="M406" s="171" t="s">
        <v>151</v>
      </c>
      <c r="N406" s="11">
        <f t="array" ref="N406">IFERROR(
  INDEX($J$2:$J$531,
    MATCH(A406&amp;TEXT(I406,"yyyy-mm-dd"),
          $A$2:$A$531&amp;TEXT($H$2:$H$531,"yyyy-mm-dd"),
          0)),
"")</f>
        <v>0.5</v>
      </c>
      <c r="O406" s="160">
        <f t="shared" si="3"/>
        <v>3</v>
      </c>
      <c r="P406" s="160">
        <f t="shared" ref="P406:Q406" si="416">IF(N406="",0,IF(N406&lt;=2,1,IF(N406&lt;=4,2,IF(N406&lt;=5.5,3,4))))</f>
        <v>1</v>
      </c>
      <c r="Q406" s="160">
        <f t="shared" si="416"/>
        <v>2</v>
      </c>
      <c r="R406" s="160" t="str">
        <f t="shared" si="5"/>
        <v>Lv1 → Lv2</v>
      </c>
      <c r="S406" s="160">
        <f t="shared" si="6"/>
        <v>1</v>
      </c>
      <c r="T406" s="177" t="s">
        <v>1078</v>
      </c>
      <c r="U406" s="160">
        <f>COUNTIFS(sheet2!$A:$A,A406,sheet2!$E:$E,E406)</f>
        <v>1</v>
      </c>
      <c r="V406" s="160"/>
      <c r="W406" s="160"/>
      <c r="X406" s="160"/>
      <c r="Y406" s="160"/>
      <c r="Z406" s="160"/>
      <c r="AA406" s="160"/>
      <c r="AB406" s="160"/>
      <c r="AC406" s="160"/>
      <c r="AD406" s="160"/>
      <c r="AE406" s="160"/>
      <c r="AF406" s="160"/>
      <c r="AG406" s="160"/>
      <c r="AH406" s="160"/>
      <c r="AI406" s="160"/>
      <c r="AJ406" s="160"/>
      <c r="AK406" s="160"/>
      <c r="AL406" s="160"/>
      <c r="AM406" s="160"/>
      <c r="AN406" s="164"/>
      <c r="AO406" s="160"/>
      <c r="AP406" s="160"/>
      <c r="AQ406" s="160"/>
      <c r="AR406" s="160"/>
      <c r="AS406" s="160"/>
      <c r="AT406" s="160"/>
      <c r="AU406" s="160"/>
      <c r="AV406" s="160"/>
      <c r="AW406" s="160"/>
      <c r="AX406" s="160"/>
      <c r="AY406" s="160"/>
      <c r="AZ406" s="160"/>
      <c r="BA406" s="160"/>
      <c r="BB406" s="160"/>
      <c r="BC406" s="160"/>
      <c r="BD406" s="160"/>
      <c r="BE406" s="160"/>
      <c r="BF406" s="160"/>
      <c r="BG406" s="160"/>
      <c r="BH406" s="160"/>
      <c r="BI406" s="160"/>
      <c r="BJ406" s="160"/>
      <c r="BK406" s="160"/>
      <c r="BL406" s="160"/>
      <c r="BM406" s="160"/>
      <c r="BN406" s="160"/>
      <c r="BO406" s="160"/>
      <c r="BP406" s="160"/>
      <c r="BQ406" s="160"/>
      <c r="BR406" s="160"/>
      <c r="BS406" s="160"/>
      <c r="BT406" s="160"/>
      <c r="BU406" s="160"/>
      <c r="BV406" s="160"/>
      <c r="BW406" s="160"/>
      <c r="BX406" s="160"/>
      <c r="BY406" s="160"/>
      <c r="BZ406" s="160"/>
      <c r="CA406" s="160"/>
      <c r="CB406" s="160"/>
      <c r="CC406" s="160"/>
      <c r="CD406" s="160"/>
      <c r="CE406" s="160"/>
      <c r="CF406" s="160"/>
      <c r="CG406" s="160"/>
      <c r="CH406" s="160"/>
      <c r="CI406" s="160"/>
      <c r="CJ406" s="160"/>
      <c r="CK406" s="160"/>
      <c r="CL406" s="160"/>
    </row>
    <row r="407">
      <c r="A407" s="174" t="s">
        <v>548</v>
      </c>
      <c r="B407" s="11" t="s">
        <v>549</v>
      </c>
      <c r="C407" s="175" t="s">
        <v>86</v>
      </c>
      <c r="D407" s="176" t="str">
        <f>IFERROR(VLOOKUP(C407, PIC!A:B, 2, 0), "")</f>
        <v>Quan Nguyen</v>
      </c>
      <c r="E407" s="11" t="s">
        <v>26</v>
      </c>
      <c r="F407" s="16" t="s">
        <v>26</v>
      </c>
      <c r="G407" s="16" t="s">
        <v>26</v>
      </c>
      <c r="H407" s="170">
        <f>IFERROR(
  MINIFS(ATTENDANCE_LOG!$F:$F,
         ATTENDANCE_LOG!$A:$A, C407,
         ATTENDANCE_LOG!$B:$B, E407),
"")</f>
        <v>45805.375</v>
      </c>
      <c r="I407" s="170">
        <f t="shared" si="2"/>
        <v>45805.375</v>
      </c>
      <c r="J407" s="11">
        <f>IFERROR(VLOOKUP(F407, LEVEL_HELPER!$A:$B, 2, 0), "")</f>
        <v>0.5</v>
      </c>
      <c r="K407" s="11">
        <f>IFERROR(VLOOKUP(G407, LEVEL_HELPER!$A:$B, 2, 0), "")</f>
        <v>0.5</v>
      </c>
      <c r="L407" s="171" t="s">
        <v>400</v>
      </c>
      <c r="M407" s="171" t="s">
        <v>151</v>
      </c>
      <c r="N407" s="11">
        <f t="array" ref="N407">IFERROR(
  INDEX($J$2:$J$531,
    MATCH(A407&amp;TEXT(I407,"yyyy-mm-dd"),
          $A$2:$A$531&amp;TEXT($H$2:$H$531,"yyyy-mm-dd"),
          0)),
"")</f>
        <v>0.5</v>
      </c>
      <c r="O407" s="160">
        <f t="shared" si="3"/>
        <v>3</v>
      </c>
      <c r="P407" s="160">
        <f t="shared" ref="P407:Q407" si="417">IF(N407="",0,IF(N407&lt;=2,1,IF(N407&lt;=4,2,IF(N407&lt;=5.5,3,4))))</f>
        <v>1</v>
      </c>
      <c r="Q407" s="160">
        <f t="shared" si="417"/>
        <v>2</v>
      </c>
      <c r="R407" s="160" t="str">
        <f t="shared" si="5"/>
        <v>Lv1 → Lv2</v>
      </c>
      <c r="S407" s="160">
        <f t="shared" si="6"/>
        <v>1</v>
      </c>
      <c r="T407" s="177" t="s">
        <v>1079</v>
      </c>
      <c r="U407" s="160">
        <f>COUNTIFS(sheet2!$A:$A,A407,sheet2!$E:$E,E407)</f>
        <v>1</v>
      </c>
      <c r="V407" s="160"/>
      <c r="W407" s="160"/>
      <c r="X407" s="160"/>
      <c r="Y407" s="160"/>
      <c r="Z407" s="160"/>
      <c r="AA407" s="160"/>
      <c r="AB407" s="160"/>
      <c r="AC407" s="160"/>
      <c r="AD407" s="160"/>
      <c r="AE407" s="160"/>
      <c r="AF407" s="160"/>
      <c r="AG407" s="160"/>
      <c r="AH407" s="160"/>
      <c r="AI407" s="160"/>
      <c r="AJ407" s="160"/>
      <c r="AK407" s="160"/>
      <c r="AL407" s="160"/>
      <c r="AM407" s="160"/>
      <c r="AN407" s="164"/>
      <c r="AO407" s="160"/>
      <c r="AP407" s="160"/>
      <c r="AQ407" s="160"/>
      <c r="AR407" s="160"/>
      <c r="AS407" s="160"/>
      <c r="AT407" s="160"/>
      <c r="AU407" s="160"/>
      <c r="AV407" s="160"/>
      <c r="AW407" s="160"/>
      <c r="AX407" s="160"/>
      <c r="AY407" s="160"/>
      <c r="AZ407" s="160"/>
      <c r="BA407" s="160"/>
      <c r="BB407" s="160"/>
      <c r="BC407" s="160"/>
      <c r="BD407" s="160"/>
      <c r="BE407" s="160"/>
      <c r="BF407" s="160"/>
      <c r="BG407" s="160"/>
      <c r="BH407" s="160"/>
      <c r="BI407" s="160"/>
      <c r="BJ407" s="160"/>
      <c r="BK407" s="160"/>
      <c r="BL407" s="160"/>
      <c r="BM407" s="160"/>
      <c r="BN407" s="160"/>
      <c r="BO407" s="160"/>
      <c r="BP407" s="160"/>
      <c r="BQ407" s="160"/>
      <c r="BR407" s="160"/>
      <c r="BS407" s="160"/>
      <c r="BT407" s="160"/>
      <c r="BU407" s="160"/>
      <c r="BV407" s="160"/>
      <c r="BW407" s="160"/>
      <c r="BX407" s="160"/>
      <c r="BY407" s="160"/>
      <c r="BZ407" s="160"/>
      <c r="CA407" s="160"/>
      <c r="CB407" s="160"/>
      <c r="CC407" s="160"/>
      <c r="CD407" s="160"/>
      <c r="CE407" s="160"/>
      <c r="CF407" s="160"/>
      <c r="CG407" s="160"/>
      <c r="CH407" s="160"/>
      <c r="CI407" s="160"/>
      <c r="CJ407" s="160"/>
      <c r="CK407" s="160"/>
      <c r="CL407" s="160"/>
    </row>
    <row r="408">
      <c r="A408" s="174" t="s">
        <v>557</v>
      </c>
      <c r="B408" s="11" t="s">
        <v>558</v>
      </c>
      <c r="C408" s="175" t="s">
        <v>86</v>
      </c>
      <c r="D408" s="176" t="str">
        <f>IFERROR(VLOOKUP(C408, PIC!A:B, 2, 0), "")</f>
        <v>Quan Nguyen</v>
      </c>
      <c r="E408" s="11" t="s">
        <v>26</v>
      </c>
      <c r="F408" s="16" t="s">
        <v>26</v>
      </c>
      <c r="G408" s="16" t="s">
        <v>26</v>
      </c>
      <c r="H408" s="170">
        <f>IFERROR(
  MINIFS(ATTENDANCE_LOG!$F:$F,
         ATTENDANCE_LOG!$A:$A, C408,
         ATTENDANCE_LOG!$B:$B, E408),
"")</f>
        <v>45805.375</v>
      </c>
      <c r="I408" s="170">
        <f t="shared" si="2"/>
        <v>45805.375</v>
      </c>
      <c r="J408" s="11">
        <f>IFERROR(VLOOKUP(F408, LEVEL_HELPER!$A:$B, 2, 0), "")</f>
        <v>0.5</v>
      </c>
      <c r="K408" s="11">
        <f>IFERROR(VLOOKUP(G408, LEVEL_HELPER!$A:$B, 2, 0), "")</f>
        <v>0.5</v>
      </c>
      <c r="L408" s="171" t="s">
        <v>400</v>
      </c>
      <c r="M408" s="171" t="s">
        <v>151</v>
      </c>
      <c r="N408" s="11">
        <f t="array" ref="N408">IFERROR(
  INDEX($J$2:$J$531,
    MATCH(A408&amp;TEXT(I408,"yyyy-mm-dd"),
          $A$2:$A$531&amp;TEXT($H$2:$H$531,"yyyy-mm-dd"),
          0)),
"")</f>
        <v>0.5</v>
      </c>
      <c r="O408" s="160">
        <f t="shared" si="3"/>
        <v>0.5</v>
      </c>
      <c r="P408" s="160">
        <f t="shared" ref="P408:Q408" si="418">IF(N408="",0,IF(N408&lt;=2,1,IF(N408&lt;=4,2,IF(N408&lt;=5.5,3,4))))</f>
        <v>1</v>
      </c>
      <c r="Q408" s="160">
        <f t="shared" si="418"/>
        <v>1</v>
      </c>
      <c r="R408" s="160" t="str">
        <f t="shared" si="5"/>
        <v>No Progress</v>
      </c>
      <c r="S408" s="160">
        <f t="shared" si="6"/>
        <v>1</v>
      </c>
      <c r="T408" s="177" t="s">
        <v>1080</v>
      </c>
      <c r="U408" s="160">
        <f>COUNTIFS(sheet2!$A:$A,A408,sheet2!$E:$E,E408)</f>
        <v>1</v>
      </c>
      <c r="V408" s="160"/>
      <c r="W408" s="160"/>
      <c r="X408" s="160"/>
      <c r="Y408" s="160"/>
      <c r="Z408" s="160"/>
      <c r="AA408" s="160"/>
      <c r="AB408" s="160"/>
      <c r="AC408" s="160"/>
      <c r="AD408" s="160"/>
      <c r="AE408" s="160"/>
      <c r="AF408" s="160"/>
      <c r="AG408" s="160"/>
      <c r="AH408" s="160"/>
      <c r="AI408" s="160"/>
      <c r="AJ408" s="160"/>
      <c r="AK408" s="160"/>
      <c r="AL408" s="160"/>
      <c r="AM408" s="160"/>
      <c r="AN408" s="164"/>
      <c r="AO408" s="160"/>
      <c r="AP408" s="160"/>
      <c r="AQ408" s="160"/>
      <c r="AR408" s="160"/>
      <c r="AS408" s="160"/>
      <c r="AT408" s="160"/>
      <c r="AU408" s="160"/>
      <c r="AV408" s="160"/>
      <c r="AW408" s="160"/>
      <c r="AX408" s="160"/>
      <c r="AY408" s="160"/>
      <c r="AZ408" s="160"/>
      <c r="BA408" s="160"/>
      <c r="BB408" s="160"/>
      <c r="BC408" s="160"/>
      <c r="BD408" s="160"/>
      <c r="BE408" s="160"/>
      <c r="BF408" s="160"/>
      <c r="BG408" s="160"/>
      <c r="BH408" s="160"/>
      <c r="BI408" s="160"/>
      <c r="BJ408" s="160"/>
      <c r="BK408" s="160"/>
      <c r="BL408" s="160"/>
      <c r="BM408" s="160"/>
      <c r="BN408" s="160"/>
      <c r="BO408" s="160"/>
      <c r="BP408" s="160"/>
      <c r="BQ408" s="160"/>
      <c r="BR408" s="160"/>
      <c r="BS408" s="160"/>
      <c r="BT408" s="160"/>
      <c r="BU408" s="160"/>
      <c r="BV408" s="160"/>
      <c r="BW408" s="160"/>
      <c r="BX408" s="160"/>
      <c r="BY408" s="160"/>
      <c r="BZ408" s="160"/>
      <c r="CA408" s="160"/>
      <c r="CB408" s="160"/>
      <c r="CC408" s="160"/>
      <c r="CD408" s="160"/>
      <c r="CE408" s="160"/>
      <c r="CF408" s="160"/>
      <c r="CG408" s="160"/>
      <c r="CH408" s="160"/>
      <c r="CI408" s="160"/>
      <c r="CJ408" s="160"/>
      <c r="CK408" s="160"/>
      <c r="CL408" s="160"/>
    </row>
    <row r="409">
      <c r="A409" s="174" t="s">
        <v>559</v>
      </c>
      <c r="B409" s="11" t="s">
        <v>560</v>
      </c>
      <c r="C409" s="175" t="s">
        <v>86</v>
      </c>
      <c r="D409" s="176" t="str">
        <f>IFERROR(VLOOKUP(C409, PIC!A:B, 2, 0), "")</f>
        <v>Quan Nguyen</v>
      </c>
      <c r="E409" s="11" t="s">
        <v>26</v>
      </c>
      <c r="F409" s="16" t="s">
        <v>26</v>
      </c>
      <c r="G409" s="16" t="s">
        <v>26</v>
      </c>
      <c r="H409" s="170">
        <f>IFERROR(
  MINIFS(ATTENDANCE_LOG!$F:$F,
         ATTENDANCE_LOG!$A:$A, C409,
         ATTENDANCE_LOG!$B:$B, E409),
"")</f>
        <v>45805.375</v>
      </c>
      <c r="I409" s="170">
        <f t="shared" si="2"/>
        <v>45805.375</v>
      </c>
      <c r="J409" s="11">
        <f>IFERROR(VLOOKUP(F409, LEVEL_HELPER!$A:$B, 2, 0), "")</f>
        <v>0.5</v>
      </c>
      <c r="K409" s="11">
        <f>IFERROR(VLOOKUP(G409, LEVEL_HELPER!$A:$B, 2, 0), "")</f>
        <v>0.5</v>
      </c>
      <c r="L409" s="171" t="s">
        <v>400</v>
      </c>
      <c r="M409" s="171" t="s">
        <v>151</v>
      </c>
      <c r="N409" s="11">
        <f t="array" ref="N409">IFERROR(
  INDEX($J$2:$J$531,
    MATCH(A409&amp;TEXT(I409,"yyyy-mm-dd"),
          $A$2:$A$531&amp;TEXT($H$2:$H$531,"yyyy-mm-dd"),
          0)),
"")</f>
        <v>0.5</v>
      </c>
      <c r="O409" s="160">
        <f t="shared" si="3"/>
        <v>3.5</v>
      </c>
      <c r="P409" s="160">
        <f t="shared" ref="P409:Q409" si="419">IF(N409="",0,IF(N409&lt;=2,1,IF(N409&lt;=4,2,IF(N409&lt;=5.5,3,4))))</f>
        <v>1</v>
      </c>
      <c r="Q409" s="160">
        <f t="shared" si="419"/>
        <v>2</v>
      </c>
      <c r="R409" s="160" t="str">
        <f t="shared" si="5"/>
        <v>Lv1 → Lv2</v>
      </c>
      <c r="S409" s="160">
        <f t="shared" si="6"/>
        <v>1</v>
      </c>
      <c r="T409" s="177" t="s">
        <v>1081</v>
      </c>
      <c r="U409" s="160">
        <f>COUNTIFS(sheet2!$A:$A,A409,sheet2!$E:$E,E409)</f>
        <v>1</v>
      </c>
      <c r="V409" s="160"/>
      <c r="W409" s="160"/>
      <c r="X409" s="160"/>
      <c r="Y409" s="160"/>
      <c r="Z409" s="160"/>
      <c r="AA409" s="160"/>
      <c r="AB409" s="160"/>
      <c r="AC409" s="160"/>
      <c r="AD409" s="160"/>
      <c r="AE409" s="160"/>
      <c r="AF409" s="160"/>
      <c r="AG409" s="160"/>
      <c r="AH409" s="160"/>
      <c r="AI409" s="160"/>
      <c r="AJ409" s="160"/>
      <c r="AK409" s="160"/>
      <c r="AL409" s="160"/>
      <c r="AM409" s="160"/>
      <c r="AN409" s="164"/>
      <c r="AO409" s="160"/>
      <c r="AP409" s="160"/>
      <c r="AQ409" s="160"/>
      <c r="AR409" s="160"/>
      <c r="AS409" s="160"/>
      <c r="AT409" s="160"/>
      <c r="AU409" s="160"/>
      <c r="AV409" s="160"/>
      <c r="AW409" s="160"/>
      <c r="AX409" s="160"/>
      <c r="AY409" s="160"/>
      <c r="AZ409" s="160"/>
      <c r="BA409" s="160"/>
      <c r="BB409" s="160"/>
      <c r="BC409" s="160"/>
      <c r="BD409" s="160"/>
      <c r="BE409" s="160"/>
      <c r="BF409" s="160"/>
      <c r="BG409" s="160"/>
      <c r="BH409" s="160"/>
      <c r="BI409" s="160"/>
      <c r="BJ409" s="160"/>
      <c r="BK409" s="160"/>
      <c r="BL409" s="160"/>
      <c r="BM409" s="160"/>
      <c r="BN409" s="160"/>
      <c r="BO409" s="160"/>
      <c r="BP409" s="160"/>
      <c r="BQ409" s="160"/>
      <c r="BR409" s="160"/>
      <c r="BS409" s="160"/>
      <c r="BT409" s="160"/>
      <c r="BU409" s="160"/>
      <c r="BV409" s="160"/>
      <c r="BW409" s="160"/>
      <c r="BX409" s="160"/>
      <c r="BY409" s="160"/>
      <c r="BZ409" s="160"/>
      <c r="CA409" s="160"/>
      <c r="CB409" s="160"/>
      <c r="CC409" s="160"/>
      <c r="CD409" s="160"/>
      <c r="CE409" s="160"/>
      <c r="CF409" s="160"/>
      <c r="CG409" s="160"/>
      <c r="CH409" s="160"/>
      <c r="CI409" s="160"/>
      <c r="CJ409" s="160"/>
      <c r="CK409" s="160"/>
      <c r="CL409" s="160"/>
    </row>
    <row r="410">
      <c r="A410" s="174" t="s">
        <v>551</v>
      </c>
      <c r="B410" s="11" t="s">
        <v>552</v>
      </c>
      <c r="C410" s="175" t="s">
        <v>86</v>
      </c>
      <c r="D410" s="176" t="str">
        <f>IFERROR(VLOOKUP(C410, PIC!A:B, 2, 0), "")</f>
        <v>Quan Nguyen</v>
      </c>
      <c r="E410" s="11" t="s">
        <v>26</v>
      </c>
      <c r="F410" s="16" t="s">
        <v>26</v>
      </c>
      <c r="G410" s="16" t="s">
        <v>26</v>
      </c>
      <c r="H410" s="170">
        <f>IFERROR(
  MINIFS(ATTENDANCE_LOG!$F:$F,
         ATTENDANCE_LOG!$A:$A, C410,
         ATTENDANCE_LOG!$B:$B, E410),
"")</f>
        <v>45805.375</v>
      </c>
      <c r="I410" s="170">
        <f t="shared" si="2"/>
        <v>45805.375</v>
      </c>
      <c r="J410" s="11">
        <f>IFERROR(VLOOKUP(F410, LEVEL_HELPER!$A:$B, 2, 0), "")</f>
        <v>0.5</v>
      </c>
      <c r="K410" s="11">
        <f>IFERROR(VLOOKUP(G410, LEVEL_HELPER!$A:$B, 2, 0), "")</f>
        <v>0.5</v>
      </c>
      <c r="L410" s="171" t="s">
        <v>400</v>
      </c>
      <c r="M410" s="171" t="s">
        <v>151</v>
      </c>
      <c r="N410" s="11">
        <f t="array" ref="N410">IFERROR(
  INDEX($J$2:$J$531,
    MATCH(A410&amp;TEXT(I410,"yyyy-mm-dd"),
          $A$2:$A$531&amp;TEXT($H$2:$H$531,"yyyy-mm-dd"),
          0)),
"")</f>
        <v>0.5</v>
      </c>
      <c r="O410" s="160">
        <f t="shared" si="3"/>
        <v>3.5</v>
      </c>
      <c r="P410" s="160">
        <f t="shared" ref="P410:Q410" si="420">IF(N410="",0,IF(N410&lt;=2,1,IF(N410&lt;=4,2,IF(N410&lt;=5.5,3,4))))</f>
        <v>1</v>
      </c>
      <c r="Q410" s="160">
        <f t="shared" si="420"/>
        <v>2</v>
      </c>
      <c r="R410" s="160" t="str">
        <f t="shared" si="5"/>
        <v>Lv1 → Lv2</v>
      </c>
      <c r="S410" s="160">
        <f t="shared" si="6"/>
        <v>1</v>
      </c>
      <c r="T410" s="177" t="s">
        <v>1082</v>
      </c>
      <c r="U410" s="160">
        <f>COUNTIFS(sheet2!$A:$A,A410,sheet2!$E:$E,E410)</f>
        <v>1</v>
      </c>
      <c r="V410" s="160"/>
      <c r="W410" s="160"/>
      <c r="X410" s="160"/>
      <c r="Y410" s="160"/>
      <c r="Z410" s="160"/>
      <c r="AA410" s="160"/>
      <c r="AB410" s="160"/>
      <c r="AC410" s="160"/>
      <c r="AD410" s="160"/>
      <c r="AE410" s="160"/>
      <c r="AF410" s="160"/>
      <c r="AG410" s="160"/>
      <c r="AH410" s="160"/>
      <c r="AI410" s="160"/>
      <c r="AJ410" s="160"/>
      <c r="AK410" s="160"/>
      <c r="AL410" s="160"/>
      <c r="AM410" s="160"/>
      <c r="AN410" s="164"/>
      <c r="AO410" s="160"/>
      <c r="AP410" s="160"/>
      <c r="AQ410" s="160"/>
      <c r="AR410" s="160"/>
      <c r="AS410" s="160"/>
      <c r="AT410" s="160"/>
      <c r="AU410" s="160"/>
      <c r="AV410" s="160"/>
      <c r="AW410" s="160"/>
      <c r="AX410" s="160"/>
      <c r="AY410" s="160"/>
      <c r="AZ410" s="160"/>
      <c r="BA410" s="160"/>
      <c r="BB410" s="160"/>
      <c r="BC410" s="160"/>
      <c r="BD410" s="160"/>
      <c r="BE410" s="160"/>
      <c r="BF410" s="160"/>
      <c r="BG410" s="160"/>
      <c r="BH410" s="160"/>
      <c r="BI410" s="160"/>
      <c r="BJ410" s="160"/>
      <c r="BK410" s="160"/>
      <c r="BL410" s="160"/>
      <c r="BM410" s="160"/>
      <c r="BN410" s="160"/>
      <c r="BO410" s="160"/>
      <c r="BP410" s="160"/>
      <c r="BQ410" s="160"/>
      <c r="BR410" s="160"/>
      <c r="BS410" s="160"/>
      <c r="BT410" s="160"/>
      <c r="BU410" s="160"/>
      <c r="BV410" s="160"/>
      <c r="BW410" s="160"/>
      <c r="BX410" s="160"/>
      <c r="BY410" s="160"/>
      <c r="BZ410" s="160"/>
      <c r="CA410" s="160"/>
      <c r="CB410" s="160"/>
      <c r="CC410" s="160"/>
      <c r="CD410" s="160"/>
      <c r="CE410" s="160"/>
      <c r="CF410" s="160"/>
      <c r="CG410" s="160"/>
      <c r="CH410" s="160"/>
      <c r="CI410" s="160"/>
      <c r="CJ410" s="160"/>
      <c r="CK410" s="160"/>
      <c r="CL410" s="160"/>
    </row>
    <row r="411">
      <c r="A411" s="166" t="s">
        <v>544</v>
      </c>
      <c r="B411" s="167" t="s">
        <v>545</v>
      </c>
      <c r="C411" s="168" t="s">
        <v>86</v>
      </c>
      <c r="D411" s="169" t="str">
        <f>IFERROR(VLOOKUP(C411, PIC!A:B, 2, 0), "")</f>
        <v>Quan Nguyen</v>
      </c>
      <c r="E411" s="167" t="s">
        <v>22</v>
      </c>
      <c r="F411" s="16" t="s">
        <v>849</v>
      </c>
      <c r="G411" s="16" t="s">
        <v>846</v>
      </c>
      <c r="H411" s="170">
        <f>IFERROR(
  MINIFS(ATTENDANCE_LOG!$F:$F,
         ATTENDANCE_LOG!$A:$A, C411,
         ATTENDANCE_LOG!$B:$B, E411),
"")</f>
        <v>45930.41667</v>
      </c>
      <c r="I411" s="170">
        <f t="shared" si="2"/>
        <v>45805.375</v>
      </c>
      <c r="J411" s="11">
        <f>IFERROR(VLOOKUP(F411, LEVEL_HELPER!$A:$B, 2, 0), "")</f>
        <v>1</v>
      </c>
      <c r="K411" s="11">
        <f>IFERROR(VLOOKUP(G411, LEVEL_HELPER!$A:$B, 2, 0), "")</f>
        <v>3</v>
      </c>
      <c r="L411" s="171" t="s">
        <v>400</v>
      </c>
      <c r="M411" s="171" t="s">
        <v>151</v>
      </c>
      <c r="N411" s="11">
        <f t="array" ref="N411">IFERROR(
  INDEX($J$2:$J$531,
    MATCH(A411&amp;TEXT(I411,"yyyy-mm-dd"),
          $A$2:$A$531&amp;TEXT($H$2:$H$531,"yyyy-mm-dd"),
          0)),
"")</f>
        <v>0.5</v>
      </c>
      <c r="O411" s="160">
        <f t="shared" si="3"/>
        <v>3</v>
      </c>
      <c r="P411" s="160">
        <f t="shared" ref="P411:Q411" si="421">IF(N411="",0,IF(N411&lt;=2,1,IF(N411&lt;=4,2,IF(N411&lt;=5.5,3,4))))</f>
        <v>1</v>
      </c>
      <c r="Q411" s="160">
        <f t="shared" si="421"/>
        <v>2</v>
      </c>
      <c r="R411" s="160" t="str">
        <f t="shared" si="5"/>
        <v>Lv1 → Lv2</v>
      </c>
      <c r="S411" s="160">
        <f t="shared" si="6"/>
        <v>0</v>
      </c>
      <c r="T411" s="172" t="s">
        <v>1074</v>
      </c>
      <c r="U411" s="160">
        <f>COUNTIFS(sheet2!$A:$A,A411,sheet2!$E:$E,E411)</f>
        <v>1</v>
      </c>
      <c r="V411" s="160"/>
      <c r="W411" s="160"/>
      <c r="X411" s="160"/>
      <c r="Y411" s="160"/>
      <c r="Z411" s="160"/>
      <c r="AA411" s="160"/>
      <c r="AB411" s="160"/>
      <c r="AC411" s="160"/>
      <c r="AD411" s="160"/>
      <c r="AE411" s="160"/>
      <c r="AF411" s="160"/>
      <c r="AG411" s="160"/>
      <c r="AH411" s="160"/>
      <c r="AI411" s="160"/>
      <c r="AJ411" s="160"/>
      <c r="AK411" s="160"/>
      <c r="AL411" s="160"/>
      <c r="AM411" s="160"/>
      <c r="AN411" s="164"/>
      <c r="AO411" s="160"/>
      <c r="AP411" s="160"/>
      <c r="AQ411" s="160"/>
      <c r="AR411" s="160"/>
      <c r="AS411" s="160"/>
      <c r="AT411" s="160"/>
      <c r="AU411" s="160"/>
      <c r="AV411" s="160"/>
      <c r="AW411" s="160"/>
      <c r="AX411" s="160"/>
      <c r="AY411" s="160"/>
      <c r="AZ411" s="160"/>
      <c r="BA411" s="160"/>
      <c r="BB411" s="160"/>
      <c r="BC411" s="160"/>
      <c r="BD411" s="160"/>
      <c r="BE411" s="160"/>
      <c r="BF411" s="160"/>
      <c r="BG411" s="160"/>
      <c r="BH411" s="160"/>
      <c r="BI411" s="160"/>
      <c r="BJ411" s="160"/>
      <c r="BK411" s="160"/>
      <c r="BL411" s="160"/>
      <c r="BM411" s="160"/>
      <c r="BN411" s="160"/>
      <c r="BO411" s="160"/>
      <c r="BP411" s="160"/>
      <c r="BQ411" s="160"/>
      <c r="BR411" s="160"/>
      <c r="BS411" s="160"/>
      <c r="BT411" s="160"/>
      <c r="BU411" s="160"/>
      <c r="BV411" s="160"/>
      <c r="BW411" s="160"/>
      <c r="BX411" s="160"/>
      <c r="BY411" s="160"/>
      <c r="BZ411" s="160"/>
      <c r="CA411" s="160"/>
      <c r="CB411" s="160"/>
      <c r="CC411" s="160"/>
      <c r="CD411" s="160"/>
      <c r="CE411" s="160"/>
      <c r="CF411" s="160"/>
      <c r="CG411" s="160"/>
      <c r="CH411" s="160"/>
      <c r="CI411" s="160"/>
      <c r="CJ411" s="160"/>
      <c r="CK411" s="160"/>
      <c r="CL411" s="160"/>
    </row>
    <row r="412">
      <c r="A412" s="174" t="s">
        <v>553</v>
      </c>
      <c r="B412" s="11" t="s">
        <v>554</v>
      </c>
      <c r="C412" s="175" t="s">
        <v>86</v>
      </c>
      <c r="D412" s="176" t="str">
        <f>IFERROR(VLOOKUP(C412, PIC!A:B, 2, 0), "")</f>
        <v>Quan Nguyen</v>
      </c>
      <c r="E412" s="11" t="s">
        <v>22</v>
      </c>
      <c r="F412" s="16" t="s">
        <v>849</v>
      </c>
      <c r="G412" s="16" t="s">
        <v>853</v>
      </c>
      <c r="H412" s="170">
        <f>IFERROR(
  MINIFS(ATTENDANCE_LOG!$F:$F,
         ATTENDANCE_LOG!$A:$A, C412,
         ATTENDANCE_LOG!$B:$B, E412),
"")</f>
        <v>45930.41667</v>
      </c>
      <c r="I412" s="170">
        <f t="shared" si="2"/>
        <v>45805.375</v>
      </c>
      <c r="J412" s="11">
        <f>IFERROR(VLOOKUP(F412, LEVEL_HELPER!$A:$B, 2, 0), "")</f>
        <v>1</v>
      </c>
      <c r="K412" s="11">
        <f>IFERROR(VLOOKUP(G412, LEVEL_HELPER!$A:$B, 2, 0), "")</f>
        <v>1.5</v>
      </c>
      <c r="L412" s="171" t="s">
        <v>400</v>
      </c>
      <c r="M412" s="171" t="s">
        <v>151</v>
      </c>
      <c r="N412" s="11">
        <f t="array" ref="N412">IFERROR(
  INDEX($J$2:$J$531,
    MATCH(A412&amp;TEXT(I412,"yyyy-mm-dd"),
          $A$2:$A$531&amp;TEXT($H$2:$H$531,"yyyy-mm-dd"),
          0)),
"")</f>
        <v>0.5</v>
      </c>
      <c r="O412" s="160">
        <f t="shared" si="3"/>
        <v>1.5</v>
      </c>
      <c r="P412" s="160">
        <f t="shared" ref="P412:Q412" si="422">IF(N412="",0,IF(N412&lt;=2,1,IF(N412&lt;=4,2,IF(N412&lt;=5.5,3,4))))</f>
        <v>1</v>
      </c>
      <c r="Q412" s="160">
        <f t="shared" si="422"/>
        <v>1</v>
      </c>
      <c r="R412" s="160" t="str">
        <f t="shared" si="5"/>
        <v>Progress within level</v>
      </c>
      <c r="S412" s="160">
        <f t="shared" si="6"/>
        <v>0</v>
      </c>
      <c r="T412" s="177" t="s">
        <v>1076</v>
      </c>
      <c r="U412" s="160">
        <f>COUNTIFS(sheet2!$A:$A,A412,sheet2!$E:$E,E412)</f>
        <v>1</v>
      </c>
      <c r="V412" s="160"/>
      <c r="W412" s="160"/>
      <c r="X412" s="160"/>
      <c r="Y412" s="160"/>
      <c r="Z412" s="160"/>
      <c r="AA412" s="160"/>
      <c r="AB412" s="160"/>
      <c r="AC412" s="160"/>
      <c r="AD412" s="160"/>
      <c r="AE412" s="160"/>
      <c r="AF412" s="160"/>
      <c r="AG412" s="160"/>
      <c r="AH412" s="160"/>
      <c r="AI412" s="160"/>
      <c r="AJ412" s="160"/>
      <c r="AK412" s="160"/>
      <c r="AL412" s="160"/>
      <c r="AM412" s="160"/>
      <c r="AN412" s="164"/>
      <c r="AO412" s="160"/>
      <c r="AP412" s="160"/>
      <c r="AQ412" s="160"/>
      <c r="AR412" s="160"/>
      <c r="AS412" s="160"/>
      <c r="AT412" s="160"/>
      <c r="AU412" s="160"/>
      <c r="AV412" s="160"/>
      <c r="AW412" s="160"/>
      <c r="AX412" s="160"/>
      <c r="AY412" s="160"/>
      <c r="AZ412" s="160"/>
      <c r="BA412" s="160"/>
      <c r="BB412" s="160"/>
      <c r="BC412" s="160"/>
      <c r="BD412" s="160"/>
      <c r="BE412" s="160"/>
      <c r="BF412" s="160"/>
      <c r="BG412" s="160"/>
      <c r="BH412" s="160"/>
      <c r="BI412" s="160"/>
      <c r="BJ412" s="160"/>
      <c r="BK412" s="160"/>
      <c r="BL412" s="160"/>
      <c r="BM412" s="160"/>
      <c r="BN412" s="160"/>
      <c r="BO412" s="160"/>
      <c r="BP412" s="160"/>
      <c r="BQ412" s="160"/>
      <c r="BR412" s="160"/>
      <c r="BS412" s="160"/>
      <c r="BT412" s="160"/>
      <c r="BU412" s="160"/>
      <c r="BV412" s="160"/>
      <c r="BW412" s="160"/>
      <c r="BX412" s="160"/>
      <c r="BY412" s="160"/>
      <c r="BZ412" s="160"/>
      <c r="CA412" s="160"/>
      <c r="CB412" s="160"/>
      <c r="CC412" s="160"/>
      <c r="CD412" s="160"/>
      <c r="CE412" s="160"/>
      <c r="CF412" s="160"/>
      <c r="CG412" s="160"/>
      <c r="CH412" s="160"/>
      <c r="CI412" s="160"/>
      <c r="CJ412" s="160"/>
      <c r="CK412" s="160"/>
      <c r="CL412" s="160"/>
    </row>
    <row r="413">
      <c r="A413" s="174" t="s">
        <v>555</v>
      </c>
      <c r="B413" s="11" t="s">
        <v>556</v>
      </c>
      <c r="C413" s="175" t="s">
        <v>86</v>
      </c>
      <c r="D413" s="176" t="str">
        <f>IFERROR(VLOOKUP(C413, PIC!A:B, 2, 0), "")</f>
        <v>Quan Nguyen</v>
      </c>
      <c r="E413" s="11" t="s">
        <v>22</v>
      </c>
      <c r="F413" s="11"/>
      <c r="G413" s="11"/>
      <c r="H413" s="170">
        <f>IFERROR(
  MINIFS(ATTENDANCE_LOG!$F:$F,
         ATTENDANCE_LOG!$A:$A, C413,
         ATTENDANCE_LOG!$B:$B, E413),
"")</f>
        <v>45930.41667</v>
      </c>
      <c r="I413" s="170">
        <f t="shared" si="2"/>
        <v>45805.375</v>
      </c>
      <c r="J413" s="11" t="str">
        <f>IFERROR(VLOOKUP(F413, LEVEL_HELPER!$A:$B, 2, 0), "")</f>
        <v/>
      </c>
      <c r="K413" s="11" t="str">
        <f>IFERROR(VLOOKUP(G413, LEVEL_HELPER!$A:$B, 2, 0), "")</f>
        <v/>
      </c>
      <c r="L413" s="171" t="s">
        <v>400</v>
      </c>
      <c r="M413" s="171" t="s">
        <v>151</v>
      </c>
      <c r="N413" s="11">
        <f t="array" ref="N413">IFERROR(
  INDEX($J$2:$J$531,
    MATCH(A413&amp;TEXT(I413,"yyyy-mm-dd"),
          $A$2:$A$531&amp;TEXT($H$2:$H$531,"yyyy-mm-dd"),
          0)),
"")</f>
        <v>0.5</v>
      </c>
      <c r="O413" s="160">
        <f t="shared" si="3"/>
        <v>0.5</v>
      </c>
      <c r="P413" s="160">
        <f t="shared" ref="P413:Q413" si="423">IF(N413="",0,IF(N413&lt;=2,1,IF(N413&lt;=4,2,IF(N413&lt;=5.5,3,4))))</f>
        <v>1</v>
      </c>
      <c r="Q413" s="160">
        <f t="shared" si="423"/>
        <v>1</v>
      </c>
      <c r="R413" s="160" t="str">
        <f t="shared" si="5"/>
        <v>No Progress</v>
      </c>
      <c r="S413" s="160">
        <f t="shared" si="6"/>
        <v>0</v>
      </c>
      <c r="T413" s="177" t="s">
        <v>1077</v>
      </c>
      <c r="U413" s="160">
        <f>COUNTIFS(sheet2!$A:$A,A413,sheet2!$E:$E,E413)</f>
        <v>1</v>
      </c>
      <c r="V413" s="160"/>
      <c r="W413" s="160"/>
      <c r="X413" s="160"/>
      <c r="Y413" s="160"/>
      <c r="Z413" s="160"/>
      <c r="AA413" s="160"/>
      <c r="AB413" s="160"/>
      <c r="AC413" s="160"/>
      <c r="AD413" s="160"/>
      <c r="AE413" s="160"/>
      <c r="AF413" s="160"/>
      <c r="AG413" s="160"/>
      <c r="AH413" s="160"/>
      <c r="AI413" s="160"/>
      <c r="AJ413" s="160"/>
      <c r="AK413" s="160"/>
      <c r="AL413" s="160"/>
      <c r="AM413" s="160"/>
      <c r="AN413" s="164"/>
      <c r="AO413" s="160"/>
      <c r="AP413" s="160"/>
      <c r="AQ413" s="160"/>
      <c r="AR413" s="160"/>
      <c r="AS413" s="160"/>
      <c r="AT413" s="160"/>
      <c r="AU413" s="160"/>
      <c r="AV413" s="160"/>
      <c r="AW413" s="160"/>
      <c r="AX413" s="160"/>
      <c r="AY413" s="160"/>
      <c r="AZ413" s="160"/>
      <c r="BA413" s="160"/>
      <c r="BB413" s="160"/>
      <c r="BC413" s="160"/>
      <c r="BD413" s="160"/>
      <c r="BE413" s="160"/>
      <c r="BF413" s="160"/>
      <c r="BG413" s="160"/>
      <c r="BH413" s="160"/>
      <c r="BI413" s="160"/>
      <c r="BJ413" s="160"/>
      <c r="BK413" s="160"/>
      <c r="BL413" s="160"/>
      <c r="BM413" s="160"/>
      <c r="BN413" s="160"/>
      <c r="BO413" s="160"/>
      <c r="BP413" s="160"/>
      <c r="BQ413" s="160"/>
      <c r="BR413" s="160"/>
      <c r="BS413" s="160"/>
      <c r="BT413" s="160"/>
      <c r="BU413" s="160"/>
      <c r="BV413" s="160"/>
      <c r="BW413" s="160"/>
      <c r="BX413" s="160"/>
      <c r="BY413" s="160"/>
      <c r="BZ413" s="160"/>
      <c r="CA413" s="160"/>
      <c r="CB413" s="160"/>
      <c r="CC413" s="160"/>
      <c r="CD413" s="160"/>
      <c r="CE413" s="160"/>
      <c r="CF413" s="160"/>
      <c r="CG413" s="160"/>
      <c r="CH413" s="160"/>
      <c r="CI413" s="160"/>
      <c r="CJ413" s="160"/>
      <c r="CK413" s="160"/>
      <c r="CL413" s="160"/>
    </row>
    <row r="414">
      <c r="A414" s="174" t="s">
        <v>546</v>
      </c>
      <c r="B414" s="11" t="s">
        <v>547</v>
      </c>
      <c r="C414" s="175" t="s">
        <v>86</v>
      </c>
      <c r="D414" s="176" t="str">
        <f>IFERROR(VLOOKUP(C414, PIC!A:B, 2, 0), "")</f>
        <v>Quan Nguyen</v>
      </c>
      <c r="E414" s="11" t="s">
        <v>22</v>
      </c>
      <c r="F414" s="16" t="s">
        <v>849</v>
      </c>
      <c r="G414" s="16" t="s">
        <v>846</v>
      </c>
      <c r="H414" s="170">
        <f>IFERROR(
  MINIFS(ATTENDANCE_LOG!$F:$F,
         ATTENDANCE_LOG!$A:$A, C414,
         ATTENDANCE_LOG!$B:$B, E414),
"")</f>
        <v>45930.41667</v>
      </c>
      <c r="I414" s="170">
        <f t="shared" si="2"/>
        <v>45805.375</v>
      </c>
      <c r="J414" s="11">
        <f>IFERROR(VLOOKUP(F414, LEVEL_HELPER!$A:$B, 2, 0), "")</f>
        <v>1</v>
      </c>
      <c r="K414" s="11">
        <f>IFERROR(VLOOKUP(G414, LEVEL_HELPER!$A:$B, 2, 0), "")</f>
        <v>3</v>
      </c>
      <c r="L414" s="171" t="s">
        <v>873</v>
      </c>
      <c r="M414" s="171" t="s">
        <v>151</v>
      </c>
      <c r="N414" s="11">
        <f t="array" ref="N414">IFERROR(
  INDEX($J$2:$J$531,
    MATCH(A414&amp;TEXT(I414,"yyyy-mm-dd"),
          $A$2:$A$531&amp;TEXT($H$2:$H$531,"yyyy-mm-dd"),
          0)),
"")</f>
        <v>0.5</v>
      </c>
      <c r="O414" s="160">
        <f t="shared" si="3"/>
        <v>3</v>
      </c>
      <c r="P414" s="160">
        <f t="shared" ref="P414:Q414" si="424">IF(N414="",0,IF(N414&lt;=2,1,IF(N414&lt;=4,2,IF(N414&lt;=5.5,3,4))))</f>
        <v>1</v>
      </c>
      <c r="Q414" s="160">
        <f t="shared" si="424"/>
        <v>2</v>
      </c>
      <c r="R414" s="160" t="str">
        <f t="shared" si="5"/>
        <v>Lv1 → Lv2</v>
      </c>
      <c r="S414" s="160">
        <f t="shared" si="6"/>
        <v>0</v>
      </c>
      <c r="T414" s="177" t="s">
        <v>1078</v>
      </c>
      <c r="U414" s="160">
        <f>COUNTIFS(sheet2!$A:$A,A414,sheet2!$E:$E,E414)</f>
        <v>1</v>
      </c>
      <c r="V414" s="160"/>
      <c r="W414" s="160"/>
      <c r="X414" s="160"/>
      <c r="Y414" s="160"/>
      <c r="Z414" s="160"/>
      <c r="AA414" s="160"/>
      <c r="AB414" s="160"/>
      <c r="AC414" s="160"/>
      <c r="AD414" s="160"/>
      <c r="AE414" s="160"/>
      <c r="AF414" s="160"/>
      <c r="AG414" s="160"/>
      <c r="AH414" s="160"/>
      <c r="AI414" s="160"/>
      <c r="AJ414" s="160"/>
      <c r="AK414" s="160"/>
      <c r="AL414" s="160"/>
      <c r="AM414" s="160"/>
      <c r="AN414" s="164"/>
      <c r="AO414" s="160"/>
      <c r="AP414" s="160"/>
      <c r="AQ414" s="160"/>
      <c r="AR414" s="160"/>
      <c r="AS414" s="160"/>
      <c r="AT414" s="160"/>
      <c r="AU414" s="160"/>
      <c r="AV414" s="160"/>
      <c r="AW414" s="160"/>
      <c r="AX414" s="160"/>
      <c r="AY414" s="160"/>
      <c r="AZ414" s="160"/>
      <c r="BA414" s="160"/>
      <c r="BB414" s="160"/>
      <c r="BC414" s="160"/>
      <c r="BD414" s="160"/>
      <c r="BE414" s="160"/>
      <c r="BF414" s="160"/>
      <c r="BG414" s="160"/>
      <c r="BH414" s="160"/>
      <c r="BI414" s="160"/>
      <c r="BJ414" s="160"/>
      <c r="BK414" s="160"/>
      <c r="BL414" s="160"/>
      <c r="BM414" s="160"/>
      <c r="BN414" s="160"/>
      <c r="BO414" s="160"/>
      <c r="BP414" s="160"/>
      <c r="BQ414" s="160"/>
      <c r="BR414" s="160"/>
      <c r="BS414" s="160"/>
      <c r="BT414" s="160"/>
      <c r="BU414" s="160"/>
      <c r="BV414" s="160"/>
      <c r="BW414" s="160"/>
      <c r="BX414" s="160"/>
      <c r="BY414" s="160"/>
      <c r="BZ414" s="160"/>
      <c r="CA414" s="160"/>
      <c r="CB414" s="160"/>
      <c r="CC414" s="160"/>
      <c r="CD414" s="160"/>
      <c r="CE414" s="160"/>
      <c r="CF414" s="160"/>
      <c r="CG414" s="160"/>
      <c r="CH414" s="160"/>
      <c r="CI414" s="160"/>
      <c r="CJ414" s="160"/>
      <c r="CK414" s="160"/>
      <c r="CL414" s="160"/>
    </row>
    <row r="415">
      <c r="A415" s="174" t="s">
        <v>548</v>
      </c>
      <c r="B415" s="11" t="s">
        <v>549</v>
      </c>
      <c r="C415" s="175" t="s">
        <v>86</v>
      </c>
      <c r="D415" s="176" t="str">
        <f>IFERROR(VLOOKUP(C415, PIC!A:B, 2, 0), "")</f>
        <v>Quan Nguyen</v>
      </c>
      <c r="E415" s="11" t="s">
        <v>22</v>
      </c>
      <c r="F415" s="16" t="s">
        <v>849</v>
      </c>
      <c r="G415" s="16" t="s">
        <v>846</v>
      </c>
      <c r="H415" s="170">
        <f>IFERROR(
  MINIFS(ATTENDANCE_LOG!$F:$F,
         ATTENDANCE_LOG!$A:$A, C415,
         ATTENDANCE_LOG!$B:$B, E415),
"")</f>
        <v>45930.41667</v>
      </c>
      <c r="I415" s="170">
        <f t="shared" si="2"/>
        <v>45805.375</v>
      </c>
      <c r="J415" s="11">
        <f>IFERROR(VLOOKUP(F415, LEVEL_HELPER!$A:$B, 2, 0), "")</f>
        <v>1</v>
      </c>
      <c r="K415" s="11">
        <f>IFERROR(VLOOKUP(G415, LEVEL_HELPER!$A:$B, 2, 0), "")</f>
        <v>3</v>
      </c>
      <c r="L415" s="171" t="s">
        <v>400</v>
      </c>
      <c r="M415" s="171" t="s">
        <v>151</v>
      </c>
      <c r="N415" s="11">
        <f t="array" ref="N415">IFERROR(
  INDEX($J$2:$J$531,
    MATCH(A415&amp;TEXT(I415,"yyyy-mm-dd"),
          $A$2:$A$531&amp;TEXT($H$2:$H$531,"yyyy-mm-dd"),
          0)),
"")</f>
        <v>0.5</v>
      </c>
      <c r="O415" s="160">
        <f t="shared" si="3"/>
        <v>3</v>
      </c>
      <c r="P415" s="160">
        <f t="shared" ref="P415:Q415" si="425">IF(N415="",0,IF(N415&lt;=2,1,IF(N415&lt;=4,2,IF(N415&lt;=5.5,3,4))))</f>
        <v>1</v>
      </c>
      <c r="Q415" s="160">
        <f t="shared" si="425"/>
        <v>2</v>
      </c>
      <c r="R415" s="160" t="str">
        <f t="shared" si="5"/>
        <v>Lv1 → Lv2</v>
      </c>
      <c r="S415" s="160">
        <f t="shared" si="6"/>
        <v>0</v>
      </c>
      <c r="T415" s="177" t="s">
        <v>1079</v>
      </c>
      <c r="U415" s="160">
        <f>COUNTIFS(sheet2!$A:$A,A415,sheet2!$E:$E,E415)</f>
        <v>1</v>
      </c>
      <c r="V415" s="160"/>
      <c r="W415" s="160"/>
      <c r="X415" s="160"/>
      <c r="Y415" s="160"/>
      <c r="Z415" s="160"/>
      <c r="AA415" s="160"/>
      <c r="AB415" s="160"/>
      <c r="AC415" s="160"/>
      <c r="AD415" s="160"/>
      <c r="AE415" s="160"/>
      <c r="AF415" s="160"/>
      <c r="AG415" s="160"/>
      <c r="AH415" s="160"/>
      <c r="AI415" s="160"/>
      <c r="AJ415" s="160"/>
      <c r="AK415" s="160"/>
      <c r="AL415" s="160"/>
      <c r="AM415" s="160"/>
      <c r="AN415" s="164"/>
      <c r="AO415" s="160"/>
      <c r="AP415" s="160"/>
      <c r="AQ415" s="160"/>
      <c r="AR415" s="160"/>
      <c r="AS415" s="160"/>
      <c r="AT415" s="160"/>
      <c r="AU415" s="160"/>
      <c r="AV415" s="160"/>
      <c r="AW415" s="160"/>
      <c r="AX415" s="160"/>
      <c r="AY415" s="160"/>
      <c r="AZ415" s="160"/>
      <c r="BA415" s="160"/>
      <c r="BB415" s="160"/>
      <c r="BC415" s="160"/>
      <c r="BD415" s="160"/>
      <c r="BE415" s="160"/>
      <c r="BF415" s="160"/>
      <c r="BG415" s="160"/>
      <c r="BH415" s="160"/>
      <c r="BI415" s="160"/>
      <c r="BJ415" s="160"/>
      <c r="BK415" s="160"/>
      <c r="BL415" s="160"/>
      <c r="BM415" s="160"/>
      <c r="BN415" s="160"/>
      <c r="BO415" s="160"/>
      <c r="BP415" s="160"/>
      <c r="BQ415" s="160"/>
      <c r="BR415" s="160"/>
      <c r="BS415" s="160"/>
      <c r="BT415" s="160"/>
      <c r="BU415" s="160"/>
      <c r="BV415" s="160"/>
      <c r="BW415" s="160"/>
      <c r="BX415" s="160"/>
      <c r="BY415" s="160"/>
      <c r="BZ415" s="160"/>
      <c r="CA415" s="160"/>
      <c r="CB415" s="160"/>
      <c r="CC415" s="160"/>
      <c r="CD415" s="160"/>
      <c r="CE415" s="160"/>
      <c r="CF415" s="160"/>
      <c r="CG415" s="160"/>
      <c r="CH415" s="160"/>
      <c r="CI415" s="160"/>
      <c r="CJ415" s="160"/>
      <c r="CK415" s="160"/>
      <c r="CL415" s="160"/>
    </row>
    <row r="416">
      <c r="A416" s="174" t="s">
        <v>557</v>
      </c>
      <c r="B416" s="11" t="s">
        <v>558</v>
      </c>
      <c r="C416" s="175" t="s">
        <v>86</v>
      </c>
      <c r="D416" s="176" t="str">
        <f>IFERROR(VLOOKUP(C416, PIC!A:B, 2, 0), "")</f>
        <v>Quan Nguyen</v>
      </c>
      <c r="E416" s="11" t="s">
        <v>22</v>
      </c>
      <c r="F416" s="11"/>
      <c r="G416" s="11"/>
      <c r="H416" s="170">
        <f>IFERROR(
  MINIFS(ATTENDANCE_LOG!$F:$F,
         ATTENDANCE_LOG!$A:$A, C416,
         ATTENDANCE_LOG!$B:$B, E416),
"")</f>
        <v>45930.41667</v>
      </c>
      <c r="I416" s="170">
        <f t="shared" si="2"/>
        <v>45805.375</v>
      </c>
      <c r="J416" s="11" t="str">
        <f>IFERROR(VLOOKUP(F416, LEVEL_HELPER!$A:$B, 2, 0), "")</f>
        <v/>
      </c>
      <c r="K416" s="11" t="str">
        <f>IFERROR(VLOOKUP(G416, LEVEL_HELPER!$A:$B, 2, 0), "")</f>
        <v/>
      </c>
      <c r="L416" s="171" t="s">
        <v>400</v>
      </c>
      <c r="M416" s="171" t="s">
        <v>151</v>
      </c>
      <c r="N416" s="11">
        <f t="array" ref="N416">IFERROR(
  INDEX($J$2:$J$531,
    MATCH(A416&amp;TEXT(I416,"yyyy-mm-dd"),
          $A$2:$A$531&amp;TEXT($H$2:$H$531,"yyyy-mm-dd"),
          0)),
"")</f>
        <v>0.5</v>
      </c>
      <c r="O416" s="160">
        <f t="shared" si="3"/>
        <v>0.5</v>
      </c>
      <c r="P416" s="160">
        <f t="shared" ref="P416:Q416" si="426">IF(N416="",0,IF(N416&lt;=2,1,IF(N416&lt;=4,2,IF(N416&lt;=5.5,3,4))))</f>
        <v>1</v>
      </c>
      <c r="Q416" s="160">
        <f t="shared" si="426"/>
        <v>1</v>
      </c>
      <c r="R416" s="160" t="str">
        <f t="shared" si="5"/>
        <v>No Progress</v>
      </c>
      <c r="S416" s="160">
        <f t="shared" si="6"/>
        <v>0</v>
      </c>
      <c r="T416" s="177" t="s">
        <v>1080</v>
      </c>
      <c r="U416" s="160">
        <f>COUNTIFS(sheet2!$A:$A,A416,sheet2!$E:$E,E416)</f>
        <v>1</v>
      </c>
      <c r="V416" s="160"/>
      <c r="W416" s="160"/>
      <c r="X416" s="160"/>
      <c r="Y416" s="160"/>
      <c r="Z416" s="160"/>
      <c r="AA416" s="160"/>
      <c r="AB416" s="160"/>
      <c r="AC416" s="160"/>
      <c r="AD416" s="160"/>
      <c r="AE416" s="160"/>
      <c r="AF416" s="160"/>
      <c r="AG416" s="160"/>
      <c r="AH416" s="160"/>
      <c r="AI416" s="160"/>
      <c r="AJ416" s="160"/>
      <c r="AK416" s="160"/>
      <c r="AL416" s="160"/>
      <c r="AM416" s="160"/>
      <c r="AN416" s="164"/>
      <c r="AO416" s="160"/>
      <c r="AP416" s="160"/>
      <c r="AQ416" s="160"/>
      <c r="AR416" s="160"/>
      <c r="AS416" s="160"/>
      <c r="AT416" s="160"/>
      <c r="AU416" s="160"/>
      <c r="AV416" s="160"/>
      <c r="AW416" s="160"/>
      <c r="AX416" s="160"/>
      <c r="AY416" s="160"/>
      <c r="AZ416" s="160"/>
      <c r="BA416" s="160"/>
      <c r="BB416" s="160"/>
      <c r="BC416" s="160"/>
      <c r="BD416" s="160"/>
      <c r="BE416" s="160"/>
      <c r="BF416" s="160"/>
      <c r="BG416" s="160"/>
      <c r="BH416" s="160"/>
      <c r="BI416" s="160"/>
      <c r="BJ416" s="160"/>
      <c r="BK416" s="160"/>
      <c r="BL416" s="160"/>
      <c r="BM416" s="160"/>
      <c r="BN416" s="160"/>
      <c r="BO416" s="160"/>
      <c r="BP416" s="160"/>
      <c r="BQ416" s="160"/>
      <c r="BR416" s="160"/>
      <c r="BS416" s="160"/>
      <c r="BT416" s="160"/>
      <c r="BU416" s="160"/>
      <c r="BV416" s="160"/>
      <c r="BW416" s="160"/>
      <c r="BX416" s="160"/>
      <c r="BY416" s="160"/>
      <c r="BZ416" s="160"/>
      <c r="CA416" s="160"/>
      <c r="CB416" s="160"/>
      <c r="CC416" s="160"/>
      <c r="CD416" s="160"/>
      <c r="CE416" s="160"/>
      <c r="CF416" s="160"/>
      <c r="CG416" s="160"/>
      <c r="CH416" s="160"/>
      <c r="CI416" s="160"/>
      <c r="CJ416" s="160"/>
      <c r="CK416" s="160"/>
      <c r="CL416" s="160"/>
    </row>
    <row r="417">
      <c r="A417" s="174" t="s">
        <v>559</v>
      </c>
      <c r="B417" s="11" t="s">
        <v>560</v>
      </c>
      <c r="C417" s="175" t="s">
        <v>86</v>
      </c>
      <c r="D417" s="176" t="str">
        <f>IFERROR(VLOOKUP(C417, PIC!A:B, 2, 0), "")</f>
        <v>Quan Nguyen</v>
      </c>
      <c r="E417" s="11" t="s">
        <v>22</v>
      </c>
      <c r="F417" s="16" t="s">
        <v>849</v>
      </c>
      <c r="G417" s="16" t="s">
        <v>861</v>
      </c>
      <c r="H417" s="170">
        <f>IFERROR(
  MINIFS(ATTENDANCE_LOG!$F:$F,
         ATTENDANCE_LOG!$A:$A, C417,
         ATTENDANCE_LOG!$B:$B, E417),
"")</f>
        <v>45930.41667</v>
      </c>
      <c r="I417" s="170">
        <f t="shared" si="2"/>
        <v>45805.375</v>
      </c>
      <c r="J417" s="11">
        <f>IFERROR(VLOOKUP(F417, LEVEL_HELPER!$A:$B, 2, 0), "")</f>
        <v>1</v>
      </c>
      <c r="K417" s="11">
        <f>IFERROR(VLOOKUP(G417, LEVEL_HELPER!$A:$B, 2, 0), "")</f>
        <v>3.5</v>
      </c>
      <c r="L417" s="171" t="s">
        <v>400</v>
      </c>
      <c r="M417" s="171" t="s">
        <v>151</v>
      </c>
      <c r="N417" s="11">
        <f t="array" ref="N417">IFERROR(
  INDEX($J$2:$J$531,
    MATCH(A417&amp;TEXT(I417,"yyyy-mm-dd"),
          $A$2:$A$531&amp;TEXT($H$2:$H$531,"yyyy-mm-dd"),
          0)),
"")</f>
        <v>0.5</v>
      </c>
      <c r="O417" s="160">
        <f t="shared" si="3"/>
        <v>3.5</v>
      </c>
      <c r="P417" s="160">
        <f t="shared" ref="P417:Q417" si="427">IF(N417="",0,IF(N417&lt;=2,1,IF(N417&lt;=4,2,IF(N417&lt;=5.5,3,4))))</f>
        <v>1</v>
      </c>
      <c r="Q417" s="160">
        <f t="shared" si="427"/>
        <v>2</v>
      </c>
      <c r="R417" s="160" t="str">
        <f t="shared" si="5"/>
        <v>Lv1 → Lv2</v>
      </c>
      <c r="S417" s="160">
        <f t="shared" si="6"/>
        <v>0</v>
      </c>
      <c r="T417" s="177" t="s">
        <v>1081</v>
      </c>
      <c r="U417" s="160">
        <f>COUNTIFS(sheet2!$A:$A,A417,sheet2!$E:$E,E417)</f>
        <v>1</v>
      </c>
      <c r="V417" s="160"/>
      <c r="W417" s="160"/>
      <c r="X417" s="160"/>
      <c r="Y417" s="160"/>
      <c r="Z417" s="160"/>
      <c r="AA417" s="160"/>
      <c r="AB417" s="160"/>
      <c r="AC417" s="160"/>
      <c r="AD417" s="160"/>
      <c r="AE417" s="160"/>
      <c r="AF417" s="160"/>
      <c r="AG417" s="160"/>
      <c r="AH417" s="160"/>
      <c r="AI417" s="160"/>
      <c r="AJ417" s="160"/>
      <c r="AK417" s="160"/>
      <c r="AL417" s="160"/>
      <c r="AM417" s="160"/>
      <c r="AN417" s="164"/>
      <c r="AO417" s="160"/>
      <c r="AP417" s="160"/>
      <c r="AQ417" s="160"/>
      <c r="AR417" s="160"/>
      <c r="AS417" s="160"/>
      <c r="AT417" s="160"/>
      <c r="AU417" s="160"/>
      <c r="AV417" s="160"/>
      <c r="AW417" s="160"/>
      <c r="AX417" s="160"/>
      <c r="AY417" s="160"/>
      <c r="AZ417" s="160"/>
      <c r="BA417" s="160"/>
      <c r="BB417" s="160"/>
      <c r="BC417" s="160"/>
      <c r="BD417" s="160"/>
      <c r="BE417" s="160"/>
      <c r="BF417" s="160"/>
      <c r="BG417" s="160"/>
      <c r="BH417" s="160"/>
      <c r="BI417" s="160"/>
      <c r="BJ417" s="160"/>
      <c r="BK417" s="160"/>
      <c r="BL417" s="160"/>
      <c r="BM417" s="160"/>
      <c r="BN417" s="160"/>
      <c r="BO417" s="160"/>
      <c r="BP417" s="160"/>
      <c r="BQ417" s="160"/>
      <c r="BR417" s="160"/>
      <c r="BS417" s="160"/>
      <c r="BT417" s="160"/>
      <c r="BU417" s="160"/>
      <c r="BV417" s="160"/>
      <c r="BW417" s="160"/>
      <c r="BX417" s="160"/>
      <c r="BY417" s="160"/>
      <c r="BZ417" s="160"/>
      <c r="CA417" s="160"/>
      <c r="CB417" s="160"/>
      <c r="CC417" s="160"/>
      <c r="CD417" s="160"/>
      <c r="CE417" s="160"/>
      <c r="CF417" s="160"/>
      <c r="CG417" s="160"/>
      <c r="CH417" s="160"/>
      <c r="CI417" s="160"/>
      <c r="CJ417" s="160"/>
      <c r="CK417" s="160"/>
      <c r="CL417" s="160"/>
    </row>
    <row r="418">
      <c r="A418" s="174" t="s">
        <v>551</v>
      </c>
      <c r="B418" s="11" t="s">
        <v>552</v>
      </c>
      <c r="C418" s="175" t="s">
        <v>86</v>
      </c>
      <c r="D418" s="176" t="str">
        <f>IFERROR(VLOOKUP(C418, PIC!A:B, 2, 0), "")</f>
        <v>Quan Nguyen</v>
      </c>
      <c r="E418" s="11" t="s">
        <v>22</v>
      </c>
      <c r="F418" s="16" t="s">
        <v>849</v>
      </c>
      <c r="G418" s="16" t="s">
        <v>861</v>
      </c>
      <c r="H418" s="170">
        <f>IFERROR(
  MINIFS(ATTENDANCE_LOG!$F:$F,
         ATTENDANCE_LOG!$A:$A, C418,
         ATTENDANCE_LOG!$B:$B, E418),
"")</f>
        <v>45930.41667</v>
      </c>
      <c r="I418" s="170">
        <f t="shared" si="2"/>
        <v>45805.375</v>
      </c>
      <c r="J418" s="11">
        <f>IFERROR(VLOOKUP(F418, LEVEL_HELPER!$A:$B, 2, 0), "")</f>
        <v>1</v>
      </c>
      <c r="K418" s="11">
        <f>IFERROR(VLOOKUP(G418, LEVEL_HELPER!$A:$B, 2, 0), "")</f>
        <v>3.5</v>
      </c>
      <c r="L418" s="171" t="s">
        <v>400</v>
      </c>
      <c r="M418" s="171" t="s">
        <v>151</v>
      </c>
      <c r="N418" s="11">
        <f t="array" ref="N418">IFERROR(
  INDEX($J$2:$J$531,
    MATCH(A418&amp;TEXT(I418,"yyyy-mm-dd"),
          $A$2:$A$531&amp;TEXT($H$2:$H$531,"yyyy-mm-dd"),
          0)),
"")</f>
        <v>0.5</v>
      </c>
      <c r="O418" s="160">
        <f t="shared" si="3"/>
        <v>3.5</v>
      </c>
      <c r="P418" s="160">
        <f t="shared" ref="P418:Q418" si="428">IF(N418="",0,IF(N418&lt;=2,1,IF(N418&lt;=4,2,IF(N418&lt;=5.5,3,4))))</f>
        <v>1</v>
      </c>
      <c r="Q418" s="160">
        <f t="shared" si="428"/>
        <v>2</v>
      </c>
      <c r="R418" s="160" t="str">
        <f t="shared" si="5"/>
        <v>Lv1 → Lv2</v>
      </c>
      <c r="S418" s="160">
        <f t="shared" si="6"/>
        <v>0</v>
      </c>
      <c r="T418" s="177" t="s">
        <v>1082</v>
      </c>
      <c r="U418" s="160">
        <f>COUNTIFS(sheet2!$A:$A,A418,sheet2!$E:$E,E418)</f>
        <v>1</v>
      </c>
      <c r="V418" s="160"/>
      <c r="W418" s="160"/>
      <c r="X418" s="160"/>
      <c r="Y418" s="160"/>
      <c r="Z418" s="160"/>
      <c r="AA418" s="160"/>
      <c r="AB418" s="160"/>
      <c r="AC418" s="160"/>
      <c r="AD418" s="160"/>
      <c r="AE418" s="160"/>
      <c r="AF418" s="160"/>
      <c r="AG418" s="160"/>
      <c r="AH418" s="160"/>
      <c r="AI418" s="160"/>
      <c r="AJ418" s="160"/>
      <c r="AK418" s="160"/>
      <c r="AL418" s="160"/>
      <c r="AM418" s="160"/>
      <c r="AN418" s="164"/>
      <c r="AO418" s="160"/>
      <c r="AP418" s="160"/>
      <c r="AQ418" s="160"/>
      <c r="AR418" s="160"/>
      <c r="AS418" s="160"/>
      <c r="AT418" s="160"/>
      <c r="AU418" s="160"/>
      <c r="AV418" s="160"/>
      <c r="AW418" s="160"/>
      <c r="AX418" s="160"/>
      <c r="AY418" s="160"/>
      <c r="AZ418" s="160"/>
      <c r="BA418" s="160"/>
      <c r="BB418" s="160"/>
      <c r="BC418" s="160"/>
      <c r="BD418" s="160"/>
      <c r="BE418" s="160"/>
      <c r="BF418" s="160"/>
      <c r="BG418" s="160"/>
      <c r="BH418" s="160"/>
      <c r="BI418" s="160"/>
      <c r="BJ418" s="160"/>
      <c r="BK418" s="160"/>
      <c r="BL418" s="160"/>
      <c r="BM418" s="160"/>
      <c r="BN418" s="160"/>
      <c r="BO418" s="160"/>
      <c r="BP418" s="160"/>
      <c r="BQ418" s="160"/>
      <c r="BR418" s="160"/>
      <c r="BS418" s="160"/>
      <c r="BT418" s="160"/>
      <c r="BU418" s="160"/>
      <c r="BV418" s="160"/>
      <c r="BW418" s="160"/>
      <c r="BX418" s="160"/>
      <c r="BY418" s="160"/>
      <c r="BZ418" s="160"/>
      <c r="CA418" s="160"/>
      <c r="CB418" s="160"/>
      <c r="CC418" s="160"/>
      <c r="CD418" s="160"/>
      <c r="CE418" s="160"/>
      <c r="CF418" s="160"/>
      <c r="CG418" s="160"/>
      <c r="CH418" s="160"/>
      <c r="CI418" s="160"/>
      <c r="CJ418" s="160"/>
      <c r="CK418" s="160"/>
      <c r="CL418" s="160"/>
    </row>
    <row r="419">
      <c r="A419" s="166" t="s">
        <v>544</v>
      </c>
      <c r="B419" s="167" t="s">
        <v>545</v>
      </c>
      <c r="C419" s="168" t="s">
        <v>86</v>
      </c>
      <c r="D419" s="169" t="str">
        <f>IFERROR(VLOOKUP(C419, PIC!A:B, 2, 0), "")</f>
        <v>Quan Nguyen</v>
      </c>
      <c r="E419" s="167" t="s">
        <v>23</v>
      </c>
      <c r="F419" s="11"/>
      <c r="G419" s="11"/>
      <c r="H419" s="170">
        <f>IFERROR(
  MINIFS(ATTENDANCE_LOG!$F:$F,
         ATTENDANCE_LOG!$A:$A, C419,
         ATTENDANCE_LOG!$B:$B, E419),
"")</f>
        <v>46098.625</v>
      </c>
      <c r="I419" s="170">
        <f t="shared" si="2"/>
        <v>45805.375</v>
      </c>
      <c r="J419" s="11" t="str">
        <f>IFERROR(VLOOKUP(F419, LEVEL_HELPER!$A:$B, 2, 0), "")</f>
        <v/>
      </c>
      <c r="K419" s="11" t="str">
        <f>IFERROR(VLOOKUP(G419, LEVEL_HELPER!$A:$B, 2, 0), "")</f>
        <v/>
      </c>
      <c r="L419" s="171" t="s">
        <v>400</v>
      </c>
      <c r="M419" s="171" t="s">
        <v>151</v>
      </c>
      <c r="N419" s="11">
        <f t="array" ref="N419">IFERROR(
  INDEX($J$2:$J$531,
    MATCH(A419&amp;TEXT(I419,"yyyy-mm-dd"),
          $A$2:$A$531&amp;TEXT($H$2:$H$531,"yyyy-mm-dd"),
          0)),
"")</f>
        <v>0.5</v>
      </c>
      <c r="O419" s="160">
        <f t="shared" si="3"/>
        <v>3</v>
      </c>
      <c r="P419" s="160">
        <f t="shared" ref="P419:Q419" si="429">IF(N419="",0,IF(N419&lt;=2,1,IF(N419&lt;=4,2,IF(N419&lt;=5.5,3,4))))</f>
        <v>1</v>
      </c>
      <c r="Q419" s="160">
        <f t="shared" si="429"/>
        <v>2</v>
      </c>
      <c r="R419" s="160" t="str">
        <f t="shared" si="5"/>
        <v>Lv1 → Lv2</v>
      </c>
      <c r="S419" s="160">
        <f t="shared" si="6"/>
        <v>0</v>
      </c>
      <c r="T419" s="172" t="s">
        <v>1074</v>
      </c>
      <c r="U419" s="160">
        <f>COUNTIFS(sheet2!$A:$A,A419,sheet2!$E:$E,E419)</f>
        <v>1</v>
      </c>
      <c r="V419" s="160"/>
      <c r="W419" s="160"/>
      <c r="X419" s="160"/>
      <c r="Y419" s="160"/>
      <c r="Z419" s="160"/>
      <c r="AA419" s="160"/>
      <c r="AB419" s="160"/>
      <c r="AC419" s="160"/>
      <c r="AD419" s="160"/>
      <c r="AE419" s="160"/>
      <c r="AF419" s="160"/>
      <c r="AG419" s="160"/>
      <c r="AH419" s="160"/>
      <c r="AI419" s="160"/>
      <c r="AJ419" s="160"/>
      <c r="AK419" s="160"/>
      <c r="AL419" s="160"/>
      <c r="AM419" s="160"/>
      <c r="AN419" s="164"/>
      <c r="AO419" s="160"/>
      <c r="AP419" s="160"/>
      <c r="AQ419" s="160"/>
      <c r="AR419" s="160"/>
      <c r="AS419" s="160"/>
      <c r="AT419" s="160"/>
      <c r="AU419" s="160"/>
      <c r="AV419" s="160"/>
      <c r="AW419" s="160"/>
      <c r="AX419" s="160"/>
      <c r="AY419" s="160"/>
      <c r="AZ419" s="160"/>
      <c r="BA419" s="160"/>
      <c r="BB419" s="160"/>
      <c r="BC419" s="160"/>
      <c r="BD419" s="160"/>
      <c r="BE419" s="160"/>
      <c r="BF419" s="160"/>
      <c r="BG419" s="160"/>
      <c r="BH419" s="160"/>
      <c r="BI419" s="160"/>
      <c r="BJ419" s="160"/>
      <c r="BK419" s="160"/>
      <c r="BL419" s="160"/>
      <c r="BM419" s="160"/>
      <c r="BN419" s="160"/>
      <c r="BO419" s="160"/>
      <c r="BP419" s="160"/>
      <c r="BQ419" s="160"/>
      <c r="BR419" s="160"/>
      <c r="BS419" s="160"/>
      <c r="BT419" s="160"/>
      <c r="BU419" s="160"/>
      <c r="BV419" s="160"/>
      <c r="BW419" s="160"/>
      <c r="BX419" s="160"/>
      <c r="BY419" s="160"/>
      <c r="BZ419" s="160"/>
      <c r="CA419" s="160"/>
      <c r="CB419" s="160"/>
      <c r="CC419" s="160"/>
      <c r="CD419" s="160"/>
      <c r="CE419" s="160"/>
      <c r="CF419" s="160"/>
      <c r="CG419" s="160"/>
      <c r="CH419" s="160"/>
      <c r="CI419" s="160"/>
      <c r="CJ419" s="160"/>
      <c r="CK419" s="160"/>
      <c r="CL419" s="160"/>
    </row>
    <row r="420">
      <c r="A420" s="174" t="s">
        <v>546</v>
      </c>
      <c r="B420" s="11" t="s">
        <v>547</v>
      </c>
      <c r="C420" s="175" t="s">
        <v>86</v>
      </c>
      <c r="D420" s="176" t="str">
        <f>IFERROR(VLOOKUP(C420, PIC!A:B, 2, 0), "")</f>
        <v>Quan Nguyen</v>
      </c>
      <c r="E420" s="11" t="s">
        <v>23</v>
      </c>
      <c r="F420" s="11"/>
      <c r="G420" s="11"/>
      <c r="H420" s="170">
        <f>IFERROR(
  MINIFS(ATTENDANCE_LOG!$F:$F,
         ATTENDANCE_LOG!$A:$A, C420,
         ATTENDANCE_LOG!$B:$B, E420),
"")</f>
        <v>46098.625</v>
      </c>
      <c r="I420" s="170">
        <f t="shared" si="2"/>
        <v>45805.375</v>
      </c>
      <c r="J420" s="11" t="str">
        <f>IFERROR(VLOOKUP(F420, LEVEL_HELPER!$A:$B, 2, 0), "")</f>
        <v/>
      </c>
      <c r="K420" s="11" t="str">
        <f>IFERROR(VLOOKUP(G420, LEVEL_HELPER!$A:$B, 2, 0), "")</f>
        <v/>
      </c>
      <c r="L420" s="171" t="s">
        <v>873</v>
      </c>
      <c r="M420" s="171" t="s">
        <v>151</v>
      </c>
      <c r="N420" s="11">
        <f t="array" ref="N420">IFERROR(
  INDEX($J$2:$J$531,
    MATCH(A420&amp;TEXT(I420,"yyyy-mm-dd"),
          $A$2:$A$531&amp;TEXT($H$2:$H$531,"yyyy-mm-dd"),
          0)),
"")</f>
        <v>0.5</v>
      </c>
      <c r="O420" s="160">
        <f t="shared" si="3"/>
        <v>3</v>
      </c>
      <c r="P420" s="160">
        <f t="shared" ref="P420:Q420" si="430">IF(N420="",0,IF(N420&lt;=2,1,IF(N420&lt;=4,2,IF(N420&lt;=5.5,3,4))))</f>
        <v>1</v>
      </c>
      <c r="Q420" s="160">
        <f t="shared" si="430"/>
        <v>2</v>
      </c>
      <c r="R420" s="160" t="str">
        <f t="shared" si="5"/>
        <v>Lv1 → Lv2</v>
      </c>
      <c r="S420" s="160">
        <f t="shared" si="6"/>
        <v>0</v>
      </c>
      <c r="T420" s="177" t="s">
        <v>1078</v>
      </c>
      <c r="U420" s="160">
        <f>COUNTIFS(sheet2!$A:$A,A420,sheet2!$E:$E,E420)</f>
        <v>1</v>
      </c>
      <c r="V420" s="160"/>
      <c r="W420" s="160"/>
      <c r="X420" s="160"/>
      <c r="Y420" s="160"/>
      <c r="Z420" s="160"/>
      <c r="AA420" s="160"/>
      <c r="AB420" s="160"/>
      <c r="AC420" s="160"/>
      <c r="AD420" s="160"/>
      <c r="AE420" s="160"/>
      <c r="AF420" s="160"/>
      <c r="AG420" s="160"/>
      <c r="AH420" s="160"/>
      <c r="AI420" s="160"/>
      <c r="AJ420" s="160"/>
      <c r="AK420" s="160"/>
      <c r="AL420" s="160"/>
      <c r="AM420" s="160"/>
      <c r="AN420" s="164"/>
      <c r="AO420" s="160"/>
      <c r="AP420" s="160"/>
      <c r="AQ420" s="160"/>
      <c r="AR420" s="160"/>
      <c r="AS420" s="160"/>
      <c r="AT420" s="160"/>
      <c r="AU420" s="160"/>
      <c r="AV420" s="160"/>
      <c r="AW420" s="160"/>
      <c r="AX420" s="160"/>
      <c r="AY420" s="160"/>
      <c r="AZ420" s="160"/>
      <c r="BA420" s="160"/>
      <c r="BB420" s="160"/>
      <c r="BC420" s="160"/>
      <c r="BD420" s="160"/>
      <c r="BE420" s="160"/>
      <c r="BF420" s="160"/>
      <c r="BG420" s="160"/>
      <c r="BH420" s="160"/>
      <c r="BI420" s="160"/>
      <c r="BJ420" s="160"/>
      <c r="BK420" s="160"/>
      <c r="BL420" s="160"/>
      <c r="BM420" s="160"/>
      <c r="BN420" s="160"/>
      <c r="BO420" s="160"/>
      <c r="BP420" s="160"/>
      <c r="BQ420" s="160"/>
      <c r="BR420" s="160"/>
      <c r="BS420" s="160"/>
      <c r="BT420" s="160"/>
      <c r="BU420" s="160"/>
      <c r="BV420" s="160"/>
      <c r="BW420" s="160"/>
      <c r="BX420" s="160"/>
      <c r="BY420" s="160"/>
      <c r="BZ420" s="160"/>
      <c r="CA420" s="160"/>
      <c r="CB420" s="160"/>
      <c r="CC420" s="160"/>
      <c r="CD420" s="160"/>
      <c r="CE420" s="160"/>
      <c r="CF420" s="160"/>
      <c r="CG420" s="160"/>
      <c r="CH420" s="160"/>
      <c r="CI420" s="160"/>
      <c r="CJ420" s="160"/>
      <c r="CK420" s="160"/>
      <c r="CL420" s="160"/>
    </row>
    <row r="421">
      <c r="A421" s="174" t="s">
        <v>548</v>
      </c>
      <c r="B421" s="11" t="s">
        <v>549</v>
      </c>
      <c r="C421" s="175" t="s">
        <v>86</v>
      </c>
      <c r="D421" s="176" t="str">
        <f>IFERROR(VLOOKUP(C421, PIC!A:B, 2, 0), "")</f>
        <v>Quan Nguyen</v>
      </c>
      <c r="E421" s="11" t="s">
        <v>23</v>
      </c>
      <c r="F421" s="11"/>
      <c r="G421" s="11"/>
      <c r="H421" s="170">
        <f>IFERROR(
  MINIFS(ATTENDANCE_LOG!$F:$F,
         ATTENDANCE_LOG!$A:$A, C421,
         ATTENDANCE_LOG!$B:$B, E421),
"")</f>
        <v>46098.625</v>
      </c>
      <c r="I421" s="170">
        <f t="shared" si="2"/>
        <v>45805.375</v>
      </c>
      <c r="J421" s="11" t="str">
        <f>IFERROR(VLOOKUP(F421, LEVEL_HELPER!$A:$B, 2, 0), "")</f>
        <v/>
      </c>
      <c r="K421" s="11" t="str">
        <f>IFERROR(VLOOKUP(G421, LEVEL_HELPER!$A:$B, 2, 0), "")</f>
        <v/>
      </c>
      <c r="L421" s="171" t="s">
        <v>400</v>
      </c>
      <c r="M421" s="171" t="s">
        <v>151</v>
      </c>
      <c r="N421" s="11">
        <f t="array" ref="N421">IFERROR(
  INDEX($J$2:$J$531,
    MATCH(A421&amp;TEXT(I421,"yyyy-mm-dd"),
          $A$2:$A$531&amp;TEXT($H$2:$H$531,"yyyy-mm-dd"),
          0)),
"")</f>
        <v>0.5</v>
      </c>
      <c r="O421" s="160">
        <f t="shared" si="3"/>
        <v>3</v>
      </c>
      <c r="P421" s="160">
        <f t="shared" ref="P421:Q421" si="431">IF(N421="",0,IF(N421&lt;=2,1,IF(N421&lt;=4,2,IF(N421&lt;=5.5,3,4))))</f>
        <v>1</v>
      </c>
      <c r="Q421" s="160">
        <f t="shared" si="431"/>
        <v>2</v>
      </c>
      <c r="R421" s="160" t="str">
        <f t="shared" si="5"/>
        <v>Lv1 → Lv2</v>
      </c>
      <c r="S421" s="160">
        <f t="shared" si="6"/>
        <v>0</v>
      </c>
      <c r="T421" s="177" t="s">
        <v>1079</v>
      </c>
      <c r="U421" s="160">
        <f>COUNTIFS(sheet2!$A:$A,A421,sheet2!$E:$E,E421)</f>
        <v>1</v>
      </c>
      <c r="V421" s="160"/>
      <c r="W421" s="160"/>
      <c r="X421" s="160"/>
      <c r="Y421" s="160"/>
      <c r="Z421" s="160"/>
      <c r="AA421" s="160"/>
      <c r="AB421" s="160"/>
      <c r="AC421" s="160"/>
      <c r="AD421" s="160"/>
      <c r="AE421" s="160"/>
      <c r="AF421" s="160"/>
      <c r="AG421" s="160"/>
      <c r="AH421" s="160"/>
      <c r="AI421" s="160"/>
      <c r="AJ421" s="160"/>
      <c r="AK421" s="160"/>
      <c r="AL421" s="160"/>
      <c r="AM421" s="160"/>
      <c r="AN421" s="164"/>
      <c r="AO421" s="160"/>
      <c r="AP421" s="160"/>
      <c r="AQ421" s="160"/>
      <c r="AR421" s="160"/>
      <c r="AS421" s="160"/>
      <c r="AT421" s="160"/>
      <c r="AU421" s="160"/>
      <c r="AV421" s="160"/>
      <c r="AW421" s="160"/>
      <c r="AX421" s="160"/>
      <c r="AY421" s="160"/>
      <c r="AZ421" s="160"/>
      <c r="BA421" s="160"/>
      <c r="BB421" s="160"/>
      <c r="BC421" s="160"/>
      <c r="BD421" s="160"/>
      <c r="BE421" s="160"/>
      <c r="BF421" s="160"/>
      <c r="BG421" s="160"/>
      <c r="BH421" s="160"/>
      <c r="BI421" s="160"/>
      <c r="BJ421" s="160"/>
      <c r="BK421" s="160"/>
      <c r="BL421" s="160"/>
      <c r="BM421" s="160"/>
      <c r="BN421" s="160"/>
      <c r="BO421" s="160"/>
      <c r="BP421" s="160"/>
      <c r="BQ421" s="160"/>
      <c r="BR421" s="160"/>
      <c r="BS421" s="160"/>
      <c r="BT421" s="160"/>
      <c r="BU421" s="160"/>
      <c r="BV421" s="160"/>
      <c r="BW421" s="160"/>
      <c r="BX421" s="160"/>
      <c r="BY421" s="160"/>
      <c r="BZ421" s="160"/>
      <c r="CA421" s="160"/>
      <c r="CB421" s="160"/>
      <c r="CC421" s="160"/>
      <c r="CD421" s="160"/>
      <c r="CE421" s="160"/>
      <c r="CF421" s="160"/>
      <c r="CG421" s="160"/>
      <c r="CH421" s="160"/>
      <c r="CI421" s="160"/>
      <c r="CJ421" s="160"/>
      <c r="CK421" s="160"/>
      <c r="CL421" s="160"/>
    </row>
    <row r="422">
      <c r="A422" s="174" t="s">
        <v>551</v>
      </c>
      <c r="B422" s="11" t="s">
        <v>552</v>
      </c>
      <c r="C422" s="175" t="s">
        <v>86</v>
      </c>
      <c r="D422" s="176" t="str">
        <f>IFERROR(VLOOKUP(C422, PIC!A:B, 2, 0), "")</f>
        <v>Quan Nguyen</v>
      </c>
      <c r="E422" s="11" t="s">
        <v>23</v>
      </c>
      <c r="F422" s="11"/>
      <c r="G422" s="11"/>
      <c r="H422" s="170">
        <f>IFERROR(
  MINIFS(ATTENDANCE_LOG!$F:$F,
         ATTENDANCE_LOG!$A:$A, C422,
         ATTENDANCE_LOG!$B:$B, E422),
"")</f>
        <v>46098.625</v>
      </c>
      <c r="I422" s="170">
        <f t="shared" si="2"/>
        <v>45805.375</v>
      </c>
      <c r="J422" s="11" t="str">
        <f>IFERROR(VLOOKUP(F422, LEVEL_HELPER!$A:$B, 2, 0), "")</f>
        <v/>
      </c>
      <c r="K422" s="11" t="str">
        <f>IFERROR(VLOOKUP(G422, LEVEL_HELPER!$A:$B, 2, 0), "")</f>
        <v/>
      </c>
      <c r="L422" s="171" t="s">
        <v>400</v>
      </c>
      <c r="M422" s="171" t="s">
        <v>151</v>
      </c>
      <c r="N422" s="11">
        <f t="array" ref="N422">IFERROR(
  INDEX($J$2:$J$531,
    MATCH(A422&amp;TEXT(I422,"yyyy-mm-dd"),
          $A$2:$A$531&amp;TEXT($H$2:$H$531,"yyyy-mm-dd"),
          0)),
"")</f>
        <v>0.5</v>
      </c>
      <c r="O422" s="160">
        <f t="shared" si="3"/>
        <v>3.5</v>
      </c>
      <c r="P422" s="160">
        <f t="shared" ref="P422:Q422" si="432">IF(N422="",0,IF(N422&lt;=2,1,IF(N422&lt;=4,2,IF(N422&lt;=5.5,3,4))))</f>
        <v>1</v>
      </c>
      <c r="Q422" s="160">
        <f t="shared" si="432"/>
        <v>2</v>
      </c>
      <c r="R422" s="160" t="str">
        <f t="shared" si="5"/>
        <v>Lv1 → Lv2</v>
      </c>
      <c r="S422" s="160">
        <f t="shared" si="6"/>
        <v>0</v>
      </c>
      <c r="T422" s="177" t="s">
        <v>1082</v>
      </c>
      <c r="U422" s="160">
        <f>COUNTIFS(sheet2!$A:$A,A422,sheet2!$E:$E,E422)</f>
        <v>1</v>
      </c>
      <c r="V422" s="160"/>
      <c r="W422" s="160"/>
      <c r="X422" s="160"/>
      <c r="Y422" s="160"/>
      <c r="Z422" s="160"/>
      <c r="AA422" s="160"/>
      <c r="AB422" s="160"/>
      <c r="AC422" s="160"/>
      <c r="AD422" s="160"/>
      <c r="AE422" s="160"/>
      <c r="AF422" s="160"/>
      <c r="AG422" s="160"/>
      <c r="AH422" s="160"/>
      <c r="AI422" s="160"/>
      <c r="AJ422" s="160"/>
      <c r="AK422" s="160"/>
      <c r="AL422" s="160"/>
      <c r="AM422" s="160"/>
      <c r="AN422" s="164"/>
      <c r="AO422" s="160"/>
      <c r="AP422" s="160"/>
      <c r="AQ422" s="160"/>
      <c r="AR422" s="160"/>
      <c r="AS422" s="160"/>
      <c r="AT422" s="160"/>
      <c r="AU422" s="160"/>
      <c r="AV422" s="160"/>
      <c r="AW422" s="160"/>
      <c r="AX422" s="160"/>
      <c r="AY422" s="160"/>
      <c r="AZ422" s="160"/>
      <c r="BA422" s="160"/>
      <c r="BB422" s="160"/>
      <c r="BC422" s="160"/>
      <c r="BD422" s="160"/>
      <c r="BE422" s="160"/>
      <c r="BF422" s="160"/>
      <c r="BG422" s="160"/>
      <c r="BH422" s="160"/>
      <c r="BI422" s="160"/>
      <c r="BJ422" s="160"/>
      <c r="BK422" s="160"/>
      <c r="BL422" s="160"/>
      <c r="BM422" s="160"/>
      <c r="BN422" s="160"/>
      <c r="BO422" s="160"/>
      <c r="BP422" s="160"/>
      <c r="BQ422" s="160"/>
      <c r="BR422" s="160"/>
      <c r="BS422" s="160"/>
      <c r="BT422" s="160"/>
      <c r="BU422" s="160"/>
      <c r="BV422" s="160"/>
      <c r="BW422" s="160"/>
      <c r="BX422" s="160"/>
      <c r="BY422" s="160"/>
      <c r="BZ422" s="160"/>
      <c r="CA422" s="160"/>
      <c r="CB422" s="160"/>
      <c r="CC422" s="160"/>
      <c r="CD422" s="160"/>
      <c r="CE422" s="160"/>
      <c r="CF422" s="160"/>
      <c r="CG422" s="160"/>
      <c r="CH422" s="160"/>
      <c r="CI422" s="160"/>
      <c r="CJ422" s="160"/>
      <c r="CK422" s="160"/>
      <c r="CL422" s="160"/>
    </row>
    <row r="423">
      <c r="A423" s="166" t="s">
        <v>409</v>
      </c>
      <c r="B423" s="167" t="s">
        <v>410</v>
      </c>
      <c r="C423" s="168" t="s">
        <v>87</v>
      </c>
      <c r="D423" s="169" t="str">
        <f>IFERROR(VLOOKUP(C423, PIC!A:B, 2, 0), "")</f>
        <v>My Nguyen</v>
      </c>
      <c r="E423" s="167" t="s">
        <v>22</v>
      </c>
      <c r="F423" s="200" t="s">
        <v>858</v>
      </c>
      <c r="G423" s="200" t="s">
        <v>865</v>
      </c>
      <c r="H423" s="170">
        <f>IFERROR(
  MINIFS(ATTENDANCE_LOG!$F:$F,
         ATTENDANCE_LOG!$A:$A, C423,
         ATTENDANCE_LOG!$B:$B, E423),
"")</f>
        <v>45813.45833</v>
      </c>
      <c r="I423" s="170">
        <f t="shared" si="2"/>
        <v>45813.45833</v>
      </c>
      <c r="J423" s="167">
        <f>IFERROR(VLOOKUP(F423, LEVEL_HELPER!$A:$B, 2, 0), "")</f>
        <v>4.5</v>
      </c>
      <c r="K423" s="167">
        <f>IFERROR(VLOOKUP(G423, LEVEL_HELPER!$A:$B, 2, 0), "")</f>
        <v>5.5</v>
      </c>
      <c r="L423" s="205" t="s">
        <v>869</v>
      </c>
      <c r="M423" s="205" t="s">
        <v>154</v>
      </c>
      <c r="N423" s="11">
        <f t="array" ref="N423">IFERROR(
  INDEX($J$2:$J$531,
    MATCH(A423&amp;TEXT(I423,"yyyy-mm-dd"),
          $A$2:$A$531&amp;TEXT($H$2:$H$531,"yyyy-mm-dd"),
          0)),
"")</f>
        <v>4.5</v>
      </c>
      <c r="O423" s="206">
        <f t="shared" si="3"/>
        <v>5.5</v>
      </c>
      <c r="P423" s="160">
        <f t="shared" ref="P423:Q423" si="433">IF(N423="",0,IF(N423&lt;=2,1,IF(N423&lt;=4,2,IF(N423&lt;=5.5,3,4))))</f>
        <v>3</v>
      </c>
      <c r="Q423" s="160">
        <f t="shared" si="433"/>
        <v>3</v>
      </c>
      <c r="R423" s="160" t="str">
        <f t="shared" si="5"/>
        <v>Progress within level</v>
      </c>
      <c r="S423" s="160">
        <f t="shared" si="6"/>
        <v>1</v>
      </c>
      <c r="T423" s="172" t="s">
        <v>1083</v>
      </c>
      <c r="U423" s="160">
        <f>COUNTIFS(sheet2!$A:$A,A423,sheet2!$E:$E,E423)</f>
        <v>1</v>
      </c>
      <c r="V423" s="160"/>
      <c r="W423" s="160"/>
      <c r="X423" s="160"/>
      <c r="Y423" s="160"/>
      <c r="Z423" s="160"/>
      <c r="AA423" s="160"/>
      <c r="AB423" s="160"/>
      <c r="AC423" s="160"/>
      <c r="AD423" s="160"/>
      <c r="AE423" s="160"/>
      <c r="AF423" s="160"/>
      <c r="AG423" s="160"/>
      <c r="AH423" s="160"/>
      <c r="AI423" s="160"/>
      <c r="AJ423" s="160"/>
      <c r="AK423" s="160"/>
      <c r="AL423" s="160"/>
      <c r="AM423" s="160"/>
      <c r="AN423" s="164"/>
      <c r="AO423" s="160"/>
      <c r="AP423" s="160"/>
      <c r="AQ423" s="160"/>
      <c r="AR423" s="160"/>
      <c r="AS423" s="160"/>
      <c r="AT423" s="160"/>
      <c r="AU423" s="160"/>
      <c r="AV423" s="160"/>
      <c r="AW423" s="160"/>
      <c r="AX423" s="160"/>
      <c r="AY423" s="160"/>
      <c r="AZ423" s="160"/>
      <c r="BA423" s="160"/>
      <c r="BB423" s="160"/>
      <c r="BC423" s="160"/>
      <c r="BD423" s="160"/>
      <c r="BE423" s="160"/>
      <c r="BF423" s="160"/>
      <c r="BG423" s="160"/>
      <c r="BH423" s="160"/>
      <c r="BI423" s="160"/>
      <c r="BJ423" s="160"/>
      <c r="BK423" s="160"/>
      <c r="BL423" s="160"/>
      <c r="BM423" s="160"/>
      <c r="BN423" s="160"/>
      <c r="BO423" s="160"/>
      <c r="BP423" s="160"/>
      <c r="BQ423" s="160"/>
      <c r="BR423" s="160"/>
      <c r="BS423" s="160"/>
      <c r="BT423" s="160"/>
      <c r="BU423" s="160"/>
      <c r="BV423" s="160"/>
      <c r="BW423" s="160"/>
      <c r="BX423" s="160"/>
      <c r="BY423" s="160"/>
      <c r="BZ423" s="160"/>
      <c r="CA423" s="160"/>
      <c r="CB423" s="160"/>
      <c r="CC423" s="160"/>
      <c r="CD423" s="160"/>
      <c r="CE423" s="160"/>
      <c r="CF423" s="160"/>
      <c r="CG423" s="160"/>
      <c r="CH423" s="160"/>
      <c r="CI423" s="160"/>
      <c r="CJ423" s="160"/>
      <c r="CK423" s="160"/>
      <c r="CL423" s="160"/>
    </row>
    <row r="424">
      <c r="A424" s="174" t="s">
        <v>411</v>
      </c>
      <c r="B424" s="11" t="s">
        <v>412</v>
      </c>
      <c r="C424" s="175" t="s">
        <v>87</v>
      </c>
      <c r="D424" s="176" t="str">
        <f>IFERROR(VLOOKUP(C424, PIC!A:B, 2, 0), "")</f>
        <v>My Nguyen</v>
      </c>
      <c r="E424" s="11" t="s">
        <v>22</v>
      </c>
      <c r="F424" s="16" t="s">
        <v>849</v>
      </c>
      <c r="G424" s="16" t="s">
        <v>846</v>
      </c>
      <c r="H424" s="170">
        <f>IFERROR(
  MINIFS(ATTENDANCE_LOG!$F:$F,
         ATTENDANCE_LOG!$A:$A, C424,
         ATTENDANCE_LOG!$B:$B, E424),
"")</f>
        <v>45813.45833</v>
      </c>
      <c r="I424" s="170">
        <f t="shared" si="2"/>
        <v>45813.45833</v>
      </c>
      <c r="J424" s="11">
        <f>IFERROR(VLOOKUP(F424, LEVEL_HELPER!$A:$B, 2, 0), "")</f>
        <v>1</v>
      </c>
      <c r="K424" s="11">
        <f>IFERROR(VLOOKUP(G424, LEVEL_HELPER!$A:$B, 2, 0), "")</f>
        <v>3</v>
      </c>
      <c r="L424" s="171" t="s">
        <v>397</v>
      </c>
      <c r="M424" s="171" t="s">
        <v>154</v>
      </c>
      <c r="N424" s="11">
        <f t="array" ref="N424">IFERROR(
  INDEX($J$2:$J$531,
    MATCH(A424&amp;TEXT(I424,"yyyy-mm-dd"),
          $A$2:$A$531&amp;TEXT($H$2:$H$531,"yyyy-mm-dd"),
          0)),
"")</f>
        <v>1</v>
      </c>
      <c r="O424" s="160">
        <f t="shared" si="3"/>
        <v>3</v>
      </c>
      <c r="P424" s="160">
        <f t="shared" ref="P424:Q424" si="434">IF(N424="",0,IF(N424&lt;=2,1,IF(N424&lt;=4,2,IF(N424&lt;=5.5,3,4))))</f>
        <v>1</v>
      </c>
      <c r="Q424" s="160">
        <f t="shared" si="434"/>
        <v>2</v>
      </c>
      <c r="R424" s="160" t="str">
        <f t="shared" si="5"/>
        <v>Lv1 → Lv2</v>
      </c>
      <c r="S424" s="160">
        <f t="shared" si="6"/>
        <v>1</v>
      </c>
      <c r="T424" s="177" t="s">
        <v>1084</v>
      </c>
      <c r="U424" s="160">
        <f>COUNTIFS(sheet2!$A:$A,A424,sheet2!$E:$E,E424)</f>
        <v>1</v>
      </c>
      <c r="V424" s="160"/>
      <c r="W424" s="160"/>
      <c r="X424" s="160"/>
      <c r="Y424" s="160"/>
      <c r="Z424" s="160"/>
      <c r="AA424" s="160"/>
      <c r="AB424" s="160"/>
      <c r="AC424" s="160"/>
      <c r="AD424" s="160"/>
      <c r="AE424" s="160"/>
      <c r="AF424" s="160"/>
      <c r="AG424" s="160"/>
      <c r="AH424" s="160"/>
      <c r="AI424" s="160"/>
      <c r="AJ424" s="160"/>
      <c r="AK424" s="160"/>
      <c r="AL424" s="160"/>
      <c r="AM424" s="160"/>
      <c r="AN424" s="164"/>
      <c r="AO424" s="160"/>
      <c r="AP424" s="160"/>
      <c r="AQ424" s="160"/>
      <c r="AR424" s="160"/>
      <c r="AS424" s="160"/>
      <c r="AT424" s="160"/>
      <c r="AU424" s="160"/>
      <c r="AV424" s="160"/>
      <c r="AW424" s="160"/>
      <c r="AX424" s="160"/>
      <c r="AY424" s="160"/>
      <c r="AZ424" s="160"/>
      <c r="BA424" s="160"/>
      <c r="BB424" s="160"/>
      <c r="BC424" s="160"/>
      <c r="BD424" s="160"/>
      <c r="BE424" s="160"/>
      <c r="BF424" s="160"/>
      <c r="BG424" s="160"/>
      <c r="BH424" s="160"/>
      <c r="BI424" s="160"/>
      <c r="BJ424" s="160"/>
      <c r="BK424" s="160"/>
      <c r="BL424" s="160"/>
      <c r="BM424" s="160"/>
      <c r="BN424" s="160"/>
      <c r="BO424" s="160"/>
      <c r="BP424" s="160"/>
      <c r="BQ424" s="160"/>
      <c r="BR424" s="160"/>
      <c r="BS424" s="160"/>
      <c r="BT424" s="160"/>
      <c r="BU424" s="160"/>
      <c r="BV424" s="160"/>
      <c r="BW424" s="160"/>
      <c r="BX424" s="160"/>
      <c r="BY424" s="160"/>
      <c r="BZ424" s="160"/>
      <c r="CA424" s="160"/>
      <c r="CB424" s="160"/>
      <c r="CC424" s="160"/>
      <c r="CD424" s="160"/>
      <c r="CE424" s="160"/>
      <c r="CF424" s="160"/>
      <c r="CG424" s="160"/>
      <c r="CH424" s="160"/>
      <c r="CI424" s="160"/>
      <c r="CJ424" s="160"/>
      <c r="CK424" s="160"/>
      <c r="CL424" s="160"/>
    </row>
    <row r="425">
      <c r="A425" s="174" t="s">
        <v>413</v>
      </c>
      <c r="B425" s="11" t="s">
        <v>414</v>
      </c>
      <c r="C425" s="175" t="s">
        <v>87</v>
      </c>
      <c r="D425" s="176" t="str">
        <f>IFERROR(VLOOKUP(C425, PIC!A:B, 2, 0), "")</f>
        <v>My Nguyen</v>
      </c>
      <c r="E425" s="11" t="s">
        <v>22</v>
      </c>
      <c r="F425" s="16" t="s">
        <v>849</v>
      </c>
      <c r="G425" s="16" t="s">
        <v>846</v>
      </c>
      <c r="H425" s="170">
        <f>IFERROR(
  MINIFS(ATTENDANCE_LOG!$F:$F,
         ATTENDANCE_LOG!$A:$A, C425,
         ATTENDANCE_LOG!$B:$B, E425),
"")</f>
        <v>45813.45833</v>
      </c>
      <c r="I425" s="170">
        <f t="shared" si="2"/>
        <v>45813.45833</v>
      </c>
      <c r="J425" s="11">
        <f>IFERROR(VLOOKUP(F425, LEVEL_HELPER!$A:$B, 2, 0), "")</f>
        <v>1</v>
      </c>
      <c r="K425" s="11">
        <f>IFERROR(VLOOKUP(G425, LEVEL_HELPER!$A:$B, 2, 0), "")</f>
        <v>3</v>
      </c>
      <c r="L425" s="171" t="s">
        <v>400</v>
      </c>
      <c r="M425" s="171" t="s">
        <v>154</v>
      </c>
      <c r="N425" s="11">
        <f t="array" ref="N425">IFERROR(
  INDEX($J$2:$J$531,
    MATCH(A425&amp;TEXT(I425,"yyyy-mm-dd"),
          $A$2:$A$531&amp;TEXT($H$2:$H$531,"yyyy-mm-dd"),
          0)),
"")</f>
        <v>1</v>
      </c>
      <c r="O425" s="160">
        <f t="shared" si="3"/>
        <v>3</v>
      </c>
      <c r="P425" s="160">
        <f t="shared" ref="P425:Q425" si="435">IF(N425="",0,IF(N425&lt;=2,1,IF(N425&lt;=4,2,IF(N425&lt;=5.5,3,4))))</f>
        <v>1</v>
      </c>
      <c r="Q425" s="160">
        <f t="shared" si="435"/>
        <v>2</v>
      </c>
      <c r="R425" s="160" t="str">
        <f t="shared" si="5"/>
        <v>Lv1 → Lv2</v>
      </c>
      <c r="S425" s="160">
        <f t="shared" si="6"/>
        <v>1</v>
      </c>
      <c r="T425" s="177" t="s">
        <v>1085</v>
      </c>
      <c r="U425" s="160">
        <f>COUNTIFS(sheet2!$A:$A,A425,sheet2!$E:$E,E425)</f>
        <v>1</v>
      </c>
      <c r="V425" s="160"/>
      <c r="W425" s="160"/>
      <c r="X425" s="160"/>
      <c r="Y425" s="160"/>
      <c r="Z425" s="160"/>
      <c r="AA425" s="160"/>
      <c r="AB425" s="160"/>
      <c r="AC425" s="160"/>
      <c r="AD425" s="160"/>
      <c r="AE425" s="160"/>
      <c r="AF425" s="160"/>
      <c r="AG425" s="160"/>
      <c r="AH425" s="160"/>
      <c r="AI425" s="160"/>
      <c r="AJ425" s="160"/>
      <c r="AK425" s="160"/>
      <c r="AL425" s="160"/>
      <c r="AM425" s="160"/>
      <c r="AN425" s="164"/>
      <c r="AO425" s="160"/>
      <c r="AP425" s="160"/>
      <c r="AQ425" s="160"/>
      <c r="AR425" s="160"/>
      <c r="AS425" s="160"/>
      <c r="AT425" s="160"/>
      <c r="AU425" s="160"/>
      <c r="AV425" s="160"/>
      <c r="AW425" s="160"/>
      <c r="AX425" s="160"/>
      <c r="AY425" s="160"/>
      <c r="AZ425" s="160"/>
      <c r="BA425" s="160"/>
      <c r="BB425" s="160"/>
      <c r="BC425" s="160"/>
      <c r="BD425" s="160"/>
      <c r="BE425" s="160"/>
      <c r="BF425" s="160"/>
      <c r="BG425" s="160"/>
      <c r="BH425" s="160"/>
      <c r="BI425" s="160"/>
      <c r="BJ425" s="160"/>
      <c r="BK425" s="160"/>
      <c r="BL425" s="160"/>
      <c r="BM425" s="160"/>
      <c r="BN425" s="160"/>
      <c r="BO425" s="160"/>
      <c r="BP425" s="160"/>
      <c r="BQ425" s="160"/>
      <c r="BR425" s="160"/>
      <c r="BS425" s="160"/>
      <c r="BT425" s="160"/>
      <c r="BU425" s="160"/>
      <c r="BV425" s="160"/>
      <c r="BW425" s="160"/>
      <c r="BX425" s="160"/>
      <c r="BY425" s="160"/>
      <c r="BZ425" s="160"/>
      <c r="CA425" s="160"/>
      <c r="CB425" s="160"/>
      <c r="CC425" s="160"/>
      <c r="CD425" s="160"/>
      <c r="CE425" s="160"/>
      <c r="CF425" s="160"/>
      <c r="CG425" s="160"/>
      <c r="CH425" s="160"/>
      <c r="CI425" s="160"/>
      <c r="CJ425" s="160"/>
      <c r="CK425" s="160"/>
      <c r="CL425" s="160"/>
    </row>
    <row r="426">
      <c r="A426" s="174" t="s">
        <v>415</v>
      </c>
      <c r="B426" s="11" t="s">
        <v>416</v>
      </c>
      <c r="C426" s="175" t="s">
        <v>87</v>
      </c>
      <c r="D426" s="176" t="str">
        <f>IFERROR(VLOOKUP(C426, PIC!A:B, 2, 0), "")</f>
        <v>My Nguyen</v>
      </c>
      <c r="E426" s="11" t="s">
        <v>22</v>
      </c>
      <c r="F426" s="16" t="s">
        <v>849</v>
      </c>
      <c r="G426" s="16" t="s">
        <v>849</v>
      </c>
      <c r="H426" s="170">
        <f>IFERROR(
  MINIFS(ATTENDANCE_LOG!$F:$F,
         ATTENDANCE_LOG!$A:$A, C426,
         ATTENDANCE_LOG!$B:$B, E426),
"")</f>
        <v>45813.45833</v>
      </c>
      <c r="I426" s="170">
        <f t="shared" si="2"/>
        <v>45813.45833</v>
      </c>
      <c r="J426" s="11">
        <f>IFERROR(VLOOKUP(F426, LEVEL_HELPER!$A:$B, 2, 0), "")</f>
        <v>1</v>
      </c>
      <c r="K426" s="11">
        <f>IFERROR(VLOOKUP(G426, LEVEL_HELPER!$A:$B, 2, 0), "")</f>
        <v>1</v>
      </c>
      <c r="L426" s="171" t="s">
        <v>400</v>
      </c>
      <c r="M426" s="171" t="s">
        <v>154</v>
      </c>
      <c r="N426" s="11">
        <f t="array" ref="N426">IFERROR(
  INDEX($J$2:$J$531,
    MATCH(A426&amp;TEXT(I426,"yyyy-mm-dd"),
          $A$2:$A$531&amp;TEXT($H$2:$H$531,"yyyy-mm-dd"),
          0)),
"")</f>
        <v>1</v>
      </c>
      <c r="O426" s="160">
        <f t="shared" si="3"/>
        <v>1</v>
      </c>
      <c r="P426" s="160">
        <f t="shared" ref="P426:Q426" si="436">IF(N426="",0,IF(N426&lt;=2,1,IF(N426&lt;=4,2,IF(N426&lt;=5.5,3,4))))</f>
        <v>1</v>
      </c>
      <c r="Q426" s="160">
        <f t="shared" si="436"/>
        <v>1</v>
      </c>
      <c r="R426" s="160" t="str">
        <f t="shared" si="5"/>
        <v>No Progress</v>
      </c>
      <c r="S426" s="160">
        <f t="shared" si="6"/>
        <v>1</v>
      </c>
      <c r="T426" s="177" t="s">
        <v>1086</v>
      </c>
      <c r="U426" s="160">
        <f>COUNTIFS(sheet2!$A:$A,A426,sheet2!$E:$E,E426)</f>
        <v>1</v>
      </c>
      <c r="V426" s="160"/>
      <c r="W426" s="160"/>
      <c r="X426" s="160"/>
      <c r="Y426" s="160"/>
      <c r="Z426" s="160"/>
      <c r="AA426" s="160"/>
      <c r="AB426" s="160"/>
      <c r="AC426" s="160"/>
      <c r="AD426" s="160"/>
      <c r="AE426" s="160"/>
      <c r="AF426" s="160"/>
      <c r="AG426" s="160"/>
      <c r="AH426" s="160"/>
      <c r="AI426" s="160"/>
      <c r="AJ426" s="160"/>
      <c r="AK426" s="160"/>
      <c r="AL426" s="160"/>
      <c r="AM426" s="160"/>
      <c r="AN426" s="164"/>
      <c r="AO426" s="160"/>
      <c r="AP426" s="160"/>
      <c r="AQ426" s="160"/>
      <c r="AR426" s="160"/>
      <c r="AS426" s="160"/>
      <c r="AT426" s="160"/>
      <c r="AU426" s="160"/>
      <c r="AV426" s="160"/>
      <c r="AW426" s="160"/>
      <c r="AX426" s="160"/>
      <c r="AY426" s="160"/>
      <c r="AZ426" s="160"/>
      <c r="BA426" s="160"/>
      <c r="BB426" s="160"/>
      <c r="BC426" s="160"/>
      <c r="BD426" s="160"/>
      <c r="BE426" s="160"/>
      <c r="BF426" s="160"/>
      <c r="BG426" s="160"/>
      <c r="BH426" s="160"/>
      <c r="BI426" s="160"/>
      <c r="BJ426" s="160"/>
      <c r="BK426" s="160"/>
      <c r="BL426" s="160"/>
      <c r="BM426" s="160"/>
      <c r="BN426" s="160"/>
      <c r="BO426" s="160"/>
      <c r="BP426" s="160"/>
      <c r="BQ426" s="160"/>
      <c r="BR426" s="160"/>
      <c r="BS426" s="160"/>
      <c r="BT426" s="160"/>
      <c r="BU426" s="160"/>
      <c r="BV426" s="160"/>
      <c r="BW426" s="160"/>
      <c r="BX426" s="160"/>
      <c r="BY426" s="160"/>
      <c r="BZ426" s="160"/>
      <c r="CA426" s="160"/>
      <c r="CB426" s="160"/>
      <c r="CC426" s="160"/>
      <c r="CD426" s="160"/>
      <c r="CE426" s="160"/>
      <c r="CF426" s="160"/>
      <c r="CG426" s="160"/>
      <c r="CH426" s="160"/>
      <c r="CI426" s="160"/>
      <c r="CJ426" s="160"/>
      <c r="CK426" s="160"/>
      <c r="CL426" s="160"/>
    </row>
    <row r="427">
      <c r="A427" s="166" t="s">
        <v>409</v>
      </c>
      <c r="B427" s="167" t="s">
        <v>410</v>
      </c>
      <c r="C427" s="168" t="s">
        <v>87</v>
      </c>
      <c r="D427" s="169" t="str">
        <f>IFERROR(VLOOKUP(C427, PIC!A:B, 2, 0), "")</f>
        <v>My Nguyen</v>
      </c>
      <c r="E427" s="167" t="s">
        <v>23</v>
      </c>
      <c r="F427" s="200" t="s">
        <v>865</v>
      </c>
      <c r="G427" s="167"/>
      <c r="H427" s="170">
        <f>IFERROR(
  MINIFS(ATTENDANCE_LOG!$F:$F,
         ATTENDANCE_LOG!$A:$A, C427,
         ATTENDANCE_LOG!$B:$B, E427),
"")</f>
        <v>46038.41667</v>
      </c>
      <c r="I427" s="170">
        <f t="shared" si="2"/>
        <v>45813.45833</v>
      </c>
      <c r="J427" s="167">
        <f>IFERROR(VLOOKUP(F427, LEVEL_HELPER!$A:$B, 2, 0), "")</f>
        <v>5.5</v>
      </c>
      <c r="K427" s="167" t="str">
        <f>IFERROR(VLOOKUP(G427, LEVEL_HELPER!$A:$B, 2, 0), "")</f>
        <v/>
      </c>
      <c r="L427" s="205" t="s">
        <v>869</v>
      </c>
      <c r="M427" s="205" t="s">
        <v>154</v>
      </c>
      <c r="N427" s="11">
        <f t="array" ref="N427">IFERROR(
  INDEX($J$2:$J$531,
    MATCH(A427&amp;TEXT(I427,"yyyy-mm-dd"),
          $A$2:$A$531&amp;TEXT($H$2:$H$531,"yyyy-mm-dd"),
          0)),
"")</f>
        <v>4.5</v>
      </c>
      <c r="O427" s="206">
        <f t="shared" si="3"/>
        <v>5.5</v>
      </c>
      <c r="P427" s="160">
        <f t="shared" ref="P427:Q427" si="437">IF(N427="",0,IF(N427&lt;=2,1,IF(N427&lt;=4,2,IF(N427&lt;=5.5,3,4))))</f>
        <v>3</v>
      </c>
      <c r="Q427" s="160">
        <f t="shared" si="437"/>
        <v>3</v>
      </c>
      <c r="R427" s="160" t="str">
        <f t="shared" si="5"/>
        <v>Progress within level</v>
      </c>
      <c r="S427" s="160">
        <f t="shared" si="6"/>
        <v>0</v>
      </c>
      <c r="T427" s="172" t="s">
        <v>1083</v>
      </c>
      <c r="U427" s="160">
        <f>COUNTIFS(sheet2!$A:$A,A427,sheet2!$E:$E,E427)</f>
        <v>1</v>
      </c>
      <c r="V427" s="160"/>
      <c r="W427" s="160"/>
      <c r="X427" s="160"/>
      <c r="Y427" s="160"/>
      <c r="Z427" s="160"/>
      <c r="AA427" s="160"/>
      <c r="AB427" s="160"/>
      <c r="AC427" s="160"/>
      <c r="AD427" s="160"/>
      <c r="AE427" s="160"/>
      <c r="AF427" s="160"/>
      <c r="AG427" s="160"/>
      <c r="AH427" s="160"/>
      <c r="AI427" s="160"/>
      <c r="AJ427" s="160"/>
      <c r="AK427" s="160"/>
      <c r="AL427" s="160"/>
      <c r="AM427" s="160"/>
      <c r="AN427" s="164"/>
      <c r="AO427" s="160"/>
      <c r="AP427" s="160"/>
      <c r="AQ427" s="160"/>
      <c r="AR427" s="160"/>
      <c r="AS427" s="160"/>
      <c r="AT427" s="160"/>
      <c r="AU427" s="160"/>
      <c r="AV427" s="160"/>
      <c r="AW427" s="160"/>
      <c r="AX427" s="160"/>
      <c r="AY427" s="160"/>
      <c r="AZ427" s="160"/>
      <c r="BA427" s="160"/>
      <c r="BB427" s="160"/>
      <c r="BC427" s="160"/>
      <c r="BD427" s="160"/>
      <c r="BE427" s="160"/>
      <c r="BF427" s="160"/>
      <c r="BG427" s="160"/>
      <c r="BH427" s="160"/>
      <c r="BI427" s="160"/>
      <c r="BJ427" s="160"/>
      <c r="BK427" s="160"/>
      <c r="BL427" s="160"/>
      <c r="BM427" s="160"/>
      <c r="BN427" s="160"/>
      <c r="BO427" s="160"/>
      <c r="BP427" s="160"/>
      <c r="BQ427" s="160"/>
      <c r="BR427" s="160"/>
      <c r="BS427" s="160"/>
      <c r="BT427" s="160"/>
      <c r="BU427" s="160"/>
      <c r="BV427" s="160"/>
      <c r="BW427" s="160"/>
      <c r="BX427" s="160"/>
      <c r="BY427" s="160"/>
      <c r="BZ427" s="160"/>
      <c r="CA427" s="160"/>
      <c r="CB427" s="160"/>
      <c r="CC427" s="160"/>
      <c r="CD427" s="160"/>
      <c r="CE427" s="160"/>
      <c r="CF427" s="160"/>
      <c r="CG427" s="160"/>
      <c r="CH427" s="160"/>
      <c r="CI427" s="160"/>
      <c r="CJ427" s="160"/>
      <c r="CK427" s="160"/>
      <c r="CL427" s="160"/>
    </row>
    <row r="428">
      <c r="A428" s="174" t="s">
        <v>411</v>
      </c>
      <c r="B428" s="11" t="s">
        <v>412</v>
      </c>
      <c r="C428" s="175" t="s">
        <v>87</v>
      </c>
      <c r="D428" s="176" t="str">
        <f>IFERROR(VLOOKUP(C428, PIC!A:B, 2, 0), "")</f>
        <v>My Nguyen</v>
      </c>
      <c r="E428" s="11" t="s">
        <v>23</v>
      </c>
      <c r="F428" s="16" t="s">
        <v>846</v>
      </c>
      <c r="G428" s="11"/>
      <c r="H428" s="170">
        <f>IFERROR(
  MINIFS(ATTENDANCE_LOG!$F:$F,
         ATTENDANCE_LOG!$A:$A, C428,
         ATTENDANCE_LOG!$B:$B, E428),
"")</f>
        <v>46038.41667</v>
      </c>
      <c r="I428" s="170">
        <f t="shared" si="2"/>
        <v>45813.45833</v>
      </c>
      <c r="J428" s="11">
        <f>IFERROR(VLOOKUP(F428, LEVEL_HELPER!$A:$B, 2, 0), "")</f>
        <v>3</v>
      </c>
      <c r="K428" s="11" t="str">
        <f>IFERROR(VLOOKUP(G428, LEVEL_HELPER!$A:$B, 2, 0), "")</f>
        <v/>
      </c>
      <c r="L428" s="171" t="s">
        <v>397</v>
      </c>
      <c r="M428" s="171" t="s">
        <v>154</v>
      </c>
      <c r="N428" s="11">
        <f t="array" ref="N428">IFERROR(
  INDEX($J$2:$J$531,
    MATCH(A428&amp;TEXT(I428,"yyyy-mm-dd"),
          $A$2:$A$531&amp;TEXT($H$2:$H$531,"yyyy-mm-dd"),
          0)),
"")</f>
        <v>1</v>
      </c>
      <c r="O428" s="160">
        <f t="shared" si="3"/>
        <v>3</v>
      </c>
      <c r="P428" s="160">
        <f t="shared" ref="P428:Q428" si="438">IF(N428="",0,IF(N428&lt;=2,1,IF(N428&lt;=4,2,IF(N428&lt;=5.5,3,4))))</f>
        <v>1</v>
      </c>
      <c r="Q428" s="160">
        <f t="shared" si="438"/>
        <v>2</v>
      </c>
      <c r="R428" s="160" t="str">
        <f t="shared" si="5"/>
        <v>Lv1 → Lv2</v>
      </c>
      <c r="S428" s="160">
        <f t="shared" si="6"/>
        <v>0</v>
      </c>
      <c r="T428" s="177" t="s">
        <v>1084</v>
      </c>
      <c r="U428" s="160">
        <f>COUNTIFS(sheet2!$A:$A,A428,sheet2!$E:$E,E428)</f>
        <v>1</v>
      </c>
      <c r="V428" s="160"/>
      <c r="W428" s="160"/>
      <c r="X428" s="160"/>
      <c r="Y428" s="160"/>
      <c r="Z428" s="160"/>
      <c r="AA428" s="160"/>
      <c r="AB428" s="160"/>
      <c r="AC428" s="160"/>
      <c r="AD428" s="160"/>
      <c r="AE428" s="160"/>
      <c r="AF428" s="160"/>
      <c r="AG428" s="160"/>
      <c r="AH428" s="160"/>
      <c r="AI428" s="160"/>
      <c r="AJ428" s="160"/>
      <c r="AK428" s="160"/>
      <c r="AL428" s="160"/>
      <c r="AM428" s="160"/>
      <c r="AN428" s="164"/>
      <c r="AO428" s="160"/>
      <c r="AP428" s="160"/>
      <c r="AQ428" s="160"/>
      <c r="AR428" s="160"/>
      <c r="AS428" s="160"/>
      <c r="AT428" s="160"/>
      <c r="AU428" s="160"/>
      <c r="AV428" s="160"/>
      <c r="AW428" s="160"/>
      <c r="AX428" s="160"/>
      <c r="AY428" s="160"/>
      <c r="AZ428" s="160"/>
      <c r="BA428" s="160"/>
      <c r="BB428" s="160"/>
      <c r="BC428" s="160"/>
      <c r="BD428" s="160"/>
      <c r="BE428" s="160"/>
      <c r="BF428" s="160"/>
      <c r="BG428" s="160"/>
      <c r="BH428" s="160"/>
      <c r="BI428" s="160"/>
      <c r="BJ428" s="160"/>
      <c r="BK428" s="160"/>
      <c r="BL428" s="160"/>
      <c r="BM428" s="160"/>
      <c r="BN428" s="160"/>
      <c r="BO428" s="160"/>
      <c r="BP428" s="160"/>
      <c r="BQ428" s="160"/>
      <c r="BR428" s="160"/>
      <c r="BS428" s="160"/>
      <c r="BT428" s="160"/>
      <c r="BU428" s="160"/>
      <c r="BV428" s="160"/>
      <c r="BW428" s="160"/>
      <c r="BX428" s="160"/>
      <c r="BY428" s="160"/>
      <c r="BZ428" s="160"/>
      <c r="CA428" s="160"/>
      <c r="CB428" s="160"/>
      <c r="CC428" s="160"/>
      <c r="CD428" s="160"/>
      <c r="CE428" s="160"/>
      <c r="CF428" s="160"/>
      <c r="CG428" s="160"/>
      <c r="CH428" s="160"/>
      <c r="CI428" s="160"/>
      <c r="CJ428" s="160"/>
      <c r="CK428" s="160"/>
      <c r="CL428" s="160"/>
    </row>
    <row r="429">
      <c r="A429" s="174" t="s">
        <v>413</v>
      </c>
      <c r="B429" s="11" t="s">
        <v>414</v>
      </c>
      <c r="C429" s="175" t="s">
        <v>87</v>
      </c>
      <c r="D429" s="176" t="str">
        <f>IFERROR(VLOOKUP(C429, PIC!A:B, 2, 0), "")</f>
        <v>My Nguyen</v>
      </c>
      <c r="E429" s="11" t="s">
        <v>23</v>
      </c>
      <c r="F429" s="16" t="s">
        <v>846</v>
      </c>
      <c r="G429" s="11"/>
      <c r="H429" s="170">
        <f>IFERROR(
  MINIFS(ATTENDANCE_LOG!$F:$F,
         ATTENDANCE_LOG!$A:$A, C429,
         ATTENDANCE_LOG!$B:$B, E429),
"")</f>
        <v>46038.41667</v>
      </c>
      <c r="I429" s="170">
        <f t="shared" si="2"/>
        <v>45813.45833</v>
      </c>
      <c r="J429" s="11">
        <f>IFERROR(VLOOKUP(F429, LEVEL_HELPER!$A:$B, 2, 0), "")</f>
        <v>3</v>
      </c>
      <c r="K429" s="11" t="str">
        <f>IFERROR(VLOOKUP(G429, LEVEL_HELPER!$A:$B, 2, 0), "")</f>
        <v/>
      </c>
      <c r="L429" s="171" t="s">
        <v>400</v>
      </c>
      <c r="M429" s="171" t="s">
        <v>154</v>
      </c>
      <c r="N429" s="11">
        <f t="array" ref="N429">IFERROR(
  INDEX($J$2:$J$531,
    MATCH(A429&amp;TEXT(I429,"yyyy-mm-dd"),
          $A$2:$A$531&amp;TEXT($H$2:$H$531,"yyyy-mm-dd"),
          0)),
"")</f>
        <v>1</v>
      </c>
      <c r="O429" s="160">
        <f t="shared" si="3"/>
        <v>3</v>
      </c>
      <c r="P429" s="160">
        <f t="shared" ref="P429:Q429" si="439">IF(N429="",0,IF(N429&lt;=2,1,IF(N429&lt;=4,2,IF(N429&lt;=5.5,3,4))))</f>
        <v>1</v>
      </c>
      <c r="Q429" s="160">
        <f t="shared" si="439"/>
        <v>2</v>
      </c>
      <c r="R429" s="160" t="str">
        <f t="shared" si="5"/>
        <v>Lv1 → Lv2</v>
      </c>
      <c r="S429" s="160">
        <f t="shared" si="6"/>
        <v>0</v>
      </c>
      <c r="T429" s="177" t="s">
        <v>1085</v>
      </c>
      <c r="U429" s="160">
        <f>COUNTIFS(sheet2!$A:$A,A429,sheet2!$E:$E,E429)</f>
        <v>1</v>
      </c>
      <c r="V429" s="160"/>
      <c r="W429" s="160"/>
      <c r="X429" s="160"/>
      <c r="Y429" s="160"/>
      <c r="Z429" s="160"/>
      <c r="AA429" s="160"/>
      <c r="AB429" s="160"/>
      <c r="AC429" s="160"/>
      <c r="AD429" s="160"/>
      <c r="AE429" s="160"/>
      <c r="AF429" s="160"/>
      <c r="AG429" s="160"/>
      <c r="AH429" s="160"/>
      <c r="AI429" s="160"/>
      <c r="AJ429" s="160"/>
      <c r="AK429" s="160"/>
      <c r="AL429" s="160"/>
      <c r="AM429" s="160"/>
      <c r="AN429" s="164"/>
      <c r="AO429" s="160"/>
      <c r="AP429" s="160"/>
      <c r="AQ429" s="160"/>
      <c r="AR429" s="160"/>
      <c r="AS429" s="160"/>
      <c r="AT429" s="160"/>
      <c r="AU429" s="160"/>
      <c r="AV429" s="160"/>
      <c r="AW429" s="160"/>
      <c r="AX429" s="160"/>
      <c r="AY429" s="160"/>
      <c r="AZ429" s="160"/>
      <c r="BA429" s="160"/>
      <c r="BB429" s="160"/>
      <c r="BC429" s="160"/>
      <c r="BD429" s="160"/>
      <c r="BE429" s="160"/>
      <c r="BF429" s="160"/>
      <c r="BG429" s="160"/>
      <c r="BH429" s="160"/>
      <c r="BI429" s="160"/>
      <c r="BJ429" s="160"/>
      <c r="BK429" s="160"/>
      <c r="BL429" s="160"/>
      <c r="BM429" s="160"/>
      <c r="BN429" s="160"/>
      <c r="BO429" s="160"/>
      <c r="BP429" s="160"/>
      <c r="BQ429" s="160"/>
      <c r="BR429" s="160"/>
      <c r="BS429" s="160"/>
      <c r="BT429" s="160"/>
      <c r="BU429" s="160"/>
      <c r="BV429" s="160"/>
      <c r="BW429" s="160"/>
      <c r="BX429" s="160"/>
      <c r="BY429" s="160"/>
      <c r="BZ429" s="160"/>
      <c r="CA429" s="160"/>
      <c r="CB429" s="160"/>
      <c r="CC429" s="160"/>
      <c r="CD429" s="160"/>
      <c r="CE429" s="160"/>
      <c r="CF429" s="160"/>
      <c r="CG429" s="160"/>
      <c r="CH429" s="160"/>
      <c r="CI429" s="160"/>
      <c r="CJ429" s="160"/>
      <c r="CK429" s="160"/>
      <c r="CL429" s="160"/>
    </row>
    <row r="430">
      <c r="A430" s="174" t="s">
        <v>415</v>
      </c>
      <c r="B430" s="11" t="s">
        <v>416</v>
      </c>
      <c r="C430" s="175" t="s">
        <v>87</v>
      </c>
      <c r="D430" s="176" t="str">
        <f>IFERROR(VLOOKUP(C430, PIC!A:B, 2, 0), "")</f>
        <v>My Nguyen</v>
      </c>
      <c r="E430" s="11" t="s">
        <v>23</v>
      </c>
      <c r="F430" s="16" t="s">
        <v>849</v>
      </c>
      <c r="G430" s="11"/>
      <c r="H430" s="170">
        <f>IFERROR(
  MINIFS(ATTENDANCE_LOG!$F:$F,
         ATTENDANCE_LOG!$A:$A, C430,
         ATTENDANCE_LOG!$B:$B, E430),
"")</f>
        <v>46038.41667</v>
      </c>
      <c r="I430" s="170">
        <f t="shared" si="2"/>
        <v>45813.45833</v>
      </c>
      <c r="J430" s="11">
        <f>IFERROR(VLOOKUP(F430, LEVEL_HELPER!$A:$B, 2, 0), "")</f>
        <v>1</v>
      </c>
      <c r="K430" s="11" t="str">
        <f>IFERROR(VLOOKUP(G430, LEVEL_HELPER!$A:$B, 2, 0), "")</f>
        <v/>
      </c>
      <c r="L430" s="171" t="s">
        <v>400</v>
      </c>
      <c r="M430" s="171" t="s">
        <v>154</v>
      </c>
      <c r="N430" s="11">
        <f t="array" ref="N430">IFERROR(
  INDEX($J$2:$J$531,
    MATCH(A430&amp;TEXT(I430,"yyyy-mm-dd"),
          $A$2:$A$531&amp;TEXT($H$2:$H$531,"yyyy-mm-dd"),
          0)),
"")</f>
        <v>1</v>
      </c>
      <c r="O430" s="160">
        <f t="shared" si="3"/>
        <v>1</v>
      </c>
      <c r="P430" s="160">
        <f t="shared" ref="P430:Q430" si="440">IF(N430="",0,IF(N430&lt;=2,1,IF(N430&lt;=4,2,IF(N430&lt;=5.5,3,4))))</f>
        <v>1</v>
      </c>
      <c r="Q430" s="160">
        <f t="shared" si="440"/>
        <v>1</v>
      </c>
      <c r="R430" s="160" t="str">
        <f t="shared" si="5"/>
        <v>No Progress</v>
      </c>
      <c r="S430" s="160">
        <f t="shared" si="6"/>
        <v>0</v>
      </c>
      <c r="T430" s="177" t="s">
        <v>1086</v>
      </c>
      <c r="U430" s="160">
        <f>COUNTIFS(sheet2!$A:$A,A430,sheet2!$E:$E,E430)</f>
        <v>1</v>
      </c>
      <c r="V430" s="160"/>
      <c r="W430" s="160"/>
      <c r="X430" s="160"/>
      <c r="Y430" s="160"/>
      <c r="Z430" s="160"/>
      <c r="AA430" s="160"/>
      <c r="AB430" s="160"/>
      <c r="AC430" s="160"/>
      <c r="AD430" s="160"/>
      <c r="AE430" s="160"/>
      <c r="AF430" s="160"/>
      <c r="AG430" s="160"/>
      <c r="AH430" s="160"/>
      <c r="AI430" s="160"/>
      <c r="AJ430" s="160"/>
      <c r="AK430" s="160"/>
      <c r="AL430" s="160"/>
      <c r="AM430" s="160"/>
      <c r="AN430" s="164"/>
      <c r="AO430" s="160"/>
      <c r="AP430" s="160"/>
      <c r="AQ430" s="160"/>
      <c r="AR430" s="160"/>
      <c r="AS430" s="160"/>
      <c r="AT430" s="160"/>
      <c r="AU430" s="160"/>
      <c r="AV430" s="160"/>
      <c r="AW430" s="160"/>
      <c r="AX430" s="160"/>
      <c r="AY430" s="160"/>
      <c r="AZ430" s="160"/>
      <c r="BA430" s="160"/>
      <c r="BB430" s="160"/>
      <c r="BC430" s="160"/>
      <c r="BD430" s="160"/>
      <c r="BE430" s="160"/>
      <c r="BF430" s="160"/>
      <c r="BG430" s="160"/>
      <c r="BH430" s="160"/>
      <c r="BI430" s="160"/>
      <c r="BJ430" s="160"/>
      <c r="BK430" s="160"/>
      <c r="BL430" s="160"/>
      <c r="BM430" s="160"/>
      <c r="BN430" s="160"/>
      <c r="BO430" s="160"/>
      <c r="BP430" s="160"/>
      <c r="BQ430" s="160"/>
      <c r="BR430" s="160"/>
      <c r="BS430" s="160"/>
      <c r="BT430" s="160"/>
      <c r="BU430" s="160"/>
      <c r="BV430" s="160"/>
      <c r="BW430" s="160"/>
      <c r="BX430" s="160"/>
      <c r="BY430" s="160"/>
      <c r="BZ430" s="160"/>
      <c r="CA430" s="160"/>
      <c r="CB430" s="160"/>
      <c r="CC430" s="160"/>
      <c r="CD430" s="160"/>
      <c r="CE430" s="160"/>
      <c r="CF430" s="160"/>
      <c r="CG430" s="160"/>
      <c r="CH430" s="160"/>
      <c r="CI430" s="160"/>
      <c r="CJ430" s="160"/>
      <c r="CK430" s="160"/>
      <c r="CL430" s="160"/>
    </row>
    <row r="431">
      <c r="A431" s="166" t="s">
        <v>322</v>
      </c>
      <c r="B431" s="167" t="s">
        <v>323</v>
      </c>
      <c r="C431" s="168" t="s">
        <v>88</v>
      </c>
      <c r="D431" s="169" t="str">
        <f>IFERROR(VLOOKUP(C431, PIC!A:B, 2, 0), "")</f>
        <v>Huy Nguyen</v>
      </c>
      <c r="E431" s="167" t="s">
        <v>22</v>
      </c>
      <c r="F431" s="200" t="s">
        <v>849</v>
      </c>
      <c r="G431" s="200" t="s">
        <v>853</v>
      </c>
      <c r="H431" s="170">
        <f>IFERROR(
  MINIFS(ATTENDANCE_LOG!$F:$F,
         ATTENDANCE_LOG!$A:$A, C431,
         ATTENDANCE_LOG!$B:$B, E431),
"")</f>
        <v>45882.54167</v>
      </c>
      <c r="I431" s="170">
        <f t="shared" si="2"/>
        <v>45763.54167</v>
      </c>
      <c r="J431" s="167">
        <f>IFERROR(VLOOKUP(F431, LEVEL_HELPER!$A:$B, 2, 0), "")</f>
        <v>1</v>
      </c>
      <c r="K431" s="167">
        <f>IFERROR(VLOOKUP(G431, LEVEL_HELPER!$A:$B, 2, 0), "")</f>
        <v>1.5</v>
      </c>
      <c r="L431" s="205" t="s">
        <v>400</v>
      </c>
      <c r="M431" s="205" t="s">
        <v>150</v>
      </c>
      <c r="N431" s="11">
        <f t="array" ref="N431">IFERROR(
  INDEX($J$2:$J$531,
    MATCH(A431&amp;TEXT(I431,"yyyy-mm-dd"),
          $A$2:$A$531&amp;TEXT($H$2:$H$531,"yyyy-mm-dd"),
          0)),
"")</f>
        <v>1</v>
      </c>
      <c r="O431" s="206">
        <f t="shared" si="3"/>
        <v>1.5</v>
      </c>
      <c r="P431" s="160">
        <f t="shared" ref="P431:Q431" si="441">IF(N431="",0,IF(N431&lt;=2,1,IF(N431&lt;=4,2,IF(N431&lt;=5.5,3,4))))</f>
        <v>1</v>
      </c>
      <c r="Q431" s="160">
        <f t="shared" si="441"/>
        <v>1</v>
      </c>
      <c r="R431" s="160" t="str">
        <f t="shared" si="5"/>
        <v>Progress within level</v>
      </c>
      <c r="S431" s="160">
        <f t="shared" si="6"/>
        <v>0</v>
      </c>
      <c r="T431" s="177" t="s">
        <v>1008</v>
      </c>
      <c r="U431" s="160">
        <f>COUNTIFS(sheet2!$A:$A,A431,sheet2!$E:$E,E431)</f>
        <v>2</v>
      </c>
      <c r="V431" s="160"/>
      <c r="W431" s="160"/>
      <c r="X431" s="160"/>
      <c r="Y431" s="160"/>
      <c r="Z431" s="160"/>
      <c r="AA431" s="160"/>
      <c r="AB431" s="160"/>
      <c r="AC431" s="160"/>
      <c r="AD431" s="160"/>
      <c r="AE431" s="160"/>
      <c r="AF431" s="160"/>
      <c r="AG431" s="160"/>
      <c r="AH431" s="160"/>
      <c r="AI431" s="160"/>
      <c r="AJ431" s="160"/>
      <c r="AK431" s="160"/>
      <c r="AL431" s="160"/>
      <c r="AM431" s="160"/>
      <c r="AN431" s="164"/>
      <c r="AO431" s="160"/>
      <c r="AP431" s="160"/>
      <c r="AQ431" s="160"/>
      <c r="AR431" s="160"/>
      <c r="AS431" s="160"/>
      <c r="AT431" s="160"/>
      <c r="AU431" s="160"/>
      <c r="AV431" s="160"/>
      <c r="AW431" s="160"/>
      <c r="AX431" s="160"/>
      <c r="AY431" s="160"/>
      <c r="AZ431" s="160"/>
      <c r="BA431" s="160"/>
      <c r="BB431" s="160"/>
      <c r="BC431" s="160"/>
      <c r="BD431" s="160"/>
      <c r="BE431" s="160"/>
      <c r="BF431" s="160"/>
      <c r="BG431" s="160"/>
      <c r="BH431" s="160"/>
      <c r="BI431" s="160"/>
      <c r="BJ431" s="160"/>
      <c r="BK431" s="160"/>
      <c r="BL431" s="160"/>
      <c r="BM431" s="160"/>
      <c r="BN431" s="160"/>
      <c r="BO431" s="160"/>
      <c r="BP431" s="160"/>
      <c r="BQ431" s="160"/>
      <c r="BR431" s="160"/>
      <c r="BS431" s="160"/>
      <c r="BT431" s="160"/>
      <c r="BU431" s="160"/>
      <c r="BV431" s="160"/>
      <c r="BW431" s="160"/>
      <c r="BX431" s="160"/>
      <c r="BY431" s="160"/>
      <c r="BZ431" s="160"/>
      <c r="CA431" s="160"/>
      <c r="CB431" s="160"/>
      <c r="CC431" s="160"/>
      <c r="CD431" s="160"/>
      <c r="CE431" s="160"/>
      <c r="CF431" s="160"/>
      <c r="CG431" s="160"/>
      <c r="CH431" s="160"/>
      <c r="CI431" s="160"/>
      <c r="CJ431" s="160"/>
      <c r="CK431" s="160"/>
      <c r="CL431" s="160"/>
    </row>
    <row r="432">
      <c r="A432" s="174" t="s">
        <v>316</v>
      </c>
      <c r="B432" s="11" t="s">
        <v>317</v>
      </c>
      <c r="C432" s="175" t="s">
        <v>88</v>
      </c>
      <c r="D432" s="176" t="str">
        <f>IFERROR(VLOOKUP(C432, PIC!A:B, 2, 0), "")</f>
        <v>Huy Nguyen</v>
      </c>
      <c r="E432" s="11" t="s">
        <v>22</v>
      </c>
      <c r="F432" s="16" t="s">
        <v>849</v>
      </c>
      <c r="G432" s="16" t="s">
        <v>861</v>
      </c>
      <c r="H432" s="170">
        <f>IFERROR(
  MINIFS(ATTENDANCE_LOG!$F:$F,
         ATTENDANCE_LOG!$A:$A, C432,
         ATTENDANCE_LOG!$B:$B, E432),
"")</f>
        <v>45882.54167</v>
      </c>
      <c r="I432" s="170">
        <f t="shared" si="2"/>
        <v>45715.45833</v>
      </c>
      <c r="J432" s="11">
        <f>IFERROR(VLOOKUP(F432, LEVEL_HELPER!$A:$B, 2, 0), "")</f>
        <v>1</v>
      </c>
      <c r="K432" s="11">
        <f>IFERROR(VLOOKUP(G432, LEVEL_HELPER!$A:$B, 2, 0), "")</f>
        <v>3.5</v>
      </c>
      <c r="L432" s="171" t="s">
        <v>880</v>
      </c>
      <c r="M432" s="183" t="s">
        <v>149</v>
      </c>
      <c r="N432" s="11">
        <f t="array" ref="N432">IFERROR(
  INDEX($J$2:$J$531,
    MATCH(A432&amp;TEXT(I432,"yyyy-mm-dd"),
          $A$2:$A$531&amp;TEXT($H$2:$H$531,"yyyy-mm-dd"),
          0)),
"")</f>
        <v>1</v>
      </c>
      <c r="O432" s="160">
        <f t="shared" si="3"/>
        <v>3.5</v>
      </c>
      <c r="P432" s="160">
        <f t="shared" ref="P432:Q432" si="442">IF(N432="",0,IF(N432&lt;=2,1,IF(N432&lt;=4,2,IF(N432&lt;=5.5,3,4))))</f>
        <v>1</v>
      </c>
      <c r="Q432" s="160">
        <f t="shared" si="442"/>
        <v>2</v>
      </c>
      <c r="R432" s="160" t="str">
        <f t="shared" si="5"/>
        <v>Lv1 → Lv2</v>
      </c>
      <c r="S432" s="160">
        <f t="shared" si="6"/>
        <v>0</v>
      </c>
      <c r="T432" s="177" t="s">
        <v>881</v>
      </c>
      <c r="U432" s="160">
        <f>COUNTIFS(sheet2!$A:$A,A432,sheet2!$E:$E,E432)</f>
        <v>2</v>
      </c>
      <c r="V432" s="160"/>
      <c r="W432" s="160"/>
      <c r="X432" s="160"/>
      <c r="Y432" s="160"/>
      <c r="Z432" s="160"/>
      <c r="AA432" s="160"/>
      <c r="AB432" s="160"/>
      <c r="AC432" s="160"/>
      <c r="AD432" s="160"/>
      <c r="AE432" s="160"/>
      <c r="AF432" s="160"/>
      <c r="AG432" s="160"/>
      <c r="AH432" s="160"/>
      <c r="AI432" s="160"/>
      <c r="AJ432" s="160"/>
      <c r="AK432" s="160"/>
      <c r="AL432" s="160"/>
      <c r="AM432" s="160"/>
      <c r="AN432" s="164"/>
      <c r="AO432" s="160"/>
      <c r="AP432" s="160"/>
      <c r="AQ432" s="160"/>
      <c r="AR432" s="160"/>
      <c r="AS432" s="160"/>
      <c r="AT432" s="160"/>
      <c r="AU432" s="160"/>
      <c r="AV432" s="160"/>
      <c r="AW432" s="160"/>
      <c r="AX432" s="160"/>
      <c r="AY432" s="160"/>
      <c r="AZ432" s="160"/>
      <c r="BA432" s="160"/>
      <c r="BB432" s="160"/>
      <c r="BC432" s="160"/>
      <c r="BD432" s="160"/>
      <c r="BE432" s="160"/>
      <c r="BF432" s="160"/>
      <c r="BG432" s="160"/>
      <c r="BH432" s="160"/>
      <c r="BI432" s="160"/>
      <c r="BJ432" s="160"/>
      <c r="BK432" s="160"/>
      <c r="BL432" s="160"/>
      <c r="BM432" s="160"/>
      <c r="BN432" s="160"/>
      <c r="BO432" s="160"/>
      <c r="BP432" s="160"/>
      <c r="BQ432" s="160"/>
      <c r="BR432" s="160"/>
      <c r="BS432" s="160"/>
      <c r="BT432" s="160"/>
      <c r="BU432" s="160"/>
      <c r="BV432" s="160"/>
      <c r="BW432" s="160"/>
      <c r="BX432" s="160"/>
      <c r="BY432" s="160"/>
      <c r="BZ432" s="160"/>
      <c r="CA432" s="160"/>
      <c r="CB432" s="160"/>
      <c r="CC432" s="160"/>
      <c r="CD432" s="160"/>
      <c r="CE432" s="160"/>
      <c r="CF432" s="160"/>
      <c r="CG432" s="160"/>
      <c r="CH432" s="160"/>
      <c r="CI432" s="160"/>
      <c r="CJ432" s="160"/>
      <c r="CK432" s="160"/>
      <c r="CL432" s="160"/>
    </row>
    <row r="433">
      <c r="A433" s="174" t="s">
        <v>766</v>
      </c>
      <c r="B433" s="11" t="s">
        <v>767</v>
      </c>
      <c r="C433" s="175" t="s">
        <v>88</v>
      </c>
      <c r="D433" s="176" t="str">
        <f>IFERROR(VLOOKUP(C433, PIC!A:B, 2, 0), "")</f>
        <v>Huy Nguyen</v>
      </c>
      <c r="E433" s="11" t="s">
        <v>22</v>
      </c>
      <c r="F433" s="16" t="s">
        <v>849</v>
      </c>
      <c r="G433" s="11"/>
      <c r="H433" s="170">
        <f>IFERROR(
  MINIFS(ATTENDANCE_LOG!$F:$F,
         ATTENDANCE_LOG!$A:$A, C433,
         ATTENDANCE_LOG!$B:$B, E433),
"")</f>
        <v>45882.54167</v>
      </c>
      <c r="I433" s="170">
        <f t="shared" si="2"/>
        <v>45765.375</v>
      </c>
      <c r="J433" s="11">
        <f>IFERROR(VLOOKUP(F433, LEVEL_HELPER!$A:$B, 2, 0), "")</f>
        <v>1</v>
      </c>
      <c r="K433" s="11" t="str">
        <f>IFERROR(VLOOKUP(G433, LEVEL_HELPER!$A:$B, 2, 0), "")</f>
        <v/>
      </c>
      <c r="L433" s="171" t="s">
        <v>400</v>
      </c>
      <c r="M433" s="171" t="s">
        <v>150</v>
      </c>
      <c r="N433" s="11">
        <f t="array" ref="N433">IFERROR(
  INDEX($J$2:$J$531,
    MATCH(A433&amp;TEXT(I433,"yyyy-mm-dd"),
          $A$2:$A$531&amp;TEXT($H$2:$H$531,"yyyy-mm-dd"),
          0)),
"")</f>
        <v>1</v>
      </c>
      <c r="O433" s="160">
        <f t="shared" si="3"/>
        <v>3</v>
      </c>
      <c r="P433" s="160">
        <f t="shared" ref="P433:Q433" si="443">IF(N433="",0,IF(N433&lt;=2,1,IF(N433&lt;=4,2,IF(N433&lt;=5.5,3,4))))</f>
        <v>1</v>
      </c>
      <c r="Q433" s="160">
        <f t="shared" si="443"/>
        <v>2</v>
      </c>
      <c r="R433" s="160" t="str">
        <f t="shared" si="5"/>
        <v>Lv1 → Lv2</v>
      </c>
      <c r="S433" s="160">
        <f t="shared" si="6"/>
        <v>0</v>
      </c>
      <c r="T433" s="198"/>
      <c r="U433" s="160">
        <f>COUNTIFS(sheet2!$A:$A,A433,sheet2!$E:$E,E433)</f>
        <v>3</v>
      </c>
      <c r="V433" s="160"/>
      <c r="W433" s="160"/>
      <c r="X433" s="160"/>
      <c r="Y433" s="160"/>
      <c r="Z433" s="160"/>
      <c r="AA433" s="160"/>
      <c r="AB433" s="160"/>
      <c r="AC433" s="160"/>
      <c r="AD433" s="160"/>
      <c r="AE433" s="160"/>
      <c r="AF433" s="160"/>
      <c r="AG433" s="160"/>
      <c r="AH433" s="160"/>
      <c r="AI433" s="160"/>
      <c r="AJ433" s="160"/>
      <c r="AK433" s="160"/>
      <c r="AL433" s="160"/>
      <c r="AM433" s="160"/>
      <c r="AN433" s="164"/>
      <c r="AO433" s="160"/>
      <c r="AP433" s="160"/>
      <c r="AQ433" s="160"/>
      <c r="AR433" s="160"/>
      <c r="AS433" s="160"/>
      <c r="AT433" s="160"/>
      <c r="AU433" s="160"/>
      <c r="AV433" s="160"/>
      <c r="AW433" s="160"/>
      <c r="AX433" s="160"/>
      <c r="AY433" s="160"/>
      <c r="AZ433" s="160"/>
      <c r="BA433" s="160"/>
      <c r="BB433" s="160"/>
      <c r="BC433" s="160"/>
      <c r="BD433" s="160"/>
      <c r="BE433" s="160"/>
      <c r="BF433" s="160"/>
      <c r="BG433" s="160"/>
      <c r="BH433" s="160"/>
      <c r="BI433" s="160"/>
      <c r="BJ433" s="160"/>
      <c r="BK433" s="160"/>
      <c r="BL433" s="160"/>
      <c r="BM433" s="160"/>
      <c r="BN433" s="160"/>
      <c r="BO433" s="160"/>
      <c r="BP433" s="160"/>
      <c r="BQ433" s="160"/>
      <c r="BR433" s="160"/>
      <c r="BS433" s="160"/>
      <c r="BT433" s="160"/>
      <c r="BU433" s="160"/>
      <c r="BV433" s="160"/>
      <c r="BW433" s="160"/>
      <c r="BX433" s="160"/>
      <c r="BY433" s="160"/>
      <c r="BZ433" s="160"/>
      <c r="CA433" s="160"/>
      <c r="CB433" s="160"/>
      <c r="CC433" s="160"/>
      <c r="CD433" s="160"/>
      <c r="CE433" s="160"/>
      <c r="CF433" s="160"/>
      <c r="CG433" s="160"/>
      <c r="CH433" s="160"/>
      <c r="CI433" s="160"/>
      <c r="CJ433" s="160"/>
      <c r="CK433" s="160"/>
      <c r="CL433" s="160"/>
    </row>
    <row r="434">
      <c r="A434" s="174" t="s">
        <v>318</v>
      </c>
      <c r="B434" s="11" t="s">
        <v>319</v>
      </c>
      <c r="C434" s="175" t="s">
        <v>88</v>
      </c>
      <c r="D434" s="176" t="str">
        <f>IFERROR(VLOOKUP(C434, PIC!A:B, 2, 0), "")</f>
        <v>Huy Nguyen</v>
      </c>
      <c r="E434" s="11" t="s">
        <v>22</v>
      </c>
      <c r="F434" s="16" t="s">
        <v>849</v>
      </c>
      <c r="G434" s="16" t="s">
        <v>861</v>
      </c>
      <c r="H434" s="170">
        <f>IFERROR(
  MINIFS(ATTENDANCE_LOG!$F:$F,
         ATTENDANCE_LOG!$A:$A, C434,
         ATTENDANCE_LOG!$B:$B, E434),
"")</f>
        <v>45882.54167</v>
      </c>
      <c r="I434" s="170">
        <f t="shared" si="2"/>
        <v>45715.45833</v>
      </c>
      <c r="J434" s="11">
        <f>IFERROR(VLOOKUP(F434, LEVEL_HELPER!$A:$B, 2, 0), "")</f>
        <v>1</v>
      </c>
      <c r="K434" s="11">
        <f>IFERROR(VLOOKUP(G434, LEVEL_HELPER!$A:$B, 2, 0), "")</f>
        <v>3.5</v>
      </c>
      <c r="L434" s="171" t="s">
        <v>847</v>
      </c>
      <c r="M434" s="171" t="s">
        <v>150</v>
      </c>
      <c r="N434" s="11">
        <f t="array" ref="N434">IFERROR(
  INDEX($J$2:$J$531,
    MATCH(A434&amp;TEXT(I434,"yyyy-mm-dd"),
          $A$2:$A$531&amp;TEXT($H$2:$H$531,"yyyy-mm-dd"),
          0)),
"")</f>
        <v>1</v>
      </c>
      <c r="O434" s="160">
        <f t="shared" si="3"/>
        <v>3.5</v>
      </c>
      <c r="P434" s="160">
        <f t="shared" ref="P434:Q434" si="444">IF(N434="",0,IF(N434&lt;=2,1,IF(N434&lt;=4,2,IF(N434&lt;=5.5,3,4))))</f>
        <v>1</v>
      </c>
      <c r="Q434" s="160">
        <f t="shared" si="444"/>
        <v>2</v>
      </c>
      <c r="R434" s="160" t="str">
        <f t="shared" si="5"/>
        <v>Lv1 → Lv2</v>
      </c>
      <c r="S434" s="160">
        <f t="shared" si="6"/>
        <v>0</v>
      </c>
      <c r="T434" s="177" t="s">
        <v>883</v>
      </c>
      <c r="U434" s="160">
        <f>COUNTIFS(sheet2!$A:$A,A434,sheet2!$E:$E,E434)</f>
        <v>2</v>
      </c>
      <c r="V434" s="160"/>
      <c r="W434" s="160"/>
      <c r="X434" s="160"/>
      <c r="Y434" s="160"/>
      <c r="Z434" s="160"/>
      <c r="AA434" s="160"/>
      <c r="AB434" s="160"/>
      <c r="AC434" s="160"/>
      <c r="AD434" s="160"/>
      <c r="AE434" s="160"/>
      <c r="AF434" s="160"/>
      <c r="AG434" s="160"/>
      <c r="AH434" s="160"/>
      <c r="AI434" s="160"/>
      <c r="AJ434" s="160"/>
      <c r="AK434" s="160"/>
      <c r="AL434" s="160"/>
      <c r="AM434" s="160"/>
      <c r="AN434" s="164"/>
      <c r="AO434" s="160"/>
      <c r="AP434" s="160"/>
      <c r="AQ434" s="160"/>
      <c r="AR434" s="160"/>
      <c r="AS434" s="160"/>
      <c r="AT434" s="160"/>
      <c r="AU434" s="160"/>
      <c r="AV434" s="160"/>
      <c r="AW434" s="160"/>
      <c r="AX434" s="160"/>
      <c r="AY434" s="160"/>
      <c r="AZ434" s="160"/>
      <c r="BA434" s="160"/>
      <c r="BB434" s="160"/>
      <c r="BC434" s="160"/>
      <c r="BD434" s="160"/>
      <c r="BE434" s="160"/>
      <c r="BF434" s="160"/>
      <c r="BG434" s="160"/>
      <c r="BH434" s="160"/>
      <c r="BI434" s="160"/>
      <c r="BJ434" s="160"/>
      <c r="BK434" s="160"/>
      <c r="BL434" s="160"/>
      <c r="BM434" s="160"/>
      <c r="BN434" s="160"/>
      <c r="BO434" s="160"/>
      <c r="BP434" s="160"/>
      <c r="BQ434" s="160"/>
      <c r="BR434" s="160"/>
      <c r="BS434" s="160"/>
      <c r="BT434" s="160"/>
      <c r="BU434" s="160"/>
      <c r="BV434" s="160"/>
      <c r="BW434" s="160"/>
      <c r="BX434" s="160"/>
      <c r="BY434" s="160"/>
      <c r="BZ434" s="160"/>
      <c r="CA434" s="160"/>
      <c r="CB434" s="160"/>
      <c r="CC434" s="160"/>
      <c r="CD434" s="160"/>
      <c r="CE434" s="160"/>
      <c r="CF434" s="160"/>
      <c r="CG434" s="160"/>
      <c r="CH434" s="160"/>
      <c r="CI434" s="160"/>
      <c r="CJ434" s="160"/>
      <c r="CK434" s="160"/>
      <c r="CL434" s="160"/>
    </row>
    <row r="435">
      <c r="A435" s="174" t="s">
        <v>324</v>
      </c>
      <c r="B435" s="11" t="s">
        <v>325</v>
      </c>
      <c r="C435" s="175" t="s">
        <v>88</v>
      </c>
      <c r="D435" s="176" t="str">
        <f>IFERROR(VLOOKUP(C435, PIC!A:B, 2, 0), "")</f>
        <v>Huy Nguyen</v>
      </c>
      <c r="E435" s="11" t="s">
        <v>22</v>
      </c>
      <c r="F435" s="16" t="s">
        <v>845</v>
      </c>
      <c r="G435" s="11"/>
      <c r="H435" s="170">
        <f>IFERROR(
  MINIFS(ATTENDANCE_LOG!$F:$F,
         ATTENDANCE_LOG!$A:$A, C435,
         ATTENDANCE_LOG!$B:$B, E435),
"")</f>
        <v>45882.54167</v>
      </c>
      <c r="I435" s="170">
        <f t="shared" si="2"/>
        <v>45882.54167</v>
      </c>
      <c r="J435" s="11">
        <f>IFERROR(VLOOKUP(F435, LEVEL_HELPER!$A:$B, 2, 0), "")</f>
        <v>2.5</v>
      </c>
      <c r="K435" s="11" t="str">
        <f>IFERROR(VLOOKUP(G435, LEVEL_HELPER!$A:$B, 2, 0), "")</f>
        <v/>
      </c>
      <c r="L435" s="171" t="s">
        <v>1022</v>
      </c>
      <c r="M435" s="171" t="s">
        <v>152</v>
      </c>
      <c r="N435" s="11">
        <f t="array" ref="N435">IFERROR(
  INDEX($J$2:$J$531,
    MATCH(A435&amp;TEXT(I435,"yyyy-mm-dd"),
          $A$2:$A$531&amp;TEXT($H$2:$H$531,"yyyy-mm-dd"),
          0)),
"")</f>
        <v>2.5</v>
      </c>
      <c r="O435" s="160">
        <f t="shared" si="3"/>
        <v>0</v>
      </c>
      <c r="P435" s="160">
        <f t="shared" ref="P435:Q435" si="445">IF(N435="",0,IF(N435&lt;=2,1,IF(N435&lt;=4,2,IF(N435&lt;=5.5,3,4))))</f>
        <v>2</v>
      </c>
      <c r="Q435" s="160">
        <f t="shared" si="445"/>
        <v>1</v>
      </c>
      <c r="R435" s="160" t="str">
        <f t="shared" si="5"/>
        <v>Not tested yet</v>
      </c>
      <c r="S435" s="160">
        <f t="shared" si="6"/>
        <v>1</v>
      </c>
      <c r="T435" s="198"/>
      <c r="U435" s="160">
        <f>COUNTIFS(sheet2!$A:$A,A435,sheet2!$E:$E,E435)</f>
        <v>1</v>
      </c>
      <c r="V435" s="160"/>
      <c r="W435" s="160"/>
      <c r="X435" s="160"/>
      <c r="Y435" s="160"/>
      <c r="Z435" s="160"/>
      <c r="AA435" s="160"/>
      <c r="AB435" s="160"/>
      <c r="AC435" s="160"/>
      <c r="AD435" s="160"/>
      <c r="AE435" s="160"/>
      <c r="AF435" s="160"/>
      <c r="AG435" s="160"/>
      <c r="AH435" s="160"/>
      <c r="AI435" s="160"/>
      <c r="AJ435" s="160"/>
      <c r="AK435" s="160"/>
      <c r="AL435" s="160"/>
      <c r="AM435" s="160"/>
      <c r="AN435" s="164"/>
      <c r="AO435" s="160"/>
      <c r="AP435" s="160"/>
      <c r="AQ435" s="160"/>
      <c r="AR435" s="160"/>
      <c r="AS435" s="160"/>
      <c r="AT435" s="160"/>
      <c r="AU435" s="160"/>
      <c r="AV435" s="160"/>
      <c r="AW435" s="160"/>
      <c r="AX435" s="160"/>
      <c r="AY435" s="160"/>
      <c r="AZ435" s="160"/>
      <c r="BA435" s="160"/>
      <c r="BB435" s="160"/>
      <c r="BC435" s="160"/>
      <c r="BD435" s="160"/>
      <c r="BE435" s="160"/>
      <c r="BF435" s="160"/>
      <c r="BG435" s="160"/>
      <c r="BH435" s="160"/>
      <c r="BI435" s="160"/>
      <c r="BJ435" s="160"/>
      <c r="BK435" s="160"/>
      <c r="BL435" s="160"/>
      <c r="BM435" s="160"/>
      <c r="BN435" s="160"/>
      <c r="BO435" s="160"/>
      <c r="BP435" s="160"/>
      <c r="BQ435" s="160"/>
      <c r="BR435" s="160"/>
      <c r="BS435" s="160"/>
      <c r="BT435" s="160"/>
      <c r="BU435" s="160"/>
      <c r="BV435" s="160"/>
      <c r="BW435" s="160"/>
      <c r="BX435" s="160"/>
      <c r="BY435" s="160"/>
      <c r="BZ435" s="160"/>
      <c r="CA435" s="160"/>
      <c r="CB435" s="160"/>
      <c r="CC435" s="160"/>
      <c r="CD435" s="160"/>
      <c r="CE435" s="160"/>
      <c r="CF435" s="160"/>
      <c r="CG435" s="160"/>
      <c r="CH435" s="160"/>
      <c r="CI435" s="160"/>
      <c r="CJ435" s="160"/>
      <c r="CK435" s="160"/>
      <c r="CL435" s="160"/>
    </row>
    <row r="436">
      <c r="A436" s="174" t="s">
        <v>320</v>
      </c>
      <c r="B436" s="11" t="s">
        <v>321</v>
      </c>
      <c r="C436" s="175" t="s">
        <v>88</v>
      </c>
      <c r="D436" s="176" t="str">
        <f>IFERROR(VLOOKUP(C436, PIC!A:B, 2, 0), "")</f>
        <v>Huy Nguyen</v>
      </c>
      <c r="E436" s="11" t="s">
        <v>22</v>
      </c>
      <c r="F436" s="16" t="s">
        <v>849</v>
      </c>
      <c r="G436" s="16" t="s">
        <v>846</v>
      </c>
      <c r="H436" s="170">
        <f>IFERROR(
  MINIFS(ATTENDANCE_LOG!$F:$F,
         ATTENDANCE_LOG!$A:$A, C436,
         ATTENDANCE_LOG!$B:$B, E436),
"")</f>
        <v>45882.54167</v>
      </c>
      <c r="I436" s="170">
        <f t="shared" si="2"/>
        <v>45764.45833</v>
      </c>
      <c r="J436" s="11">
        <f>IFERROR(VLOOKUP(F436, LEVEL_HELPER!$A:$B, 2, 0), "")</f>
        <v>1</v>
      </c>
      <c r="K436" s="11">
        <f>IFERROR(VLOOKUP(G436, LEVEL_HELPER!$A:$B, 2, 0), "")</f>
        <v>3</v>
      </c>
      <c r="L436" s="171" t="s">
        <v>400</v>
      </c>
      <c r="M436" s="171" t="s">
        <v>151</v>
      </c>
      <c r="N436" s="11">
        <f t="array" ref="N436">IFERROR(
  INDEX($J$2:$J$531,
    MATCH(A436&amp;TEXT(I436,"yyyy-mm-dd"),
          $A$2:$A$531&amp;TEXT($H$2:$H$531,"yyyy-mm-dd"),
          0)),
"")</f>
        <v>1</v>
      </c>
      <c r="O436" s="160">
        <f t="shared" si="3"/>
        <v>3</v>
      </c>
      <c r="P436" s="160">
        <f t="shared" ref="P436:Q436" si="446">IF(N436="",0,IF(N436&lt;=2,1,IF(N436&lt;=4,2,IF(N436&lt;=5.5,3,4))))</f>
        <v>1</v>
      </c>
      <c r="Q436" s="160">
        <f t="shared" si="446"/>
        <v>2</v>
      </c>
      <c r="R436" s="160" t="str">
        <f t="shared" si="5"/>
        <v>Lv1 → Lv2</v>
      </c>
      <c r="S436" s="160">
        <f t="shared" si="6"/>
        <v>0</v>
      </c>
      <c r="T436" s="187" t="s">
        <v>1073</v>
      </c>
      <c r="U436" s="160">
        <f>COUNTIFS(sheet2!$A:$A,A436,sheet2!$E:$E,E436)</f>
        <v>2</v>
      </c>
      <c r="V436" s="160"/>
      <c r="W436" s="160"/>
      <c r="X436" s="160"/>
      <c r="Y436" s="160"/>
      <c r="Z436" s="160"/>
      <c r="AA436" s="160"/>
      <c r="AB436" s="160"/>
      <c r="AC436" s="160"/>
      <c r="AD436" s="160"/>
      <c r="AE436" s="160"/>
      <c r="AF436" s="160"/>
      <c r="AG436" s="160"/>
      <c r="AH436" s="160"/>
      <c r="AI436" s="160"/>
      <c r="AJ436" s="160"/>
      <c r="AK436" s="160"/>
      <c r="AL436" s="160"/>
      <c r="AM436" s="160"/>
      <c r="AN436" s="164"/>
      <c r="AO436" s="160"/>
      <c r="AP436" s="160"/>
      <c r="AQ436" s="160"/>
      <c r="AR436" s="160"/>
      <c r="AS436" s="160"/>
      <c r="AT436" s="160"/>
      <c r="AU436" s="160"/>
      <c r="AV436" s="160"/>
      <c r="AW436" s="160"/>
      <c r="AX436" s="160"/>
      <c r="AY436" s="160"/>
      <c r="AZ436" s="160"/>
      <c r="BA436" s="160"/>
      <c r="BB436" s="160"/>
      <c r="BC436" s="160"/>
      <c r="BD436" s="160"/>
      <c r="BE436" s="160"/>
      <c r="BF436" s="160"/>
      <c r="BG436" s="160"/>
      <c r="BH436" s="160"/>
      <c r="BI436" s="160"/>
      <c r="BJ436" s="160"/>
      <c r="BK436" s="160"/>
      <c r="BL436" s="160"/>
      <c r="BM436" s="160"/>
      <c r="BN436" s="160"/>
      <c r="BO436" s="160"/>
      <c r="BP436" s="160"/>
      <c r="BQ436" s="160"/>
      <c r="BR436" s="160"/>
      <c r="BS436" s="160"/>
      <c r="BT436" s="160"/>
      <c r="BU436" s="160"/>
      <c r="BV436" s="160"/>
      <c r="BW436" s="160"/>
      <c r="BX436" s="160"/>
      <c r="BY436" s="160"/>
      <c r="BZ436" s="160"/>
      <c r="CA436" s="160"/>
      <c r="CB436" s="160"/>
      <c r="CC436" s="160"/>
      <c r="CD436" s="160"/>
      <c r="CE436" s="160"/>
      <c r="CF436" s="160"/>
      <c r="CG436" s="160"/>
      <c r="CH436" s="160"/>
      <c r="CI436" s="160"/>
      <c r="CJ436" s="160"/>
      <c r="CK436" s="160"/>
      <c r="CL436" s="160"/>
    </row>
    <row r="437">
      <c r="A437" s="174" t="s">
        <v>326</v>
      </c>
      <c r="B437" s="11" t="s">
        <v>327</v>
      </c>
      <c r="C437" s="175" t="s">
        <v>88</v>
      </c>
      <c r="D437" s="176" t="str">
        <f>IFERROR(VLOOKUP(C437, PIC!A:B, 2, 0), "")</f>
        <v>Huy Nguyen</v>
      </c>
      <c r="E437" s="11" t="s">
        <v>22</v>
      </c>
      <c r="F437" s="16" t="s">
        <v>849</v>
      </c>
      <c r="G437" s="16" t="s">
        <v>853</v>
      </c>
      <c r="H437" s="170">
        <f>IFERROR(
  MINIFS(ATTENDANCE_LOG!$F:$F,
         ATTENDANCE_LOG!$A:$A, C437,
         ATTENDANCE_LOG!$B:$B, E437),
"")</f>
        <v>45882.54167</v>
      </c>
      <c r="I437" s="170">
        <f t="shared" si="2"/>
        <v>45763.54167</v>
      </c>
      <c r="J437" s="11">
        <f>IFERROR(VLOOKUP(F437, LEVEL_HELPER!$A:$B, 2, 0), "")</f>
        <v>1</v>
      </c>
      <c r="K437" s="11">
        <f>IFERROR(VLOOKUP(G437, LEVEL_HELPER!$A:$B, 2, 0), "")</f>
        <v>1.5</v>
      </c>
      <c r="L437" s="171" t="s">
        <v>400</v>
      </c>
      <c r="M437" s="171" t="s">
        <v>150</v>
      </c>
      <c r="N437" s="11">
        <f t="array" ref="N437">IFERROR(
  INDEX($J$2:$J$531,
    MATCH(A437&amp;TEXT(I437,"yyyy-mm-dd"),
          $A$2:$A$531&amp;TEXT($H$2:$H$531,"yyyy-mm-dd"),
          0)),
"")</f>
        <v>1</v>
      </c>
      <c r="O437" s="160">
        <f t="shared" si="3"/>
        <v>1.5</v>
      </c>
      <c r="P437" s="160">
        <f t="shared" ref="P437:Q437" si="447">IF(N437="",0,IF(N437&lt;=2,1,IF(N437&lt;=4,2,IF(N437&lt;=5.5,3,4))))</f>
        <v>1</v>
      </c>
      <c r="Q437" s="160">
        <f t="shared" si="447"/>
        <v>1</v>
      </c>
      <c r="R437" s="160" t="str">
        <f t="shared" si="5"/>
        <v>Progress within level</v>
      </c>
      <c r="S437" s="160">
        <f t="shared" si="6"/>
        <v>0</v>
      </c>
      <c r="T437" s="177" t="s">
        <v>1012</v>
      </c>
      <c r="U437" s="160">
        <f>COUNTIFS(sheet2!$A:$A,A437,sheet2!$E:$E,E437)</f>
        <v>2</v>
      </c>
      <c r="V437" s="160"/>
      <c r="W437" s="160"/>
      <c r="X437" s="160"/>
      <c r="Y437" s="160"/>
      <c r="Z437" s="160"/>
      <c r="AA437" s="160"/>
      <c r="AB437" s="160"/>
      <c r="AC437" s="160"/>
      <c r="AD437" s="160"/>
      <c r="AE437" s="160"/>
      <c r="AF437" s="160"/>
      <c r="AG437" s="160"/>
      <c r="AH437" s="160"/>
      <c r="AI437" s="160"/>
      <c r="AJ437" s="160"/>
      <c r="AK437" s="160"/>
      <c r="AL437" s="160"/>
      <c r="AM437" s="160"/>
      <c r="AN437" s="164"/>
      <c r="AO437" s="160"/>
      <c r="AP437" s="160"/>
      <c r="AQ437" s="160"/>
      <c r="AR437" s="160"/>
      <c r="AS437" s="160"/>
      <c r="AT437" s="160"/>
      <c r="AU437" s="160"/>
      <c r="AV437" s="160"/>
      <c r="AW437" s="160"/>
      <c r="AX437" s="160"/>
      <c r="AY437" s="160"/>
      <c r="AZ437" s="160"/>
      <c r="BA437" s="160"/>
      <c r="BB437" s="160"/>
      <c r="BC437" s="160"/>
      <c r="BD437" s="160"/>
      <c r="BE437" s="160"/>
      <c r="BF437" s="160"/>
      <c r="BG437" s="160"/>
      <c r="BH437" s="160"/>
      <c r="BI437" s="160"/>
      <c r="BJ437" s="160"/>
      <c r="BK437" s="160"/>
      <c r="BL437" s="160"/>
      <c r="BM437" s="160"/>
      <c r="BN437" s="160"/>
      <c r="BO437" s="160"/>
      <c r="BP437" s="160"/>
      <c r="BQ437" s="160"/>
      <c r="BR437" s="160"/>
      <c r="BS437" s="160"/>
      <c r="BT437" s="160"/>
      <c r="BU437" s="160"/>
      <c r="BV437" s="160"/>
      <c r="BW437" s="160"/>
      <c r="BX437" s="160"/>
      <c r="BY437" s="160"/>
      <c r="BZ437" s="160"/>
      <c r="CA437" s="160"/>
      <c r="CB437" s="160"/>
      <c r="CC437" s="160"/>
      <c r="CD437" s="160"/>
      <c r="CE437" s="160"/>
      <c r="CF437" s="160"/>
      <c r="CG437" s="160"/>
      <c r="CH437" s="160"/>
      <c r="CI437" s="160"/>
      <c r="CJ437" s="160"/>
      <c r="CK437" s="160"/>
      <c r="CL437" s="160"/>
    </row>
    <row r="438">
      <c r="A438" s="174" t="s">
        <v>329</v>
      </c>
      <c r="B438" s="11" t="s">
        <v>330</v>
      </c>
      <c r="C438" s="175" t="s">
        <v>88</v>
      </c>
      <c r="D438" s="176" t="str">
        <f>IFERROR(VLOOKUP(C438, PIC!A:B, 2, 0), "")</f>
        <v>Huy Nguyen</v>
      </c>
      <c r="E438" s="11" t="s">
        <v>22</v>
      </c>
      <c r="F438" s="16" t="s">
        <v>846</v>
      </c>
      <c r="G438" s="16" t="s">
        <v>861</v>
      </c>
      <c r="H438" s="170">
        <f>IFERROR(
  MINIFS(ATTENDANCE_LOG!$F:$F,
         ATTENDANCE_LOG!$A:$A, C438,
         ATTENDANCE_LOG!$B:$B, E438),
"")</f>
        <v>45882.54167</v>
      </c>
      <c r="I438" s="170">
        <f t="shared" si="2"/>
        <v>45763.54167</v>
      </c>
      <c r="J438" s="11">
        <f>IFERROR(VLOOKUP(F438, LEVEL_HELPER!$A:$B, 2, 0), "")</f>
        <v>3</v>
      </c>
      <c r="K438" s="11">
        <f>IFERROR(VLOOKUP(G438, LEVEL_HELPER!$A:$B, 2, 0), "")</f>
        <v>3.5</v>
      </c>
      <c r="L438" s="171" t="s">
        <v>400</v>
      </c>
      <c r="M438" s="171" t="s">
        <v>150</v>
      </c>
      <c r="N438" s="11">
        <f t="array" ref="N438">IFERROR(
  INDEX($J$2:$J$531,
    MATCH(A438&amp;TEXT(I438,"yyyy-mm-dd"),
          $A$2:$A$531&amp;TEXT($H$2:$H$531,"yyyy-mm-dd"),
          0)),
"")</f>
        <v>1</v>
      </c>
      <c r="O438" s="160">
        <f t="shared" si="3"/>
        <v>3.5</v>
      </c>
      <c r="P438" s="160">
        <f t="shared" ref="P438:Q438" si="448">IF(N438="",0,IF(N438&lt;=2,1,IF(N438&lt;=4,2,IF(N438&lt;=5.5,3,4))))</f>
        <v>1</v>
      </c>
      <c r="Q438" s="160">
        <f t="shared" si="448"/>
        <v>2</v>
      </c>
      <c r="R438" s="160" t="str">
        <f t="shared" si="5"/>
        <v>Lv1 → Lv2</v>
      </c>
      <c r="S438" s="160">
        <f t="shared" si="6"/>
        <v>0</v>
      </c>
      <c r="T438" s="177" t="s">
        <v>1013</v>
      </c>
      <c r="U438" s="160">
        <f>COUNTIFS(sheet2!$A:$A,A438,sheet2!$E:$E,E438)</f>
        <v>2</v>
      </c>
      <c r="V438" s="160"/>
      <c r="W438" s="160"/>
      <c r="X438" s="160"/>
      <c r="Y438" s="160"/>
      <c r="Z438" s="160"/>
      <c r="AA438" s="160"/>
      <c r="AB438" s="160"/>
      <c r="AC438" s="160"/>
      <c r="AD438" s="160"/>
      <c r="AE438" s="160"/>
      <c r="AF438" s="160"/>
      <c r="AG438" s="160"/>
      <c r="AH438" s="160"/>
      <c r="AI438" s="160"/>
      <c r="AJ438" s="160"/>
      <c r="AK438" s="160"/>
      <c r="AL438" s="160"/>
      <c r="AM438" s="160"/>
      <c r="AN438" s="164"/>
      <c r="AO438" s="160"/>
      <c r="AP438" s="160"/>
      <c r="AQ438" s="160"/>
      <c r="AR438" s="160"/>
      <c r="AS438" s="160"/>
      <c r="AT438" s="160"/>
      <c r="AU438" s="160"/>
      <c r="AV438" s="160"/>
      <c r="AW438" s="160"/>
      <c r="AX438" s="160"/>
      <c r="AY438" s="160"/>
      <c r="AZ438" s="160"/>
      <c r="BA438" s="160"/>
      <c r="BB438" s="160"/>
      <c r="BC438" s="160"/>
      <c r="BD438" s="160"/>
      <c r="BE438" s="160"/>
      <c r="BF438" s="160"/>
      <c r="BG438" s="160"/>
      <c r="BH438" s="160"/>
      <c r="BI438" s="160"/>
      <c r="BJ438" s="160"/>
      <c r="BK438" s="160"/>
      <c r="BL438" s="160"/>
      <c r="BM438" s="160"/>
      <c r="BN438" s="160"/>
      <c r="BO438" s="160"/>
      <c r="BP438" s="160"/>
      <c r="BQ438" s="160"/>
      <c r="BR438" s="160"/>
      <c r="BS438" s="160"/>
      <c r="BT438" s="160"/>
      <c r="BU438" s="160"/>
      <c r="BV438" s="160"/>
      <c r="BW438" s="160"/>
      <c r="BX438" s="160"/>
      <c r="BY438" s="160"/>
      <c r="BZ438" s="160"/>
      <c r="CA438" s="160"/>
      <c r="CB438" s="160"/>
      <c r="CC438" s="160"/>
      <c r="CD438" s="160"/>
      <c r="CE438" s="160"/>
      <c r="CF438" s="160"/>
      <c r="CG438" s="160"/>
      <c r="CH438" s="160"/>
      <c r="CI438" s="160"/>
      <c r="CJ438" s="160"/>
      <c r="CK438" s="160"/>
      <c r="CL438" s="160"/>
    </row>
    <row r="439">
      <c r="A439" s="166" t="s">
        <v>635</v>
      </c>
      <c r="B439" s="167" t="s">
        <v>636</v>
      </c>
      <c r="C439" s="168" t="s">
        <v>89</v>
      </c>
      <c r="D439" s="169" t="str">
        <f>IFERROR(VLOOKUP(C439, PIC!A:B, 2, 0), "")</f>
        <v>Thanh Phung</v>
      </c>
      <c r="E439" s="167" t="s">
        <v>27</v>
      </c>
      <c r="F439" s="200" t="s">
        <v>26</v>
      </c>
      <c r="G439" s="167"/>
      <c r="H439" s="170">
        <f>IFERROR(
  MINIFS(ATTENDANCE_LOG!$F:$F,
         ATTENDANCE_LOG!$A:$A, C439,
         ATTENDANCE_LOG!$B:$B, E439),
"")</f>
        <v>46126.58333</v>
      </c>
      <c r="I439" s="170">
        <f t="shared" si="2"/>
        <v>45916.45833</v>
      </c>
      <c r="J439" s="167">
        <f>IFERROR(VLOOKUP(F439, LEVEL_HELPER!$A:$B, 2, 0), "")</f>
        <v>0.5</v>
      </c>
      <c r="K439" s="167" t="str">
        <f>IFERROR(VLOOKUP(G439, LEVEL_HELPER!$A:$B, 2, 0), "")</f>
        <v/>
      </c>
      <c r="L439" s="205" t="s">
        <v>857</v>
      </c>
      <c r="M439" s="205" t="s">
        <v>154</v>
      </c>
      <c r="N439" s="11">
        <f t="array" ref="N439">IFERROR(
  INDEX($J$2:$J$531,
    MATCH(A439&amp;TEXT(I439,"yyyy-mm-dd"),
          $A$2:$A$531&amp;TEXT($H$2:$H$531,"yyyy-mm-dd"),
          0)),
"")</f>
        <v>0.5</v>
      </c>
      <c r="O439" s="206">
        <f t="shared" si="3"/>
        <v>0.5</v>
      </c>
      <c r="P439" s="160">
        <f t="shared" ref="P439:Q439" si="449">IF(N439="",0,IF(N439&lt;=2,1,IF(N439&lt;=4,2,IF(N439&lt;=5.5,3,4))))</f>
        <v>1</v>
      </c>
      <c r="Q439" s="160">
        <f t="shared" si="449"/>
        <v>1</v>
      </c>
      <c r="R439" s="160" t="str">
        <f t="shared" si="5"/>
        <v>No Progress</v>
      </c>
      <c r="S439" s="160">
        <f t="shared" si="6"/>
        <v>1</v>
      </c>
      <c r="T439" s="177" t="s">
        <v>1087</v>
      </c>
      <c r="U439" s="160">
        <f>COUNTIFS(sheet2!$A:$A,A439,sheet2!$E:$E,E439)</f>
        <v>1</v>
      </c>
      <c r="V439" s="160"/>
      <c r="W439" s="160"/>
      <c r="X439" s="160"/>
      <c r="Y439" s="160"/>
      <c r="Z439" s="160"/>
      <c r="AA439" s="160"/>
      <c r="AB439" s="160"/>
      <c r="AC439" s="160"/>
      <c r="AD439" s="160"/>
      <c r="AE439" s="160"/>
      <c r="AF439" s="160"/>
      <c r="AG439" s="160"/>
      <c r="AH439" s="160"/>
      <c r="AI439" s="160"/>
      <c r="AJ439" s="160"/>
      <c r="AK439" s="160"/>
      <c r="AL439" s="160"/>
      <c r="AM439" s="160"/>
      <c r="AN439" s="164"/>
      <c r="AO439" s="160"/>
      <c r="AP439" s="160"/>
      <c r="AQ439" s="160"/>
      <c r="AR439" s="160"/>
      <c r="AS439" s="160"/>
      <c r="AT439" s="160"/>
      <c r="AU439" s="160"/>
      <c r="AV439" s="160"/>
      <c r="AW439" s="160"/>
      <c r="AX439" s="160"/>
      <c r="AY439" s="160"/>
      <c r="AZ439" s="160"/>
      <c r="BA439" s="160"/>
      <c r="BB439" s="160"/>
      <c r="BC439" s="160"/>
      <c r="BD439" s="160"/>
      <c r="BE439" s="160"/>
      <c r="BF439" s="160"/>
      <c r="BG439" s="160"/>
      <c r="BH439" s="160"/>
      <c r="BI439" s="160"/>
      <c r="BJ439" s="160"/>
      <c r="BK439" s="160"/>
      <c r="BL439" s="160"/>
      <c r="BM439" s="160"/>
      <c r="BN439" s="160"/>
      <c r="BO439" s="160"/>
      <c r="BP439" s="160"/>
      <c r="BQ439" s="160"/>
      <c r="BR439" s="160"/>
      <c r="BS439" s="160"/>
      <c r="BT439" s="160"/>
      <c r="BU439" s="160"/>
      <c r="BV439" s="160"/>
      <c r="BW439" s="160"/>
      <c r="BX439" s="160"/>
      <c r="BY439" s="160"/>
      <c r="BZ439" s="160"/>
      <c r="CA439" s="160"/>
      <c r="CB439" s="160"/>
      <c r="CC439" s="160"/>
      <c r="CD439" s="160"/>
      <c r="CE439" s="160"/>
      <c r="CF439" s="160"/>
      <c r="CG439" s="160"/>
      <c r="CH439" s="160"/>
      <c r="CI439" s="160"/>
      <c r="CJ439" s="160"/>
      <c r="CK439" s="160"/>
      <c r="CL439" s="160"/>
    </row>
    <row r="440">
      <c r="A440" s="174" t="s">
        <v>631</v>
      </c>
      <c r="B440" s="11" t="s">
        <v>632</v>
      </c>
      <c r="C440" s="175" t="s">
        <v>89</v>
      </c>
      <c r="D440" s="176" t="str">
        <f>IFERROR(VLOOKUP(C440, PIC!A:B, 2, 0), "")</f>
        <v>Thanh Phung</v>
      </c>
      <c r="E440" s="11" t="s">
        <v>27</v>
      </c>
      <c r="F440" s="16" t="s">
        <v>26</v>
      </c>
      <c r="G440" s="11"/>
      <c r="H440" s="170">
        <f>IFERROR(
  MINIFS(ATTENDANCE_LOG!$F:$F,
         ATTENDANCE_LOG!$A:$A, C440,
         ATTENDANCE_LOG!$B:$B, E440),
"")</f>
        <v>46126.58333</v>
      </c>
      <c r="I440" s="170">
        <f t="shared" si="2"/>
        <v>45916.45833</v>
      </c>
      <c r="J440" s="11">
        <f>IFERROR(VLOOKUP(F440, LEVEL_HELPER!$A:$B, 2, 0), "")</f>
        <v>0.5</v>
      </c>
      <c r="K440" s="11" t="str">
        <f>IFERROR(VLOOKUP(G440, LEVEL_HELPER!$A:$B, 2, 0), "")</f>
        <v/>
      </c>
      <c r="L440" s="171" t="s">
        <v>857</v>
      </c>
      <c r="M440" s="171" t="s">
        <v>153</v>
      </c>
      <c r="N440" s="11">
        <f t="array" ref="N440">IFERROR(
  INDEX($J$2:$J$531,
    MATCH(A440&amp;TEXT(I440,"yyyy-mm-dd"),
          $A$2:$A$531&amp;TEXT($H$2:$H$531,"yyyy-mm-dd"),
          0)),
"")</f>
        <v>0.5</v>
      </c>
      <c r="O440" s="160">
        <f t="shared" si="3"/>
        <v>0.5</v>
      </c>
      <c r="P440" s="160">
        <f t="shared" ref="P440:Q440" si="450">IF(N440="",0,IF(N440&lt;=2,1,IF(N440&lt;=4,2,IF(N440&lt;=5.5,3,4))))</f>
        <v>1</v>
      </c>
      <c r="Q440" s="160">
        <f t="shared" si="450"/>
        <v>1</v>
      </c>
      <c r="R440" s="160" t="str">
        <f t="shared" si="5"/>
        <v>No Progress</v>
      </c>
      <c r="S440" s="160">
        <f t="shared" si="6"/>
        <v>1</v>
      </c>
      <c r="T440" s="177" t="s">
        <v>1088</v>
      </c>
      <c r="U440" s="160">
        <f>COUNTIFS(sheet2!$A:$A,A440,sheet2!$E:$E,E440)</f>
        <v>1</v>
      </c>
      <c r="V440" s="160"/>
      <c r="W440" s="160"/>
      <c r="X440" s="160"/>
      <c r="Y440" s="160"/>
      <c r="Z440" s="160"/>
      <c r="AA440" s="160"/>
      <c r="AB440" s="160"/>
      <c r="AC440" s="160"/>
      <c r="AD440" s="160"/>
      <c r="AE440" s="160"/>
      <c r="AF440" s="160"/>
      <c r="AG440" s="160"/>
      <c r="AH440" s="160"/>
      <c r="AI440" s="160"/>
      <c r="AJ440" s="160"/>
      <c r="AK440" s="160"/>
      <c r="AL440" s="160"/>
      <c r="AM440" s="160"/>
      <c r="AN440" s="164"/>
      <c r="AO440" s="160"/>
      <c r="AP440" s="160"/>
      <c r="AQ440" s="160"/>
      <c r="AR440" s="160"/>
      <c r="AS440" s="160"/>
      <c r="AT440" s="160"/>
      <c r="AU440" s="160"/>
      <c r="AV440" s="160"/>
      <c r="AW440" s="160"/>
      <c r="AX440" s="160"/>
      <c r="AY440" s="160"/>
      <c r="AZ440" s="160"/>
      <c r="BA440" s="160"/>
      <c r="BB440" s="160"/>
      <c r="BC440" s="160"/>
      <c r="BD440" s="160"/>
      <c r="BE440" s="160"/>
      <c r="BF440" s="160"/>
      <c r="BG440" s="160"/>
      <c r="BH440" s="160"/>
      <c r="BI440" s="160"/>
      <c r="BJ440" s="160"/>
      <c r="BK440" s="160"/>
      <c r="BL440" s="160"/>
      <c r="BM440" s="160"/>
      <c r="BN440" s="160"/>
      <c r="BO440" s="160"/>
      <c r="BP440" s="160"/>
      <c r="BQ440" s="160"/>
      <c r="BR440" s="160"/>
      <c r="BS440" s="160"/>
      <c r="BT440" s="160"/>
      <c r="BU440" s="160"/>
      <c r="BV440" s="160"/>
      <c r="BW440" s="160"/>
      <c r="BX440" s="160"/>
      <c r="BY440" s="160"/>
      <c r="BZ440" s="160"/>
      <c r="CA440" s="160"/>
      <c r="CB440" s="160"/>
      <c r="CC440" s="160"/>
      <c r="CD440" s="160"/>
      <c r="CE440" s="160"/>
      <c r="CF440" s="160"/>
      <c r="CG440" s="160"/>
      <c r="CH440" s="160"/>
      <c r="CI440" s="160"/>
      <c r="CJ440" s="160"/>
      <c r="CK440" s="160"/>
      <c r="CL440" s="160"/>
    </row>
    <row r="441">
      <c r="A441" s="174" t="s">
        <v>633</v>
      </c>
      <c r="B441" s="11" t="s">
        <v>634</v>
      </c>
      <c r="C441" s="175" t="s">
        <v>89</v>
      </c>
      <c r="D441" s="176" t="str">
        <f>IFERROR(VLOOKUP(C441, PIC!A:B, 2, 0), "")</f>
        <v>Thanh Phung</v>
      </c>
      <c r="E441" s="11" t="s">
        <v>27</v>
      </c>
      <c r="F441" s="16" t="s">
        <v>26</v>
      </c>
      <c r="G441" s="11"/>
      <c r="H441" s="170">
        <f>IFERROR(
  MINIFS(ATTENDANCE_LOG!$F:$F,
         ATTENDANCE_LOG!$A:$A, C441,
         ATTENDANCE_LOG!$B:$B, E441),
"")</f>
        <v>46126.58333</v>
      </c>
      <c r="I441" s="170">
        <f t="shared" si="2"/>
        <v>45916.45833</v>
      </c>
      <c r="J441" s="11">
        <f>IFERROR(VLOOKUP(F441, LEVEL_HELPER!$A:$B, 2, 0), "")</f>
        <v>0.5</v>
      </c>
      <c r="K441" s="11" t="str">
        <f>IFERROR(VLOOKUP(G441, LEVEL_HELPER!$A:$B, 2, 0), "")</f>
        <v/>
      </c>
      <c r="L441" s="171" t="s">
        <v>857</v>
      </c>
      <c r="M441" s="171" t="s">
        <v>153</v>
      </c>
      <c r="N441" s="11">
        <f t="array" ref="N441">IFERROR(
  INDEX($J$2:$J$531,
    MATCH(A441&amp;TEXT(I441,"yyyy-mm-dd"),
          $A$2:$A$531&amp;TEXT($H$2:$H$531,"yyyy-mm-dd"),
          0)),
"")</f>
        <v>0.5</v>
      </c>
      <c r="O441" s="160">
        <f t="shared" si="3"/>
        <v>0.5</v>
      </c>
      <c r="P441" s="160">
        <f t="shared" ref="P441:Q441" si="451">IF(N441="",0,IF(N441&lt;=2,1,IF(N441&lt;=4,2,IF(N441&lt;=5.5,3,4))))</f>
        <v>1</v>
      </c>
      <c r="Q441" s="160">
        <f t="shared" si="451"/>
        <v>1</v>
      </c>
      <c r="R441" s="160" t="str">
        <f t="shared" si="5"/>
        <v>No Progress</v>
      </c>
      <c r="S441" s="160">
        <f t="shared" si="6"/>
        <v>1</v>
      </c>
      <c r="T441" s="177" t="s">
        <v>1089</v>
      </c>
      <c r="U441" s="160">
        <f>COUNTIFS(sheet2!$A:$A,A441,sheet2!$E:$E,E441)</f>
        <v>1</v>
      </c>
      <c r="V441" s="160"/>
      <c r="W441" s="160"/>
      <c r="X441" s="160"/>
      <c r="Y441" s="160"/>
      <c r="Z441" s="160"/>
      <c r="AA441" s="160"/>
      <c r="AB441" s="160"/>
      <c r="AC441" s="160"/>
      <c r="AD441" s="160"/>
      <c r="AE441" s="160"/>
      <c r="AF441" s="160"/>
      <c r="AG441" s="160"/>
      <c r="AH441" s="160"/>
      <c r="AI441" s="160"/>
      <c r="AJ441" s="160"/>
      <c r="AK441" s="160"/>
      <c r="AL441" s="160"/>
      <c r="AM441" s="160"/>
      <c r="AN441" s="164"/>
      <c r="AO441" s="160"/>
      <c r="AP441" s="160"/>
      <c r="AQ441" s="160"/>
      <c r="AR441" s="160"/>
      <c r="AS441" s="160"/>
      <c r="AT441" s="160"/>
      <c r="AU441" s="160"/>
      <c r="AV441" s="160"/>
      <c r="AW441" s="160"/>
      <c r="AX441" s="160"/>
      <c r="AY441" s="160"/>
      <c r="AZ441" s="160"/>
      <c r="BA441" s="160"/>
      <c r="BB441" s="160"/>
      <c r="BC441" s="160"/>
      <c r="BD441" s="160"/>
      <c r="BE441" s="160"/>
      <c r="BF441" s="160"/>
      <c r="BG441" s="160"/>
      <c r="BH441" s="160"/>
      <c r="BI441" s="160"/>
      <c r="BJ441" s="160"/>
      <c r="BK441" s="160"/>
      <c r="BL441" s="160"/>
      <c r="BM441" s="160"/>
      <c r="BN441" s="160"/>
      <c r="BO441" s="160"/>
      <c r="BP441" s="160"/>
      <c r="BQ441" s="160"/>
      <c r="BR441" s="160"/>
      <c r="BS441" s="160"/>
      <c r="BT441" s="160"/>
      <c r="BU441" s="160"/>
      <c r="BV441" s="160"/>
      <c r="BW441" s="160"/>
      <c r="BX441" s="160"/>
      <c r="BY441" s="160"/>
      <c r="BZ441" s="160"/>
      <c r="CA441" s="160"/>
      <c r="CB441" s="160"/>
      <c r="CC441" s="160"/>
      <c r="CD441" s="160"/>
      <c r="CE441" s="160"/>
      <c r="CF441" s="160"/>
      <c r="CG441" s="160"/>
      <c r="CH441" s="160"/>
      <c r="CI441" s="160"/>
      <c r="CJ441" s="160"/>
      <c r="CK441" s="160"/>
      <c r="CL441" s="160"/>
    </row>
    <row r="442">
      <c r="A442" s="166" t="s">
        <v>635</v>
      </c>
      <c r="B442" s="167" t="s">
        <v>636</v>
      </c>
      <c r="C442" s="168" t="s">
        <v>89</v>
      </c>
      <c r="D442" s="169" t="str">
        <f>IFERROR(VLOOKUP(C442, PIC!A:B, 2, 0), "")</f>
        <v>Thanh Phung</v>
      </c>
      <c r="E442" s="167" t="s">
        <v>26</v>
      </c>
      <c r="F442" s="200" t="s">
        <v>26</v>
      </c>
      <c r="G442" s="200" t="s">
        <v>26</v>
      </c>
      <c r="H442" s="170">
        <f>IFERROR(
  MINIFS(ATTENDANCE_LOG!$F:$F,
         ATTENDANCE_LOG!$A:$A, C442,
         ATTENDANCE_LOG!$B:$B, E442),
"")</f>
        <v>45916.45833</v>
      </c>
      <c r="I442" s="170">
        <f t="shared" si="2"/>
        <v>45916.45833</v>
      </c>
      <c r="J442" s="167">
        <f>IFERROR(VLOOKUP(F442, LEVEL_HELPER!$A:$B, 2, 0), "")</f>
        <v>0.5</v>
      </c>
      <c r="K442" s="167">
        <f>IFERROR(VLOOKUP(G442, LEVEL_HELPER!$A:$B, 2, 0), "")</f>
        <v>0.5</v>
      </c>
      <c r="L442" s="205" t="s">
        <v>857</v>
      </c>
      <c r="M442" s="205" t="s">
        <v>154</v>
      </c>
      <c r="N442" s="11">
        <f t="array" ref="N442">IFERROR(
  INDEX($J$2:$J$531,
    MATCH(A442&amp;TEXT(I442,"yyyy-mm-dd"),
          $A$2:$A$531&amp;TEXT($H$2:$H$531,"yyyy-mm-dd"),
          0)),
"")</f>
        <v>0.5</v>
      </c>
      <c r="O442" s="206">
        <f t="shared" si="3"/>
        <v>0.5</v>
      </c>
      <c r="P442" s="160">
        <f t="shared" ref="P442:Q442" si="452">IF(N442="",0,IF(N442&lt;=2,1,IF(N442&lt;=4,2,IF(N442&lt;=5.5,3,4))))</f>
        <v>1</v>
      </c>
      <c r="Q442" s="160">
        <f t="shared" si="452"/>
        <v>1</v>
      </c>
      <c r="R442" s="160" t="str">
        <f t="shared" si="5"/>
        <v>No Progress</v>
      </c>
      <c r="S442" s="160">
        <f t="shared" si="6"/>
        <v>0</v>
      </c>
      <c r="T442" s="177" t="s">
        <v>1087</v>
      </c>
      <c r="U442" s="160">
        <f>COUNTIFS(sheet2!$A:$A,A442,sheet2!$E:$E,E442)</f>
        <v>1</v>
      </c>
      <c r="V442" s="160"/>
      <c r="W442" s="160"/>
      <c r="X442" s="160"/>
      <c r="Y442" s="160"/>
      <c r="Z442" s="160"/>
      <c r="AA442" s="160"/>
      <c r="AB442" s="160"/>
      <c r="AC442" s="160"/>
      <c r="AD442" s="160"/>
      <c r="AE442" s="160"/>
      <c r="AF442" s="160"/>
      <c r="AG442" s="160"/>
      <c r="AH442" s="160"/>
      <c r="AI442" s="160"/>
      <c r="AJ442" s="160"/>
      <c r="AK442" s="160"/>
      <c r="AL442" s="160"/>
      <c r="AM442" s="160"/>
      <c r="AN442" s="164"/>
      <c r="AO442" s="160"/>
      <c r="AP442" s="160"/>
      <c r="AQ442" s="160"/>
      <c r="AR442" s="160"/>
      <c r="AS442" s="160"/>
      <c r="AT442" s="160"/>
      <c r="AU442" s="160"/>
      <c r="AV442" s="160"/>
      <c r="AW442" s="160"/>
      <c r="AX442" s="160"/>
      <c r="AY442" s="160"/>
      <c r="AZ442" s="160"/>
      <c r="BA442" s="160"/>
      <c r="BB442" s="160"/>
      <c r="BC442" s="160"/>
      <c r="BD442" s="160"/>
      <c r="BE442" s="160"/>
      <c r="BF442" s="160"/>
      <c r="BG442" s="160"/>
      <c r="BH442" s="160"/>
      <c r="BI442" s="160"/>
      <c r="BJ442" s="160"/>
      <c r="BK442" s="160"/>
      <c r="BL442" s="160"/>
      <c r="BM442" s="160"/>
      <c r="BN442" s="160"/>
      <c r="BO442" s="160"/>
      <c r="BP442" s="160"/>
      <c r="BQ442" s="160"/>
      <c r="BR442" s="160"/>
      <c r="BS442" s="160"/>
      <c r="BT442" s="160"/>
      <c r="BU442" s="160"/>
      <c r="BV442" s="160"/>
      <c r="BW442" s="160"/>
      <c r="BX442" s="160"/>
      <c r="BY442" s="160"/>
      <c r="BZ442" s="160"/>
      <c r="CA442" s="160"/>
      <c r="CB442" s="160"/>
      <c r="CC442" s="160"/>
      <c r="CD442" s="160"/>
      <c r="CE442" s="160"/>
      <c r="CF442" s="160"/>
      <c r="CG442" s="160"/>
      <c r="CH442" s="160"/>
      <c r="CI442" s="160"/>
      <c r="CJ442" s="160"/>
      <c r="CK442" s="160"/>
      <c r="CL442" s="160"/>
    </row>
    <row r="443">
      <c r="A443" s="174" t="s">
        <v>705</v>
      </c>
      <c r="B443" s="11" t="s">
        <v>706</v>
      </c>
      <c r="C443" s="175" t="s">
        <v>89</v>
      </c>
      <c r="D443" s="176" t="str">
        <f>IFERROR(VLOOKUP(C443, PIC!A:B, 2, 0), "")</f>
        <v>Thanh Phung</v>
      </c>
      <c r="E443" s="11" t="s">
        <v>26</v>
      </c>
      <c r="F443" s="16" t="s">
        <v>26</v>
      </c>
      <c r="G443" s="16" t="s">
        <v>26</v>
      </c>
      <c r="H443" s="170">
        <f>IFERROR(
  MINIFS(ATTENDANCE_LOG!$F:$F,
         ATTENDANCE_LOG!$A:$A, C443,
         ATTENDANCE_LOG!$B:$B, E443),
"")</f>
        <v>45916.45833</v>
      </c>
      <c r="I443" s="170">
        <f t="shared" si="2"/>
        <v>45916.45833</v>
      </c>
      <c r="J443" s="11">
        <f>IFERROR(VLOOKUP(F443, LEVEL_HELPER!$A:$B, 2, 0), "")</f>
        <v>0.5</v>
      </c>
      <c r="K443" s="11">
        <f>IFERROR(VLOOKUP(G443, LEVEL_HELPER!$A:$B, 2, 0), "")</f>
        <v>0.5</v>
      </c>
      <c r="L443" s="171" t="s">
        <v>400</v>
      </c>
      <c r="M443" s="171" t="s">
        <v>151</v>
      </c>
      <c r="N443" s="11">
        <f t="array" ref="N443">IFERROR(
  INDEX($J$2:$J$531,
    MATCH(A443&amp;TEXT(I443,"yyyy-mm-dd"),
          $A$2:$A$531&amp;TEXT($H$2:$H$531,"yyyy-mm-dd"),
          0)),
"")</f>
        <v>0.5</v>
      </c>
      <c r="O443" s="160">
        <f t="shared" si="3"/>
        <v>0.5</v>
      </c>
      <c r="P443" s="160">
        <f t="shared" ref="P443:Q443" si="453">IF(N443="",0,IF(N443&lt;=2,1,IF(N443&lt;=4,2,IF(N443&lt;=5.5,3,4))))</f>
        <v>1</v>
      </c>
      <c r="Q443" s="160">
        <f t="shared" si="453"/>
        <v>1</v>
      </c>
      <c r="R443" s="160" t="str">
        <f t="shared" si="5"/>
        <v>No Progress</v>
      </c>
      <c r="S443" s="160">
        <f t="shared" si="6"/>
        <v>1</v>
      </c>
      <c r="T443" s="177" t="s">
        <v>1090</v>
      </c>
      <c r="U443" s="160">
        <f>COUNTIFS(sheet2!$A:$A,A443,sheet2!$E:$E,E443)</f>
        <v>1</v>
      </c>
      <c r="V443" s="160"/>
      <c r="W443" s="160"/>
      <c r="X443" s="160"/>
      <c r="Y443" s="160"/>
      <c r="Z443" s="160"/>
      <c r="AA443" s="160"/>
      <c r="AB443" s="160"/>
      <c r="AC443" s="160"/>
      <c r="AD443" s="160"/>
      <c r="AE443" s="160"/>
      <c r="AF443" s="160"/>
      <c r="AG443" s="160"/>
      <c r="AH443" s="160"/>
      <c r="AI443" s="160"/>
      <c r="AJ443" s="160"/>
      <c r="AK443" s="160"/>
      <c r="AL443" s="160"/>
      <c r="AM443" s="160"/>
      <c r="AN443" s="164"/>
      <c r="AO443" s="160"/>
      <c r="AP443" s="160"/>
      <c r="AQ443" s="160"/>
      <c r="AR443" s="160"/>
      <c r="AS443" s="160"/>
      <c r="AT443" s="160"/>
      <c r="AU443" s="160"/>
      <c r="AV443" s="160"/>
      <c r="AW443" s="160"/>
      <c r="AX443" s="160"/>
      <c r="AY443" s="160"/>
      <c r="AZ443" s="160"/>
      <c r="BA443" s="160"/>
      <c r="BB443" s="160"/>
      <c r="BC443" s="160"/>
      <c r="BD443" s="160"/>
      <c r="BE443" s="160"/>
      <c r="BF443" s="160"/>
      <c r="BG443" s="160"/>
      <c r="BH443" s="160"/>
      <c r="BI443" s="160"/>
      <c r="BJ443" s="160"/>
      <c r="BK443" s="160"/>
      <c r="BL443" s="160"/>
      <c r="BM443" s="160"/>
      <c r="BN443" s="160"/>
      <c r="BO443" s="160"/>
      <c r="BP443" s="160"/>
      <c r="BQ443" s="160"/>
      <c r="BR443" s="160"/>
      <c r="BS443" s="160"/>
      <c r="BT443" s="160"/>
      <c r="BU443" s="160"/>
      <c r="BV443" s="160"/>
      <c r="BW443" s="160"/>
      <c r="BX443" s="160"/>
      <c r="BY443" s="160"/>
      <c r="BZ443" s="160"/>
      <c r="CA443" s="160"/>
      <c r="CB443" s="160"/>
      <c r="CC443" s="160"/>
      <c r="CD443" s="160"/>
      <c r="CE443" s="160"/>
      <c r="CF443" s="160"/>
      <c r="CG443" s="160"/>
      <c r="CH443" s="160"/>
      <c r="CI443" s="160"/>
      <c r="CJ443" s="160"/>
      <c r="CK443" s="160"/>
      <c r="CL443" s="160"/>
    </row>
    <row r="444">
      <c r="A444" s="174" t="s">
        <v>709</v>
      </c>
      <c r="B444" s="11" t="s">
        <v>710</v>
      </c>
      <c r="C444" s="175" t="s">
        <v>89</v>
      </c>
      <c r="D444" s="176" t="str">
        <f>IFERROR(VLOOKUP(C444, PIC!A:B, 2, 0), "")</f>
        <v>Thanh Phung</v>
      </c>
      <c r="E444" s="11" t="s">
        <v>26</v>
      </c>
      <c r="F444" s="16" t="s">
        <v>26</v>
      </c>
      <c r="G444" s="16" t="s">
        <v>26</v>
      </c>
      <c r="H444" s="170">
        <f>IFERROR(
  MINIFS(ATTENDANCE_LOG!$F:$F,
         ATTENDANCE_LOG!$A:$A, C444,
         ATTENDANCE_LOG!$B:$B, E444),
"")</f>
        <v>45916.45833</v>
      </c>
      <c r="I444" s="170">
        <f t="shared" si="2"/>
        <v>45916.45833</v>
      </c>
      <c r="J444" s="11">
        <f>IFERROR(VLOOKUP(F444, LEVEL_HELPER!$A:$B, 2, 0), "")</f>
        <v>0.5</v>
      </c>
      <c r="K444" s="11">
        <f>IFERROR(VLOOKUP(G444, LEVEL_HELPER!$A:$B, 2, 0), "")</f>
        <v>0.5</v>
      </c>
      <c r="L444" s="171" t="s">
        <v>857</v>
      </c>
      <c r="M444" s="171" t="s">
        <v>153</v>
      </c>
      <c r="N444" s="11">
        <f t="array" ref="N444">IFERROR(
  INDEX($J$2:$J$531,
    MATCH(A444&amp;TEXT(I444,"yyyy-mm-dd"),
          $A$2:$A$531&amp;TEXT($H$2:$H$531,"yyyy-mm-dd"),
          0)),
"")</f>
        <v>0.5</v>
      </c>
      <c r="O444" s="160">
        <f t="shared" si="3"/>
        <v>0.5</v>
      </c>
      <c r="P444" s="160">
        <f t="shared" ref="P444:Q444" si="454">IF(N444="",0,IF(N444&lt;=2,1,IF(N444&lt;=4,2,IF(N444&lt;=5.5,3,4))))</f>
        <v>1</v>
      </c>
      <c r="Q444" s="160">
        <f t="shared" si="454"/>
        <v>1</v>
      </c>
      <c r="R444" s="160" t="str">
        <f t="shared" si="5"/>
        <v>No Progress</v>
      </c>
      <c r="S444" s="160">
        <f t="shared" si="6"/>
        <v>1</v>
      </c>
      <c r="T444" s="177" t="s">
        <v>1091</v>
      </c>
      <c r="U444" s="160">
        <f>COUNTIFS(sheet2!$A:$A,A444,sheet2!$E:$E,E444)</f>
        <v>1</v>
      </c>
      <c r="V444" s="160"/>
      <c r="W444" s="160"/>
      <c r="X444" s="160"/>
      <c r="Y444" s="160"/>
      <c r="Z444" s="160"/>
      <c r="AA444" s="160"/>
      <c r="AB444" s="160"/>
      <c r="AC444" s="160"/>
      <c r="AD444" s="160"/>
      <c r="AE444" s="160"/>
      <c r="AF444" s="160"/>
      <c r="AG444" s="160"/>
      <c r="AH444" s="160"/>
      <c r="AI444" s="160"/>
      <c r="AJ444" s="160"/>
      <c r="AK444" s="160"/>
      <c r="AL444" s="160"/>
      <c r="AM444" s="160"/>
      <c r="AN444" s="164"/>
      <c r="AO444" s="160"/>
      <c r="AP444" s="160"/>
      <c r="AQ444" s="160"/>
      <c r="AR444" s="160"/>
      <c r="AS444" s="160"/>
      <c r="AT444" s="160"/>
      <c r="AU444" s="160"/>
      <c r="AV444" s="160"/>
      <c r="AW444" s="160"/>
      <c r="AX444" s="160"/>
      <c r="AY444" s="160"/>
      <c r="AZ444" s="160"/>
      <c r="BA444" s="160"/>
      <c r="BB444" s="160"/>
      <c r="BC444" s="160"/>
      <c r="BD444" s="160"/>
      <c r="BE444" s="160"/>
      <c r="BF444" s="160"/>
      <c r="BG444" s="160"/>
      <c r="BH444" s="160"/>
      <c r="BI444" s="160"/>
      <c r="BJ444" s="160"/>
      <c r="BK444" s="160"/>
      <c r="BL444" s="160"/>
      <c r="BM444" s="160"/>
      <c r="BN444" s="160"/>
      <c r="BO444" s="160"/>
      <c r="BP444" s="160"/>
      <c r="BQ444" s="160"/>
      <c r="BR444" s="160"/>
      <c r="BS444" s="160"/>
      <c r="BT444" s="160"/>
      <c r="BU444" s="160"/>
      <c r="BV444" s="160"/>
      <c r="BW444" s="160"/>
      <c r="BX444" s="160"/>
      <c r="BY444" s="160"/>
      <c r="BZ444" s="160"/>
      <c r="CA444" s="160"/>
      <c r="CB444" s="160"/>
      <c r="CC444" s="160"/>
      <c r="CD444" s="160"/>
      <c r="CE444" s="160"/>
      <c r="CF444" s="160"/>
      <c r="CG444" s="160"/>
      <c r="CH444" s="160"/>
      <c r="CI444" s="160"/>
      <c r="CJ444" s="160"/>
      <c r="CK444" s="160"/>
      <c r="CL444" s="160"/>
    </row>
    <row r="445">
      <c r="A445" s="174" t="s">
        <v>637</v>
      </c>
      <c r="B445" s="11" t="s">
        <v>638</v>
      </c>
      <c r="C445" s="175" t="s">
        <v>89</v>
      </c>
      <c r="D445" s="176" t="str">
        <f>IFERROR(VLOOKUP(C445, PIC!A:B, 2, 0), "")</f>
        <v>Thanh Phung</v>
      </c>
      <c r="E445" s="11" t="s">
        <v>26</v>
      </c>
      <c r="F445" s="16" t="s">
        <v>26</v>
      </c>
      <c r="G445" s="16" t="s">
        <v>26</v>
      </c>
      <c r="H445" s="170">
        <f>IFERROR(
  MINIFS(ATTENDANCE_LOG!$F:$F,
         ATTENDANCE_LOG!$A:$A, C445,
         ATTENDANCE_LOG!$B:$B, E445),
"")</f>
        <v>45916.45833</v>
      </c>
      <c r="I445" s="170">
        <f t="shared" si="2"/>
        <v>45916.45833</v>
      </c>
      <c r="J445" s="11">
        <f>IFERROR(VLOOKUP(F445, LEVEL_HELPER!$A:$B, 2, 0), "")</f>
        <v>0.5</v>
      </c>
      <c r="K445" s="11">
        <f>IFERROR(VLOOKUP(G445, LEVEL_HELPER!$A:$B, 2, 0), "")</f>
        <v>0.5</v>
      </c>
      <c r="L445" s="171" t="s">
        <v>857</v>
      </c>
      <c r="M445" s="183" t="s">
        <v>149</v>
      </c>
      <c r="N445" s="11">
        <f t="array" ref="N445">IFERROR(
  INDEX($J$2:$J$531,
    MATCH(A445&amp;TEXT(I445,"yyyy-mm-dd"),
          $A$2:$A$531&amp;TEXT($H$2:$H$531,"yyyy-mm-dd"),
          0)),
"")</f>
        <v>0.5</v>
      </c>
      <c r="O445" s="160">
        <f t="shared" si="3"/>
        <v>0.5</v>
      </c>
      <c r="P445" s="160">
        <f t="shared" ref="P445:Q445" si="455">IF(N445="",0,IF(N445&lt;=2,1,IF(N445&lt;=4,2,IF(N445&lt;=5.5,3,4))))</f>
        <v>1</v>
      </c>
      <c r="Q445" s="160">
        <f t="shared" si="455"/>
        <v>1</v>
      </c>
      <c r="R445" s="160" t="str">
        <f t="shared" si="5"/>
        <v>No Progress</v>
      </c>
      <c r="S445" s="160">
        <f t="shared" si="6"/>
        <v>1</v>
      </c>
      <c r="T445" s="177" t="s">
        <v>1092</v>
      </c>
      <c r="U445" s="160">
        <f>COUNTIFS(sheet2!$A:$A,A445,sheet2!$E:$E,E445)</f>
        <v>1</v>
      </c>
      <c r="V445" s="160"/>
      <c r="W445" s="160"/>
      <c r="X445" s="160"/>
      <c r="Y445" s="160"/>
      <c r="Z445" s="160"/>
      <c r="AA445" s="160"/>
      <c r="AB445" s="160"/>
      <c r="AC445" s="160"/>
      <c r="AD445" s="160"/>
      <c r="AE445" s="160"/>
      <c r="AF445" s="160"/>
      <c r="AG445" s="160"/>
      <c r="AH445" s="160"/>
      <c r="AI445" s="160"/>
      <c r="AJ445" s="160"/>
      <c r="AK445" s="160"/>
      <c r="AL445" s="160"/>
      <c r="AM445" s="160"/>
      <c r="AN445" s="164"/>
      <c r="AO445" s="160"/>
      <c r="AP445" s="160"/>
      <c r="AQ445" s="160"/>
      <c r="AR445" s="160"/>
      <c r="AS445" s="160"/>
      <c r="AT445" s="160"/>
      <c r="AU445" s="160"/>
      <c r="AV445" s="160"/>
      <c r="AW445" s="160"/>
      <c r="AX445" s="160"/>
      <c r="AY445" s="160"/>
      <c r="AZ445" s="160"/>
      <c r="BA445" s="160"/>
      <c r="BB445" s="160"/>
      <c r="BC445" s="160"/>
      <c r="BD445" s="160"/>
      <c r="BE445" s="160"/>
      <c r="BF445" s="160"/>
      <c r="BG445" s="160"/>
      <c r="BH445" s="160"/>
      <c r="BI445" s="160"/>
      <c r="BJ445" s="160"/>
      <c r="BK445" s="160"/>
      <c r="BL445" s="160"/>
      <c r="BM445" s="160"/>
      <c r="BN445" s="160"/>
      <c r="BO445" s="160"/>
      <c r="BP445" s="160"/>
      <c r="BQ445" s="160"/>
      <c r="BR445" s="160"/>
      <c r="BS445" s="160"/>
      <c r="BT445" s="160"/>
      <c r="BU445" s="160"/>
      <c r="BV445" s="160"/>
      <c r="BW445" s="160"/>
      <c r="BX445" s="160"/>
      <c r="BY445" s="160"/>
      <c r="BZ445" s="160"/>
      <c r="CA445" s="160"/>
      <c r="CB445" s="160"/>
      <c r="CC445" s="160"/>
      <c r="CD445" s="160"/>
      <c r="CE445" s="160"/>
      <c r="CF445" s="160"/>
      <c r="CG445" s="160"/>
      <c r="CH445" s="160"/>
      <c r="CI445" s="160"/>
      <c r="CJ445" s="160"/>
      <c r="CK445" s="160"/>
      <c r="CL445" s="160"/>
    </row>
    <row r="446">
      <c r="A446" s="174" t="s">
        <v>711</v>
      </c>
      <c r="B446" s="11" t="s">
        <v>712</v>
      </c>
      <c r="C446" s="175" t="s">
        <v>89</v>
      </c>
      <c r="D446" s="176" t="str">
        <f>IFERROR(VLOOKUP(C446, PIC!A:B, 2, 0), "")</f>
        <v>Thanh Phung</v>
      </c>
      <c r="E446" s="11" t="s">
        <v>26</v>
      </c>
      <c r="F446" s="16" t="s">
        <v>26</v>
      </c>
      <c r="G446" s="16" t="s">
        <v>26</v>
      </c>
      <c r="H446" s="170">
        <f>IFERROR(
  MINIFS(ATTENDANCE_LOG!$F:$F,
         ATTENDANCE_LOG!$A:$A, C446,
         ATTENDANCE_LOG!$B:$B, E446),
"")</f>
        <v>45916.45833</v>
      </c>
      <c r="I446" s="170">
        <f t="shared" si="2"/>
        <v>45916.45833</v>
      </c>
      <c r="J446" s="11">
        <f>IFERROR(VLOOKUP(F446, LEVEL_HELPER!$A:$B, 2, 0), "")</f>
        <v>0.5</v>
      </c>
      <c r="K446" s="11">
        <f>IFERROR(VLOOKUP(G446, LEVEL_HELPER!$A:$B, 2, 0), "")</f>
        <v>0.5</v>
      </c>
      <c r="L446" s="171" t="s">
        <v>857</v>
      </c>
      <c r="M446" s="171" t="s">
        <v>153</v>
      </c>
      <c r="N446" s="11">
        <f t="array" ref="N446">IFERROR(
  INDEX($J$2:$J$531,
    MATCH(A446&amp;TEXT(I446,"yyyy-mm-dd"),
          $A$2:$A$531&amp;TEXT($H$2:$H$531,"yyyy-mm-dd"),
          0)),
"")</f>
        <v>0.5</v>
      </c>
      <c r="O446" s="160">
        <f t="shared" si="3"/>
        <v>0.5</v>
      </c>
      <c r="P446" s="160">
        <f t="shared" ref="P446:Q446" si="456">IF(N446="",0,IF(N446&lt;=2,1,IF(N446&lt;=4,2,IF(N446&lt;=5.5,3,4))))</f>
        <v>1</v>
      </c>
      <c r="Q446" s="160">
        <f t="shared" si="456"/>
        <v>1</v>
      </c>
      <c r="R446" s="160" t="str">
        <f t="shared" si="5"/>
        <v>No Progress</v>
      </c>
      <c r="S446" s="160">
        <f t="shared" si="6"/>
        <v>1</v>
      </c>
      <c r="T446" s="177" t="s">
        <v>1093</v>
      </c>
      <c r="U446" s="160">
        <f>COUNTIFS(sheet2!$A:$A,A446,sheet2!$E:$E,E446)</f>
        <v>1</v>
      </c>
      <c r="V446" s="160"/>
      <c r="W446" s="160"/>
      <c r="X446" s="160"/>
      <c r="Y446" s="160"/>
      <c r="Z446" s="160"/>
      <c r="AA446" s="160"/>
      <c r="AB446" s="160"/>
      <c r="AC446" s="160"/>
      <c r="AD446" s="160"/>
      <c r="AE446" s="160"/>
      <c r="AF446" s="160"/>
      <c r="AG446" s="160"/>
      <c r="AH446" s="160"/>
      <c r="AI446" s="160"/>
      <c r="AJ446" s="160"/>
      <c r="AK446" s="160"/>
      <c r="AL446" s="160"/>
      <c r="AM446" s="160"/>
      <c r="AN446" s="164"/>
      <c r="AO446" s="160"/>
      <c r="AP446" s="160"/>
      <c r="AQ446" s="160"/>
      <c r="AR446" s="160"/>
      <c r="AS446" s="160"/>
      <c r="AT446" s="160"/>
      <c r="AU446" s="160"/>
      <c r="AV446" s="160"/>
      <c r="AW446" s="160"/>
      <c r="AX446" s="160"/>
      <c r="AY446" s="160"/>
      <c r="AZ446" s="160"/>
      <c r="BA446" s="160"/>
      <c r="BB446" s="160"/>
      <c r="BC446" s="160"/>
      <c r="BD446" s="160"/>
      <c r="BE446" s="160"/>
      <c r="BF446" s="160"/>
      <c r="BG446" s="160"/>
      <c r="BH446" s="160"/>
      <c r="BI446" s="160"/>
      <c r="BJ446" s="160"/>
      <c r="BK446" s="160"/>
      <c r="BL446" s="160"/>
      <c r="BM446" s="160"/>
      <c r="BN446" s="160"/>
      <c r="BO446" s="160"/>
      <c r="BP446" s="160"/>
      <c r="BQ446" s="160"/>
      <c r="BR446" s="160"/>
      <c r="BS446" s="160"/>
      <c r="BT446" s="160"/>
      <c r="BU446" s="160"/>
      <c r="BV446" s="160"/>
      <c r="BW446" s="160"/>
      <c r="BX446" s="160"/>
      <c r="BY446" s="160"/>
      <c r="BZ446" s="160"/>
      <c r="CA446" s="160"/>
      <c r="CB446" s="160"/>
      <c r="CC446" s="160"/>
      <c r="CD446" s="160"/>
      <c r="CE446" s="160"/>
      <c r="CF446" s="160"/>
      <c r="CG446" s="160"/>
      <c r="CH446" s="160"/>
      <c r="CI446" s="160"/>
      <c r="CJ446" s="160"/>
      <c r="CK446" s="160"/>
      <c r="CL446" s="160"/>
    </row>
    <row r="447">
      <c r="A447" s="174" t="s">
        <v>715</v>
      </c>
      <c r="B447" s="11" t="s">
        <v>716</v>
      </c>
      <c r="C447" s="175" t="s">
        <v>89</v>
      </c>
      <c r="D447" s="176" t="str">
        <f>IFERROR(VLOOKUP(C447, PIC!A:B, 2, 0), "")</f>
        <v>Thanh Phung</v>
      </c>
      <c r="E447" s="11" t="s">
        <v>26</v>
      </c>
      <c r="F447" s="16" t="s">
        <v>26</v>
      </c>
      <c r="G447" s="16" t="s">
        <v>26</v>
      </c>
      <c r="H447" s="170">
        <f>IFERROR(
  MINIFS(ATTENDANCE_LOG!$F:$F,
         ATTENDANCE_LOG!$A:$A, C447,
         ATTENDANCE_LOG!$B:$B, E447),
"")</f>
        <v>45916.45833</v>
      </c>
      <c r="I447" s="170">
        <f t="shared" si="2"/>
        <v>45916.45833</v>
      </c>
      <c r="J447" s="11">
        <f>IFERROR(VLOOKUP(F447, LEVEL_HELPER!$A:$B, 2, 0), "")</f>
        <v>0.5</v>
      </c>
      <c r="K447" s="11">
        <f>IFERROR(VLOOKUP(G447, LEVEL_HELPER!$A:$B, 2, 0), "")</f>
        <v>0.5</v>
      </c>
      <c r="L447" s="171" t="s">
        <v>857</v>
      </c>
      <c r="M447" s="171" t="s">
        <v>153</v>
      </c>
      <c r="N447" s="11">
        <f t="array" ref="N447">IFERROR(
  INDEX($J$2:$J$531,
    MATCH(A447&amp;TEXT(I447,"yyyy-mm-dd"),
          $A$2:$A$531&amp;TEXT($H$2:$H$531,"yyyy-mm-dd"),
          0)),
"")</f>
        <v>0.5</v>
      </c>
      <c r="O447" s="160">
        <f t="shared" si="3"/>
        <v>0.5</v>
      </c>
      <c r="P447" s="160">
        <f t="shared" ref="P447:Q447" si="457">IF(N447="",0,IF(N447&lt;=2,1,IF(N447&lt;=4,2,IF(N447&lt;=5.5,3,4))))</f>
        <v>1</v>
      </c>
      <c r="Q447" s="160">
        <f t="shared" si="457"/>
        <v>1</v>
      </c>
      <c r="R447" s="160" t="str">
        <f t="shared" si="5"/>
        <v>No Progress</v>
      </c>
      <c r="S447" s="160">
        <f t="shared" si="6"/>
        <v>1</v>
      </c>
      <c r="T447" s="177" t="s">
        <v>1094</v>
      </c>
      <c r="U447" s="160">
        <f>COUNTIFS(sheet2!$A:$A,A447,sheet2!$E:$E,E447)</f>
        <v>1</v>
      </c>
      <c r="V447" s="160"/>
      <c r="W447" s="160"/>
      <c r="X447" s="160"/>
      <c r="Y447" s="160"/>
      <c r="Z447" s="160"/>
      <c r="AA447" s="160"/>
      <c r="AB447" s="160"/>
      <c r="AC447" s="160"/>
      <c r="AD447" s="160"/>
      <c r="AE447" s="160"/>
      <c r="AF447" s="160"/>
      <c r="AG447" s="160"/>
      <c r="AH447" s="160"/>
      <c r="AI447" s="160"/>
      <c r="AJ447" s="160"/>
      <c r="AK447" s="160"/>
      <c r="AL447" s="160"/>
      <c r="AM447" s="160"/>
      <c r="AN447" s="164"/>
      <c r="AO447" s="160"/>
      <c r="AP447" s="160"/>
      <c r="AQ447" s="160"/>
      <c r="AR447" s="160"/>
      <c r="AS447" s="160"/>
      <c r="AT447" s="160"/>
      <c r="AU447" s="160"/>
      <c r="AV447" s="160"/>
      <c r="AW447" s="160"/>
      <c r="AX447" s="160"/>
      <c r="AY447" s="160"/>
      <c r="AZ447" s="160"/>
      <c r="BA447" s="160"/>
      <c r="BB447" s="160"/>
      <c r="BC447" s="160"/>
      <c r="BD447" s="160"/>
      <c r="BE447" s="160"/>
      <c r="BF447" s="160"/>
      <c r="BG447" s="160"/>
      <c r="BH447" s="160"/>
      <c r="BI447" s="160"/>
      <c r="BJ447" s="160"/>
      <c r="BK447" s="160"/>
      <c r="BL447" s="160"/>
      <c r="BM447" s="160"/>
      <c r="BN447" s="160"/>
      <c r="BO447" s="160"/>
      <c r="BP447" s="160"/>
      <c r="BQ447" s="160"/>
      <c r="BR447" s="160"/>
      <c r="BS447" s="160"/>
      <c r="BT447" s="160"/>
      <c r="BU447" s="160"/>
      <c r="BV447" s="160"/>
      <c r="BW447" s="160"/>
      <c r="BX447" s="160"/>
      <c r="BY447" s="160"/>
      <c r="BZ447" s="160"/>
      <c r="CA447" s="160"/>
      <c r="CB447" s="160"/>
      <c r="CC447" s="160"/>
      <c r="CD447" s="160"/>
      <c r="CE447" s="160"/>
      <c r="CF447" s="160"/>
      <c r="CG447" s="160"/>
      <c r="CH447" s="160"/>
      <c r="CI447" s="160"/>
      <c r="CJ447" s="160"/>
      <c r="CK447" s="160"/>
      <c r="CL447" s="160"/>
    </row>
    <row r="448">
      <c r="A448" s="174" t="s">
        <v>631</v>
      </c>
      <c r="B448" s="11" t="s">
        <v>632</v>
      </c>
      <c r="C448" s="175" t="s">
        <v>89</v>
      </c>
      <c r="D448" s="176" t="str">
        <f>IFERROR(VLOOKUP(C448, PIC!A:B, 2, 0), "")</f>
        <v>Thanh Phung</v>
      </c>
      <c r="E448" s="11" t="s">
        <v>26</v>
      </c>
      <c r="F448" s="16" t="s">
        <v>26</v>
      </c>
      <c r="G448" s="16" t="s">
        <v>26</v>
      </c>
      <c r="H448" s="170">
        <f>IFERROR(
  MINIFS(ATTENDANCE_LOG!$F:$F,
         ATTENDANCE_LOG!$A:$A, C448,
         ATTENDANCE_LOG!$B:$B, E448),
"")</f>
        <v>45916.45833</v>
      </c>
      <c r="I448" s="170">
        <f t="shared" si="2"/>
        <v>45916.45833</v>
      </c>
      <c r="J448" s="11">
        <f>IFERROR(VLOOKUP(F448, LEVEL_HELPER!$A:$B, 2, 0), "")</f>
        <v>0.5</v>
      </c>
      <c r="K448" s="11">
        <f>IFERROR(VLOOKUP(G448, LEVEL_HELPER!$A:$B, 2, 0), "")</f>
        <v>0.5</v>
      </c>
      <c r="L448" s="171" t="s">
        <v>857</v>
      </c>
      <c r="M448" s="171" t="s">
        <v>153</v>
      </c>
      <c r="N448" s="11">
        <f t="array" ref="N448">IFERROR(
  INDEX($J$2:$J$531,
    MATCH(A448&amp;TEXT(I448,"yyyy-mm-dd"),
          $A$2:$A$531&amp;TEXT($H$2:$H$531,"yyyy-mm-dd"),
          0)),
"")</f>
        <v>0.5</v>
      </c>
      <c r="O448" s="160">
        <f t="shared" si="3"/>
        <v>0.5</v>
      </c>
      <c r="P448" s="160">
        <f t="shared" ref="P448:Q448" si="458">IF(N448="",0,IF(N448&lt;=2,1,IF(N448&lt;=4,2,IF(N448&lt;=5.5,3,4))))</f>
        <v>1</v>
      </c>
      <c r="Q448" s="160">
        <f t="shared" si="458"/>
        <v>1</v>
      </c>
      <c r="R448" s="160" t="str">
        <f t="shared" si="5"/>
        <v>No Progress</v>
      </c>
      <c r="S448" s="160">
        <f t="shared" si="6"/>
        <v>0</v>
      </c>
      <c r="T448" s="177" t="s">
        <v>1088</v>
      </c>
      <c r="U448" s="160">
        <f>COUNTIFS(sheet2!$A:$A,A448,sheet2!$E:$E,E448)</f>
        <v>1</v>
      </c>
      <c r="V448" s="160"/>
      <c r="W448" s="160"/>
      <c r="X448" s="160"/>
      <c r="Y448" s="160"/>
      <c r="Z448" s="160"/>
      <c r="AA448" s="160"/>
      <c r="AB448" s="160"/>
      <c r="AC448" s="160"/>
      <c r="AD448" s="160"/>
      <c r="AE448" s="160"/>
      <c r="AF448" s="160"/>
      <c r="AG448" s="160"/>
      <c r="AH448" s="160"/>
      <c r="AI448" s="160"/>
      <c r="AJ448" s="160"/>
      <c r="AK448" s="160"/>
      <c r="AL448" s="160"/>
      <c r="AM448" s="160"/>
      <c r="AN448" s="164"/>
      <c r="AO448" s="160"/>
      <c r="AP448" s="160"/>
      <c r="AQ448" s="160"/>
      <c r="AR448" s="160"/>
      <c r="AS448" s="160"/>
      <c r="AT448" s="160"/>
      <c r="AU448" s="160"/>
      <c r="AV448" s="160"/>
      <c r="AW448" s="160"/>
      <c r="AX448" s="160"/>
      <c r="AY448" s="160"/>
      <c r="AZ448" s="160"/>
      <c r="BA448" s="160"/>
      <c r="BB448" s="160"/>
      <c r="BC448" s="160"/>
      <c r="BD448" s="160"/>
      <c r="BE448" s="160"/>
      <c r="BF448" s="160"/>
      <c r="BG448" s="160"/>
      <c r="BH448" s="160"/>
      <c r="BI448" s="160"/>
      <c r="BJ448" s="160"/>
      <c r="BK448" s="160"/>
      <c r="BL448" s="160"/>
      <c r="BM448" s="160"/>
      <c r="BN448" s="160"/>
      <c r="BO448" s="160"/>
      <c r="BP448" s="160"/>
      <c r="BQ448" s="160"/>
      <c r="BR448" s="160"/>
      <c r="BS448" s="160"/>
      <c r="BT448" s="160"/>
      <c r="BU448" s="160"/>
      <c r="BV448" s="160"/>
      <c r="BW448" s="160"/>
      <c r="BX448" s="160"/>
      <c r="BY448" s="160"/>
      <c r="BZ448" s="160"/>
      <c r="CA448" s="160"/>
      <c r="CB448" s="160"/>
      <c r="CC448" s="160"/>
      <c r="CD448" s="160"/>
      <c r="CE448" s="160"/>
      <c r="CF448" s="160"/>
      <c r="CG448" s="160"/>
      <c r="CH448" s="160"/>
      <c r="CI448" s="160"/>
      <c r="CJ448" s="160"/>
      <c r="CK448" s="160"/>
      <c r="CL448" s="160"/>
    </row>
    <row r="449">
      <c r="A449" s="174" t="s">
        <v>633</v>
      </c>
      <c r="B449" s="11" t="s">
        <v>634</v>
      </c>
      <c r="C449" s="175" t="s">
        <v>89</v>
      </c>
      <c r="D449" s="176" t="str">
        <f>IFERROR(VLOOKUP(C449, PIC!A:B, 2, 0), "")</f>
        <v>Thanh Phung</v>
      </c>
      <c r="E449" s="11" t="s">
        <v>26</v>
      </c>
      <c r="F449" s="16" t="s">
        <v>26</v>
      </c>
      <c r="G449" s="16" t="s">
        <v>26</v>
      </c>
      <c r="H449" s="170">
        <f>IFERROR(
  MINIFS(ATTENDANCE_LOG!$F:$F,
         ATTENDANCE_LOG!$A:$A, C449,
         ATTENDANCE_LOG!$B:$B, E449),
"")</f>
        <v>45916.45833</v>
      </c>
      <c r="I449" s="170">
        <f t="shared" si="2"/>
        <v>45916.45833</v>
      </c>
      <c r="J449" s="11">
        <f>IFERROR(VLOOKUP(F449, LEVEL_HELPER!$A:$B, 2, 0), "")</f>
        <v>0.5</v>
      </c>
      <c r="K449" s="11">
        <f>IFERROR(VLOOKUP(G449, LEVEL_HELPER!$A:$B, 2, 0), "")</f>
        <v>0.5</v>
      </c>
      <c r="L449" s="171" t="s">
        <v>857</v>
      </c>
      <c r="M449" s="171" t="s">
        <v>153</v>
      </c>
      <c r="N449" s="11">
        <f t="array" ref="N449">IFERROR(
  INDEX($J$2:$J$531,
    MATCH(A449&amp;TEXT(I449,"yyyy-mm-dd"),
          $A$2:$A$531&amp;TEXT($H$2:$H$531,"yyyy-mm-dd"),
          0)),
"")</f>
        <v>0.5</v>
      </c>
      <c r="O449" s="160">
        <f t="shared" si="3"/>
        <v>0.5</v>
      </c>
      <c r="P449" s="160">
        <f t="shared" ref="P449:Q449" si="459">IF(N449="",0,IF(N449&lt;=2,1,IF(N449&lt;=4,2,IF(N449&lt;=5.5,3,4))))</f>
        <v>1</v>
      </c>
      <c r="Q449" s="160">
        <f t="shared" si="459"/>
        <v>1</v>
      </c>
      <c r="R449" s="160" t="str">
        <f t="shared" si="5"/>
        <v>No Progress</v>
      </c>
      <c r="S449" s="160">
        <f t="shared" si="6"/>
        <v>0</v>
      </c>
      <c r="T449" s="177" t="s">
        <v>1089</v>
      </c>
      <c r="U449" s="160">
        <f>COUNTIFS(sheet2!$A:$A,A449,sheet2!$E:$E,E449)</f>
        <v>1</v>
      </c>
      <c r="V449" s="160"/>
      <c r="W449" s="160"/>
      <c r="X449" s="160"/>
      <c r="Y449" s="160"/>
      <c r="Z449" s="160"/>
      <c r="AA449" s="160"/>
      <c r="AB449" s="160"/>
      <c r="AC449" s="160"/>
      <c r="AD449" s="160"/>
      <c r="AE449" s="160"/>
      <c r="AF449" s="160"/>
      <c r="AG449" s="160"/>
      <c r="AH449" s="160"/>
      <c r="AI449" s="160"/>
      <c r="AJ449" s="160"/>
      <c r="AK449" s="160"/>
      <c r="AL449" s="160"/>
      <c r="AM449" s="160"/>
      <c r="AN449" s="164"/>
      <c r="AO449" s="160"/>
      <c r="AP449" s="160"/>
      <c r="AQ449" s="160"/>
      <c r="AR449" s="160"/>
      <c r="AS449" s="160"/>
      <c r="AT449" s="160"/>
      <c r="AU449" s="160"/>
      <c r="AV449" s="160"/>
      <c r="AW449" s="160"/>
      <c r="AX449" s="160"/>
      <c r="AY449" s="160"/>
      <c r="AZ449" s="160"/>
      <c r="BA449" s="160"/>
      <c r="BB449" s="160"/>
      <c r="BC449" s="160"/>
      <c r="BD449" s="160"/>
      <c r="BE449" s="160"/>
      <c r="BF449" s="160"/>
      <c r="BG449" s="160"/>
      <c r="BH449" s="160"/>
      <c r="BI449" s="160"/>
      <c r="BJ449" s="160"/>
      <c r="BK449" s="160"/>
      <c r="BL449" s="160"/>
      <c r="BM449" s="160"/>
      <c r="BN449" s="160"/>
      <c r="BO449" s="160"/>
      <c r="BP449" s="160"/>
      <c r="BQ449" s="160"/>
      <c r="BR449" s="160"/>
      <c r="BS449" s="160"/>
      <c r="BT449" s="160"/>
      <c r="BU449" s="160"/>
      <c r="BV449" s="160"/>
      <c r="BW449" s="160"/>
      <c r="BX449" s="160"/>
      <c r="BY449" s="160"/>
      <c r="BZ449" s="160"/>
      <c r="CA449" s="160"/>
      <c r="CB449" s="160"/>
      <c r="CC449" s="160"/>
      <c r="CD449" s="160"/>
      <c r="CE449" s="160"/>
      <c r="CF449" s="160"/>
      <c r="CG449" s="160"/>
      <c r="CH449" s="160"/>
      <c r="CI449" s="160"/>
      <c r="CJ449" s="160"/>
      <c r="CK449" s="160"/>
      <c r="CL449" s="160"/>
    </row>
    <row r="450">
      <c r="A450" s="166" t="s">
        <v>502</v>
      </c>
      <c r="B450" s="167" t="s">
        <v>503</v>
      </c>
      <c r="C450" s="168" t="s">
        <v>90</v>
      </c>
      <c r="D450" s="169" t="str">
        <f>IFERROR(VLOOKUP(C450, PIC!A:B, 2, 0), "")</f>
        <v>Phu Nguyen</v>
      </c>
      <c r="E450" s="167" t="s">
        <v>22</v>
      </c>
      <c r="F450" s="200" t="s">
        <v>849</v>
      </c>
      <c r="G450" s="167"/>
      <c r="H450" s="170">
        <f>IFERROR(
  MINIFS(ATTENDANCE_LOG!$F:$F,
         ATTENDANCE_LOG!$A:$A, C450,
         ATTENDANCE_LOG!$B:$B, E450),
"")</f>
        <v>45917.58333</v>
      </c>
      <c r="I450" s="170">
        <f t="shared" si="2"/>
        <v>45917.58333</v>
      </c>
      <c r="J450" s="167">
        <f>IFERROR(VLOOKUP(F450, LEVEL_HELPER!$A:$B, 2, 0), "")</f>
        <v>1</v>
      </c>
      <c r="K450" s="167" t="str">
        <f>IFERROR(VLOOKUP(G450, LEVEL_HELPER!$A:$B, 2, 0), "")</f>
        <v/>
      </c>
      <c r="L450" s="205" t="s">
        <v>857</v>
      </c>
      <c r="M450" s="205" t="s">
        <v>153</v>
      </c>
      <c r="N450" s="11">
        <f t="array" ref="N450">IFERROR(
  INDEX($J$2:$J$531,
    MATCH(A450&amp;TEXT(I450,"yyyy-mm-dd"),
          $A$2:$A$531&amp;TEXT($H$2:$H$531,"yyyy-mm-dd"),
          0)),
"")</f>
        <v>1</v>
      </c>
      <c r="O450" s="206">
        <f t="shared" si="3"/>
        <v>0</v>
      </c>
      <c r="P450" s="160">
        <f t="shared" ref="P450:Q450" si="460">IF(N450="",0,IF(N450&lt;=2,1,IF(N450&lt;=4,2,IF(N450&lt;=5.5,3,4))))</f>
        <v>1</v>
      </c>
      <c r="Q450" s="160">
        <f t="shared" si="460"/>
        <v>1</v>
      </c>
      <c r="R450" s="160" t="str">
        <f t="shared" si="5"/>
        <v>Not tested yet</v>
      </c>
      <c r="S450" s="160">
        <f t="shared" si="6"/>
        <v>1</v>
      </c>
      <c r="T450" s="207"/>
      <c r="U450" s="160">
        <f>COUNTIFS(sheet2!$A:$A,A450,sheet2!$E:$E,E450)</f>
        <v>1</v>
      </c>
      <c r="V450" s="160"/>
      <c r="W450" s="160"/>
      <c r="X450" s="160"/>
      <c r="Y450" s="160"/>
      <c r="Z450" s="160"/>
      <c r="AA450" s="160"/>
      <c r="AB450" s="160"/>
      <c r="AC450" s="160"/>
      <c r="AD450" s="160"/>
      <c r="AE450" s="160"/>
      <c r="AF450" s="160"/>
      <c r="AG450" s="160"/>
      <c r="AH450" s="160"/>
      <c r="AI450" s="160"/>
      <c r="AJ450" s="160"/>
      <c r="AK450" s="160"/>
      <c r="AL450" s="160"/>
      <c r="AM450" s="160"/>
      <c r="AN450" s="164"/>
      <c r="AO450" s="160"/>
      <c r="AP450" s="160"/>
      <c r="AQ450" s="160"/>
      <c r="AR450" s="160"/>
      <c r="AS450" s="160"/>
      <c r="AT450" s="160"/>
      <c r="AU450" s="160"/>
      <c r="AV450" s="160"/>
      <c r="AW450" s="160"/>
      <c r="AX450" s="160"/>
      <c r="AY450" s="160"/>
      <c r="AZ450" s="160"/>
      <c r="BA450" s="160"/>
      <c r="BB450" s="160"/>
      <c r="BC450" s="160"/>
      <c r="BD450" s="160"/>
      <c r="BE450" s="160"/>
      <c r="BF450" s="160"/>
      <c r="BG450" s="160"/>
      <c r="BH450" s="160"/>
      <c r="BI450" s="160"/>
      <c r="BJ450" s="160"/>
      <c r="BK450" s="160"/>
      <c r="BL450" s="160"/>
      <c r="BM450" s="160"/>
      <c r="BN450" s="160"/>
      <c r="BO450" s="160"/>
      <c r="BP450" s="160"/>
      <c r="BQ450" s="160"/>
      <c r="BR450" s="160"/>
      <c r="BS450" s="160"/>
      <c r="BT450" s="160"/>
      <c r="BU450" s="160"/>
      <c r="BV450" s="160"/>
      <c r="BW450" s="160"/>
      <c r="BX450" s="160"/>
      <c r="BY450" s="160"/>
      <c r="BZ450" s="160"/>
      <c r="CA450" s="160"/>
      <c r="CB450" s="160"/>
      <c r="CC450" s="160"/>
      <c r="CD450" s="160"/>
      <c r="CE450" s="160"/>
      <c r="CF450" s="160"/>
      <c r="CG450" s="160"/>
      <c r="CH450" s="160"/>
      <c r="CI450" s="160"/>
      <c r="CJ450" s="160"/>
      <c r="CK450" s="160"/>
      <c r="CL450" s="160"/>
    </row>
    <row r="451">
      <c r="A451" s="174" t="s">
        <v>498</v>
      </c>
      <c r="B451" s="11" t="s">
        <v>499</v>
      </c>
      <c r="C451" s="175" t="s">
        <v>90</v>
      </c>
      <c r="D451" s="176" t="str">
        <f>IFERROR(VLOOKUP(C451, PIC!A:B, 2, 0), "")</f>
        <v>Phu Nguyen</v>
      </c>
      <c r="E451" s="11" t="s">
        <v>22</v>
      </c>
      <c r="F451" s="16" t="s">
        <v>849</v>
      </c>
      <c r="G451" s="11"/>
      <c r="H451" s="170">
        <f>IFERROR(
  MINIFS(ATTENDANCE_LOG!$F:$F,
         ATTENDANCE_LOG!$A:$A, C451,
         ATTENDANCE_LOG!$B:$B, E451),
"")</f>
        <v>45917.58333</v>
      </c>
      <c r="I451" s="170">
        <f t="shared" si="2"/>
        <v>45917.58333</v>
      </c>
      <c r="J451" s="11">
        <f>IFERROR(VLOOKUP(F451, LEVEL_HELPER!$A:$B, 2, 0), "")</f>
        <v>1</v>
      </c>
      <c r="K451" s="11" t="str">
        <f>IFERROR(VLOOKUP(G451, LEVEL_HELPER!$A:$B, 2, 0), "")</f>
        <v/>
      </c>
      <c r="L451" s="171" t="s">
        <v>857</v>
      </c>
      <c r="M451" s="171" t="s">
        <v>153</v>
      </c>
      <c r="N451" s="11">
        <f t="array" ref="N451">IFERROR(
  INDEX($J$2:$J$531,
    MATCH(A451&amp;TEXT(I451,"yyyy-mm-dd"),
          $A$2:$A$531&amp;TEXT($H$2:$H$531,"yyyy-mm-dd"),
          0)),
"")</f>
        <v>1</v>
      </c>
      <c r="O451" s="160">
        <f t="shared" si="3"/>
        <v>0</v>
      </c>
      <c r="P451" s="160">
        <f t="shared" ref="P451:Q451" si="461">IF(N451="",0,IF(N451&lt;=2,1,IF(N451&lt;=4,2,IF(N451&lt;=5.5,3,4))))</f>
        <v>1</v>
      </c>
      <c r="Q451" s="160">
        <f t="shared" si="461"/>
        <v>1</v>
      </c>
      <c r="R451" s="160" t="str">
        <f t="shared" si="5"/>
        <v>Not tested yet</v>
      </c>
      <c r="S451" s="160">
        <f t="shared" si="6"/>
        <v>1</v>
      </c>
      <c r="T451" s="207"/>
      <c r="U451" s="160">
        <f>COUNTIFS(sheet2!$A:$A,A451,sheet2!$E:$E,E451)</f>
        <v>1</v>
      </c>
      <c r="V451" s="160"/>
      <c r="W451" s="160"/>
      <c r="X451" s="160"/>
      <c r="Y451" s="160"/>
      <c r="Z451" s="160"/>
      <c r="AA451" s="160"/>
      <c r="AB451" s="160"/>
      <c r="AC451" s="160"/>
      <c r="AD451" s="160"/>
      <c r="AE451" s="160"/>
      <c r="AF451" s="160"/>
      <c r="AG451" s="160"/>
      <c r="AH451" s="160"/>
      <c r="AI451" s="160"/>
      <c r="AJ451" s="160"/>
      <c r="AK451" s="160"/>
      <c r="AL451" s="160"/>
      <c r="AM451" s="160"/>
      <c r="AN451" s="164"/>
      <c r="AO451" s="160"/>
      <c r="AP451" s="160"/>
      <c r="AQ451" s="160"/>
      <c r="AR451" s="160"/>
      <c r="AS451" s="160"/>
      <c r="AT451" s="160"/>
      <c r="AU451" s="160"/>
      <c r="AV451" s="160"/>
      <c r="AW451" s="160"/>
      <c r="AX451" s="160"/>
      <c r="AY451" s="160"/>
      <c r="AZ451" s="160"/>
      <c r="BA451" s="160"/>
      <c r="BB451" s="160"/>
      <c r="BC451" s="160"/>
      <c r="BD451" s="160"/>
      <c r="BE451" s="160"/>
      <c r="BF451" s="160"/>
      <c r="BG451" s="160"/>
      <c r="BH451" s="160"/>
      <c r="BI451" s="160"/>
      <c r="BJ451" s="160"/>
      <c r="BK451" s="160"/>
      <c r="BL451" s="160"/>
      <c r="BM451" s="160"/>
      <c r="BN451" s="160"/>
      <c r="BO451" s="160"/>
      <c r="BP451" s="160"/>
      <c r="BQ451" s="160"/>
      <c r="BR451" s="160"/>
      <c r="BS451" s="160"/>
      <c r="BT451" s="160"/>
      <c r="BU451" s="160"/>
      <c r="BV451" s="160"/>
      <c r="BW451" s="160"/>
      <c r="BX451" s="160"/>
      <c r="BY451" s="160"/>
      <c r="BZ451" s="160"/>
      <c r="CA451" s="160"/>
      <c r="CB451" s="160"/>
      <c r="CC451" s="160"/>
      <c r="CD451" s="160"/>
      <c r="CE451" s="160"/>
      <c r="CF451" s="160"/>
      <c r="CG451" s="160"/>
      <c r="CH451" s="160"/>
      <c r="CI451" s="160"/>
      <c r="CJ451" s="160"/>
      <c r="CK451" s="160"/>
      <c r="CL451" s="160"/>
    </row>
    <row r="452">
      <c r="A452" s="174" t="s">
        <v>500</v>
      </c>
      <c r="B452" s="11" t="s">
        <v>501</v>
      </c>
      <c r="C452" s="175" t="s">
        <v>90</v>
      </c>
      <c r="D452" s="176" t="str">
        <f>IFERROR(VLOOKUP(C452, PIC!A:B, 2, 0), "")</f>
        <v>Phu Nguyen</v>
      </c>
      <c r="E452" s="11" t="s">
        <v>22</v>
      </c>
      <c r="F452" s="16" t="s">
        <v>849</v>
      </c>
      <c r="G452" s="11"/>
      <c r="H452" s="170">
        <f>IFERROR(
  MINIFS(ATTENDANCE_LOG!$F:$F,
         ATTENDANCE_LOG!$A:$A, C452,
         ATTENDANCE_LOG!$B:$B, E452),
"")</f>
        <v>45917.58333</v>
      </c>
      <c r="I452" s="170">
        <f t="shared" si="2"/>
        <v>45917.58333</v>
      </c>
      <c r="J452" s="11">
        <f>IFERROR(VLOOKUP(F452, LEVEL_HELPER!$A:$B, 2, 0), "")</f>
        <v>1</v>
      </c>
      <c r="K452" s="11" t="str">
        <f>IFERROR(VLOOKUP(G452, LEVEL_HELPER!$A:$B, 2, 0), "")</f>
        <v/>
      </c>
      <c r="L452" s="171" t="s">
        <v>857</v>
      </c>
      <c r="M452" s="171" t="s">
        <v>154</v>
      </c>
      <c r="N452" s="11">
        <f t="array" ref="N452">IFERROR(
  INDEX($J$2:$J$531,
    MATCH(A452&amp;TEXT(I452,"yyyy-mm-dd"),
          $A$2:$A$531&amp;TEXT($H$2:$H$531,"yyyy-mm-dd"),
          0)),
"")</f>
        <v>1</v>
      </c>
      <c r="O452" s="160">
        <f t="shared" si="3"/>
        <v>0</v>
      </c>
      <c r="P452" s="160">
        <f t="shared" ref="P452:Q452" si="462">IF(N452="",0,IF(N452&lt;=2,1,IF(N452&lt;=4,2,IF(N452&lt;=5.5,3,4))))</f>
        <v>1</v>
      </c>
      <c r="Q452" s="160">
        <f t="shared" si="462"/>
        <v>1</v>
      </c>
      <c r="R452" s="160" t="str">
        <f t="shared" si="5"/>
        <v>Not tested yet</v>
      </c>
      <c r="S452" s="160">
        <f t="shared" si="6"/>
        <v>1</v>
      </c>
      <c r="T452" s="207"/>
      <c r="U452" s="160">
        <f>COUNTIFS(sheet2!$A:$A,A452,sheet2!$E:$E,E452)</f>
        <v>1</v>
      </c>
      <c r="V452" s="160"/>
      <c r="W452" s="160"/>
      <c r="X452" s="160"/>
      <c r="Y452" s="160"/>
      <c r="Z452" s="160"/>
      <c r="AA452" s="160"/>
      <c r="AB452" s="160"/>
      <c r="AC452" s="160"/>
      <c r="AD452" s="160"/>
      <c r="AE452" s="160"/>
      <c r="AF452" s="160"/>
      <c r="AG452" s="160"/>
      <c r="AH452" s="160"/>
      <c r="AI452" s="160"/>
      <c r="AJ452" s="160"/>
      <c r="AK452" s="160"/>
      <c r="AL452" s="160"/>
      <c r="AM452" s="160"/>
      <c r="AN452" s="164"/>
      <c r="AO452" s="160"/>
      <c r="AP452" s="160"/>
      <c r="AQ452" s="160"/>
      <c r="AR452" s="160"/>
      <c r="AS452" s="160"/>
      <c r="AT452" s="160"/>
      <c r="AU452" s="160"/>
      <c r="AV452" s="160"/>
      <c r="AW452" s="160"/>
      <c r="AX452" s="160"/>
      <c r="AY452" s="160"/>
      <c r="AZ452" s="160"/>
      <c r="BA452" s="160"/>
      <c r="BB452" s="160"/>
      <c r="BC452" s="160"/>
      <c r="BD452" s="160"/>
      <c r="BE452" s="160"/>
      <c r="BF452" s="160"/>
      <c r="BG452" s="160"/>
      <c r="BH452" s="160"/>
      <c r="BI452" s="160"/>
      <c r="BJ452" s="160"/>
      <c r="BK452" s="160"/>
      <c r="BL452" s="160"/>
      <c r="BM452" s="160"/>
      <c r="BN452" s="160"/>
      <c r="BO452" s="160"/>
      <c r="BP452" s="160"/>
      <c r="BQ452" s="160"/>
      <c r="BR452" s="160"/>
      <c r="BS452" s="160"/>
      <c r="BT452" s="160"/>
      <c r="BU452" s="160"/>
      <c r="BV452" s="160"/>
      <c r="BW452" s="160"/>
      <c r="BX452" s="160"/>
      <c r="BY452" s="160"/>
      <c r="BZ452" s="160"/>
      <c r="CA452" s="160"/>
      <c r="CB452" s="160"/>
      <c r="CC452" s="160"/>
      <c r="CD452" s="160"/>
      <c r="CE452" s="160"/>
      <c r="CF452" s="160"/>
      <c r="CG452" s="160"/>
      <c r="CH452" s="160"/>
      <c r="CI452" s="160"/>
      <c r="CJ452" s="160"/>
      <c r="CK452" s="160"/>
      <c r="CL452" s="160"/>
    </row>
    <row r="453">
      <c r="A453" s="174" t="s">
        <v>504</v>
      </c>
      <c r="B453" s="11" t="s">
        <v>279</v>
      </c>
      <c r="C453" s="175" t="s">
        <v>90</v>
      </c>
      <c r="D453" s="176" t="str">
        <f>IFERROR(VLOOKUP(C453, PIC!A:B, 2, 0), "")</f>
        <v>Phu Nguyen</v>
      </c>
      <c r="E453" s="11" t="s">
        <v>22</v>
      </c>
      <c r="F453" s="16" t="s">
        <v>849</v>
      </c>
      <c r="G453" s="11"/>
      <c r="H453" s="170">
        <f>IFERROR(
  MINIFS(ATTENDANCE_LOG!$F:$F,
         ATTENDANCE_LOG!$A:$A, C453,
         ATTENDANCE_LOG!$B:$B, E453),
"")</f>
        <v>45917.58333</v>
      </c>
      <c r="I453" s="170">
        <f t="shared" si="2"/>
        <v>45917.58333</v>
      </c>
      <c r="J453" s="11">
        <f>IFERROR(VLOOKUP(F453, LEVEL_HELPER!$A:$B, 2, 0), "")</f>
        <v>1</v>
      </c>
      <c r="K453" s="11" t="str">
        <f>IFERROR(VLOOKUP(G453, LEVEL_HELPER!$A:$B, 2, 0), "")</f>
        <v/>
      </c>
      <c r="L453" s="171" t="s">
        <v>857</v>
      </c>
      <c r="M453" s="171" t="s">
        <v>154</v>
      </c>
      <c r="N453" s="11">
        <f t="array" ref="N453">IFERROR(
  INDEX($J$2:$J$531,
    MATCH(A453&amp;TEXT(I453,"yyyy-mm-dd"),
          $A$2:$A$531&amp;TEXT($H$2:$H$531,"yyyy-mm-dd"),
          0)),
"")</f>
        <v>1</v>
      </c>
      <c r="O453" s="160">
        <f t="shared" si="3"/>
        <v>0</v>
      </c>
      <c r="P453" s="160">
        <f t="shared" ref="P453:Q453" si="463">IF(N453="",0,IF(N453&lt;=2,1,IF(N453&lt;=4,2,IF(N453&lt;=5.5,3,4))))</f>
        <v>1</v>
      </c>
      <c r="Q453" s="160">
        <f t="shared" si="463"/>
        <v>1</v>
      </c>
      <c r="R453" s="160" t="str">
        <f t="shared" si="5"/>
        <v>Not tested yet</v>
      </c>
      <c r="S453" s="160">
        <f t="shared" si="6"/>
        <v>1</v>
      </c>
      <c r="T453" s="207"/>
      <c r="U453" s="160">
        <f>COUNTIFS(sheet2!$A:$A,A453,sheet2!$E:$E,E453)</f>
        <v>1</v>
      </c>
      <c r="V453" s="160"/>
      <c r="W453" s="160"/>
      <c r="X453" s="160"/>
      <c r="Y453" s="160"/>
      <c r="Z453" s="160"/>
      <c r="AA453" s="160"/>
      <c r="AB453" s="160"/>
      <c r="AC453" s="160"/>
      <c r="AD453" s="160"/>
      <c r="AE453" s="160"/>
      <c r="AF453" s="160"/>
      <c r="AG453" s="160"/>
      <c r="AH453" s="160"/>
      <c r="AI453" s="160"/>
      <c r="AJ453" s="160"/>
      <c r="AK453" s="160"/>
      <c r="AL453" s="160"/>
      <c r="AM453" s="160"/>
      <c r="AN453" s="164"/>
      <c r="AO453" s="160"/>
      <c r="AP453" s="160"/>
      <c r="AQ453" s="160"/>
      <c r="AR453" s="160"/>
      <c r="AS453" s="160"/>
      <c r="AT453" s="160"/>
      <c r="AU453" s="160"/>
      <c r="AV453" s="160"/>
      <c r="AW453" s="160"/>
      <c r="AX453" s="160"/>
      <c r="AY453" s="160"/>
      <c r="AZ453" s="160"/>
      <c r="BA453" s="160"/>
      <c r="BB453" s="160"/>
      <c r="BC453" s="160"/>
      <c r="BD453" s="160"/>
      <c r="BE453" s="160"/>
      <c r="BF453" s="160"/>
      <c r="BG453" s="160"/>
      <c r="BH453" s="160"/>
      <c r="BI453" s="160"/>
      <c r="BJ453" s="160"/>
      <c r="BK453" s="160"/>
      <c r="BL453" s="160"/>
      <c r="BM453" s="160"/>
      <c r="BN453" s="160"/>
      <c r="BO453" s="160"/>
      <c r="BP453" s="160"/>
      <c r="BQ453" s="160"/>
      <c r="BR453" s="160"/>
      <c r="BS453" s="160"/>
      <c r="BT453" s="160"/>
      <c r="BU453" s="160"/>
      <c r="BV453" s="160"/>
      <c r="BW453" s="160"/>
      <c r="BX453" s="160"/>
      <c r="BY453" s="160"/>
      <c r="BZ453" s="160"/>
      <c r="CA453" s="160"/>
      <c r="CB453" s="160"/>
      <c r="CC453" s="160"/>
      <c r="CD453" s="160"/>
      <c r="CE453" s="160"/>
      <c r="CF453" s="160"/>
      <c r="CG453" s="160"/>
      <c r="CH453" s="160"/>
      <c r="CI453" s="160"/>
      <c r="CJ453" s="160"/>
      <c r="CK453" s="160"/>
      <c r="CL453" s="160"/>
    </row>
    <row r="454">
      <c r="A454" s="174" t="s">
        <v>506</v>
      </c>
      <c r="B454" s="11" t="s">
        <v>507</v>
      </c>
      <c r="C454" s="175" t="s">
        <v>90</v>
      </c>
      <c r="D454" s="176" t="str">
        <f>IFERROR(VLOOKUP(C454, PIC!A:B, 2, 0), "")</f>
        <v>Phu Nguyen</v>
      </c>
      <c r="E454" s="11" t="s">
        <v>22</v>
      </c>
      <c r="F454" s="16" t="s">
        <v>849</v>
      </c>
      <c r="G454" s="11"/>
      <c r="H454" s="170">
        <f>IFERROR(
  MINIFS(ATTENDANCE_LOG!$F:$F,
         ATTENDANCE_LOG!$A:$A, C454,
         ATTENDANCE_LOG!$B:$B, E454),
"")</f>
        <v>45917.58333</v>
      </c>
      <c r="I454" s="170">
        <f t="shared" si="2"/>
        <v>45917.58333</v>
      </c>
      <c r="J454" s="11">
        <f>IFERROR(VLOOKUP(F454, LEVEL_HELPER!$A:$B, 2, 0), "")</f>
        <v>1</v>
      </c>
      <c r="K454" s="11" t="str">
        <f>IFERROR(VLOOKUP(G454, LEVEL_HELPER!$A:$B, 2, 0), "")</f>
        <v/>
      </c>
      <c r="L454" s="171" t="s">
        <v>857</v>
      </c>
      <c r="M454" s="171" t="s">
        <v>153</v>
      </c>
      <c r="N454" s="11">
        <f t="array" ref="N454">IFERROR(
  INDEX($J$2:$J$531,
    MATCH(A454&amp;TEXT(I454,"yyyy-mm-dd"),
          $A$2:$A$531&amp;TEXT($H$2:$H$531,"yyyy-mm-dd"),
          0)),
"")</f>
        <v>1</v>
      </c>
      <c r="O454" s="160">
        <f t="shared" si="3"/>
        <v>0</v>
      </c>
      <c r="P454" s="160">
        <f t="shared" ref="P454:Q454" si="464">IF(N454="",0,IF(N454&lt;=2,1,IF(N454&lt;=4,2,IF(N454&lt;=5.5,3,4))))</f>
        <v>1</v>
      </c>
      <c r="Q454" s="160">
        <f t="shared" si="464"/>
        <v>1</v>
      </c>
      <c r="R454" s="160" t="str">
        <f t="shared" si="5"/>
        <v>Not tested yet</v>
      </c>
      <c r="S454" s="160">
        <f t="shared" si="6"/>
        <v>1</v>
      </c>
      <c r="T454" s="207"/>
      <c r="U454" s="160">
        <f>COUNTIFS(sheet2!$A:$A,A454,sheet2!$E:$E,E454)</f>
        <v>1</v>
      </c>
      <c r="V454" s="160"/>
      <c r="W454" s="160"/>
      <c r="X454" s="160"/>
      <c r="Y454" s="160"/>
      <c r="Z454" s="160"/>
      <c r="AA454" s="160"/>
      <c r="AB454" s="160"/>
      <c r="AC454" s="160"/>
      <c r="AD454" s="160"/>
      <c r="AE454" s="160"/>
      <c r="AF454" s="160"/>
      <c r="AG454" s="160"/>
      <c r="AH454" s="160"/>
      <c r="AI454" s="160"/>
      <c r="AJ454" s="160"/>
      <c r="AK454" s="160"/>
      <c r="AL454" s="160"/>
      <c r="AM454" s="160"/>
      <c r="AN454" s="164"/>
      <c r="AO454" s="160"/>
      <c r="AP454" s="160"/>
      <c r="AQ454" s="160"/>
      <c r="AR454" s="160"/>
      <c r="AS454" s="160"/>
      <c r="AT454" s="160"/>
      <c r="AU454" s="160"/>
      <c r="AV454" s="160"/>
      <c r="AW454" s="160"/>
      <c r="AX454" s="160"/>
      <c r="AY454" s="160"/>
      <c r="AZ454" s="160"/>
      <c r="BA454" s="160"/>
      <c r="BB454" s="160"/>
      <c r="BC454" s="160"/>
      <c r="BD454" s="160"/>
      <c r="BE454" s="160"/>
      <c r="BF454" s="160"/>
      <c r="BG454" s="160"/>
      <c r="BH454" s="160"/>
      <c r="BI454" s="160"/>
      <c r="BJ454" s="160"/>
      <c r="BK454" s="160"/>
      <c r="BL454" s="160"/>
      <c r="BM454" s="160"/>
      <c r="BN454" s="160"/>
      <c r="BO454" s="160"/>
      <c r="BP454" s="160"/>
      <c r="BQ454" s="160"/>
      <c r="BR454" s="160"/>
      <c r="BS454" s="160"/>
      <c r="BT454" s="160"/>
      <c r="BU454" s="160"/>
      <c r="BV454" s="160"/>
      <c r="BW454" s="160"/>
      <c r="BX454" s="160"/>
      <c r="BY454" s="160"/>
      <c r="BZ454" s="160"/>
      <c r="CA454" s="160"/>
      <c r="CB454" s="160"/>
      <c r="CC454" s="160"/>
      <c r="CD454" s="160"/>
      <c r="CE454" s="160"/>
      <c r="CF454" s="160"/>
      <c r="CG454" s="160"/>
      <c r="CH454" s="160"/>
      <c r="CI454" s="160"/>
      <c r="CJ454" s="160"/>
      <c r="CK454" s="160"/>
      <c r="CL454" s="160"/>
    </row>
    <row r="455">
      <c r="A455" s="174" t="s">
        <v>508</v>
      </c>
      <c r="B455" s="11" t="s">
        <v>509</v>
      </c>
      <c r="C455" s="175" t="s">
        <v>90</v>
      </c>
      <c r="D455" s="176" t="str">
        <f>IFERROR(VLOOKUP(C455, PIC!A:B, 2, 0), "")</f>
        <v>Phu Nguyen</v>
      </c>
      <c r="E455" s="11" t="s">
        <v>22</v>
      </c>
      <c r="F455" s="16" t="s">
        <v>849</v>
      </c>
      <c r="G455" s="11"/>
      <c r="H455" s="170">
        <f>IFERROR(
  MINIFS(ATTENDANCE_LOG!$F:$F,
         ATTENDANCE_LOG!$A:$A, C455,
         ATTENDANCE_LOG!$B:$B, E455),
"")</f>
        <v>45917.58333</v>
      </c>
      <c r="I455" s="170">
        <f t="shared" si="2"/>
        <v>45917.58333</v>
      </c>
      <c r="J455" s="11">
        <f>IFERROR(VLOOKUP(F455, LEVEL_HELPER!$A:$B, 2, 0), "")</f>
        <v>1</v>
      </c>
      <c r="K455" s="11" t="str">
        <f>IFERROR(VLOOKUP(G455, LEVEL_HELPER!$A:$B, 2, 0), "")</f>
        <v/>
      </c>
      <c r="L455" s="171" t="s">
        <v>857</v>
      </c>
      <c r="M455" s="171" t="s">
        <v>153</v>
      </c>
      <c r="N455" s="11">
        <f t="array" ref="N455">IFERROR(
  INDEX($J$2:$J$531,
    MATCH(A455&amp;TEXT(I455,"yyyy-mm-dd"),
          $A$2:$A$531&amp;TEXT($H$2:$H$531,"yyyy-mm-dd"),
          0)),
"")</f>
        <v>1</v>
      </c>
      <c r="O455" s="160">
        <f t="shared" si="3"/>
        <v>0</v>
      </c>
      <c r="P455" s="160">
        <f t="shared" ref="P455:Q455" si="465">IF(N455="",0,IF(N455&lt;=2,1,IF(N455&lt;=4,2,IF(N455&lt;=5.5,3,4))))</f>
        <v>1</v>
      </c>
      <c r="Q455" s="160">
        <f t="shared" si="465"/>
        <v>1</v>
      </c>
      <c r="R455" s="160" t="str">
        <f t="shared" si="5"/>
        <v>Not tested yet</v>
      </c>
      <c r="S455" s="160">
        <f t="shared" si="6"/>
        <v>1</v>
      </c>
      <c r="T455" s="207"/>
      <c r="U455" s="160">
        <f>COUNTIFS(sheet2!$A:$A,A455,sheet2!$E:$E,E455)</f>
        <v>1</v>
      </c>
      <c r="V455" s="160"/>
      <c r="W455" s="160"/>
      <c r="X455" s="160"/>
      <c r="Y455" s="160"/>
      <c r="Z455" s="160"/>
      <c r="AA455" s="160"/>
      <c r="AB455" s="160"/>
      <c r="AC455" s="160"/>
      <c r="AD455" s="160"/>
      <c r="AE455" s="160"/>
      <c r="AF455" s="160"/>
      <c r="AG455" s="160"/>
      <c r="AH455" s="160"/>
      <c r="AI455" s="160"/>
      <c r="AJ455" s="160"/>
      <c r="AK455" s="160"/>
      <c r="AL455" s="160"/>
      <c r="AM455" s="160"/>
      <c r="AN455" s="164"/>
      <c r="AO455" s="160"/>
      <c r="AP455" s="160"/>
      <c r="AQ455" s="160"/>
      <c r="AR455" s="160"/>
      <c r="AS455" s="160"/>
      <c r="AT455" s="160"/>
      <c r="AU455" s="160"/>
      <c r="AV455" s="160"/>
      <c r="AW455" s="160"/>
      <c r="AX455" s="160"/>
      <c r="AY455" s="160"/>
      <c r="AZ455" s="160"/>
      <c r="BA455" s="160"/>
      <c r="BB455" s="160"/>
      <c r="BC455" s="160"/>
      <c r="BD455" s="160"/>
      <c r="BE455" s="160"/>
      <c r="BF455" s="160"/>
      <c r="BG455" s="160"/>
      <c r="BH455" s="160"/>
      <c r="BI455" s="160"/>
      <c r="BJ455" s="160"/>
      <c r="BK455" s="160"/>
      <c r="BL455" s="160"/>
      <c r="BM455" s="160"/>
      <c r="BN455" s="160"/>
      <c r="BO455" s="160"/>
      <c r="BP455" s="160"/>
      <c r="BQ455" s="160"/>
      <c r="BR455" s="160"/>
      <c r="BS455" s="160"/>
      <c r="BT455" s="160"/>
      <c r="BU455" s="160"/>
      <c r="BV455" s="160"/>
      <c r="BW455" s="160"/>
      <c r="BX455" s="160"/>
      <c r="BY455" s="160"/>
      <c r="BZ455" s="160"/>
      <c r="CA455" s="160"/>
      <c r="CB455" s="160"/>
      <c r="CC455" s="160"/>
      <c r="CD455" s="160"/>
      <c r="CE455" s="160"/>
      <c r="CF455" s="160"/>
      <c r="CG455" s="160"/>
      <c r="CH455" s="160"/>
      <c r="CI455" s="160"/>
      <c r="CJ455" s="160"/>
      <c r="CK455" s="160"/>
      <c r="CL455" s="160"/>
    </row>
    <row r="456">
      <c r="A456" s="174" t="s">
        <v>629</v>
      </c>
      <c r="B456" s="11" t="s">
        <v>630</v>
      </c>
      <c r="C456" s="175" t="s">
        <v>90</v>
      </c>
      <c r="D456" s="176" t="str">
        <f>IFERROR(VLOOKUP(C456, PIC!A:B, 2, 0), "")</f>
        <v>Phu Nguyen</v>
      </c>
      <c r="E456" s="11" t="s">
        <v>22</v>
      </c>
      <c r="F456" s="16" t="s">
        <v>849</v>
      </c>
      <c r="G456" s="11"/>
      <c r="H456" s="170">
        <f>IFERROR(
  MINIFS(ATTENDANCE_LOG!$F:$F,
         ATTENDANCE_LOG!$A:$A, C456,
         ATTENDANCE_LOG!$B:$B, E456),
"")</f>
        <v>45917.58333</v>
      </c>
      <c r="I456" s="170">
        <f t="shared" si="2"/>
        <v>45917.58333</v>
      </c>
      <c r="J456" s="11">
        <f>IFERROR(VLOOKUP(F456, LEVEL_HELPER!$A:$B, 2, 0), "")</f>
        <v>1</v>
      </c>
      <c r="K456" s="11" t="str">
        <f>IFERROR(VLOOKUP(G456, LEVEL_HELPER!$A:$B, 2, 0), "")</f>
        <v/>
      </c>
      <c r="L456" s="171" t="s">
        <v>857</v>
      </c>
      <c r="M456" s="171" t="s">
        <v>154</v>
      </c>
      <c r="N456" s="11">
        <f t="array" ref="N456">IFERROR(
  INDEX($J$2:$J$531,
    MATCH(A456&amp;TEXT(I456,"yyyy-mm-dd"),
          $A$2:$A$531&amp;TEXT($H$2:$H$531,"yyyy-mm-dd"),
          0)),
"")</f>
        <v>1</v>
      </c>
      <c r="O456" s="160">
        <f t="shared" si="3"/>
        <v>0</v>
      </c>
      <c r="P456" s="160">
        <f t="shared" ref="P456:Q456" si="466">IF(N456="",0,IF(N456&lt;=2,1,IF(N456&lt;=4,2,IF(N456&lt;=5.5,3,4))))</f>
        <v>1</v>
      </c>
      <c r="Q456" s="160">
        <f t="shared" si="466"/>
        <v>1</v>
      </c>
      <c r="R456" s="160" t="str">
        <f t="shared" si="5"/>
        <v>Not tested yet</v>
      </c>
      <c r="S456" s="160">
        <f t="shared" si="6"/>
        <v>1</v>
      </c>
      <c r="T456" s="207"/>
      <c r="U456" s="160">
        <f>COUNTIFS(sheet2!$A:$A,A456,sheet2!$E:$E,E456)</f>
        <v>2</v>
      </c>
      <c r="V456" s="160"/>
      <c r="W456" s="160"/>
      <c r="X456" s="160"/>
      <c r="Y456" s="160"/>
      <c r="Z456" s="160"/>
      <c r="AA456" s="160"/>
      <c r="AB456" s="160"/>
      <c r="AC456" s="160"/>
      <c r="AD456" s="160"/>
      <c r="AE456" s="160"/>
      <c r="AF456" s="160"/>
      <c r="AG456" s="160"/>
      <c r="AH456" s="160"/>
      <c r="AI456" s="160"/>
      <c r="AJ456" s="160"/>
      <c r="AK456" s="160"/>
      <c r="AL456" s="160"/>
      <c r="AM456" s="160"/>
      <c r="AN456" s="164"/>
      <c r="AO456" s="160"/>
      <c r="AP456" s="160"/>
      <c r="AQ456" s="160"/>
      <c r="AR456" s="160"/>
      <c r="AS456" s="160"/>
      <c r="AT456" s="160"/>
      <c r="AU456" s="160"/>
      <c r="AV456" s="160"/>
      <c r="AW456" s="160"/>
      <c r="AX456" s="160"/>
      <c r="AY456" s="160"/>
      <c r="AZ456" s="160"/>
      <c r="BA456" s="160"/>
      <c r="BB456" s="160"/>
      <c r="BC456" s="160"/>
      <c r="BD456" s="160"/>
      <c r="BE456" s="160"/>
      <c r="BF456" s="160"/>
      <c r="BG456" s="160"/>
      <c r="BH456" s="160"/>
      <c r="BI456" s="160"/>
      <c r="BJ456" s="160"/>
      <c r="BK456" s="160"/>
      <c r="BL456" s="160"/>
      <c r="BM456" s="160"/>
      <c r="BN456" s="160"/>
      <c r="BO456" s="160"/>
      <c r="BP456" s="160"/>
      <c r="BQ456" s="160"/>
      <c r="BR456" s="160"/>
      <c r="BS456" s="160"/>
      <c r="BT456" s="160"/>
      <c r="BU456" s="160"/>
      <c r="BV456" s="160"/>
      <c r="BW456" s="160"/>
      <c r="BX456" s="160"/>
      <c r="BY456" s="160"/>
      <c r="BZ456" s="160"/>
      <c r="CA456" s="160"/>
      <c r="CB456" s="160"/>
      <c r="CC456" s="160"/>
      <c r="CD456" s="160"/>
      <c r="CE456" s="160"/>
      <c r="CF456" s="160"/>
      <c r="CG456" s="160"/>
      <c r="CH456" s="160"/>
      <c r="CI456" s="160"/>
      <c r="CJ456" s="160"/>
      <c r="CK456" s="160"/>
      <c r="CL456" s="160"/>
    </row>
    <row r="457">
      <c r="A457" s="174" t="s">
        <v>510</v>
      </c>
      <c r="B457" s="11" t="s">
        <v>511</v>
      </c>
      <c r="C457" s="175" t="s">
        <v>90</v>
      </c>
      <c r="D457" s="176" t="str">
        <f>IFERROR(VLOOKUP(C457, PIC!A:B, 2, 0), "")</f>
        <v>Phu Nguyen</v>
      </c>
      <c r="E457" s="11" t="s">
        <v>22</v>
      </c>
      <c r="F457" s="16" t="s">
        <v>849</v>
      </c>
      <c r="G457" s="11"/>
      <c r="H457" s="170">
        <f>IFERROR(
  MINIFS(ATTENDANCE_LOG!$F:$F,
         ATTENDANCE_LOG!$A:$A, C457,
         ATTENDANCE_LOG!$B:$B, E457),
"")</f>
        <v>45917.58333</v>
      </c>
      <c r="I457" s="170">
        <f t="shared" si="2"/>
        <v>45917.58333</v>
      </c>
      <c r="J457" s="11">
        <f>IFERROR(VLOOKUP(F457, LEVEL_HELPER!$A:$B, 2, 0), "")</f>
        <v>1</v>
      </c>
      <c r="K457" s="11" t="str">
        <f>IFERROR(VLOOKUP(G457, LEVEL_HELPER!$A:$B, 2, 0), "")</f>
        <v/>
      </c>
      <c r="L457" s="171" t="s">
        <v>857</v>
      </c>
      <c r="M457" s="171" t="s">
        <v>154</v>
      </c>
      <c r="N457" s="11">
        <f t="array" ref="N457">IFERROR(
  INDEX($J$2:$J$531,
    MATCH(A457&amp;TEXT(I457,"yyyy-mm-dd"),
          $A$2:$A$531&amp;TEXT($H$2:$H$531,"yyyy-mm-dd"),
          0)),
"")</f>
        <v>1</v>
      </c>
      <c r="O457" s="160">
        <f t="shared" si="3"/>
        <v>0</v>
      </c>
      <c r="P457" s="160">
        <f t="shared" ref="P457:Q457" si="467">IF(N457="",0,IF(N457&lt;=2,1,IF(N457&lt;=4,2,IF(N457&lt;=5.5,3,4))))</f>
        <v>1</v>
      </c>
      <c r="Q457" s="160">
        <f t="shared" si="467"/>
        <v>1</v>
      </c>
      <c r="R457" s="160" t="str">
        <f t="shared" si="5"/>
        <v>Not tested yet</v>
      </c>
      <c r="S457" s="160">
        <f t="shared" si="6"/>
        <v>1</v>
      </c>
      <c r="T457" s="207"/>
      <c r="U457" s="160">
        <f>COUNTIFS(sheet2!$A:$A,A457,sheet2!$E:$E,E457)</f>
        <v>1</v>
      </c>
      <c r="V457" s="160"/>
      <c r="W457" s="160"/>
      <c r="X457" s="160"/>
      <c r="Y457" s="160"/>
      <c r="Z457" s="160"/>
      <c r="AA457" s="160"/>
      <c r="AB457" s="160"/>
      <c r="AC457" s="160"/>
      <c r="AD457" s="160"/>
      <c r="AE457" s="160"/>
      <c r="AF457" s="160"/>
      <c r="AG457" s="160"/>
      <c r="AH457" s="160"/>
      <c r="AI457" s="160"/>
      <c r="AJ457" s="160"/>
      <c r="AK457" s="160"/>
      <c r="AL457" s="160"/>
      <c r="AM457" s="160"/>
      <c r="AN457" s="164"/>
      <c r="AO457" s="160"/>
      <c r="AP457" s="160"/>
      <c r="AQ457" s="160"/>
      <c r="AR457" s="160"/>
      <c r="AS457" s="160"/>
      <c r="AT457" s="160"/>
      <c r="AU457" s="160"/>
      <c r="AV457" s="160"/>
      <c r="AW457" s="160"/>
      <c r="AX457" s="160"/>
      <c r="AY457" s="160"/>
      <c r="AZ457" s="160"/>
      <c r="BA457" s="160"/>
      <c r="BB457" s="160"/>
      <c r="BC457" s="160"/>
      <c r="BD457" s="160"/>
      <c r="BE457" s="160"/>
      <c r="BF457" s="160"/>
      <c r="BG457" s="160"/>
      <c r="BH457" s="160"/>
      <c r="BI457" s="160"/>
      <c r="BJ457" s="160"/>
      <c r="BK457" s="160"/>
      <c r="BL457" s="160"/>
      <c r="BM457" s="160"/>
      <c r="BN457" s="160"/>
      <c r="BO457" s="160"/>
      <c r="BP457" s="160"/>
      <c r="BQ457" s="160"/>
      <c r="BR457" s="160"/>
      <c r="BS457" s="160"/>
      <c r="BT457" s="160"/>
      <c r="BU457" s="160"/>
      <c r="BV457" s="160"/>
      <c r="BW457" s="160"/>
      <c r="BX457" s="160"/>
      <c r="BY457" s="160"/>
      <c r="BZ457" s="160"/>
      <c r="CA457" s="160"/>
      <c r="CB457" s="160"/>
      <c r="CC457" s="160"/>
      <c r="CD457" s="160"/>
      <c r="CE457" s="160"/>
      <c r="CF457" s="160"/>
      <c r="CG457" s="160"/>
      <c r="CH457" s="160"/>
      <c r="CI457" s="160"/>
      <c r="CJ457" s="160"/>
      <c r="CK457" s="160"/>
      <c r="CL457" s="160"/>
    </row>
    <row r="458">
      <c r="A458" s="166" t="s">
        <v>764</v>
      </c>
      <c r="B458" s="167" t="s">
        <v>765</v>
      </c>
      <c r="C458" s="168" t="s">
        <v>91</v>
      </c>
      <c r="D458" s="169" t="str">
        <f>IFERROR(VLOOKUP(C458, PIC!A:B, 2, 0), "")</f>
        <v>Vinh Tran</v>
      </c>
      <c r="E458" s="167" t="s">
        <v>22</v>
      </c>
      <c r="F458" s="200" t="s">
        <v>849</v>
      </c>
      <c r="G458" s="200" t="s">
        <v>861</v>
      </c>
      <c r="H458" s="170">
        <f>IFERROR(
  MINIFS(ATTENDANCE_LOG!$F:$F,
         ATTENDANCE_LOG!$A:$A, C458,
         ATTENDANCE_LOG!$B:$B, E458),
"")</f>
        <v>45909.54167</v>
      </c>
      <c r="I458" s="170">
        <f t="shared" si="2"/>
        <v>45909.54167</v>
      </c>
      <c r="J458" s="167">
        <f>IFERROR(VLOOKUP(F458, LEVEL_HELPER!$A:$B, 2, 0), "")</f>
        <v>1</v>
      </c>
      <c r="K458" s="167">
        <f>IFERROR(VLOOKUP(G458, LEVEL_HELPER!$A:$B, 2, 0), "")</f>
        <v>3.5</v>
      </c>
      <c r="L458" s="205" t="s">
        <v>857</v>
      </c>
      <c r="M458" s="205" t="s">
        <v>153</v>
      </c>
      <c r="N458" s="11">
        <f t="array" ref="N458">IFERROR(
  INDEX($J$2:$J$531,
    MATCH(A458&amp;TEXT(I458,"yyyy-mm-dd"),
          $A$2:$A$531&amp;TEXT($H$2:$H$531,"yyyy-mm-dd"),
          0)),
"")</f>
        <v>1</v>
      </c>
      <c r="O458" s="206">
        <f t="shared" si="3"/>
        <v>3.5</v>
      </c>
      <c r="P458" s="160">
        <f t="shared" ref="P458:Q458" si="468">IF(N458="",0,IF(N458&lt;=2,1,IF(N458&lt;=4,2,IF(N458&lt;=5.5,3,4))))</f>
        <v>1</v>
      </c>
      <c r="Q458" s="160">
        <f t="shared" si="468"/>
        <v>2</v>
      </c>
      <c r="R458" s="160" t="str">
        <f t="shared" si="5"/>
        <v>Lv1 → Lv2</v>
      </c>
      <c r="S458" s="160">
        <f t="shared" si="6"/>
        <v>1</v>
      </c>
      <c r="T458" s="208"/>
      <c r="U458" s="160">
        <f>COUNTIFS(sheet2!$A:$A,A458,sheet2!$E:$E,E458)</f>
        <v>1</v>
      </c>
      <c r="V458" s="160"/>
      <c r="W458" s="160"/>
      <c r="X458" s="160"/>
      <c r="Y458" s="160"/>
      <c r="Z458" s="160"/>
      <c r="AA458" s="160"/>
      <c r="AB458" s="160"/>
      <c r="AC458" s="160"/>
      <c r="AD458" s="160"/>
      <c r="AE458" s="160"/>
      <c r="AF458" s="160"/>
      <c r="AG458" s="160"/>
      <c r="AH458" s="160"/>
      <c r="AI458" s="160"/>
      <c r="AJ458" s="160"/>
      <c r="AK458" s="160"/>
      <c r="AL458" s="160"/>
      <c r="AM458" s="160"/>
      <c r="AN458" s="164"/>
      <c r="AO458" s="160"/>
      <c r="AP458" s="160"/>
      <c r="AQ458" s="160"/>
      <c r="AR458" s="160"/>
      <c r="AS458" s="160"/>
      <c r="AT458" s="160"/>
      <c r="AU458" s="160"/>
      <c r="AV458" s="160"/>
      <c r="AW458" s="160"/>
      <c r="AX458" s="160"/>
      <c r="AY458" s="160"/>
      <c r="AZ458" s="160"/>
      <c r="BA458" s="160"/>
      <c r="BB458" s="160"/>
      <c r="BC458" s="160"/>
      <c r="BD458" s="160"/>
      <c r="BE458" s="160"/>
      <c r="BF458" s="160"/>
      <c r="BG458" s="160"/>
      <c r="BH458" s="160"/>
      <c r="BI458" s="160"/>
      <c r="BJ458" s="160"/>
      <c r="BK458" s="160"/>
      <c r="BL458" s="160"/>
      <c r="BM458" s="160"/>
      <c r="BN458" s="160"/>
      <c r="BO458" s="160"/>
      <c r="BP458" s="160"/>
      <c r="BQ458" s="160"/>
      <c r="BR458" s="160"/>
      <c r="BS458" s="160"/>
      <c r="BT458" s="160"/>
      <c r="BU458" s="160"/>
      <c r="BV458" s="160"/>
      <c r="BW458" s="160"/>
      <c r="BX458" s="160"/>
      <c r="BY458" s="160"/>
      <c r="BZ458" s="160"/>
      <c r="CA458" s="160"/>
      <c r="CB458" s="160"/>
      <c r="CC458" s="160"/>
      <c r="CD458" s="160"/>
      <c r="CE458" s="160"/>
      <c r="CF458" s="160"/>
      <c r="CG458" s="160"/>
      <c r="CH458" s="160"/>
      <c r="CI458" s="160"/>
      <c r="CJ458" s="160"/>
      <c r="CK458" s="160"/>
      <c r="CL458" s="160"/>
    </row>
    <row r="459">
      <c r="A459" s="174" t="s">
        <v>756</v>
      </c>
      <c r="B459" s="11" t="s">
        <v>757</v>
      </c>
      <c r="C459" s="175" t="s">
        <v>91</v>
      </c>
      <c r="D459" s="176" t="str">
        <f>IFERROR(VLOOKUP(C459, PIC!A:B, 2, 0), "")</f>
        <v>Vinh Tran</v>
      </c>
      <c r="E459" s="11" t="s">
        <v>22</v>
      </c>
      <c r="F459" s="16" t="s">
        <v>849</v>
      </c>
      <c r="G459" s="16" t="s">
        <v>846</v>
      </c>
      <c r="H459" s="170">
        <f>IFERROR(
  MINIFS(ATTENDANCE_LOG!$F:$F,
         ATTENDANCE_LOG!$A:$A, C459,
         ATTENDANCE_LOG!$B:$B, E459),
"")</f>
        <v>45909.54167</v>
      </c>
      <c r="I459" s="170">
        <f t="shared" si="2"/>
        <v>45909.54167</v>
      </c>
      <c r="J459" s="11">
        <f>IFERROR(VLOOKUP(F459, LEVEL_HELPER!$A:$B, 2, 0), "")</f>
        <v>1</v>
      </c>
      <c r="K459" s="11">
        <f>IFERROR(VLOOKUP(G459, LEVEL_HELPER!$A:$B, 2, 0), "")</f>
        <v>3</v>
      </c>
      <c r="L459" s="171" t="s">
        <v>857</v>
      </c>
      <c r="M459" s="171" t="s">
        <v>153</v>
      </c>
      <c r="N459" s="11">
        <f t="array" ref="N459">IFERROR(
  INDEX($J$2:$J$531,
    MATCH(A459&amp;TEXT(I459,"yyyy-mm-dd"),
          $A$2:$A$531&amp;TEXT($H$2:$H$531,"yyyy-mm-dd"),
          0)),
"")</f>
        <v>1</v>
      </c>
      <c r="O459" s="160">
        <f t="shared" si="3"/>
        <v>3</v>
      </c>
      <c r="P459" s="160">
        <f t="shared" ref="P459:Q459" si="469">IF(N459="",0,IF(N459&lt;=2,1,IF(N459&lt;=4,2,IF(N459&lt;=5.5,3,4))))</f>
        <v>1</v>
      </c>
      <c r="Q459" s="160">
        <f t="shared" si="469"/>
        <v>2</v>
      </c>
      <c r="R459" s="160" t="str">
        <f t="shared" si="5"/>
        <v>Lv1 → Lv2</v>
      </c>
      <c r="S459" s="160">
        <f t="shared" si="6"/>
        <v>1</v>
      </c>
      <c r="T459" s="198"/>
      <c r="U459" s="160">
        <f>COUNTIFS(sheet2!$A:$A,A459,sheet2!$E:$E,E459)</f>
        <v>1</v>
      </c>
      <c r="V459" s="160"/>
      <c r="W459" s="160"/>
      <c r="X459" s="160"/>
      <c r="Y459" s="160"/>
      <c r="Z459" s="160"/>
      <c r="AA459" s="160"/>
      <c r="AB459" s="160"/>
      <c r="AC459" s="160"/>
      <c r="AD459" s="160"/>
      <c r="AE459" s="160"/>
      <c r="AF459" s="160"/>
      <c r="AG459" s="160"/>
      <c r="AH459" s="160"/>
      <c r="AI459" s="160"/>
      <c r="AJ459" s="160"/>
      <c r="AK459" s="160"/>
      <c r="AL459" s="160"/>
      <c r="AM459" s="160"/>
      <c r="AN459" s="164"/>
      <c r="AO459" s="160"/>
      <c r="AP459" s="160"/>
      <c r="AQ459" s="160"/>
      <c r="AR459" s="160"/>
      <c r="AS459" s="160"/>
      <c r="AT459" s="160"/>
      <c r="AU459" s="160"/>
      <c r="AV459" s="160"/>
      <c r="AW459" s="160"/>
      <c r="AX459" s="160"/>
      <c r="AY459" s="160"/>
      <c r="AZ459" s="160"/>
      <c r="BA459" s="160"/>
      <c r="BB459" s="160"/>
      <c r="BC459" s="160"/>
      <c r="BD459" s="160"/>
      <c r="BE459" s="160"/>
      <c r="BF459" s="160"/>
      <c r="BG459" s="160"/>
      <c r="BH459" s="160"/>
      <c r="BI459" s="160"/>
      <c r="BJ459" s="160"/>
      <c r="BK459" s="160"/>
      <c r="BL459" s="160"/>
      <c r="BM459" s="160"/>
      <c r="BN459" s="160"/>
      <c r="BO459" s="160"/>
      <c r="BP459" s="160"/>
      <c r="BQ459" s="160"/>
      <c r="BR459" s="160"/>
      <c r="BS459" s="160"/>
      <c r="BT459" s="160"/>
      <c r="BU459" s="160"/>
      <c r="BV459" s="160"/>
      <c r="BW459" s="160"/>
      <c r="BX459" s="160"/>
      <c r="BY459" s="160"/>
      <c r="BZ459" s="160"/>
      <c r="CA459" s="160"/>
      <c r="CB459" s="160"/>
      <c r="CC459" s="160"/>
      <c r="CD459" s="160"/>
      <c r="CE459" s="160"/>
      <c r="CF459" s="160"/>
      <c r="CG459" s="160"/>
      <c r="CH459" s="160"/>
      <c r="CI459" s="160"/>
      <c r="CJ459" s="160"/>
      <c r="CK459" s="160"/>
      <c r="CL459" s="160"/>
    </row>
    <row r="460">
      <c r="A460" s="174" t="s">
        <v>758</v>
      </c>
      <c r="B460" s="11" t="s">
        <v>759</v>
      </c>
      <c r="C460" s="175" t="s">
        <v>91</v>
      </c>
      <c r="D460" s="176" t="str">
        <f>IFERROR(VLOOKUP(C460, PIC!A:B, 2, 0), "")</f>
        <v>Vinh Tran</v>
      </c>
      <c r="E460" s="11" t="s">
        <v>22</v>
      </c>
      <c r="F460" s="16" t="s">
        <v>849</v>
      </c>
      <c r="G460" s="16" t="s">
        <v>846</v>
      </c>
      <c r="H460" s="170">
        <f>IFERROR(
  MINIFS(ATTENDANCE_LOG!$F:$F,
         ATTENDANCE_LOG!$A:$A, C460,
         ATTENDANCE_LOG!$B:$B, E460),
"")</f>
        <v>45909.54167</v>
      </c>
      <c r="I460" s="170">
        <f t="shared" si="2"/>
        <v>45909.54167</v>
      </c>
      <c r="J460" s="11">
        <f>IFERROR(VLOOKUP(F460, LEVEL_HELPER!$A:$B, 2, 0), "")</f>
        <v>1</v>
      </c>
      <c r="K460" s="11">
        <f>IFERROR(VLOOKUP(G460, LEVEL_HELPER!$A:$B, 2, 0), "")</f>
        <v>3</v>
      </c>
      <c r="L460" s="171" t="s">
        <v>857</v>
      </c>
      <c r="M460" s="171" t="s">
        <v>153</v>
      </c>
      <c r="N460" s="11">
        <f t="array" ref="N460">IFERROR(
  INDEX($J$2:$J$531,
    MATCH(A460&amp;TEXT(I460,"yyyy-mm-dd"),
          $A$2:$A$531&amp;TEXT($H$2:$H$531,"yyyy-mm-dd"),
          0)),
"")</f>
        <v>1</v>
      </c>
      <c r="O460" s="160">
        <f t="shared" si="3"/>
        <v>3</v>
      </c>
      <c r="P460" s="160">
        <f t="shared" ref="P460:Q460" si="470">IF(N460="",0,IF(N460&lt;=2,1,IF(N460&lt;=4,2,IF(N460&lt;=5.5,3,4))))</f>
        <v>1</v>
      </c>
      <c r="Q460" s="160">
        <f t="shared" si="470"/>
        <v>2</v>
      </c>
      <c r="R460" s="160" t="str">
        <f t="shared" si="5"/>
        <v>Lv1 → Lv2</v>
      </c>
      <c r="S460" s="160">
        <f t="shared" si="6"/>
        <v>1</v>
      </c>
      <c r="T460" s="198"/>
      <c r="U460" s="160">
        <f>COUNTIFS(sheet2!$A:$A,A460,sheet2!$E:$E,E460)</f>
        <v>1</v>
      </c>
      <c r="V460" s="160"/>
      <c r="W460" s="160"/>
      <c r="X460" s="160"/>
      <c r="Y460" s="160"/>
      <c r="Z460" s="160"/>
      <c r="AA460" s="160"/>
      <c r="AB460" s="160"/>
      <c r="AC460" s="160"/>
      <c r="AD460" s="160"/>
      <c r="AE460" s="160"/>
      <c r="AF460" s="160"/>
      <c r="AG460" s="160"/>
      <c r="AH460" s="160"/>
      <c r="AI460" s="160"/>
      <c r="AJ460" s="160"/>
      <c r="AK460" s="160"/>
      <c r="AL460" s="160"/>
      <c r="AM460" s="160"/>
      <c r="AN460" s="164"/>
      <c r="AO460" s="160"/>
      <c r="AP460" s="160"/>
      <c r="AQ460" s="160"/>
      <c r="AR460" s="160"/>
      <c r="AS460" s="160"/>
      <c r="AT460" s="160"/>
      <c r="AU460" s="160"/>
      <c r="AV460" s="160"/>
      <c r="AW460" s="160"/>
      <c r="AX460" s="160"/>
      <c r="AY460" s="160"/>
      <c r="AZ460" s="160"/>
      <c r="BA460" s="160"/>
      <c r="BB460" s="160"/>
      <c r="BC460" s="160"/>
      <c r="BD460" s="160"/>
      <c r="BE460" s="160"/>
      <c r="BF460" s="160"/>
      <c r="BG460" s="160"/>
      <c r="BH460" s="160"/>
      <c r="BI460" s="160"/>
      <c r="BJ460" s="160"/>
      <c r="BK460" s="160"/>
      <c r="BL460" s="160"/>
      <c r="BM460" s="160"/>
      <c r="BN460" s="160"/>
      <c r="BO460" s="160"/>
      <c r="BP460" s="160"/>
      <c r="BQ460" s="160"/>
      <c r="BR460" s="160"/>
      <c r="BS460" s="160"/>
      <c r="BT460" s="160"/>
      <c r="BU460" s="160"/>
      <c r="BV460" s="160"/>
      <c r="BW460" s="160"/>
      <c r="BX460" s="160"/>
      <c r="BY460" s="160"/>
      <c r="BZ460" s="160"/>
      <c r="CA460" s="160"/>
      <c r="CB460" s="160"/>
      <c r="CC460" s="160"/>
      <c r="CD460" s="160"/>
      <c r="CE460" s="160"/>
      <c r="CF460" s="160"/>
      <c r="CG460" s="160"/>
      <c r="CH460" s="160"/>
      <c r="CI460" s="160"/>
      <c r="CJ460" s="160"/>
      <c r="CK460" s="160"/>
      <c r="CL460" s="160"/>
    </row>
    <row r="461">
      <c r="A461" s="174" t="s">
        <v>766</v>
      </c>
      <c r="B461" s="11" t="s">
        <v>767</v>
      </c>
      <c r="C461" s="175" t="s">
        <v>91</v>
      </c>
      <c r="D461" s="176" t="str">
        <f>IFERROR(VLOOKUP(C461, PIC!A:B, 2, 0), "")</f>
        <v>Vinh Tran</v>
      </c>
      <c r="E461" s="11" t="s">
        <v>22</v>
      </c>
      <c r="F461" s="16" t="s">
        <v>849</v>
      </c>
      <c r="G461" s="16" t="s">
        <v>846</v>
      </c>
      <c r="H461" s="170">
        <f>IFERROR(
  MINIFS(ATTENDANCE_LOG!$F:$F,
         ATTENDANCE_LOG!$A:$A, C461,
         ATTENDANCE_LOG!$B:$B, E461),
"")</f>
        <v>45909.54167</v>
      </c>
      <c r="I461" s="170">
        <f t="shared" si="2"/>
        <v>45765.375</v>
      </c>
      <c r="J461" s="11">
        <f>IFERROR(VLOOKUP(F461, LEVEL_HELPER!$A:$B, 2, 0), "")</f>
        <v>1</v>
      </c>
      <c r="K461" s="11">
        <f>IFERROR(VLOOKUP(G461, LEVEL_HELPER!$A:$B, 2, 0), "")</f>
        <v>3</v>
      </c>
      <c r="L461" s="171" t="s">
        <v>400</v>
      </c>
      <c r="M461" s="171" t="s">
        <v>150</v>
      </c>
      <c r="N461" s="11">
        <f t="array" ref="N461">IFERROR(
  INDEX($J$2:$J$531,
    MATCH(A461&amp;TEXT(I461,"yyyy-mm-dd"),
          $A$2:$A$531&amp;TEXT($H$2:$H$531,"yyyy-mm-dd"),
          0)),
"")</f>
        <v>1</v>
      </c>
      <c r="O461" s="160">
        <f t="shared" si="3"/>
        <v>3</v>
      </c>
      <c r="P461" s="160">
        <f t="shared" ref="P461:Q461" si="471">IF(N461="",0,IF(N461&lt;=2,1,IF(N461&lt;=4,2,IF(N461&lt;=5.5,3,4))))</f>
        <v>1</v>
      </c>
      <c r="Q461" s="160">
        <f t="shared" si="471"/>
        <v>2</v>
      </c>
      <c r="R461" s="160" t="str">
        <f t="shared" si="5"/>
        <v>Lv1 → Lv2</v>
      </c>
      <c r="S461" s="160">
        <f t="shared" si="6"/>
        <v>0</v>
      </c>
      <c r="T461" s="198"/>
      <c r="U461" s="160">
        <f>COUNTIFS(sheet2!$A:$A,A461,sheet2!$E:$E,E461)</f>
        <v>3</v>
      </c>
      <c r="V461" s="160"/>
      <c r="W461" s="160"/>
      <c r="X461" s="160"/>
      <c r="Y461" s="160"/>
      <c r="Z461" s="160"/>
      <c r="AA461" s="160"/>
      <c r="AB461" s="160"/>
      <c r="AC461" s="160"/>
      <c r="AD461" s="160"/>
      <c r="AE461" s="160"/>
      <c r="AF461" s="160"/>
      <c r="AG461" s="160"/>
      <c r="AH461" s="160"/>
      <c r="AI461" s="160"/>
      <c r="AJ461" s="160"/>
      <c r="AK461" s="160"/>
      <c r="AL461" s="160"/>
      <c r="AM461" s="160"/>
      <c r="AN461" s="164"/>
      <c r="AO461" s="160"/>
      <c r="AP461" s="160"/>
      <c r="AQ461" s="160"/>
      <c r="AR461" s="160"/>
      <c r="AS461" s="160"/>
      <c r="AT461" s="160"/>
      <c r="AU461" s="160"/>
      <c r="AV461" s="160"/>
      <c r="AW461" s="160"/>
      <c r="AX461" s="160"/>
      <c r="AY461" s="160"/>
      <c r="AZ461" s="160"/>
      <c r="BA461" s="160"/>
      <c r="BB461" s="160"/>
      <c r="BC461" s="160"/>
      <c r="BD461" s="160"/>
      <c r="BE461" s="160"/>
      <c r="BF461" s="160"/>
      <c r="BG461" s="160"/>
      <c r="BH461" s="160"/>
      <c r="BI461" s="160"/>
      <c r="BJ461" s="160"/>
      <c r="BK461" s="160"/>
      <c r="BL461" s="160"/>
      <c r="BM461" s="160"/>
      <c r="BN461" s="160"/>
      <c r="BO461" s="160"/>
      <c r="BP461" s="160"/>
      <c r="BQ461" s="160"/>
      <c r="BR461" s="160"/>
      <c r="BS461" s="160"/>
      <c r="BT461" s="160"/>
      <c r="BU461" s="160"/>
      <c r="BV461" s="160"/>
      <c r="BW461" s="160"/>
      <c r="BX461" s="160"/>
      <c r="BY461" s="160"/>
      <c r="BZ461" s="160"/>
      <c r="CA461" s="160"/>
      <c r="CB461" s="160"/>
      <c r="CC461" s="160"/>
      <c r="CD461" s="160"/>
      <c r="CE461" s="160"/>
      <c r="CF461" s="160"/>
      <c r="CG461" s="160"/>
      <c r="CH461" s="160"/>
      <c r="CI461" s="160"/>
      <c r="CJ461" s="160"/>
      <c r="CK461" s="160"/>
      <c r="CL461" s="160"/>
    </row>
    <row r="462">
      <c r="A462" s="174" t="s">
        <v>760</v>
      </c>
      <c r="B462" s="11" t="s">
        <v>761</v>
      </c>
      <c r="C462" s="175" t="s">
        <v>91</v>
      </c>
      <c r="D462" s="176" t="str">
        <f>IFERROR(VLOOKUP(C462, PIC!A:B, 2, 0), "")</f>
        <v>Vinh Tran</v>
      </c>
      <c r="E462" s="11" t="s">
        <v>22</v>
      </c>
      <c r="F462" s="16" t="s">
        <v>849</v>
      </c>
      <c r="G462" s="16" t="s">
        <v>861</v>
      </c>
      <c r="H462" s="170">
        <f>IFERROR(
  MINIFS(ATTENDANCE_LOG!$F:$F,
         ATTENDANCE_LOG!$A:$A, C462,
         ATTENDANCE_LOG!$B:$B, E462),
"")</f>
        <v>45909.54167</v>
      </c>
      <c r="I462" s="170">
        <f t="shared" si="2"/>
        <v>45909.54167</v>
      </c>
      <c r="J462" s="11">
        <f>IFERROR(VLOOKUP(F462, LEVEL_HELPER!$A:$B, 2, 0), "")</f>
        <v>1</v>
      </c>
      <c r="K462" s="11">
        <f>IFERROR(VLOOKUP(G462, LEVEL_HELPER!$A:$B, 2, 0), "")</f>
        <v>3.5</v>
      </c>
      <c r="L462" s="171" t="s">
        <v>857</v>
      </c>
      <c r="M462" s="171" t="s">
        <v>153</v>
      </c>
      <c r="N462" s="11">
        <f t="array" ref="N462">IFERROR(
  INDEX($J$2:$J$531,
    MATCH(A462&amp;TEXT(I462,"yyyy-mm-dd"),
          $A$2:$A$531&amp;TEXT($H$2:$H$531,"yyyy-mm-dd"),
          0)),
"")</f>
        <v>1</v>
      </c>
      <c r="O462" s="160">
        <f t="shared" si="3"/>
        <v>3.5</v>
      </c>
      <c r="P462" s="160">
        <f t="shared" ref="P462:Q462" si="472">IF(N462="",0,IF(N462&lt;=2,1,IF(N462&lt;=4,2,IF(N462&lt;=5.5,3,4))))</f>
        <v>1</v>
      </c>
      <c r="Q462" s="160">
        <f t="shared" si="472"/>
        <v>2</v>
      </c>
      <c r="R462" s="160" t="str">
        <f t="shared" si="5"/>
        <v>Lv1 → Lv2</v>
      </c>
      <c r="S462" s="160">
        <f t="shared" si="6"/>
        <v>1</v>
      </c>
      <c r="T462" s="198"/>
      <c r="U462" s="160">
        <f>COUNTIFS(sheet2!$A:$A,A462,sheet2!$E:$E,E462)</f>
        <v>1</v>
      </c>
      <c r="V462" s="160"/>
      <c r="W462" s="160"/>
      <c r="X462" s="160"/>
      <c r="Y462" s="160"/>
      <c r="Z462" s="160"/>
      <c r="AA462" s="160"/>
      <c r="AB462" s="160"/>
      <c r="AC462" s="160"/>
      <c r="AD462" s="160"/>
      <c r="AE462" s="160"/>
      <c r="AF462" s="160"/>
      <c r="AG462" s="160"/>
      <c r="AH462" s="160"/>
      <c r="AI462" s="160"/>
      <c r="AJ462" s="160"/>
      <c r="AK462" s="160"/>
      <c r="AL462" s="160"/>
      <c r="AM462" s="160"/>
      <c r="AN462" s="164"/>
      <c r="AO462" s="160"/>
      <c r="AP462" s="160"/>
      <c r="AQ462" s="160"/>
      <c r="AR462" s="160"/>
      <c r="AS462" s="160"/>
      <c r="AT462" s="160"/>
      <c r="AU462" s="160"/>
      <c r="AV462" s="160"/>
      <c r="AW462" s="160"/>
      <c r="AX462" s="160"/>
      <c r="AY462" s="160"/>
      <c r="AZ462" s="160"/>
      <c r="BA462" s="160"/>
      <c r="BB462" s="160"/>
      <c r="BC462" s="160"/>
      <c r="BD462" s="160"/>
      <c r="BE462" s="160"/>
      <c r="BF462" s="160"/>
      <c r="BG462" s="160"/>
      <c r="BH462" s="160"/>
      <c r="BI462" s="160"/>
      <c r="BJ462" s="160"/>
      <c r="BK462" s="160"/>
      <c r="BL462" s="160"/>
      <c r="BM462" s="160"/>
      <c r="BN462" s="160"/>
      <c r="BO462" s="160"/>
      <c r="BP462" s="160"/>
      <c r="BQ462" s="160"/>
      <c r="BR462" s="160"/>
      <c r="BS462" s="160"/>
      <c r="BT462" s="160"/>
      <c r="BU462" s="160"/>
      <c r="BV462" s="160"/>
      <c r="BW462" s="160"/>
      <c r="BX462" s="160"/>
      <c r="BY462" s="160"/>
      <c r="BZ462" s="160"/>
      <c r="CA462" s="160"/>
      <c r="CB462" s="160"/>
      <c r="CC462" s="160"/>
      <c r="CD462" s="160"/>
      <c r="CE462" s="160"/>
      <c r="CF462" s="160"/>
      <c r="CG462" s="160"/>
      <c r="CH462" s="160"/>
      <c r="CI462" s="160"/>
      <c r="CJ462" s="160"/>
      <c r="CK462" s="160"/>
      <c r="CL462" s="160"/>
    </row>
    <row r="463">
      <c r="A463" s="174" t="s">
        <v>762</v>
      </c>
      <c r="B463" s="11" t="s">
        <v>763</v>
      </c>
      <c r="C463" s="175" t="s">
        <v>91</v>
      </c>
      <c r="D463" s="176" t="str">
        <f>IFERROR(VLOOKUP(C463, PIC!A:B, 2, 0), "")</f>
        <v>Vinh Tran</v>
      </c>
      <c r="E463" s="11" t="s">
        <v>22</v>
      </c>
      <c r="F463" s="16" t="s">
        <v>849</v>
      </c>
      <c r="G463" s="16" t="s">
        <v>861</v>
      </c>
      <c r="H463" s="170">
        <f>IFERROR(
  MINIFS(ATTENDANCE_LOG!$F:$F,
         ATTENDANCE_LOG!$A:$A, C463,
         ATTENDANCE_LOG!$B:$B, E463),
"")</f>
        <v>45909.54167</v>
      </c>
      <c r="I463" s="170">
        <f t="shared" si="2"/>
        <v>45909.54167</v>
      </c>
      <c r="J463" s="11">
        <f>IFERROR(VLOOKUP(F463, LEVEL_HELPER!$A:$B, 2, 0), "")</f>
        <v>1</v>
      </c>
      <c r="K463" s="11">
        <f>IFERROR(VLOOKUP(G463, LEVEL_HELPER!$A:$B, 2, 0), "")</f>
        <v>3.5</v>
      </c>
      <c r="L463" s="171" t="s">
        <v>857</v>
      </c>
      <c r="M463" s="171" t="s">
        <v>153</v>
      </c>
      <c r="N463" s="11">
        <f t="array" ref="N463">IFERROR(
  INDEX($J$2:$J$531,
    MATCH(A463&amp;TEXT(I463,"yyyy-mm-dd"),
          $A$2:$A$531&amp;TEXT($H$2:$H$531,"yyyy-mm-dd"),
          0)),
"")</f>
        <v>1</v>
      </c>
      <c r="O463" s="160">
        <f t="shared" si="3"/>
        <v>3.5</v>
      </c>
      <c r="P463" s="160">
        <f t="shared" ref="P463:Q463" si="473">IF(N463="",0,IF(N463&lt;=2,1,IF(N463&lt;=4,2,IF(N463&lt;=5.5,3,4))))</f>
        <v>1</v>
      </c>
      <c r="Q463" s="160">
        <f t="shared" si="473"/>
        <v>2</v>
      </c>
      <c r="R463" s="160" t="str">
        <f t="shared" si="5"/>
        <v>Lv1 → Lv2</v>
      </c>
      <c r="S463" s="160">
        <f t="shared" si="6"/>
        <v>1</v>
      </c>
      <c r="T463" s="198"/>
      <c r="U463" s="160">
        <f>COUNTIFS(sheet2!$A:$A,A463,sheet2!$E:$E,E463)</f>
        <v>1</v>
      </c>
      <c r="V463" s="160"/>
      <c r="W463" s="160"/>
      <c r="X463" s="160"/>
      <c r="Y463" s="160"/>
      <c r="Z463" s="160"/>
      <c r="AA463" s="160"/>
      <c r="AB463" s="160"/>
      <c r="AC463" s="160"/>
      <c r="AD463" s="160"/>
      <c r="AE463" s="160"/>
      <c r="AF463" s="160"/>
      <c r="AG463" s="160"/>
      <c r="AH463" s="160"/>
      <c r="AI463" s="160"/>
      <c r="AJ463" s="160"/>
      <c r="AK463" s="160"/>
      <c r="AL463" s="160"/>
      <c r="AM463" s="160"/>
      <c r="AN463" s="164"/>
      <c r="AO463" s="160"/>
      <c r="AP463" s="160"/>
      <c r="AQ463" s="160"/>
      <c r="AR463" s="160"/>
      <c r="AS463" s="160"/>
      <c r="AT463" s="160"/>
      <c r="AU463" s="160"/>
      <c r="AV463" s="160"/>
      <c r="AW463" s="160"/>
      <c r="AX463" s="160"/>
      <c r="AY463" s="160"/>
      <c r="AZ463" s="160"/>
      <c r="BA463" s="160"/>
      <c r="BB463" s="160"/>
      <c r="BC463" s="160"/>
      <c r="BD463" s="160"/>
      <c r="BE463" s="160"/>
      <c r="BF463" s="160"/>
      <c r="BG463" s="160"/>
      <c r="BH463" s="160"/>
      <c r="BI463" s="160"/>
      <c r="BJ463" s="160"/>
      <c r="BK463" s="160"/>
      <c r="BL463" s="160"/>
      <c r="BM463" s="160"/>
      <c r="BN463" s="160"/>
      <c r="BO463" s="160"/>
      <c r="BP463" s="160"/>
      <c r="BQ463" s="160"/>
      <c r="BR463" s="160"/>
      <c r="BS463" s="160"/>
      <c r="BT463" s="160"/>
      <c r="BU463" s="160"/>
      <c r="BV463" s="160"/>
      <c r="BW463" s="160"/>
      <c r="BX463" s="160"/>
      <c r="BY463" s="160"/>
      <c r="BZ463" s="160"/>
      <c r="CA463" s="160"/>
      <c r="CB463" s="160"/>
      <c r="CC463" s="160"/>
      <c r="CD463" s="160"/>
      <c r="CE463" s="160"/>
      <c r="CF463" s="160"/>
      <c r="CG463" s="160"/>
      <c r="CH463" s="160"/>
      <c r="CI463" s="160"/>
      <c r="CJ463" s="160"/>
      <c r="CK463" s="160"/>
      <c r="CL463" s="160"/>
    </row>
    <row r="464">
      <c r="A464" s="166" t="s">
        <v>764</v>
      </c>
      <c r="B464" s="167" t="s">
        <v>765</v>
      </c>
      <c r="C464" s="168" t="s">
        <v>91</v>
      </c>
      <c r="D464" s="169" t="str">
        <f>IFERROR(VLOOKUP(C464, PIC!A:B, 2, 0), "")</f>
        <v>Vinh Tran</v>
      </c>
      <c r="E464" s="167" t="s">
        <v>23</v>
      </c>
      <c r="F464" s="200" t="s">
        <v>861</v>
      </c>
      <c r="G464" s="167"/>
      <c r="H464" s="170">
        <f>IFERROR(
  MINIFS(ATTENDANCE_LOG!$F:$F,
         ATTENDANCE_LOG!$A:$A, C464,
         ATTENDANCE_LOG!$B:$B, E464),
"")</f>
        <v>46093.54167</v>
      </c>
      <c r="I464" s="170">
        <f t="shared" si="2"/>
        <v>45909.54167</v>
      </c>
      <c r="J464" s="167">
        <f>IFERROR(VLOOKUP(F464, LEVEL_HELPER!$A:$B, 2, 0), "")</f>
        <v>3.5</v>
      </c>
      <c r="K464" s="167" t="str">
        <f>IFERROR(VLOOKUP(G464, LEVEL_HELPER!$A:$B, 2, 0), "")</f>
        <v/>
      </c>
      <c r="L464" s="205" t="s">
        <v>857</v>
      </c>
      <c r="M464" s="205" t="s">
        <v>153</v>
      </c>
      <c r="N464" s="11">
        <f t="array" ref="N464">IFERROR(
  INDEX($J$2:$J$531,
    MATCH(A464&amp;TEXT(I464,"yyyy-mm-dd"),
          $A$2:$A$531&amp;TEXT($H$2:$H$531,"yyyy-mm-dd"),
          0)),
"")</f>
        <v>1</v>
      </c>
      <c r="O464" s="206">
        <f t="shared" si="3"/>
        <v>3.5</v>
      </c>
      <c r="P464" s="160">
        <f t="shared" ref="P464:Q464" si="474">IF(N464="",0,IF(N464&lt;=2,1,IF(N464&lt;=4,2,IF(N464&lt;=5.5,3,4))))</f>
        <v>1</v>
      </c>
      <c r="Q464" s="160">
        <f t="shared" si="474"/>
        <v>2</v>
      </c>
      <c r="R464" s="160" t="str">
        <f t="shared" si="5"/>
        <v>Lv1 → Lv2</v>
      </c>
      <c r="S464" s="160">
        <f t="shared" si="6"/>
        <v>0</v>
      </c>
      <c r="T464" s="208"/>
      <c r="U464" s="160">
        <f>COUNTIFS(sheet2!$A:$A,A464,sheet2!$E:$E,E464)</f>
        <v>1</v>
      </c>
      <c r="V464" s="160"/>
      <c r="W464" s="160"/>
      <c r="X464" s="160"/>
      <c r="Y464" s="160"/>
      <c r="Z464" s="160"/>
      <c r="AA464" s="160"/>
      <c r="AB464" s="160"/>
      <c r="AC464" s="160"/>
      <c r="AD464" s="160"/>
      <c r="AE464" s="160"/>
      <c r="AF464" s="160"/>
      <c r="AG464" s="160"/>
      <c r="AH464" s="160"/>
      <c r="AI464" s="160"/>
      <c r="AJ464" s="160"/>
      <c r="AK464" s="160"/>
      <c r="AL464" s="160"/>
      <c r="AM464" s="160"/>
      <c r="AN464" s="164"/>
      <c r="AO464" s="160"/>
      <c r="AP464" s="160"/>
      <c r="AQ464" s="160"/>
      <c r="AR464" s="160"/>
      <c r="AS464" s="160"/>
      <c r="AT464" s="160"/>
      <c r="AU464" s="160"/>
      <c r="AV464" s="160"/>
      <c r="AW464" s="160"/>
      <c r="AX464" s="160"/>
      <c r="AY464" s="160"/>
      <c r="AZ464" s="160"/>
      <c r="BA464" s="160"/>
      <c r="BB464" s="160"/>
      <c r="BC464" s="160"/>
      <c r="BD464" s="160"/>
      <c r="BE464" s="160"/>
      <c r="BF464" s="160"/>
      <c r="BG464" s="160"/>
      <c r="BH464" s="160"/>
      <c r="BI464" s="160"/>
      <c r="BJ464" s="160"/>
      <c r="BK464" s="160"/>
      <c r="BL464" s="160"/>
      <c r="BM464" s="160"/>
      <c r="BN464" s="160"/>
      <c r="BO464" s="160"/>
      <c r="BP464" s="160"/>
      <c r="BQ464" s="160"/>
      <c r="BR464" s="160"/>
      <c r="BS464" s="160"/>
      <c r="BT464" s="160"/>
      <c r="BU464" s="160"/>
      <c r="BV464" s="160"/>
      <c r="BW464" s="160"/>
      <c r="BX464" s="160"/>
      <c r="BY464" s="160"/>
      <c r="BZ464" s="160"/>
      <c r="CA464" s="160"/>
      <c r="CB464" s="160"/>
      <c r="CC464" s="160"/>
      <c r="CD464" s="160"/>
      <c r="CE464" s="160"/>
      <c r="CF464" s="160"/>
      <c r="CG464" s="160"/>
      <c r="CH464" s="160"/>
      <c r="CI464" s="160"/>
      <c r="CJ464" s="160"/>
      <c r="CK464" s="160"/>
      <c r="CL464" s="160"/>
    </row>
    <row r="465">
      <c r="A465" s="174" t="s">
        <v>756</v>
      </c>
      <c r="B465" s="11" t="s">
        <v>757</v>
      </c>
      <c r="C465" s="175" t="s">
        <v>91</v>
      </c>
      <c r="D465" s="176" t="str">
        <f>IFERROR(VLOOKUP(C465, PIC!A:B, 2, 0), "")</f>
        <v>Vinh Tran</v>
      </c>
      <c r="E465" s="11" t="s">
        <v>23</v>
      </c>
      <c r="F465" s="16" t="s">
        <v>846</v>
      </c>
      <c r="G465" s="11"/>
      <c r="H465" s="170">
        <f>IFERROR(
  MINIFS(ATTENDANCE_LOG!$F:$F,
         ATTENDANCE_LOG!$A:$A, C465,
         ATTENDANCE_LOG!$B:$B, E465),
"")</f>
        <v>46093.54167</v>
      </c>
      <c r="I465" s="170">
        <f t="shared" si="2"/>
        <v>45909.54167</v>
      </c>
      <c r="J465" s="11">
        <f>IFERROR(VLOOKUP(F465, LEVEL_HELPER!$A:$B, 2, 0), "")</f>
        <v>3</v>
      </c>
      <c r="K465" s="11" t="str">
        <f>IFERROR(VLOOKUP(G465, LEVEL_HELPER!$A:$B, 2, 0), "")</f>
        <v/>
      </c>
      <c r="L465" s="171" t="s">
        <v>857</v>
      </c>
      <c r="M465" s="171" t="s">
        <v>153</v>
      </c>
      <c r="N465" s="11">
        <f t="array" ref="N465">IFERROR(
  INDEX($J$2:$J$531,
    MATCH(A465&amp;TEXT(I465,"yyyy-mm-dd"),
          $A$2:$A$531&amp;TEXT($H$2:$H$531,"yyyy-mm-dd"),
          0)),
"")</f>
        <v>1</v>
      </c>
      <c r="O465" s="160">
        <f t="shared" si="3"/>
        <v>3</v>
      </c>
      <c r="P465" s="160">
        <f t="shared" ref="P465:Q465" si="475">IF(N465="",0,IF(N465&lt;=2,1,IF(N465&lt;=4,2,IF(N465&lt;=5.5,3,4))))</f>
        <v>1</v>
      </c>
      <c r="Q465" s="160">
        <f t="shared" si="475"/>
        <v>2</v>
      </c>
      <c r="R465" s="160" t="str">
        <f t="shared" si="5"/>
        <v>Lv1 → Lv2</v>
      </c>
      <c r="S465" s="160">
        <f t="shared" si="6"/>
        <v>0</v>
      </c>
      <c r="T465" s="198"/>
      <c r="U465" s="160">
        <f>COUNTIFS(sheet2!$A:$A,A465,sheet2!$E:$E,E465)</f>
        <v>1</v>
      </c>
      <c r="V465" s="160"/>
      <c r="W465" s="160"/>
      <c r="X465" s="160"/>
      <c r="Y465" s="160"/>
      <c r="Z465" s="160"/>
      <c r="AA465" s="160"/>
      <c r="AB465" s="160"/>
      <c r="AC465" s="160"/>
      <c r="AD465" s="160"/>
      <c r="AE465" s="160"/>
      <c r="AF465" s="160"/>
      <c r="AG465" s="160"/>
      <c r="AH465" s="160"/>
      <c r="AI465" s="160"/>
      <c r="AJ465" s="160"/>
      <c r="AK465" s="160"/>
      <c r="AL465" s="160"/>
      <c r="AM465" s="160"/>
      <c r="AN465" s="164"/>
      <c r="AO465" s="160"/>
      <c r="AP465" s="160"/>
      <c r="AQ465" s="160"/>
      <c r="AR465" s="160"/>
      <c r="AS465" s="160"/>
      <c r="AT465" s="160"/>
      <c r="AU465" s="160"/>
      <c r="AV465" s="160"/>
      <c r="AW465" s="160"/>
      <c r="AX465" s="160"/>
      <c r="AY465" s="160"/>
      <c r="AZ465" s="160"/>
      <c r="BA465" s="160"/>
      <c r="BB465" s="160"/>
      <c r="BC465" s="160"/>
      <c r="BD465" s="160"/>
      <c r="BE465" s="160"/>
      <c r="BF465" s="160"/>
      <c r="BG465" s="160"/>
      <c r="BH465" s="160"/>
      <c r="BI465" s="160"/>
      <c r="BJ465" s="160"/>
      <c r="BK465" s="160"/>
      <c r="BL465" s="160"/>
      <c r="BM465" s="160"/>
      <c r="BN465" s="160"/>
      <c r="BO465" s="160"/>
      <c r="BP465" s="160"/>
      <c r="BQ465" s="160"/>
      <c r="BR465" s="160"/>
      <c r="BS465" s="160"/>
      <c r="BT465" s="160"/>
      <c r="BU465" s="160"/>
      <c r="BV465" s="160"/>
      <c r="BW465" s="160"/>
      <c r="BX465" s="160"/>
      <c r="BY465" s="160"/>
      <c r="BZ465" s="160"/>
      <c r="CA465" s="160"/>
      <c r="CB465" s="160"/>
      <c r="CC465" s="160"/>
      <c r="CD465" s="160"/>
      <c r="CE465" s="160"/>
      <c r="CF465" s="160"/>
      <c r="CG465" s="160"/>
      <c r="CH465" s="160"/>
      <c r="CI465" s="160"/>
      <c r="CJ465" s="160"/>
      <c r="CK465" s="160"/>
      <c r="CL465" s="160"/>
    </row>
    <row r="466">
      <c r="A466" s="174" t="s">
        <v>758</v>
      </c>
      <c r="B466" s="11" t="s">
        <v>759</v>
      </c>
      <c r="C466" s="175" t="s">
        <v>91</v>
      </c>
      <c r="D466" s="176" t="str">
        <f>IFERROR(VLOOKUP(C466, PIC!A:B, 2, 0), "")</f>
        <v>Vinh Tran</v>
      </c>
      <c r="E466" s="11" t="s">
        <v>23</v>
      </c>
      <c r="F466" s="16" t="s">
        <v>846</v>
      </c>
      <c r="G466" s="11"/>
      <c r="H466" s="170">
        <f>IFERROR(
  MINIFS(ATTENDANCE_LOG!$F:$F,
         ATTENDANCE_LOG!$A:$A, C466,
         ATTENDANCE_LOG!$B:$B, E466),
"")</f>
        <v>46093.54167</v>
      </c>
      <c r="I466" s="170">
        <f t="shared" si="2"/>
        <v>45909.54167</v>
      </c>
      <c r="J466" s="11">
        <f>IFERROR(VLOOKUP(F466, LEVEL_HELPER!$A:$B, 2, 0), "")</f>
        <v>3</v>
      </c>
      <c r="K466" s="11" t="str">
        <f>IFERROR(VLOOKUP(G466, LEVEL_HELPER!$A:$B, 2, 0), "")</f>
        <v/>
      </c>
      <c r="L466" s="171" t="s">
        <v>857</v>
      </c>
      <c r="M466" s="171" t="s">
        <v>153</v>
      </c>
      <c r="N466" s="11">
        <f t="array" ref="N466">IFERROR(
  INDEX($J$2:$J$531,
    MATCH(A466&amp;TEXT(I466,"yyyy-mm-dd"),
          $A$2:$A$531&amp;TEXT($H$2:$H$531,"yyyy-mm-dd"),
          0)),
"")</f>
        <v>1</v>
      </c>
      <c r="O466" s="160">
        <f t="shared" si="3"/>
        <v>3</v>
      </c>
      <c r="P466" s="160">
        <f t="shared" ref="P466:Q466" si="476">IF(N466="",0,IF(N466&lt;=2,1,IF(N466&lt;=4,2,IF(N466&lt;=5.5,3,4))))</f>
        <v>1</v>
      </c>
      <c r="Q466" s="160">
        <f t="shared" si="476"/>
        <v>2</v>
      </c>
      <c r="R466" s="160" t="str">
        <f t="shared" si="5"/>
        <v>Lv1 → Lv2</v>
      </c>
      <c r="S466" s="160">
        <f t="shared" si="6"/>
        <v>0</v>
      </c>
      <c r="T466" s="198"/>
      <c r="U466" s="160">
        <f>COUNTIFS(sheet2!$A:$A,A466,sheet2!$E:$E,E466)</f>
        <v>1</v>
      </c>
      <c r="V466" s="160"/>
      <c r="W466" s="160"/>
      <c r="X466" s="160"/>
      <c r="Y466" s="160"/>
      <c r="Z466" s="160"/>
      <c r="AA466" s="160"/>
      <c r="AB466" s="160"/>
      <c r="AC466" s="160"/>
      <c r="AD466" s="160"/>
      <c r="AE466" s="160"/>
      <c r="AF466" s="160"/>
      <c r="AG466" s="160"/>
      <c r="AH466" s="160"/>
      <c r="AI466" s="160"/>
      <c r="AJ466" s="160"/>
      <c r="AK466" s="160"/>
      <c r="AL466" s="160"/>
      <c r="AM466" s="160"/>
      <c r="AN466" s="164"/>
      <c r="AO466" s="160"/>
      <c r="AP466" s="160"/>
      <c r="AQ466" s="160"/>
      <c r="AR466" s="160"/>
      <c r="AS466" s="160"/>
      <c r="AT466" s="160"/>
      <c r="AU466" s="160"/>
      <c r="AV466" s="160"/>
      <c r="AW466" s="160"/>
      <c r="AX466" s="160"/>
      <c r="AY466" s="160"/>
      <c r="AZ466" s="160"/>
      <c r="BA466" s="160"/>
      <c r="BB466" s="160"/>
      <c r="BC466" s="160"/>
      <c r="BD466" s="160"/>
      <c r="BE466" s="160"/>
      <c r="BF466" s="160"/>
      <c r="BG466" s="160"/>
      <c r="BH466" s="160"/>
      <c r="BI466" s="160"/>
      <c r="BJ466" s="160"/>
      <c r="BK466" s="160"/>
      <c r="BL466" s="160"/>
      <c r="BM466" s="160"/>
      <c r="BN466" s="160"/>
      <c r="BO466" s="160"/>
      <c r="BP466" s="160"/>
      <c r="BQ466" s="160"/>
      <c r="BR466" s="160"/>
      <c r="BS466" s="160"/>
      <c r="BT466" s="160"/>
      <c r="BU466" s="160"/>
      <c r="BV466" s="160"/>
      <c r="BW466" s="160"/>
      <c r="BX466" s="160"/>
      <c r="BY466" s="160"/>
      <c r="BZ466" s="160"/>
      <c r="CA466" s="160"/>
      <c r="CB466" s="160"/>
      <c r="CC466" s="160"/>
      <c r="CD466" s="160"/>
      <c r="CE466" s="160"/>
      <c r="CF466" s="160"/>
      <c r="CG466" s="160"/>
      <c r="CH466" s="160"/>
      <c r="CI466" s="160"/>
      <c r="CJ466" s="160"/>
      <c r="CK466" s="160"/>
      <c r="CL466" s="160"/>
    </row>
    <row r="467">
      <c r="A467" s="174" t="s">
        <v>766</v>
      </c>
      <c r="B467" s="11" t="s">
        <v>767</v>
      </c>
      <c r="C467" s="175" t="s">
        <v>91</v>
      </c>
      <c r="D467" s="176" t="str">
        <f>IFERROR(VLOOKUP(C467, PIC!A:B, 2, 0), "")</f>
        <v>Vinh Tran</v>
      </c>
      <c r="E467" s="11" t="s">
        <v>23</v>
      </c>
      <c r="F467" s="16" t="s">
        <v>846</v>
      </c>
      <c r="G467" s="11"/>
      <c r="H467" s="170">
        <f>IFERROR(
  MINIFS(ATTENDANCE_LOG!$F:$F,
         ATTENDANCE_LOG!$A:$A, C467,
         ATTENDANCE_LOG!$B:$B, E467),
"")</f>
        <v>46093.54167</v>
      </c>
      <c r="I467" s="170">
        <f t="shared" si="2"/>
        <v>45765.375</v>
      </c>
      <c r="J467" s="11">
        <f>IFERROR(VLOOKUP(F467, LEVEL_HELPER!$A:$B, 2, 0), "")</f>
        <v>3</v>
      </c>
      <c r="K467" s="11" t="str">
        <f>IFERROR(VLOOKUP(G467, LEVEL_HELPER!$A:$B, 2, 0), "")</f>
        <v/>
      </c>
      <c r="L467" s="171" t="s">
        <v>400</v>
      </c>
      <c r="M467" s="171" t="s">
        <v>150</v>
      </c>
      <c r="N467" s="11">
        <f t="array" ref="N467">IFERROR(
  INDEX($J$2:$J$531,
    MATCH(A467&amp;TEXT(I467,"yyyy-mm-dd"),
          $A$2:$A$531&amp;TEXT($H$2:$H$531,"yyyy-mm-dd"),
          0)),
"")</f>
        <v>1</v>
      </c>
      <c r="O467" s="160">
        <f t="shared" si="3"/>
        <v>3</v>
      </c>
      <c r="P467" s="160">
        <f t="shared" ref="P467:Q467" si="477">IF(N467="",0,IF(N467&lt;=2,1,IF(N467&lt;=4,2,IF(N467&lt;=5.5,3,4))))</f>
        <v>1</v>
      </c>
      <c r="Q467" s="160">
        <f t="shared" si="477"/>
        <v>2</v>
      </c>
      <c r="R467" s="160" t="str">
        <f t="shared" si="5"/>
        <v>Lv1 → Lv2</v>
      </c>
      <c r="S467" s="160">
        <f t="shared" si="6"/>
        <v>0</v>
      </c>
      <c r="T467" s="198"/>
      <c r="U467" s="160">
        <f>COUNTIFS(sheet2!$A:$A,A467,sheet2!$E:$E,E467)</f>
        <v>1</v>
      </c>
      <c r="V467" s="160"/>
      <c r="W467" s="160"/>
      <c r="X467" s="160"/>
      <c r="Y467" s="160"/>
      <c r="Z467" s="160"/>
      <c r="AA467" s="160"/>
      <c r="AB467" s="160"/>
      <c r="AC467" s="160"/>
      <c r="AD467" s="160"/>
      <c r="AE467" s="160"/>
      <c r="AF467" s="160"/>
      <c r="AG467" s="160"/>
      <c r="AH467" s="160"/>
      <c r="AI467" s="160"/>
      <c r="AJ467" s="160"/>
      <c r="AK467" s="160"/>
      <c r="AL467" s="160"/>
      <c r="AM467" s="160"/>
      <c r="AN467" s="164"/>
      <c r="AO467" s="160"/>
      <c r="AP467" s="160"/>
      <c r="AQ467" s="160"/>
      <c r="AR467" s="160"/>
      <c r="AS467" s="160"/>
      <c r="AT467" s="160"/>
      <c r="AU467" s="160"/>
      <c r="AV467" s="160"/>
      <c r="AW467" s="160"/>
      <c r="AX467" s="160"/>
      <c r="AY467" s="160"/>
      <c r="AZ467" s="160"/>
      <c r="BA467" s="160"/>
      <c r="BB467" s="160"/>
      <c r="BC467" s="160"/>
      <c r="BD467" s="160"/>
      <c r="BE467" s="160"/>
      <c r="BF467" s="160"/>
      <c r="BG467" s="160"/>
      <c r="BH467" s="160"/>
      <c r="BI467" s="160"/>
      <c r="BJ467" s="160"/>
      <c r="BK467" s="160"/>
      <c r="BL467" s="160"/>
      <c r="BM467" s="160"/>
      <c r="BN467" s="160"/>
      <c r="BO467" s="160"/>
      <c r="BP467" s="160"/>
      <c r="BQ467" s="160"/>
      <c r="BR467" s="160"/>
      <c r="BS467" s="160"/>
      <c r="BT467" s="160"/>
      <c r="BU467" s="160"/>
      <c r="BV467" s="160"/>
      <c r="BW467" s="160"/>
      <c r="BX467" s="160"/>
      <c r="BY467" s="160"/>
      <c r="BZ467" s="160"/>
      <c r="CA467" s="160"/>
      <c r="CB467" s="160"/>
      <c r="CC467" s="160"/>
      <c r="CD467" s="160"/>
      <c r="CE467" s="160"/>
      <c r="CF467" s="160"/>
      <c r="CG467" s="160"/>
      <c r="CH467" s="160"/>
      <c r="CI467" s="160"/>
      <c r="CJ467" s="160"/>
      <c r="CK467" s="160"/>
      <c r="CL467" s="160"/>
    </row>
    <row r="468">
      <c r="A468" s="174" t="s">
        <v>760</v>
      </c>
      <c r="B468" s="11" t="s">
        <v>761</v>
      </c>
      <c r="C468" s="175" t="s">
        <v>91</v>
      </c>
      <c r="D468" s="176" t="str">
        <f>IFERROR(VLOOKUP(C468, PIC!A:B, 2, 0), "")</f>
        <v>Vinh Tran</v>
      </c>
      <c r="E468" s="11" t="s">
        <v>23</v>
      </c>
      <c r="F468" s="16" t="s">
        <v>861</v>
      </c>
      <c r="G468" s="11"/>
      <c r="H468" s="170">
        <f>IFERROR(
  MINIFS(ATTENDANCE_LOG!$F:$F,
         ATTENDANCE_LOG!$A:$A, C468,
         ATTENDANCE_LOG!$B:$B, E468),
"")</f>
        <v>46093.54167</v>
      </c>
      <c r="I468" s="170">
        <f t="shared" si="2"/>
        <v>45909.54167</v>
      </c>
      <c r="J468" s="11">
        <f>IFERROR(VLOOKUP(F468, LEVEL_HELPER!$A:$B, 2, 0), "")</f>
        <v>3.5</v>
      </c>
      <c r="K468" s="11" t="str">
        <f>IFERROR(VLOOKUP(G468, LEVEL_HELPER!$A:$B, 2, 0), "")</f>
        <v/>
      </c>
      <c r="L468" s="171" t="s">
        <v>857</v>
      </c>
      <c r="M468" s="171" t="s">
        <v>153</v>
      </c>
      <c r="N468" s="11">
        <f t="array" ref="N468">IFERROR(
  INDEX($J$2:$J$531,
    MATCH(A468&amp;TEXT(I468,"yyyy-mm-dd"),
          $A$2:$A$531&amp;TEXT($H$2:$H$531,"yyyy-mm-dd"),
          0)),
"")</f>
        <v>1</v>
      </c>
      <c r="O468" s="160">
        <f t="shared" si="3"/>
        <v>3.5</v>
      </c>
      <c r="P468" s="160">
        <f t="shared" ref="P468:Q468" si="478">IF(N468="",0,IF(N468&lt;=2,1,IF(N468&lt;=4,2,IF(N468&lt;=5.5,3,4))))</f>
        <v>1</v>
      </c>
      <c r="Q468" s="160">
        <f t="shared" si="478"/>
        <v>2</v>
      </c>
      <c r="R468" s="160" t="str">
        <f t="shared" si="5"/>
        <v>Lv1 → Lv2</v>
      </c>
      <c r="S468" s="160">
        <f t="shared" si="6"/>
        <v>0</v>
      </c>
      <c r="T468" s="198"/>
      <c r="U468" s="160">
        <f>COUNTIFS(sheet2!$A:$A,A468,sheet2!$E:$E,E468)</f>
        <v>1</v>
      </c>
      <c r="V468" s="160"/>
      <c r="W468" s="160"/>
      <c r="X468" s="160"/>
      <c r="Y468" s="160"/>
      <c r="Z468" s="160"/>
      <c r="AA468" s="160"/>
      <c r="AB468" s="160"/>
      <c r="AC468" s="160"/>
      <c r="AD468" s="160"/>
      <c r="AE468" s="160"/>
      <c r="AF468" s="160"/>
      <c r="AG468" s="160"/>
      <c r="AH468" s="160"/>
      <c r="AI468" s="160"/>
      <c r="AJ468" s="160"/>
      <c r="AK468" s="160"/>
      <c r="AL468" s="160"/>
      <c r="AM468" s="160"/>
      <c r="AN468" s="164"/>
      <c r="AO468" s="160"/>
      <c r="AP468" s="160"/>
      <c r="AQ468" s="160"/>
      <c r="AR468" s="160"/>
      <c r="AS468" s="160"/>
      <c r="AT468" s="160"/>
      <c r="AU468" s="160"/>
      <c r="AV468" s="160"/>
      <c r="AW468" s="160"/>
      <c r="AX468" s="160"/>
      <c r="AY468" s="160"/>
      <c r="AZ468" s="160"/>
      <c r="BA468" s="160"/>
      <c r="BB468" s="160"/>
      <c r="BC468" s="160"/>
      <c r="BD468" s="160"/>
      <c r="BE468" s="160"/>
      <c r="BF468" s="160"/>
      <c r="BG468" s="160"/>
      <c r="BH468" s="160"/>
      <c r="BI468" s="160"/>
      <c r="BJ468" s="160"/>
      <c r="BK468" s="160"/>
      <c r="BL468" s="160"/>
      <c r="BM468" s="160"/>
      <c r="BN468" s="160"/>
      <c r="BO468" s="160"/>
      <c r="BP468" s="160"/>
      <c r="BQ468" s="160"/>
      <c r="BR468" s="160"/>
      <c r="BS468" s="160"/>
      <c r="BT468" s="160"/>
      <c r="BU468" s="160"/>
      <c r="BV468" s="160"/>
      <c r="BW468" s="160"/>
      <c r="BX468" s="160"/>
      <c r="BY468" s="160"/>
      <c r="BZ468" s="160"/>
      <c r="CA468" s="160"/>
      <c r="CB468" s="160"/>
      <c r="CC468" s="160"/>
      <c r="CD468" s="160"/>
      <c r="CE468" s="160"/>
      <c r="CF468" s="160"/>
      <c r="CG468" s="160"/>
      <c r="CH468" s="160"/>
      <c r="CI468" s="160"/>
      <c r="CJ468" s="160"/>
      <c r="CK468" s="160"/>
      <c r="CL468" s="160"/>
    </row>
    <row r="469">
      <c r="A469" s="174" t="s">
        <v>762</v>
      </c>
      <c r="B469" s="11" t="s">
        <v>763</v>
      </c>
      <c r="C469" s="175" t="s">
        <v>91</v>
      </c>
      <c r="D469" s="176" t="str">
        <f>IFERROR(VLOOKUP(C469, PIC!A:B, 2, 0), "")</f>
        <v>Vinh Tran</v>
      </c>
      <c r="E469" s="11" t="s">
        <v>23</v>
      </c>
      <c r="F469" s="16" t="s">
        <v>861</v>
      </c>
      <c r="G469" s="11"/>
      <c r="H469" s="170">
        <f>IFERROR(
  MINIFS(ATTENDANCE_LOG!$F:$F,
         ATTENDANCE_LOG!$A:$A, C469,
         ATTENDANCE_LOG!$B:$B, E469),
"")</f>
        <v>46093.54167</v>
      </c>
      <c r="I469" s="170">
        <f t="shared" si="2"/>
        <v>45909.54167</v>
      </c>
      <c r="J469" s="11">
        <f>IFERROR(VLOOKUP(F469, LEVEL_HELPER!$A:$B, 2, 0), "")</f>
        <v>3.5</v>
      </c>
      <c r="K469" s="11" t="str">
        <f>IFERROR(VLOOKUP(G469, LEVEL_HELPER!$A:$B, 2, 0), "")</f>
        <v/>
      </c>
      <c r="L469" s="171" t="s">
        <v>857</v>
      </c>
      <c r="M469" s="171" t="s">
        <v>153</v>
      </c>
      <c r="N469" s="11">
        <f t="array" ref="N469">IFERROR(
  INDEX($J$2:$J$531,
    MATCH(A469&amp;TEXT(I469,"yyyy-mm-dd"),
          $A$2:$A$531&amp;TEXT($H$2:$H$531,"yyyy-mm-dd"),
          0)),
"")</f>
        <v>1</v>
      </c>
      <c r="O469" s="160">
        <f t="shared" si="3"/>
        <v>3.5</v>
      </c>
      <c r="P469" s="160">
        <f t="shared" ref="P469:Q469" si="479">IF(N469="",0,IF(N469&lt;=2,1,IF(N469&lt;=4,2,IF(N469&lt;=5.5,3,4))))</f>
        <v>1</v>
      </c>
      <c r="Q469" s="160">
        <f t="shared" si="479"/>
        <v>2</v>
      </c>
      <c r="R469" s="160" t="str">
        <f t="shared" si="5"/>
        <v>Lv1 → Lv2</v>
      </c>
      <c r="S469" s="160">
        <f t="shared" si="6"/>
        <v>0</v>
      </c>
      <c r="T469" s="198"/>
      <c r="U469" s="160">
        <f>COUNTIFS(sheet2!$A:$A,A469,sheet2!$E:$E,E469)</f>
        <v>1</v>
      </c>
      <c r="V469" s="160"/>
      <c r="W469" s="160"/>
      <c r="X469" s="160"/>
      <c r="Y469" s="160"/>
      <c r="Z469" s="160"/>
      <c r="AA469" s="160"/>
      <c r="AB469" s="160"/>
      <c r="AC469" s="160"/>
      <c r="AD469" s="160"/>
      <c r="AE469" s="160"/>
      <c r="AF469" s="160"/>
      <c r="AG469" s="160"/>
      <c r="AH469" s="160"/>
      <c r="AI469" s="160"/>
      <c r="AJ469" s="160"/>
      <c r="AK469" s="160"/>
      <c r="AL469" s="160"/>
      <c r="AM469" s="160"/>
      <c r="AN469" s="164"/>
      <c r="AO469" s="160"/>
      <c r="AP469" s="160"/>
      <c r="AQ469" s="160"/>
      <c r="AR469" s="160"/>
      <c r="AS469" s="160"/>
      <c r="AT469" s="160"/>
      <c r="AU469" s="160"/>
      <c r="AV469" s="160"/>
      <c r="AW469" s="160"/>
      <c r="AX469" s="160"/>
      <c r="AY469" s="160"/>
      <c r="AZ469" s="160"/>
      <c r="BA469" s="160"/>
      <c r="BB469" s="160"/>
      <c r="BC469" s="160"/>
      <c r="BD469" s="160"/>
      <c r="BE469" s="160"/>
      <c r="BF469" s="160"/>
      <c r="BG469" s="160"/>
      <c r="BH469" s="160"/>
      <c r="BI469" s="160"/>
      <c r="BJ469" s="160"/>
      <c r="BK469" s="160"/>
      <c r="BL469" s="160"/>
      <c r="BM469" s="160"/>
      <c r="BN469" s="160"/>
      <c r="BO469" s="160"/>
      <c r="BP469" s="160"/>
      <c r="BQ469" s="160"/>
      <c r="BR469" s="160"/>
      <c r="BS469" s="160"/>
      <c r="BT469" s="160"/>
      <c r="BU469" s="160"/>
      <c r="BV469" s="160"/>
      <c r="BW469" s="160"/>
      <c r="BX469" s="160"/>
      <c r="BY469" s="160"/>
      <c r="BZ469" s="160"/>
      <c r="CA469" s="160"/>
      <c r="CB469" s="160"/>
      <c r="CC469" s="160"/>
      <c r="CD469" s="160"/>
      <c r="CE469" s="160"/>
      <c r="CF469" s="160"/>
      <c r="CG469" s="160"/>
      <c r="CH469" s="160"/>
      <c r="CI469" s="160"/>
      <c r="CJ469" s="160"/>
      <c r="CK469" s="160"/>
      <c r="CL469" s="160"/>
    </row>
    <row r="470">
      <c r="A470" s="166" t="s">
        <v>387</v>
      </c>
      <c r="B470" s="167" t="s">
        <v>388</v>
      </c>
      <c r="C470" s="168" t="s">
        <v>92</v>
      </c>
      <c r="D470" s="169" t="str">
        <f>IFERROR(VLOOKUP(C470, PIC!A:B, 2, 0), "")</f>
        <v>Liên Nguyễn</v>
      </c>
      <c r="E470" s="167" t="s">
        <v>26</v>
      </c>
      <c r="F470" s="200" t="s">
        <v>26</v>
      </c>
      <c r="G470" s="200" t="s">
        <v>26</v>
      </c>
      <c r="H470" s="170">
        <f>IFERROR(
  MINIFS(ATTENDANCE_LOG!$F:$F,
         ATTENDANCE_LOG!$A:$A, C470,
         ATTENDANCE_LOG!$B:$B, E470),
"")</f>
        <v>45917.58333</v>
      </c>
      <c r="I470" s="170">
        <f t="shared" si="2"/>
        <v>45917.58333</v>
      </c>
      <c r="J470" s="167">
        <f>IFERROR(VLOOKUP(F470, LEVEL_HELPER!$A:$B, 2, 0), "")</f>
        <v>0.5</v>
      </c>
      <c r="K470" s="167">
        <f>IFERROR(VLOOKUP(G470, LEVEL_HELPER!$A:$B, 2, 0), "")</f>
        <v>0.5</v>
      </c>
      <c r="L470" s="205" t="s">
        <v>857</v>
      </c>
      <c r="M470" s="205" t="s">
        <v>154</v>
      </c>
      <c r="N470" s="11">
        <f t="array" ref="N470">IFERROR(
  INDEX($J$2:$J$531,
    MATCH(A470&amp;TEXT(I470,"yyyy-mm-dd"),
          $A$2:$A$531&amp;TEXT($H$2:$H$531,"yyyy-mm-dd"),
          0)),
"")</f>
        <v>0.5</v>
      </c>
      <c r="O470" s="206">
        <f t="shared" si="3"/>
        <v>0.5</v>
      </c>
      <c r="P470" s="160">
        <f t="shared" ref="P470:Q470" si="480">IF(N470="",0,IF(N470&lt;=2,1,IF(N470&lt;=4,2,IF(N470&lt;=5.5,3,4))))</f>
        <v>1</v>
      </c>
      <c r="Q470" s="160">
        <f t="shared" si="480"/>
        <v>1</v>
      </c>
      <c r="R470" s="160" t="str">
        <f t="shared" si="5"/>
        <v>No Progress</v>
      </c>
      <c r="S470" s="160">
        <f t="shared" si="6"/>
        <v>1</v>
      </c>
      <c r="T470" s="177" t="s">
        <v>1095</v>
      </c>
      <c r="U470" s="160">
        <f>COUNTIFS(sheet2!$A:$A,A470,sheet2!$E:$E,E470)</f>
        <v>1</v>
      </c>
      <c r="V470" s="160"/>
      <c r="W470" s="160"/>
      <c r="X470" s="160"/>
      <c r="Y470" s="160"/>
      <c r="Z470" s="160"/>
      <c r="AA470" s="160"/>
      <c r="AB470" s="160"/>
      <c r="AC470" s="160"/>
      <c r="AD470" s="160"/>
      <c r="AE470" s="160"/>
      <c r="AF470" s="160"/>
      <c r="AG470" s="160"/>
      <c r="AH470" s="160"/>
      <c r="AI470" s="160"/>
      <c r="AJ470" s="160"/>
      <c r="AK470" s="160"/>
      <c r="AL470" s="160"/>
      <c r="AM470" s="160"/>
      <c r="AN470" s="164"/>
      <c r="AO470" s="160"/>
      <c r="AP470" s="160"/>
      <c r="AQ470" s="160"/>
      <c r="AR470" s="160"/>
      <c r="AS470" s="160"/>
      <c r="AT470" s="160"/>
      <c r="AU470" s="160"/>
      <c r="AV470" s="160"/>
      <c r="AW470" s="160"/>
      <c r="AX470" s="160"/>
      <c r="AY470" s="160"/>
      <c r="AZ470" s="160"/>
      <c r="BA470" s="160"/>
      <c r="BB470" s="160"/>
      <c r="BC470" s="160"/>
      <c r="BD470" s="160"/>
      <c r="BE470" s="160"/>
      <c r="BF470" s="160"/>
      <c r="BG470" s="160"/>
      <c r="BH470" s="160"/>
      <c r="BI470" s="160"/>
      <c r="BJ470" s="160"/>
      <c r="BK470" s="160"/>
      <c r="BL470" s="160"/>
      <c r="BM470" s="160"/>
      <c r="BN470" s="160"/>
      <c r="BO470" s="160"/>
      <c r="BP470" s="160"/>
      <c r="BQ470" s="160"/>
      <c r="BR470" s="160"/>
      <c r="BS470" s="160"/>
      <c r="BT470" s="160"/>
      <c r="BU470" s="160"/>
      <c r="BV470" s="160"/>
      <c r="BW470" s="160"/>
      <c r="BX470" s="160"/>
      <c r="BY470" s="160"/>
      <c r="BZ470" s="160"/>
      <c r="CA470" s="160"/>
      <c r="CB470" s="160"/>
      <c r="CC470" s="160"/>
      <c r="CD470" s="160"/>
      <c r="CE470" s="160"/>
      <c r="CF470" s="160"/>
      <c r="CG470" s="160"/>
      <c r="CH470" s="160"/>
      <c r="CI470" s="160"/>
      <c r="CJ470" s="160"/>
      <c r="CK470" s="160"/>
      <c r="CL470" s="160"/>
    </row>
    <row r="471">
      <c r="A471" s="174" t="s">
        <v>382</v>
      </c>
      <c r="B471" s="11" t="s">
        <v>383</v>
      </c>
      <c r="C471" s="175" t="s">
        <v>92</v>
      </c>
      <c r="D471" s="176" t="str">
        <f>IFERROR(VLOOKUP(C471, PIC!A:B, 2, 0), "")</f>
        <v>Liên Nguyễn</v>
      </c>
      <c r="E471" s="11" t="s">
        <v>26</v>
      </c>
      <c r="F471" s="16" t="s">
        <v>26</v>
      </c>
      <c r="G471" s="16" t="s">
        <v>26</v>
      </c>
      <c r="H471" s="170">
        <f>IFERROR(
  MINIFS(ATTENDANCE_LOG!$F:$F,
         ATTENDANCE_LOG!$A:$A, C471,
         ATTENDANCE_LOG!$B:$B, E471),
"")</f>
        <v>45917.58333</v>
      </c>
      <c r="I471" s="170">
        <f t="shared" si="2"/>
        <v>45805.375</v>
      </c>
      <c r="J471" s="11">
        <f>IFERROR(VLOOKUP(F471, LEVEL_HELPER!$A:$B, 2, 0), "")</f>
        <v>0.5</v>
      </c>
      <c r="K471" s="11">
        <f>IFERROR(VLOOKUP(G471, LEVEL_HELPER!$A:$B, 2, 0), "")</f>
        <v>0.5</v>
      </c>
      <c r="L471" s="171" t="s">
        <v>400</v>
      </c>
      <c r="M471" s="171" t="s">
        <v>151</v>
      </c>
      <c r="N471" s="11">
        <f t="array" ref="N471">IFERROR(
  INDEX($J$2:$J$531,
    MATCH(A471&amp;TEXT(I471,"yyyy-mm-dd"),
          $A$2:$A$531&amp;TEXT($H$2:$H$531,"yyyy-mm-dd"),
          0)),
"")</f>
        <v>0.5</v>
      </c>
      <c r="O471" s="160">
        <f t="shared" si="3"/>
        <v>0.5</v>
      </c>
      <c r="P471" s="160">
        <f t="shared" ref="P471:Q471" si="481">IF(N471="",0,IF(N471&lt;=2,1,IF(N471&lt;=4,2,IF(N471&lt;=5.5,3,4))))</f>
        <v>1</v>
      </c>
      <c r="Q471" s="160">
        <f t="shared" si="481"/>
        <v>1</v>
      </c>
      <c r="R471" s="160" t="str">
        <f t="shared" si="5"/>
        <v>No Progress</v>
      </c>
      <c r="S471" s="160">
        <f t="shared" si="6"/>
        <v>0</v>
      </c>
      <c r="T471" s="177" t="s">
        <v>1075</v>
      </c>
      <c r="U471" s="160">
        <f>COUNTIFS(sheet2!$A:$A,A471,sheet2!$E:$E,E471)</f>
        <v>2</v>
      </c>
      <c r="V471" s="160"/>
      <c r="W471" s="160"/>
      <c r="X471" s="160"/>
      <c r="Y471" s="160"/>
      <c r="Z471" s="160"/>
      <c r="AA471" s="160"/>
      <c r="AB471" s="160"/>
      <c r="AC471" s="160"/>
      <c r="AD471" s="160"/>
      <c r="AE471" s="160"/>
      <c r="AF471" s="160"/>
      <c r="AG471" s="160"/>
      <c r="AH471" s="160"/>
      <c r="AI471" s="160"/>
      <c r="AJ471" s="160"/>
      <c r="AK471" s="160"/>
      <c r="AL471" s="160"/>
      <c r="AM471" s="160"/>
      <c r="AN471" s="164"/>
      <c r="AO471" s="160"/>
      <c r="AP471" s="160"/>
      <c r="AQ471" s="160"/>
      <c r="AR471" s="160"/>
      <c r="AS471" s="160"/>
      <c r="AT471" s="160"/>
      <c r="AU471" s="160"/>
      <c r="AV471" s="160"/>
      <c r="AW471" s="160"/>
      <c r="AX471" s="160"/>
      <c r="AY471" s="160"/>
      <c r="AZ471" s="160"/>
      <c r="BA471" s="160"/>
      <c r="BB471" s="160"/>
      <c r="BC471" s="160"/>
      <c r="BD471" s="160"/>
      <c r="BE471" s="160"/>
      <c r="BF471" s="160"/>
      <c r="BG471" s="160"/>
      <c r="BH471" s="160"/>
      <c r="BI471" s="160"/>
      <c r="BJ471" s="160"/>
      <c r="BK471" s="160"/>
      <c r="BL471" s="160"/>
      <c r="BM471" s="160"/>
      <c r="BN471" s="160"/>
      <c r="BO471" s="160"/>
      <c r="BP471" s="160"/>
      <c r="BQ471" s="160"/>
      <c r="BR471" s="160"/>
      <c r="BS471" s="160"/>
      <c r="BT471" s="160"/>
      <c r="BU471" s="160"/>
      <c r="BV471" s="160"/>
      <c r="BW471" s="160"/>
      <c r="BX471" s="160"/>
      <c r="BY471" s="160"/>
      <c r="BZ471" s="160"/>
      <c r="CA471" s="160"/>
      <c r="CB471" s="160"/>
      <c r="CC471" s="160"/>
      <c r="CD471" s="160"/>
      <c r="CE471" s="160"/>
      <c r="CF471" s="160"/>
      <c r="CG471" s="160"/>
      <c r="CH471" s="160"/>
      <c r="CI471" s="160"/>
      <c r="CJ471" s="160"/>
      <c r="CK471" s="160"/>
      <c r="CL471" s="160"/>
    </row>
    <row r="472">
      <c r="A472" s="188" t="s">
        <v>707</v>
      </c>
      <c r="B472" s="189" t="s">
        <v>708</v>
      </c>
      <c r="C472" s="190" t="s">
        <v>92</v>
      </c>
      <c r="D472" s="176" t="str">
        <f>IFERROR(VLOOKUP(C472, PIC!A:B, 2, 0), "")</f>
        <v>Liên Nguyễn</v>
      </c>
      <c r="E472" s="189" t="s">
        <v>26</v>
      </c>
      <c r="F472" s="191" t="s">
        <v>26</v>
      </c>
      <c r="G472" s="191" t="s">
        <v>849</v>
      </c>
      <c r="H472" s="170">
        <f>IFERROR(
  MINIFS(ATTENDANCE_LOG!$F:$F,
         ATTENDANCE_LOG!$A:$A, C472,
         ATTENDANCE_LOG!$B:$B, E472),
"")</f>
        <v>45917.58333</v>
      </c>
      <c r="I472" s="170">
        <f t="shared" si="2"/>
        <v>45917.58333</v>
      </c>
      <c r="J472" s="189">
        <f>IFERROR(VLOOKUP(F472, LEVEL_HELPER!$A:$B, 2, 0), "")</f>
        <v>0.5</v>
      </c>
      <c r="K472" s="189">
        <f>IFERROR(VLOOKUP(G472, LEVEL_HELPER!$A:$B, 2, 0), "")</f>
        <v>1</v>
      </c>
      <c r="L472" s="193" t="s">
        <v>400</v>
      </c>
      <c r="M472" s="193" t="s">
        <v>151</v>
      </c>
      <c r="N472" s="11">
        <f t="array" ref="N472">IFERROR(
  INDEX($J$2:$J$531,
    MATCH(A472&amp;TEXT(I472,"yyyy-mm-dd"),
          $A$2:$A$531&amp;TEXT($H$2:$H$531,"yyyy-mm-dd"),
          0)),
"")</f>
        <v>0.5</v>
      </c>
      <c r="O472" s="194">
        <f t="shared" si="3"/>
        <v>1</v>
      </c>
      <c r="P472" s="160">
        <f t="shared" ref="P472:Q472" si="482">IF(N472="",0,IF(N472&lt;=2,1,IF(N472&lt;=4,2,IF(N472&lt;=5.5,3,4))))</f>
        <v>1</v>
      </c>
      <c r="Q472" s="160">
        <f t="shared" si="482"/>
        <v>1</v>
      </c>
      <c r="R472" s="160" t="str">
        <f t="shared" si="5"/>
        <v>Progress within level</v>
      </c>
      <c r="S472" s="160">
        <f t="shared" si="6"/>
        <v>1</v>
      </c>
      <c r="T472" s="177" t="s">
        <v>1096</v>
      </c>
      <c r="U472" s="160">
        <f>COUNTIFS(sheet2!$A:$A,A472,sheet2!$E:$E,E472)</f>
        <v>1</v>
      </c>
      <c r="V472" s="160"/>
      <c r="W472" s="160"/>
      <c r="X472" s="160"/>
      <c r="Y472" s="160"/>
      <c r="Z472" s="160"/>
      <c r="AA472" s="160"/>
      <c r="AB472" s="160"/>
      <c r="AC472" s="160"/>
      <c r="AD472" s="160"/>
      <c r="AE472" s="160"/>
      <c r="AF472" s="160"/>
      <c r="AG472" s="160"/>
      <c r="AH472" s="160"/>
      <c r="AI472" s="160"/>
      <c r="AJ472" s="160"/>
      <c r="AK472" s="160"/>
      <c r="AL472" s="160"/>
      <c r="AM472" s="160"/>
      <c r="AN472" s="164"/>
      <c r="AO472" s="160"/>
      <c r="AP472" s="160"/>
      <c r="AQ472" s="160"/>
      <c r="AR472" s="160"/>
      <c r="AS472" s="160"/>
      <c r="AT472" s="160"/>
      <c r="AU472" s="160"/>
      <c r="AV472" s="160"/>
      <c r="AW472" s="160"/>
      <c r="AX472" s="160"/>
      <c r="AY472" s="160"/>
      <c r="AZ472" s="160"/>
      <c r="BA472" s="160"/>
      <c r="BB472" s="160"/>
      <c r="BC472" s="160"/>
      <c r="BD472" s="160"/>
      <c r="BE472" s="160"/>
      <c r="BF472" s="160"/>
      <c r="BG472" s="160"/>
      <c r="BH472" s="160"/>
      <c r="BI472" s="160"/>
      <c r="BJ472" s="160"/>
      <c r="BK472" s="160"/>
      <c r="BL472" s="160"/>
      <c r="BM472" s="160"/>
      <c r="BN472" s="160"/>
      <c r="BO472" s="160"/>
      <c r="BP472" s="160"/>
      <c r="BQ472" s="160"/>
      <c r="BR472" s="160"/>
      <c r="BS472" s="160"/>
      <c r="BT472" s="160"/>
      <c r="BU472" s="160"/>
      <c r="BV472" s="160"/>
      <c r="BW472" s="160"/>
      <c r="BX472" s="160"/>
      <c r="BY472" s="160"/>
      <c r="BZ472" s="160"/>
      <c r="CA472" s="160"/>
      <c r="CB472" s="160"/>
      <c r="CC472" s="160"/>
      <c r="CD472" s="160"/>
      <c r="CE472" s="160"/>
      <c r="CF472" s="160"/>
      <c r="CG472" s="160"/>
      <c r="CH472" s="160"/>
      <c r="CI472" s="160"/>
      <c r="CJ472" s="160"/>
      <c r="CK472" s="160"/>
      <c r="CL472" s="160"/>
    </row>
    <row r="473">
      <c r="A473" s="188" t="s">
        <v>391</v>
      </c>
      <c r="B473" s="189" t="s">
        <v>392</v>
      </c>
      <c r="C473" s="190" t="s">
        <v>92</v>
      </c>
      <c r="D473" s="176" t="str">
        <f>IFERROR(VLOOKUP(C473, PIC!A:B, 2, 0), "")</f>
        <v>Liên Nguyễn</v>
      </c>
      <c r="E473" s="189" t="s">
        <v>26</v>
      </c>
      <c r="F473" s="191" t="s">
        <v>26</v>
      </c>
      <c r="G473" s="191" t="s">
        <v>849</v>
      </c>
      <c r="H473" s="170">
        <f>IFERROR(
  MINIFS(ATTENDANCE_LOG!$F:$F,
         ATTENDANCE_LOG!$A:$A, C473,
         ATTENDANCE_LOG!$B:$B, E473),
"")</f>
        <v>45917.58333</v>
      </c>
      <c r="I473" s="170">
        <f t="shared" si="2"/>
        <v>45715.58333</v>
      </c>
      <c r="J473" s="189">
        <f>IFERROR(VLOOKUP(F473, LEVEL_HELPER!$A:$B, 2, 0), "")</f>
        <v>0.5</v>
      </c>
      <c r="K473" s="189">
        <f>IFERROR(VLOOKUP(G473, LEVEL_HELPER!$A:$B, 2, 0), "")</f>
        <v>1</v>
      </c>
      <c r="L473" s="193" t="s">
        <v>857</v>
      </c>
      <c r="M473" s="193" t="s">
        <v>150</v>
      </c>
      <c r="N473" s="11">
        <f t="array" ref="N473">IFERROR(
  INDEX($J$2:$J$531,
    MATCH(A473&amp;TEXT(I473,"yyyy-mm-dd"),
          $A$2:$A$531&amp;TEXT($H$2:$H$531,"yyyy-mm-dd"),
          0)),
"")</f>
        <v>0.5</v>
      </c>
      <c r="O473" s="194">
        <f t="shared" si="3"/>
        <v>1</v>
      </c>
      <c r="P473" s="160">
        <f t="shared" ref="P473:Q473" si="483">IF(N473="",0,IF(N473&lt;=2,1,IF(N473&lt;=4,2,IF(N473&lt;=5.5,3,4))))</f>
        <v>1</v>
      </c>
      <c r="Q473" s="160">
        <f t="shared" si="483"/>
        <v>1</v>
      </c>
      <c r="R473" s="160" t="str">
        <f t="shared" si="5"/>
        <v>Progress within level</v>
      </c>
      <c r="S473" s="160">
        <f t="shared" si="6"/>
        <v>0</v>
      </c>
      <c r="T473" s="177" t="s">
        <v>1017</v>
      </c>
      <c r="U473" s="160">
        <f>COUNTIFS(sheet2!$A:$A,A473,sheet2!$E:$E,E473)</f>
        <v>1</v>
      </c>
      <c r="V473" s="160"/>
      <c r="W473" s="160"/>
      <c r="X473" s="160"/>
      <c r="Y473" s="160"/>
      <c r="Z473" s="160"/>
      <c r="AA473" s="160"/>
      <c r="AB473" s="160"/>
      <c r="AC473" s="160"/>
      <c r="AD473" s="160"/>
      <c r="AE473" s="160"/>
      <c r="AF473" s="160"/>
      <c r="AG473" s="160"/>
      <c r="AH473" s="160"/>
      <c r="AI473" s="160"/>
      <c r="AJ473" s="160"/>
      <c r="AK473" s="160"/>
      <c r="AL473" s="160"/>
      <c r="AM473" s="160"/>
      <c r="AN473" s="164"/>
      <c r="AO473" s="160"/>
      <c r="AP473" s="160"/>
      <c r="AQ473" s="160"/>
      <c r="AR473" s="160"/>
      <c r="AS473" s="160"/>
      <c r="AT473" s="160"/>
      <c r="AU473" s="160"/>
      <c r="AV473" s="160"/>
      <c r="AW473" s="160"/>
      <c r="AX473" s="160"/>
      <c r="AY473" s="160"/>
      <c r="AZ473" s="160"/>
      <c r="BA473" s="160"/>
      <c r="BB473" s="160"/>
      <c r="BC473" s="160"/>
      <c r="BD473" s="160"/>
      <c r="BE473" s="160"/>
      <c r="BF473" s="160"/>
      <c r="BG473" s="160"/>
      <c r="BH473" s="160"/>
      <c r="BI473" s="160"/>
      <c r="BJ473" s="160"/>
      <c r="BK473" s="160"/>
      <c r="BL473" s="160"/>
      <c r="BM473" s="160"/>
      <c r="BN473" s="160"/>
      <c r="BO473" s="160"/>
      <c r="BP473" s="160"/>
      <c r="BQ473" s="160"/>
      <c r="BR473" s="160"/>
      <c r="BS473" s="160"/>
      <c r="BT473" s="160"/>
      <c r="BU473" s="160"/>
      <c r="BV473" s="160"/>
      <c r="BW473" s="160"/>
      <c r="BX473" s="160"/>
      <c r="BY473" s="160"/>
      <c r="BZ473" s="160"/>
      <c r="CA473" s="160"/>
      <c r="CB473" s="160"/>
      <c r="CC473" s="160"/>
      <c r="CD473" s="160"/>
      <c r="CE473" s="160"/>
      <c r="CF473" s="160"/>
      <c r="CG473" s="160"/>
      <c r="CH473" s="160"/>
      <c r="CI473" s="160"/>
      <c r="CJ473" s="160"/>
      <c r="CK473" s="160"/>
      <c r="CL473" s="160"/>
    </row>
    <row r="474">
      <c r="A474" s="188" t="s">
        <v>384</v>
      </c>
      <c r="B474" s="189" t="s">
        <v>385</v>
      </c>
      <c r="C474" s="190" t="s">
        <v>92</v>
      </c>
      <c r="D474" s="176" t="str">
        <f>IFERROR(VLOOKUP(C474, PIC!A:B, 2, 0), "")</f>
        <v>Liên Nguyễn</v>
      </c>
      <c r="E474" s="189" t="s">
        <v>26</v>
      </c>
      <c r="F474" s="191" t="s">
        <v>26</v>
      </c>
      <c r="G474" s="191" t="s">
        <v>26</v>
      </c>
      <c r="H474" s="170">
        <f>IFERROR(
  MINIFS(ATTENDANCE_LOG!$F:$F,
         ATTENDANCE_LOG!$A:$A, C474,
         ATTENDANCE_LOG!$B:$B, E474),
"")</f>
        <v>45917.58333</v>
      </c>
      <c r="I474" s="170">
        <f t="shared" si="2"/>
        <v>45715.58333</v>
      </c>
      <c r="J474" s="189">
        <f>IFERROR(VLOOKUP(F474, LEVEL_HELPER!$A:$B, 2, 0), "")</f>
        <v>0.5</v>
      </c>
      <c r="K474" s="189">
        <f>IFERROR(VLOOKUP(G474, LEVEL_HELPER!$A:$B, 2, 0), "")</f>
        <v>0.5</v>
      </c>
      <c r="L474" s="193" t="s">
        <v>397</v>
      </c>
      <c r="M474" s="193" t="s">
        <v>150</v>
      </c>
      <c r="N474" s="11">
        <f t="array" ref="N474">IFERROR(
  INDEX($J$2:$J$531,
    MATCH(A474&amp;TEXT(I474,"yyyy-mm-dd"),
          $A$2:$A$531&amp;TEXT($H$2:$H$531,"yyyy-mm-dd"),
          0)),
"")</f>
        <v>0.5</v>
      </c>
      <c r="O474" s="194">
        <f t="shared" si="3"/>
        <v>0.5</v>
      </c>
      <c r="P474" s="160">
        <f t="shared" ref="P474:Q474" si="484">IF(N474="",0,IF(N474&lt;=2,1,IF(N474&lt;=4,2,IF(N474&lt;=5.5,3,4))))</f>
        <v>1</v>
      </c>
      <c r="Q474" s="160">
        <f t="shared" si="484"/>
        <v>1</v>
      </c>
      <c r="R474" s="160" t="str">
        <f t="shared" si="5"/>
        <v>No Progress</v>
      </c>
      <c r="S474" s="160">
        <f t="shared" si="6"/>
        <v>0</v>
      </c>
      <c r="T474" s="177" t="s">
        <v>1018</v>
      </c>
      <c r="U474" s="160">
        <f>COUNTIFS(sheet2!$A:$A,A474,sheet2!$E:$E,E474)</f>
        <v>1</v>
      </c>
      <c r="V474" s="160"/>
      <c r="W474" s="160"/>
      <c r="X474" s="160"/>
      <c r="Y474" s="160"/>
      <c r="Z474" s="160"/>
      <c r="AA474" s="160"/>
      <c r="AB474" s="160"/>
      <c r="AC474" s="160"/>
      <c r="AD474" s="160"/>
      <c r="AE474" s="160"/>
      <c r="AF474" s="160"/>
      <c r="AG474" s="160"/>
      <c r="AH474" s="160"/>
      <c r="AI474" s="160"/>
      <c r="AJ474" s="160"/>
      <c r="AK474" s="160"/>
      <c r="AL474" s="160"/>
      <c r="AM474" s="160"/>
      <c r="AN474" s="164"/>
      <c r="AO474" s="160"/>
      <c r="AP474" s="160"/>
      <c r="AQ474" s="160"/>
      <c r="AR474" s="160"/>
      <c r="AS474" s="160"/>
      <c r="AT474" s="160"/>
      <c r="AU474" s="160"/>
      <c r="AV474" s="160"/>
      <c r="AW474" s="160"/>
      <c r="AX474" s="160"/>
      <c r="AY474" s="160"/>
      <c r="AZ474" s="160"/>
      <c r="BA474" s="160"/>
      <c r="BB474" s="160"/>
      <c r="BC474" s="160"/>
      <c r="BD474" s="160"/>
      <c r="BE474" s="160"/>
      <c r="BF474" s="160"/>
      <c r="BG474" s="160"/>
      <c r="BH474" s="160"/>
      <c r="BI474" s="160"/>
      <c r="BJ474" s="160"/>
      <c r="BK474" s="160"/>
      <c r="BL474" s="160"/>
      <c r="BM474" s="160"/>
      <c r="BN474" s="160"/>
      <c r="BO474" s="160"/>
      <c r="BP474" s="160"/>
      <c r="BQ474" s="160"/>
      <c r="BR474" s="160"/>
      <c r="BS474" s="160"/>
      <c r="BT474" s="160"/>
      <c r="BU474" s="160"/>
      <c r="BV474" s="160"/>
      <c r="BW474" s="160"/>
      <c r="BX474" s="160"/>
      <c r="BY474" s="160"/>
      <c r="BZ474" s="160"/>
      <c r="CA474" s="160"/>
      <c r="CB474" s="160"/>
      <c r="CC474" s="160"/>
      <c r="CD474" s="160"/>
      <c r="CE474" s="160"/>
      <c r="CF474" s="160"/>
      <c r="CG474" s="160"/>
      <c r="CH474" s="160"/>
      <c r="CI474" s="160"/>
      <c r="CJ474" s="160"/>
      <c r="CK474" s="160"/>
      <c r="CL474" s="160"/>
    </row>
    <row r="475">
      <c r="A475" s="188" t="s">
        <v>393</v>
      </c>
      <c r="B475" s="189" t="s">
        <v>394</v>
      </c>
      <c r="C475" s="190" t="s">
        <v>92</v>
      </c>
      <c r="D475" s="176" t="str">
        <f>IFERROR(VLOOKUP(C475, PIC!A:B, 2, 0), "")</f>
        <v>Liên Nguyễn</v>
      </c>
      <c r="E475" s="189" t="s">
        <v>26</v>
      </c>
      <c r="F475" s="191" t="s">
        <v>26</v>
      </c>
      <c r="G475" s="191" t="s">
        <v>26</v>
      </c>
      <c r="H475" s="170">
        <f>IFERROR(
  MINIFS(ATTENDANCE_LOG!$F:$F,
         ATTENDANCE_LOG!$A:$A, C475,
         ATTENDANCE_LOG!$B:$B, E475),
"")</f>
        <v>45917.58333</v>
      </c>
      <c r="I475" s="170">
        <f t="shared" si="2"/>
        <v>45917.58333</v>
      </c>
      <c r="J475" s="189">
        <f>IFERROR(VLOOKUP(F475, LEVEL_HELPER!$A:$B, 2, 0), "")</f>
        <v>0.5</v>
      </c>
      <c r="K475" s="189">
        <f>IFERROR(VLOOKUP(G475, LEVEL_HELPER!$A:$B, 2, 0), "")</f>
        <v>0.5</v>
      </c>
      <c r="L475" s="193" t="s">
        <v>857</v>
      </c>
      <c r="M475" s="193" t="s">
        <v>150</v>
      </c>
      <c r="N475" s="11">
        <f t="array" ref="N475">IFERROR(
  INDEX($J$2:$J$531,
    MATCH(A475&amp;TEXT(I475,"yyyy-mm-dd"),
          $A$2:$A$531&amp;TEXT($H$2:$H$531,"yyyy-mm-dd"),
          0)),
"")</f>
        <v>0.5</v>
      </c>
      <c r="O475" s="194">
        <f t="shared" si="3"/>
        <v>0.5</v>
      </c>
      <c r="P475" s="160">
        <f t="shared" ref="P475:Q475" si="485">IF(N475="",0,IF(N475&lt;=2,1,IF(N475&lt;=4,2,IF(N475&lt;=5.5,3,4))))</f>
        <v>1</v>
      </c>
      <c r="Q475" s="160">
        <f t="shared" si="485"/>
        <v>1</v>
      </c>
      <c r="R475" s="160" t="str">
        <f t="shared" si="5"/>
        <v>No Progress</v>
      </c>
      <c r="S475" s="160">
        <f t="shared" si="6"/>
        <v>1</v>
      </c>
      <c r="T475" s="177" t="s">
        <v>1097</v>
      </c>
      <c r="U475" s="160">
        <f>COUNTIFS(sheet2!$A:$A,A475,sheet2!$E:$E,E475)</f>
        <v>1</v>
      </c>
      <c r="V475" s="160"/>
      <c r="W475" s="160"/>
      <c r="X475" s="160"/>
      <c r="Y475" s="160"/>
      <c r="Z475" s="160"/>
      <c r="AA475" s="160"/>
      <c r="AB475" s="160"/>
      <c r="AC475" s="160"/>
      <c r="AD475" s="160"/>
      <c r="AE475" s="160"/>
      <c r="AF475" s="160"/>
      <c r="AG475" s="160"/>
      <c r="AH475" s="160"/>
      <c r="AI475" s="160"/>
      <c r="AJ475" s="160"/>
      <c r="AK475" s="160"/>
      <c r="AL475" s="160"/>
      <c r="AM475" s="160"/>
      <c r="AN475" s="164"/>
      <c r="AO475" s="160"/>
      <c r="AP475" s="160"/>
      <c r="AQ475" s="160"/>
      <c r="AR475" s="160"/>
      <c r="AS475" s="160"/>
      <c r="AT475" s="160"/>
      <c r="AU475" s="160"/>
      <c r="AV475" s="160"/>
      <c r="AW475" s="160"/>
      <c r="AX475" s="160"/>
      <c r="AY475" s="160"/>
      <c r="AZ475" s="160"/>
      <c r="BA475" s="160"/>
      <c r="BB475" s="160"/>
      <c r="BC475" s="160"/>
      <c r="BD475" s="160"/>
      <c r="BE475" s="160"/>
      <c r="BF475" s="160"/>
      <c r="BG475" s="160"/>
      <c r="BH475" s="160"/>
      <c r="BI475" s="160"/>
      <c r="BJ475" s="160"/>
      <c r="BK475" s="160"/>
      <c r="BL475" s="160"/>
      <c r="BM475" s="160"/>
      <c r="BN475" s="160"/>
      <c r="BO475" s="160"/>
      <c r="BP475" s="160"/>
      <c r="BQ475" s="160"/>
      <c r="BR475" s="160"/>
      <c r="BS475" s="160"/>
      <c r="BT475" s="160"/>
      <c r="BU475" s="160"/>
      <c r="BV475" s="160"/>
      <c r="BW475" s="160"/>
      <c r="BX475" s="160"/>
      <c r="BY475" s="160"/>
      <c r="BZ475" s="160"/>
      <c r="CA475" s="160"/>
      <c r="CB475" s="160"/>
      <c r="CC475" s="160"/>
      <c r="CD475" s="160"/>
      <c r="CE475" s="160"/>
      <c r="CF475" s="160"/>
      <c r="CG475" s="160"/>
      <c r="CH475" s="160"/>
      <c r="CI475" s="160"/>
      <c r="CJ475" s="160"/>
      <c r="CK475" s="160"/>
      <c r="CL475" s="160"/>
    </row>
    <row r="476">
      <c r="A476" s="188" t="s">
        <v>713</v>
      </c>
      <c r="B476" s="189" t="s">
        <v>714</v>
      </c>
      <c r="C476" s="190" t="s">
        <v>92</v>
      </c>
      <c r="D476" s="176" t="str">
        <f>IFERROR(VLOOKUP(C476, PIC!A:B, 2, 0), "")</f>
        <v>Liên Nguyễn</v>
      </c>
      <c r="E476" s="189" t="s">
        <v>26</v>
      </c>
      <c r="F476" s="191" t="s">
        <v>26</v>
      </c>
      <c r="G476" s="191" t="s">
        <v>849</v>
      </c>
      <c r="H476" s="170">
        <f>IFERROR(
  MINIFS(ATTENDANCE_LOG!$F:$F,
         ATTENDANCE_LOG!$A:$A, C476,
         ATTENDANCE_LOG!$B:$B, E476),
"")</f>
        <v>45917.58333</v>
      </c>
      <c r="I476" s="170">
        <f t="shared" si="2"/>
        <v>45917.58333</v>
      </c>
      <c r="J476" s="189">
        <f>IFERROR(VLOOKUP(F476, LEVEL_HELPER!$A:$B, 2, 0), "")</f>
        <v>0.5</v>
      </c>
      <c r="K476" s="189">
        <f>IFERROR(VLOOKUP(G476, LEVEL_HELPER!$A:$B, 2, 0), "")</f>
        <v>1</v>
      </c>
      <c r="L476" s="193" t="s">
        <v>857</v>
      </c>
      <c r="M476" s="193" t="s">
        <v>154</v>
      </c>
      <c r="N476" s="11">
        <f t="array" ref="N476">IFERROR(
  INDEX($J$2:$J$531,
    MATCH(A476&amp;TEXT(I476,"yyyy-mm-dd"),
          $A$2:$A$531&amp;TEXT($H$2:$H$531,"yyyy-mm-dd"),
          0)),
"")</f>
        <v>0.5</v>
      </c>
      <c r="O476" s="194">
        <f t="shared" si="3"/>
        <v>1</v>
      </c>
      <c r="P476" s="160">
        <f t="shared" ref="P476:Q476" si="486">IF(N476="",0,IF(N476&lt;=2,1,IF(N476&lt;=4,2,IF(N476&lt;=5.5,3,4))))</f>
        <v>1</v>
      </c>
      <c r="Q476" s="160">
        <f t="shared" si="486"/>
        <v>1</v>
      </c>
      <c r="R476" s="160" t="str">
        <f t="shared" si="5"/>
        <v>Progress within level</v>
      </c>
      <c r="S476" s="160">
        <f t="shared" si="6"/>
        <v>1</v>
      </c>
      <c r="T476" s="177" t="s">
        <v>1098</v>
      </c>
      <c r="U476" s="160">
        <f>COUNTIFS(sheet2!$A:$A,A476,sheet2!$E:$E,E476)</f>
        <v>1</v>
      </c>
      <c r="V476" s="160"/>
      <c r="W476" s="160"/>
      <c r="X476" s="160"/>
      <c r="Y476" s="160"/>
      <c r="Z476" s="160"/>
      <c r="AA476" s="160"/>
      <c r="AB476" s="160"/>
      <c r="AC476" s="160"/>
      <c r="AD476" s="160"/>
      <c r="AE476" s="160"/>
      <c r="AF476" s="160"/>
      <c r="AG476" s="160"/>
      <c r="AH476" s="160"/>
      <c r="AI476" s="160"/>
      <c r="AJ476" s="160"/>
      <c r="AK476" s="160"/>
      <c r="AL476" s="160"/>
      <c r="AM476" s="160"/>
      <c r="AN476" s="164"/>
      <c r="AO476" s="160"/>
      <c r="AP476" s="160"/>
      <c r="AQ476" s="160"/>
      <c r="AR476" s="160"/>
      <c r="AS476" s="160"/>
      <c r="AT476" s="160"/>
      <c r="AU476" s="160"/>
      <c r="AV476" s="160"/>
      <c r="AW476" s="160"/>
      <c r="AX476" s="160"/>
      <c r="AY476" s="160"/>
      <c r="AZ476" s="160"/>
      <c r="BA476" s="160"/>
      <c r="BB476" s="160"/>
      <c r="BC476" s="160"/>
      <c r="BD476" s="160"/>
      <c r="BE476" s="160"/>
      <c r="BF476" s="160"/>
      <c r="BG476" s="160"/>
      <c r="BH476" s="160"/>
      <c r="BI476" s="160"/>
      <c r="BJ476" s="160"/>
      <c r="BK476" s="160"/>
      <c r="BL476" s="160"/>
      <c r="BM476" s="160"/>
      <c r="BN476" s="160"/>
      <c r="BO476" s="160"/>
      <c r="BP476" s="160"/>
      <c r="BQ476" s="160"/>
      <c r="BR476" s="160"/>
      <c r="BS476" s="160"/>
      <c r="BT476" s="160"/>
      <c r="BU476" s="160"/>
      <c r="BV476" s="160"/>
      <c r="BW476" s="160"/>
      <c r="BX476" s="160"/>
      <c r="BY476" s="160"/>
      <c r="BZ476" s="160"/>
      <c r="CA476" s="160"/>
      <c r="CB476" s="160"/>
      <c r="CC476" s="160"/>
      <c r="CD476" s="160"/>
      <c r="CE476" s="160"/>
      <c r="CF476" s="160"/>
      <c r="CG476" s="160"/>
      <c r="CH476" s="160"/>
      <c r="CI476" s="160"/>
      <c r="CJ476" s="160"/>
      <c r="CK476" s="160"/>
      <c r="CL476" s="160"/>
    </row>
    <row r="477">
      <c r="A477" s="188" t="s">
        <v>389</v>
      </c>
      <c r="B477" s="189" t="s">
        <v>390</v>
      </c>
      <c r="C477" s="190" t="s">
        <v>92</v>
      </c>
      <c r="D477" s="176" t="str">
        <f>IFERROR(VLOOKUP(C477, PIC!A:B, 2, 0), "")</f>
        <v>Liên Nguyễn</v>
      </c>
      <c r="E477" s="189" t="s">
        <v>26</v>
      </c>
      <c r="F477" s="191" t="s">
        <v>26</v>
      </c>
      <c r="G477" s="191" t="s">
        <v>26</v>
      </c>
      <c r="H477" s="170">
        <f>IFERROR(
  MINIFS(ATTENDANCE_LOG!$F:$F,
         ATTENDANCE_LOG!$A:$A, C477,
         ATTENDANCE_LOG!$B:$B, E477),
"")</f>
        <v>45917.58333</v>
      </c>
      <c r="I477" s="170">
        <f t="shared" si="2"/>
        <v>45917.58333</v>
      </c>
      <c r="J477" s="189">
        <f>IFERROR(VLOOKUP(F477, LEVEL_HELPER!$A:$B, 2, 0), "")</f>
        <v>0.5</v>
      </c>
      <c r="K477" s="189">
        <f>IFERROR(VLOOKUP(G477, LEVEL_HELPER!$A:$B, 2, 0), "")</f>
        <v>0.5</v>
      </c>
      <c r="L477" s="193" t="s">
        <v>857</v>
      </c>
      <c r="M477" s="193" t="s">
        <v>154</v>
      </c>
      <c r="N477" s="11">
        <f t="array" ref="N477">IFERROR(
  INDEX($J$2:$J$531,
    MATCH(A477&amp;TEXT(I477,"yyyy-mm-dd"),
          $A$2:$A$531&amp;TEXT($H$2:$H$531,"yyyy-mm-dd"),
          0)),
"")</f>
        <v>0.5</v>
      </c>
      <c r="O477" s="194">
        <f t="shared" si="3"/>
        <v>0.5</v>
      </c>
      <c r="P477" s="160">
        <f t="shared" ref="P477:Q477" si="487">IF(N477="",0,IF(N477&lt;=2,1,IF(N477&lt;=4,2,IF(N477&lt;=5.5,3,4))))</f>
        <v>1</v>
      </c>
      <c r="Q477" s="160">
        <f t="shared" si="487"/>
        <v>1</v>
      </c>
      <c r="R477" s="160" t="str">
        <f t="shared" si="5"/>
        <v>No Progress</v>
      </c>
      <c r="S477" s="160">
        <f t="shared" si="6"/>
        <v>1</v>
      </c>
      <c r="T477" s="177" t="s">
        <v>1099</v>
      </c>
      <c r="U477" s="160">
        <f>COUNTIFS(sheet2!$A:$A,A477,sheet2!$E:$E,E477)</f>
        <v>1</v>
      </c>
      <c r="V477" s="160"/>
      <c r="W477" s="160"/>
      <c r="X477" s="160"/>
      <c r="Y477" s="160"/>
      <c r="Z477" s="160"/>
      <c r="AA477" s="160"/>
      <c r="AB477" s="160"/>
      <c r="AC477" s="160"/>
      <c r="AD477" s="160"/>
      <c r="AE477" s="160"/>
      <c r="AF477" s="160"/>
      <c r="AG477" s="160"/>
      <c r="AH477" s="160"/>
      <c r="AI477" s="160"/>
      <c r="AJ477" s="160"/>
      <c r="AK477" s="160"/>
      <c r="AL477" s="160"/>
      <c r="AM477" s="160"/>
      <c r="AN477" s="164"/>
      <c r="AO477" s="160"/>
      <c r="AP477" s="160"/>
      <c r="AQ477" s="160"/>
      <c r="AR477" s="160"/>
      <c r="AS477" s="160"/>
      <c r="AT477" s="160"/>
      <c r="AU477" s="160"/>
      <c r="AV477" s="160"/>
      <c r="AW477" s="160"/>
      <c r="AX477" s="160"/>
      <c r="AY477" s="160"/>
      <c r="AZ477" s="160"/>
      <c r="BA477" s="160"/>
      <c r="BB477" s="160"/>
      <c r="BC477" s="160"/>
      <c r="BD477" s="160"/>
      <c r="BE477" s="160"/>
      <c r="BF477" s="160"/>
      <c r="BG477" s="160"/>
      <c r="BH477" s="160"/>
      <c r="BI477" s="160"/>
      <c r="BJ477" s="160"/>
      <c r="BK477" s="160"/>
      <c r="BL477" s="160"/>
      <c r="BM477" s="160"/>
      <c r="BN477" s="160"/>
      <c r="BO477" s="160"/>
      <c r="BP477" s="160"/>
      <c r="BQ477" s="160"/>
      <c r="BR477" s="160"/>
      <c r="BS477" s="160"/>
      <c r="BT477" s="160"/>
      <c r="BU477" s="160"/>
      <c r="BV477" s="160"/>
      <c r="BW477" s="160"/>
      <c r="BX477" s="160"/>
      <c r="BY477" s="160"/>
      <c r="BZ477" s="160"/>
      <c r="CA477" s="160"/>
      <c r="CB477" s="160"/>
      <c r="CC477" s="160"/>
      <c r="CD477" s="160"/>
      <c r="CE477" s="160"/>
      <c r="CF477" s="160"/>
      <c r="CG477" s="160"/>
      <c r="CH477" s="160"/>
      <c r="CI477" s="160"/>
      <c r="CJ477" s="160"/>
      <c r="CK477" s="160"/>
      <c r="CL477" s="160"/>
    </row>
    <row r="478">
      <c r="A478" s="209" t="s">
        <v>571</v>
      </c>
      <c r="B478" s="210" t="s">
        <v>572</v>
      </c>
      <c r="C478" s="211" t="s">
        <v>93</v>
      </c>
      <c r="D478" s="169" t="str">
        <f>IFERROR(VLOOKUP(C478, PIC!A:B, 2, 0), "")</f>
        <v>Quyen Nguyen</v>
      </c>
      <c r="E478" s="210" t="s">
        <v>22</v>
      </c>
      <c r="F478" s="212" t="s">
        <v>846</v>
      </c>
      <c r="G478" s="210"/>
      <c r="H478" s="170">
        <f>IFERROR(
  MINIFS(ATTENDANCE_LOG!$F:$F,
         ATTENDANCE_LOG!$A:$A, C478,
         ATTENDANCE_LOG!$B:$B, E478),
"")</f>
        <v>45929.58333</v>
      </c>
      <c r="I478" s="170">
        <f t="shared" si="2"/>
        <v>45929.58333</v>
      </c>
      <c r="J478" s="210">
        <f>IFERROR(VLOOKUP(F478, LEVEL_HELPER!$A:$B, 2, 0), "")</f>
        <v>3</v>
      </c>
      <c r="K478" s="189" t="str">
        <f>IFERROR(VLOOKUP(G478, LEVEL_HELPER!$A:$B, 2, 0), "")</f>
        <v/>
      </c>
      <c r="L478" s="213" t="s">
        <v>857</v>
      </c>
      <c r="M478" s="213" t="s">
        <v>150</v>
      </c>
      <c r="N478" s="11">
        <f t="array" ref="N478">IFERROR(
  INDEX($J$2:$J$531,
    MATCH(A478&amp;TEXT(I478,"yyyy-mm-dd"),
          $A$2:$A$531&amp;TEXT($H$2:$H$531,"yyyy-mm-dd"),
          0)),
"")</f>
        <v>3</v>
      </c>
      <c r="O478" s="214">
        <f t="shared" si="3"/>
        <v>0</v>
      </c>
      <c r="P478" s="160">
        <f t="shared" ref="P478:Q478" si="488">IF(N478="",0,IF(N478&lt;=2,1,IF(N478&lt;=4,2,IF(N478&lt;=5.5,3,4))))</f>
        <v>2</v>
      </c>
      <c r="Q478" s="160">
        <f t="shared" si="488"/>
        <v>1</v>
      </c>
      <c r="R478" s="160" t="str">
        <f t="shared" si="5"/>
        <v>Not tested yet</v>
      </c>
      <c r="S478" s="160">
        <f t="shared" si="6"/>
        <v>1</v>
      </c>
      <c r="T478" s="207"/>
      <c r="U478" s="160">
        <f>COUNTIFS(sheet2!$A:$A,A478,sheet2!$E:$E,E478)</f>
        <v>1</v>
      </c>
      <c r="V478" s="160"/>
      <c r="W478" s="160"/>
      <c r="X478" s="160"/>
      <c r="Y478" s="160"/>
      <c r="Z478" s="160"/>
      <c r="AA478" s="160"/>
      <c r="AB478" s="160"/>
      <c r="AC478" s="160"/>
      <c r="AD478" s="160"/>
      <c r="AE478" s="160"/>
      <c r="AF478" s="160"/>
      <c r="AG478" s="160"/>
      <c r="AH478" s="160"/>
      <c r="AI478" s="160"/>
      <c r="AJ478" s="160"/>
      <c r="AK478" s="160"/>
      <c r="AL478" s="160"/>
      <c r="AM478" s="160"/>
      <c r="AN478" s="164"/>
      <c r="AO478" s="160"/>
      <c r="AP478" s="160"/>
      <c r="AQ478" s="160"/>
      <c r="AR478" s="160"/>
      <c r="AS478" s="160"/>
      <c r="AT478" s="160"/>
      <c r="AU478" s="160"/>
      <c r="AV478" s="160"/>
      <c r="AW478" s="160"/>
      <c r="AX478" s="160"/>
      <c r="AY478" s="160"/>
      <c r="AZ478" s="160"/>
      <c r="BA478" s="160"/>
      <c r="BB478" s="160"/>
      <c r="BC478" s="160"/>
      <c r="BD478" s="160"/>
      <c r="BE478" s="160"/>
      <c r="BF478" s="160"/>
      <c r="BG478" s="160"/>
      <c r="BH478" s="160"/>
      <c r="BI478" s="160"/>
      <c r="BJ478" s="160"/>
      <c r="BK478" s="160"/>
      <c r="BL478" s="160"/>
      <c r="BM478" s="160"/>
      <c r="BN478" s="160"/>
      <c r="BO478" s="160"/>
      <c r="BP478" s="160"/>
      <c r="BQ478" s="160"/>
      <c r="BR478" s="160"/>
      <c r="BS478" s="160"/>
      <c r="BT478" s="160"/>
      <c r="BU478" s="160"/>
      <c r="BV478" s="160"/>
      <c r="BW478" s="160"/>
      <c r="BX478" s="160"/>
      <c r="BY478" s="160"/>
      <c r="BZ478" s="160"/>
      <c r="CA478" s="160"/>
      <c r="CB478" s="160"/>
      <c r="CC478" s="160"/>
      <c r="CD478" s="160"/>
      <c r="CE478" s="160"/>
      <c r="CF478" s="160"/>
      <c r="CG478" s="160"/>
      <c r="CH478" s="160"/>
      <c r="CI478" s="160"/>
      <c r="CJ478" s="160"/>
      <c r="CK478" s="160"/>
      <c r="CL478" s="160"/>
    </row>
    <row r="479">
      <c r="A479" s="188" t="s">
        <v>393</v>
      </c>
      <c r="B479" s="189" t="s">
        <v>394</v>
      </c>
      <c r="C479" s="190" t="s">
        <v>93</v>
      </c>
      <c r="D479" s="176" t="str">
        <f>IFERROR(VLOOKUP(C479, PIC!A:B, 2, 0), "")</f>
        <v>Quyen Nguyen</v>
      </c>
      <c r="E479" s="189" t="s">
        <v>22</v>
      </c>
      <c r="F479" s="191" t="s">
        <v>849</v>
      </c>
      <c r="G479" s="189"/>
      <c r="H479" s="170">
        <f>IFERROR(
  MINIFS(ATTENDANCE_LOG!$F:$F,
         ATTENDANCE_LOG!$A:$A, C479,
         ATTENDANCE_LOG!$B:$B, E479),
"")</f>
        <v>45929.58333</v>
      </c>
      <c r="I479" s="170">
        <f t="shared" si="2"/>
        <v>45917.58333</v>
      </c>
      <c r="J479" s="189">
        <f>IFERROR(VLOOKUP(F479, LEVEL_HELPER!$A:$B, 2, 0), "")</f>
        <v>1</v>
      </c>
      <c r="K479" s="189" t="str">
        <f>IFERROR(VLOOKUP(G479, LEVEL_HELPER!$A:$B, 2, 0), "")</f>
        <v/>
      </c>
      <c r="L479" s="193" t="s">
        <v>857</v>
      </c>
      <c r="M479" s="193" t="s">
        <v>150</v>
      </c>
      <c r="N479" s="11">
        <f t="array" ref="N479">IFERROR(
  INDEX($J$2:$J$531,
    MATCH(A479&amp;TEXT(I479,"yyyy-mm-dd"),
          $A$2:$A$531&amp;TEXT($H$2:$H$531,"yyyy-mm-dd"),
          0)),
"")</f>
        <v>0.5</v>
      </c>
      <c r="O479" s="194">
        <f t="shared" si="3"/>
        <v>0.5</v>
      </c>
      <c r="P479" s="160">
        <f t="shared" ref="P479:Q479" si="489">IF(N479="",0,IF(N479&lt;=2,1,IF(N479&lt;=4,2,IF(N479&lt;=5.5,3,4))))</f>
        <v>1</v>
      </c>
      <c r="Q479" s="160">
        <f t="shared" si="489"/>
        <v>1</v>
      </c>
      <c r="R479" s="160" t="str">
        <f t="shared" si="5"/>
        <v>No Progress</v>
      </c>
      <c r="S479" s="160">
        <f t="shared" si="6"/>
        <v>0</v>
      </c>
      <c r="T479" s="177" t="s">
        <v>1097</v>
      </c>
      <c r="U479" s="160">
        <f>COUNTIFS(sheet2!$A:$A,A479,sheet2!$E:$E,E479)</f>
        <v>1</v>
      </c>
      <c r="V479" s="160"/>
      <c r="W479" s="160"/>
      <c r="X479" s="160"/>
      <c r="Y479" s="160"/>
      <c r="Z479" s="160"/>
      <c r="AA479" s="160"/>
      <c r="AB479" s="160"/>
      <c r="AC479" s="160"/>
      <c r="AD479" s="160"/>
      <c r="AE479" s="160"/>
      <c r="AF479" s="160"/>
      <c r="AG479" s="160"/>
      <c r="AH479" s="160"/>
      <c r="AI479" s="160"/>
      <c r="AJ479" s="160"/>
      <c r="AK479" s="160"/>
      <c r="AL479" s="160"/>
      <c r="AM479" s="160"/>
      <c r="AN479" s="164"/>
      <c r="AO479" s="160"/>
      <c r="AP479" s="160"/>
      <c r="AQ479" s="160"/>
      <c r="AR479" s="160"/>
      <c r="AS479" s="160"/>
      <c r="AT479" s="160"/>
      <c r="AU479" s="160"/>
      <c r="AV479" s="160"/>
      <c r="AW479" s="160"/>
      <c r="AX479" s="160"/>
      <c r="AY479" s="160"/>
      <c r="AZ479" s="160"/>
      <c r="BA479" s="160"/>
      <c r="BB479" s="160"/>
      <c r="BC479" s="160"/>
      <c r="BD479" s="160"/>
      <c r="BE479" s="160"/>
      <c r="BF479" s="160"/>
      <c r="BG479" s="160"/>
      <c r="BH479" s="160"/>
      <c r="BI479" s="160"/>
      <c r="BJ479" s="160"/>
      <c r="BK479" s="160"/>
      <c r="BL479" s="160"/>
      <c r="BM479" s="160"/>
      <c r="BN479" s="160"/>
      <c r="BO479" s="160"/>
      <c r="BP479" s="160"/>
      <c r="BQ479" s="160"/>
      <c r="BR479" s="160"/>
      <c r="BS479" s="160"/>
      <c r="BT479" s="160"/>
      <c r="BU479" s="160"/>
      <c r="BV479" s="160"/>
      <c r="BW479" s="160"/>
      <c r="BX479" s="160"/>
      <c r="BY479" s="160"/>
      <c r="BZ479" s="160"/>
      <c r="CA479" s="160"/>
      <c r="CB479" s="160"/>
      <c r="CC479" s="160"/>
      <c r="CD479" s="160"/>
      <c r="CE479" s="160"/>
      <c r="CF479" s="160"/>
      <c r="CG479" s="160"/>
      <c r="CH479" s="160"/>
      <c r="CI479" s="160"/>
      <c r="CJ479" s="160"/>
      <c r="CK479" s="160"/>
      <c r="CL479" s="160"/>
    </row>
    <row r="480">
      <c r="A480" s="188" t="s">
        <v>569</v>
      </c>
      <c r="B480" s="189" t="s">
        <v>570</v>
      </c>
      <c r="C480" s="190" t="s">
        <v>93</v>
      </c>
      <c r="D480" s="176" t="str">
        <f>IFERROR(VLOOKUP(C480, PIC!A:B, 2, 0), "")</f>
        <v>Quyen Nguyen</v>
      </c>
      <c r="E480" s="189" t="s">
        <v>22</v>
      </c>
      <c r="F480" s="191" t="s">
        <v>849</v>
      </c>
      <c r="G480" s="189"/>
      <c r="H480" s="170">
        <f>IFERROR(
  MINIFS(ATTENDANCE_LOG!$F:$F,
         ATTENDANCE_LOG!$A:$A, C480,
         ATTENDANCE_LOG!$B:$B, E480),
"")</f>
        <v>45929.58333</v>
      </c>
      <c r="I480" s="170">
        <f t="shared" si="2"/>
        <v>45929.58333</v>
      </c>
      <c r="J480" s="189">
        <f>IFERROR(VLOOKUP(F480, LEVEL_HELPER!$A:$B, 2, 0), "")</f>
        <v>1</v>
      </c>
      <c r="K480" s="189" t="str">
        <f>IFERROR(VLOOKUP(G480, LEVEL_HELPER!$A:$B, 2, 0), "")</f>
        <v/>
      </c>
      <c r="L480" s="193" t="s">
        <v>857</v>
      </c>
      <c r="M480" s="193" t="s">
        <v>150</v>
      </c>
      <c r="N480" s="11">
        <f t="array" ref="N480">IFERROR(
  INDEX($J$2:$J$531,
    MATCH(A480&amp;TEXT(I480,"yyyy-mm-dd"),
          $A$2:$A$531&amp;TEXT($H$2:$H$531,"yyyy-mm-dd"),
          0)),
"")</f>
        <v>1</v>
      </c>
      <c r="O480" s="194">
        <f t="shared" si="3"/>
        <v>0</v>
      </c>
      <c r="P480" s="160">
        <f t="shared" ref="P480:Q480" si="490">IF(N480="",0,IF(N480&lt;=2,1,IF(N480&lt;=4,2,IF(N480&lt;=5.5,3,4))))</f>
        <v>1</v>
      </c>
      <c r="Q480" s="160">
        <f t="shared" si="490"/>
        <v>1</v>
      </c>
      <c r="R480" s="160" t="str">
        <f t="shared" si="5"/>
        <v>Not tested yet</v>
      </c>
      <c r="S480" s="160">
        <f t="shared" si="6"/>
        <v>1</v>
      </c>
      <c r="T480" s="207"/>
      <c r="U480" s="160">
        <f>COUNTIFS(sheet2!$A:$A,A480,sheet2!$E:$E,E480)</f>
        <v>1</v>
      </c>
      <c r="V480" s="160"/>
      <c r="W480" s="160"/>
      <c r="X480" s="160"/>
      <c r="Y480" s="160"/>
      <c r="Z480" s="160"/>
      <c r="AA480" s="160"/>
      <c r="AB480" s="160"/>
      <c r="AC480" s="160"/>
      <c r="AD480" s="160"/>
      <c r="AE480" s="160"/>
      <c r="AF480" s="160"/>
      <c r="AG480" s="160"/>
      <c r="AH480" s="160"/>
      <c r="AI480" s="160"/>
      <c r="AJ480" s="160"/>
      <c r="AK480" s="160"/>
      <c r="AL480" s="160"/>
      <c r="AM480" s="160"/>
      <c r="AN480" s="164"/>
      <c r="AO480" s="160"/>
      <c r="AP480" s="160"/>
      <c r="AQ480" s="160"/>
      <c r="AR480" s="160"/>
      <c r="AS480" s="160"/>
      <c r="AT480" s="160"/>
      <c r="AU480" s="160"/>
      <c r="AV480" s="160"/>
      <c r="AW480" s="160"/>
      <c r="AX480" s="160"/>
      <c r="AY480" s="160"/>
      <c r="AZ480" s="160"/>
      <c r="BA480" s="160"/>
      <c r="BB480" s="160"/>
      <c r="BC480" s="160"/>
      <c r="BD480" s="160"/>
      <c r="BE480" s="160"/>
      <c r="BF480" s="160"/>
      <c r="BG480" s="160"/>
      <c r="BH480" s="160"/>
      <c r="BI480" s="160"/>
      <c r="BJ480" s="160"/>
      <c r="BK480" s="160"/>
      <c r="BL480" s="160"/>
      <c r="BM480" s="160"/>
      <c r="BN480" s="160"/>
      <c r="BO480" s="160"/>
      <c r="BP480" s="160"/>
      <c r="BQ480" s="160"/>
      <c r="BR480" s="160"/>
      <c r="BS480" s="160"/>
      <c r="BT480" s="160"/>
      <c r="BU480" s="160"/>
      <c r="BV480" s="160"/>
      <c r="BW480" s="160"/>
      <c r="BX480" s="160"/>
      <c r="BY480" s="160"/>
      <c r="BZ480" s="160"/>
      <c r="CA480" s="160"/>
      <c r="CB480" s="160"/>
      <c r="CC480" s="160"/>
      <c r="CD480" s="160"/>
      <c r="CE480" s="160"/>
      <c r="CF480" s="160"/>
      <c r="CG480" s="160"/>
      <c r="CH480" s="160"/>
      <c r="CI480" s="160"/>
      <c r="CJ480" s="160"/>
      <c r="CK480" s="160"/>
      <c r="CL480" s="160"/>
    </row>
    <row r="481">
      <c r="A481" s="188" t="s">
        <v>573</v>
      </c>
      <c r="B481" s="189" t="s">
        <v>574</v>
      </c>
      <c r="C481" s="190" t="s">
        <v>93</v>
      </c>
      <c r="D481" s="176" t="str">
        <f>IFERROR(VLOOKUP(C481, PIC!A:B, 2, 0), "")</f>
        <v>Quyen Nguyen</v>
      </c>
      <c r="E481" s="189" t="s">
        <v>22</v>
      </c>
      <c r="F481" s="191" t="s">
        <v>849</v>
      </c>
      <c r="G481" s="189"/>
      <c r="H481" s="170">
        <f>IFERROR(
  MINIFS(ATTENDANCE_LOG!$F:$F,
         ATTENDANCE_LOG!$A:$A, C481,
         ATTENDANCE_LOG!$B:$B, E481),
"")</f>
        <v>45929.58333</v>
      </c>
      <c r="I481" s="170">
        <f t="shared" si="2"/>
        <v>45929.58333</v>
      </c>
      <c r="J481" s="189">
        <f>IFERROR(VLOOKUP(F481, LEVEL_HELPER!$A:$B, 2, 0), "")</f>
        <v>1</v>
      </c>
      <c r="K481" s="189" t="str">
        <f>IFERROR(VLOOKUP(G481, LEVEL_HELPER!$A:$B, 2, 0), "")</f>
        <v/>
      </c>
      <c r="L481" s="193" t="s">
        <v>857</v>
      </c>
      <c r="M481" s="193" t="s">
        <v>150</v>
      </c>
      <c r="N481" s="11">
        <f t="array" ref="N481">IFERROR(
  INDEX($J$2:$J$531,
    MATCH(A481&amp;TEXT(I481,"yyyy-mm-dd"),
          $A$2:$A$531&amp;TEXT($H$2:$H$531,"yyyy-mm-dd"),
          0)),
"")</f>
        <v>1</v>
      </c>
      <c r="O481" s="194">
        <f t="shared" si="3"/>
        <v>0</v>
      </c>
      <c r="P481" s="160">
        <f t="shared" ref="P481:Q481" si="491">IF(N481="",0,IF(N481&lt;=2,1,IF(N481&lt;=4,2,IF(N481&lt;=5.5,3,4))))</f>
        <v>1</v>
      </c>
      <c r="Q481" s="160">
        <f t="shared" si="491"/>
        <v>1</v>
      </c>
      <c r="R481" s="160" t="str">
        <f t="shared" si="5"/>
        <v>Not tested yet</v>
      </c>
      <c r="S481" s="160">
        <f t="shared" si="6"/>
        <v>1</v>
      </c>
      <c r="T481" s="207"/>
      <c r="U481" s="160">
        <f>COUNTIFS(sheet2!$A:$A,A481,sheet2!$E:$E,E481)</f>
        <v>1</v>
      </c>
      <c r="V481" s="160"/>
      <c r="W481" s="160"/>
      <c r="X481" s="160"/>
      <c r="Y481" s="160"/>
      <c r="Z481" s="160"/>
      <c r="AA481" s="160"/>
      <c r="AB481" s="160"/>
      <c r="AC481" s="160"/>
      <c r="AD481" s="160"/>
      <c r="AE481" s="160"/>
      <c r="AF481" s="160"/>
      <c r="AG481" s="160"/>
      <c r="AH481" s="160"/>
      <c r="AI481" s="160"/>
      <c r="AJ481" s="160"/>
      <c r="AK481" s="160"/>
      <c r="AL481" s="160"/>
      <c r="AM481" s="160"/>
      <c r="AN481" s="164"/>
      <c r="AO481" s="160"/>
      <c r="AP481" s="160"/>
      <c r="AQ481" s="160"/>
      <c r="AR481" s="160"/>
      <c r="AS481" s="160"/>
      <c r="AT481" s="160"/>
      <c r="AU481" s="160"/>
      <c r="AV481" s="160"/>
      <c r="AW481" s="160"/>
      <c r="AX481" s="160"/>
      <c r="AY481" s="160"/>
      <c r="AZ481" s="160"/>
      <c r="BA481" s="160"/>
      <c r="BB481" s="160"/>
      <c r="BC481" s="160"/>
      <c r="BD481" s="160"/>
      <c r="BE481" s="160"/>
      <c r="BF481" s="160"/>
      <c r="BG481" s="160"/>
      <c r="BH481" s="160"/>
      <c r="BI481" s="160"/>
      <c r="BJ481" s="160"/>
      <c r="BK481" s="160"/>
      <c r="BL481" s="160"/>
      <c r="BM481" s="160"/>
      <c r="BN481" s="160"/>
      <c r="BO481" s="160"/>
      <c r="BP481" s="160"/>
      <c r="BQ481" s="160"/>
      <c r="BR481" s="160"/>
      <c r="BS481" s="160"/>
      <c r="BT481" s="160"/>
      <c r="BU481" s="160"/>
      <c r="BV481" s="160"/>
      <c r="BW481" s="160"/>
      <c r="BX481" s="160"/>
      <c r="BY481" s="160"/>
      <c r="BZ481" s="160"/>
      <c r="CA481" s="160"/>
      <c r="CB481" s="160"/>
      <c r="CC481" s="160"/>
      <c r="CD481" s="160"/>
      <c r="CE481" s="160"/>
      <c r="CF481" s="160"/>
      <c r="CG481" s="160"/>
      <c r="CH481" s="160"/>
      <c r="CI481" s="160"/>
      <c r="CJ481" s="160"/>
      <c r="CK481" s="160"/>
      <c r="CL481" s="160"/>
    </row>
    <row r="482">
      <c r="A482" s="188" t="s">
        <v>575</v>
      </c>
      <c r="B482" s="189" t="s">
        <v>576</v>
      </c>
      <c r="C482" s="190" t="s">
        <v>93</v>
      </c>
      <c r="D482" s="176" t="str">
        <f>IFERROR(VLOOKUP(C482, PIC!A:B, 2, 0), "")</f>
        <v>Quyen Nguyen</v>
      </c>
      <c r="E482" s="189" t="s">
        <v>22</v>
      </c>
      <c r="F482" s="191" t="s">
        <v>849</v>
      </c>
      <c r="G482" s="189"/>
      <c r="H482" s="170">
        <f>IFERROR(
  MINIFS(ATTENDANCE_LOG!$F:$F,
         ATTENDANCE_LOG!$A:$A, C482,
         ATTENDANCE_LOG!$B:$B, E482),
"")</f>
        <v>45929.58333</v>
      </c>
      <c r="I482" s="170">
        <f t="shared" si="2"/>
        <v>45929.58333</v>
      </c>
      <c r="J482" s="189">
        <f>IFERROR(VLOOKUP(F482, LEVEL_HELPER!$A:$B, 2, 0), "")</f>
        <v>1</v>
      </c>
      <c r="K482" s="189" t="str">
        <f>IFERROR(VLOOKUP(G482, LEVEL_HELPER!$A:$B, 2, 0), "")</f>
        <v/>
      </c>
      <c r="L482" s="193" t="s">
        <v>1067</v>
      </c>
      <c r="M482" s="193" t="s">
        <v>150</v>
      </c>
      <c r="N482" s="11">
        <f t="array" ref="N482">IFERROR(
  INDEX($J$2:$J$531,
    MATCH(A482&amp;TEXT(I482,"yyyy-mm-dd"),
          $A$2:$A$531&amp;TEXT($H$2:$H$531,"yyyy-mm-dd"),
          0)),
"")</f>
        <v>1</v>
      </c>
      <c r="O482" s="194">
        <f t="shared" si="3"/>
        <v>0</v>
      </c>
      <c r="P482" s="160">
        <f t="shared" ref="P482:Q482" si="492">IF(N482="",0,IF(N482&lt;=2,1,IF(N482&lt;=4,2,IF(N482&lt;=5.5,3,4))))</f>
        <v>1</v>
      </c>
      <c r="Q482" s="160">
        <f t="shared" si="492"/>
        <v>1</v>
      </c>
      <c r="R482" s="160" t="str">
        <f t="shared" si="5"/>
        <v>Not tested yet</v>
      </c>
      <c r="S482" s="160">
        <f t="shared" si="6"/>
        <v>1</v>
      </c>
      <c r="T482" s="185"/>
      <c r="U482" s="160">
        <f>COUNTIFS(sheet2!$A:$A,A482,sheet2!$E:$E,E482)</f>
        <v>1</v>
      </c>
      <c r="V482" s="160"/>
      <c r="W482" s="160"/>
      <c r="X482" s="160"/>
      <c r="Y482" s="160"/>
      <c r="Z482" s="160"/>
      <c r="AA482" s="160"/>
      <c r="AB482" s="160"/>
      <c r="AC482" s="160"/>
      <c r="AD482" s="160"/>
      <c r="AE482" s="160"/>
      <c r="AF482" s="160"/>
      <c r="AG482" s="160"/>
      <c r="AH482" s="160"/>
      <c r="AI482" s="160"/>
      <c r="AJ482" s="160"/>
      <c r="AK482" s="160"/>
      <c r="AL482" s="160"/>
      <c r="AM482" s="160"/>
      <c r="AN482" s="164"/>
      <c r="AO482" s="160"/>
      <c r="AP482" s="160"/>
      <c r="AQ482" s="160"/>
      <c r="AR482" s="160"/>
      <c r="AS482" s="160"/>
      <c r="AT482" s="160"/>
      <c r="AU482" s="160"/>
      <c r="AV482" s="160"/>
      <c r="AW482" s="160"/>
      <c r="AX482" s="160"/>
      <c r="AY482" s="160"/>
      <c r="AZ482" s="160"/>
      <c r="BA482" s="160"/>
      <c r="BB482" s="160"/>
      <c r="BC482" s="160"/>
      <c r="BD482" s="160"/>
      <c r="BE482" s="160"/>
      <c r="BF482" s="160"/>
      <c r="BG482" s="160"/>
      <c r="BH482" s="160"/>
      <c r="BI482" s="160"/>
      <c r="BJ482" s="160"/>
      <c r="BK482" s="160"/>
      <c r="BL482" s="160"/>
      <c r="BM482" s="160"/>
      <c r="BN482" s="160"/>
      <c r="BO482" s="160"/>
      <c r="BP482" s="160"/>
      <c r="BQ482" s="160"/>
      <c r="BR482" s="160"/>
      <c r="BS482" s="160"/>
      <c r="BT482" s="160"/>
      <c r="BU482" s="160"/>
      <c r="BV482" s="160"/>
      <c r="BW482" s="160"/>
      <c r="BX482" s="160"/>
      <c r="BY482" s="160"/>
      <c r="BZ482" s="160"/>
      <c r="CA482" s="160"/>
      <c r="CB482" s="160"/>
      <c r="CC482" s="160"/>
      <c r="CD482" s="160"/>
      <c r="CE482" s="160"/>
      <c r="CF482" s="160"/>
      <c r="CG482" s="160"/>
      <c r="CH482" s="160"/>
      <c r="CI482" s="160"/>
      <c r="CJ482" s="160"/>
      <c r="CK482" s="160"/>
      <c r="CL482" s="160"/>
    </row>
    <row r="483">
      <c r="A483" s="209" t="s">
        <v>540</v>
      </c>
      <c r="B483" s="210" t="s">
        <v>541</v>
      </c>
      <c r="C483" s="211" t="s">
        <v>94</v>
      </c>
      <c r="D483" s="169" t="str">
        <f>IFERROR(VLOOKUP(C483, PIC!A:B, 2, 0), "")</f>
        <v>Phuoc Ta</v>
      </c>
      <c r="E483" s="210" t="s">
        <v>22</v>
      </c>
      <c r="F483" s="212" t="s">
        <v>849</v>
      </c>
      <c r="G483" s="210"/>
      <c r="H483" s="170">
        <f>IFERROR(
  MINIFS(ATTENDANCE_LOG!$F:$F,
         ATTENDANCE_LOG!$A:$A, C483,
         ATTENDANCE_LOG!$B:$B, E483),
"")</f>
        <v>46083.625</v>
      </c>
      <c r="I483" s="170">
        <f t="shared" si="2"/>
        <v>46083.625</v>
      </c>
      <c r="J483" s="210">
        <f>IFERROR(VLOOKUP(F483, LEVEL_HELPER!$A:$B, 2, 0), "")</f>
        <v>1</v>
      </c>
      <c r="K483" s="189" t="str">
        <f>IFERROR(VLOOKUP(G483, LEVEL_HELPER!$A:$B, 2, 0), "")</f>
        <v/>
      </c>
      <c r="L483" s="213" t="s">
        <v>400</v>
      </c>
      <c r="M483" s="213" t="s">
        <v>152</v>
      </c>
      <c r="N483" s="11">
        <f t="array" ref="N483">IFERROR(
  INDEX($J$2:$J$531,
    MATCH(A483&amp;TEXT(I483,"yyyy-mm-dd"),
          $A$2:$A$531&amp;TEXT($H$2:$H$531,"yyyy-mm-dd"),
          0)),
"")</f>
        <v>1</v>
      </c>
      <c r="O483" s="214">
        <f t="shared" si="3"/>
        <v>0</v>
      </c>
      <c r="P483" s="160">
        <f t="shared" ref="P483:Q483" si="493">IF(N483="",0,IF(N483&lt;=2,1,IF(N483&lt;=4,2,IF(N483&lt;=5.5,3,4))))</f>
        <v>1</v>
      </c>
      <c r="Q483" s="160">
        <f t="shared" si="493"/>
        <v>1</v>
      </c>
      <c r="R483" s="160" t="str">
        <f t="shared" si="5"/>
        <v>Not tested yet</v>
      </c>
      <c r="S483" s="160">
        <f t="shared" si="6"/>
        <v>1</v>
      </c>
      <c r="T483" s="207"/>
      <c r="U483" s="160">
        <f>COUNTIFS(sheet2!$A:$A,A483,sheet2!$E:$E,E483)</f>
        <v>1</v>
      </c>
      <c r="V483" s="160"/>
      <c r="W483" s="160"/>
      <c r="X483" s="160"/>
      <c r="Y483" s="160"/>
      <c r="Z483" s="160"/>
      <c r="AA483" s="160"/>
      <c r="AB483" s="160"/>
      <c r="AC483" s="160"/>
      <c r="AD483" s="160"/>
      <c r="AE483" s="160"/>
      <c r="AF483" s="160"/>
      <c r="AG483" s="160"/>
      <c r="AH483" s="160"/>
      <c r="AI483" s="160"/>
      <c r="AJ483" s="160"/>
      <c r="AK483" s="160"/>
      <c r="AL483" s="160"/>
      <c r="AM483" s="160"/>
      <c r="AN483" s="164"/>
      <c r="AO483" s="160"/>
      <c r="AP483" s="160"/>
      <c r="AQ483" s="160"/>
      <c r="AR483" s="160"/>
      <c r="AS483" s="160"/>
      <c r="AT483" s="160"/>
      <c r="AU483" s="160"/>
      <c r="AV483" s="160"/>
      <c r="AW483" s="160"/>
      <c r="AX483" s="160"/>
      <c r="AY483" s="160"/>
      <c r="AZ483" s="160"/>
      <c r="BA483" s="160"/>
      <c r="BB483" s="160"/>
      <c r="BC483" s="160"/>
      <c r="BD483" s="160"/>
      <c r="BE483" s="160"/>
      <c r="BF483" s="160"/>
      <c r="BG483" s="160"/>
      <c r="BH483" s="160"/>
      <c r="BI483" s="160"/>
      <c r="BJ483" s="160"/>
      <c r="BK483" s="160"/>
      <c r="BL483" s="160"/>
      <c r="BM483" s="160"/>
      <c r="BN483" s="160"/>
      <c r="BO483" s="160"/>
      <c r="BP483" s="160"/>
      <c r="BQ483" s="160"/>
      <c r="BR483" s="160"/>
      <c r="BS483" s="160"/>
      <c r="BT483" s="160"/>
      <c r="BU483" s="160"/>
      <c r="BV483" s="160"/>
      <c r="BW483" s="160"/>
      <c r="BX483" s="160"/>
      <c r="BY483" s="160"/>
      <c r="BZ483" s="160"/>
      <c r="CA483" s="160"/>
      <c r="CB483" s="160"/>
      <c r="CC483" s="160"/>
      <c r="CD483" s="160"/>
      <c r="CE483" s="160"/>
      <c r="CF483" s="160"/>
      <c r="CG483" s="160"/>
      <c r="CH483" s="160"/>
      <c r="CI483" s="160"/>
      <c r="CJ483" s="160"/>
      <c r="CK483" s="160"/>
      <c r="CL483" s="160"/>
    </row>
    <row r="484">
      <c r="A484" s="188" t="s">
        <v>530</v>
      </c>
      <c r="B484" s="189" t="s">
        <v>531</v>
      </c>
      <c r="C484" s="190" t="s">
        <v>94</v>
      </c>
      <c r="D484" s="176" t="str">
        <f>IFERROR(VLOOKUP(C484, PIC!A:B, 2, 0), "")</f>
        <v>Phuoc Ta</v>
      </c>
      <c r="E484" s="189" t="s">
        <v>22</v>
      </c>
      <c r="F484" s="191" t="s">
        <v>849</v>
      </c>
      <c r="G484" s="191"/>
      <c r="H484" s="170">
        <f>IFERROR(
  MINIFS(ATTENDANCE_LOG!$F:$F,
         ATTENDANCE_LOG!$A:$A, C484,
         ATTENDANCE_LOG!$B:$B, E484),
"")</f>
        <v>46083.625</v>
      </c>
      <c r="I484" s="170">
        <f t="shared" si="2"/>
        <v>45637.375</v>
      </c>
      <c r="J484" s="189">
        <f>IFERROR(VLOOKUP(F484, LEVEL_HELPER!$A:$B, 2, 0), "")</f>
        <v>1</v>
      </c>
      <c r="K484" s="189" t="str">
        <f>IFERROR(VLOOKUP(G484, LEVEL_HELPER!$A:$B, 2, 0), "")</f>
        <v/>
      </c>
      <c r="L484" s="193" t="s">
        <v>847</v>
      </c>
      <c r="M484" s="193" t="s">
        <v>152</v>
      </c>
      <c r="N484" s="11">
        <f t="array" ref="N484">IFERROR(
  INDEX($J$2:$J$531,
    MATCH(A484&amp;TEXT(I484,"yyyy-mm-dd"),
          $A$2:$A$531&amp;TEXT($H$2:$H$531,"yyyy-mm-dd"),
          0)),
"")</f>
        <v>1</v>
      </c>
      <c r="O484" s="194">
        <f t="shared" si="3"/>
        <v>2.5</v>
      </c>
      <c r="P484" s="160">
        <f t="shared" ref="P484:Q484" si="494">IF(N484="",0,IF(N484&lt;=2,1,IF(N484&lt;=4,2,IF(N484&lt;=5.5,3,4))))</f>
        <v>1</v>
      </c>
      <c r="Q484" s="160">
        <f t="shared" si="494"/>
        <v>2</v>
      </c>
      <c r="R484" s="160" t="str">
        <f t="shared" si="5"/>
        <v>Lv1 → Lv2</v>
      </c>
      <c r="S484" s="160">
        <f t="shared" si="6"/>
        <v>0</v>
      </c>
      <c r="T484" s="172" t="s">
        <v>950</v>
      </c>
      <c r="U484" s="160">
        <f>COUNTIFS(sheet2!$A:$A,A484,sheet2!$E:$E,E484)</f>
        <v>2</v>
      </c>
      <c r="V484" s="160"/>
      <c r="W484" s="160"/>
      <c r="X484" s="160"/>
      <c r="Y484" s="160"/>
      <c r="Z484" s="160"/>
      <c r="AA484" s="160"/>
      <c r="AB484" s="160"/>
      <c r="AC484" s="160"/>
      <c r="AD484" s="160"/>
      <c r="AE484" s="160"/>
      <c r="AF484" s="160"/>
      <c r="AG484" s="160"/>
      <c r="AH484" s="160"/>
      <c r="AI484" s="160"/>
      <c r="AJ484" s="160"/>
      <c r="AK484" s="160"/>
      <c r="AL484" s="160"/>
      <c r="AM484" s="160"/>
      <c r="AN484" s="164"/>
      <c r="AO484" s="160"/>
      <c r="AP484" s="160"/>
      <c r="AQ484" s="160"/>
      <c r="AR484" s="160"/>
      <c r="AS484" s="160"/>
      <c r="AT484" s="160"/>
      <c r="AU484" s="160"/>
      <c r="AV484" s="160"/>
      <c r="AW484" s="160"/>
      <c r="AX484" s="160"/>
      <c r="AY484" s="160"/>
      <c r="AZ484" s="160"/>
      <c r="BA484" s="160"/>
      <c r="BB484" s="160"/>
      <c r="BC484" s="160"/>
      <c r="BD484" s="160"/>
      <c r="BE484" s="160"/>
      <c r="BF484" s="160"/>
      <c r="BG484" s="160"/>
      <c r="BH484" s="160"/>
      <c r="BI484" s="160"/>
      <c r="BJ484" s="160"/>
      <c r="BK484" s="160"/>
      <c r="BL484" s="160"/>
      <c r="BM484" s="160"/>
      <c r="BN484" s="160"/>
      <c r="BO484" s="160"/>
      <c r="BP484" s="160"/>
      <c r="BQ484" s="160"/>
      <c r="BR484" s="160"/>
      <c r="BS484" s="160"/>
      <c r="BT484" s="160"/>
      <c r="BU484" s="160"/>
      <c r="BV484" s="160"/>
      <c r="BW484" s="160"/>
      <c r="BX484" s="160"/>
      <c r="BY484" s="160"/>
      <c r="BZ484" s="160"/>
      <c r="CA484" s="160"/>
      <c r="CB484" s="160"/>
      <c r="CC484" s="160"/>
      <c r="CD484" s="160"/>
      <c r="CE484" s="160"/>
      <c r="CF484" s="160"/>
      <c r="CG484" s="160"/>
      <c r="CH484" s="160"/>
      <c r="CI484" s="160"/>
      <c r="CJ484" s="160"/>
      <c r="CK484" s="160"/>
      <c r="CL484" s="160"/>
    </row>
    <row r="485">
      <c r="A485" s="188" t="s">
        <v>532</v>
      </c>
      <c r="B485" s="189" t="s">
        <v>533</v>
      </c>
      <c r="C485" s="190" t="s">
        <v>94</v>
      </c>
      <c r="D485" s="176" t="str">
        <f>IFERROR(VLOOKUP(C485, PIC!A:B, 2, 0), "")</f>
        <v>Phuoc Ta</v>
      </c>
      <c r="E485" s="189" t="s">
        <v>22</v>
      </c>
      <c r="F485" s="191" t="s">
        <v>849</v>
      </c>
      <c r="G485" s="189"/>
      <c r="H485" s="170">
        <f>IFERROR(
  MINIFS(ATTENDANCE_LOG!$F:$F,
         ATTENDANCE_LOG!$A:$A, C485,
         ATTENDANCE_LOG!$B:$B, E485),
"")</f>
        <v>46083.625</v>
      </c>
      <c r="I485" s="170">
        <f t="shared" si="2"/>
        <v>46083.625</v>
      </c>
      <c r="J485" s="189">
        <f>IFERROR(VLOOKUP(F485, LEVEL_HELPER!$A:$B, 2, 0), "")</f>
        <v>1</v>
      </c>
      <c r="K485" s="189" t="str">
        <f>IFERROR(VLOOKUP(G485, LEVEL_HELPER!$A:$B, 2, 0), "")</f>
        <v/>
      </c>
      <c r="L485" s="193" t="s">
        <v>400</v>
      </c>
      <c r="M485" s="193" t="s">
        <v>152</v>
      </c>
      <c r="N485" s="11">
        <f t="array" ref="N485">IFERROR(
  INDEX($J$2:$J$531,
    MATCH(A485&amp;TEXT(I485,"yyyy-mm-dd"),
          $A$2:$A$531&amp;TEXT($H$2:$H$531,"yyyy-mm-dd"),
          0)),
"")</f>
        <v>1</v>
      </c>
      <c r="O485" s="194">
        <f t="shared" si="3"/>
        <v>0</v>
      </c>
      <c r="P485" s="160">
        <f t="shared" ref="P485:Q485" si="495">IF(N485="",0,IF(N485&lt;=2,1,IF(N485&lt;=4,2,IF(N485&lt;=5.5,3,4))))</f>
        <v>1</v>
      </c>
      <c r="Q485" s="160">
        <f t="shared" si="495"/>
        <v>1</v>
      </c>
      <c r="R485" s="160" t="str">
        <f t="shared" si="5"/>
        <v>Not tested yet</v>
      </c>
      <c r="S485" s="160">
        <f t="shared" si="6"/>
        <v>1</v>
      </c>
      <c r="T485" s="207"/>
      <c r="U485" s="160">
        <f>COUNTIFS(sheet2!$A:$A,A485,sheet2!$E:$E,E485)</f>
        <v>1</v>
      </c>
      <c r="V485" s="160"/>
      <c r="W485" s="160"/>
      <c r="X485" s="160"/>
      <c r="Y485" s="160"/>
      <c r="Z485" s="160"/>
      <c r="AA485" s="160"/>
      <c r="AB485" s="160"/>
      <c r="AC485" s="160"/>
      <c r="AD485" s="160"/>
      <c r="AE485" s="160"/>
      <c r="AF485" s="160"/>
      <c r="AG485" s="160"/>
      <c r="AH485" s="160"/>
      <c r="AI485" s="160"/>
      <c r="AJ485" s="160"/>
      <c r="AK485" s="160"/>
      <c r="AL485" s="160"/>
      <c r="AM485" s="160"/>
      <c r="AN485" s="164"/>
      <c r="AO485" s="160"/>
      <c r="AP485" s="160"/>
      <c r="AQ485" s="160"/>
      <c r="AR485" s="160"/>
      <c r="AS485" s="160"/>
      <c r="AT485" s="160"/>
      <c r="AU485" s="160"/>
      <c r="AV485" s="160"/>
      <c r="AW485" s="160"/>
      <c r="AX485" s="160"/>
      <c r="AY485" s="160"/>
      <c r="AZ485" s="160"/>
      <c r="BA485" s="160"/>
      <c r="BB485" s="160"/>
      <c r="BC485" s="160"/>
      <c r="BD485" s="160"/>
      <c r="BE485" s="160"/>
      <c r="BF485" s="160"/>
      <c r="BG485" s="160"/>
      <c r="BH485" s="160"/>
      <c r="BI485" s="160"/>
      <c r="BJ485" s="160"/>
      <c r="BK485" s="160"/>
      <c r="BL485" s="160"/>
      <c r="BM485" s="160"/>
      <c r="BN485" s="160"/>
      <c r="BO485" s="160"/>
      <c r="BP485" s="160"/>
      <c r="BQ485" s="160"/>
      <c r="BR485" s="160"/>
      <c r="BS485" s="160"/>
      <c r="BT485" s="160"/>
      <c r="BU485" s="160"/>
      <c r="BV485" s="160"/>
      <c r="BW485" s="160"/>
      <c r="BX485" s="160"/>
      <c r="BY485" s="160"/>
      <c r="BZ485" s="160"/>
      <c r="CA485" s="160"/>
      <c r="CB485" s="160"/>
      <c r="CC485" s="160"/>
      <c r="CD485" s="160"/>
      <c r="CE485" s="160"/>
      <c r="CF485" s="160"/>
      <c r="CG485" s="160"/>
      <c r="CH485" s="160"/>
      <c r="CI485" s="160"/>
      <c r="CJ485" s="160"/>
      <c r="CK485" s="160"/>
      <c r="CL485" s="160"/>
    </row>
    <row r="486">
      <c r="A486" s="188" t="s">
        <v>534</v>
      </c>
      <c r="B486" s="189" t="s">
        <v>535</v>
      </c>
      <c r="C486" s="190" t="s">
        <v>94</v>
      </c>
      <c r="D486" s="176" t="str">
        <f>IFERROR(VLOOKUP(C486, PIC!A:B, 2, 0), "")</f>
        <v>Phuoc Ta</v>
      </c>
      <c r="E486" s="189" t="s">
        <v>22</v>
      </c>
      <c r="F486" s="191" t="s">
        <v>846</v>
      </c>
      <c r="G486" s="189"/>
      <c r="H486" s="170">
        <f>IFERROR(
  MINIFS(ATTENDANCE_LOG!$F:$F,
         ATTENDANCE_LOG!$A:$A, C486,
         ATTENDANCE_LOG!$B:$B, E486),
"")</f>
        <v>46083.625</v>
      </c>
      <c r="I486" s="170">
        <f t="shared" si="2"/>
        <v>46083.625</v>
      </c>
      <c r="J486" s="189">
        <f>IFERROR(VLOOKUP(F486, LEVEL_HELPER!$A:$B, 2, 0), "")</f>
        <v>3</v>
      </c>
      <c r="K486" s="189" t="str">
        <f>IFERROR(VLOOKUP(G486, LEVEL_HELPER!$A:$B, 2, 0), "")</f>
        <v/>
      </c>
      <c r="L486" s="193" t="s">
        <v>400</v>
      </c>
      <c r="M486" s="193" t="s">
        <v>152</v>
      </c>
      <c r="N486" s="11">
        <f t="array" ref="N486">IFERROR(
  INDEX($J$2:$J$531,
    MATCH(A486&amp;TEXT(I486,"yyyy-mm-dd"),
          $A$2:$A$531&amp;TEXT($H$2:$H$531,"yyyy-mm-dd"),
          0)),
"")</f>
        <v>3</v>
      </c>
      <c r="O486" s="194">
        <f t="shared" si="3"/>
        <v>0</v>
      </c>
      <c r="P486" s="160">
        <f t="shared" ref="P486:Q486" si="496">IF(N486="",0,IF(N486&lt;=2,1,IF(N486&lt;=4,2,IF(N486&lt;=5.5,3,4))))</f>
        <v>2</v>
      </c>
      <c r="Q486" s="160">
        <f t="shared" si="496"/>
        <v>1</v>
      </c>
      <c r="R486" s="160" t="str">
        <f t="shared" si="5"/>
        <v>Not tested yet</v>
      </c>
      <c r="S486" s="160">
        <f t="shared" si="6"/>
        <v>1</v>
      </c>
      <c r="T486" s="207"/>
      <c r="U486" s="160">
        <f>COUNTIFS(sheet2!$A:$A,A486,sheet2!$E:$E,E486)</f>
        <v>1</v>
      </c>
      <c r="V486" s="160"/>
      <c r="W486" s="160"/>
      <c r="X486" s="160"/>
      <c r="Y486" s="160"/>
      <c r="Z486" s="160"/>
      <c r="AA486" s="160"/>
      <c r="AB486" s="160"/>
      <c r="AC486" s="160"/>
      <c r="AD486" s="160"/>
      <c r="AE486" s="160"/>
      <c r="AF486" s="160"/>
      <c r="AG486" s="160"/>
      <c r="AH486" s="160"/>
      <c r="AI486" s="160"/>
      <c r="AJ486" s="160"/>
      <c r="AK486" s="160"/>
      <c r="AL486" s="160"/>
      <c r="AM486" s="160"/>
      <c r="AN486" s="164"/>
      <c r="AO486" s="160"/>
      <c r="AP486" s="160"/>
      <c r="AQ486" s="160"/>
      <c r="AR486" s="160"/>
      <c r="AS486" s="160"/>
      <c r="AT486" s="160"/>
      <c r="AU486" s="160"/>
      <c r="AV486" s="160"/>
      <c r="AW486" s="160"/>
      <c r="AX486" s="160"/>
      <c r="AY486" s="160"/>
      <c r="AZ486" s="160"/>
      <c r="BA486" s="160"/>
      <c r="BB486" s="160"/>
      <c r="BC486" s="160"/>
      <c r="BD486" s="160"/>
      <c r="BE486" s="160"/>
      <c r="BF486" s="160"/>
      <c r="BG486" s="160"/>
      <c r="BH486" s="160"/>
      <c r="BI486" s="160"/>
      <c r="BJ486" s="160"/>
      <c r="BK486" s="160"/>
      <c r="BL486" s="160"/>
      <c r="BM486" s="160"/>
      <c r="BN486" s="160"/>
      <c r="BO486" s="160"/>
      <c r="BP486" s="160"/>
      <c r="BQ486" s="160"/>
      <c r="BR486" s="160"/>
      <c r="BS486" s="160"/>
      <c r="BT486" s="160"/>
      <c r="BU486" s="160"/>
      <c r="BV486" s="160"/>
      <c r="BW486" s="160"/>
      <c r="BX486" s="160"/>
      <c r="BY486" s="160"/>
      <c r="BZ486" s="160"/>
      <c r="CA486" s="160"/>
      <c r="CB486" s="160"/>
      <c r="CC486" s="160"/>
      <c r="CD486" s="160"/>
      <c r="CE486" s="160"/>
      <c r="CF486" s="160"/>
      <c r="CG486" s="160"/>
      <c r="CH486" s="160"/>
      <c r="CI486" s="160"/>
      <c r="CJ486" s="160"/>
      <c r="CK486" s="160"/>
      <c r="CL486" s="160"/>
    </row>
    <row r="487">
      <c r="A487" s="188" t="s">
        <v>536</v>
      </c>
      <c r="B487" s="189" t="s">
        <v>537</v>
      </c>
      <c r="C487" s="190" t="s">
        <v>94</v>
      </c>
      <c r="D487" s="176" t="str">
        <f>IFERROR(VLOOKUP(C487, PIC!A:B, 2, 0), "")</f>
        <v>Phuoc Ta</v>
      </c>
      <c r="E487" s="189" t="s">
        <v>22</v>
      </c>
      <c r="F487" s="191" t="s">
        <v>846</v>
      </c>
      <c r="G487" s="189"/>
      <c r="H487" s="170">
        <f>IFERROR(
  MINIFS(ATTENDANCE_LOG!$F:$F,
         ATTENDANCE_LOG!$A:$A, C487,
         ATTENDANCE_LOG!$B:$B, E487),
"")</f>
        <v>46083.625</v>
      </c>
      <c r="I487" s="170">
        <f t="shared" si="2"/>
        <v>46083.625</v>
      </c>
      <c r="J487" s="189">
        <f>IFERROR(VLOOKUP(F487, LEVEL_HELPER!$A:$B, 2, 0), "")</f>
        <v>3</v>
      </c>
      <c r="K487" s="189" t="str">
        <f>IFERROR(VLOOKUP(G487, LEVEL_HELPER!$A:$B, 2, 0), "")</f>
        <v/>
      </c>
      <c r="L487" s="193" t="s">
        <v>400</v>
      </c>
      <c r="M487" s="215" t="s">
        <v>152</v>
      </c>
      <c r="N487" s="11">
        <f t="array" ref="N487">IFERROR(
  INDEX($J$2:$J$531,
    MATCH(A487&amp;TEXT(I487,"yyyy-mm-dd"),
          $A$2:$A$531&amp;TEXT($H$2:$H$531,"yyyy-mm-dd"),
          0)),
"")</f>
        <v>3</v>
      </c>
      <c r="O487" s="194">
        <f t="shared" si="3"/>
        <v>0</v>
      </c>
      <c r="P487" s="160">
        <f t="shared" ref="P487:Q487" si="497">IF(N487="",0,IF(N487&lt;=2,1,IF(N487&lt;=4,2,IF(N487&lt;=5.5,3,4))))</f>
        <v>2</v>
      </c>
      <c r="Q487" s="160">
        <f t="shared" si="497"/>
        <v>1</v>
      </c>
      <c r="R487" s="160" t="str">
        <f t="shared" si="5"/>
        <v>Not tested yet</v>
      </c>
      <c r="S487" s="160">
        <f t="shared" si="6"/>
        <v>1</v>
      </c>
      <c r="T487" s="207"/>
      <c r="U487" s="160">
        <f>COUNTIFS(sheet2!$A:$A,A487,sheet2!$E:$E,E487)</f>
        <v>1</v>
      </c>
      <c r="V487" s="160"/>
      <c r="W487" s="160"/>
      <c r="X487" s="160"/>
      <c r="Y487" s="160"/>
      <c r="Z487" s="160"/>
      <c r="AA487" s="160"/>
      <c r="AB487" s="160"/>
      <c r="AC487" s="160"/>
      <c r="AD487" s="160"/>
      <c r="AE487" s="160"/>
      <c r="AF487" s="160"/>
      <c r="AG487" s="160"/>
      <c r="AH487" s="160"/>
      <c r="AI487" s="160"/>
      <c r="AJ487" s="160"/>
      <c r="AK487" s="160"/>
      <c r="AL487" s="160"/>
      <c r="AM487" s="160"/>
      <c r="AN487" s="164"/>
      <c r="AO487" s="160"/>
      <c r="AP487" s="160"/>
      <c r="AQ487" s="160"/>
      <c r="AR487" s="160"/>
      <c r="AS487" s="160"/>
      <c r="AT487" s="160"/>
      <c r="AU487" s="160"/>
      <c r="AV487" s="160"/>
      <c r="AW487" s="160"/>
      <c r="AX487" s="160"/>
      <c r="AY487" s="160"/>
      <c r="AZ487" s="160"/>
      <c r="BA487" s="160"/>
      <c r="BB487" s="160"/>
      <c r="BC487" s="160"/>
      <c r="BD487" s="160"/>
      <c r="BE487" s="160"/>
      <c r="BF487" s="160"/>
      <c r="BG487" s="160"/>
      <c r="BH487" s="160"/>
      <c r="BI487" s="160"/>
      <c r="BJ487" s="160"/>
      <c r="BK487" s="160"/>
      <c r="BL487" s="160"/>
      <c r="BM487" s="160"/>
      <c r="BN487" s="160"/>
      <c r="BO487" s="160"/>
      <c r="BP487" s="160"/>
      <c r="BQ487" s="160"/>
      <c r="BR487" s="160"/>
      <c r="BS487" s="160"/>
      <c r="BT487" s="160"/>
      <c r="BU487" s="160"/>
      <c r="BV487" s="160"/>
      <c r="BW487" s="160"/>
      <c r="BX487" s="160"/>
      <c r="BY487" s="160"/>
      <c r="BZ487" s="160"/>
      <c r="CA487" s="160"/>
      <c r="CB487" s="160"/>
      <c r="CC487" s="160"/>
      <c r="CD487" s="160"/>
      <c r="CE487" s="160"/>
      <c r="CF487" s="160"/>
      <c r="CG487" s="160"/>
      <c r="CH487" s="160"/>
      <c r="CI487" s="160"/>
      <c r="CJ487" s="160"/>
      <c r="CK487" s="160"/>
      <c r="CL487" s="160"/>
    </row>
    <row r="488">
      <c r="A488" s="188" t="s">
        <v>538</v>
      </c>
      <c r="B488" s="189" t="s">
        <v>539</v>
      </c>
      <c r="C488" s="190" t="s">
        <v>94</v>
      </c>
      <c r="D488" s="176" t="str">
        <f>IFERROR(VLOOKUP(C488, PIC!A:B, 2, 0), "")</f>
        <v>Phuoc Ta</v>
      </c>
      <c r="E488" s="189" t="s">
        <v>22</v>
      </c>
      <c r="F488" s="191" t="s">
        <v>849</v>
      </c>
      <c r="G488" s="189"/>
      <c r="H488" s="170">
        <f>IFERROR(
  MINIFS(ATTENDANCE_LOG!$F:$F,
         ATTENDANCE_LOG!$A:$A, C488,
         ATTENDANCE_LOG!$B:$B, E488),
"")</f>
        <v>46083.625</v>
      </c>
      <c r="I488" s="170">
        <f t="shared" si="2"/>
        <v>46083.625</v>
      </c>
      <c r="J488" s="189">
        <f>IFERROR(VLOOKUP(F488, LEVEL_HELPER!$A:$B, 2, 0), "")</f>
        <v>1</v>
      </c>
      <c r="K488" s="189" t="str">
        <f>IFERROR(VLOOKUP(G488, LEVEL_HELPER!$A:$B, 2, 0), "")</f>
        <v/>
      </c>
      <c r="L488" s="193" t="s">
        <v>400</v>
      </c>
      <c r="M488" s="193" t="s">
        <v>152</v>
      </c>
      <c r="N488" s="11">
        <f t="array" ref="N488">IFERROR(
  INDEX($J$2:$J$531,
    MATCH(A488&amp;TEXT(I488,"yyyy-mm-dd"),
          $A$2:$A$531&amp;TEXT($H$2:$H$531,"yyyy-mm-dd"),
          0)),
"")</f>
        <v>1</v>
      </c>
      <c r="O488" s="194">
        <f t="shared" si="3"/>
        <v>0</v>
      </c>
      <c r="P488" s="160">
        <f t="shared" ref="P488:Q488" si="498">IF(N488="",0,IF(N488&lt;=2,1,IF(N488&lt;=4,2,IF(N488&lt;=5.5,3,4))))</f>
        <v>1</v>
      </c>
      <c r="Q488" s="160">
        <f t="shared" si="498"/>
        <v>1</v>
      </c>
      <c r="R488" s="160" t="str">
        <f t="shared" si="5"/>
        <v>Not tested yet</v>
      </c>
      <c r="S488" s="160">
        <f t="shared" si="6"/>
        <v>1</v>
      </c>
      <c r="T488" s="207"/>
      <c r="U488" s="160">
        <f>COUNTIFS(sheet2!$A:$A,A488,sheet2!$E:$E,E488)</f>
        <v>1</v>
      </c>
      <c r="V488" s="160"/>
      <c r="W488" s="160"/>
      <c r="X488" s="160"/>
      <c r="Y488" s="160"/>
      <c r="Z488" s="160"/>
      <c r="AA488" s="160"/>
      <c r="AB488" s="160"/>
      <c r="AC488" s="160"/>
      <c r="AD488" s="160"/>
      <c r="AE488" s="160"/>
      <c r="AF488" s="160"/>
      <c r="AG488" s="160"/>
      <c r="AH488" s="160"/>
      <c r="AI488" s="160"/>
      <c r="AJ488" s="160"/>
      <c r="AK488" s="160"/>
      <c r="AL488" s="160"/>
      <c r="AM488" s="160"/>
      <c r="AN488" s="164"/>
      <c r="AO488" s="160"/>
      <c r="AP488" s="160"/>
      <c r="AQ488" s="160"/>
      <c r="AR488" s="160"/>
      <c r="AS488" s="160"/>
      <c r="AT488" s="160"/>
      <c r="AU488" s="160"/>
      <c r="AV488" s="160"/>
      <c r="AW488" s="160"/>
      <c r="AX488" s="160"/>
      <c r="AY488" s="160"/>
      <c r="AZ488" s="160"/>
      <c r="BA488" s="160"/>
      <c r="BB488" s="160"/>
      <c r="BC488" s="160"/>
      <c r="BD488" s="160"/>
      <c r="BE488" s="160"/>
      <c r="BF488" s="160"/>
      <c r="BG488" s="160"/>
      <c r="BH488" s="160"/>
      <c r="BI488" s="160"/>
      <c r="BJ488" s="160"/>
      <c r="BK488" s="160"/>
      <c r="BL488" s="160"/>
      <c r="BM488" s="160"/>
      <c r="BN488" s="160"/>
      <c r="BO488" s="160"/>
      <c r="BP488" s="160"/>
      <c r="BQ488" s="160"/>
      <c r="BR488" s="160"/>
      <c r="BS488" s="160"/>
      <c r="BT488" s="160"/>
      <c r="BU488" s="160"/>
      <c r="BV488" s="160"/>
      <c r="BW488" s="160"/>
      <c r="BX488" s="160"/>
      <c r="BY488" s="160"/>
      <c r="BZ488" s="160"/>
      <c r="CA488" s="160"/>
      <c r="CB488" s="160"/>
      <c r="CC488" s="160"/>
      <c r="CD488" s="160"/>
      <c r="CE488" s="160"/>
      <c r="CF488" s="160"/>
      <c r="CG488" s="160"/>
      <c r="CH488" s="160"/>
      <c r="CI488" s="160"/>
      <c r="CJ488" s="160"/>
      <c r="CK488" s="160"/>
      <c r="CL488" s="160"/>
    </row>
    <row r="489">
      <c r="A489" s="188" t="s">
        <v>542</v>
      </c>
      <c r="B489" s="189" t="s">
        <v>543</v>
      </c>
      <c r="C489" s="190" t="s">
        <v>94</v>
      </c>
      <c r="D489" s="176" t="str">
        <f>IFERROR(VLOOKUP(C489, PIC!A:B, 2, 0), "")</f>
        <v>Phuoc Ta</v>
      </c>
      <c r="E489" s="189" t="s">
        <v>22</v>
      </c>
      <c r="F489" s="191" t="s">
        <v>849</v>
      </c>
      <c r="G489" s="189"/>
      <c r="H489" s="170">
        <f>IFERROR(
  MINIFS(ATTENDANCE_LOG!$F:$F,
         ATTENDANCE_LOG!$A:$A, C489,
         ATTENDANCE_LOG!$B:$B, E489),
"")</f>
        <v>46083.625</v>
      </c>
      <c r="I489" s="170">
        <f t="shared" si="2"/>
        <v>46083.625</v>
      </c>
      <c r="J489" s="189">
        <f>IFERROR(VLOOKUP(F489, LEVEL_HELPER!$A:$B, 2, 0), "")</f>
        <v>1</v>
      </c>
      <c r="K489" s="189" t="str">
        <f>IFERROR(VLOOKUP(G489, LEVEL_HELPER!$A:$B, 2, 0), "")</f>
        <v/>
      </c>
      <c r="L489" s="193" t="s">
        <v>400</v>
      </c>
      <c r="M489" s="193" t="s">
        <v>152</v>
      </c>
      <c r="N489" s="11">
        <f t="array" ref="N489">IFERROR(
  INDEX($J$2:$J$531,
    MATCH(A489&amp;TEXT(I489,"yyyy-mm-dd"),
          $A$2:$A$531&amp;TEXT($H$2:$H$531,"yyyy-mm-dd"),
          0)),
"")</f>
        <v>1</v>
      </c>
      <c r="O489" s="194">
        <f t="shared" si="3"/>
        <v>0</v>
      </c>
      <c r="P489" s="160">
        <f t="shared" ref="P489:Q489" si="499">IF(N489="",0,IF(N489&lt;=2,1,IF(N489&lt;=4,2,IF(N489&lt;=5.5,3,4))))</f>
        <v>1</v>
      </c>
      <c r="Q489" s="160">
        <f t="shared" si="499"/>
        <v>1</v>
      </c>
      <c r="R489" s="160" t="str">
        <f t="shared" si="5"/>
        <v>Not tested yet</v>
      </c>
      <c r="S489" s="160">
        <f t="shared" si="6"/>
        <v>1</v>
      </c>
      <c r="T489" s="207"/>
      <c r="U489" s="160">
        <f>COUNTIFS(sheet2!$A:$A,A489,sheet2!$E:$E,E489)</f>
        <v>1</v>
      </c>
      <c r="V489" s="160"/>
      <c r="W489" s="160"/>
      <c r="X489" s="160"/>
      <c r="Y489" s="160"/>
      <c r="Z489" s="160"/>
      <c r="AA489" s="160"/>
      <c r="AB489" s="160"/>
      <c r="AC489" s="160"/>
      <c r="AD489" s="160"/>
      <c r="AE489" s="160"/>
      <c r="AF489" s="160"/>
      <c r="AG489" s="160"/>
      <c r="AH489" s="160"/>
      <c r="AI489" s="160"/>
      <c r="AJ489" s="160"/>
      <c r="AK489" s="160"/>
      <c r="AL489" s="160"/>
      <c r="AM489" s="160"/>
      <c r="AN489" s="164"/>
      <c r="AO489" s="160"/>
      <c r="AP489" s="160"/>
      <c r="AQ489" s="160"/>
      <c r="AR489" s="160"/>
      <c r="AS489" s="160"/>
      <c r="AT489" s="160"/>
      <c r="AU489" s="160"/>
      <c r="AV489" s="160"/>
      <c r="AW489" s="160"/>
      <c r="AX489" s="160"/>
      <c r="AY489" s="160"/>
      <c r="AZ489" s="160"/>
      <c r="BA489" s="160"/>
      <c r="BB489" s="160"/>
      <c r="BC489" s="160"/>
      <c r="BD489" s="160"/>
      <c r="BE489" s="160"/>
      <c r="BF489" s="160"/>
      <c r="BG489" s="160"/>
      <c r="BH489" s="160"/>
      <c r="BI489" s="160"/>
      <c r="BJ489" s="160"/>
      <c r="BK489" s="160"/>
      <c r="BL489" s="160"/>
      <c r="BM489" s="160"/>
      <c r="BN489" s="160"/>
      <c r="BO489" s="160"/>
      <c r="BP489" s="160"/>
      <c r="BQ489" s="160"/>
      <c r="BR489" s="160"/>
      <c r="BS489" s="160"/>
      <c r="BT489" s="160"/>
      <c r="BU489" s="160"/>
      <c r="BV489" s="160"/>
      <c r="BW489" s="160"/>
      <c r="BX489" s="160"/>
      <c r="BY489" s="160"/>
      <c r="BZ489" s="160"/>
      <c r="CA489" s="160"/>
      <c r="CB489" s="160"/>
      <c r="CC489" s="160"/>
      <c r="CD489" s="160"/>
      <c r="CE489" s="160"/>
      <c r="CF489" s="160"/>
      <c r="CG489" s="160"/>
      <c r="CH489" s="160"/>
      <c r="CI489" s="160"/>
      <c r="CJ489" s="160"/>
      <c r="CK489" s="160"/>
      <c r="CL489" s="160"/>
    </row>
    <row r="490">
      <c r="A490" s="216" t="s">
        <v>607</v>
      </c>
      <c r="B490" s="212" t="s">
        <v>608</v>
      </c>
      <c r="C490" s="211" t="s">
        <v>1100</v>
      </c>
      <c r="D490" s="169" t="str">
        <f>IFERROR(VLOOKUP(C490, PIC!A:B, 2, 0), "")</f>
        <v>Thai Nguyen 1</v>
      </c>
      <c r="E490" s="210" t="s">
        <v>22</v>
      </c>
      <c r="F490" s="212" t="s">
        <v>849</v>
      </c>
      <c r="G490" s="210"/>
      <c r="H490" s="170">
        <f>IFERROR(
  MINIFS(ATTENDANCE_LOG!$F:$F,
         ATTENDANCE_LOG!$A:$A, C490,
         ATTENDANCE_LOG!$B:$B, E490),
"")</f>
        <v>46085.58333</v>
      </c>
      <c r="I490" s="170">
        <f t="shared" si="2"/>
        <v>46085.58333</v>
      </c>
      <c r="J490" s="189">
        <f>IFERROR(VLOOKUP(F490, LEVEL_HELPER!$A:$B, 2, 0), "")</f>
        <v>1</v>
      </c>
      <c r="K490" s="189" t="str">
        <f>IFERROR(VLOOKUP(G490, LEVEL_HELPER!$A:$B, 2, 0), "")</f>
        <v/>
      </c>
      <c r="L490" s="217" t="s">
        <v>400</v>
      </c>
      <c r="M490" s="217" t="s">
        <v>152</v>
      </c>
      <c r="N490" s="11">
        <f t="array" ref="N490">IFERROR(
  INDEX($J$2:$J$531,
    MATCH(A490&amp;TEXT(I490,"yyyy-mm-dd"),
          $A$2:$A$531&amp;TEXT($H$2:$H$531,"yyyy-mm-dd"),
          0)),
"")</f>
        <v>1</v>
      </c>
      <c r="O490" s="194">
        <f t="shared" si="3"/>
        <v>0</v>
      </c>
      <c r="P490" s="160">
        <f t="shared" ref="P490:Q490" si="500">IF(N490="",0,IF(N490&lt;=2,1,IF(N490&lt;=4,2,IF(N490&lt;=5.5,3,4))))</f>
        <v>1</v>
      </c>
      <c r="Q490" s="160">
        <f t="shared" si="500"/>
        <v>1</v>
      </c>
      <c r="R490" s="160" t="str">
        <f t="shared" si="5"/>
        <v>Not tested yet</v>
      </c>
      <c r="S490" s="160">
        <f t="shared" si="6"/>
        <v>1</v>
      </c>
      <c r="T490" s="207"/>
      <c r="U490" s="160">
        <f>COUNTIFS(sheet2!$A:$A,A490,sheet2!$E:$E,E490)</f>
        <v>1</v>
      </c>
      <c r="V490" s="160"/>
      <c r="W490" s="160"/>
      <c r="X490" s="160"/>
      <c r="Y490" s="160"/>
      <c r="Z490" s="160"/>
      <c r="AA490" s="160"/>
      <c r="AB490" s="160"/>
      <c r="AC490" s="160"/>
      <c r="AD490" s="160"/>
      <c r="AE490" s="160"/>
      <c r="AF490" s="160"/>
      <c r="AG490" s="160"/>
      <c r="AH490" s="160"/>
      <c r="AI490" s="160"/>
      <c r="AJ490" s="160"/>
      <c r="AK490" s="160"/>
      <c r="AL490" s="160"/>
      <c r="AM490" s="160"/>
      <c r="AN490" s="164"/>
      <c r="AO490" s="160"/>
      <c r="AP490" s="160"/>
      <c r="AQ490" s="160"/>
      <c r="AR490" s="160"/>
      <c r="AS490" s="160"/>
      <c r="AT490" s="160"/>
      <c r="AU490" s="160"/>
      <c r="AV490" s="160"/>
      <c r="AW490" s="160"/>
      <c r="AX490" s="160"/>
      <c r="AY490" s="160"/>
      <c r="AZ490" s="160"/>
      <c r="BA490" s="160"/>
      <c r="BB490" s="160"/>
      <c r="BC490" s="160"/>
      <c r="BD490" s="160"/>
      <c r="BE490" s="160"/>
      <c r="BF490" s="160"/>
      <c r="BG490" s="160"/>
      <c r="BH490" s="160"/>
      <c r="BI490" s="160"/>
      <c r="BJ490" s="160"/>
      <c r="BK490" s="160"/>
      <c r="BL490" s="160"/>
      <c r="BM490" s="160"/>
      <c r="BN490" s="160"/>
      <c r="BO490" s="160"/>
      <c r="BP490" s="160"/>
      <c r="BQ490" s="160"/>
      <c r="BR490" s="160"/>
      <c r="BS490" s="160"/>
      <c r="BT490" s="160"/>
      <c r="BU490" s="160"/>
      <c r="BV490" s="160"/>
      <c r="BW490" s="160"/>
      <c r="BX490" s="160"/>
      <c r="BY490" s="160"/>
      <c r="BZ490" s="160"/>
      <c r="CA490" s="160"/>
      <c r="CB490" s="160"/>
      <c r="CC490" s="160"/>
      <c r="CD490" s="160"/>
      <c r="CE490" s="160"/>
      <c r="CF490" s="160"/>
      <c r="CG490" s="160"/>
      <c r="CH490" s="160"/>
      <c r="CI490" s="160"/>
      <c r="CJ490" s="160"/>
      <c r="CK490" s="160"/>
      <c r="CL490" s="160"/>
    </row>
    <row r="491">
      <c r="A491" s="218" t="s">
        <v>609</v>
      </c>
      <c r="B491" s="189" t="s">
        <v>610</v>
      </c>
      <c r="C491" s="190" t="s">
        <v>1100</v>
      </c>
      <c r="D491" s="176" t="str">
        <f>IFERROR(VLOOKUP(C491, PIC!A:B, 2, 0), "")</f>
        <v>Thai Nguyen 1</v>
      </c>
      <c r="E491" s="189" t="s">
        <v>22</v>
      </c>
      <c r="F491" s="191" t="s">
        <v>849</v>
      </c>
      <c r="G491" s="189"/>
      <c r="H491" s="170">
        <f>IFERROR(
  MINIFS(ATTENDANCE_LOG!$F:$F,
         ATTENDANCE_LOG!$A:$A, C491,
         ATTENDANCE_LOG!$B:$B, E491),
"")</f>
        <v>46085.58333</v>
      </c>
      <c r="I491" s="170">
        <f t="shared" si="2"/>
        <v>46085.58333</v>
      </c>
      <c r="J491" s="189">
        <f>IFERROR(VLOOKUP(F491, LEVEL_HELPER!$A:$B, 2, 0), "")</f>
        <v>1</v>
      </c>
      <c r="K491" s="189" t="str">
        <f>IFERROR(VLOOKUP(G491, LEVEL_HELPER!$A:$B, 2, 0), "")</f>
        <v/>
      </c>
      <c r="L491" s="219" t="s">
        <v>400</v>
      </c>
      <c r="M491" s="219" t="s">
        <v>152</v>
      </c>
      <c r="N491" s="11">
        <f t="array" ref="N491">IFERROR(
  INDEX($J$2:$J$531,
    MATCH(A491&amp;TEXT(I491,"yyyy-mm-dd"),
          $A$2:$A$531&amp;TEXT($H$2:$H$531,"yyyy-mm-dd"),
          0)),
"")</f>
        <v>1</v>
      </c>
      <c r="O491" s="194">
        <f t="shared" si="3"/>
        <v>0</v>
      </c>
      <c r="P491" s="160">
        <f t="shared" ref="P491:Q491" si="501">IF(N491="",0,IF(N491&lt;=2,1,IF(N491&lt;=4,2,IF(N491&lt;=5.5,3,4))))</f>
        <v>1</v>
      </c>
      <c r="Q491" s="160">
        <f t="shared" si="501"/>
        <v>1</v>
      </c>
      <c r="R491" s="160" t="str">
        <f t="shared" si="5"/>
        <v>Not tested yet</v>
      </c>
      <c r="S491" s="160">
        <f t="shared" si="6"/>
        <v>1</v>
      </c>
      <c r="T491" s="207"/>
      <c r="U491" s="160">
        <f>COUNTIFS(sheet2!$A:$A,A491,sheet2!$E:$E,E491)</f>
        <v>1</v>
      </c>
      <c r="V491" s="160"/>
      <c r="W491" s="160"/>
      <c r="X491" s="160"/>
      <c r="Y491" s="160"/>
      <c r="Z491" s="160"/>
      <c r="AA491" s="160"/>
      <c r="AB491" s="160"/>
      <c r="AC491" s="160"/>
      <c r="AD491" s="160"/>
      <c r="AE491" s="160"/>
      <c r="AF491" s="160"/>
      <c r="AG491" s="160"/>
      <c r="AH491" s="160"/>
      <c r="AI491" s="160"/>
      <c r="AJ491" s="160"/>
      <c r="AK491" s="160"/>
      <c r="AL491" s="160"/>
      <c r="AM491" s="160"/>
      <c r="AN491" s="164"/>
      <c r="AO491" s="160"/>
      <c r="AP491" s="160"/>
      <c r="AQ491" s="160"/>
      <c r="AR491" s="160"/>
      <c r="AS491" s="160"/>
      <c r="AT491" s="160"/>
      <c r="AU491" s="160"/>
      <c r="AV491" s="160"/>
      <c r="AW491" s="160"/>
      <c r="AX491" s="160"/>
      <c r="AY491" s="160"/>
      <c r="AZ491" s="160"/>
      <c r="BA491" s="160"/>
      <c r="BB491" s="160"/>
      <c r="BC491" s="160"/>
      <c r="BD491" s="160"/>
      <c r="BE491" s="160"/>
      <c r="BF491" s="160"/>
      <c r="BG491" s="160"/>
      <c r="BH491" s="160"/>
      <c r="BI491" s="160"/>
      <c r="BJ491" s="160"/>
      <c r="BK491" s="160"/>
      <c r="BL491" s="160"/>
      <c r="BM491" s="160"/>
      <c r="BN491" s="160"/>
      <c r="BO491" s="160"/>
      <c r="BP491" s="160"/>
      <c r="BQ491" s="160"/>
      <c r="BR491" s="160"/>
      <c r="BS491" s="160"/>
      <c r="BT491" s="160"/>
      <c r="BU491" s="160"/>
      <c r="BV491" s="160"/>
      <c r="BW491" s="160"/>
      <c r="BX491" s="160"/>
      <c r="BY491" s="160"/>
      <c r="BZ491" s="160"/>
      <c r="CA491" s="160"/>
      <c r="CB491" s="160"/>
      <c r="CC491" s="160"/>
      <c r="CD491" s="160"/>
      <c r="CE491" s="160"/>
      <c r="CF491" s="160"/>
      <c r="CG491" s="160"/>
      <c r="CH491" s="160"/>
      <c r="CI491" s="160"/>
      <c r="CJ491" s="160"/>
      <c r="CK491" s="160"/>
      <c r="CL491" s="160"/>
    </row>
    <row r="492">
      <c r="A492" s="218" t="s">
        <v>611</v>
      </c>
      <c r="B492" s="189" t="s">
        <v>612</v>
      </c>
      <c r="C492" s="190" t="s">
        <v>1100</v>
      </c>
      <c r="D492" s="176" t="str">
        <f>IFERROR(VLOOKUP(C492, PIC!A:B, 2, 0), "")</f>
        <v>Thai Nguyen 1</v>
      </c>
      <c r="E492" s="189" t="s">
        <v>22</v>
      </c>
      <c r="F492" s="191" t="s">
        <v>849</v>
      </c>
      <c r="G492" s="189"/>
      <c r="H492" s="170">
        <f>IFERROR(
  MINIFS(ATTENDANCE_LOG!$F:$F,
         ATTENDANCE_LOG!$A:$A, C492,
         ATTENDANCE_LOG!$B:$B, E492),
"")</f>
        <v>46085.58333</v>
      </c>
      <c r="I492" s="170">
        <f t="shared" si="2"/>
        <v>46085.58333</v>
      </c>
      <c r="J492" s="189">
        <f>IFERROR(VLOOKUP(F492, LEVEL_HELPER!$A:$B, 2, 0), "")</f>
        <v>1</v>
      </c>
      <c r="K492" s="189" t="str">
        <f>IFERROR(VLOOKUP(G492, LEVEL_HELPER!$A:$B, 2, 0), "")</f>
        <v/>
      </c>
      <c r="L492" s="219" t="s">
        <v>400</v>
      </c>
      <c r="M492" s="219" t="s">
        <v>152</v>
      </c>
      <c r="N492" s="11">
        <f t="array" ref="N492">IFERROR(
  INDEX($J$2:$J$531,
    MATCH(A492&amp;TEXT(I492,"yyyy-mm-dd"),
          $A$2:$A$531&amp;TEXT($H$2:$H$531,"yyyy-mm-dd"),
          0)),
"")</f>
        <v>1</v>
      </c>
      <c r="O492" s="194">
        <f t="shared" si="3"/>
        <v>0</v>
      </c>
      <c r="P492" s="160">
        <f t="shared" ref="P492:Q492" si="502">IF(N492="",0,IF(N492&lt;=2,1,IF(N492&lt;=4,2,IF(N492&lt;=5.5,3,4))))</f>
        <v>1</v>
      </c>
      <c r="Q492" s="160">
        <f t="shared" si="502"/>
        <v>1</v>
      </c>
      <c r="R492" s="160" t="str">
        <f t="shared" si="5"/>
        <v>Not tested yet</v>
      </c>
      <c r="S492" s="160">
        <f t="shared" si="6"/>
        <v>1</v>
      </c>
      <c r="T492" s="207"/>
      <c r="U492" s="160">
        <f>COUNTIFS(sheet2!$A:$A,A492,sheet2!$E:$E,E492)</f>
        <v>1</v>
      </c>
      <c r="V492" s="160"/>
      <c r="W492" s="160"/>
      <c r="X492" s="160"/>
      <c r="Y492" s="160"/>
      <c r="Z492" s="160"/>
      <c r="AA492" s="160"/>
      <c r="AB492" s="160"/>
      <c r="AC492" s="160"/>
      <c r="AD492" s="160"/>
      <c r="AE492" s="160"/>
      <c r="AF492" s="160"/>
      <c r="AG492" s="160"/>
      <c r="AH492" s="160"/>
      <c r="AI492" s="160"/>
      <c r="AJ492" s="160"/>
      <c r="AK492" s="160"/>
      <c r="AL492" s="160"/>
      <c r="AM492" s="160"/>
      <c r="AN492" s="164"/>
      <c r="AO492" s="160"/>
      <c r="AP492" s="160"/>
      <c r="AQ492" s="160"/>
      <c r="AR492" s="160"/>
      <c r="AS492" s="160"/>
      <c r="AT492" s="160"/>
      <c r="AU492" s="160"/>
      <c r="AV492" s="160"/>
      <c r="AW492" s="160"/>
      <c r="AX492" s="160"/>
      <c r="AY492" s="160"/>
      <c r="AZ492" s="160"/>
      <c r="BA492" s="160"/>
      <c r="BB492" s="160"/>
      <c r="BC492" s="160"/>
      <c r="BD492" s="160"/>
      <c r="BE492" s="160"/>
      <c r="BF492" s="160"/>
      <c r="BG492" s="160"/>
      <c r="BH492" s="160"/>
      <c r="BI492" s="160"/>
      <c r="BJ492" s="160"/>
      <c r="BK492" s="160"/>
      <c r="BL492" s="160"/>
      <c r="BM492" s="160"/>
      <c r="BN492" s="160"/>
      <c r="BO492" s="160"/>
      <c r="BP492" s="160"/>
      <c r="BQ492" s="160"/>
      <c r="BR492" s="160"/>
      <c r="BS492" s="160"/>
      <c r="BT492" s="160"/>
      <c r="BU492" s="160"/>
      <c r="BV492" s="160"/>
      <c r="BW492" s="160"/>
      <c r="BX492" s="160"/>
      <c r="BY492" s="160"/>
      <c r="BZ492" s="160"/>
      <c r="CA492" s="160"/>
      <c r="CB492" s="160"/>
      <c r="CC492" s="160"/>
      <c r="CD492" s="160"/>
      <c r="CE492" s="160"/>
      <c r="CF492" s="160"/>
      <c r="CG492" s="160"/>
      <c r="CH492" s="160"/>
      <c r="CI492" s="160"/>
      <c r="CJ492" s="160"/>
      <c r="CK492" s="160"/>
      <c r="CL492" s="160"/>
    </row>
    <row r="493">
      <c r="A493" s="218" t="s">
        <v>613</v>
      </c>
      <c r="B493" s="189" t="s">
        <v>614</v>
      </c>
      <c r="C493" s="190" t="s">
        <v>1100</v>
      </c>
      <c r="D493" s="176" t="str">
        <f>IFERROR(VLOOKUP(C493, PIC!A:B, 2, 0), "")</f>
        <v>Thai Nguyen 1</v>
      </c>
      <c r="E493" s="189" t="s">
        <v>22</v>
      </c>
      <c r="F493" s="191" t="s">
        <v>849</v>
      </c>
      <c r="G493" s="189"/>
      <c r="H493" s="170">
        <f>IFERROR(
  MINIFS(ATTENDANCE_LOG!$F:$F,
         ATTENDANCE_LOG!$A:$A, C493,
         ATTENDANCE_LOG!$B:$B, E493),
"")</f>
        <v>46085.58333</v>
      </c>
      <c r="I493" s="170">
        <f t="shared" si="2"/>
        <v>46085.58333</v>
      </c>
      <c r="J493" s="189">
        <f>IFERROR(VLOOKUP(F493, LEVEL_HELPER!$A:$B, 2, 0), "")</f>
        <v>1</v>
      </c>
      <c r="K493" s="189" t="str">
        <f>IFERROR(VLOOKUP(G493, LEVEL_HELPER!$A:$B, 2, 0), "")</f>
        <v/>
      </c>
      <c r="L493" s="219" t="s">
        <v>400</v>
      </c>
      <c r="M493" s="219" t="s">
        <v>152</v>
      </c>
      <c r="N493" s="11">
        <f t="array" ref="N493">IFERROR(
  INDEX($J$2:$J$531,
    MATCH(A493&amp;TEXT(I493,"yyyy-mm-dd"),
          $A$2:$A$531&amp;TEXT($H$2:$H$531,"yyyy-mm-dd"),
          0)),
"")</f>
        <v>1</v>
      </c>
      <c r="O493" s="194">
        <f t="shared" si="3"/>
        <v>0</v>
      </c>
      <c r="P493" s="160">
        <f t="shared" ref="P493:Q493" si="503">IF(N493="",0,IF(N493&lt;=2,1,IF(N493&lt;=4,2,IF(N493&lt;=5.5,3,4))))</f>
        <v>1</v>
      </c>
      <c r="Q493" s="160">
        <f t="shared" si="503"/>
        <v>1</v>
      </c>
      <c r="R493" s="160" t="str">
        <f t="shared" si="5"/>
        <v>Not tested yet</v>
      </c>
      <c r="S493" s="160">
        <f t="shared" si="6"/>
        <v>1</v>
      </c>
      <c r="T493" s="207"/>
      <c r="U493" s="160">
        <f>COUNTIFS(sheet2!$A:$A,A493,sheet2!$E:$E,E493)</f>
        <v>1</v>
      </c>
      <c r="V493" s="160"/>
      <c r="W493" s="160"/>
      <c r="X493" s="160"/>
      <c r="Y493" s="160"/>
      <c r="Z493" s="160"/>
      <c r="AA493" s="160"/>
      <c r="AB493" s="160"/>
      <c r="AC493" s="160"/>
      <c r="AD493" s="160"/>
      <c r="AE493" s="160"/>
      <c r="AF493" s="160"/>
      <c r="AG493" s="160"/>
      <c r="AH493" s="160"/>
      <c r="AI493" s="160"/>
      <c r="AJ493" s="160"/>
      <c r="AK493" s="160"/>
      <c r="AL493" s="160"/>
      <c r="AM493" s="160"/>
      <c r="AN493" s="164"/>
      <c r="AO493" s="160"/>
      <c r="AP493" s="160"/>
      <c r="AQ493" s="160"/>
      <c r="AR493" s="160"/>
      <c r="AS493" s="160"/>
      <c r="AT493" s="160"/>
      <c r="AU493" s="160"/>
      <c r="AV493" s="160"/>
      <c r="AW493" s="160"/>
      <c r="AX493" s="160"/>
      <c r="AY493" s="160"/>
      <c r="AZ493" s="160"/>
      <c r="BA493" s="160"/>
      <c r="BB493" s="160"/>
      <c r="BC493" s="160"/>
      <c r="BD493" s="160"/>
      <c r="BE493" s="160"/>
      <c r="BF493" s="160"/>
      <c r="BG493" s="160"/>
      <c r="BH493" s="160"/>
      <c r="BI493" s="160"/>
      <c r="BJ493" s="160"/>
      <c r="BK493" s="160"/>
      <c r="BL493" s="160"/>
      <c r="BM493" s="160"/>
      <c r="BN493" s="160"/>
      <c r="BO493" s="160"/>
      <c r="BP493" s="160"/>
      <c r="BQ493" s="160"/>
      <c r="BR493" s="160"/>
      <c r="BS493" s="160"/>
      <c r="BT493" s="160"/>
      <c r="BU493" s="160"/>
      <c r="BV493" s="160"/>
      <c r="BW493" s="160"/>
      <c r="BX493" s="160"/>
      <c r="BY493" s="160"/>
      <c r="BZ493" s="160"/>
      <c r="CA493" s="160"/>
      <c r="CB493" s="160"/>
      <c r="CC493" s="160"/>
      <c r="CD493" s="160"/>
      <c r="CE493" s="160"/>
      <c r="CF493" s="160"/>
      <c r="CG493" s="160"/>
      <c r="CH493" s="160"/>
      <c r="CI493" s="160"/>
      <c r="CJ493" s="160"/>
      <c r="CK493" s="160"/>
      <c r="CL493" s="160"/>
    </row>
    <row r="494">
      <c r="A494" s="218" t="s">
        <v>615</v>
      </c>
      <c r="B494" s="189" t="s">
        <v>616</v>
      </c>
      <c r="C494" s="190" t="s">
        <v>1100</v>
      </c>
      <c r="D494" s="176" t="str">
        <f>IFERROR(VLOOKUP(C494, PIC!A:B, 2, 0), "")</f>
        <v>Thai Nguyen 1</v>
      </c>
      <c r="E494" s="189" t="s">
        <v>22</v>
      </c>
      <c r="F494" s="191" t="s">
        <v>849</v>
      </c>
      <c r="G494" s="189"/>
      <c r="H494" s="170">
        <f>IFERROR(
  MINIFS(ATTENDANCE_LOG!$F:$F,
         ATTENDANCE_LOG!$A:$A, C494,
         ATTENDANCE_LOG!$B:$B, E494),
"")</f>
        <v>46085.58333</v>
      </c>
      <c r="I494" s="170">
        <f t="shared" si="2"/>
        <v>46085.58333</v>
      </c>
      <c r="J494" s="189">
        <f>IFERROR(VLOOKUP(F494, LEVEL_HELPER!$A:$B, 2, 0), "")</f>
        <v>1</v>
      </c>
      <c r="K494" s="189" t="str">
        <f>IFERROR(VLOOKUP(G494, LEVEL_HELPER!$A:$B, 2, 0), "")</f>
        <v/>
      </c>
      <c r="L494" s="219" t="s">
        <v>400</v>
      </c>
      <c r="M494" s="219" t="s">
        <v>152</v>
      </c>
      <c r="N494" s="11">
        <f t="array" ref="N494">IFERROR(
  INDEX($J$2:$J$531,
    MATCH(A494&amp;TEXT(I494,"yyyy-mm-dd"),
          $A$2:$A$531&amp;TEXT($H$2:$H$531,"yyyy-mm-dd"),
          0)),
"")</f>
        <v>1</v>
      </c>
      <c r="O494" s="194">
        <f t="shared" si="3"/>
        <v>0</v>
      </c>
      <c r="P494" s="160">
        <f t="shared" ref="P494:Q494" si="504">IF(N494="",0,IF(N494&lt;=2,1,IF(N494&lt;=4,2,IF(N494&lt;=5.5,3,4))))</f>
        <v>1</v>
      </c>
      <c r="Q494" s="160">
        <f t="shared" si="504"/>
        <v>1</v>
      </c>
      <c r="R494" s="160" t="str">
        <f t="shared" si="5"/>
        <v>Not tested yet</v>
      </c>
      <c r="S494" s="160">
        <f t="shared" si="6"/>
        <v>1</v>
      </c>
      <c r="T494" s="207"/>
      <c r="U494" s="160">
        <f>COUNTIFS(sheet2!$A:$A,A494,sheet2!$E:$E,E494)</f>
        <v>1</v>
      </c>
      <c r="V494" s="160"/>
      <c r="W494" s="160"/>
      <c r="X494" s="160"/>
      <c r="Y494" s="160"/>
      <c r="Z494" s="160"/>
      <c r="AA494" s="160"/>
      <c r="AB494" s="160"/>
      <c r="AC494" s="160"/>
      <c r="AD494" s="160"/>
      <c r="AE494" s="160"/>
      <c r="AF494" s="160"/>
      <c r="AG494" s="160"/>
      <c r="AH494" s="160"/>
      <c r="AI494" s="160"/>
      <c r="AJ494" s="160"/>
      <c r="AK494" s="160"/>
      <c r="AL494" s="160"/>
      <c r="AM494" s="160"/>
      <c r="AN494" s="164"/>
      <c r="AO494" s="160"/>
      <c r="AP494" s="160"/>
      <c r="AQ494" s="160"/>
      <c r="AR494" s="160"/>
      <c r="AS494" s="160"/>
      <c r="AT494" s="160"/>
      <c r="AU494" s="160"/>
      <c r="AV494" s="160"/>
      <c r="AW494" s="160"/>
      <c r="AX494" s="160"/>
      <c r="AY494" s="160"/>
      <c r="AZ494" s="160"/>
      <c r="BA494" s="160"/>
      <c r="BB494" s="160"/>
      <c r="BC494" s="160"/>
      <c r="BD494" s="160"/>
      <c r="BE494" s="160"/>
      <c r="BF494" s="160"/>
      <c r="BG494" s="160"/>
      <c r="BH494" s="160"/>
      <c r="BI494" s="160"/>
      <c r="BJ494" s="160"/>
      <c r="BK494" s="160"/>
      <c r="BL494" s="160"/>
      <c r="BM494" s="160"/>
      <c r="BN494" s="160"/>
      <c r="BO494" s="160"/>
      <c r="BP494" s="160"/>
      <c r="BQ494" s="160"/>
      <c r="BR494" s="160"/>
      <c r="BS494" s="160"/>
      <c r="BT494" s="160"/>
      <c r="BU494" s="160"/>
      <c r="BV494" s="160"/>
      <c r="BW494" s="160"/>
      <c r="BX494" s="160"/>
      <c r="BY494" s="160"/>
      <c r="BZ494" s="160"/>
      <c r="CA494" s="160"/>
      <c r="CB494" s="160"/>
      <c r="CC494" s="160"/>
      <c r="CD494" s="160"/>
      <c r="CE494" s="160"/>
      <c r="CF494" s="160"/>
      <c r="CG494" s="160"/>
      <c r="CH494" s="160"/>
      <c r="CI494" s="160"/>
      <c r="CJ494" s="160"/>
      <c r="CK494" s="160"/>
      <c r="CL494" s="160"/>
    </row>
    <row r="495">
      <c r="A495" s="218" t="s">
        <v>617</v>
      </c>
      <c r="B495" s="189" t="s">
        <v>618</v>
      </c>
      <c r="C495" s="190" t="s">
        <v>1100</v>
      </c>
      <c r="D495" s="176" t="str">
        <f>IFERROR(VLOOKUP(C495, PIC!A:B, 2, 0), "")</f>
        <v>Thai Nguyen 1</v>
      </c>
      <c r="E495" s="189" t="s">
        <v>22</v>
      </c>
      <c r="F495" s="191" t="s">
        <v>849</v>
      </c>
      <c r="G495" s="189"/>
      <c r="H495" s="170">
        <f>IFERROR(
  MINIFS(ATTENDANCE_LOG!$F:$F,
         ATTENDANCE_LOG!$A:$A, C495,
         ATTENDANCE_LOG!$B:$B, E495),
"")</f>
        <v>46085.58333</v>
      </c>
      <c r="I495" s="170">
        <f t="shared" si="2"/>
        <v>46085.58333</v>
      </c>
      <c r="J495" s="189">
        <f>IFERROR(VLOOKUP(F495, LEVEL_HELPER!$A:$B, 2, 0), "")</f>
        <v>1</v>
      </c>
      <c r="K495" s="189" t="str">
        <f>IFERROR(VLOOKUP(G495, LEVEL_HELPER!$A:$B, 2, 0), "")</f>
        <v/>
      </c>
      <c r="L495" s="219" t="s">
        <v>400</v>
      </c>
      <c r="M495" s="219" t="s">
        <v>152</v>
      </c>
      <c r="N495" s="11">
        <f t="array" ref="N495">IFERROR(
  INDEX($J$2:$J$531,
    MATCH(A495&amp;TEXT(I495,"yyyy-mm-dd"),
          $A$2:$A$531&amp;TEXT($H$2:$H$531,"yyyy-mm-dd"),
          0)),
"")</f>
        <v>1</v>
      </c>
      <c r="O495" s="194">
        <f t="shared" si="3"/>
        <v>0</v>
      </c>
      <c r="P495" s="160">
        <f t="shared" ref="P495:Q495" si="505">IF(N495="",0,IF(N495&lt;=2,1,IF(N495&lt;=4,2,IF(N495&lt;=5.5,3,4))))</f>
        <v>1</v>
      </c>
      <c r="Q495" s="160">
        <f t="shared" si="505"/>
        <v>1</v>
      </c>
      <c r="R495" s="160" t="str">
        <f t="shared" si="5"/>
        <v>Not tested yet</v>
      </c>
      <c r="S495" s="160">
        <f t="shared" si="6"/>
        <v>1</v>
      </c>
      <c r="T495" s="207"/>
      <c r="U495" s="160">
        <f>COUNTIFS(sheet2!$A:$A,A495,sheet2!$E:$E,E495)</f>
        <v>1</v>
      </c>
      <c r="V495" s="160"/>
      <c r="W495" s="160"/>
      <c r="X495" s="160"/>
      <c r="Y495" s="160"/>
      <c r="Z495" s="160"/>
      <c r="AA495" s="160"/>
      <c r="AB495" s="160"/>
      <c r="AC495" s="160"/>
      <c r="AD495" s="160"/>
      <c r="AE495" s="160"/>
      <c r="AF495" s="160"/>
      <c r="AG495" s="160"/>
      <c r="AH495" s="160"/>
      <c r="AI495" s="160"/>
      <c r="AJ495" s="160"/>
      <c r="AK495" s="160"/>
      <c r="AL495" s="160"/>
      <c r="AM495" s="160"/>
      <c r="AN495" s="164"/>
      <c r="AO495" s="160"/>
      <c r="AP495" s="160"/>
      <c r="AQ495" s="160"/>
      <c r="AR495" s="160"/>
      <c r="AS495" s="160"/>
      <c r="AT495" s="160"/>
      <c r="AU495" s="160"/>
      <c r="AV495" s="160"/>
      <c r="AW495" s="160"/>
      <c r="AX495" s="160"/>
      <c r="AY495" s="160"/>
      <c r="AZ495" s="160"/>
      <c r="BA495" s="160"/>
      <c r="BB495" s="160"/>
      <c r="BC495" s="160"/>
      <c r="BD495" s="160"/>
      <c r="BE495" s="160"/>
      <c r="BF495" s="160"/>
      <c r="BG495" s="160"/>
      <c r="BH495" s="160"/>
      <c r="BI495" s="160"/>
      <c r="BJ495" s="160"/>
      <c r="BK495" s="160"/>
      <c r="BL495" s="160"/>
      <c r="BM495" s="160"/>
      <c r="BN495" s="160"/>
      <c r="BO495" s="160"/>
      <c r="BP495" s="160"/>
      <c r="BQ495" s="160"/>
      <c r="BR495" s="160"/>
      <c r="BS495" s="160"/>
      <c r="BT495" s="160"/>
      <c r="BU495" s="160"/>
      <c r="BV495" s="160"/>
      <c r="BW495" s="160"/>
      <c r="BX495" s="160"/>
      <c r="BY495" s="160"/>
      <c r="BZ495" s="160"/>
      <c r="CA495" s="160"/>
      <c r="CB495" s="160"/>
      <c r="CC495" s="160"/>
      <c r="CD495" s="160"/>
      <c r="CE495" s="160"/>
      <c r="CF495" s="160"/>
      <c r="CG495" s="160"/>
      <c r="CH495" s="160"/>
      <c r="CI495" s="160"/>
      <c r="CJ495" s="160"/>
      <c r="CK495" s="160"/>
      <c r="CL495" s="160"/>
    </row>
    <row r="496">
      <c r="A496" s="216" t="s">
        <v>619</v>
      </c>
      <c r="B496" s="212" t="s">
        <v>620</v>
      </c>
      <c r="C496" s="169" t="s">
        <v>1101</v>
      </c>
      <c r="D496" s="169" t="str">
        <f>IFERROR(VLOOKUP(C496, PIC!A:B, 2, 0), "")</f>
        <v>Thai Nguyen 2</v>
      </c>
      <c r="E496" s="210" t="s">
        <v>22</v>
      </c>
      <c r="F496" s="212" t="s">
        <v>849</v>
      </c>
      <c r="G496" s="210"/>
      <c r="H496" s="170">
        <f>IFERROR(
  MINIFS(ATTENDANCE_LOG!$F:$F,
         ATTENDANCE_LOG!$A:$A, C496,
         ATTENDANCE_LOG!$B:$B, E496),
"")</f>
        <v>46085.625</v>
      </c>
      <c r="I496" s="170">
        <f t="shared" si="2"/>
        <v>46085.625</v>
      </c>
      <c r="J496" s="189">
        <f>IFERROR(VLOOKUP(F496, LEVEL_HELPER!$A:$B, 2, 0), "")</f>
        <v>1</v>
      </c>
      <c r="K496" s="189" t="str">
        <f>IFERROR(VLOOKUP(G496, LEVEL_HELPER!$A:$B, 2, 0), "")</f>
        <v/>
      </c>
      <c r="L496" s="217" t="s">
        <v>400</v>
      </c>
      <c r="M496" s="217" t="s">
        <v>152</v>
      </c>
      <c r="N496" s="11">
        <f t="array" ref="N496">IFERROR(
  INDEX($J$2:$J$531,
    MATCH(A496&amp;TEXT(I496,"yyyy-mm-dd"),
          $A$2:$A$531&amp;TEXT($H$2:$H$531,"yyyy-mm-dd"),
          0)),
"")</f>
        <v>1</v>
      </c>
      <c r="O496" s="194">
        <f t="shared" si="3"/>
        <v>0</v>
      </c>
      <c r="P496" s="160">
        <f t="shared" ref="P496:Q496" si="506">IF(N496="",0,IF(N496&lt;=2,1,IF(N496&lt;=4,2,IF(N496&lt;=5.5,3,4))))</f>
        <v>1</v>
      </c>
      <c r="Q496" s="160">
        <f t="shared" si="506"/>
        <v>1</v>
      </c>
      <c r="R496" s="160" t="str">
        <f t="shared" si="5"/>
        <v>Not tested yet</v>
      </c>
      <c r="S496" s="160">
        <f t="shared" si="6"/>
        <v>1</v>
      </c>
      <c r="T496" s="207"/>
      <c r="U496" s="160">
        <f>COUNTIFS(sheet2!$A:$A,A496,sheet2!$E:$E,E496)</f>
        <v>1</v>
      </c>
      <c r="V496" s="160"/>
      <c r="W496" s="160"/>
      <c r="X496" s="160"/>
      <c r="Y496" s="160"/>
      <c r="Z496" s="160"/>
      <c r="AA496" s="160"/>
      <c r="AB496" s="160"/>
      <c r="AC496" s="160"/>
      <c r="AD496" s="160"/>
      <c r="AE496" s="160"/>
      <c r="AF496" s="160"/>
      <c r="AG496" s="160"/>
      <c r="AH496" s="160"/>
      <c r="AI496" s="160"/>
      <c r="AJ496" s="160"/>
      <c r="AK496" s="160"/>
      <c r="AL496" s="160"/>
      <c r="AM496" s="160"/>
      <c r="AN496" s="164"/>
      <c r="AO496" s="160"/>
      <c r="AP496" s="160"/>
      <c r="AQ496" s="160"/>
      <c r="AR496" s="160"/>
      <c r="AS496" s="160"/>
      <c r="AT496" s="160"/>
      <c r="AU496" s="160"/>
      <c r="AV496" s="160"/>
      <c r="AW496" s="160"/>
      <c r="AX496" s="160"/>
      <c r="AY496" s="160"/>
      <c r="AZ496" s="160"/>
      <c r="BA496" s="160"/>
      <c r="BB496" s="160"/>
      <c r="BC496" s="160"/>
      <c r="BD496" s="160"/>
      <c r="BE496" s="160"/>
      <c r="BF496" s="160"/>
      <c r="BG496" s="160"/>
      <c r="BH496" s="160"/>
      <c r="BI496" s="160"/>
      <c r="BJ496" s="160"/>
      <c r="BK496" s="160"/>
      <c r="BL496" s="160"/>
      <c r="BM496" s="160"/>
      <c r="BN496" s="160"/>
      <c r="BO496" s="160"/>
      <c r="BP496" s="160"/>
      <c r="BQ496" s="160"/>
      <c r="BR496" s="160"/>
      <c r="BS496" s="160"/>
      <c r="BT496" s="160"/>
      <c r="BU496" s="160"/>
      <c r="BV496" s="160"/>
      <c r="BW496" s="160"/>
      <c r="BX496" s="160"/>
      <c r="BY496" s="160"/>
      <c r="BZ496" s="160"/>
      <c r="CA496" s="160"/>
      <c r="CB496" s="160"/>
      <c r="CC496" s="160"/>
      <c r="CD496" s="160"/>
      <c r="CE496" s="160"/>
      <c r="CF496" s="160"/>
      <c r="CG496" s="160"/>
      <c r="CH496" s="160"/>
      <c r="CI496" s="160"/>
      <c r="CJ496" s="160"/>
      <c r="CK496" s="160"/>
      <c r="CL496" s="160"/>
    </row>
    <row r="497">
      <c r="A497" s="218" t="s">
        <v>621</v>
      </c>
      <c r="B497" s="189" t="s">
        <v>622</v>
      </c>
      <c r="C497" s="220" t="s">
        <v>1101</v>
      </c>
      <c r="D497" s="176" t="str">
        <f>IFERROR(VLOOKUP(C497, PIC!A:B, 2, 0), "")</f>
        <v>Thai Nguyen 2</v>
      </c>
      <c r="E497" s="189" t="s">
        <v>22</v>
      </c>
      <c r="F497" s="191" t="s">
        <v>849</v>
      </c>
      <c r="G497" s="189"/>
      <c r="H497" s="170">
        <f>IFERROR(
  MINIFS(ATTENDANCE_LOG!$F:$F,
         ATTENDANCE_LOG!$A:$A, C497,
         ATTENDANCE_LOG!$B:$B, E497),
"")</f>
        <v>46085.625</v>
      </c>
      <c r="I497" s="170">
        <f t="shared" si="2"/>
        <v>46085.625</v>
      </c>
      <c r="J497" s="189">
        <f>IFERROR(VLOOKUP(F497, LEVEL_HELPER!$A:$B, 2, 0), "")</f>
        <v>1</v>
      </c>
      <c r="K497" s="189" t="str">
        <f>IFERROR(VLOOKUP(G497, LEVEL_HELPER!$A:$B, 2, 0), "")</f>
        <v/>
      </c>
      <c r="L497" s="219" t="s">
        <v>400</v>
      </c>
      <c r="M497" s="219" t="s">
        <v>152</v>
      </c>
      <c r="N497" s="11">
        <f t="array" ref="N497">IFERROR(
  INDEX($J$2:$J$531,
    MATCH(A497&amp;TEXT(I497,"yyyy-mm-dd"),
          $A$2:$A$531&amp;TEXT($H$2:$H$531,"yyyy-mm-dd"),
          0)),
"")</f>
        <v>1</v>
      </c>
      <c r="O497" s="194">
        <f t="shared" si="3"/>
        <v>0</v>
      </c>
      <c r="P497" s="160">
        <f t="shared" ref="P497:Q497" si="507">IF(N497="",0,IF(N497&lt;=2,1,IF(N497&lt;=4,2,IF(N497&lt;=5.5,3,4))))</f>
        <v>1</v>
      </c>
      <c r="Q497" s="160">
        <f t="shared" si="507"/>
        <v>1</v>
      </c>
      <c r="R497" s="160" t="str">
        <f t="shared" si="5"/>
        <v>Not tested yet</v>
      </c>
      <c r="S497" s="160">
        <f t="shared" si="6"/>
        <v>1</v>
      </c>
      <c r="T497" s="207"/>
      <c r="U497" s="160">
        <f>COUNTIFS(sheet2!$A:$A,A497,sheet2!$E:$E,E497)</f>
        <v>1</v>
      </c>
      <c r="V497" s="160"/>
      <c r="W497" s="160"/>
      <c r="X497" s="160"/>
      <c r="Y497" s="160"/>
      <c r="Z497" s="160"/>
      <c r="AA497" s="160"/>
      <c r="AB497" s="160"/>
      <c r="AC497" s="160"/>
      <c r="AD497" s="160"/>
      <c r="AE497" s="160"/>
      <c r="AF497" s="160"/>
      <c r="AG497" s="160"/>
      <c r="AH497" s="160"/>
      <c r="AI497" s="160"/>
      <c r="AJ497" s="160"/>
      <c r="AK497" s="160"/>
      <c r="AL497" s="160"/>
      <c r="AM497" s="160"/>
      <c r="AN497" s="164"/>
      <c r="AO497" s="160"/>
      <c r="AP497" s="160"/>
      <c r="AQ497" s="160"/>
      <c r="AR497" s="160"/>
      <c r="AS497" s="160"/>
      <c r="AT497" s="160"/>
      <c r="AU497" s="160"/>
      <c r="AV497" s="160"/>
      <c r="AW497" s="160"/>
      <c r="AX497" s="160"/>
      <c r="AY497" s="160"/>
      <c r="AZ497" s="160"/>
      <c r="BA497" s="160"/>
      <c r="BB497" s="160"/>
      <c r="BC497" s="160"/>
      <c r="BD497" s="160"/>
      <c r="BE497" s="160"/>
      <c r="BF497" s="160"/>
      <c r="BG497" s="160"/>
      <c r="BH497" s="160"/>
      <c r="BI497" s="160"/>
      <c r="BJ497" s="160"/>
      <c r="BK497" s="160"/>
      <c r="BL497" s="160"/>
      <c r="BM497" s="160"/>
      <c r="BN497" s="160"/>
      <c r="BO497" s="160"/>
      <c r="BP497" s="160"/>
      <c r="BQ497" s="160"/>
      <c r="BR497" s="160"/>
      <c r="BS497" s="160"/>
      <c r="BT497" s="160"/>
      <c r="BU497" s="160"/>
      <c r="BV497" s="160"/>
      <c r="BW497" s="160"/>
      <c r="BX497" s="160"/>
      <c r="BY497" s="160"/>
      <c r="BZ497" s="160"/>
      <c r="CA497" s="160"/>
      <c r="CB497" s="160"/>
      <c r="CC497" s="160"/>
      <c r="CD497" s="160"/>
      <c r="CE497" s="160"/>
      <c r="CF497" s="160"/>
      <c r="CG497" s="160"/>
      <c r="CH497" s="160"/>
      <c r="CI497" s="160"/>
      <c r="CJ497" s="160"/>
      <c r="CK497" s="160"/>
      <c r="CL497" s="160"/>
    </row>
    <row r="498">
      <c r="A498" s="218" t="s">
        <v>623</v>
      </c>
      <c r="B498" s="189" t="s">
        <v>624</v>
      </c>
      <c r="C498" s="220" t="s">
        <v>1101</v>
      </c>
      <c r="D498" s="176" t="str">
        <f>IFERROR(VLOOKUP(C498, PIC!A:B, 2, 0), "")</f>
        <v>Thai Nguyen 2</v>
      </c>
      <c r="E498" s="189" t="s">
        <v>22</v>
      </c>
      <c r="F498" s="191" t="s">
        <v>849</v>
      </c>
      <c r="G498" s="189"/>
      <c r="H498" s="170">
        <f>IFERROR(
  MINIFS(ATTENDANCE_LOG!$F:$F,
         ATTENDANCE_LOG!$A:$A, C498,
         ATTENDANCE_LOG!$B:$B, E498),
"")</f>
        <v>46085.625</v>
      </c>
      <c r="I498" s="170">
        <f t="shared" si="2"/>
        <v>46085.625</v>
      </c>
      <c r="J498" s="189">
        <f>IFERROR(VLOOKUP(F498, LEVEL_HELPER!$A:$B, 2, 0), "")</f>
        <v>1</v>
      </c>
      <c r="K498" s="189" t="str">
        <f>IFERROR(VLOOKUP(G498, LEVEL_HELPER!$A:$B, 2, 0), "")</f>
        <v/>
      </c>
      <c r="L498" s="219" t="s">
        <v>400</v>
      </c>
      <c r="M498" s="219" t="s">
        <v>152</v>
      </c>
      <c r="N498" s="11">
        <f t="array" ref="N498">IFERROR(
  INDEX($J$2:$J$531,
    MATCH(A498&amp;TEXT(I498,"yyyy-mm-dd"),
          $A$2:$A$531&amp;TEXT($H$2:$H$531,"yyyy-mm-dd"),
          0)),
"")</f>
        <v>1</v>
      </c>
      <c r="O498" s="194">
        <f t="shared" si="3"/>
        <v>0</v>
      </c>
      <c r="P498" s="160">
        <f t="shared" ref="P498:Q498" si="508">IF(N498="",0,IF(N498&lt;=2,1,IF(N498&lt;=4,2,IF(N498&lt;=5.5,3,4))))</f>
        <v>1</v>
      </c>
      <c r="Q498" s="160">
        <f t="shared" si="508"/>
        <v>1</v>
      </c>
      <c r="R498" s="160" t="str">
        <f t="shared" si="5"/>
        <v>Not tested yet</v>
      </c>
      <c r="S498" s="160">
        <f t="shared" si="6"/>
        <v>1</v>
      </c>
      <c r="T498" s="207"/>
      <c r="U498" s="160">
        <f>COUNTIFS(sheet2!$A:$A,A498,sheet2!$E:$E,E498)</f>
        <v>1</v>
      </c>
      <c r="V498" s="160"/>
      <c r="W498" s="160"/>
      <c r="X498" s="160"/>
      <c r="Y498" s="160"/>
      <c r="Z498" s="160"/>
      <c r="AA498" s="160"/>
      <c r="AB498" s="160"/>
      <c r="AC498" s="160"/>
      <c r="AD498" s="160"/>
      <c r="AE498" s="160"/>
      <c r="AF498" s="160"/>
      <c r="AG498" s="160"/>
      <c r="AH498" s="160"/>
      <c r="AI498" s="160"/>
      <c r="AJ498" s="160"/>
      <c r="AK498" s="160"/>
      <c r="AL498" s="160"/>
      <c r="AM498" s="160"/>
      <c r="AN498" s="164"/>
      <c r="AO498" s="160"/>
      <c r="AP498" s="160"/>
      <c r="AQ498" s="160"/>
      <c r="AR498" s="160"/>
      <c r="AS498" s="160"/>
      <c r="AT498" s="160"/>
      <c r="AU498" s="160"/>
      <c r="AV498" s="160"/>
      <c r="AW498" s="160"/>
      <c r="AX498" s="160"/>
      <c r="AY498" s="160"/>
      <c r="AZ498" s="160"/>
      <c r="BA498" s="160"/>
      <c r="BB498" s="160"/>
      <c r="BC498" s="160"/>
      <c r="BD498" s="160"/>
      <c r="BE498" s="160"/>
      <c r="BF498" s="160"/>
      <c r="BG498" s="160"/>
      <c r="BH498" s="160"/>
      <c r="BI498" s="160"/>
      <c r="BJ498" s="160"/>
      <c r="BK498" s="160"/>
      <c r="BL498" s="160"/>
      <c r="BM498" s="160"/>
      <c r="BN498" s="160"/>
      <c r="BO498" s="160"/>
      <c r="BP498" s="160"/>
      <c r="BQ498" s="160"/>
      <c r="BR498" s="160"/>
      <c r="BS498" s="160"/>
      <c r="BT498" s="160"/>
      <c r="BU498" s="160"/>
      <c r="BV498" s="160"/>
      <c r="BW498" s="160"/>
      <c r="BX498" s="160"/>
      <c r="BY498" s="160"/>
      <c r="BZ498" s="160"/>
      <c r="CA498" s="160"/>
      <c r="CB498" s="160"/>
      <c r="CC498" s="160"/>
      <c r="CD498" s="160"/>
      <c r="CE498" s="160"/>
      <c r="CF498" s="160"/>
      <c r="CG498" s="160"/>
      <c r="CH498" s="160"/>
      <c r="CI498" s="160"/>
      <c r="CJ498" s="160"/>
      <c r="CK498" s="160"/>
      <c r="CL498" s="160"/>
    </row>
    <row r="499">
      <c r="A499" s="218" t="s">
        <v>625</v>
      </c>
      <c r="B499" s="189" t="s">
        <v>626</v>
      </c>
      <c r="C499" s="220" t="s">
        <v>1101</v>
      </c>
      <c r="D499" s="176" t="str">
        <f>IFERROR(VLOOKUP(C499, PIC!A:B, 2, 0), "")</f>
        <v>Thai Nguyen 2</v>
      </c>
      <c r="E499" s="189" t="s">
        <v>22</v>
      </c>
      <c r="F499" s="191" t="s">
        <v>849</v>
      </c>
      <c r="G499" s="189"/>
      <c r="H499" s="170">
        <f>IFERROR(
  MINIFS(ATTENDANCE_LOG!$F:$F,
         ATTENDANCE_LOG!$A:$A, C499,
         ATTENDANCE_LOG!$B:$B, E499),
"")</f>
        <v>46085.625</v>
      </c>
      <c r="I499" s="170">
        <f t="shared" si="2"/>
        <v>46085.625</v>
      </c>
      <c r="J499" s="189">
        <f>IFERROR(VLOOKUP(F499, LEVEL_HELPER!$A:$B, 2, 0), "")</f>
        <v>1</v>
      </c>
      <c r="K499" s="189" t="str">
        <f>IFERROR(VLOOKUP(G499, LEVEL_HELPER!$A:$B, 2, 0), "")</f>
        <v/>
      </c>
      <c r="L499" s="219" t="s">
        <v>400</v>
      </c>
      <c r="M499" s="219" t="s">
        <v>152</v>
      </c>
      <c r="N499" s="11">
        <f t="array" ref="N499">IFERROR(
  INDEX($J$2:$J$531,
    MATCH(A499&amp;TEXT(I499,"yyyy-mm-dd"),
          $A$2:$A$531&amp;TEXT($H$2:$H$531,"yyyy-mm-dd"),
          0)),
"")</f>
        <v>1</v>
      </c>
      <c r="O499" s="194">
        <f t="shared" si="3"/>
        <v>0</v>
      </c>
      <c r="P499" s="160">
        <f t="shared" ref="P499:Q499" si="509">IF(N499="",0,IF(N499&lt;=2,1,IF(N499&lt;=4,2,IF(N499&lt;=5.5,3,4))))</f>
        <v>1</v>
      </c>
      <c r="Q499" s="160">
        <f t="shared" si="509"/>
        <v>1</v>
      </c>
      <c r="R499" s="160" t="str">
        <f t="shared" si="5"/>
        <v>Not tested yet</v>
      </c>
      <c r="S499" s="160">
        <f t="shared" si="6"/>
        <v>1</v>
      </c>
      <c r="T499" s="207"/>
      <c r="U499" s="160">
        <f>COUNTIFS(sheet2!$A:$A,A499,sheet2!$E:$E,E499)</f>
        <v>1</v>
      </c>
      <c r="V499" s="160"/>
      <c r="W499" s="160"/>
      <c r="X499" s="160"/>
      <c r="Y499" s="160"/>
      <c r="Z499" s="160"/>
      <c r="AA499" s="160"/>
      <c r="AB499" s="160"/>
      <c r="AC499" s="160"/>
      <c r="AD499" s="160"/>
      <c r="AE499" s="160"/>
      <c r="AF499" s="160"/>
      <c r="AG499" s="160"/>
      <c r="AH499" s="160"/>
      <c r="AI499" s="160"/>
      <c r="AJ499" s="160"/>
      <c r="AK499" s="160"/>
      <c r="AL499" s="160"/>
      <c r="AM499" s="160"/>
      <c r="AN499" s="164"/>
      <c r="AO499" s="160"/>
      <c r="AP499" s="160"/>
      <c r="AQ499" s="160"/>
      <c r="AR499" s="160"/>
      <c r="AS499" s="160"/>
      <c r="AT499" s="160"/>
      <c r="AU499" s="160"/>
      <c r="AV499" s="160"/>
      <c r="AW499" s="160"/>
      <c r="AX499" s="160"/>
      <c r="AY499" s="160"/>
      <c r="AZ499" s="160"/>
      <c r="BA499" s="160"/>
      <c r="BB499" s="160"/>
      <c r="BC499" s="160"/>
      <c r="BD499" s="160"/>
      <c r="BE499" s="160"/>
      <c r="BF499" s="160"/>
      <c r="BG499" s="160"/>
      <c r="BH499" s="160"/>
      <c r="BI499" s="160"/>
      <c r="BJ499" s="160"/>
      <c r="BK499" s="160"/>
      <c r="BL499" s="160"/>
      <c r="BM499" s="160"/>
      <c r="BN499" s="160"/>
      <c r="BO499" s="160"/>
      <c r="BP499" s="160"/>
      <c r="BQ499" s="160"/>
      <c r="BR499" s="160"/>
      <c r="BS499" s="160"/>
      <c r="BT499" s="160"/>
      <c r="BU499" s="160"/>
      <c r="BV499" s="160"/>
      <c r="BW499" s="160"/>
      <c r="BX499" s="160"/>
      <c r="BY499" s="160"/>
      <c r="BZ499" s="160"/>
      <c r="CA499" s="160"/>
      <c r="CB499" s="160"/>
      <c r="CC499" s="160"/>
      <c r="CD499" s="160"/>
      <c r="CE499" s="160"/>
      <c r="CF499" s="160"/>
      <c r="CG499" s="160"/>
      <c r="CH499" s="160"/>
      <c r="CI499" s="160"/>
      <c r="CJ499" s="160"/>
      <c r="CK499" s="160"/>
      <c r="CL499" s="160"/>
    </row>
    <row r="500">
      <c r="A500" s="218" t="s">
        <v>627</v>
      </c>
      <c r="B500" s="189" t="s">
        <v>628</v>
      </c>
      <c r="C500" s="220" t="s">
        <v>1101</v>
      </c>
      <c r="D500" s="176" t="str">
        <f>IFERROR(VLOOKUP(C500, PIC!A:B, 2, 0), "")</f>
        <v>Thai Nguyen 2</v>
      </c>
      <c r="E500" s="189" t="s">
        <v>22</v>
      </c>
      <c r="F500" s="191" t="s">
        <v>849</v>
      </c>
      <c r="G500" s="189"/>
      <c r="H500" s="170">
        <f>IFERROR(
  MINIFS(ATTENDANCE_LOG!$F:$F,
         ATTENDANCE_LOG!$A:$A, C500,
         ATTENDANCE_LOG!$B:$B, E500),
"")</f>
        <v>46085.625</v>
      </c>
      <c r="I500" s="170">
        <f t="shared" si="2"/>
        <v>46085.625</v>
      </c>
      <c r="J500" s="189">
        <f>IFERROR(VLOOKUP(F500, LEVEL_HELPER!$A:$B, 2, 0), "")</f>
        <v>1</v>
      </c>
      <c r="K500" s="189" t="str">
        <f>IFERROR(VLOOKUP(G500, LEVEL_HELPER!$A:$B, 2, 0), "")</f>
        <v/>
      </c>
      <c r="L500" s="219" t="s">
        <v>400</v>
      </c>
      <c r="M500" s="219" t="s">
        <v>152</v>
      </c>
      <c r="N500" s="11">
        <f t="array" ref="N500">IFERROR(
  INDEX($J$2:$J$531,
    MATCH(A500&amp;TEXT(I500,"yyyy-mm-dd"),
          $A$2:$A$531&amp;TEXT($H$2:$H$531,"yyyy-mm-dd"),
          0)),
"")</f>
        <v>1</v>
      </c>
      <c r="O500" s="194">
        <f t="shared" si="3"/>
        <v>0</v>
      </c>
      <c r="P500" s="160">
        <f t="shared" ref="P500:Q500" si="510">IF(N500="",0,IF(N500&lt;=2,1,IF(N500&lt;=4,2,IF(N500&lt;=5.5,3,4))))</f>
        <v>1</v>
      </c>
      <c r="Q500" s="160">
        <f t="shared" si="510"/>
        <v>1</v>
      </c>
      <c r="R500" s="160" t="str">
        <f t="shared" si="5"/>
        <v>Not tested yet</v>
      </c>
      <c r="S500" s="160">
        <f t="shared" si="6"/>
        <v>1</v>
      </c>
      <c r="T500" s="207"/>
      <c r="U500" s="160">
        <f>COUNTIFS(sheet2!$A:$A,A500,sheet2!$E:$E,E500)</f>
        <v>1</v>
      </c>
      <c r="V500" s="160"/>
      <c r="W500" s="160"/>
      <c r="X500" s="160"/>
      <c r="Y500" s="160"/>
      <c r="Z500" s="160"/>
      <c r="AA500" s="160"/>
      <c r="AB500" s="160"/>
      <c r="AC500" s="160"/>
      <c r="AD500" s="160"/>
      <c r="AE500" s="160"/>
      <c r="AF500" s="160"/>
      <c r="AG500" s="160"/>
      <c r="AH500" s="160"/>
      <c r="AI500" s="160"/>
      <c r="AJ500" s="160"/>
      <c r="AK500" s="160"/>
      <c r="AL500" s="160"/>
      <c r="AM500" s="160"/>
      <c r="AN500" s="164"/>
      <c r="AO500" s="160"/>
      <c r="AP500" s="160"/>
      <c r="AQ500" s="160"/>
      <c r="AR500" s="160"/>
      <c r="AS500" s="160"/>
      <c r="AT500" s="160"/>
      <c r="AU500" s="160"/>
      <c r="AV500" s="160"/>
      <c r="AW500" s="160"/>
      <c r="AX500" s="160"/>
      <c r="AY500" s="160"/>
      <c r="AZ500" s="160"/>
      <c r="BA500" s="160"/>
      <c r="BB500" s="160"/>
      <c r="BC500" s="160"/>
      <c r="BD500" s="160"/>
      <c r="BE500" s="160"/>
      <c r="BF500" s="160"/>
      <c r="BG500" s="160"/>
      <c r="BH500" s="160"/>
      <c r="BI500" s="160"/>
      <c r="BJ500" s="160"/>
      <c r="BK500" s="160"/>
      <c r="BL500" s="160"/>
      <c r="BM500" s="160"/>
      <c r="BN500" s="160"/>
      <c r="BO500" s="160"/>
      <c r="BP500" s="160"/>
      <c r="BQ500" s="160"/>
      <c r="BR500" s="160"/>
      <c r="BS500" s="160"/>
      <c r="BT500" s="160"/>
      <c r="BU500" s="160"/>
      <c r="BV500" s="160"/>
      <c r="BW500" s="160"/>
      <c r="BX500" s="160"/>
      <c r="BY500" s="160"/>
      <c r="BZ500" s="160"/>
      <c r="CA500" s="160"/>
      <c r="CB500" s="160"/>
      <c r="CC500" s="160"/>
      <c r="CD500" s="160"/>
      <c r="CE500" s="160"/>
      <c r="CF500" s="160"/>
      <c r="CG500" s="160"/>
      <c r="CH500" s="160"/>
      <c r="CI500" s="160"/>
      <c r="CJ500" s="160"/>
      <c r="CK500" s="160"/>
      <c r="CL500" s="160"/>
    </row>
    <row r="501">
      <c r="A501" s="218" t="s">
        <v>629</v>
      </c>
      <c r="B501" s="189" t="s">
        <v>1102</v>
      </c>
      <c r="C501" s="220" t="s">
        <v>1101</v>
      </c>
      <c r="D501" s="176" t="str">
        <f>IFERROR(VLOOKUP(C501, PIC!A:B, 2, 0), "")</f>
        <v>Thai Nguyen 2</v>
      </c>
      <c r="E501" s="189" t="s">
        <v>22</v>
      </c>
      <c r="F501" s="191" t="s">
        <v>849</v>
      </c>
      <c r="G501" s="191"/>
      <c r="H501" s="170">
        <f>IFERROR(
  MINIFS(ATTENDANCE_LOG!$F:$F,
         ATTENDANCE_LOG!$A:$A, C501,
         ATTENDANCE_LOG!$B:$B, E501),
"")</f>
        <v>46085.625</v>
      </c>
      <c r="I501" s="170">
        <f t="shared" si="2"/>
        <v>45917.58333</v>
      </c>
      <c r="J501" s="189">
        <f>IFERROR(VLOOKUP(F501, LEVEL_HELPER!$A:$B, 2, 0), "")</f>
        <v>1</v>
      </c>
      <c r="K501" s="189" t="str">
        <f>IFERROR(VLOOKUP(G501, LEVEL_HELPER!$A:$B, 2, 0), "")</f>
        <v/>
      </c>
      <c r="L501" s="219" t="s">
        <v>400</v>
      </c>
      <c r="M501" s="219" t="s">
        <v>152</v>
      </c>
      <c r="N501" s="11">
        <f t="array" ref="N501">IFERROR(
  INDEX($J$2:$J$531,
    MATCH(A501&amp;TEXT(I501,"yyyy-mm-dd"),
          $A$2:$A$531&amp;TEXT($H$2:$H$531,"yyyy-mm-dd"),
          0)),
"")</f>
        <v>1</v>
      </c>
      <c r="O501" s="194">
        <f t="shared" si="3"/>
        <v>0</v>
      </c>
      <c r="P501" s="160">
        <f t="shared" ref="P501:Q501" si="511">IF(N501="",0,IF(N501&lt;=2,1,IF(N501&lt;=4,2,IF(N501&lt;=5.5,3,4))))</f>
        <v>1</v>
      </c>
      <c r="Q501" s="160">
        <f t="shared" si="511"/>
        <v>1</v>
      </c>
      <c r="R501" s="160" t="str">
        <f t="shared" si="5"/>
        <v>Not tested yet</v>
      </c>
      <c r="S501" s="160">
        <f t="shared" si="6"/>
        <v>0</v>
      </c>
      <c r="T501" s="207"/>
      <c r="U501" s="160">
        <f>COUNTIFS(sheet2!$A:$A,A501,sheet2!$E:$E,E501)</f>
        <v>2</v>
      </c>
      <c r="V501" s="160"/>
      <c r="W501" s="160"/>
      <c r="X501" s="160"/>
      <c r="Y501" s="160"/>
      <c r="Z501" s="160"/>
      <c r="AA501" s="160"/>
      <c r="AB501" s="160"/>
      <c r="AC501" s="160"/>
      <c r="AD501" s="160"/>
      <c r="AE501" s="160"/>
      <c r="AF501" s="160"/>
      <c r="AG501" s="160"/>
      <c r="AH501" s="160"/>
      <c r="AI501" s="160"/>
      <c r="AJ501" s="160"/>
      <c r="AK501" s="160"/>
      <c r="AL501" s="160"/>
      <c r="AM501" s="160"/>
      <c r="AN501" s="164"/>
      <c r="AO501" s="160"/>
      <c r="AP501" s="160"/>
      <c r="AQ501" s="160"/>
      <c r="AR501" s="160"/>
      <c r="AS501" s="160"/>
      <c r="AT501" s="160"/>
      <c r="AU501" s="160"/>
      <c r="AV501" s="160"/>
      <c r="AW501" s="160"/>
      <c r="AX501" s="160"/>
      <c r="AY501" s="160"/>
      <c r="AZ501" s="160"/>
      <c r="BA501" s="160"/>
      <c r="BB501" s="160"/>
      <c r="BC501" s="160"/>
      <c r="BD501" s="160"/>
      <c r="BE501" s="160"/>
      <c r="BF501" s="160"/>
      <c r="BG501" s="160"/>
      <c r="BH501" s="160"/>
      <c r="BI501" s="160"/>
      <c r="BJ501" s="160"/>
      <c r="BK501" s="160"/>
      <c r="BL501" s="160"/>
      <c r="BM501" s="160"/>
      <c r="BN501" s="160"/>
      <c r="BO501" s="160"/>
      <c r="BP501" s="160"/>
      <c r="BQ501" s="160"/>
      <c r="BR501" s="160"/>
      <c r="BS501" s="160"/>
      <c r="BT501" s="160"/>
      <c r="BU501" s="160"/>
      <c r="BV501" s="160"/>
      <c r="BW501" s="160"/>
      <c r="BX501" s="160"/>
      <c r="BY501" s="160"/>
      <c r="BZ501" s="160"/>
      <c r="CA501" s="160"/>
      <c r="CB501" s="160"/>
      <c r="CC501" s="160"/>
      <c r="CD501" s="160"/>
      <c r="CE501" s="160"/>
      <c r="CF501" s="160"/>
      <c r="CG501" s="160"/>
      <c r="CH501" s="160"/>
      <c r="CI501" s="160"/>
      <c r="CJ501" s="160"/>
      <c r="CK501" s="160"/>
      <c r="CL501" s="160"/>
    </row>
    <row r="502">
      <c r="A502" s="216" t="s">
        <v>691</v>
      </c>
      <c r="B502" s="212" t="s">
        <v>692</v>
      </c>
      <c r="C502" s="169" t="s">
        <v>1103</v>
      </c>
      <c r="D502" s="169" t="str">
        <f>IFERROR(VLOOKUP(C502, PIC!A:B, 2, 0), "")</f>
        <v>Trang Ngo</v>
      </c>
      <c r="E502" s="210" t="s">
        <v>22</v>
      </c>
      <c r="F502" s="212" t="s">
        <v>861</v>
      </c>
      <c r="G502" s="210"/>
      <c r="H502" s="170">
        <f>IFERROR(
  MINIFS(ATTENDANCE_LOG!$F:$F,
         ATTENDANCE_LOG!$A:$A, C502,
         ATTENDANCE_LOG!$B:$B, E502),
"")</f>
        <v>46113.58333</v>
      </c>
      <c r="I502" s="170">
        <f t="shared" si="2"/>
        <v>46113.58333</v>
      </c>
      <c r="J502" s="189">
        <f>IFERROR(VLOOKUP(F502, LEVEL_HELPER!$A:$B, 2, 0), "")</f>
        <v>3.5</v>
      </c>
      <c r="K502" s="189" t="str">
        <f>IFERROR(VLOOKUP(G502, LEVEL_HELPER!$A:$B, 2, 0), "")</f>
        <v/>
      </c>
      <c r="L502" s="217" t="s">
        <v>1104</v>
      </c>
      <c r="M502" s="217" t="s">
        <v>149</v>
      </c>
      <c r="N502" s="11">
        <f t="array" ref="N502">IFERROR(
  INDEX($J$2:$J$531,
    MATCH(A502&amp;TEXT(I502,"yyyy-mm-dd"),
          $A$2:$A$531&amp;TEXT($H$2:$H$531,"yyyy-mm-dd"),
          0)),
"")</f>
        <v>3.5</v>
      </c>
      <c r="O502" s="194">
        <f t="shared" si="3"/>
        <v>0</v>
      </c>
      <c r="P502" s="160">
        <f t="shared" ref="P502:Q502" si="512">IF(N502="",0,IF(N502&lt;=2,1,IF(N502&lt;=4,2,IF(N502&lt;=5.5,3,4))))</f>
        <v>2</v>
      </c>
      <c r="Q502" s="160">
        <f t="shared" si="512"/>
        <v>1</v>
      </c>
      <c r="R502" s="160" t="str">
        <f t="shared" si="5"/>
        <v>Not tested yet</v>
      </c>
      <c r="S502" s="160">
        <f t="shared" si="6"/>
        <v>1</v>
      </c>
      <c r="T502" s="207"/>
      <c r="U502" s="160">
        <f>COUNTIFS(sheet2!$A:$A,A502,sheet2!$E:$E,E502)</f>
        <v>1</v>
      </c>
      <c r="V502" s="160"/>
      <c r="W502" s="160"/>
      <c r="X502" s="160"/>
      <c r="Y502" s="160"/>
      <c r="Z502" s="160"/>
      <c r="AA502" s="160"/>
      <c r="AB502" s="160"/>
      <c r="AC502" s="160"/>
      <c r="AD502" s="160"/>
      <c r="AE502" s="160"/>
      <c r="AF502" s="160"/>
      <c r="AG502" s="160"/>
      <c r="AH502" s="160"/>
      <c r="AI502" s="160"/>
      <c r="AJ502" s="160"/>
      <c r="AK502" s="160"/>
      <c r="AL502" s="160"/>
      <c r="AM502" s="160"/>
      <c r="AN502" s="164"/>
      <c r="AO502" s="160"/>
      <c r="AP502" s="160"/>
      <c r="AQ502" s="160"/>
      <c r="AR502" s="160"/>
      <c r="AS502" s="160"/>
      <c r="AT502" s="160"/>
      <c r="AU502" s="160"/>
      <c r="AV502" s="160"/>
      <c r="AW502" s="160"/>
      <c r="AX502" s="160"/>
      <c r="AY502" s="160"/>
      <c r="AZ502" s="160"/>
      <c r="BA502" s="160"/>
      <c r="BB502" s="160"/>
      <c r="BC502" s="160"/>
      <c r="BD502" s="160"/>
      <c r="BE502" s="160"/>
      <c r="BF502" s="160"/>
      <c r="BG502" s="160"/>
      <c r="BH502" s="160"/>
      <c r="BI502" s="160"/>
      <c r="BJ502" s="160"/>
      <c r="BK502" s="160"/>
      <c r="BL502" s="160"/>
      <c r="BM502" s="160"/>
      <c r="BN502" s="160"/>
      <c r="BO502" s="160"/>
      <c r="BP502" s="160"/>
      <c r="BQ502" s="160"/>
      <c r="BR502" s="160"/>
      <c r="BS502" s="160"/>
      <c r="BT502" s="160"/>
      <c r="BU502" s="160"/>
      <c r="BV502" s="160"/>
      <c r="BW502" s="160"/>
      <c r="BX502" s="160"/>
      <c r="BY502" s="160"/>
      <c r="BZ502" s="160"/>
      <c r="CA502" s="160"/>
      <c r="CB502" s="160"/>
      <c r="CC502" s="160"/>
      <c r="CD502" s="160"/>
      <c r="CE502" s="160"/>
      <c r="CF502" s="160"/>
      <c r="CG502" s="160"/>
      <c r="CH502" s="160"/>
      <c r="CI502" s="160"/>
      <c r="CJ502" s="160"/>
      <c r="CK502" s="160"/>
      <c r="CL502" s="160"/>
    </row>
    <row r="503">
      <c r="A503" s="218" t="s">
        <v>693</v>
      </c>
      <c r="B503" s="189" t="s">
        <v>694</v>
      </c>
      <c r="C503" s="220" t="s">
        <v>1103</v>
      </c>
      <c r="D503" s="176" t="str">
        <f>IFERROR(VLOOKUP(C503, PIC!A:B, 2, 0), "")</f>
        <v>Trang Ngo</v>
      </c>
      <c r="E503" s="189" t="s">
        <v>22</v>
      </c>
      <c r="F503" s="191" t="s">
        <v>849</v>
      </c>
      <c r="G503" s="189"/>
      <c r="H503" s="170">
        <f>IFERROR(
  MINIFS(ATTENDANCE_LOG!$F:$F,
         ATTENDANCE_LOG!$A:$A, C503,
         ATTENDANCE_LOG!$B:$B, E503),
"")</f>
        <v>46113.58333</v>
      </c>
      <c r="I503" s="170">
        <f t="shared" si="2"/>
        <v>46113.58333</v>
      </c>
      <c r="J503" s="189">
        <f>IFERROR(VLOOKUP(F503, LEVEL_HELPER!$A:$B, 2, 0), "")</f>
        <v>1</v>
      </c>
      <c r="K503" s="189" t="str">
        <f>IFERROR(VLOOKUP(G503, LEVEL_HELPER!$A:$B, 2, 0), "")</f>
        <v/>
      </c>
      <c r="L503" s="219" t="s">
        <v>400</v>
      </c>
      <c r="M503" s="219" t="s">
        <v>150</v>
      </c>
      <c r="N503" s="11">
        <f t="array" ref="N503">IFERROR(
  INDEX($J$2:$J$531,
    MATCH(A503&amp;TEXT(I503,"yyyy-mm-dd"),
          $A$2:$A$531&amp;TEXT($H$2:$H$531,"yyyy-mm-dd"),
          0)),
"")</f>
        <v>1</v>
      </c>
      <c r="O503" s="194">
        <f t="shared" si="3"/>
        <v>0</v>
      </c>
      <c r="P503" s="160">
        <f t="shared" ref="P503:Q503" si="513">IF(N503="",0,IF(N503&lt;=2,1,IF(N503&lt;=4,2,IF(N503&lt;=5.5,3,4))))</f>
        <v>1</v>
      </c>
      <c r="Q503" s="160">
        <f t="shared" si="513"/>
        <v>1</v>
      </c>
      <c r="R503" s="160" t="str">
        <f t="shared" si="5"/>
        <v>Not tested yet</v>
      </c>
      <c r="S503" s="160">
        <f t="shared" si="6"/>
        <v>1</v>
      </c>
      <c r="T503" s="207"/>
      <c r="U503" s="160">
        <f>COUNTIFS(sheet2!$A:$A,A503,sheet2!$E:$E,E503)</f>
        <v>1</v>
      </c>
      <c r="V503" s="160"/>
      <c r="W503" s="160"/>
      <c r="X503" s="160"/>
      <c r="Y503" s="160"/>
      <c r="Z503" s="160"/>
      <c r="AA503" s="160"/>
      <c r="AB503" s="160"/>
      <c r="AC503" s="160"/>
      <c r="AD503" s="160"/>
      <c r="AE503" s="160"/>
      <c r="AF503" s="160"/>
      <c r="AG503" s="160"/>
      <c r="AH503" s="160"/>
      <c r="AI503" s="160"/>
      <c r="AJ503" s="160"/>
      <c r="AK503" s="160"/>
      <c r="AL503" s="160"/>
      <c r="AM503" s="160"/>
      <c r="AN503" s="164"/>
      <c r="AO503" s="160"/>
      <c r="AP503" s="160"/>
      <c r="AQ503" s="160"/>
      <c r="AR503" s="160"/>
      <c r="AS503" s="160"/>
      <c r="AT503" s="160"/>
      <c r="AU503" s="160"/>
      <c r="AV503" s="160"/>
      <c r="AW503" s="160"/>
      <c r="AX503" s="160"/>
      <c r="AY503" s="160"/>
      <c r="AZ503" s="160"/>
      <c r="BA503" s="160"/>
      <c r="BB503" s="160"/>
      <c r="BC503" s="160"/>
      <c r="BD503" s="160"/>
      <c r="BE503" s="160"/>
      <c r="BF503" s="160"/>
      <c r="BG503" s="160"/>
      <c r="BH503" s="160"/>
      <c r="BI503" s="160"/>
      <c r="BJ503" s="160"/>
      <c r="BK503" s="160"/>
      <c r="BL503" s="160"/>
      <c r="BM503" s="160"/>
      <c r="BN503" s="160"/>
      <c r="BO503" s="160"/>
      <c r="BP503" s="160"/>
      <c r="BQ503" s="160"/>
      <c r="BR503" s="160"/>
      <c r="BS503" s="160"/>
      <c r="BT503" s="160"/>
      <c r="BU503" s="160"/>
      <c r="BV503" s="160"/>
      <c r="BW503" s="160"/>
      <c r="BX503" s="160"/>
      <c r="BY503" s="160"/>
      <c r="BZ503" s="160"/>
      <c r="CA503" s="160"/>
      <c r="CB503" s="160"/>
      <c r="CC503" s="160"/>
      <c r="CD503" s="160"/>
      <c r="CE503" s="160"/>
      <c r="CF503" s="160"/>
      <c r="CG503" s="160"/>
      <c r="CH503" s="160"/>
      <c r="CI503" s="160"/>
      <c r="CJ503" s="160"/>
      <c r="CK503" s="160"/>
      <c r="CL503" s="160"/>
    </row>
    <row r="504">
      <c r="A504" s="218" t="s">
        <v>695</v>
      </c>
      <c r="B504" s="189" t="s">
        <v>696</v>
      </c>
      <c r="C504" s="220" t="s">
        <v>1103</v>
      </c>
      <c r="D504" s="176" t="str">
        <f>IFERROR(VLOOKUP(C504, PIC!A:B, 2, 0), "")</f>
        <v>Trang Ngo</v>
      </c>
      <c r="E504" s="189" t="s">
        <v>22</v>
      </c>
      <c r="F504" s="191" t="s">
        <v>861</v>
      </c>
      <c r="G504" s="189"/>
      <c r="H504" s="170">
        <f>IFERROR(
  MINIFS(ATTENDANCE_LOG!$F:$F,
         ATTENDANCE_LOG!$A:$A, C504,
         ATTENDANCE_LOG!$B:$B, E504),
"")</f>
        <v>46113.58333</v>
      </c>
      <c r="I504" s="170">
        <f t="shared" si="2"/>
        <v>46113.58333</v>
      </c>
      <c r="J504" s="189">
        <f>IFERROR(VLOOKUP(F504, LEVEL_HELPER!$A:$B, 2, 0), "")</f>
        <v>3.5</v>
      </c>
      <c r="K504" s="189" t="str">
        <f>IFERROR(VLOOKUP(G504, LEVEL_HELPER!$A:$B, 2, 0), "")</f>
        <v/>
      </c>
      <c r="L504" s="219" t="s">
        <v>397</v>
      </c>
      <c r="M504" s="219" t="s">
        <v>150</v>
      </c>
      <c r="N504" s="11">
        <f t="array" ref="N504">IFERROR(
  INDEX($J$2:$J$531,
    MATCH(A504&amp;TEXT(I504,"yyyy-mm-dd"),
          $A$2:$A$531&amp;TEXT($H$2:$H$531,"yyyy-mm-dd"),
          0)),
"")</f>
        <v>3.5</v>
      </c>
      <c r="O504" s="194">
        <f t="shared" si="3"/>
        <v>0</v>
      </c>
      <c r="P504" s="160">
        <f t="shared" ref="P504:Q504" si="514">IF(N504="",0,IF(N504&lt;=2,1,IF(N504&lt;=4,2,IF(N504&lt;=5.5,3,4))))</f>
        <v>2</v>
      </c>
      <c r="Q504" s="160">
        <f t="shared" si="514"/>
        <v>1</v>
      </c>
      <c r="R504" s="160" t="str">
        <f t="shared" si="5"/>
        <v>Not tested yet</v>
      </c>
      <c r="S504" s="160">
        <f t="shared" si="6"/>
        <v>1</v>
      </c>
      <c r="T504" s="207"/>
      <c r="U504" s="160">
        <f>COUNTIFS(sheet2!$A:$A,A504,sheet2!$E:$E,E504)</f>
        <v>1</v>
      </c>
      <c r="V504" s="160"/>
      <c r="W504" s="160"/>
      <c r="X504" s="160"/>
      <c r="Y504" s="160"/>
      <c r="Z504" s="160"/>
      <c r="AA504" s="160"/>
      <c r="AB504" s="160"/>
      <c r="AC504" s="160"/>
      <c r="AD504" s="160"/>
      <c r="AE504" s="160"/>
      <c r="AF504" s="160"/>
      <c r="AG504" s="160"/>
      <c r="AH504" s="160"/>
      <c r="AI504" s="160"/>
      <c r="AJ504" s="160"/>
      <c r="AK504" s="160"/>
      <c r="AL504" s="160"/>
      <c r="AM504" s="160"/>
      <c r="AN504" s="164"/>
      <c r="AO504" s="160"/>
      <c r="AP504" s="160"/>
      <c r="AQ504" s="160"/>
      <c r="AR504" s="160"/>
      <c r="AS504" s="160"/>
      <c r="AT504" s="160"/>
      <c r="AU504" s="160"/>
      <c r="AV504" s="160"/>
      <c r="AW504" s="160"/>
      <c r="AX504" s="160"/>
      <c r="AY504" s="160"/>
      <c r="AZ504" s="160"/>
      <c r="BA504" s="160"/>
      <c r="BB504" s="160"/>
      <c r="BC504" s="160"/>
      <c r="BD504" s="160"/>
      <c r="BE504" s="160"/>
      <c r="BF504" s="160"/>
      <c r="BG504" s="160"/>
      <c r="BH504" s="160"/>
      <c r="BI504" s="160"/>
      <c r="BJ504" s="160"/>
      <c r="BK504" s="160"/>
      <c r="BL504" s="160"/>
      <c r="BM504" s="160"/>
      <c r="BN504" s="160"/>
      <c r="BO504" s="160"/>
      <c r="BP504" s="160"/>
      <c r="BQ504" s="160"/>
      <c r="BR504" s="160"/>
      <c r="BS504" s="160"/>
      <c r="BT504" s="160"/>
      <c r="BU504" s="160"/>
      <c r="BV504" s="160"/>
      <c r="BW504" s="160"/>
      <c r="BX504" s="160"/>
      <c r="BY504" s="160"/>
      <c r="BZ504" s="160"/>
      <c r="CA504" s="160"/>
      <c r="CB504" s="160"/>
      <c r="CC504" s="160"/>
      <c r="CD504" s="160"/>
      <c r="CE504" s="160"/>
      <c r="CF504" s="160"/>
      <c r="CG504" s="160"/>
      <c r="CH504" s="160"/>
      <c r="CI504" s="160"/>
      <c r="CJ504" s="160"/>
      <c r="CK504" s="160"/>
      <c r="CL504" s="160"/>
    </row>
    <row r="505">
      <c r="A505" s="218" t="s">
        <v>697</v>
      </c>
      <c r="B505" s="189" t="s">
        <v>698</v>
      </c>
      <c r="C505" s="220" t="s">
        <v>1103</v>
      </c>
      <c r="D505" s="176" t="str">
        <f>IFERROR(VLOOKUP(C505, PIC!A:B, 2, 0), "")</f>
        <v>Trang Ngo</v>
      </c>
      <c r="E505" s="189" t="s">
        <v>22</v>
      </c>
      <c r="F505" s="191" t="s">
        <v>853</v>
      </c>
      <c r="G505" s="189"/>
      <c r="H505" s="170">
        <f>IFERROR(
  MINIFS(ATTENDANCE_LOG!$F:$F,
         ATTENDANCE_LOG!$A:$A, C505,
         ATTENDANCE_LOG!$B:$B, E505),
"")</f>
        <v>46113.58333</v>
      </c>
      <c r="I505" s="170">
        <f t="shared" si="2"/>
        <v>46113.58333</v>
      </c>
      <c r="J505" s="189">
        <f>IFERROR(VLOOKUP(F505, LEVEL_HELPER!$A:$B, 2, 0), "")</f>
        <v>1.5</v>
      </c>
      <c r="K505" s="189" t="str">
        <f>IFERROR(VLOOKUP(G505, LEVEL_HELPER!$A:$B, 2, 0), "")</f>
        <v/>
      </c>
      <c r="L505" s="219" t="s">
        <v>857</v>
      </c>
      <c r="M505" s="219" t="s">
        <v>153</v>
      </c>
      <c r="N505" s="11">
        <f t="array" ref="N505">IFERROR(
  INDEX($J$2:$J$531,
    MATCH(A505&amp;TEXT(I505,"yyyy-mm-dd"),
          $A$2:$A$531&amp;TEXT($H$2:$H$531,"yyyy-mm-dd"),
          0)),
"")</f>
        <v>1.5</v>
      </c>
      <c r="O505" s="194">
        <f t="shared" si="3"/>
        <v>0</v>
      </c>
      <c r="P505" s="160">
        <f t="shared" ref="P505:Q505" si="515">IF(N505="",0,IF(N505&lt;=2,1,IF(N505&lt;=4,2,IF(N505&lt;=5.5,3,4))))</f>
        <v>1</v>
      </c>
      <c r="Q505" s="160">
        <f t="shared" si="515"/>
        <v>1</v>
      </c>
      <c r="R505" s="160" t="str">
        <f t="shared" si="5"/>
        <v>Not tested yet</v>
      </c>
      <c r="S505" s="160">
        <f t="shared" si="6"/>
        <v>1</v>
      </c>
      <c r="T505" s="207"/>
      <c r="U505" s="160">
        <f>COUNTIFS(sheet2!$A:$A,A505,sheet2!$E:$E,E505)</f>
        <v>1</v>
      </c>
      <c r="V505" s="160"/>
      <c r="W505" s="160"/>
      <c r="X505" s="160"/>
      <c r="Y505" s="160"/>
      <c r="Z505" s="160"/>
      <c r="AA505" s="160"/>
      <c r="AB505" s="160"/>
      <c r="AC505" s="160"/>
      <c r="AD505" s="160"/>
      <c r="AE505" s="160"/>
      <c r="AF505" s="160"/>
      <c r="AG505" s="160"/>
      <c r="AH505" s="160"/>
      <c r="AI505" s="160"/>
      <c r="AJ505" s="160"/>
      <c r="AK505" s="160"/>
      <c r="AL505" s="160"/>
      <c r="AM505" s="160"/>
      <c r="AN505" s="164"/>
      <c r="AO505" s="160"/>
      <c r="AP505" s="160"/>
      <c r="AQ505" s="160"/>
      <c r="AR505" s="160"/>
      <c r="AS505" s="160"/>
      <c r="AT505" s="160"/>
      <c r="AU505" s="160"/>
      <c r="AV505" s="160"/>
      <c r="AW505" s="160"/>
      <c r="AX505" s="160"/>
      <c r="AY505" s="160"/>
      <c r="AZ505" s="160"/>
      <c r="BA505" s="160"/>
      <c r="BB505" s="160"/>
      <c r="BC505" s="160"/>
      <c r="BD505" s="160"/>
      <c r="BE505" s="160"/>
      <c r="BF505" s="160"/>
      <c r="BG505" s="160"/>
      <c r="BH505" s="160"/>
      <c r="BI505" s="160"/>
      <c r="BJ505" s="160"/>
      <c r="BK505" s="160"/>
      <c r="BL505" s="160"/>
      <c r="BM505" s="160"/>
      <c r="BN505" s="160"/>
      <c r="BO505" s="160"/>
      <c r="BP505" s="160"/>
      <c r="BQ505" s="160"/>
      <c r="BR505" s="160"/>
      <c r="BS505" s="160"/>
      <c r="BT505" s="160"/>
      <c r="BU505" s="160"/>
      <c r="BV505" s="160"/>
      <c r="BW505" s="160"/>
      <c r="BX505" s="160"/>
      <c r="BY505" s="160"/>
      <c r="BZ505" s="160"/>
      <c r="CA505" s="160"/>
      <c r="CB505" s="160"/>
      <c r="CC505" s="160"/>
      <c r="CD505" s="160"/>
      <c r="CE505" s="160"/>
      <c r="CF505" s="160"/>
      <c r="CG505" s="160"/>
      <c r="CH505" s="160"/>
      <c r="CI505" s="160"/>
      <c r="CJ505" s="160"/>
      <c r="CK505" s="160"/>
      <c r="CL505" s="160"/>
    </row>
    <row r="506">
      <c r="A506" s="218" t="s">
        <v>699</v>
      </c>
      <c r="B506" s="189" t="s">
        <v>700</v>
      </c>
      <c r="C506" s="220" t="s">
        <v>1103</v>
      </c>
      <c r="D506" s="176" t="str">
        <f>IFERROR(VLOOKUP(C506, PIC!A:B, 2, 0), "")</f>
        <v>Trang Ngo</v>
      </c>
      <c r="E506" s="189" t="s">
        <v>22</v>
      </c>
      <c r="F506" s="191" t="s">
        <v>849</v>
      </c>
      <c r="G506" s="189"/>
      <c r="H506" s="170">
        <f>IFERROR(
  MINIFS(ATTENDANCE_LOG!$F:$F,
         ATTENDANCE_LOG!$A:$A, C506,
         ATTENDANCE_LOG!$B:$B, E506),
"")</f>
        <v>46113.58333</v>
      </c>
      <c r="I506" s="170">
        <f t="shared" si="2"/>
        <v>46113.58333</v>
      </c>
      <c r="J506" s="189">
        <f>IFERROR(VLOOKUP(F506, LEVEL_HELPER!$A:$B, 2, 0), "")</f>
        <v>1</v>
      </c>
      <c r="K506" s="189" t="str">
        <f>IFERROR(VLOOKUP(G506, LEVEL_HELPER!$A:$B, 2, 0), "")</f>
        <v/>
      </c>
      <c r="L506" s="219" t="s">
        <v>973</v>
      </c>
      <c r="M506" s="219" t="s">
        <v>150</v>
      </c>
      <c r="N506" s="11">
        <f t="array" ref="N506">IFERROR(
  INDEX($J$2:$J$531,
    MATCH(A506&amp;TEXT(I506,"yyyy-mm-dd"),
          $A$2:$A$531&amp;TEXT($H$2:$H$531,"yyyy-mm-dd"),
          0)),
"")</f>
        <v>1</v>
      </c>
      <c r="O506" s="194">
        <f t="shared" si="3"/>
        <v>0</v>
      </c>
      <c r="P506" s="160">
        <f t="shared" ref="P506:Q506" si="516">IF(N506="",0,IF(N506&lt;=2,1,IF(N506&lt;=4,2,IF(N506&lt;=5.5,3,4))))</f>
        <v>1</v>
      </c>
      <c r="Q506" s="160">
        <f t="shared" si="516"/>
        <v>1</v>
      </c>
      <c r="R506" s="160" t="str">
        <f t="shared" si="5"/>
        <v>Not tested yet</v>
      </c>
      <c r="S506" s="160">
        <f t="shared" si="6"/>
        <v>1</v>
      </c>
      <c r="T506" s="207"/>
      <c r="U506" s="160">
        <f>COUNTIFS(sheet2!$A:$A,A506,sheet2!$E:$E,E506)</f>
        <v>1</v>
      </c>
      <c r="V506" s="160"/>
      <c r="W506" s="160"/>
      <c r="X506" s="160"/>
      <c r="Y506" s="160"/>
      <c r="Z506" s="160"/>
      <c r="AA506" s="160"/>
      <c r="AB506" s="160"/>
      <c r="AC506" s="160"/>
      <c r="AD506" s="160"/>
      <c r="AE506" s="160"/>
      <c r="AF506" s="160"/>
      <c r="AG506" s="160"/>
      <c r="AH506" s="160"/>
      <c r="AI506" s="160"/>
      <c r="AJ506" s="160"/>
      <c r="AK506" s="160"/>
      <c r="AL506" s="160"/>
      <c r="AM506" s="160"/>
      <c r="AN506" s="164"/>
      <c r="AO506" s="160"/>
      <c r="AP506" s="160"/>
      <c r="AQ506" s="160"/>
      <c r="AR506" s="160"/>
      <c r="AS506" s="160"/>
      <c r="AT506" s="160"/>
      <c r="AU506" s="160"/>
      <c r="AV506" s="160"/>
      <c r="AW506" s="160"/>
      <c r="AX506" s="160"/>
      <c r="AY506" s="160"/>
      <c r="AZ506" s="160"/>
      <c r="BA506" s="160"/>
      <c r="BB506" s="160"/>
      <c r="BC506" s="160"/>
      <c r="BD506" s="160"/>
      <c r="BE506" s="160"/>
      <c r="BF506" s="160"/>
      <c r="BG506" s="160"/>
      <c r="BH506" s="160"/>
      <c r="BI506" s="160"/>
      <c r="BJ506" s="160"/>
      <c r="BK506" s="160"/>
      <c r="BL506" s="160"/>
      <c r="BM506" s="160"/>
      <c r="BN506" s="160"/>
      <c r="BO506" s="160"/>
      <c r="BP506" s="160"/>
      <c r="BQ506" s="160"/>
      <c r="BR506" s="160"/>
      <c r="BS506" s="160"/>
      <c r="BT506" s="160"/>
      <c r="BU506" s="160"/>
      <c r="BV506" s="160"/>
      <c r="BW506" s="160"/>
      <c r="BX506" s="160"/>
      <c r="BY506" s="160"/>
      <c r="BZ506" s="160"/>
      <c r="CA506" s="160"/>
      <c r="CB506" s="160"/>
      <c r="CC506" s="160"/>
      <c r="CD506" s="160"/>
      <c r="CE506" s="160"/>
      <c r="CF506" s="160"/>
      <c r="CG506" s="160"/>
      <c r="CH506" s="160"/>
      <c r="CI506" s="160"/>
      <c r="CJ506" s="160"/>
      <c r="CK506" s="160"/>
      <c r="CL506" s="160"/>
    </row>
    <row r="507">
      <c r="A507" s="218" t="s">
        <v>701</v>
      </c>
      <c r="B507" s="189" t="s">
        <v>702</v>
      </c>
      <c r="C507" s="220" t="s">
        <v>1103</v>
      </c>
      <c r="D507" s="176" t="str">
        <f>IFERROR(VLOOKUP(C507, PIC!A:B, 2, 0), "")</f>
        <v>Trang Ngo</v>
      </c>
      <c r="E507" s="189" t="s">
        <v>22</v>
      </c>
      <c r="F507" s="191" t="s">
        <v>849</v>
      </c>
      <c r="G507" s="189"/>
      <c r="H507" s="170">
        <f>IFERROR(
  MINIFS(ATTENDANCE_LOG!$F:$F,
         ATTENDANCE_LOG!$A:$A, C507,
         ATTENDANCE_LOG!$B:$B, E507),
"")</f>
        <v>46113.58333</v>
      </c>
      <c r="I507" s="170">
        <f t="shared" si="2"/>
        <v>46113.58333</v>
      </c>
      <c r="J507" s="189">
        <f>IFERROR(VLOOKUP(F507, LEVEL_HELPER!$A:$B, 2, 0), "")</f>
        <v>1</v>
      </c>
      <c r="K507" s="189" t="str">
        <f>IFERROR(VLOOKUP(G507, LEVEL_HELPER!$A:$B, 2, 0), "")</f>
        <v/>
      </c>
      <c r="L507" s="219" t="s">
        <v>973</v>
      </c>
      <c r="M507" s="219" t="s">
        <v>150</v>
      </c>
      <c r="N507" s="11">
        <f t="array" ref="N507">IFERROR(
  INDEX($J$2:$J$531,
    MATCH(A507&amp;TEXT(I507,"yyyy-mm-dd"),
          $A$2:$A$531&amp;TEXT($H$2:$H$531,"yyyy-mm-dd"),
          0)),
"")</f>
        <v>1</v>
      </c>
      <c r="O507" s="194">
        <f t="shared" si="3"/>
        <v>0</v>
      </c>
      <c r="P507" s="160">
        <f t="shared" ref="P507:Q507" si="517">IF(N507="",0,IF(N507&lt;=2,1,IF(N507&lt;=4,2,IF(N507&lt;=5.5,3,4))))</f>
        <v>1</v>
      </c>
      <c r="Q507" s="160">
        <f t="shared" si="517"/>
        <v>1</v>
      </c>
      <c r="R507" s="160" t="str">
        <f t="shared" si="5"/>
        <v>Not tested yet</v>
      </c>
      <c r="S507" s="160">
        <f t="shared" si="6"/>
        <v>1</v>
      </c>
      <c r="T507" s="207"/>
      <c r="U507" s="160">
        <f>COUNTIFS(sheet2!$A:$A,A507,sheet2!$E:$E,E507)</f>
        <v>1</v>
      </c>
      <c r="V507" s="160"/>
      <c r="W507" s="160"/>
      <c r="X507" s="160"/>
      <c r="Y507" s="160"/>
      <c r="Z507" s="160"/>
      <c r="AA507" s="160"/>
      <c r="AB507" s="160"/>
      <c r="AC507" s="160"/>
      <c r="AD507" s="160"/>
      <c r="AE507" s="160"/>
      <c r="AF507" s="160"/>
      <c r="AG507" s="160"/>
      <c r="AH507" s="160"/>
      <c r="AI507" s="160"/>
      <c r="AJ507" s="160"/>
      <c r="AK507" s="160"/>
      <c r="AL507" s="160"/>
      <c r="AM507" s="160"/>
      <c r="AN507" s="164"/>
      <c r="AO507" s="160"/>
      <c r="AP507" s="160"/>
      <c r="AQ507" s="160"/>
      <c r="AR507" s="160"/>
      <c r="AS507" s="160"/>
      <c r="AT507" s="160"/>
      <c r="AU507" s="160"/>
      <c r="AV507" s="160"/>
      <c r="AW507" s="160"/>
      <c r="AX507" s="160"/>
      <c r="AY507" s="160"/>
      <c r="AZ507" s="160"/>
      <c r="BA507" s="160"/>
      <c r="BB507" s="160"/>
      <c r="BC507" s="160"/>
      <c r="BD507" s="160"/>
      <c r="BE507" s="160"/>
      <c r="BF507" s="160"/>
      <c r="BG507" s="160"/>
      <c r="BH507" s="160"/>
      <c r="BI507" s="160"/>
      <c r="BJ507" s="160"/>
      <c r="BK507" s="160"/>
      <c r="BL507" s="160"/>
      <c r="BM507" s="160"/>
      <c r="BN507" s="160"/>
      <c r="BO507" s="160"/>
      <c r="BP507" s="160"/>
      <c r="BQ507" s="160"/>
      <c r="BR507" s="160"/>
      <c r="BS507" s="160"/>
      <c r="BT507" s="160"/>
      <c r="BU507" s="160"/>
      <c r="BV507" s="160"/>
      <c r="BW507" s="160"/>
      <c r="BX507" s="160"/>
      <c r="BY507" s="160"/>
      <c r="BZ507" s="160"/>
      <c r="CA507" s="160"/>
      <c r="CB507" s="160"/>
      <c r="CC507" s="160"/>
      <c r="CD507" s="160"/>
      <c r="CE507" s="160"/>
      <c r="CF507" s="160"/>
      <c r="CG507" s="160"/>
      <c r="CH507" s="160"/>
      <c r="CI507" s="160"/>
      <c r="CJ507" s="160"/>
      <c r="CK507" s="160"/>
      <c r="CL507" s="160"/>
    </row>
    <row r="508">
      <c r="A508" s="218" t="s">
        <v>703</v>
      </c>
      <c r="B508" s="189" t="s">
        <v>1105</v>
      </c>
      <c r="C508" s="220" t="s">
        <v>1103</v>
      </c>
      <c r="D508" s="176" t="str">
        <f>IFERROR(VLOOKUP(C508, PIC!A:B, 2, 0), "")</f>
        <v>Trang Ngo</v>
      </c>
      <c r="E508" s="189" t="s">
        <v>22</v>
      </c>
      <c r="F508" s="191" t="s">
        <v>849</v>
      </c>
      <c r="G508" s="189"/>
      <c r="H508" s="170">
        <f>IFERROR(
  MINIFS(ATTENDANCE_LOG!$F:$F,
         ATTENDANCE_LOG!$A:$A, C508,
         ATTENDANCE_LOG!$B:$B, E508),
"")</f>
        <v>46113.58333</v>
      </c>
      <c r="I508" s="170">
        <f t="shared" si="2"/>
        <v>46086.58333</v>
      </c>
      <c r="J508" s="189">
        <f>IFERROR(VLOOKUP(F508, LEVEL_HELPER!$A:$B, 2, 0), "")</f>
        <v>1</v>
      </c>
      <c r="K508" s="189" t="str">
        <f>IFERROR(VLOOKUP(G508, LEVEL_HELPER!$A:$B, 2, 0), "")</f>
        <v/>
      </c>
      <c r="L508" s="219" t="s">
        <v>880</v>
      </c>
      <c r="M508" s="219" t="s">
        <v>149</v>
      </c>
      <c r="N508" s="11">
        <f t="array" ref="N508">IFERROR(
  INDEX($J$2:$J$531,
    MATCH(A508&amp;TEXT(I508,"yyyy-mm-dd"),
          $A$2:$A$531&amp;TEXT($H$2:$H$531,"yyyy-mm-dd"),
          0)),
"")</f>
        <v>0.5</v>
      </c>
      <c r="O508" s="194">
        <f t="shared" si="3"/>
        <v>0</v>
      </c>
      <c r="P508" s="160">
        <f t="shared" ref="P508:Q508" si="518">IF(N508="",0,IF(N508&lt;=2,1,IF(N508&lt;=4,2,IF(N508&lt;=5.5,3,4))))</f>
        <v>1</v>
      </c>
      <c r="Q508" s="160">
        <f t="shared" si="518"/>
        <v>1</v>
      </c>
      <c r="R508" s="160" t="str">
        <f t="shared" si="5"/>
        <v>Not tested yet</v>
      </c>
      <c r="S508" s="160">
        <f t="shared" si="6"/>
        <v>1</v>
      </c>
      <c r="T508" s="207"/>
      <c r="U508" s="160">
        <f>COUNTIFS(sheet2!$A:$A,A508,sheet2!$E:$E,E508)</f>
        <v>1</v>
      </c>
      <c r="V508" s="160"/>
      <c r="W508" s="160"/>
      <c r="X508" s="160"/>
      <c r="Y508" s="160"/>
      <c r="Z508" s="160"/>
      <c r="AA508" s="160"/>
      <c r="AB508" s="160"/>
      <c r="AC508" s="160"/>
      <c r="AD508" s="160"/>
      <c r="AE508" s="160"/>
      <c r="AF508" s="160"/>
      <c r="AG508" s="160"/>
      <c r="AH508" s="160"/>
      <c r="AI508" s="160"/>
      <c r="AJ508" s="160"/>
      <c r="AK508" s="160"/>
      <c r="AL508" s="160"/>
      <c r="AM508" s="160"/>
      <c r="AN508" s="164"/>
      <c r="AO508" s="160"/>
      <c r="AP508" s="160"/>
      <c r="AQ508" s="160"/>
      <c r="AR508" s="160"/>
      <c r="AS508" s="160"/>
      <c r="AT508" s="160"/>
      <c r="AU508" s="160"/>
      <c r="AV508" s="160"/>
      <c r="AW508" s="160"/>
      <c r="AX508" s="160"/>
      <c r="AY508" s="160"/>
      <c r="AZ508" s="160"/>
      <c r="BA508" s="160"/>
      <c r="BB508" s="160"/>
      <c r="BC508" s="160"/>
      <c r="BD508" s="160"/>
      <c r="BE508" s="160"/>
      <c r="BF508" s="160"/>
      <c r="BG508" s="160"/>
      <c r="BH508" s="160"/>
      <c r="BI508" s="160"/>
      <c r="BJ508" s="160"/>
      <c r="BK508" s="160"/>
      <c r="BL508" s="160"/>
      <c r="BM508" s="160"/>
      <c r="BN508" s="160"/>
      <c r="BO508" s="160"/>
      <c r="BP508" s="160"/>
      <c r="BQ508" s="160"/>
      <c r="BR508" s="160"/>
      <c r="BS508" s="160"/>
      <c r="BT508" s="160"/>
      <c r="BU508" s="160"/>
      <c r="BV508" s="160"/>
      <c r="BW508" s="160"/>
      <c r="BX508" s="160"/>
      <c r="BY508" s="160"/>
      <c r="BZ508" s="160"/>
      <c r="CA508" s="160"/>
      <c r="CB508" s="160"/>
      <c r="CC508" s="160"/>
      <c r="CD508" s="160"/>
      <c r="CE508" s="160"/>
      <c r="CF508" s="160"/>
      <c r="CG508" s="160"/>
      <c r="CH508" s="160"/>
      <c r="CI508" s="160"/>
      <c r="CJ508" s="160"/>
      <c r="CK508" s="160"/>
      <c r="CL508" s="160"/>
    </row>
    <row r="509">
      <c r="A509" s="209" t="s">
        <v>512</v>
      </c>
      <c r="B509" s="210" t="s">
        <v>513</v>
      </c>
      <c r="C509" s="211" t="s">
        <v>95</v>
      </c>
      <c r="D509" s="169" t="str">
        <f>IFERROR(VLOOKUP(C509, PIC!A:B, 2, 0), "")</f>
        <v>Phung Nguyen</v>
      </c>
      <c r="E509" s="210" t="s">
        <v>26</v>
      </c>
      <c r="F509" s="212" t="s">
        <v>26</v>
      </c>
      <c r="G509" s="210"/>
      <c r="H509" s="170">
        <f>IFERROR(
  MINIFS(ATTENDANCE_LOG!$F:$F,
         ATTENDANCE_LOG!$A:$A, C509,
         ATTENDANCE_LOG!$B:$B, E509),
"")</f>
        <v>46086.58333</v>
      </c>
      <c r="I509" s="170">
        <f t="shared" si="2"/>
        <v>46086.58333</v>
      </c>
      <c r="J509" s="210">
        <f>IFERROR(VLOOKUP(F509, LEVEL_HELPER!$A:$B, 2, 0), "")</f>
        <v>0.5</v>
      </c>
      <c r="K509" s="189" t="str">
        <f>IFERROR(VLOOKUP(G509, LEVEL_HELPER!$A:$B, 2, 0), "")</f>
        <v/>
      </c>
      <c r="L509" s="213" t="s">
        <v>400</v>
      </c>
      <c r="M509" s="213" t="s">
        <v>151</v>
      </c>
      <c r="N509" s="11">
        <f t="array" ref="N509">IFERROR(
  INDEX($J$2:$J$531,
    MATCH(A509&amp;TEXT(I509,"yyyy-mm-dd"),
          $A$2:$A$531&amp;TEXT($H$2:$H$531,"yyyy-mm-dd"),
          0)),
"")</f>
        <v>0.5</v>
      </c>
      <c r="O509" s="214">
        <f t="shared" si="3"/>
        <v>0</v>
      </c>
      <c r="P509" s="160">
        <f t="shared" ref="P509:Q509" si="519">IF(N509="",0,IF(N509&lt;=2,1,IF(N509&lt;=4,2,IF(N509&lt;=5.5,3,4))))</f>
        <v>1</v>
      </c>
      <c r="Q509" s="160">
        <f t="shared" si="519"/>
        <v>1</v>
      </c>
      <c r="R509" s="160" t="str">
        <f t="shared" si="5"/>
        <v>Not tested yet</v>
      </c>
      <c r="S509" s="160">
        <f t="shared" si="6"/>
        <v>1</v>
      </c>
      <c r="T509" s="207"/>
      <c r="U509" s="160">
        <f>COUNTIFS(sheet2!$A:$A,A509,sheet2!$E:$E,E509)</f>
        <v>1</v>
      </c>
      <c r="V509" s="160"/>
      <c r="W509" s="160"/>
      <c r="X509" s="160"/>
      <c r="Y509" s="160"/>
      <c r="Z509" s="160"/>
      <c r="AA509" s="160"/>
      <c r="AB509" s="160"/>
      <c r="AC509" s="160"/>
      <c r="AD509" s="160"/>
      <c r="AE509" s="160"/>
      <c r="AF509" s="160"/>
      <c r="AG509" s="160"/>
      <c r="AH509" s="160"/>
      <c r="AI509" s="160"/>
      <c r="AJ509" s="160"/>
      <c r="AK509" s="160"/>
      <c r="AL509" s="160"/>
      <c r="AM509" s="160"/>
      <c r="AN509" s="164"/>
      <c r="AO509" s="160"/>
      <c r="AP509" s="160"/>
      <c r="AQ509" s="160"/>
      <c r="AR509" s="160"/>
      <c r="AS509" s="160"/>
      <c r="AT509" s="160"/>
      <c r="AU509" s="160"/>
      <c r="AV509" s="160"/>
      <c r="AW509" s="160"/>
      <c r="AX509" s="160"/>
      <c r="AY509" s="160"/>
      <c r="AZ509" s="160"/>
      <c r="BA509" s="160"/>
      <c r="BB509" s="160"/>
      <c r="BC509" s="160"/>
      <c r="BD509" s="160"/>
      <c r="BE509" s="160"/>
      <c r="BF509" s="160"/>
      <c r="BG509" s="160"/>
      <c r="BH509" s="160"/>
      <c r="BI509" s="160"/>
      <c r="BJ509" s="160"/>
      <c r="BK509" s="160"/>
      <c r="BL509" s="160"/>
      <c r="BM509" s="160"/>
      <c r="BN509" s="160"/>
      <c r="BO509" s="160"/>
      <c r="BP509" s="160"/>
      <c r="BQ509" s="160"/>
      <c r="BR509" s="160"/>
      <c r="BS509" s="160"/>
      <c r="BT509" s="160"/>
      <c r="BU509" s="160"/>
      <c r="BV509" s="160"/>
      <c r="BW509" s="160"/>
      <c r="BX509" s="160"/>
      <c r="BY509" s="160"/>
      <c r="BZ509" s="160"/>
      <c r="CA509" s="160"/>
      <c r="CB509" s="160"/>
      <c r="CC509" s="160"/>
      <c r="CD509" s="160"/>
      <c r="CE509" s="160"/>
      <c r="CF509" s="160"/>
      <c r="CG509" s="160"/>
      <c r="CH509" s="160"/>
      <c r="CI509" s="160"/>
      <c r="CJ509" s="160"/>
      <c r="CK509" s="160"/>
      <c r="CL509" s="160"/>
    </row>
    <row r="510">
      <c r="A510" s="188" t="s">
        <v>514</v>
      </c>
      <c r="B510" s="189" t="s">
        <v>515</v>
      </c>
      <c r="C510" s="190" t="s">
        <v>95</v>
      </c>
      <c r="D510" s="176" t="str">
        <f>IFERROR(VLOOKUP(C510, PIC!A:B, 2, 0), "")</f>
        <v>Phung Nguyen</v>
      </c>
      <c r="E510" s="189" t="s">
        <v>26</v>
      </c>
      <c r="F510" s="191" t="s">
        <v>26</v>
      </c>
      <c r="G510" s="189"/>
      <c r="H510" s="170">
        <f>IFERROR(
  MINIFS(ATTENDANCE_LOG!$F:$F,
         ATTENDANCE_LOG!$A:$A, C510,
         ATTENDANCE_LOG!$B:$B, E510),
"")</f>
        <v>46086.58333</v>
      </c>
      <c r="I510" s="170">
        <f t="shared" si="2"/>
        <v>46086.58333</v>
      </c>
      <c r="J510" s="189">
        <f>IFERROR(VLOOKUP(F510, LEVEL_HELPER!$A:$B, 2, 0), "")</f>
        <v>0.5</v>
      </c>
      <c r="K510" s="189" t="str">
        <f>IFERROR(VLOOKUP(G510, LEVEL_HELPER!$A:$B, 2, 0), "")</f>
        <v/>
      </c>
      <c r="L510" s="193" t="s">
        <v>973</v>
      </c>
      <c r="M510" s="193" t="s">
        <v>150</v>
      </c>
      <c r="N510" s="11">
        <f t="array" ref="N510">IFERROR(
  INDEX($J$2:$J$531,
    MATCH(A510&amp;TEXT(I510,"yyyy-mm-dd"),
          $A$2:$A$531&amp;TEXT($H$2:$H$531,"yyyy-mm-dd"),
          0)),
"")</f>
        <v>0.5</v>
      </c>
      <c r="O510" s="194">
        <f t="shared" si="3"/>
        <v>0</v>
      </c>
      <c r="P510" s="160">
        <f t="shared" ref="P510:Q510" si="520">IF(N510="",0,IF(N510&lt;=2,1,IF(N510&lt;=4,2,IF(N510&lt;=5.5,3,4))))</f>
        <v>1</v>
      </c>
      <c r="Q510" s="160">
        <f t="shared" si="520"/>
        <v>1</v>
      </c>
      <c r="R510" s="160" t="str">
        <f t="shared" si="5"/>
        <v>Not tested yet</v>
      </c>
      <c r="S510" s="160">
        <f t="shared" si="6"/>
        <v>1</v>
      </c>
      <c r="T510" s="207"/>
      <c r="U510" s="160">
        <f>COUNTIFS(sheet2!$A:$A,A510,sheet2!$E:$E,E510)</f>
        <v>1</v>
      </c>
      <c r="V510" s="160"/>
      <c r="W510" s="160"/>
      <c r="X510" s="160"/>
      <c r="Y510" s="160"/>
      <c r="Z510" s="160"/>
      <c r="AA510" s="160"/>
      <c r="AB510" s="160"/>
      <c r="AC510" s="160"/>
      <c r="AD510" s="160"/>
      <c r="AE510" s="160"/>
      <c r="AF510" s="160"/>
      <c r="AG510" s="160"/>
      <c r="AH510" s="160"/>
      <c r="AI510" s="160"/>
      <c r="AJ510" s="160"/>
      <c r="AK510" s="160"/>
      <c r="AL510" s="160"/>
      <c r="AM510" s="160"/>
      <c r="AN510" s="164"/>
      <c r="AO510" s="160"/>
      <c r="AP510" s="160"/>
      <c r="AQ510" s="160"/>
      <c r="AR510" s="160"/>
      <c r="AS510" s="160"/>
      <c r="AT510" s="160"/>
      <c r="AU510" s="160"/>
      <c r="AV510" s="160"/>
      <c r="AW510" s="160"/>
      <c r="AX510" s="160"/>
      <c r="AY510" s="160"/>
      <c r="AZ510" s="160"/>
      <c r="BA510" s="160"/>
      <c r="BB510" s="160"/>
      <c r="BC510" s="160"/>
      <c r="BD510" s="160"/>
      <c r="BE510" s="160"/>
      <c r="BF510" s="160"/>
      <c r="BG510" s="160"/>
      <c r="BH510" s="160"/>
      <c r="BI510" s="160"/>
      <c r="BJ510" s="160"/>
      <c r="BK510" s="160"/>
      <c r="BL510" s="160"/>
      <c r="BM510" s="160"/>
      <c r="BN510" s="160"/>
      <c r="BO510" s="160"/>
      <c r="BP510" s="160"/>
      <c r="BQ510" s="160"/>
      <c r="BR510" s="160"/>
      <c r="BS510" s="160"/>
      <c r="BT510" s="160"/>
      <c r="BU510" s="160"/>
      <c r="BV510" s="160"/>
      <c r="BW510" s="160"/>
      <c r="BX510" s="160"/>
      <c r="BY510" s="160"/>
      <c r="BZ510" s="160"/>
      <c r="CA510" s="160"/>
      <c r="CB510" s="160"/>
      <c r="CC510" s="160"/>
      <c r="CD510" s="160"/>
      <c r="CE510" s="160"/>
      <c r="CF510" s="160"/>
      <c r="CG510" s="160"/>
      <c r="CH510" s="160"/>
      <c r="CI510" s="160"/>
      <c r="CJ510" s="160"/>
      <c r="CK510" s="160"/>
      <c r="CL510" s="160"/>
    </row>
    <row r="511">
      <c r="A511" s="188" t="s">
        <v>516</v>
      </c>
      <c r="B511" s="189" t="s">
        <v>517</v>
      </c>
      <c r="C511" s="190" t="s">
        <v>95</v>
      </c>
      <c r="D511" s="176" t="str">
        <f>IFERROR(VLOOKUP(C511, PIC!A:B, 2, 0), "")</f>
        <v>Phung Nguyen</v>
      </c>
      <c r="E511" s="189" t="s">
        <v>26</v>
      </c>
      <c r="F511" s="191" t="s">
        <v>26</v>
      </c>
      <c r="G511" s="191"/>
      <c r="H511" s="170">
        <f>IFERROR(
  MINIFS(ATTENDANCE_LOG!$F:$F,
         ATTENDANCE_LOG!$A:$A, C511,
         ATTENDANCE_LOG!$B:$B, E511),
"")</f>
        <v>46086.58333</v>
      </c>
      <c r="I511" s="170">
        <f t="shared" si="2"/>
        <v>46086.58333</v>
      </c>
      <c r="J511" s="189">
        <f>IFERROR(VLOOKUP(F511, LEVEL_HELPER!$A:$B, 2, 0), "")</f>
        <v>0.5</v>
      </c>
      <c r="K511" s="189" t="str">
        <f>IFERROR(VLOOKUP(G511, LEVEL_HELPER!$A:$B, 2, 0), "")</f>
        <v/>
      </c>
      <c r="L511" s="193" t="s">
        <v>400</v>
      </c>
      <c r="M511" s="219" t="s">
        <v>149</v>
      </c>
      <c r="N511" s="11">
        <f t="array" ref="N511">IFERROR(
  INDEX($J$2:$J$531,
    MATCH(A511&amp;TEXT(I511,"yyyy-mm-dd"),
          $A$2:$A$531&amp;TEXT($H$2:$H$531,"yyyy-mm-dd"),
          0)),
"")</f>
        <v>0.5</v>
      </c>
      <c r="O511" s="194">
        <f t="shared" si="3"/>
        <v>0</v>
      </c>
      <c r="P511" s="160">
        <f t="shared" ref="P511:Q511" si="521">IF(N511="",0,IF(N511&lt;=2,1,IF(N511&lt;=4,2,IF(N511&lt;=5.5,3,4))))</f>
        <v>1</v>
      </c>
      <c r="Q511" s="160">
        <f t="shared" si="521"/>
        <v>1</v>
      </c>
      <c r="R511" s="160" t="str">
        <f t="shared" si="5"/>
        <v>Not tested yet</v>
      </c>
      <c r="S511" s="160">
        <f t="shared" si="6"/>
        <v>1</v>
      </c>
      <c r="T511" s="207"/>
      <c r="U511" s="160">
        <f>COUNTIFS(sheet2!$A:$A,A511,sheet2!$E:$E,E511)</f>
        <v>1</v>
      </c>
      <c r="V511" s="160"/>
      <c r="W511" s="160"/>
      <c r="X511" s="160"/>
      <c r="Y511" s="160"/>
      <c r="Z511" s="160"/>
      <c r="AA511" s="160"/>
      <c r="AB511" s="160"/>
      <c r="AC511" s="160"/>
      <c r="AD511" s="160"/>
      <c r="AE511" s="160"/>
      <c r="AF511" s="160"/>
      <c r="AG511" s="160"/>
      <c r="AH511" s="160"/>
      <c r="AI511" s="160"/>
      <c r="AJ511" s="160"/>
      <c r="AK511" s="160"/>
      <c r="AL511" s="160"/>
      <c r="AM511" s="160"/>
      <c r="AN511" s="164"/>
      <c r="AO511" s="160"/>
      <c r="AP511" s="160"/>
      <c r="AQ511" s="160"/>
      <c r="AR511" s="160"/>
      <c r="AS511" s="160"/>
      <c r="AT511" s="160"/>
      <c r="AU511" s="160"/>
      <c r="AV511" s="160"/>
      <c r="AW511" s="160"/>
      <c r="AX511" s="160"/>
      <c r="AY511" s="160"/>
      <c r="AZ511" s="160"/>
      <c r="BA511" s="160"/>
      <c r="BB511" s="160"/>
      <c r="BC511" s="160"/>
      <c r="BD511" s="160"/>
      <c r="BE511" s="160"/>
      <c r="BF511" s="160"/>
      <c r="BG511" s="160"/>
      <c r="BH511" s="160"/>
      <c r="BI511" s="160"/>
      <c r="BJ511" s="160"/>
      <c r="BK511" s="160"/>
      <c r="BL511" s="160"/>
      <c r="BM511" s="160"/>
      <c r="BN511" s="160"/>
      <c r="BO511" s="160"/>
      <c r="BP511" s="160"/>
      <c r="BQ511" s="160"/>
      <c r="BR511" s="160"/>
      <c r="BS511" s="160"/>
      <c r="BT511" s="160"/>
      <c r="BU511" s="160"/>
      <c r="BV511" s="160"/>
      <c r="BW511" s="160"/>
      <c r="BX511" s="160"/>
      <c r="BY511" s="160"/>
      <c r="BZ511" s="160"/>
      <c r="CA511" s="160"/>
      <c r="CB511" s="160"/>
      <c r="CC511" s="160"/>
      <c r="CD511" s="160"/>
      <c r="CE511" s="160"/>
      <c r="CF511" s="160"/>
      <c r="CG511" s="160"/>
      <c r="CH511" s="160"/>
      <c r="CI511" s="160"/>
      <c r="CJ511" s="160"/>
      <c r="CK511" s="160"/>
      <c r="CL511" s="160"/>
    </row>
    <row r="512">
      <c r="A512" s="188" t="s">
        <v>518</v>
      </c>
      <c r="B512" s="189" t="s">
        <v>519</v>
      </c>
      <c r="C512" s="190" t="s">
        <v>95</v>
      </c>
      <c r="D512" s="176" t="str">
        <f>IFERROR(VLOOKUP(C512, PIC!A:B, 2, 0), "")</f>
        <v>Phung Nguyen</v>
      </c>
      <c r="E512" s="189" t="s">
        <v>26</v>
      </c>
      <c r="F512" s="191" t="s">
        <v>26</v>
      </c>
      <c r="G512" s="189"/>
      <c r="H512" s="170">
        <f>IFERROR(
  MINIFS(ATTENDANCE_LOG!$F:$F,
         ATTENDANCE_LOG!$A:$A, C512,
         ATTENDANCE_LOG!$B:$B, E512),
"")</f>
        <v>46086.58333</v>
      </c>
      <c r="I512" s="170">
        <f t="shared" si="2"/>
        <v>46086.58333</v>
      </c>
      <c r="J512" s="189">
        <f>IFERROR(VLOOKUP(F512, LEVEL_HELPER!$A:$B, 2, 0), "")</f>
        <v>0.5</v>
      </c>
      <c r="K512" s="189" t="str">
        <f>IFERROR(VLOOKUP(G512, LEVEL_HELPER!$A:$B, 2, 0), "")</f>
        <v/>
      </c>
      <c r="L512" s="193" t="s">
        <v>400</v>
      </c>
      <c r="M512" s="219" t="s">
        <v>149</v>
      </c>
      <c r="N512" s="11">
        <f t="array" ref="N512">IFERROR(
  INDEX($J$2:$J$531,
    MATCH(A512&amp;TEXT(I512,"yyyy-mm-dd"),
          $A$2:$A$531&amp;TEXT($H$2:$H$531,"yyyy-mm-dd"),
          0)),
"")</f>
        <v>0.5</v>
      </c>
      <c r="O512" s="194">
        <f t="shared" si="3"/>
        <v>0</v>
      </c>
      <c r="P512" s="160">
        <f t="shared" ref="P512:Q512" si="522">IF(N512="",0,IF(N512&lt;=2,1,IF(N512&lt;=4,2,IF(N512&lt;=5.5,3,4))))</f>
        <v>1</v>
      </c>
      <c r="Q512" s="160">
        <f t="shared" si="522"/>
        <v>1</v>
      </c>
      <c r="R512" s="160" t="str">
        <f t="shared" si="5"/>
        <v>Not tested yet</v>
      </c>
      <c r="S512" s="160">
        <f t="shared" si="6"/>
        <v>1</v>
      </c>
      <c r="T512" s="207"/>
      <c r="U512" s="160">
        <f>COUNTIFS(sheet2!$A:$A,A512,sheet2!$E:$E,E512)</f>
        <v>1</v>
      </c>
      <c r="V512" s="160"/>
      <c r="W512" s="160"/>
      <c r="X512" s="160"/>
      <c r="Y512" s="160"/>
      <c r="Z512" s="160"/>
      <c r="AA512" s="160"/>
      <c r="AB512" s="160"/>
      <c r="AC512" s="160"/>
      <c r="AD512" s="160"/>
      <c r="AE512" s="160"/>
      <c r="AF512" s="160"/>
      <c r="AG512" s="160"/>
      <c r="AH512" s="160"/>
      <c r="AI512" s="160"/>
      <c r="AJ512" s="160"/>
      <c r="AK512" s="160"/>
      <c r="AL512" s="160"/>
      <c r="AM512" s="160"/>
      <c r="AN512" s="164"/>
      <c r="AO512" s="160"/>
      <c r="AP512" s="160"/>
      <c r="AQ512" s="160"/>
      <c r="AR512" s="160"/>
      <c r="AS512" s="160"/>
      <c r="AT512" s="160"/>
      <c r="AU512" s="160"/>
      <c r="AV512" s="160"/>
      <c r="AW512" s="160"/>
      <c r="AX512" s="160"/>
      <c r="AY512" s="160"/>
      <c r="AZ512" s="160"/>
      <c r="BA512" s="160"/>
      <c r="BB512" s="160"/>
      <c r="BC512" s="160"/>
      <c r="BD512" s="160"/>
      <c r="BE512" s="160"/>
      <c r="BF512" s="160"/>
      <c r="BG512" s="160"/>
      <c r="BH512" s="160"/>
      <c r="BI512" s="160"/>
      <c r="BJ512" s="160"/>
      <c r="BK512" s="160"/>
      <c r="BL512" s="160"/>
      <c r="BM512" s="160"/>
      <c r="BN512" s="160"/>
      <c r="BO512" s="160"/>
      <c r="BP512" s="160"/>
      <c r="BQ512" s="160"/>
      <c r="BR512" s="160"/>
      <c r="BS512" s="160"/>
      <c r="BT512" s="160"/>
      <c r="BU512" s="160"/>
      <c r="BV512" s="160"/>
      <c r="BW512" s="160"/>
      <c r="BX512" s="160"/>
      <c r="BY512" s="160"/>
      <c r="BZ512" s="160"/>
      <c r="CA512" s="160"/>
      <c r="CB512" s="160"/>
      <c r="CC512" s="160"/>
      <c r="CD512" s="160"/>
      <c r="CE512" s="160"/>
      <c r="CF512" s="160"/>
      <c r="CG512" s="160"/>
      <c r="CH512" s="160"/>
      <c r="CI512" s="160"/>
      <c r="CJ512" s="160"/>
      <c r="CK512" s="160"/>
      <c r="CL512" s="160"/>
    </row>
    <row r="513">
      <c r="A513" s="188" t="s">
        <v>520</v>
      </c>
      <c r="B513" s="189" t="s">
        <v>521</v>
      </c>
      <c r="C513" s="190" t="s">
        <v>95</v>
      </c>
      <c r="D513" s="176" t="str">
        <f>IFERROR(VLOOKUP(C513, PIC!A:B, 2, 0), "")</f>
        <v>Phung Nguyen</v>
      </c>
      <c r="E513" s="189" t="s">
        <v>26</v>
      </c>
      <c r="F513" s="191" t="s">
        <v>26</v>
      </c>
      <c r="G513" s="189"/>
      <c r="H513" s="170">
        <f>IFERROR(
  MINIFS(ATTENDANCE_LOG!$F:$F,
         ATTENDANCE_LOG!$A:$A, C513,
         ATTENDANCE_LOG!$B:$B, E513),
"")</f>
        <v>46086.58333</v>
      </c>
      <c r="I513" s="170">
        <f t="shared" si="2"/>
        <v>46086.58333</v>
      </c>
      <c r="J513" s="189">
        <f>IFERROR(VLOOKUP(F513, LEVEL_HELPER!$A:$B, 2, 0), "")</f>
        <v>0.5</v>
      </c>
      <c r="K513" s="189" t="str">
        <f>IFERROR(VLOOKUP(G513, LEVEL_HELPER!$A:$B, 2, 0), "")</f>
        <v/>
      </c>
      <c r="L513" s="193" t="s">
        <v>400</v>
      </c>
      <c r="M513" s="219" t="s">
        <v>149</v>
      </c>
      <c r="N513" s="11">
        <f t="array" ref="N513">IFERROR(
  INDEX($J$2:$J$531,
    MATCH(A513&amp;TEXT(I513,"yyyy-mm-dd"),
          $A$2:$A$531&amp;TEXT($H$2:$H$531,"yyyy-mm-dd"),
          0)),
"")</f>
        <v>0.5</v>
      </c>
      <c r="O513" s="194">
        <f t="shared" si="3"/>
        <v>0</v>
      </c>
      <c r="P513" s="160">
        <f t="shared" ref="P513:Q513" si="523">IF(N513="",0,IF(N513&lt;=2,1,IF(N513&lt;=4,2,IF(N513&lt;=5.5,3,4))))</f>
        <v>1</v>
      </c>
      <c r="Q513" s="160">
        <f t="shared" si="523"/>
        <v>1</v>
      </c>
      <c r="R513" s="160" t="str">
        <f t="shared" si="5"/>
        <v>Not tested yet</v>
      </c>
      <c r="S513" s="160">
        <f t="shared" si="6"/>
        <v>1</v>
      </c>
      <c r="T513" s="207"/>
      <c r="U513" s="160">
        <f>COUNTIFS(sheet2!$A:$A,A513,sheet2!$E:$E,E513)</f>
        <v>1</v>
      </c>
      <c r="V513" s="160"/>
      <c r="W513" s="160"/>
      <c r="X513" s="160"/>
      <c r="Y513" s="160"/>
      <c r="Z513" s="160"/>
      <c r="AA513" s="160"/>
      <c r="AB513" s="160"/>
      <c r="AC513" s="160"/>
      <c r="AD513" s="160"/>
      <c r="AE513" s="160"/>
      <c r="AF513" s="160"/>
      <c r="AG513" s="160"/>
      <c r="AH513" s="160"/>
      <c r="AI513" s="160"/>
      <c r="AJ513" s="160"/>
      <c r="AK513" s="160"/>
      <c r="AL513" s="160"/>
      <c r="AM513" s="160"/>
      <c r="AN513" s="164"/>
      <c r="AO513" s="160"/>
      <c r="AP513" s="160"/>
      <c r="AQ513" s="160"/>
      <c r="AR513" s="160"/>
      <c r="AS513" s="160"/>
      <c r="AT513" s="160"/>
      <c r="AU513" s="160"/>
      <c r="AV513" s="160"/>
      <c r="AW513" s="160"/>
      <c r="AX513" s="160"/>
      <c r="AY513" s="160"/>
      <c r="AZ513" s="160"/>
      <c r="BA513" s="160"/>
      <c r="BB513" s="160"/>
      <c r="BC513" s="160"/>
      <c r="BD513" s="160"/>
      <c r="BE513" s="160"/>
      <c r="BF513" s="160"/>
      <c r="BG513" s="160"/>
      <c r="BH513" s="160"/>
      <c r="BI513" s="160"/>
      <c r="BJ513" s="160"/>
      <c r="BK513" s="160"/>
      <c r="BL513" s="160"/>
      <c r="BM513" s="160"/>
      <c r="BN513" s="160"/>
      <c r="BO513" s="160"/>
      <c r="BP513" s="160"/>
      <c r="BQ513" s="160"/>
      <c r="BR513" s="160"/>
      <c r="BS513" s="160"/>
      <c r="BT513" s="160"/>
      <c r="BU513" s="160"/>
      <c r="BV513" s="160"/>
      <c r="BW513" s="160"/>
      <c r="BX513" s="160"/>
      <c r="BY513" s="160"/>
      <c r="BZ513" s="160"/>
      <c r="CA513" s="160"/>
      <c r="CB513" s="160"/>
      <c r="CC513" s="160"/>
      <c r="CD513" s="160"/>
      <c r="CE513" s="160"/>
      <c r="CF513" s="160"/>
      <c r="CG513" s="160"/>
      <c r="CH513" s="160"/>
      <c r="CI513" s="160"/>
      <c r="CJ513" s="160"/>
      <c r="CK513" s="160"/>
      <c r="CL513" s="160"/>
    </row>
    <row r="514">
      <c r="A514" s="188" t="s">
        <v>522</v>
      </c>
      <c r="B514" s="189" t="s">
        <v>523</v>
      </c>
      <c r="C514" s="190" t="s">
        <v>95</v>
      </c>
      <c r="D514" s="176" t="str">
        <f>IFERROR(VLOOKUP(C514, PIC!A:B, 2, 0), "")</f>
        <v>Phung Nguyen</v>
      </c>
      <c r="E514" s="189" t="s">
        <v>26</v>
      </c>
      <c r="F514" s="191" t="s">
        <v>26</v>
      </c>
      <c r="G514" s="189"/>
      <c r="H514" s="170">
        <f>IFERROR(
  MINIFS(ATTENDANCE_LOG!$F:$F,
         ATTENDANCE_LOG!$A:$A, C514,
         ATTENDANCE_LOG!$B:$B, E514),
"")</f>
        <v>46086.58333</v>
      </c>
      <c r="I514" s="170">
        <f t="shared" si="2"/>
        <v>46086.58333</v>
      </c>
      <c r="J514" s="189">
        <f>IFERROR(VLOOKUP(F514, LEVEL_HELPER!$A:$B, 2, 0), "")</f>
        <v>0.5</v>
      </c>
      <c r="K514" s="189" t="str">
        <f>IFERROR(VLOOKUP(G514, LEVEL_HELPER!$A:$B, 2, 0), "")</f>
        <v/>
      </c>
      <c r="L514" s="193" t="s">
        <v>400</v>
      </c>
      <c r="M514" s="219" t="s">
        <v>149</v>
      </c>
      <c r="N514" s="11">
        <f t="array" ref="N514">IFERROR(
  INDEX($J$2:$J$531,
    MATCH(A514&amp;TEXT(I514,"yyyy-mm-dd"),
          $A$2:$A$531&amp;TEXT($H$2:$H$531,"yyyy-mm-dd"),
          0)),
"")</f>
        <v>0.5</v>
      </c>
      <c r="O514" s="194">
        <f t="shared" si="3"/>
        <v>0</v>
      </c>
      <c r="P514" s="160">
        <f t="shared" ref="P514:Q514" si="524">IF(N514="",0,IF(N514&lt;=2,1,IF(N514&lt;=4,2,IF(N514&lt;=5.5,3,4))))</f>
        <v>1</v>
      </c>
      <c r="Q514" s="160">
        <f t="shared" si="524"/>
        <v>1</v>
      </c>
      <c r="R514" s="160" t="str">
        <f t="shared" si="5"/>
        <v>Not tested yet</v>
      </c>
      <c r="S514" s="160">
        <f t="shared" si="6"/>
        <v>1</v>
      </c>
      <c r="T514" s="207"/>
      <c r="U514" s="160">
        <f>COUNTIFS(sheet2!$A:$A,A514,sheet2!$E:$E,E514)</f>
        <v>1</v>
      </c>
      <c r="V514" s="160"/>
      <c r="W514" s="160"/>
      <c r="X514" s="160"/>
      <c r="Y514" s="160"/>
      <c r="Z514" s="160"/>
      <c r="AA514" s="160"/>
      <c r="AB514" s="160"/>
      <c r="AC514" s="160"/>
      <c r="AD514" s="160"/>
      <c r="AE514" s="160"/>
      <c r="AF514" s="160"/>
      <c r="AG514" s="160"/>
      <c r="AH514" s="160"/>
      <c r="AI514" s="160"/>
      <c r="AJ514" s="160"/>
      <c r="AK514" s="160"/>
      <c r="AL514" s="160"/>
      <c r="AM514" s="160"/>
      <c r="AN514" s="164"/>
      <c r="AO514" s="160"/>
      <c r="AP514" s="160"/>
      <c r="AQ514" s="160"/>
      <c r="AR514" s="160"/>
      <c r="AS514" s="160"/>
      <c r="AT514" s="160"/>
      <c r="AU514" s="160"/>
      <c r="AV514" s="160"/>
      <c r="AW514" s="160"/>
      <c r="AX514" s="160"/>
      <c r="AY514" s="160"/>
      <c r="AZ514" s="160"/>
      <c r="BA514" s="160"/>
      <c r="BB514" s="160"/>
      <c r="BC514" s="160"/>
      <c r="BD514" s="160"/>
      <c r="BE514" s="160"/>
      <c r="BF514" s="160"/>
      <c r="BG514" s="160"/>
      <c r="BH514" s="160"/>
      <c r="BI514" s="160"/>
      <c r="BJ514" s="160"/>
      <c r="BK514" s="160"/>
      <c r="BL514" s="160"/>
      <c r="BM514" s="160"/>
      <c r="BN514" s="160"/>
      <c r="BO514" s="160"/>
      <c r="BP514" s="160"/>
      <c r="BQ514" s="160"/>
      <c r="BR514" s="160"/>
      <c r="BS514" s="160"/>
      <c r="BT514" s="160"/>
      <c r="BU514" s="160"/>
      <c r="BV514" s="160"/>
      <c r="BW514" s="160"/>
      <c r="BX514" s="160"/>
      <c r="BY514" s="160"/>
      <c r="BZ514" s="160"/>
      <c r="CA514" s="160"/>
      <c r="CB514" s="160"/>
      <c r="CC514" s="160"/>
      <c r="CD514" s="160"/>
      <c r="CE514" s="160"/>
      <c r="CF514" s="160"/>
      <c r="CG514" s="160"/>
      <c r="CH514" s="160"/>
      <c r="CI514" s="160"/>
      <c r="CJ514" s="160"/>
      <c r="CK514" s="160"/>
      <c r="CL514" s="160"/>
    </row>
    <row r="515">
      <c r="A515" s="188" t="s">
        <v>524</v>
      </c>
      <c r="B515" s="189" t="s">
        <v>525</v>
      </c>
      <c r="C515" s="190" t="s">
        <v>95</v>
      </c>
      <c r="D515" s="176" t="str">
        <f>IFERROR(VLOOKUP(C515, PIC!A:B, 2, 0), "")</f>
        <v>Phung Nguyen</v>
      </c>
      <c r="E515" s="189" t="s">
        <v>26</v>
      </c>
      <c r="F515" s="191" t="s">
        <v>26</v>
      </c>
      <c r="G515" s="189"/>
      <c r="H515" s="170">
        <f>IFERROR(
  MINIFS(ATTENDANCE_LOG!$F:$F,
         ATTENDANCE_LOG!$A:$A, C515,
         ATTENDANCE_LOG!$B:$B, E515),
"")</f>
        <v>46086.58333</v>
      </c>
      <c r="I515" s="170">
        <f t="shared" si="2"/>
        <v>46086.58333</v>
      </c>
      <c r="J515" s="189">
        <f>IFERROR(VLOOKUP(F515, LEVEL_HELPER!$A:$B, 2, 0), "")</f>
        <v>0.5</v>
      </c>
      <c r="K515" s="189" t="str">
        <f>IFERROR(VLOOKUP(G515, LEVEL_HELPER!$A:$B, 2, 0), "")</f>
        <v/>
      </c>
      <c r="L515" s="193" t="s">
        <v>400</v>
      </c>
      <c r="M515" s="219" t="s">
        <v>149</v>
      </c>
      <c r="N515" s="11">
        <f t="array" ref="N515">IFERROR(
  INDEX($J$2:$J$531,
    MATCH(A515&amp;TEXT(I515,"yyyy-mm-dd"),
          $A$2:$A$531&amp;TEXT($H$2:$H$531,"yyyy-mm-dd"),
          0)),
"")</f>
        <v>0.5</v>
      </c>
      <c r="O515" s="194">
        <f t="shared" si="3"/>
        <v>0</v>
      </c>
      <c r="P515" s="160">
        <f t="shared" ref="P515:Q515" si="525">IF(N515="",0,IF(N515&lt;=2,1,IF(N515&lt;=4,2,IF(N515&lt;=5.5,3,4))))</f>
        <v>1</v>
      </c>
      <c r="Q515" s="160">
        <f t="shared" si="525"/>
        <v>1</v>
      </c>
      <c r="R515" s="160" t="str">
        <f t="shared" si="5"/>
        <v>Not tested yet</v>
      </c>
      <c r="S515" s="160">
        <f t="shared" si="6"/>
        <v>1</v>
      </c>
      <c r="T515" s="207"/>
      <c r="U515" s="160">
        <f>COUNTIFS(sheet2!$A:$A,A515,sheet2!$E:$E,E515)</f>
        <v>1</v>
      </c>
      <c r="V515" s="160"/>
      <c r="W515" s="160"/>
      <c r="X515" s="160"/>
      <c r="Y515" s="160"/>
      <c r="Z515" s="160"/>
      <c r="AA515" s="160"/>
      <c r="AB515" s="160"/>
      <c r="AC515" s="160"/>
      <c r="AD515" s="160"/>
      <c r="AE515" s="160"/>
      <c r="AF515" s="160"/>
      <c r="AG515" s="160"/>
      <c r="AH515" s="160"/>
      <c r="AI515" s="160"/>
      <c r="AJ515" s="160"/>
      <c r="AK515" s="160"/>
      <c r="AL515" s="160"/>
      <c r="AM515" s="160"/>
      <c r="AN515" s="164"/>
      <c r="AO515" s="160"/>
      <c r="AP515" s="160"/>
      <c r="AQ515" s="160"/>
      <c r="AR515" s="160"/>
      <c r="AS515" s="160"/>
      <c r="AT515" s="160"/>
      <c r="AU515" s="160"/>
      <c r="AV515" s="160"/>
      <c r="AW515" s="160"/>
      <c r="AX515" s="160"/>
      <c r="AY515" s="160"/>
      <c r="AZ515" s="160"/>
      <c r="BA515" s="160"/>
      <c r="BB515" s="160"/>
      <c r="BC515" s="160"/>
      <c r="BD515" s="160"/>
      <c r="BE515" s="160"/>
      <c r="BF515" s="160"/>
      <c r="BG515" s="160"/>
      <c r="BH515" s="160"/>
      <c r="BI515" s="160"/>
      <c r="BJ515" s="160"/>
      <c r="BK515" s="160"/>
      <c r="BL515" s="160"/>
      <c r="BM515" s="160"/>
      <c r="BN515" s="160"/>
      <c r="BO515" s="160"/>
      <c r="BP515" s="160"/>
      <c r="BQ515" s="160"/>
      <c r="BR515" s="160"/>
      <c r="BS515" s="160"/>
      <c r="BT515" s="160"/>
      <c r="BU515" s="160"/>
      <c r="BV515" s="160"/>
      <c r="BW515" s="160"/>
      <c r="BX515" s="160"/>
      <c r="BY515" s="160"/>
      <c r="BZ515" s="160"/>
      <c r="CA515" s="160"/>
      <c r="CB515" s="160"/>
      <c r="CC515" s="160"/>
      <c r="CD515" s="160"/>
      <c r="CE515" s="160"/>
      <c r="CF515" s="160"/>
      <c r="CG515" s="160"/>
      <c r="CH515" s="160"/>
      <c r="CI515" s="160"/>
      <c r="CJ515" s="160"/>
      <c r="CK515" s="160"/>
      <c r="CL515" s="160"/>
    </row>
    <row r="516">
      <c r="A516" s="188" t="s">
        <v>526</v>
      </c>
      <c r="B516" s="189" t="s">
        <v>527</v>
      </c>
      <c r="C516" s="190" t="s">
        <v>95</v>
      </c>
      <c r="D516" s="176" t="str">
        <f>IFERROR(VLOOKUP(C516, PIC!A:B, 2, 0), "")</f>
        <v>Phung Nguyen</v>
      </c>
      <c r="E516" s="189" t="s">
        <v>26</v>
      </c>
      <c r="F516" s="191" t="s">
        <v>26</v>
      </c>
      <c r="G516" s="189"/>
      <c r="H516" s="170">
        <f>IFERROR(
  MINIFS(ATTENDANCE_LOG!$F:$F,
         ATTENDANCE_LOG!$A:$A, C516,
         ATTENDANCE_LOG!$B:$B, E516),
"")</f>
        <v>46086.58333</v>
      </c>
      <c r="I516" s="170">
        <f t="shared" si="2"/>
        <v>46086.58333</v>
      </c>
      <c r="J516" s="189">
        <f>IFERROR(VLOOKUP(F516, LEVEL_HELPER!$A:$B, 2, 0), "")</f>
        <v>0.5</v>
      </c>
      <c r="K516" s="189" t="str">
        <f>IFERROR(VLOOKUP(G516, LEVEL_HELPER!$A:$B, 2, 0), "")</f>
        <v/>
      </c>
      <c r="L516" s="193" t="s">
        <v>847</v>
      </c>
      <c r="M516" s="219" t="s">
        <v>149</v>
      </c>
      <c r="N516" s="11">
        <f t="array" ref="N516">IFERROR(
  INDEX($J$2:$J$531,
    MATCH(A516&amp;TEXT(I516,"yyyy-mm-dd"),
          $A$2:$A$531&amp;TEXT($H$2:$H$531,"yyyy-mm-dd"),
          0)),
"")</f>
        <v>0.5</v>
      </c>
      <c r="O516" s="194">
        <f t="shared" si="3"/>
        <v>0</v>
      </c>
      <c r="P516" s="160">
        <f t="shared" ref="P516:Q516" si="526">IF(N516="",0,IF(N516&lt;=2,1,IF(N516&lt;=4,2,IF(N516&lt;=5.5,3,4))))</f>
        <v>1</v>
      </c>
      <c r="Q516" s="160">
        <f t="shared" si="526"/>
        <v>1</v>
      </c>
      <c r="R516" s="160" t="str">
        <f t="shared" si="5"/>
        <v>Not tested yet</v>
      </c>
      <c r="S516" s="160">
        <f t="shared" si="6"/>
        <v>1</v>
      </c>
      <c r="T516" s="207"/>
      <c r="U516" s="160">
        <f>COUNTIFS(sheet2!$A:$A,A516,sheet2!$E:$E,E516)</f>
        <v>1</v>
      </c>
      <c r="V516" s="160"/>
      <c r="W516" s="160"/>
      <c r="X516" s="160"/>
      <c r="Y516" s="160"/>
      <c r="Z516" s="160"/>
      <c r="AA516" s="160"/>
      <c r="AB516" s="160"/>
      <c r="AC516" s="160"/>
      <c r="AD516" s="160"/>
      <c r="AE516" s="160"/>
      <c r="AF516" s="160"/>
      <c r="AG516" s="160"/>
      <c r="AH516" s="160"/>
      <c r="AI516" s="160"/>
      <c r="AJ516" s="160"/>
      <c r="AK516" s="160"/>
      <c r="AL516" s="160"/>
      <c r="AM516" s="160"/>
      <c r="AN516" s="164"/>
      <c r="AO516" s="160"/>
      <c r="AP516" s="160"/>
      <c r="AQ516" s="160"/>
      <c r="AR516" s="160"/>
      <c r="AS516" s="160"/>
      <c r="AT516" s="160"/>
      <c r="AU516" s="160"/>
      <c r="AV516" s="160"/>
      <c r="AW516" s="160"/>
      <c r="AX516" s="160"/>
      <c r="AY516" s="160"/>
      <c r="AZ516" s="160"/>
      <c r="BA516" s="160"/>
      <c r="BB516" s="160"/>
      <c r="BC516" s="160"/>
      <c r="BD516" s="160"/>
      <c r="BE516" s="160"/>
      <c r="BF516" s="160"/>
      <c r="BG516" s="160"/>
      <c r="BH516" s="160"/>
      <c r="BI516" s="160"/>
      <c r="BJ516" s="160"/>
      <c r="BK516" s="160"/>
      <c r="BL516" s="160"/>
      <c r="BM516" s="160"/>
      <c r="BN516" s="160"/>
      <c r="BO516" s="160"/>
      <c r="BP516" s="160"/>
      <c r="BQ516" s="160"/>
      <c r="BR516" s="160"/>
      <c r="BS516" s="160"/>
      <c r="BT516" s="160"/>
      <c r="BU516" s="160"/>
      <c r="BV516" s="160"/>
      <c r="BW516" s="160"/>
      <c r="BX516" s="160"/>
      <c r="BY516" s="160"/>
      <c r="BZ516" s="160"/>
      <c r="CA516" s="160"/>
      <c r="CB516" s="160"/>
      <c r="CC516" s="160"/>
      <c r="CD516" s="160"/>
      <c r="CE516" s="160"/>
      <c r="CF516" s="160"/>
      <c r="CG516" s="160"/>
      <c r="CH516" s="160"/>
      <c r="CI516" s="160"/>
      <c r="CJ516" s="160"/>
      <c r="CK516" s="160"/>
      <c r="CL516" s="160"/>
    </row>
    <row r="517">
      <c r="A517" s="221" t="s">
        <v>703</v>
      </c>
      <c r="B517" s="189" t="s">
        <v>704</v>
      </c>
      <c r="C517" s="190" t="s">
        <v>95</v>
      </c>
      <c r="D517" s="176" t="str">
        <f>IFERROR(VLOOKUP(C517, PIC!A:B, 2, 0), "")</f>
        <v>Phung Nguyen</v>
      </c>
      <c r="E517" s="189" t="s">
        <v>26</v>
      </c>
      <c r="F517" s="191" t="s">
        <v>26</v>
      </c>
      <c r="G517" s="191"/>
      <c r="H517" s="170">
        <f>IFERROR(
  MINIFS(ATTENDANCE_LOG!$F:$F,
         ATTENDANCE_LOG!$A:$A, C517,
         ATTENDANCE_LOG!$B:$B, E517),
"")</f>
        <v>46086.58333</v>
      </c>
      <c r="I517" s="170">
        <f t="shared" si="2"/>
        <v>46086.58333</v>
      </c>
      <c r="J517" s="189">
        <f>IFERROR(VLOOKUP(F517, LEVEL_HELPER!$A:$B, 2, 0), "")</f>
        <v>0.5</v>
      </c>
      <c r="K517" s="189" t="str">
        <f>IFERROR(VLOOKUP(G517, LEVEL_HELPER!$A:$B, 2, 0), "")</f>
        <v/>
      </c>
      <c r="L517" s="193" t="s">
        <v>880</v>
      </c>
      <c r="M517" s="219" t="s">
        <v>149</v>
      </c>
      <c r="N517" s="11">
        <f t="array" ref="N517">IFERROR(
  INDEX($J$2:$J$531,
    MATCH(A517&amp;TEXT(I517,"yyyy-mm-dd"),
          $A$2:$A$531&amp;TEXT($H$2:$H$531,"yyyy-mm-dd"),
          0)),
"")</f>
        <v>0.5</v>
      </c>
      <c r="O517" s="194">
        <f t="shared" si="3"/>
        <v>0</v>
      </c>
      <c r="P517" s="160">
        <f t="shared" ref="P517:Q517" si="527">IF(N517="",0,IF(N517&lt;=2,1,IF(N517&lt;=4,2,IF(N517&lt;=5.5,3,4))))</f>
        <v>1</v>
      </c>
      <c r="Q517" s="160">
        <f t="shared" si="527"/>
        <v>1</v>
      </c>
      <c r="R517" s="160" t="str">
        <f t="shared" si="5"/>
        <v>Not tested yet</v>
      </c>
      <c r="S517" s="160">
        <f t="shared" si="6"/>
        <v>0</v>
      </c>
      <c r="T517" s="207"/>
      <c r="U517" s="160">
        <f>COUNTIFS(sheet2!$A:$A,A517,sheet2!$E:$E,E517)</f>
        <v>1</v>
      </c>
      <c r="V517" s="160"/>
      <c r="W517" s="160"/>
      <c r="X517" s="160"/>
      <c r="Y517" s="160"/>
      <c r="Z517" s="160"/>
      <c r="AA517" s="160"/>
      <c r="AB517" s="160"/>
      <c r="AC517" s="160"/>
      <c r="AD517" s="160"/>
      <c r="AE517" s="160"/>
      <c r="AF517" s="160"/>
      <c r="AG517" s="160"/>
      <c r="AH517" s="160"/>
      <c r="AI517" s="160"/>
      <c r="AJ517" s="160"/>
      <c r="AK517" s="160"/>
      <c r="AL517" s="160"/>
      <c r="AM517" s="160"/>
      <c r="AN517" s="164"/>
      <c r="AO517" s="160"/>
      <c r="AP517" s="160"/>
      <c r="AQ517" s="160"/>
      <c r="AR517" s="160"/>
      <c r="AS517" s="160"/>
      <c r="AT517" s="160"/>
      <c r="AU517" s="160"/>
      <c r="AV517" s="160"/>
      <c r="AW517" s="160"/>
      <c r="AX517" s="160"/>
      <c r="AY517" s="160"/>
      <c r="AZ517" s="160"/>
      <c r="BA517" s="160"/>
      <c r="BB517" s="160"/>
      <c r="BC517" s="160"/>
      <c r="BD517" s="160"/>
      <c r="BE517" s="160"/>
      <c r="BF517" s="160"/>
      <c r="BG517" s="160"/>
      <c r="BH517" s="160"/>
      <c r="BI517" s="160"/>
      <c r="BJ517" s="160"/>
      <c r="BK517" s="160"/>
      <c r="BL517" s="160"/>
      <c r="BM517" s="160"/>
      <c r="BN517" s="160"/>
      <c r="BO517" s="160"/>
      <c r="BP517" s="160"/>
      <c r="BQ517" s="160"/>
      <c r="BR517" s="160"/>
      <c r="BS517" s="160"/>
      <c r="BT517" s="160"/>
      <c r="BU517" s="160"/>
      <c r="BV517" s="160"/>
      <c r="BW517" s="160"/>
      <c r="BX517" s="160"/>
      <c r="BY517" s="160"/>
      <c r="BZ517" s="160"/>
      <c r="CA517" s="160"/>
      <c r="CB517" s="160"/>
      <c r="CC517" s="160"/>
      <c r="CD517" s="160"/>
      <c r="CE517" s="160"/>
      <c r="CF517" s="160"/>
      <c r="CG517" s="160"/>
      <c r="CH517" s="160"/>
      <c r="CI517" s="160"/>
      <c r="CJ517" s="160"/>
      <c r="CK517" s="160"/>
      <c r="CL517" s="160"/>
    </row>
    <row r="518">
      <c r="A518" s="221" t="s">
        <v>528</v>
      </c>
      <c r="B518" s="189" t="s">
        <v>529</v>
      </c>
      <c r="C518" s="190" t="s">
        <v>95</v>
      </c>
      <c r="D518" s="176" t="str">
        <f>IFERROR(VLOOKUP(C518, PIC!A:B, 2, 0), "")</f>
        <v>Phung Nguyen</v>
      </c>
      <c r="E518" s="189" t="s">
        <v>26</v>
      </c>
      <c r="F518" s="191" t="s">
        <v>26</v>
      </c>
      <c r="G518" s="189"/>
      <c r="H518" s="170">
        <f>IFERROR(
  MINIFS(ATTENDANCE_LOG!$F:$F,
         ATTENDANCE_LOG!$A:$A, C518,
         ATTENDANCE_LOG!$B:$B, E518),
"")</f>
        <v>46086.58333</v>
      </c>
      <c r="I518" s="170">
        <f t="shared" si="2"/>
        <v>46086.58333</v>
      </c>
      <c r="J518" s="189">
        <f>IFERROR(VLOOKUP(F518, LEVEL_HELPER!$A:$B, 2, 0), "")</f>
        <v>0.5</v>
      </c>
      <c r="K518" s="189" t="str">
        <f>IFERROR(VLOOKUP(G518, LEVEL_HELPER!$A:$B, 2, 0), "")</f>
        <v/>
      </c>
      <c r="L518" s="193" t="s">
        <v>400</v>
      </c>
      <c r="M518" s="219" t="s">
        <v>149</v>
      </c>
      <c r="N518" s="11">
        <f t="array" ref="N518">IFERROR(
  INDEX($J$2:$J$531,
    MATCH(A518&amp;TEXT(I518,"yyyy-mm-dd"),
          $A$2:$A$531&amp;TEXT($H$2:$H$531,"yyyy-mm-dd"),
          0)),
"")</f>
        <v>0.5</v>
      </c>
      <c r="O518" s="194">
        <f t="shared" si="3"/>
        <v>0</v>
      </c>
      <c r="P518" s="160">
        <f t="shared" ref="P518:Q518" si="528">IF(N518="",0,IF(N518&lt;=2,1,IF(N518&lt;=4,2,IF(N518&lt;=5.5,3,4))))</f>
        <v>1</v>
      </c>
      <c r="Q518" s="160">
        <f t="shared" si="528"/>
        <v>1</v>
      </c>
      <c r="R518" s="160" t="str">
        <f t="shared" si="5"/>
        <v>Not tested yet</v>
      </c>
      <c r="S518" s="160">
        <f t="shared" si="6"/>
        <v>1</v>
      </c>
      <c r="T518" s="207"/>
      <c r="U518" s="160">
        <f>COUNTIFS(sheet2!$A:$A,A518,sheet2!$E:$E,E518)</f>
        <v>1</v>
      </c>
      <c r="V518" s="160"/>
      <c r="W518" s="160"/>
      <c r="X518" s="160"/>
      <c r="Y518" s="160"/>
      <c r="Z518" s="160"/>
      <c r="AA518" s="160"/>
      <c r="AB518" s="160"/>
      <c r="AC518" s="160"/>
      <c r="AD518" s="160"/>
      <c r="AE518" s="160"/>
      <c r="AF518" s="160"/>
      <c r="AG518" s="160"/>
      <c r="AH518" s="160"/>
      <c r="AI518" s="160"/>
      <c r="AJ518" s="160"/>
      <c r="AK518" s="160"/>
      <c r="AL518" s="160"/>
      <c r="AM518" s="160"/>
      <c r="AN518" s="164"/>
      <c r="AO518" s="160"/>
      <c r="AP518" s="160"/>
      <c r="AQ518" s="160"/>
      <c r="AR518" s="160"/>
      <c r="AS518" s="160"/>
      <c r="AT518" s="160"/>
      <c r="AU518" s="160"/>
      <c r="AV518" s="160"/>
      <c r="AW518" s="160"/>
      <c r="AX518" s="160"/>
      <c r="AY518" s="160"/>
      <c r="AZ518" s="160"/>
      <c r="BA518" s="160"/>
      <c r="BB518" s="160"/>
      <c r="BC518" s="160"/>
      <c r="BD518" s="160"/>
      <c r="BE518" s="160"/>
      <c r="BF518" s="160"/>
      <c r="BG518" s="160"/>
      <c r="BH518" s="160"/>
      <c r="BI518" s="160"/>
      <c r="BJ518" s="160"/>
      <c r="BK518" s="160"/>
      <c r="BL518" s="160"/>
      <c r="BM518" s="160"/>
      <c r="BN518" s="160"/>
      <c r="BO518" s="160"/>
      <c r="BP518" s="160"/>
      <c r="BQ518" s="160"/>
      <c r="BR518" s="160"/>
      <c r="BS518" s="160"/>
      <c r="BT518" s="160"/>
      <c r="BU518" s="160"/>
      <c r="BV518" s="160"/>
      <c r="BW518" s="160"/>
      <c r="BX518" s="160"/>
      <c r="BY518" s="160"/>
      <c r="BZ518" s="160"/>
      <c r="CA518" s="160"/>
      <c r="CB518" s="160"/>
      <c r="CC518" s="160"/>
      <c r="CD518" s="160"/>
      <c r="CE518" s="160"/>
      <c r="CF518" s="160"/>
      <c r="CG518" s="160"/>
      <c r="CH518" s="160"/>
      <c r="CI518" s="160"/>
      <c r="CJ518" s="160"/>
      <c r="CK518" s="160"/>
      <c r="CL518" s="160"/>
    </row>
    <row r="519">
      <c r="A519" s="209" t="s">
        <v>437</v>
      </c>
      <c r="B519" s="210" t="s">
        <v>438</v>
      </c>
      <c r="C519" s="211" t="s">
        <v>96</v>
      </c>
      <c r="D519" s="169" t="str">
        <f>IFERROR(VLOOKUP(C519, PIC!A:B, 2, 0), "")</f>
        <v>Nam Nguyen</v>
      </c>
      <c r="E519" s="210" t="s">
        <v>22</v>
      </c>
      <c r="F519" s="212" t="s">
        <v>26</v>
      </c>
      <c r="G519" s="210"/>
      <c r="H519" s="170">
        <f>IFERROR(
  MINIFS(ATTENDANCE_LOG!$F:$F,
         ATTENDANCE_LOG!$A:$A, C519,
         ATTENDANCE_LOG!$B:$B, E519),
"")</f>
        <v>46120.45833</v>
      </c>
      <c r="I519" s="170">
        <f t="shared" si="2"/>
        <v>45635.4375</v>
      </c>
      <c r="J519" s="210">
        <f>IFERROR(VLOOKUP(F519, LEVEL_HELPER!$A:$B, 2, 0), "")</f>
        <v>0.5</v>
      </c>
      <c r="K519" s="189" t="str">
        <f>IFERROR(VLOOKUP(G519, LEVEL_HELPER!$A:$B, 2, 0), "")</f>
        <v/>
      </c>
      <c r="L519" s="213" t="s">
        <v>847</v>
      </c>
      <c r="M519" s="213" t="s">
        <v>152</v>
      </c>
      <c r="N519" s="11">
        <f t="array" ref="N519">IFERROR(
  INDEX($J$2:$J$531,
    MATCH(A519&amp;TEXT(I519,"yyyy-mm-dd"),
          $A$2:$A$531&amp;TEXT($H$2:$H$531,"yyyy-mm-dd"),
          0)),
"")</f>
        <v>1</v>
      </c>
      <c r="O519" s="214">
        <f t="shared" si="3"/>
        <v>1</v>
      </c>
      <c r="P519" s="160">
        <f t="shared" ref="P519:Q519" si="529">IF(N519="",0,IF(N519&lt;=2,1,IF(N519&lt;=4,2,IF(N519&lt;=5.5,3,4))))</f>
        <v>1</v>
      </c>
      <c r="Q519" s="160">
        <f t="shared" si="529"/>
        <v>1</v>
      </c>
      <c r="R519" s="160" t="str">
        <f t="shared" si="5"/>
        <v>No Progress</v>
      </c>
      <c r="S519" s="160">
        <f t="shared" si="6"/>
        <v>0</v>
      </c>
      <c r="T519" s="177" t="s">
        <v>948</v>
      </c>
      <c r="U519" s="160">
        <f>COUNTIFS(sheet2!$A:$A,A519,sheet2!$E:$E,E519)</f>
        <v>2</v>
      </c>
      <c r="V519" s="160"/>
      <c r="W519" s="160"/>
      <c r="X519" s="160"/>
      <c r="Y519" s="160"/>
      <c r="Z519" s="160"/>
      <c r="AA519" s="160"/>
      <c r="AB519" s="160"/>
      <c r="AC519" s="160"/>
      <c r="AD519" s="160"/>
      <c r="AE519" s="160"/>
      <c r="AF519" s="160"/>
      <c r="AG519" s="160"/>
      <c r="AH519" s="160"/>
      <c r="AI519" s="160"/>
      <c r="AJ519" s="160"/>
      <c r="AK519" s="160"/>
      <c r="AL519" s="160"/>
      <c r="AM519" s="160"/>
      <c r="AN519" s="164"/>
      <c r="AO519" s="160"/>
      <c r="AP519" s="160"/>
      <c r="AQ519" s="160"/>
      <c r="AR519" s="160"/>
      <c r="AS519" s="160"/>
      <c r="AT519" s="160"/>
      <c r="AU519" s="160"/>
      <c r="AV519" s="160"/>
      <c r="AW519" s="160"/>
      <c r="AX519" s="160"/>
      <c r="AY519" s="160"/>
      <c r="AZ519" s="160"/>
      <c r="BA519" s="160"/>
      <c r="BB519" s="160"/>
      <c r="BC519" s="160"/>
      <c r="BD519" s="160"/>
      <c r="BE519" s="160"/>
      <c r="BF519" s="160"/>
      <c r="BG519" s="160"/>
      <c r="BH519" s="160"/>
      <c r="BI519" s="160"/>
      <c r="BJ519" s="160"/>
      <c r="BK519" s="160"/>
      <c r="BL519" s="160"/>
      <c r="BM519" s="160"/>
      <c r="BN519" s="160"/>
      <c r="BO519" s="160"/>
      <c r="BP519" s="160"/>
      <c r="BQ519" s="160"/>
      <c r="BR519" s="160"/>
      <c r="BS519" s="160"/>
      <c r="BT519" s="160"/>
      <c r="BU519" s="160"/>
      <c r="BV519" s="160"/>
      <c r="BW519" s="160"/>
      <c r="BX519" s="160"/>
      <c r="BY519" s="160"/>
      <c r="BZ519" s="160"/>
      <c r="CA519" s="160"/>
      <c r="CB519" s="160"/>
      <c r="CC519" s="160"/>
      <c r="CD519" s="160"/>
      <c r="CE519" s="160"/>
      <c r="CF519" s="160"/>
      <c r="CG519" s="160"/>
      <c r="CH519" s="160"/>
      <c r="CI519" s="160"/>
      <c r="CJ519" s="160"/>
      <c r="CK519" s="160"/>
      <c r="CL519" s="160"/>
    </row>
    <row r="520">
      <c r="A520" s="221" t="s">
        <v>605</v>
      </c>
      <c r="B520" s="189" t="s">
        <v>606</v>
      </c>
      <c r="C520" s="190" t="s">
        <v>96</v>
      </c>
      <c r="D520" s="176" t="str">
        <f>IFERROR(VLOOKUP(C520, PIC!A:B, 2, 0), "")</f>
        <v>Nam Nguyen</v>
      </c>
      <c r="E520" s="189" t="s">
        <v>22</v>
      </c>
      <c r="F520" s="191" t="s">
        <v>853</v>
      </c>
      <c r="G520" s="189"/>
      <c r="H520" s="170">
        <f>IFERROR(
  MINIFS(ATTENDANCE_LOG!$F:$F,
         ATTENDANCE_LOG!$A:$A, C520,
         ATTENDANCE_LOG!$B:$B, E520),
"")</f>
        <v>46120.45833</v>
      </c>
      <c r="I520" s="170">
        <f t="shared" si="2"/>
        <v>46120.45833</v>
      </c>
      <c r="J520" s="189">
        <f>IFERROR(VLOOKUP(F520, LEVEL_HELPER!$A:$B, 2, 0), "")</f>
        <v>1.5</v>
      </c>
      <c r="K520" s="189" t="str">
        <f>IFERROR(VLOOKUP(G520, LEVEL_HELPER!$A:$B, 2, 0), "")</f>
        <v/>
      </c>
      <c r="L520" s="193" t="s">
        <v>847</v>
      </c>
      <c r="M520" s="193" t="s">
        <v>152</v>
      </c>
      <c r="N520" s="11">
        <f t="array" ref="N520">IFERROR(
  INDEX($J$2:$J$531,
    MATCH(A520&amp;TEXT(I520,"yyyy-mm-dd"),
          $A$2:$A$531&amp;TEXT($H$2:$H$531,"yyyy-mm-dd"),
          0)),
"")</f>
        <v>1.5</v>
      </c>
      <c r="O520" s="194">
        <f t="shared" si="3"/>
        <v>0</v>
      </c>
      <c r="P520" s="160">
        <f t="shared" ref="P520:Q520" si="530">IF(N520="",0,IF(N520&lt;=2,1,IF(N520&lt;=4,2,IF(N520&lt;=5.5,3,4))))</f>
        <v>1</v>
      </c>
      <c r="Q520" s="160">
        <f t="shared" si="530"/>
        <v>1</v>
      </c>
      <c r="R520" s="160" t="str">
        <f t="shared" si="5"/>
        <v>Not tested yet</v>
      </c>
      <c r="S520" s="160">
        <f t="shared" si="6"/>
        <v>1</v>
      </c>
      <c r="T520" s="198"/>
      <c r="U520" s="160">
        <f>COUNTIFS(sheet2!$A:$A,A520,sheet2!$E:$E,E520)</f>
        <v>1</v>
      </c>
      <c r="V520" s="160"/>
      <c r="W520" s="160"/>
      <c r="X520" s="160"/>
      <c r="Y520" s="160"/>
      <c r="Z520" s="160"/>
      <c r="AA520" s="160"/>
      <c r="AB520" s="160"/>
      <c r="AC520" s="160"/>
      <c r="AD520" s="160"/>
      <c r="AE520" s="160"/>
      <c r="AF520" s="160"/>
      <c r="AG520" s="160"/>
      <c r="AH520" s="160"/>
      <c r="AI520" s="160"/>
      <c r="AJ520" s="160"/>
      <c r="AK520" s="160"/>
      <c r="AL520" s="160"/>
      <c r="AM520" s="160"/>
      <c r="AN520" s="164"/>
      <c r="AO520" s="160"/>
      <c r="AP520" s="160"/>
      <c r="AQ520" s="160"/>
      <c r="AR520" s="160"/>
      <c r="AS520" s="160"/>
      <c r="AT520" s="160"/>
      <c r="AU520" s="160"/>
      <c r="AV520" s="160"/>
      <c r="AW520" s="160"/>
      <c r="AX520" s="160"/>
      <c r="AY520" s="160"/>
      <c r="AZ520" s="160"/>
      <c r="BA520" s="160"/>
      <c r="BB520" s="160"/>
      <c r="BC520" s="160"/>
      <c r="BD520" s="160"/>
      <c r="BE520" s="160"/>
      <c r="BF520" s="160"/>
      <c r="BG520" s="160"/>
      <c r="BH520" s="160"/>
      <c r="BI520" s="160"/>
      <c r="BJ520" s="160"/>
      <c r="BK520" s="160"/>
      <c r="BL520" s="160"/>
      <c r="BM520" s="160"/>
      <c r="BN520" s="160"/>
      <c r="BO520" s="160"/>
      <c r="BP520" s="160"/>
      <c r="BQ520" s="160"/>
      <c r="BR520" s="160"/>
      <c r="BS520" s="160"/>
      <c r="BT520" s="160"/>
      <c r="BU520" s="160"/>
      <c r="BV520" s="160"/>
      <c r="BW520" s="160"/>
      <c r="BX520" s="160"/>
      <c r="BY520" s="160"/>
      <c r="BZ520" s="160"/>
      <c r="CA520" s="160"/>
      <c r="CB520" s="160"/>
      <c r="CC520" s="160"/>
      <c r="CD520" s="160"/>
      <c r="CE520" s="160"/>
      <c r="CF520" s="160"/>
      <c r="CG520" s="160"/>
      <c r="CH520" s="160"/>
      <c r="CI520" s="160"/>
      <c r="CJ520" s="160"/>
      <c r="CK520" s="160"/>
      <c r="CL520" s="160"/>
    </row>
    <row r="521">
      <c r="A521" s="221" t="s">
        <v>433</v>
      </c>
      <c r="B521" s="189" t="s">
        <v>434</v>
      </c>
      <c r="C521" s="190" t="s">
        <v>96</v>
      </c>
      <c r="D521" s="176" t="str">
        <f>IFERROR(VLOOKUP(C521, PIC!A:B, 2, 0), "")</f>
        <v>Nam Nguyen</v>
      </c>
      <c r="E521" s="189" t="s">
        <v>22</v>
      </c>
      <c r="F521" s="191" t="s">
        <v>26</v>
      </c>
      <c r="G521" s="189"/>
      <c r="H521" s="170">
        <f>IFERROR(
  MINIFS(ATTENDANCE_LOG!$F:$F,
         ATTENDANCE_LOG!$A:$A, C521,
         ATTENDANCE_LOG!$B:$B, E521),
"")</f>
        <v>46120.45833</v>
      </c>
      <c r="I521" s="170">
        <f t="shared" si="2"/>
        <v>45637.375</v>
      </c>
      <c r="J521" s="189">
        <f>IFERROR(VLOOKUP(F521, LEVEL_HELPER!$A:$B, 2, 0), "")</f>
        <v>0.5</v>
      </c>
      <c r="K521" s="189" t="str">
        <f>IFERROR(VLOOKUP(G521, LEVEL_HELPER!$A:$B, 2, 0), "")</f>
        <v/>
      </c>
      <c r="L521" s="193" t="s">
        <v>847</v>
      </c>
      <c r="M521" s="193" t="s">
        <v>152</v>
      </c>
      <c r="N521" s="11">
        <f t="array" ref="N521">IFERROR(
  INDEX($J$2:$J$531,
    MATCH(A521&amp;TEXT(I521,"yyyy-mm-dd"),
          $A$2:$A$531&amp;TEXT($H$2:$H$531,"yyyy-mm-dd"),
          0)),
"")</f>
        <v>1</v>
      </c>
      <c r="O521" s="194">
        <f t="shared" si="3"/>
        <v>2.5</v>
      </c>
      <c r="P521" s="160">
        <f t="shared" ref="P521:Q521" si="531">IF(N521="",0,IF(N521&lt;=2,1,IF(N521&lt;=4,2,IF(N521&lt;=5.5,3,4))))</f>
        <v>1</v>
      </c>
      <c r="Q521" s="160">
        <f t="shared" si="531"/>
        <v>2</v>
      </c>
      <c r="R521" s="160" t="str">
        <f t="shared" si="5"/>
        <v>Lv1 → Lv2</v>
      </c>
      <c r="S521" s="160">
        <f t="shared" si="6"/>
        <v>0</v>
      </c>
      <c r="T521" s="177" t="s">
        <v>952</v>
      </c>
      <c r="U521" s="160">
        <f>COUNTIFS(sheet2!$A:$A,A521,sheet2!$E:$E,E521)</f>
        <v>2</v>
      </c>
      <c r="V521" s="160"/>
      <c r="W521" s="160"/>
      <c r="X521" s="160"/>
      <c r="Y521" s="160"/>
      <c r="Z521" s="160"/>
      <c r="AA521" s="160"/>
      <c r="AB521" s="160"/>
      <c r="AC521" s="160"/>
      <c r="AD521" s="160"/>
      <c r="AE521" s="160"/>
      <c r="AF521" s="160"/>
      <c r="AG521" s="160"/>
      <c r="AH521" s="160"/>
      <c r="AI521" s="160"/>
      <c r="AJ521" s="160"/>
      <c r="AK521" s="160"/>
      <c r="AL521" s="160"/>
      <c r="AM521" s="160"/>
      <c r="AN521" s="164"/>
      <c r="AO521" s="160"/>
      <c r="AP521" s="160"/>
      <c r="AQ521" s="160"/>
      <c r="AR521" s="160"/>
      <c r="AS521" s="160"/>
      <c r="AT521" s="160"/>
      <c r="AU521" s="160"/>
      <c r="AV521" s="160"/>
      <c r="AW521" s="160"/>
      <c r="AX521" s="160"/>
      <c r="AY521" s="160"/>
      <c r="AZ521" s="160"/>
      <c r="BA521" s="160"/>
      <c r="BB521" s="160"/>
      <c r="BC521" s="160"/>
      <c r="BD521" s="160"/>
      <c r="BE521" s="160"/>
      <c r="BF521" s="160"/>
      <c r="BG521" s="160"/>
      <c r="BH521" s="160"/>
      <c r="BI521" s="160"/>
      <c r="BJ521" s="160"/>
      <c r="BK521" s="160"/>
      <c r="BL521" s="160"/>
      <c r="BM521" s="160"/>
      <c r="BN521" s="160"/>
      <c r="BO521" s="160"/>
      <c r="BP521" s="160"/>
      <c r="BQ521" s="160"/>
      <c r="BR521" s="160"/>
      <c r="BS521" s="160"/>
      <c r="BT521" s="160"/>
      <c r="BU521" s="160"/>
      <c r="BV521" s="160"/>
      <c r="BW521" s="160"/>
      <c r="BX521" s="160"/>
      <c r="BY521" s="160"/>
      <c r="BZ521" s="160"/>
      <c r="CA521" s="160"/>
      <c r="CB521" s="160"/>
      <c r="CC521" s="160"/>
      <c r="CD521" s="160"/>
      <c r="CE521" s="160"/>
      <c r="CF521" s="160"/>
      <c r="CG521" s="160"/>
      <c r="CH521" s="160"/>
      <c r="CI521" s="160"/>
      <c r="CJ521" s="160"/>
      <c r="CK521" s="160"/>
      <c r="CL521" s="160"/>
    </row>
    <row r="522">
      <c r="A522" s="221" t="s">
        <v>435</v>
      </c>
      <c r="B522" s="189" t="s">
        <v>436</v>
      </c>
      <c r="C522" s="190" t="s">
        <v>96</v>
      </c>
      <c r="D522" s="176" t="str">
        <f>IFERROR(VLOOKUP(C522, PIC!A:B, 2, 0), "")</f>
        <v>Nam Nguyen</v>
      </c>
      <c r="E522" s="189" t="s">
        <v>22</v>
      </c>
      <c r="F522" s="191" t="s">
        <v>26</v>
      </c>
      <c r="G522" s="189"/>
      <c r="H522" s="170">
        <f>IFERROR(
  MINIFS(ATTENDANCE_LOG!$F:$F,
         ATTENDANCE_LOG!$A:$A, C522,
         ATTENDANCE_LOG!$B:$B, E522),
"")</f>
        <v>46120.45833</v>
      </c>
      <c r="I522" s="170">
        <f t="shared" si="2"/>
        <v>46120.45833</v>
      </c>
      <c r="J522" s="189">
        <f>IFERROR(VLOOKUP(F522, LEVEL_HELPER!$A:$B, 2, 0), "")</f>
        <v>0.5</v>
      </c>
      <c r="K522" s="189" t="str">
        <f>IFERROR(VLOOKUP(G522, LEVEL_HELPER!$A:$B, 2, 0), "")</f>
        <v/>
      </c>
      <c r="L522" s="193" t="s">
        <v>847</v>
      </c>
      <c r="M522" s="193" t="s">
        <v>152</v>
      </c>
      <c r="N522" s="11">
        <f t="array" ref="N522">IFERROR(
  INDEX($J$2:$J$531,
    MATCH(A522&amp;TEXT(I522,"yyyy-mm-dd"),
          $A$2:$A$531&amp;TEXT($H$2:$H$531,"yyyy-mm-dd"),
          0)),
"")</f>
        <v>0.5</v>
      </c>
      <c r="O522" s="194">
        <f t="shared" si="3"/>
        <v>0</v>
      </c>
      <c r="P522" s="160">
        <f t="shared" ref="P522:Q522" si="532">IF(N522="",0,IF(N522&lt;=2,1,IF(N522&lt;=4,2,IF(N522&lt;=5.5,3,4))))</f>
        <v>1</v>
      </c>
      <c r="Q522" s="160">
        <f t="shared" si="532"/>
        <v>1</v>
      </c>
      <c r="R522" s="160" t="str">
        <f t="shared" si="5"/>
        <v>Not tested yet</v>
      </c>
      <c r="S522" s="160">
        <f t="shared" si="6"/>
        <v>1</v>
      </c>
      <c r="T522" s="198"/>
      <c r="U522" s="160">
        <f>COUNTIFS(sheet2!$A:$A,A522,sheet2!$E:$E,E522)</f>
        <v>1</v>
      </c>
      <c r="V522" s="160"/>
      <c r="W522" s="160"/>
      <c r="X522" s="160"/>
      <c r="Y522" s="160"/>
      <c r="Z522" s="160"/>
      <c r="AA522" s="160"/>
      <c r="AB522" s="160"/>
      <c r="AC522" s="160"/>
      <c r="AD522" s="160"/>
      <c r="AE522" s="160"/>
      <c r="AF522" s="160"/>
      <c r="AG522" s="160"/>
      <c r="AH522" s="160"/>
      <c r="AI522" s="160"/>
      <c r="AJ522" s="160"/>
      <c r="AK522" s="160"/>
      <c r="AL522" s="160"/>
      <c r="AM522" s="160"/>
      <c r="AN522" s="164"/>
      <c r="AO522" s="160"/>
      <c r="AP522" s="160"/>
      <c r="AQ522" s="160"/>
      <c r="AR522" s="160"/>
      <c r="AS522" s="160"/>
      <c r="AT522" s="160"/>
      <c r="AU522" s="160"/>
      <c r="AV522" s="160"/>
      <c r="AW522" s="160"/>
      <c r="AX522" s="160"/>
      <c r="AY522" s="160"/>
      <c r="AZ522" s="160"/>
      <c r="BA522" s="160"/>
      <c r="BB522" s="160"/>
      <c r="BC522" s="160"/>
      <c r="BD522" s="160"/>
      <c r="BE522" s="160"/>
      <c r="BF522" s="160"/>
      <c r="BG522" s="160"/>
      <c r="BH522" s="160"/>
      <c r="BI522" s="160"/>
      <c r="BJ522" s="160"/>
      <c r="BK522" s="160"/>
      <c r="BL522" s="160"/>
      <c r="BM522" s="160"/>
      <c r="BN522" s="160"/>
      <c r="BO522" s="160"/>
      <c r="BP522" s="160"/>
      <c r="BQ522" s="160"/>
      <c r="BR522" s="160"/>
      <c r="BS522" s="160"/>
      <c r="BT522" s="160"/>
      <c r="BU522" s="160"/>
      <c r="BV522" s="160"/>
      <c r="BW522" s="160"/>
      <c r="BX522" s="160"/>
      <c r="BY522" s="160"/>
      <c r="BZ522" s="160"/>
      <c r="CA522" s="160"/>
      <c r="CB522" s="160"/>
      <c r="CC522" s="160"/>
      <c r="CD522" s="160"/>
      <c r="CE522" s="160"/>
      <c r="CF522" s="160"/>
      <c r="CG522" s="160"/>
      <c r="CH522" s="160"/>
      <c r="CI522" s="160"/>
      <c r="CJ522" s="160"/>
      <c r="CK522" s="160"/>
      <c r="CL522" s="160"/>
    </row>
    <row r="523">
      <c r="A523" s="221" t="s">
        <v>439</v>
      </c>
      <c r="B523" s="189" t="s">
        <v>440</v>
      </c>
      <c r="C523" s="190" t="s">
        <v>96</v>
      </c>
      <c r="D523" s="176" t="str">
        <f>IFERROR(VLOOKUP(C523, PIC!A:B, 2, 0), "")</f>
        <v>Nam Nguyen</v>
      </c>
      <c r="E523" s="189" t="s">
        <v>22</v>
      </c>
      <c r="F523" s="191" t="s">
        <v>26</v>
      </c>
      <c r="G523" s="189"/>
      <c r="H523" s="170">
        <f>IFERROR(
  MINIFS(ATTENDANCE_LOG!$F:$F,
         ATTENDANCE_LOG!$A:$A, C523,
         ATTENDANCE_LOG!$B:$B, E523),
"")</f>
        <v>46120.45833</v>
      </c>
      <c r="I523" s="170">
        <f t="shared" si="2"/>
        <v>45637.375</v>
      </c>
      <c r="J523" s="189">
        <f>IFERROR(VLOOKUP(F523, LEVEL_HELPER!$A:$B, 2, 0), "")</f>
        <v>0.5</v>
      </c>
      <c r="K523" s="189" t="str">
        <f>IFERROR(VLOOKUP(G523, LEVEL_HELPER!$A:$B, 2, 0), "")</f>
        <v/>
      </c>
      <c r="L523" s="193" t="s">
        <v>847</v>
      </c>
      <c r="M523" s="193" t="s">
        <v>152</v>
      </c>
      <c r="N523" s="11">
        <f t="array" ref="N523">IFERROR(
  INDEX($J$2:$J$531,
    MATCH(A523&amp;TEXT(I523,"yyyy-mm-dd"),
          $A$2:$A$531&amp;TEXT($H$2:$H$531,"yyyy-mm-dd"),
          0)),
"")</f>
        <v>1</v>
      </c>
      <c r="O523" s="194">
        <f t="shared" si="3"/>
        <v>2.5</v>
      </c>
      <c r="P523" s="160">
        <f t="shared" ref="P523:Q523" si="533">IF(N523="",0,IF(N523&lt;=2,1,IF(N523&lt;=4,2,IF(N523&lt;=5.5,3,4))))</f>
        <v>1</v>
      </c>
      <c r="Q523" s="160">
        <f t="shared" si="533"/>
        <v>2</v>
      </c>
      <c r="R523" s="160" t="str">
        <f t="shared" si="5"/>
        <v>Lv1 → Lv2</v>
      </c>
      <c r="S523" s="160">
        <f t="shared" si="6"/>
        <v>0</v>
      </c>
      <c r="T523" s="177" t="s">
        <v>953</v>
      </c>
      <c r="U523" s="160">
        <f>COUNTIFS(sheet2!$A:$A,A523,sheet2!$E:$E,E523)</f>
        <v>2</v>
      </c>
      <c r="V523" s="160"/>
      <c r="W523" s="160"/>
      <c r="X523" s="160"/>
      <c r="Y523" s="160"/>
      <c r="Z523" s="160"/>
      <c r="AA523" s="160"/>
      <c r="AB523" s="160"/>
      <c r="AC523" s="160"/>
      <c r="AD523" s="160"/>
      <c r="AE523" s="160"/>
      <c r="AF523" s="160"/>
      <c r="AG523" s="160"/>
      <c r="AH523" s="160"/>
      <c r="AI523" s="160"/>
      <c r="AJ523" s="160"/>
      <c r="AK523" s="160"/>
      <c r="AL523" s="160"/>
      <c r="AM523" s="160"/>
      <c r="AN523" s="164"/>
      <c r="AO523" s="160"/>
      <c r="AP523" s="160"/>
      <c r="AQ523" s="160"/>
      <c r="AR523" s="160"/>
      <c r="AS523" s="160"/>
      <c r="AT523" s="160"/>
      <c r="AU523" s="160"/>
      <c r="AV523" s="160"/>
      <c r="AW523" s="160"/>
      <c r="AX523" s="160"/>
      <c r="AY523" s="160"/>
      <c r="AZ523" s="160"/>
      <c r="BA523" s="160"/>
      <c r="BB523" s="160"/>
      <c r="BC523" s="160"/>
      <c r="BD523" s="160"/>
      <c r="BE523" s="160"/>
      <c r="BF523" s="160"/>
      <c r="BG523" s="160"/>
      <c r="BH523" s="160"/>
      <c r="BI523" s="160"/>
      <c r="BJ523" s="160"/>
      <c r="BK523" s="160"/>
      <c r="BL523" s="160"/>
      <c r="BM523" s="160"/>
      <c r="BN523" s="160"/>
      <c r="BO523" s="160"/>
      <c r="BP523" s="160"/>
      <c r="BQ523" s="160"/>
      <c r="BR523" s="160"/>
      <c r="BS523" s="160"/>
      <c r="BT523" s="160"/>
      <c r="BU523" s="160"/>
      <c r="BV523" s="160"/>
      <c r="BW523" s="160"/>
      <c r="BX523" s="160"/>
      <c r="BY523" s="160"/>
      <c r="BZ523" s="160"/>
      <c r="CA523" s="160"/>
      <c r="CB523" s="160"/>
      <c r="CC523" s="160"/>
      <c r="CD523" s="160"/>
      <c r="CE523" s="160"/>
      <c r="CF523" s="160"/>
      <c r="CG523" s="160"/>
      <c r="CH523" s="160"/>
      <c r="CI523" s="160"/>
      <c r="CJ523" s="160"/>
      <c r="CK523" s="160"/>
      <c r="CL523" s="160"/>
    </row>
    <row r="524">
      <c r="A524" s="221" t="s">
        <v>441</v>
      </c>
      <c r="B524" s="189" t="s">
        <v>442</v>
      </c>
      <c r="C524" s="190" t="s">
        <v>96</v>
      </c>
      <c r="D524" s="176" t="str">
        <f>IFERROR(VLOOKUP(C524, PIC!A:B, 2, 0), "")</f>
        <v>Nam Nguyen</v>
      </c>
      <c r="E524" s="189" t="s">
        <v>22</v>
      </c>
      <c r="F524" s="191" t="s">
        <v>26</v>
      </c>
      <c r="G524" s="189"/>
      <c r="H524" s="170">
        <f>IFERROR(
  MINIFS(ATTENDANCE_LOG!$F:$F,
         ATTENDANCE_LOG!$A:$A, C524,
         ATTENDANCE_LOG!$B:$B, E524),
"")</f>
        <v>46120.45833</v>
      </c>
      <c r="I524" s="170">
        <f t="shared" si="2"/>
        <v>46120.45833</v>
      </c>
      <c r="J524" s="189">
        <f>IFERROR(VLOOKUP(F524, LEVEL_HELPER!$A:$B, 2, 0), "")</f>
        <v>0.5</v>
      </c>
      <c r="K524" s="189" t="str">
        <f>IFERROR(VLOOKUP(G524, LEVEL_HELPER!$A:$B, 2, 0), "")</f>
        <v/>
      </c>
      <c r="L524" s="193" t="s">
        <v>847</v>
      </c>
      <c r="M524" s="193" t="s">
        <v>152</v>
      </c>
      <c r="N524" s="11">
        <f t="array" ref="N524">IFERROR(
  INDEX($J$2:$J$531,
    MATCH(A524&amp;TEXT(I524,"yyyy-mm-dd"),
          $A$2:$A$531&amp;TEXT($H$2:$H$531,"yyyy-mm-dd"),
          0)),
"")</f>
        <v>0.5</v>
      </c>
      <c r="O524" s="194">
        <f t="shared" si="3"/>
        <v>0</v>
      </c>
      <c r="P524" s="160">
        <f t="shared" ref="P524:Q524" si="534">IF(N524="",0,IF(N524&lt;=2,1,IF(N524&lt;=4,2,IF(N524&lt;=5.5,3,4))))</f>
        <v>1</v>
      </c>
      <c r="Q524" s="160">
        <f t="shared" si="534"/>
        <v>1</v>
      </c>
      <c r="R524" s="160" t="str">
        <f t="shared" si="5"/>
        <v>Not tested yet</v>
      </c>
      <c r="S524" s="160">
        <f t="shared" si="6"/>
        <v>1</v>
      </c>
      <c r="T524" s="198"/>
      <c r="U524" s="160">
        <f>COUNTIFS(sheet2!$A:$A,A524,sheet2!$E:$E,E524)</f>
        <v>1</v>
      </c>
      <c r="V524" s="160"/>
      <c r="W524" s="160"/>
      <c r="X524" s="160"/>
      <c r="Y524" s="160"/>
      <c r="Z524" s="160"/>
      <c r="AA524" s="160"/>
      <c r="AB524" s="160"/>
      <c r="AC524" s="160"/>
      <c r="AD524" s="160"/>
      <c r="AE524" s="160"/>
      <c r="AF524" s="160"/>
      <c r="AG524" s="160"/>
      <c r="AH524" s="160"/>
      <c r="AI524" s="160"/>
      <c r="AJ524" s="160"/>
      <c r="AK524" s="160"/>
      <c r="AL524" s="160"/>
      <c r="AM524" s="160"/>
      <c r="AN524" s="164"/>
      <c r="AO524" s="160"/>
      <c r="AP524" s="160"/>
      <c r="AQ524" s="160"/>
      <c r="AR524" s="160"/>
      <c r="AS524" s="160"/>
      <c r="AT524" s="160"/>
      <c r="AU524" s="160"/>
      <c r="AV524" s="160"/>
      <c r="AW524" s="160"/>
      <c r="AX524" s="160"/>
      <c r="AY524" s="160"/>
      <c r="AZ524" s="160"/>
      <c r="BA524" s="160"/>
      <c r="BB524" s="160"/>
      <c r="BC524" s="160"/>
      <c r="BD524" s="160"/>
      <c r="BE524" s="160"/>
      <c r="BF524" s="160"/>
      <c r="BG524" s="160"/>
      <c r="BH524" s="160"/>
      <c r="BI524" s="160"/>
      <c r="BJ524" s="160"/>
      <c r="BK524" s="160"/>
      <c r="BL524" s="160"/>
      <c r="BM524" s="160"/>
      <c r="BN524" s="160"/>
      <c r="BO524" s="160"/>
      <c r="BP524" s="160"/>
      <c r="BQ524" s="160"/>
      <c r="BR524" s="160"/>
      <c r="BS524" s="160"/>
      <c r="BT524" s="160"/>
      <c r="BU524" s="160"/>
      <c r="BV524" s="160"/>
      <c r="BW524" s="160"/>
      <c r="BX524" s="160"/>
      <c r="BY524" s="160"/>
      <c r="BZ524" s="160"/>
      <c r="CA524" s="160"/>
      <c r="CB524" s="160"/>
      <c r="CC524" s="160"/>
      <c r="CD524" s="160"/>
      <c r="CE524" s="160"/>
      <c r="CF524" s="160"/>
      <c r="CG524" s="160"/>
      <c r="CH524" s="160"/>
      <c r="CI524" s="160"/>
      <c r="CJ524" s="160"/>
      <c r="CK524" s="160"/>
      <c r="CL524" s="160"/>
    </row>
    <row r="525">
      <c r="A525" s="221" t="s">
        <v>443</v>
      </c>
      <c r="B525" s="189" t="s">
        <v>444</v>
      </c>
      <c r="C525" s="190" t="s">
        <v>96</v>
      </c>
      <c r="D525" s="176" t="str">
        <f>IFERROR(VLOOKUP(C525, PIC!A:B, 2, 0), "")</f>
        <v>Nam Nguyen</v>
      </c>
      <c r="E525" s="189" t="s">
        <v>22</v>
      </c>
      <c r="F525" s="191" t="s">
        <v>26</v>
      </c>
      <c r="G525" s="189"/>
      <c r="H525" s="170">
        <f>IFERROR(
  MINIFS(ATTENDANCE_LOG!$F:$F,
         ATTENDANCE_LOG!$A:$A, C525,
         ATTENDANCE_LOG!$B:$B, E525),
"")</f>
        <v>46120.45833</v>
      </c>
      <c r="I525" s="170">
        <f t="shared" si="2"/>
        <v>46120.45833</v>
      </c>
      <c r="J525" s="189">
        <f>IFERROR(VLOOKUP(F525, LEVEL_HELPER!$A:$B, 2, 0), "")</f>
        <v>0.5</v>
      </c>
      <c r="K525" s="189" t="str">
        <f>IFERROR(VLOOKUP(G525, LEVEL_HELPER!$A:$B, 2, 0), "")</f>
        <v/>
      </c>
      <c r="L525" s="193" t="s">
        <v>400</v>
      </c>
      <c r="M525" s="193" t="s">
        <v>152</v>
      </c>
      <c r="N525" s="11">
        <f t="array" ref="N525">IFERROR(
  INDEX($J$2:$J$531,
    MATCH(A525&amp;TEXT(I525,"yyyy-mm-dd"),
          $A$2:$A$531&amp;TEXT($H$2:$H$531,"yyyy-mm-dd"),
          0)),
"")</f>
        <v>0.5</v>
      </c>
      <c r="O525" s="194">
        <f t="shared" si="3"/>
        <v>0</v>
      </c>
      <c r="P525" s="160">
        <f t="shared" ref="P525:Q525" si="535">IF(N525="",0,IF(N525&lt;=2,1,IF(N525&lt;=4,2,IF(N525&lt;=5.5,3,4))))</f>
        <v>1</v>
      </c>
      <c r="Q525" s="160">
        <f t="shared" si="535"/>
        <v>1</v>
      </c>
      <c r="R525" s="160" t="str">
        <f t="shared" si="5"/>
        <v>Not tested yet</v>
      </c>
      <c r="S525" s="160">
        <f t="shared" si="6"/>
        <v>1</v>
      </c>
      <c r="T525" s="198"/>
      <c r="U525" s="160">
        <f>COUNTIFS(sheet2!$A:$A,A525,sheet2!$E:$E,E525)</f>
        <v>1</v>
      </c>
      <c r="V525" s="160"/>
      <c r="W525" s="160"/>
      <c r="X525" s="160"/>
      <c r="Y525" s="160"/>
      <c r="Z525" s="160"/>
      <c r="AA525" s="160"/>
      <c r="AB525" s="160"/>
      <c r="AC525" s="160"/>
      <c r="AD525" s="160"/>
      <c r="AE525" s="160"/>
      <c r="AF525" s="160"/>
      <c r="AG525" s="160"/>
      <c r="AH525" s="160"/>
      <c r="AI525" s="160"/>
      <c r="AJ525" s="160"/>
      <c r="AK525" s="160"/>
      <c r="AL525" s="160"/>
      <c r="AM525" s="160"/>
      <c r="AN525" s="164"/>
      <c r="AO525" s="160"/>
      <c r="AP525" s="160"/>
      <c r="AQ525" s="160"/>
      <c r="AR525" s="160"/>
      <c r="AS525" s="160"/>
      <c r="AT525" s="160"/>
      <c r="AU525" s="160"/>
      <c r="AV525" s="160"/>
      <c r="AW525" s="160"/>
      <c r="AX525" s="160"/>
      <c r="AY525" s="160"/>
      <c r="AZ525" s="160"/>
      <c r="BA525" s="160"/>
      <c r="BB525" s="160"/>
      <c r="BC525" s="160"/>
      <c r="BD525" s="160"/>
      <c r="BE525" s="160"/>
      <c r="BF525" s="160"/>
      <c r="BG525" s="160"/>
      <c r="BH525" s="160"/>
      <c r="BI525" s="160"/>
      <c r="BJ525" s="160"/>
      <c r="BK525" s="160"/>
      <c r="BL525" s="160"/>
      <c r="BM525" s="160"/>
      <c r="BN525" s="160"/>
      <c r="BO525" s="160"/>
      <c r="BP525" s="160"/>
      <c r="BQ525" s="160"/>
      <c r="BR525" s="160"/>
      <c r="BS525" s="160"/>
      <c r="BT525" s="160"/>
      <c r="BU525" s="160"/>
      <c r="BV525" s="160"/>
      <c r="BW525" s="160"/>
      <c r="BX525" s="160"/>
      <c r="BY525" s="160"/>
      <c r="BZ525" s="160"/>
      <c r="CA525" s="160"/>
      <c r="CB525" s="160"/>
      <c r="CC525" s="160"/>
      <c r="CD525" s="160"/>
      <c r="CE525" s="160"/>
      <c r="CF525" s="160"/>
      <c r="CG525" s="160"/>
      <c r="CH525" s="160"/>
      <c r="CI525" s="160"/>
      <c r="CJ525" s="160"/>
      <c r="CK525" s="160"/>
      <c r="CL525" s="160"/>
    </row>
    <row r="526">
      <c r="A526" s="209" t="s">
        <v>713</v>
      </c>
      <c r="B526" s="210" t="s">
        <v>714</v>
      </c>
      <c r="C526" s="211" t="s">
        <v>97</v>
      </c>
      <c r="D526" s="169" t="str">
        <f>IFERROR(VLOOKUP(C526, PIC!A:B, 2, 0), "")</f>
        <v>Trang Nguyen</v>
      </c>
      <c r="E526" s="210" t="s">
        <v>22</v>
      </c>
      <c r="F526" s="212" t="s">
        <v>849</v>
      </c>
      <c r="G526" s="212"/>
      <c r="H526" s="170">
        <f>IFERROR(
  MINIFS(ATTENDANCE_LOG!$F:$F,
         ATTENDANCE_LOG!$A:$A, C526,
         ATTENDANCE_LOG!$B:$B, E526),
"")</f>
        <v>46126.625</v>
      </c>
      <c r="I526" s="170">
        <f t="shared" si="2"/>
        <v>45917.58333</v>
      </c>
      <c r="J526" s="210">
        <f>IFERROR(VLOOKUP(F526, LEVEL_HELPER!$A:$B, 2, 0), "")</f>
        <v>1</v>
      </c>
      <c r="K526" s="189" t="str">
        <f>IFERROR(VLOOKUP(G526, LEVEL_HELPER!$A:$B, 2, 0), "")</f>
        <v/>
      </c>
      <c r="L526" s="213" t="s">
        <v>857</v>
      </c>
      <c r="M526" s="213" t="s">
        <v>154</v>
      </c>
      <c r="N526" s="11">
        <f t="array" ref="N526">IFERROR(
  INDEX($J$2:$J$531,
    MATCH(A526&amp;TEXT(I526,"yyyy-mm-dd"),
          $A$2:$A$531&amp;TEXT($H$2:$H$531,"yyyy-mm-dd"),
          0)),
"")</f>
        <v>0.5</v>
      </c>
      <c r="O526" s="214">
        <f t="shared" si="3"/>
        <v>1</v>
      </c>
      <c r="P526" s="160">
        <f t="shared" ref="P526:Q526" si="536">IF(N526="",0,IF(N526&lt;=2,1,IF(N526&lt;=4,2,IF(N526&lt;=5.5,3,4))))</f>
        <v>1</v>
      </c>
      <c r="Q526" s="160">
        <f t="shared" si="536"/>
        <v>1</v>
      </c>
      <c r="R526" s="160" t="str">
        <f t="shared" si="5"/>
        <v>Progress within level</v>
      </c>
      <c r="S526" s="160">
        <f t="shared" si="6"/>
        <v>0</v>
      </c>
      <c r="T526" s="177" t="s">
        <v>1098</v>
      </c>
      <c r="U526" s="160">
        <f>COUNTIFS(sheet2!$A:$A,A526,sheet2!$E:$E,E526)</f>
        <v>1</v>
      </c>
      <c r="V526" s="160"/>
      <c r="W526" s="160"/>
      <c r="X526" s="160"/>
      <c r="Y526" s="160"/>
      <c r="Z526" s="160"/>
      <c r="AA526" s="160"/>
      <c r="AB526" s="160"/>
      <c r="AC526" s="160"/>
      <c r="AD526" s="160"/>
      <c r="AE526" s="160"/>
      <c r="AF526" s="160"/>
      <c r="AG526" s="160"/>
      <c r="AH526" s="160"/>
      <c r="AI526" s="160"/>
      <c r="AJ526" s="160"/>
      <c r="AK526" s="160"/>
      <c r="AL526" s="160"/>
      <c r="AM526" s="160"/>
      <c r="AN526" s="164"/>
      <c r="AO526" s="160"/>
      <c r="AP526" s="160"/>
      <c r="AQ526" s="160"/>
      <c r="AR526" s="160"/>
      <c r="AS526" s="160"/>
      <c r="AT526" s="160"/>
      <c r="AU526" s="160"/>
      <c r="AV526" s="160"/>
      <c r="AW526" s="160"/>
      <c r="AX526" s="160"/>
      <c r="AY526" s="160"/>
      <c r="AZ526" s="160"/>
      <c r="BA526" s="160"/>
      <c r="BB526" s="160"/>
      <c r="BC526" s="160"/>
      <c r="BD526" s="160"/>
      <c r="BE526" s="160"/>
      <c r="BF526" s="160"/>
      <c r="BG526" s="160"/>
      <c r="BH526" s="160"/>
      <c r="BI526" s="160"/>
      <c r="BJ526" s="160"/>
      <c r="BK526" s="160"/>
      <c r="BL526" s="160"/>
      <c r="BM526" s="160"/>
      <c r="BN526" s="160"/>
      <c r="BO526" s="160"/>
      <c r="BP526" s="160"/>
      <c r="BQ526" s="160"/>
      <c r="BR526" s="160"/>
      <c r="BS526" s="160"/>
      <c r="BT526" s="160"/>
      <c r="BU526" s="160"/>
      <c r="BV526" s="160"/>
      <c r="BW526" s="160"/>
      <c r="BX526" s="160"/>
      <c r="BY526" s="160"/>
      <c r="BZ526" s="160"/>
      <c r="CA526" s="160"/>
      <c r="CB526" s="160"/>
      <c r="CC526" s="160"/>
      <c r="CD526" s="160"/>
      <c r="CE526" s="160"/>
      <c r="CF526" s="160"/>
      <c r="CG526" s="160"/>
      <c r="CH526" s="160"/>
      <c r="CI526" s="160"/>
      <c r="CJ526" s="160"/>
      <c r="CK526" s="160"/>
      <c r="CL526" s="160"/>
    </row>
    <row r="527">
      <c r="A527" s="188" t="s">
        <v>705</v>
      </c>
      <c r="B527" s="189" t="s">
        <v>706</v>
      </c>
      <c r="C527" s="190" t="s">
        <v>97</v>
      </c>
      <c r="D527" s="176" t="str">
        <f>IFERROR(VLOOKUP(C527, PIC!A:B, 2, 0), "")</f>
        <v>Trang Nguyen</v>
      </c>
      <c r="E527" s="189" t="s">
        <v>22</v>
      </c>
      <c r="F527" s="191" t="s">
        <v>26</v>
      </c>
      <c r="G527" s="189"/>
      <c r="H527" s="170">
        <f>IFERROR(
  MINIFS(ATTENDANCE_LOG!$F:$F,
         ATTENDANCE_LOG!$A:$A, C527,
         ATTENDANCE_LOG!$B:$B, E527),
"")</f>
        <v>46126.625</v>
      </c>
      <c r="I527" s="170">
        <f t="shared" si="2"/>
        <v>45916.45833</v>
      </c>
      <c r="J527" s="189">
        <f>IFERROR(VLOOKUP(F527, LEVEL_HELPER!$A:$B, 2, 0), "")</f>
        <v>0.5</v>
      </c>
      <c r="K527" s="189" t="str">
        <f>IFERROR(VLOOKUP(G527, LEVEL_HELPER!$A:$B, 2, 0), "")</f>
        <v/>
      </c>
      <c r="L527" s="193" t="s">
        <v>400</v>
      </c>
      <c r="M527" s="193" t="s">
        <v>151</v>
      </c>
      <c r="N527" s="11">
        <f t="array" ref="N527">IFERROR(
  INDEX($J$2:$J$531,
    MATCH(A527&amp;TEXT(I527,"yyyy-mm-dd"),
          $A$2:$A$531&amp;TEXT($H$2:$H$531,"yyyy-mm-dd"),
          0)),
"")</f>
        <v>0.5</v>
      </c>
      <c r="O527" s="194">
        <f t="shared" si="3"/>
        <v>0.5</v>
      </c>
      <c r="P527" s="160">
        <f t="shared" ref="P527:Q527" si="537">IF(N527="",0,IF(N527&lt;=2,1,IF(N527&lt;=4,2,IF(N527&lt;=5.5,3,4))))</f>
        <v>1</v>
      </c>
      <c r="Q527" s="160">
        <f t="shared" si="537"/>
        <v>1</v>
      </c>
      <c r="R527" s="160" t="str">
        <f t="shared" si="5"/>
        <v>No Progress</v>
      </c>
      <c r="S527" s="160">
        <f t="shared" si="6"/>
        <v>0</v>
      </c>
      <c r="T527" s="177" t="s">
        <v>1090</v>
      </c>
      <c r="U527" s="160">
        <f>COUNTIFS(sheet2!$A:$A,A527,sheet2!$E:$E,E527)</f>
        <v>1</v>
      </c>
      <c r="V527" s="160"/>
      <c r="W527" s="160"/>
      <c r="X527" s="160"/>
      <c r="Y527" s="160"/>
      <c r="Z527" s="160"/>
      <c r="AA527" s="160"/>
      <c r="AB527" s="160"/>
      <c r="AC527" s="160"/>
      <c r="AD527" s="160"/>
      <c r="AE527" s="160"/>
      <c r="AF527" s="160"/>
      <c r="AG527" s="160"/>
      <c r="AH527" s="160"/>
      <c r="AI527" s="160"/>
      <c r="AJ527" s="160"/>
      <c r="AK527" s="160"/>
      <c r="AL527" s="160"/>
      <c r="AM527" s="160"/>
      <c r="AN527" s="164"/>
      <c r="AO527" s="160"/>
      <c r="AP527" s="160"/>
      <c r="AQ527" s="160"/>
      <c r="AR527" s="160"/>
      <c r="AS527" s="160"/>
      <c r="AT527" s="160"/>
      <c r="AU527" s="160"/>
      <c r="AV527" s="160"/>
      <c r="AW527" s="160"/>
      <c r="AX527" s="160"/>
      <c r="AY527" s="160"/>
      <c r="AZ527" s="160"/>
      <c r="BA527" s="160"/>
      <c r="BB527" s="160"/>
      <c r="BC527" s="160"/>
      <c r="BD527" s="160"/>
      <c r="BE527" s="160"/>
      <c r="BF527" s="160"/>
      <c r="BG527" s="160"/>
      <c r="BH527" s="160"/>
      <c r="BI527" s="160"/>
      <c r="BJ527" s="160"/>
      <c r="BK527" s="160"/>
      <c r="BL527" s="160"/>
      <c r="BM527" s="160"/>
      <c r="BN527" s="160"/>
      <c r="BO527" s="160"/>
      <c r="BP527" s="160"/>
      <c r="BQ527" s="160"/>
      <c r="BR527" s="160"/>
      <c r="BS527" s="160"/>
      <c r="BT527" s="160"/>
      <c r="BU527" s="160"/>
      <c r="BV527" s="160"/>
      <c r="BW527" s="160"/>
      <c r="BX527" s="160"/>
      <c r="BY527" s="160"/>
      <c r="BZ527" s="160"/>
      <c r="CA527" s="160"/>
      <c r="CB527" s="160"/>
      <c r="CC527" s="160"/>
      <c r="CD527" s="160"/>
      <c r="CE527" s="160"/>
      <c r="CF527" s="160"/>
      <c r="CG527" s="160"/>
      <c r="CH527" s="160"/>
      <c r="CI527" s="160"/>
      <c r="CJ527" s="160"/>
      <c r="CK527" s="160"/>
      <c r="CL527" s="160"/>
    </row>
    <row r="528">
      <c r="A528" s="188" t="s">
        <v>707</v>
      </c>
      <c r="B528" s="189" t="s">
        <v>708</v>
      </c>
      <c r="C528" s="190" t="s">
        <v>97</v>
      </c>
      <c r="D528" s="176" t="str">
        <f>IFERROR(VLOOKUP(C528, PIC!A:B, 2, 0), "")</f>
        <v>Trang Nguyen</v>
      </c>
      <c r="E528" s="189" t="s">
        <v>22</v>
      </c>
      <c r="F528" s="191" t="s">
        <v>26</v>
      </c>
      <c r="G528" s="189"/>
      <c r="H528" s="170">
        <f>IFERROR(
  MINIFS(ATTENDANCE_LOG!$F:$F,
         ATTENDANCE_LOG!$A:$A, C528,
         ATTENDANCE_LOG!$B:$B, E528),
"")</f>
        <v>46126.625</v>
      </c>
      <c r="I528" s="170">
        <f t="shared" si="2"/>
        <v>45917.58333</v>
      </c>
      <c r="J528" s="189">
        <f>IFERROR(VLOOKUP(F528, LEVEL_HELPER!$A:$B, 2, 0), "")</f>
        <v>0.5</v>
      </c>
      <c r="K528" s="189" t="str">
        <f>IFERROR(VLOOKUP(G528, LEVEL_HELPER!$A:$B, 2, 0), "")</f>
        <v/>
      </c>
      <c r="L528" s="193" t="s">
        <v>400</v>
      </c>
      <c r="M528" s="193" t="s">
        <v>151</v>
      </c>
      <c r="N528" s="11">
        <f t="array" ref="N528">IFERROR(
  INDEX($J$2:$J$531,
    MATCH(A528&amp;TEXT(I528,"yyyy-mm-dd"),
          $A$2:$A$531&amp;TEXT($H$2:$H$531,"yyyy-mm-dd"),
          0)),
"")</f>
        <v>0.5</v>
      </c>
      <c r="O528" s="194">
        <f t="shared" si="3"/>
        <v>1</v>
      </c>
      <c r="P528" s="160">
        <f t="shared" ref="P528:Q528" si="538">IF(N528="",0,IF(N528&lt;=2,1,IF(N528&lt;=4,2,IF(N528&lt;=5.5,3,4))))</f>
        <v>1</v>
      </c>
      <c r="Q528" s="160">
        <f t="shared" si="538"/>
        <v>1</v>
      </c>
      <c r="R528" s="160" t="str">
        <f t="shared" si="5"/>
        <v>Progress within level</v>
      </c>
      <c r="S528" s="160">
        <f t="shared" si="6"/>
        <v>0</v>
      </c>
      <c r="T528" s="177" t="s">
        <v>1096</v>
      </c>
      <c r="U528" s="160">
        <f>COUNTIFS(sheet2!$A:$A,A528,sheet2!$E:$E,E528)</f>
        <v>1</v>
      </c>
      <c r="V528" s="160"/>
      <c r="W528" s="160"/>
      <c r="X528" s="160"/>
      <c r="Y528" s="160"/>
      <c r="Z528" s="160"/>
      <c r="AA528" s="160"/>
      <c r="AB528" s="160"/>
      <c r="AC528" s="160"/>
      <c r="AD528" s="160"/>
      <c r="AE528" s="160"/>
      <c r="AF528" s="160"/>
      <c r="AG528" s="160"/>
      <c r="AH528" s="160"/>
      <c r="AI528" s="160"/>
      <c r="AJ528" s="160"/>
      <c r="AK528" s="160"/>
      <c r="AL528" s="160"/>
      <c r="AM528" s="160"/>
      <c r="AN528" s="164"/>
      <c r="AO528" s="160"/>
      <c r="AP528" s="160"/>
      <c r="AQ528" s="160"/>
      <c r="AR528" s="160"/>
      <c r="AS528" s="160"/>
      <c r="AT528" s="160"/>
      <c r="AU528" s="160"/>
      <c r="AV528" s="160"/>
      <c r="AW528" s="160"/>
      <c r="AX528" s="160"/>
      <c r="AY528" s="160"/>
      <c r="AZ528" s="160"/>
      <c r="BA528" s="160"/>
      <c r="BB528" s="160"/>
      <c r="BC528" s="160"/>
      <c r="BD528" s="160"/>
      <c r="BE528" s="160"/>
      <c r="BF528" s="160"/>
      <c r="BG528" s="160"/>
      <c r="BH528" s="160"/>
      <c r="BI528" s="160"/>
      <c r="BJ528" s="160"/>
      <c r="BK528" s="160"/>
      <c r="BL528" s="160"/>
      <c r="BM528" s="160"/>
      <c r="BN528" s="160"/>
      <c r="BO528" s="160"/>
      <c r="BP528" s="160"/>
      <c r="BQ528" s="160"/>
      <c r="BR528" s="160"/>
      <c r="BS528" s="160"/>
      <c r="BT528" s="160"/>
      <c r="BU528" s="160"/>
      <c r="BV528" s="160"/>
      <c r="BW528" s="160"/>
      <c r="BX528" s="160"/>
      <c r="BY528" s="160"/>
      <c r="BZ528" s="160"/>
      <c r="CA528" s="160"/>
      <c r="CB528" s="160"/>
      <c r="CC528" s="160"/>
      <c r="CD528" s="160"/>
      <c r="CE528" s="160"/>
      <c r="CF528" s="160"/>
      <c r="CG528" s="160"/>
      <c r="CH528" s="160"/>
      <c r="CI528" s="160"/>
      <c r="CJ528" s="160"/>
      <c r="CK528" s="160"/>
      <c r="CL528" s="160"/>
    </row>
    <row r="529">
      <c r="A529" s="188" t="s">
        <v>709</v>
      </c>
      <c r="B529" s="189" t="s">
        <v>710</v>
      </c>
      <c r="C529" s="190" t="s">
        <v>97</v>
      </c>
      <c r="D529" s="176" t="str">
        <f>IFERROR(VLOOKUP(C529, PIC!A:B, 2, 0), "")</f>
        <v>Trang Nguyen</v>
      </c>
      <c r="E529" s="189" t="s">
        <v>22</v>
      </c>
      <c r="F529" s="191" t="s">
        <v>26</v>
      </c>
      <c r="G529" s="189"/>
      <c r="H529" s="170">
        <f>IFERROR(
  MINIFS(ATTENDANCE_LOG!$F:$F,
         ATTENDANCE_LOG!$A:$A, C529,
         ATTENDANCE_LOG!$B:$B, E529),
"")</f>
        <v>46126.625</v>
      </c>
      <c r="I529" s="170">
        <f t="shared" si="2"/>
        <v>45916.45833</v>
      </c>
      <c r="J529" s="189">
        <f>IFERROR(VLOOKUP(F529, LEVEL_HELPER!$A:$B, 2, 0), "")</f>
        <v>0.5</v>
      </c>
      <c r="K529" s="189" t="str">
        <f>IFERROR(VLOOKUP(G529, LEVEL_HELPER!$A:$B, 2, 0), "")</f>
        <v/>
      </c>
      <c r="L529" s="193" t="s">
        <v>857</v>
      </c>
      <c r="M529" s="193" t="s">
        <v>153</v>
      </c>
      <c r="N529" s="11">
        <f t="array" ref="N529">IFERROR(
  INDEX($J$2:$J$531,
    MATCH(A529&amp;TEXT(I529,"yyyy-mm-dd"),
          $A$2:$A$531&amp;TEXT($H$2:$H$531,"yyyy-mm-dd"),
          0)),
"")</f>
        <v>0.5</v>
      </c>
      <c r="O529" s="194">
        <f t="shared" si="3"/>
        <v>0.5</v>
      </c>
      <c r="P529" s="160">
        <f t="shared" ref="P529:Q529" si="539">IF(N529="",0,IF(N529&lt;=2,1,IF(N529&lt;=4,2,IF(N529&lt;=5.5,3,4))))</f>
        <v>1</v>
      </c>
      <c r="Q529" s="160">
        <f t="shared" si="539"/>
        <v>1</v>
      </c>
      <c r="R529" s="160" t="str">
        <f t="shared" si="5"/>
        <v>No Progress</v>
      </c>
      <c r="S529" s="160">
        <f t="shared" si="6"/>
        <v>0</v>
      </c>
      <c r="T529" s="177" t="s">
        <v>1091</v>
      </c>
      <c r="U529" s="160">
        <f>COUNTIFS(sheet2!$A:$A,A529,sheet2!$E:$E,E529)</f>
        <v>1</v>
      </c>
      <c r="V529" s="160"/>
      <c r="W529" s="160"/>
      <c r="X529" s="160"/>
      <c r="Y529" s="160"/>
      <c r="Z529" s="160"/>
      <c r="AA529" s="160"/>
      <c r="AB529" s="160"/>
      <c r="AC529" s="160"/>
      <c r="AD529" s="160"/>
      <c r="AE529" s="160"/>
      <c r="AF529" s="160"/>
      <c r="AG529" s="160"/>
      <c r="AH529" s="160"/>
      <c r="AI529" s="160"/>
      <c r="AJ529" s="160"/>
      <c r="AK529" s="160"/>
      <c r="AL529" s="160"/>
      <c r="AM529" s="160"/>
      <c r="AN529" s="164"/>
      <c r="AO529" s="160"/>
      <c r="AP529" s="160"/>
      <c r="AQ529" s="160"/>
      <c r="AR529" s="160"/>
      <c r="AS529" s="160"/>
      <c r="AT529" s="160"/>
      <c r="AU529" s="160"/>
      <c r="AV529" s="160"/>
      <c r="AW529" s="160"/>
      <c r="AX529" s="160"/>
      <c r="AY529" s="160"/>
      <c r="AZ529" s="160"/>
      <c r="BA529" s="160"/>
      <c r="BB529" s="160"/>
      <c r="BC529" s="160"/>
      <c r="BD529" s="160"/>
      <c r="BE529" s="160"/>
      <c r="BF529" s="160"/>
      <c r="BG529" s="160"/>
      <c r="BH529" s="160"/>
      <c r="BI529" s="160"/>
      <c r="BJ529" s="160"/>
      <c r="BK529" s="160"/>
      <c r="BL529" s="160"/>
      <c r="BM529" s="160"/>
      <c r="BN529" s="160"/>
      <c r="BO529" s="160"/>
      <c r="BP529" s="160"/>
      <c r="BQ529" s="160"/>
      <c r="BR529" s="160"/>
      <c r="BS529" s="160"/>
      <c r="BT529" s="160"/>
      <c r="BU529" s="160"/>
      <c r="BV529" s="160"/>
      <c r="BW529" s="160"/>
      <c r="BX529" s="160"/>
      <c r="BY529" s="160"/>
      <c r="BZ529" s="160"/>
      <c r="CA529" s="160"/>
      <c r="CB529" s="160"/>
      <c r="CC529" s="160"/>
      <c r="CD529" s="160"/>
      <c r="CE529" s="160"/>
      <c r="CF529" s="160"/>
      <c r="CG529" s="160"/>
      <c r="CH529" s="160"/>
      <c r="CI529" s="160"/>
      <c r="CJ529" s="160"/>
      <c r="CK529" s="160"/>
      <c r="CL529" s="160"/>
    </row>
    <row r="530">
      <c r="A530" s="188" t="s">
        <v>711</v>
      </c>
      <c r="B530" s="11" t="s">
        <v>712</v>
      </c>
      <c r="C530" s="175" t="s">
        <v>97</v>
      </c>
      <c r="D530" s="176" t="str">
        <f>IFERROR(VLOOKUP(C530, PIC!A:B, 2, 0), "")</f>
        <v>Trang Nguyen</v>
      </c>
      <c r="E530" s="11" t="s">
        <v>22</v>
      </c>
      <c r="F530" s="16" t="s">
        <v>26</v>
      </c>
      <c r="G530" s="11"/>
      <c r="H530" s="170">
        <f>IFERROR(
  MINIFS(ATTENDANCE_LOG!$F:$F,
         ATTENDANCE_LOG!$A:$A, C530,
         ATTENDANCE_LOG!$B:$B, E530),
"")</f>
        <v>46126.625</v>
      </c>
      <c r="I530" s="170">
        <f t="shared" si="2"/>
        <v>45916.45833</v>
      </c>
      <c r="J530" s="11">
        <f>IFERROR(VLOOKUP(F530, LEVEL_HELPER!$A:$B, 2, 0), "")</f>
        <v>0.5</v>
      </c>
      <c r="K530" s="189" t="str">
        <f>IFERROR(VLOOKUP(G530, LEVEL_HELPER!$A:$B, 2, 0), "")</f>
        <v/>
      </c>
      <c r="L530" s="171" t="s">
        <v>857</v>
      </c>
      <c r="M530" s="171" t="s">
        <v>153</v>
      </c>
      <c r="N530" s="11">
        <f t="array" ref="N530">IFERROR(
  INDEX($J$2:$J$531,
    MATCH(A530&amp;TEXT(I530,"yyyy-mm-dd"),
          $A$2:$A$531&amp;TEXT($H$2:$H$531,"yyyy-mm-dd"),
          0)),
"")</f>
        <v>0.5</v>
      </c>
      <c r="O530" s="160">
        <f t="shared" si="3"/>
        <v>0.5</v>
      </c>
      <c r="P530" s="160">
        <f t="shared" ref="P530:Q530" si="540">IF(N530="",0,IF(N530&lt;=2,1,IF(N530&lt;=4,2,IF(N530&lt;=5.5,3,4))))</f>
        <v>1</v>
      </c>
      <c r="Q530" s="160">
        <f t="shared" si="540"/>
        <v>1</v>
      </c>
      <c r="R530" s="160" t="str">
        <f t="shared" si="5"/>
        <v>No Progress</v>
      </c>
      <c r="S530" s="160">
        <f t="shared" si="6"/>
        <v>0</v>
      </c>
      <c r="T530" s="177" t="s">
        <v>1093</v>
      </c>
      <c r="U530" s="160">
        <f>COUNTIFS(sheet2!$A:$A,A530,sheet2!$E:$E,E530)</f>
        <v>1</v>
      </c>
      <c r="V530" s="160"/>
      <c r="W530" s="160"/>
      <c r="X530" s="160"/>
      <c r="Y530" s="160"/>
      <c r="Z530" s="160"/>
      <c r="AA530" s="160"/>
      <c r="AB530" s="160"/>
      <c r="AC530" s="160"/>
      <c r="AD530" s="160"/>
      <c r="AE530" s="160"/>
      <c r="AF530" s="160"/>
      <c r="AG530" s="160"/>
      <c r="AH530" s="160"/>
      <c r="AI530" s="160"/>
      <c r="AJ530" s="160"/>
      <c r="AK530" s="160"/>
      <c r="AL530" s="160"/>
      <c r="AM530" s="160"/>
      <c r="AN530" s="164"/>
      <c r="AO530" s="160"/>
      <c r="AP530" s="160"/>
      <c r="AQ530" s="160"/>
      <c r="AR530" s="160"/>
      <c r="AS530" s="160"/>
      <c r="AT530" s="160"/>
      <c r="AU530" s="160"/>
      <c r="AV530" s="160"/>
      <c r="AW530" s="160"/>
      <c r="AX530" s="160"/>
      <c r="AY530" s="160"/>
      <c r="AZ530" s="160"/>
      <c r="BA530" s="160"/>
      <c r="BB530" s="160"/>
      <c r="BC530" s="160"/>
      <c r="BD530" s="160"/>
      <c r="BE530" s="160"/>
      <c r="BF530" s="160"/>
      <c r="BG530" s="160"/>
      <c r="BH530" s="160"/>
      <c r="BI530" s="160"/>
      <c r="BJ530" s="160"/>
      <c r="BK530" s="160"/>
      <c r="BL530" s="160"/>
      <c r="BM530" s="160"/>
      <c r="BN530" s="160"/>
      <c r="BO530" s="160"/>
      <c r="BP530" s="160"/>
      <c r="BQ530" s="160"/>
      <c r="BR530" s="160"/>
      <c r="BS530" s="160"/>
      <c r="BT530" s="160"/>
      <c r="BU530" s="160"/>
      <c r="BV530" s="160"/>
      <c r="BW530" s="160"/>
      <c r="BX530" s="160"/>
      <c r="BY530" s="160"/>
      <c r="BZ530" s="160"/>
      <c r="CA530" s="160"/>
      <c r="CB530" s="160"/>
      <c r="CC530" s="160"/>
      <c r="CD530" s="160"/>
      <c r="CE530" s="160"/>
      <c r="CF530" s="160"/>
      <c r="CG530" s="160"/>
      <c r="CH530" s="160"/>
      <c r="CI530" s="160"/>
      <c r="CJ530" s="160"/>
      <c r="CK530" s="160"/>
      <c r="CL530" s="160"/>
    </row>
    <row r="531">
      <c r="A531" s="188" t="s">
        <v>715</v>
      </c>
      <c r="B531" s="11" t="s">
        <v>716</v>
      </c>
      <c r="C531" s="175" t="s">
        <v>97</v>
      </c>
      <c r="D531" s="176" t="str">
        <f>IFERROR(VLOOKUP(C531, PIC!A:B, 2, 0), "")</f>
        <v>Trang Nguyen</v>
      </c>
      <c r="E531" s="11" t="s">
        <v>22</v>
      </c>
      <c r="F531" s="16" t="s">
        <v>26</v>
      </c>
      <c r="G531" s="11"/>
      <c r="H531" s="170">
        <f>IFERROR(
  MINIFS(ATTENDANCE_LOG!$F:$F,
         ATTENDANCE_LOG!$A:$A, C531,
         ATTENDANCE_LOG!$B:$B, E531),
"")</f>
        <v>46126.625</v>
      </c>
      <c r="I531" s="170">
        <f t="shared" si="2"/>
        <v>45916.45833</v>
      </c>
      <c r="J531" s="11">
        <f>IFERROR(VLOOKUP(F531, LEVEL_HELPER!$A:$B, 2, 0), "")</f>
        <v>0.5</v>
      </c>
      <c r="K531" s="189" t="str">
        <f>IFERROR(VLOOKUP(G531, LEVEL_HELPER!$A:$B, 2, 0), "")</f>
        <v/>
      </c>
      <c r="L531" s="171" t="s">
        <v>857</v>
      </c>
      <c r="M531" s="171" t="s">
        <v>153</v>
      </c>
      <c r="N531" s="11">
        <f t="array" ref="N531">IFERROR(
  INDEX($J$2:$J$531,
    MATCH(A531&amp;TEXT(I531,"yyyy-mm-dd"),
          $A$2:$A$531&amp;TEXT($H$2:$H$531,"yyyy-mm-dd"),
          0)),
"")</f>
        <v>0.5</v>
      </c>
      <c r="O531" s="160">
        <f t="shared" si="3"/>
        <v>0.5</v>
      </c>
      <c r="P531" s="160">
        <f t="shared" ref="P531:Q531" si="541">IF(N531="",0,IF(N531&lt;=2,1,IF(N531&lt;=4,2,IF(N531&lt;=5.5,3,4))))</f>
        <v>1</v>
      </c>
      <c r="Q531" s="160">
        <f t="shared" si="541"/>
        <v>1</v>
      </c>
      <c r="R531" s="160" t="str">
        <f t="shared" si="5"/>
        <v>No Progress</v>
      </c>
      <c r="S531" s="160">
        <f t="shared" si="6"/>
        <v>0</v>
      </c>
      <c r="T531" s="177" t="s">
        <v>1094</v>
      </c>
      <c r="U531" s="160">
        <f>COUNTIFS(sheet2!$A:$A,A531,sheet2!$E:$E,E531)</f>
        <v>1</v>
      </c>
      <c r="V531" s="160"/>
      <c r="W531" s="160"/>
      <c r="X531" s="160"/>
      <c r="Y531" s="160"/>
      <c r="Z531" s="160"/>
      <c r="AA531" s="160"/>
      <c r="AB531" s="160"/>
      <c r="AC531" s="160"/>
      <c r="AD531" s="160"/>
      <c r="AE531" s="160"/>
      <c r="AF531" s="160"/>
      <c r="AG531" s="160"/>
      <c r="AH531" s="160"/>
      <c r="AI531" s="160"/>
      <c r="AJ531" s="160"/>
      <c r="AK531" s="160"/>
      <c r="AL531" s="160"/>
      <c r="AM531" s="160"/>
      <c r="AN531" s="164"/>
      <c r="AO531" s="160"/>
      <c r="AP531" s="160"/>
      <c r="AQ531" s="160"/>
      <c r="AR531" s="160"/>
      <c r="AS531" s="160"/>
      <c r="AT531" s="160"/>
      <c r="AU531" s="160"/>
      <c r="AV531" s="160"/>
      <c r="AW531" s="160"/>
      <c r="AX531" s="160"/>
      <c r="AY531" s="160"/>
      <c r="AZ531" s="160"/>
      <c r="BA531" s="160"/>
      <c r="BB531" s="160"/>
      <c r="BC531" s="160"/>
      <c r="BD531" s="160"/>
      <c r="BE531" s="160"/>
      <c r="BF531" s="160"/>
      <c r="BG531" s="160"/>
      <c r="BH531" s="160"/>
      <c r="BI531" s="160"/>
      <c r="BJ531" s="160"/>
      <c r="BK531" s="160"/>
      <c r="BL531" s="160"/>
      <c r="BM531" s="160"/>
      <c r="BN531" s="160"/>
      <c r="BO531" s="160"/>
      <c r="BP531" s="160"/>
      <c r="BQ531" s="160"/>
      <c r="BR531" s="160"/>
      <c r="BS531" s="160"/>
      <c r="BT531" s="160"/>
      <c r="BU531" s="160"/>
      <c r="BV531" s="160"/>
      <c r="BW531" s="160"/>
      <c r="BX531" s="160"/>
      <c r="BY531" s="160"/>
      <c r="BZ531" s="160"/>
      <c r="CA531" s="160"/>
      <c r="CB531" s="160"/>
      <c r="CC531" s="160"/>
      <c r="CD531" s="160"/>
      <c r="CE531" s="160"/>
      <c r="CF531" s="160"/>
      <c r="CG531" s="160"/>
      <c r="CH531" s="160"/>
      <c r="CI531" s="160"/>
      <c r="CJ531" s="160"/>
      <c r="CK531" s="160"/>
      <c r="CL531" s="160"/>
    </row>
    <row r="532">
      <c r="A532" s="222" t="s">
        <v>791</v>
      </c>
      <c r="B532" s="223" t="s">
        <v>792</v>
      </c>
      <c r="C532" s="152" t="s">
        <v>1106</v>
      </c>
      <c r="D532" s="176" t="str">
        <f>IFERROR(VLOOKUP(C532, PIC!A:B, 2, 0), "")</f>
        <v>Duong Pham</v>
      </c>
      <c r="F532" s="16" t="s">
        <v>849</v>
      </c>
      <c r="G532" s="11"/>
      <c r="H532" s="170"/>
      <c r="I532" s="170"/>
      <c r="K532" s="189"/>
      <c r="L532" s="171"/>
      <c r="M532" s="171"/>
      <c r="O532" s="160"/>
      <c r="P532" s="160"/>
      <c r="Q532" s="160"/>
      <c r="R532" s="160"/>
      <c r="S532" s="160"/>
      <c r="T532" s="177"/>
      <c r="U532" s="160"/>
      <c r="V532" s="160"/>
      <c r="W532" s="160"/>
      <c r="X532" s="160"/>
      <c r="Y532" s="160"/>
      <c r="Z532" s="160"/>
      <c r="AA532" s="160"/>
      <c r="AB532" s="160"/>
      <c r="AC532" s="160"/>
      <c r="AD532" s="160"/>
      <c r="AE532" s="160"/>
      <c r="AF532" s="160"/>
      <c r="AG532" s="160"/>
      <c r="AH532" s="160"/>
      <c r="AI532" s="160"/>
      <c r="AJ532" s="160"/>
      <c r="AK532" s="160"/>
      <c r="AL532" s="160"/>
      <c r="AM532" s="160"/>
      <c r="AN532" s="164"/>
      <c r="AO532" s="160"/>
      <c r="AP532" s="160"/>
      <c r="AQ532" s="160"/>
      <c r="AR532" s="160"/>
      <c r="AS532" s="160"/>
      <c r="AT532" s="160"/>
      <c r="AU532" s="160"/>
      <c r="AV532" s="160"/>
      <c r="AW532" s="160"/>
      <c r="AX532" s="160"/>
      <c r="AY532" s="160"/>
      <c r="AZ532" s="160"/>
      <c r="BA532" s="160"/>
      <c r="BB532" s="160"/>
      <c r="BC532" s="160"/>
      <c r="BD532" s="160"/>
      <c r="BE532" s="160"/>
      <c r="BF532" s="160"/>
      <c r="BG532" s="160"/>
      <c r="BH532" s="160"/>
      <c r="BI532" s="160"/>
      <c r="BJ532" s="160"/>
      <c r="BK532" s="160"/>
      <c r="BL532" s="160"/>
      <c r="BM532" s="160"/>
      <c r="BN532" s="160"/>
      <c r="BO532" s="160"/>
      <c r="BP532" s="160"/>
      <c r="BQ532" s="160"/>
      <c r="BR532" s="160"/>
      <c r="BS532" s="160"/>
      <c r="BT532" s="160"/>
      <c r="BU532" s="160"/>
      <c r="BV532" s="160"/>
      <c r="BW532" s="160"/>
      <c r="BX532" s="160"/>
      <c r="BY532" s="160"/>
      <c r="BZ532" s="160"/>
      <c r="CA532" s="160"/>
      <c r="CB532" s="160"/>
      <c r="CC532" s="160"/>
      <c r="CD532" s="160"/>
      <c r="CE532" s="160"/>
      <c r="CF532" s="160"/>
      <c r="CG532" s="160"/>
      <c r="CH532" s="160"/>
      <c r="CI532" s="160"/>
      <c r="CJ532" s="160"/>
      <c r="CK532" s="160"/>
      <c r="CL532" s="160"/>
    </row>
    <row r="533">
      <c r="A533" s="222" t="s">
        <v>793</v>
      </c>
      <c r="B533" s="223" t="s">
        <v>794</v>
      </c>
      <c r="C533" s="224" t="s">
        <v>1106</v>
      </c>
      <c r="D533" s="176" t="str">
        <f>IFERROR(VLOOKUP(C533, PIC!A:B, 2, 0), "")</f>
        <v>Duong Pham</v>
      </c>
      <c r="F533" s="16" t="s">
        <v>26</v>
      </c>
      <c r="G533" s="11"/>
      <c r="H533" s="170"/>
      <c r="I533" s="170"/>
      <c r="K533" s="189"/>
      <c r="L533" s="171"/>
      <c r="M533" s="171"/>
      <c r="O533" s="160"/>
      <c r="P533" s="160"/>
      <c r="Q533" s="160"/>
      <c r="R533" s="160"/>
      <c r="S533" s="160"/>
      <c r="T533" s="177"/>
      <c r="U533" s="160"/>
      <c r="V533" s="160"/>
      <c r="W533" s="160"/>
      <c r="X533" s="160"/>
      <c r="Y533" s="160"/>
      <c r="Z533" s="160"/>
      <c r="AA533" s="160"/>
      <c r="AB533" s="160"/>
      <c r="AC533" s="160"/>
      <c r="AD533" s="160"/>
      <c r="AE533" s="160"/>
      <c r="AF533" s="160"/>
      <c r="AG533" s="160"/>
      <c r="AH533" s="160"/>
      <c r="AI533" s="160"/>
      <c r="AJ533" s="160"/>
      <c r="AK533" s="160"/>
      <c r="AL533" s="160"/>
      <c r="AM533" s="160"/>
      <c r="AN533" s="164"/>
      <c r="AO533" s="160"/>
      <c r="AP533" s="160"/>
      <c r="AQ533" s="160"/>
      <c r="AR533" s="160"/>
      <c r="AS533" s="160"/>
      <c r="AT533" s="160"/>
      <c r="AU533" s="160"/>
      <c r="AV533" s="160"/>
      <c r="AW533" s="160"/>
      <c r="AX533" s="160"/>
      <c r="AY533" s="160"/>
      <c r="AZ533" s="160"/>
      <c r="BA533" s="160"/>
      <c r="BB533" s="160"/>
      <c r="BC533" s="160"/>
      <c r="BD533" s="160"/>
      <c r="BE533" s="160"/>
      <c r="BF533" s="160"/>
      <c r="BG533" s="160"/>
      <c r="BH533" s="160"/>
      <c r="BI533" s="160"/>
      <c r="BJ533" s="160"/>
      <c r="BK533" s="160"/>
      <c r="BL533" s="160"/>
      <c r="BM533" s="160"/>
      <c r="BN533" s="160"/>
      <c r="BO533" s="160"/>
      <c r="BP533" s="160"/>
      <c r="BQ533" s="160"/>
      <c r="BR533" s="160"/>
      <c r="BS533" s="160"/>
      <c r="BT533" s="160"/>
      <c r="BU533" s="160"/>
      <c r="BV533" s="160"/>
      <c r="BW533" s="160"/>
      <c r="BX533" s="160"/>
      <c r="BY533" s="160"/>
      <c r="BZ533" s="160"/>
      <c r="CA533" s="160"/>
      <c r="CB533" s="160"/>
      <c r="CC533" s="160"/>
      <c r="CD533" s="160"/>
      <c r="CE533" s="160"/>
      <c r="CF533" s="160"/>
      <c r="CG533" s="160"/>
      <c r="CH533" s="160"/>
      <c r="CI533" s="160"/>
      <c r="CJ533" s="160"/>
      <c r="CK533" s="160"/>
      <c r="CL533" s="160"/>
    </row>
    <row r="534">
      <c r="A534" s="222" t="s">
        <v>795</v>
      </c>
      <c r="B534" s="223" t="s">
        <v>796</v>
      </c>
      <c r="C534" s="152" t="s">
        <v>1106</v>
      </c>
      <c r="D534" s="176" t="str">
        <f>IFERROR(VLOOKUP(C534, PIC!A:B, 2, 0), "")</f>
        <v>Duong Pham</v>
      </c>
      <c r="F534" s="16" t="s">
        <v>26</v>
      </c>
      <c r="G534" s="11"/>
      <c r="H534" s="170"/>
      <c r="I534" s="170"/>
      <c r="K534" s="189"/>
      <c r="L534" s="171"/>
      <c r="M534" s="171"/>
      <c r="O534" s="160"/>
      <c r="P534" s="160"/>
      <c r="Q534" s="160"/>
      <c r="R534" s="160"/>
      <c r="S534" s="160"/>
      <c r="T534" s="177"/>
      <c r="U534" s="160"/>
      <c r="V534" s="160"/>
      <c r="W534" s="160"/>
      <c r="X534" s="160"/>
      <c r="Y534" s="160"/>
      <c r="Z534" s="160"/>
      <c r="AA534" s="160"/>
      <c r="AB534" s="160"/>
      <c r="AC534" s="160"/>
      <c r="AD534" s="160"/>
      <c r="AE534" s="160"/>
      <c r="AF534" s="160"/>
      <c r="AG534" s="160"/>
      <c r="AH534" s="160"/>
      <c r="AI534" s="160"/>
      <c r="AJ534" s="160"/>
      <c r="AK534" s="160"/>
      <c r="AL534" s="160"/>
      <c r="AM534" s="160"/>
      <c r="AN534" s="164"/>
      <c r="AO534" s="160"/>
      <c r="AP534" s="160"/>
      <c r="AQ534" s="160"/>
      <c r="AR534" s="160"/>
      <c r="AS534" s="160"/>
      <c r="AT534" s="160"/>
      <c r="AU534" s="160"/>
      <c r="AV534" s="160"/>
      <c r="AW534" s="160"/>
      <c r="AX534" s="160"/>
      <c r="AY534" s="160"/>
      <c r="AZ534" s="160"/>
      <c r="BA534" s="160"/>
      <c r="BB534" s="160"/>
      <c r="BC534" s="160"/>
      <c r="BD534" s="160"/>
      <c r="BE534" s="160"/>
      <c r="BF534" s="160"/>
      <c r="BG534" s="160"/>
      <c r="BH534" s="160"/>
      <c r="BI534" s="160"/>
      <c r="BJ534" s="160"/>
      <c r="BK534" s="160"/>
      <c r="BL534" s="160"/>
      <c r="BM534" s="160"/>
      <c r="BN534" s="160"/>
      <c r="BO534" s="160"/>
      <c r="BP534" s="160"/>
      <c r="BQ534" s="160"/>
      <c r="BR534" s="160"/>
      <c r="BS534" s="160"/>
      <c r="BT534" s="160"/>
      <c r="BU534" s="160"/>
      <c r="BV534" s="160"/>
      <c r="BW534" s="160"/>
      <c r="BX534" s="160"/>
      <c r="BY534" s="160"/>
      <c r="BZ534" s="160"/>
      <c r="CA534" s="160"/>
      <c r="CB534" s="160"/>
      <c r="CC534" s="160"/>
      <c r="CD534" s="160"/>
      <c r="CE534" s="160"/>
      <c r="CF534" s="160"/>
      <c r="CG534" s="160"/>
      <c r="CH534" s="160"/>
      <c r="CI534" s="160"/>
      <c r="CJ534" s="160"/>
      <c r="CK534" s="160"/>
      <c r="CL534" s="160"/>
    </row>
    <row r="535">
      <c r="A535" s="222" t="s">
        <v>797</v>
      </c>
      <c r="B535" s="223" t="s">
        <v>798</v>
      </c>
      <c r="C535" s="224" t="s">
        <v>1106</v>
      </c>
      <c r="D535" s="176" t="str">
        <f>IFERROR(VLOOKUP(C535, PIC!A:B, 2, 0), "")</f>
        <v>Duong Pham</v>
      </c>
      <c r="F535" s="16" t="s">
        <v>26</v>
      </c>
      <c r="G535" s="11"/>
      <c r="H535" s="170"/>
      <c r="I535" s="170"/>
      <c r="K535" s="189"/>
      <c r="L535" s="171"/>
      <c r="M535" s="171"/>
      <c r="O535" s="160"/>
      <c r="P535" s="160"/>
      <c r="Q535" s="160"/>
      <c r="R535" s="160"/>
      <c r="S535" s="160"/>
      <c r="T535" s="177"/>
      <c r="U535" s="160"/>
      <c r="V535" s="160"/>
      <c r="W535" s="160"/>
      <c r="X535" s="160"/>
      <c r="Y535" s="160"/>
      <c r="Z535" s="160"/>
      <c r="AA535" s="160"/>
      <c r="AB535" s="160"/>
      <c r="AC535" s="160"/>
      <c r="AD535" s="160"/>
      <c r="AE535" s="160"/>
      <c r="AF535" s="160"/>
      <c r="AG535" s="160"/>
      <c r="AH535" s="160"/>
      <c r="AI535" s="160"/>
      <c r="AJ535" s="160"/>
      <c r="AK535" s="160"/>
      <c r="AL535" s="160"/>
      <c r="AM535" s="160"/>
      <c r="AN535" s="164"/>
      <c r="AO535" s="160"/>
      <c r="AP535" s="160"/>
      <c r="AQ535" s="160"/>
      <c r="AR535" s="160"/>
      <c r="AS535" s="160"/>
      <c r="AT535" s="160"/>
      <c r="AU535" s="160"/>
      <c r="AV535" s="160"/>
      <c r="AW535" s="160"/>
      <c r="AX535" s="160"/>
      <c r="AY535" s="160"/>
      <c r="AZ535" s="160"/>
      <c r="BA535" s="160"/>
      <c r="BB535" s="160"/>
      <c r="BC535" s="160"/>
      <c r="BD535" s="160"/>
      <c r="BE535" s="160"/>
      <c r="BF535" s="160"/>
      <c r="BG535" s="160"/>
      <c r="BH535" s="160"/>
      <c r="BI535" s="160"/>
      <c r="BJ535" s="160"/>
      <c r="BK535" s="160"/>
      <c r="BL535" s="160"/>
      <c r="BM535" s="160"/>
      <c r="BN535" s="160"/>
      <c r="BO535" s="160"/>
      <c r="BP535" s="160"/>
      <c r="BQ535" s="160"/>
      <c r="BR535" s="160"/>
      <c r="BS535" s="160"/>
      <c r="BT535" s="160"/>
      <c r="BU535" s="160"/>
      <c r="BV535" s="160"/>
      <c r="BW535" s="160"/>
      <c r="BX535" s="160"/>
      <c r="BY535" s="160"/>
      <c r="BZ535" s="160"/>
      <c r="CA535" s="160"/>
      <c r="CB535" s="160"/>
      <c r="CC535" s="160"/>
      <c r="CD535" s="160"/>
      <c r="CE535" s="160"/>
      <c r="CF535" s="160"/>
      <c r="CG535" s="160"/>
      <c r="CH535" s="160"/>
      <c r="CI535" s="160"/>
      <c r="CJ535" s="160"/>
      <c r="CK535" s="160"/>
      <c r="CL535" s="160"/>
    </row>
    <row r="536">
      <c r="A536" s="222" t="s">
        <v>799</v>
      </c>
      <c r="B536" s="223" t="s">
        <v>800</v>
      </c>
      <c r="C536" s="152" t="s">
        <v>1106</v>
      </c>
      <c r="D536" s="176" t="str">
        <f>IFERROR(VLOOKUP(C536, PIC!A:B, 2, 0), "")</f>
        <v>Duong Pham</v>
      </c>
      <c r="F536" s="16" t="s">
        <v>26</v>
      </c>
      <c r="G536" s="11"/>
      <c r="H536" s="170"/>
      <c r="I536" s="170"/>
      <c r="K536" s="189"/>
      <c r="L536" s="171"/>
      <c r="M536" s="171"/>
      <c r="O536" s="160"/>
      <c r="P536" s="160"/>
      <c r="Q536" s="160"/>
      <c r="R536" s="160"/>
      <c r="S536" s="160"/>
      <c r="T536" s="177"/>
      <c r="U536" s="160"/>
      <c r="V536" s="160"/>
      <c r="W536" s="160"/>
      <c r="X536" s="160"/>
      <c r="Y536" s="160"/>
      <c r="Z536" s="160"/>
      <c r="AA536" s="160"/>
      <c r="AB536" s="160"/>
      <c r="AC536" s="160"/>
      <c r="AD536" s="160"/>
      <c r="AE536" s="160"/>
      <c r="AF536" s="160"/>
      <c r="AG536" s="160"/>
      <c r="AH536" s="160"/>
      <c r="AI536" s="160"/>
      <c r="AJ536" s="160"/>
      <c r="AK536" s="160"/>
      <c r="AL536" s="160"/>
      <c r="AM536" s="160"/>
      <c r="AN536" s="164"/>
      <c r="AO536" s="160"/>
      <c r="AP536" s="160"/>
      <c r="AQ536" s="160"/>
      <c r="AR536" s="160"/>
      <c r="AS536" s="160"/>
      <c r="AT536" s="160"/>
      <c r="AU536" s="160"/>
      <c r="AV536" s="160"/>
      <c r="AW536" s="160"/>
      <c r="AX536" s="160"/>
      <c r="AY536" s="160"/>
      <c r="AZ536" s="160"/>
      <c r="BA536" s="160"/>
      <c r="BB536" s="160"/>
      <c r="BC536" s="160"/>
      <c r="BD536" s="160"/>
      <c r="BE536" s="160"/>
      <c r="BF536" s="160"/>
      <c r="BG536" s="160"/>
      <c r="BH536" s="160"/>
      <c r="BI536" s="160"/>
      <c r="BJ536" s="160"/>
      <c r="BK536" s="160"/>
      <c r="BL536" s="160"/>
      <c r="BM536" s="160"/>
      <c r="BN536" s="160"/>
      <c r="BO536" s="160"/>
      <c r="BP536" s="160"/>
      <c r="BQ536" s="160"/>
      <c r="BR536" s="160"/>
      <c r="BS536" s="160"/>
      <c r="BT536" s="160"/>
      <c r="BU536" s="160"/>
      <c r="BV536" s="160"/>
      <c r="BW536" s="160"/>
      <c r="BX536" s="160"/>
      <c r="BY536" s="160"/>
      <c r="BZ536" s="160"/>
      <c r="CA536" s="160"/>
      <c r="CB536" s="160"/>
      <c r="CC536" s="160"/>
      <c r="CD536" s="160"/>
      <c r="CE536" s="160"/>
      <c r="CF536" s="160"/>
      <c r="CG536" s="160"/>
      <c r="CH536" s="160"/>
      <c r="CI536" s="160"/>
      <c r="CJ536" s="160"/>
      <c r="CK536" s="160"/>
      <c r="CL536" s="160"/>
    </row>
    <row r="537">
      <c r="A537" s="222" t="s">
        <v>801</v>
      </c>
      <c r="B537" s="223" t="s">
        <v>802</v>
      </c>
      <c r="C537" s="224" t="s">
        <v>1106</v>
      </c>
      <c r="D537" s="176" t="str">
        <f>IFERROR(VLOOKUP(C537, PIC!A:B, 2, 0), "")</f>
        <v>Duong Pham</v>
      </c>
      <c r="F537" s="16" t="s">
        <v>26</v>
      </c>
      <c r="G537" s="11"/>
      <c r="H537" s="170"/>
      <c r="I537" s="170"/>
      <c r="K537" s="189"/>
      <c r="L537" s="171"/>
      <c r="M537" s="171"/>
      <c r="O537" s="160"/>
      <c r="P537" s="160"/>
      <c r="Q537" s="160"/>
      <c r="R537" s="160"/>
      <c r="S537" s="160"/>
      <c r="T537" s="177"/>
      <c r="U537" s="160"/>
      <c r="V537" s="160"/>
      <c r="W537" s="160"/>
      <c r="X537" s="160"/>
      <c r="Y537" s="160"/>
      <c r="Z537" s="160"/>
      <c r="AA537" s="160"/>
      <c r="AB537" s="160"/>
      <c r="AC537" s="160"/>
      <c r="AD537" s="160"/>
      <c r="AE537" s="160"/>
      <c r="AF537" s="160"/>
      <c r="AG537" s="160"/>
      <c r="AH537" s="160"/>
      <c r="AI537" s="160"/>
      <c r="AJ537" s="160"/>
      <c r="AK537" s="160"/>
      <c r="AL537" s="160"/>
      <c r="AM537" s="160"/>
      <c r="AN537" s="164"/>
      <c r="AO537" s="160"/>
      <c r="AP537" s="160"/>
      <c r="AQ537" s="160"/>
      <c r="AR537" s="160"/>
      <c r="AS537" s="160"/>
      <c r="AT537" s="160"/>
      <c r="AU537" s="160"/>
      <c r="AV537" s="160"/>
      <c r="AW537" s="160"/>
      <c r="AX537" s="160"/>
      <c r="AY537" s="160"/>
      <c r="AZ537" s="160"/>
      <c r="BA537" s="160"/>
      <c r="BB537" s="160"/>
      <c r="BC537" s="160"/>
      <c r="BD537" s="160"/>
      <c r="BE537" s="160"/>
      <c r="BF537" s="160"/>
      <c r="BG537" s="160"/>
      <c r="BH537" s="160"/>
      <c r="BI537" s="160"/>
      <c r="BJ537" s="160"/>
      <c r="BK537" s="160"/>
      <c r="BL537" s="160"/>
      <c r="BM537" s="160"/>
      <c r="BN537" s="160"/>
      <c r="BO537" s="160"/>
      <c r="BP537" s="160"/>
      <c r="BQ537" s="160"/>
      <c r="BR537" s="160"/>
      <c r="BS537" s="160"/>
      <c r="BT537" s="160"/>
      <c r="BU537" s="160"/>
      <c r="BV537" s="160"/>
      <c r="BW537" s="160"/>
      <c r="BX537" s="160"/>
      <c r="BY537" s="160"/>
      <c r="BZ537" s="160"/>
      <c r="CA537" s="160"/>
      <c r="CB537" s="160"/>
      <c r="CC537" s="160"/>
      <c r="CD537" s="160"/>
      <c r="CE537" s="160"/>
      <c r="CF537" s="160"/>
      <c r="CG537" s="160"/>
      <c r="CH537" s="160"/>
      <c r="CI537" s="160"/>
      <c r="CJ537" s="160"/>
      <c r="CK537" s="160"/>
      <c r="CL537" s="160"/>
    </row>
    <row r="538">
      <c r="A538" s="222" t="s">
        <v>803</v>
      </c>
      <c r="B538" s="223" t="s">
        <v>804</v>
      </c>
      <c r="C538" s="152" t="s">
        <v>1106</v>
      </c>
      <c r="D538" s="176" t="str">
        <f>IFERROR(VLOOKUP(C538, PIC!A:B, 2, 0), "")</f>
        <v>Duong Pham</v>
      </c>
      <c r="F538" s="16" t="s">
        <v>26</v>
      </c>
      <c r="G538" s="11"/>
      <c r="L538" s="171"/>
      <c r="M538" s="171"/>
      <c r="O538" s="160"/>
      <c r="P538" s="160"/>
      <c r="Q538" s="160"/>
      <c r="R538" s="160"/>
      <c r="S538" s="160"/>
      <c r="T538" s="207"/>
      <c r="U538" s="160"/>
      <c r="V538" s="160"/>
      <c r="W538" s="160"/>
      <c r="X538" s="160"/>
      <c r="Y538" s="160"/>
      <c r="Z538" s="160"/>
      <c r="AA538" s="160"/>
      <c r="AB538" s="160"/>
      <c r="AC538" s="160"/>
      <c r="AD538" s="160"/>
      <c r="AE538" s="160"/>
      <c r="AF538" s="160"/>
      <c r="AG538" s="160"/>
      <c r="AH538" s="160"/>
      <c r="AI538" s="160"/>
      <c r="AJ538" s="160"/>
      <c r="AK538" s="160"/>
      <c r="AL538" s="160"/>
      <c r="AM538" s="160"/>
      <c r="AN538" s="164"/>
      <c r="AO538" s="160"/>
      <c r="AP538" s="160"/>
      <c r="AQ538" s="160"/>
      <c r="AR538" s="160"/>
      <c r="AS538" s="160"/>
      <c r="AT538" s="160"/>
      <c r="AU538" s="160"/>
      <c r="AV538" s="160"/>
      <c r="AW538" s="160"/>
      <c r="AX538" s="160"/>
      <c r="AY538" s="160"/>
      <c r="AZ538" s="160"/>
      <c r="BA538" s="160"/>
      <c r="BB538" s="160"/>
      <c r="BC538" s="160"/>
      <c r="BD538" s="160"/>
      <c r="BE538" s="160"/>
      <c r="BF538" s="160"/>
      <c r="BG538" s="160"/>
      <c r="BH538" s="160"/>
      <c r="BI538" s="160"/>
      <c r="BJ538" s="160"/>
      <c r="BK538" s="160"/>
      <c r="BL538" s="160"/>
      <c r="BM538" s="160"/>
      <c r="BN538" s="160"/>
      <c r="BO538" s="160"/>
      <c r="BP538" s="160"/>
      <c r="BQ538" s="160"/>
      <c r="BR538" s="160"/>
      <c r="BS538" s="160"/>
      <c r="BT538" s="160"/>
      <c r="BU538" s="160"/>
      <c r="BV538" s="160"/>
      <c r="BW538" s="160"/>
      <c r="BX538" s="160"/>
      <c r="BY538" s="160"/>
      <c r="BZ538" s="160"/>
      <c r="CA538" s="160"/>
      <c r="CB538" s="160"/>
      <c r="CC538" s="160"/>
      <c r="CD538" s="160"/>
      <c r="CE538" s="160"/>
      <c r="CF538" s="160"/>
      <c r="CG538" s="160"/>
      <c r="CH538" s="160"/>
      <c r="CI538" s="160"/>
      <c r="CJ538" s="160"/>
      <c r="CK538" s="160"/>
      <c r="CL538" s="160"/>
    </row>
    <row r="539">
      <c r="A539" s="174"/>
      <c r="F539" s="11"/>
      <c r="G539" s="11"/>
      <c r="L539" s="171"/>
      <c r="M539" s="171"/>
      <c r="O539" s="160"/>
      <c r="P539" s="160"/>
      <c r="Q539" s="160"/>
      <c r="R539" s="160"/>
      <c r="S539" s="160"/>
      <c r="T539" s="207"/>
      <c r="U539" s="160"/>
      <c r="V539" s="160"/>
      <c r="W539" s="160"/>
      <c r="X539" s="160"/>
      <c r="Y539" s="160"/>
      <c r="Z539" s="160"/>
      <c r="AA539" s="160"/>
      <c r="AB539" s="160"/>
      <c r="AC539" s="160"/>
      <c r="AD539" s="160"/>
      <c r="AE539" s="160"/>
      <c r="AF539" s="160"/>
      <c r="AG539" s="160"/>
      <c r="AH539" s="160"/>
      <c r="AI539" s="160"/>
      <c r="AJ539" s="160"/>
      <c r="AK539" s="160"/>
      <c r="AL539" s="160"/>
      <c r="AM539" s="160"/>
      <c r="AN539" s="164"/>
      <c r="AO539" s="160"/>
      <c r="AP539" s="160"/>
      <c r="AQ539" s="160"/>
      <c r="AR539" s="160"/>
      <c r="AS539" s="160"/>
      <c r="AT539" s="160"/>
      <c r="AU539" s="160"/>
      <c r="AV539" s="160"/>
      <c r="AW539" s="160"/>
      <c r="AX539" s="160"/>
      <c r="AY539" s="160"/>
      <c r="AZ539" s="160"/>
      <c r="BA539" s="160"/>
      <c r="BB539" s="160"/>
      <c r="BC539" s="160"/>
      <c r="BD539" s="160"/>
      <c r="BE539" s="160"/>
      <c r="BF539" s="160"/>
      <c r="BG539" s="160"/>
      <c r="BH539" s="160"/>
      <c r="BI539" s="160"/>
      <c r="BJ539" s="160"/>
      <c r="BK539" s="160"/>
      <c r="BL539" s="160"/>
      <c r="BM539" s="160"/>
      <c r="BN539" s="160"/>
      <c r="BO539" s="160"/>
      <c r="BP539" s="160"/>
      <c r="BQ539" s="160"/>
      <c r="BR539" s="160"/>
      <c r="BS539" s="160"/>
      <c r="BT539" s="160"/>
      <c r="BU539" s="160"/>
      <c r="BV539" s="160"/>
      <c r="BW539" s="160"/>
      <c r="BX539" s="160"/>
      <c r="BY539" s="160"/>
      <c r="BZ539" s="160"/>
      <c r="CA539" s="160"/>
      <c r="CB539" s="160"/>
      <c r="CC539" s="160"/>
      <c r="CD539" s="160"/>
      <c r="CE539" s="160"/>
      <c r="CF539" s="160"/>
      <c r="CG539" s="160"/>
      <c r="CH539" s="160"/>
      <c r="CI539" s="160"/>
      <c r="CJ539" s="160"/>
      <c r="CK539" s="160"/>
      <c r="CL539" s="160"/>
    </row>
    <row r="540">
      <c r="A540" s="174"/>
      <c r="F540" s="11"/>
      <c r="G540" s="11"/>
      <c r="L540" s="171"/>
      <c r="M540" s="171"/>
      <c r="O540" s="160"/>
      <c r="P540" s="160"/>
      <c r="Q540" s="160"/>
      <c r="R540" s="160"/>
      <c r="S540" s="160"/>
      <c r="T540" s="207"/>
      <c r="U540" s="160"/>
      <c r="V540" s="160"/>
      <c r="W540" s="160"/>
      <c r="X540" s="160"/>
      <c r="Y540" s="160"/>
      <c r="Z540" s="160"/>
      <c r="AA540" s="160"/>
      <c r="AB540" s="160"/>
      <c r="AC540" s="160"/>
      <c r="AD540" s="160"/>
      <c r="AE540" s="160"/>
      <c r="AF540" s="160"/>
      <c r="AG540" s="160"/>
      <c r="AH540" s="160"/>
      <c r="AI540" s="160"/>
      <c r="AJ540" s="160"/>
      <c r="AK540" s="160"/>
      <c r="AL540" s="160"/>
      <c r="AM540" s="160"/>
      <c r="AN540" s="164"/>
      <c r="AO540" s="160"/>
      <c r="AP540" s="160"/>
      <c r="AQ540" s="160"/>
      <c r="AR540" s="160"/>
      <c r="AS540" s="160"/>
      <c r="AT540" s="160"/>
      <c r="AU540" s="160"/>
      <c r="AV540" s="160"/>
      <c r="AW540" s="160"/>
      <c r="AX540" s="160"/>
      <c r="AY540" s="160"/>
      <c r="AZ540" s="160"/>
      <c r="BA540" s="160"/>
      <c r="BB540" s="160"/>
      <c r="BC540" s="160"/>
      <c r="BD540" s="160"/>
      <c r="BE540" s="160"/>
      <c r="BF540" s="160"/>
      <c r="BG540" s="160"/>
      <c r="BH540" s="160"/>
      <c r="BI540" s="160"/>
      <c r="BJ540" s="160"/>
      <c r="BK540" s="160"/>
      <c r="BL540" s="160"/>
      <c r="BM540" s="160"/>
      <c r="BN540" s="160"/>
      <c r="BO540" s="160"/>
      <c r="BP540" s="160"/>
      <c r="BQ540" s="160"/>
      <c r="BR540" s="160"/>
      <c r="BS540" s="160"/>
      <c r="BT540" s="160"/>
      <c r="BU540" s="160"/>
      <c r="BV540" s="160"/>
      <c r="BW540" s="160"/>
      <c r="BX540" s="160"/>
      <c r="BY540" s="160"/>
      <c r="BZ540" s="160"/>
      <c r="CA540" s="160"/>
      <c r="CB540" s="160"/>
      <c r="CC540" s="160"/>
      <c r="CD540" s="160"/>
      <c r="CE540" s="160"/>
      <c r="CF540" s="160"/>
      <c r="CG540" s="160"/>
      <c r="CH540" s="160"/>
      <c r="CI540" s="160"/>
      <c r="CJ540" s="160"/>
      <c r="CK540" s="160"/>
      <c r="CL540" s="160"/>
    </row>
    <row r="541">
      <c r="A541" s="174"/>
      <c r="F541" s="11"/>
      <c r="G541" s="11"/>
      <c r="L541" s="171"/>
      <c r="M541" s="171"/>
      <c r="O541" s="160"/>
      <c r="P541" s="160"/>
      <c r="Q541" s="160"/>
      <c r="R541" s="160"/>
      <c r="S541" s="160"/>
      <c r="T541" s="207"/>
      <c r="U541" s="160"/>
      <c r="V541" s="160"/>
      <c r="W541" s="160"/>
      <c r="X541" s="160"/>
      <c r="Y541" s="160"/>
      <c r="Z541" s="160"/>
      <c r="AA541" s="160"/>
      <c r="AB541" s="160"/>
      <c r="AC541" s="160"/>
      <c r="AD541" s="160"/>
      <c r="AE541" s="160"/>
      <c r="AF541" s="160"/>
      <c r="AG541" s="160"/>
      <c r="AH541" s="160"/>
      <c r="AI541" s="160"/>
      <c r="AJ541" s="160"/>
      <c r="AK541" s="160"/>
      <c r="AL541" s="160"/>
      <c r="AM541" s="160"/>
      <c r="AN541" s="164"/>
      <c r="AO541" s="160"/>
      <c r="AP541" s="160"/>
      <c r="AQ541" s="160"/>
      <c r="AR541" s="160"/>
      <c r="AS541" s="160"/>
      <c r="AT541" s="160"/>
      <c r="AU541" s="160"/>
      <c r="AV541" s="160"/>
      <c r="AW541" s="160"/>
      <c r="AX541" s="160"/>
      <c r="AY541" s="160"/>
      <c r="AZ541" s="160"/>
      <c r="BA541" s="160"/>
      <c r="BB541" s="160"/>
      <c r="BC541" s="160"/>
      <c r="BD541" s="160"/>
      <c r="BE541" s="160"/>
      <c r="BF541" s="160"/>
      <c r="BG541" s="160"/>
      <c r="BH541" s="160"/>
      <c r="BI541" s="160"/>
      <c r="BJ541" s="160"/>
      <c r="BK541" s="160"/>
      <c r="BL541" s="160"/>
      <c r="BM541" s="160"/>
      <c r="BN541" s="160"/>
      <c r="BO541" s="160"/>
      <c r="BP541" s="160"/>
      <c r="BQ541" s="160"/>
      <c r="BR541" s="160"/>
      <c r="BS541" s="160"/>
      <c r="BT541" s="160"/>
      <c r="BU541" s="160"/>
      <c r="BV541" s="160"/>
      <c r="BW541" s="160"/>
      <c r="BX541" s="160"/>
      <c r="BY541" s="160"/>
      <c r="BZ541" s="160"/>
      <c r="CA541" s="160"/>
      <c r="CB541" s="160"/>
      <c r="CC541" s="160"/>
      <c r="CD541" s="160"/>
      <c r="CE541" s="160"/>
      <c r="CF541" s="160"/>
      <c r="CG541" s="160"/>
      <c r="CH541" s="160"/>
      <c r="CI541" s="160"/>
      <c r="CJ541" s="160"/>
      <c r="CK541" s="160"/>
      <c r="CL541" s="160"/>
    </row>
    <row r="542">
      <c r="A542" s="174"/>
      <c r="F542" s="11"/>
      <c r="G542" s="11"/>
      <c r="L542" s="171"/>
      <c r="M542" s="171"/>
      <c r="O542" s="160"/>
      <c r="P542" s="160"/>
      <c r="Q542" s="160"/>
      <c r="R542" s="160"/>
      <c r="S542" s="160"/>
      <c r="T542" s="207"/>
      <c r="U542" s="160"/>
      <c r="V542" s="160"/>
      <c r="W542" s="160"/>
      <c r="X542" s="160"/>
      <c r="Y542" s="160"/>
      <c r="Z542" s="160"/>
      <c r="AA542" s="160"/>
      <c r="AB542" s="160"/>
      <c r="AC542" s="160"/>
      <c r="AD542" s="160"/>
      <c r="AE542" s="160"/>
      <c r="AF542" s="160"/>
      <c r="AG542" s="160"/>
      <c r="AH542" s="160"/>
      <c r="AI542" s="160"/>
      <c r="AJ542" s="160"/>
      <c r="AK542" s="160"/>
      <c r="AL542" s="160"/>
      <c r="AM542" s="160"/>
      <c r="AN542" s="164"/>
      <c r="AO542" s="160"/>
      <c r="AP542" s="160"/>
      <c r="AQ542" s="160"/>
      <c r="AR542" s="160"/>
      <c r="AS542" s="160"/>
      <c r="AT542" s="160"/>
      <c r="AU542" s="160"/>
      <c r="AV542" s="160"/>
      <c r="AW542" s="160"/>
      <c r="AX542" s="160"/>
      <c r="AY542" s="160"/>
      <c r="AZ542" s="160"/>
      <c r="BA542" s="160"/>
      <c r="BB542" s="160"/>
      <c r="BC542" s="160"/>
      <c r="BD542" s="160"/>
      <c r="BE542" s="160"/>
      <c r="BF542" s="160"/>
      <c r="BG542" s="160"/>
      <c r="BH542" s="160"/>
      <c r="BI542" s="160"/>
      <c r="BJ542" s="160"/>
      <c r="BK542" s="160"/>
      <c r="BL542" s="160"/>
      <c r="BM542" s="160"/>
      <c r="BN542" s="160"/>
      <c r="BO542" s="160"/>
      <c r="BP542" s="160"/>
      <c r="BQ542" s="160"/>
      <c r="BR542" s="160"/>
      <c r="BS542" s="160"/>
      <c r="BT542" s="160"/>
      <c r="BU542" s="160"/>
      <c r="BV542" s="160"/>
      <c r="BW542" s="160"/>
      <c r="BX542" s="160"/>
      <c r="BY542" s="160"/>
      <c r="BZ542" s="160"/>
      <c r="CA542" s="160"/>
      <c r="CB542" s="160"/>
      <c r="CC542" s="160"/>
      <c r="CD542" s="160"/>
      <c r="CE542" s="160"/>
      <c r="CF542" s="160"/>
      <c r="CG542" s="160"/>
      <c r="CH542" s="160"/>
      <c r="CI542" s="160"/>
      <c r="CJ542" s="160"/>
      <c r="CK542" s="160"/>
      <c r="CL542" s="160"/>
    </row>
    <row r="543">
      <c r="A543" s="174"/>
      <c r="F543" s="11"/>
      <c r="G543" s="11"/>
      <c r="L543" s="171"/>
      <c r="M543" s="171"/>
      <c r="O543" s="160"/>
      <c r="P543" s="160"/>
      <c r="Q543" s="160"/>
      <c r="R543" s="160"/>
      <c r="S543" s="160"/>
      <c r="T543" s="207"/>
      <c r="U543" s="160"/>
      <c r="V543" s="160"/>
      <c r="W543" s="160"/>
      <c r="X543" s="160"/>
      <c r="Y543" s="160"/>
      <c r="Z543" s="160"/>
      <c r="AA543" s="160"/>
      <c r="AB543" s="160"/>
      <c r="AC543" s="160"/>
      <c r="AD543" s="160"/>
      <c r="AE543" s="160"/>
      <c r="AF543" s="160"/>
      <c r="AG543" s="160"/>
      <c r="AH543" s="160"/>
      <c r="AI543" s="160"/>
      <c r="AJ543" s="160"/>
      <c r="AK543" s="160"/>
      <c r="AL543" s="160"/>
      <c r="AM543" s="160"/>
      <c r="AN543" s="164"/>
      <c r="AO543" s="160"/>
      <c r="AP543" s="160"/>
      <c r="AQ543" s="160"/>
      <c r="AR543" s="160"/>
      <c r="AS543" s="160"/>
      <c r="AT543" s="160"/>
      <c r="AU543" s="160"/>
      <c r="AV543" s="160"/>
      <c r="AW543" s="160"/>
      <c r="AX543" s="160"/>
      <c r="AY543" s="160"/>
      <c r="AZ543" s="160"/>
      <c r="BA543" s="160"/>
      <c r="BB543" s="160"/>
      <c r="BC543" s="160"/>
      <c r="BD543" s="160"/>
      <c r="BE543" s="160"/>
      <c r="BF543" s="160"/>
      <c r="BG543" s="160"/>
      <c r="BH543" s="160"/>
      <c r="BI543" s="160"/>
      <c r="BJ543" s="160"/>
      <c r="BK543" s="160"/>
      <c r="BL543" s="160"/>
      <c r="BM543" s="160"/>
      <c r="BN543" s="160"/>
      <c r="BO543" s="160"/>
      <c r="BP543" s="160"/>
      <c r="BQ543" s="160"/>
      <c r="BR543" s="160"/>
      <c r="BS543" s="160"/>
      <c r="BT543" s="160"/>
      <c r="BU543" s="160"/>
      <c r="BV543" s="160"/>
      <c r="BW543" s="160"/>
      <c r="BX543" s="160"/>
      <c r="BY543" s="160"/>
      <c r="BZ543" s="160"/>
      <c r="CA543" s="160"/>
      <c r="CB543" s="160"/>
      <c r="CC543" s="160"/>
      <c r="CD543" s="160"/>
      <c r="CE543" s="160"/>
      <c r="CF543" s="160"/>
      <c r="CG543" s="160"/>
      <c r="CH543" s="160"/>
      <c r="CI543" s="160"/>
      <c r="CJ543" s="160"/>
      <c r="CK543" s="160"/>
      <c r="CL543" s="160"/>
    </row>
    <row r="544">
      <c r="A544" s="174"/>
      <c r="F544" s="11"/>
      <c r="G544" s="11"/>
      <c r="L544" s="171"/>
      <c r="M544" s="171"/>
      <c r="O544" s="160"/>
      <c r="P544" s="160"/>
      <c r="Q544" s="160"/>
      <c r="R544" s="160"/>
      <c r="S544" s="160"/>
      <c r="T544" s="207"/>
      <c r="U544" s="160"/>
      <c r="V544" s="160"/>
      <c r="W544" s="160"/>
      <c r="X544" s="160"/>
      <c r="Y544" s="160"/>
      <c r="Z544" s="160"/>
      <c r="AA544" s="160"/>
      <c r="AB544" s="160"/>
      <c r="AC544" s="160"/>
      <c r="AD544" s="160"/>
      <c r="AE544" s="160"/>
      <c r="AF544" s="160"/>
      <c r="AG544" s="160"/>
      <c r="AH544" s="160"/>
      <c r="AI544" s="160"/>
      <c r="AJ544" s="160"/>
      <c r="AK544" s="160"/>
      <c r="AL544" s="160"/>
      <c r="AM544" s="160"/>
      <c r="AN544" s="164"/>
      <c r="AO544" s="160"/>
      <c r="AP544" s="160"/>
      <c r="AQ544" s="160"/>
      <c r="AR544" s="160"/>
      <c r="AS544" s="160"/>
      <c r="AT544" s="160"/>
      <c r="AU544" s="160"/>
      <c r="AV544" s="160"/>
      <c r="AW544" s="160"/>
      <c r="AX544" s="160"/>
      <c r="AY544" s="160"/>
      <c r="AZ544" s="160"/>
      <c r="BA544" s="160"/>
      <c r="BB544" s="160"/>
      <c r="BC544" s="160"/>
      <c r="BD544" s="160"/>
      <c r="BE544" s="160"/>
      <c r="BF544" s="160"/>
      <c r="BG544" s="160"/>
      <c r="BH544" s="160"/>
      <c r="BI544" s="160"/>
      <c r="BJ544" s="160"/>
      <c r="BK544" s="160"/>
      <c r="BL544" s="160"/>
      <c r="BM544" s="160"/>
      <c r="BN544" s="160"/>
      <c r="BO544" s="160"/>
      <c r="BP544" s="160"/>
      <c r="BQ544" s="160"/>
      <c r="BR544" s="160"/>
      <c r="BS544" s="160"/>
      <c r="BT544" s="160"/>
      <c r="BU544" s="160"/>
      <c r="BV544" s="160"/>
      <c r="BW544" s="160"/>
      <c r="BX544" s="160"/>
      <c r="BY544" s="160"/>
      <c r="BZ544" s="160"/>
      <c r="CA544" s="160"/>
      <c r="CB544" s="160"/>
      <c r="CC544" s="160"/>
      <c r="CD544" s="160"/>
      <c r="CE544" s="160"/>
      <c r="CF544" s="160"/>
      <c r="CG544" s="160"/>
      <c r="CH544" s="160"/>
      <c r="CI544" s="160"/>
      <c r="CJ544" s="160"/>
      <c r="CK544" s="160"/>
      <c r="CL544" s="160"/>
    </row>
    <row r="545">
      <c r="A545" s="171"/>
      <c r="F545" s="11"/>
      <c r="G545" s="11"/>
      <c r="L545" s="171"/>
      <c r="M545" s="171"/>
      <c r="O545" s="160"/>
      <c r="P545" s="160"/>
      <c r="Q545" s="160"/>
      <c r="R545" s="160"/>
      <c r="S545" s="160"/>
      <c r="T545" s="207"/>
      <c r="U545" s="160"/>
      <c r="V545" s="160"/>
      <c r="W545" s="160"/>
      <c r="X545" s="160"/>
      <c r="Y545" s="160"/>
      <c r="Z545" s="160"/>
      <c r="AA545" s="160"/>
      <c r="AB545" s="160"/>
      <c r="AC545" s="160"/>
      <c r="AD545" s="160"/>
      <c r="AE545" s="160"/>
      <c r="AF545" s="160"/>
      <c r="AG545" s="160"/>
      <c r="AH545" s="160"/>
      <c r="AI545" s="160"/>
      <c r="AJ545" s="160"/>
      <c r="AK545" s="160"/>
      <c r="AL545" s="160"/>
      <c r="AM545" s="160"/>
      <c r="AN545" s="164"/>
      <c r="AO545" s="160"/>
      <c r="AP545" s="160"/>
      <c r="AQ545" s="160"/>
      <c r="AR545" s="160"/>
      <c r="AS545" s="160"/>
      <c r="AT545" s="160"/>
      <c r="AU545" s="160"/>
      <c r="AV545" s="160"/>
      <c r="AW545" s="160"/>
      <c r="AX545" s="160"/>
      <c r="AY545" s="160"/>
      <c r="AZ545" s="160"/>
      <c r="BA545" s="160"/>
      <c r="BB545" s="160"/>
      <c r="BC545" s="160"/>
      <c r="BD545" s="160"/>
      <c r="BE545" s="160"/>
      <c r="BF545" s="160"/>
      <c r="BG545" s="160"/>
      <c r="BH545" s="160"/>
      <c r="BI545" s="160"/>
      <c r="BJ545" s="160"/>
      <c r="BK545" s="160"/>
      <c r="BL545" s="160"/>
      <c r="BM545" s="160"/>
      <c r="BN545" s="160"/>
      <c r="BO545" s="160"/>
      <c r="BP545" s="160"/>
      <c r="BQ545" s="160"/>
      <c r="BR545" s="160"/>
      <c r="BS545" s="160"/>
      <c r="BT545" s="160"/>
      <c r="BU545" s="160"/>
      <c r="BV545" s="160"/>
      <c r="BW545" s="160"/>
      <c r="BX545" s="160"/>
      <c r="BY545" s="160"/>
      <c r="BZ545" s="160"/>
      <c r="CA545" s="160"/>
      <c r="CB545" s="160"/>
      <c r="CC545" s="160"/>
      <c r="CD545" s="160"/>
      <c r="CE545" s="160"/>
      <c r="CF545" s="160"/>
      <c r="CG545" s="160"/>
      <c r="CH545" s="160"/>
      <c r="CI545" s="160"/>
      <c r="CJ545" s="160"/>
      <c r="CK545" s="160"/>
      <c r="CL545" s="160"/>
    </row>
    <row r="546">
      <c r="A546" s="171"/>
      <c r="F546" s="11"/>
      <c r="G546" s="11"/>
      <c r="L546" s="171"/>
      <c r="M546" s="171"/>
      <c r="O546" s="160"/>
      <c r="P546" s="160"/>
      <c r="Q546" s="160"/>
      <c r="R546" s="160"/>
      <c r="S546" s="160"/>
      <c r="T546" s="207"/>
      <c r="U546" s="160"/>
      <c r="V546" s="160"/>
      <c r="W546" s="160"/>
      <c r="X546" s="160"/>
      <c r="Y546" s="160"/>
      <c r="Z546" s="160"/>
      <c r="AA546" s="160"/>
      <c r="AB546" s="160"/>
      <c r="AC546" s="160"/>
      <c r="AD546" s="160"/>
      <c r="AE546" s="160"/>
      <c r="AF546" s="160"/>
      <c r="AG546" s="160"/>
      <c r="AH546" s="160"/>
      <c r="AI546" s="160"/>
      <c r="AJ546" s="160"/>
      <c r="AK546" s="160"/>
      <c r="AL546" s="160"/>
      <c r="AM546" s="160"/>
      <c r="AN546" s="164"/>
      <c r="AO546" s="160"/>
      <c r="AP546" s="160"/>
      <c r="AQ546" s="160"/>
      <c r="AR546" s="160"/>
      <c r="AS546" s="160"/>
      <c r="AT546" s="160"/>
      <c r="AU546" s="160"/>
      <c r="AV546" s="160"/>
      <c r="AW546" s="160"/>
      <c r="AX546" s="160"/>
      <c r="AY546" s="160"/>
      <c r="AZ546" s="160"/>
      <c r="BA546" s="160"/>
      <c r="BB546" s="160"/>
      <c r="BC546" s="160"/>
      <c r="BD546" s="160"/>
      <c r="BE546" s="160"/>
      <c r="BF546" s="160"/>
      <c r="BG546" s="160"/>
      <c r="BH546" s="160"/>
      <c r="BI546" s="160"/>
      <c r="BJ546" s="160"/>
      <c r="BK546" s="160"/>
      <c r="BL546" s="160"/>
      <c r="BM546" s="160"/>
      <c r="BN546" s="160"/>
      <c r="BO546" s="160"/>
      <c r="BP546" s="160"/>
      <c r="BQ546" s="160"/>
      <c r="BR546" s="160"/>
      <c r="BS546" s="160"/>
      <c r="BT546" s="160"/>
      <c r="BU546" s="160"/>
      <c r="BV546" s="160"/>
      <c r="BW546" s="160"/>
      <c r="BX546" s="160"/>
      <c r="BY546" s="160"/>
      <c r="BZ546" s="160"/>
      <c r="CA546" s="160"/>
      <c r="CB546" s="160"/>
      <c r="CC546" s="160"/>
      <c r="CD546" s="160"/>
      <c r="CE546" s="160"/>
      <c r="CF546" s="160"/>
      <c r="CG546" s="160"/>
      <c r="CH546" s="160"/>
      <c r="CI546" s="160"/>
      <c r="CJ546" s="160"/>
      <c r="CK546" s="160"/>
      <c r="CL546" s="160"/>
    </row>
    <row r="547">
      <c r="A547" s="171"/>
      <c r="F547" s="11"/>
      <c r="G547" s="11"/>
      <c r="L547" s="171"/>
      <c r="M547" s="171"/>
      <c r="O547" s="160"/>
      <c r="P547" s="160"/>
      <c r="Q547" s="160"/>
      <c r="R547" s="160"/>
      <c r="S547" s="160"/>
      <c r="T547" s="207"/>
      <c r="U547" s="160"/>
      <c r="V547" s="160"/>
      <c r="W547" s="160"/>
      <c r="X547" s="160"/>
      <c r="Y547" s="160"/>
      <c r="Z547" s="160"/>
      <c r="AA547" s="160"/>
      <c r="AB547" s="160"/>
      <c r="AC547" s="160"/>
      <c r="AD547" s="160"/>
      <c r="AE547" s="160"/>
      <c r="AF547" s="160"/>
      <c r="AG547" s="160"/>
      <c r="AH547" s="160"/>
      <c r="AI547" s="160"/>
      <c r="AJ547" s="160"/>
      <c r="AK547" s="160"/>
      <c r="AL547" s="160"/>
      <c r="AM547" s="160"/>
      <c r="AN547" s="164"/>
      <c r="AO547" s="160"/>
      <c r="AP547" s="160"/>
      <c r="AQ547" s="160"/>
      <c r="AR547" s="160"/>
      <c r="AS547" s="160"/>
      <c r="AT547" s="160"/>
      <c r="AU547" s="160"/>
      <c r="AV547" s="160"/>
      <c r="AW547" s="160"/>
      <c r="AX547" s="160"/>
      <c r="AY547" s="160"/>
      <c r="AZ547" s="160"/>
      <c r="BA547" s="160"/>
      <c r="BB547" s="160"/>
      <c r="BC547" s="160"/>
      <c r="BD547" s="160"/>
      <c r="BE547" s="160"/>
      <c r="BF547" s="160"/>
      <c r="BG547" s="160"/>
      <c r="BH547" s="160"/>
      <c r="BI547" s="160"/>
      <c r="BJ547" s="160"/>
      <c r="BK547" s="160"/>
      <c r="BL547" s="160"/>
      <c r="BM547" s="160"/>
      <c r="BN547" s="160"/>
      <c r="BO547" s="160"/>
      <c r="BP547" s="160"/>
      <c r="BQ547" s="160"/>
      <c r="BR547" s="160"/>
      <c r="BS547" s="160"/>
      <c r="BT547" s="160"/>
      <c r="BU547" s="160"/>
      <c r="BV547" s="160"/>
      <c r="BW547" s="160"/>
      <c r="BX547" s="160"/>
      <c r="BY547" s="160"/>
      <c r="BZ547" s="160"/>
      <c r="CA547" s="160"/>
      <c r="CB547" s="160"/>
      <c r="CC547" s="160"/>
      <c r="CD547" s="160"/>
      <c r="CE547" s="160"/>
      <c r="CF547" s="160"/>
      <c r="CG547" s="160"/>
      <c r="CH547" s="160"/>
      <c r="CI547" s="160"/>
      <c r="CJ547" s="160"/>
      <c r="CK547" s="160"/>
      <c r="CL547" s="160"/>
    </row>
    <row r="548">
      <c r="A548" s="171"/>
      <c r="F548" s="11"/>
      <c r="G548" s="11"/>
      <c r="L548" s="171"/>
      <c r="M548" s="171"/>
      <c r="O548" s="160"/>
      <c r="P548" s="160"/>
      <c r="Q548" s="160"/>
      <c r="R548" s="160"/>
      <c r="S548" s="160"/>
      <c r="T548" s="207"/>
      <c r="U548" s="160"/>
      <c r="V548" s="160"/>
      <c r="W548" s="160"/>
      <c r="X548" s="160"/>
      <c r="Y548" s="160"/>
      <c r="Z548" s="160"/>
      <c r="AA548" s="160"/>
      <c r="AB548" s="160"/>
      <c r="AC548" s="160"/>
      <c r="AD548" s="160"/>
      <c r="AE548" s="160"/>
      <c r="AF548" s="160"/>
      <c r="AG548" s="160"/>
      <c r="AH548" s="160"/>
      <c r="AI548" s="160"/>
      <c r="AJ548" s="160"/>
      <c r="AK548" s="160"/>
      <c r="AL548" s="160"/>
      <c r="AM548" s="160"/>
      <c r="AN548" s="164"/>
      <c r="AO548" s="160"/>
      <c r="AP548" s="160"/>
      <c r="AQ548" s="160"/>
      <c r="AR548" s="160"/>
      <c r="AS548" s="160"/>
      <c r="AT548" s="160"/>
      <c r="AU548" s="160"/>
      <c r="AV548" s="160"/>
      <c r="AW548" s="160"/>
      <c r="AX548" s="160"/>
      <c r="AY548" s="160"/>
      <c r="AZ548" s="160"/>
      <c r="BA548" s="160"/>
      <c r="BB548" s="160"/>
      <c r="BC548" s="160"/>
      <c r="BD548" s="160"/>
      <c r="BE548" s="160"/>
      <c r="BF548" s="160"/>
      <c r="BG548" s="160"/>
      <c r="BH548" s="160"/>
      <c r="BI548" s="160"/>
      <c r="BJ548" s="160"/>
      <c r="BK548" s="160"/>
      <c r="BL548" s="160"/>
      <c r="BM548" s="160"/>
      <c r="BN548" s="160"/>
      <c r="BO548" s="160"/>
      <c r="BP548" s="160"/>
      <c r="BQ548" s="160"/>
      <c r="BR548" s="160"/>
      <c r="BS548" s="160"/>
      <c r="BT548" s="160"/>
      <c r="BU548" s="160"/>
      <c r="BV548" s="160"/>
      <c r="BW548" s="160"/>
      <c r="BX548" s="160"/>
      <c r="BY548" s="160"/>
      <c r="BZ548" s="160"/>
      <c r="CA548" s="160"/>
      <c r="CB548" s="160"/>
      <c r="CC548" s="160"/>
      <c r="CD548" s="160"/>
      <c r="CE548" s="160"/>
      <c r="CF548" s="160"/>
      <c r="CG548" s="160"/>
      <c r="CH548" s="160"/>
      <c r="CI548" s="160"/>
      <c r="CJ548" s="160"/>
      <c r="CK548" s="160"/>
      <c r="CL548" s="160"/>
    </row>
    <row r="549">
      <c r="A549" s="171"/>
      <c r="F549" s="11"/>
      <c r="G549" s="11"/>
      <c r="L549" s="171"/>
      <c r="M549" s="171"/>
      <c r="O549" s="160"/>
      <c r="P549" s="160"/>
      <c r="Q549" s="160"/>
      <c r="R549" s="160"/>
      <c r="S549" s="160"/>
      <c r="T549" s="207"/>
      <c r="U549" s="160"/>
      <c r="V549" s="160"/>
      <c r="W549" s="160"/>
      <c r="X549" s="160"/>
      <c r="Y549" s="160"/>
      <c r="Z549" s="160"/>
      <c r="AA549" s="160"/>
      <c r="AB549" s="160"/>
      <c r="AC549" s="160"/>
      <c r="AD549" s="160"/>
      <c r="AE549" s="160"/>
      <c r="AF549" s="160"/>
      <c r="AG549" s="160"/>
      <c r="AH549" s="160"/>
      <c r="AI549" s="160"/>
      <c r="AJ549" s="160"/>
      <c r="AK549" s="160"/>
      <c r="AL549" s="160"/>
      <c r="AM549" s="160"/>
      <c r="AN549" s="164"/>
      <c r="AO549" s="160"/>
      <c r="AP549" s="160"/>
      <c r="AQ549" s="160"/>
      <c r="AR549" s="160"/>
      <c r="AS549" s="160"/>
      <c r="AT549" s="160"/>
      <c r="AU549" s="160"/>
      <c r="AV549" s="160"/>
      <c r="AW549" s="160"/>
      <c r="AX549" s="160"/>
      <c r="AY549" s="160"/>
      <c r="AZ549" s="160"/>
      <c r="BA549" s="160"/>
      <c r="BB549" s="160"/>
      <c r="BC549" s="160"/>
      <c r="BD549" s="160"/>
      <c r="BE549" s="160"/>
      <c r="BF549" s="160"/>
      <c r="BG549" s="160"/>
      <c r="BH549" s="160"/>
      <c r="BI549" s="160"/>
      <c r="BJ549" s="160"/>
      <c r="BK549" s="160"/>
      <c r="BL549" s="160"/>
      <c r="BM549" s="160"/>
      <c r="BN549" s="160"/>
      <c r="BO549" s="160"/>
      <c r="BP549" s="160"/>
      <c r="BQ549" s="160"/>
      <c r="BR549" s="160"/>
      <c r="BS549" s="160"/>
      <c r="BT549" s="160"/>
      <c r="BU549" s="160"/>
      <c r="BV549" s="160"/>
      <c r="BW549" s="160"/>
      <c r="BX549" s="160"/>
      <c r="BY549" s="160"/>
      <c r="BZ549" s="160"/>
      <c r="CA549" s="160"/>
      <c r="CB549" s="160"/>
      <c r="CC549" s="160"/>
      <c r="CD549" s="160"/>
      <c r="CE549" s="160"/>
      <c r="CF549" s="160"/>
      <c r="CG549" s="160"/>
      <c r="CH549" s="160"/>
      <c r="CI549" s="160"/>
      <c r="CJ549" s="160"/>
      <c r="CK549" s="160"/>
      <c r="CL549" s="160"/>
    </row>
    <row r="550">
      <c r="A550" s="171"/>
      <c r="F550" s="11"/>
      <c r="G550" s="11"/>
      <c r="L550" s="171"/>
      <c r="M550" s="171"/>
      <c r="O550" s="160"/>
      <c r="P550" s="160"/>
      <c r="Q550" s="160"/>
      <c r="R550" s="160"/>
      <c r="S550" s="160"/>
      <c r="T550" s="207"/>
      <c r="U550" s="160"/>
      <c r="V550" s="160"/>
      <c r="W550" s="160"/>
      <c r="X550" s="160"/>
      <c r="Y550" s="160"/>
      <c r="Z550" s="160"/>
      <c r="AA550" s="160"/>
      <c r="AB550" s="160"/>
      <c r="AC550" s="160"/>
      <c r="AD550" s="160"/>
      <c r="AE550" s="160"/>
      <c r="AF550" s="160"/>
      <c r="AG550" s="160"/>
      <c r="AH550" s="160"/>
      <c r="AI550" s="160"/>
      <c r="AJ550" s="160"/>
      <c r="AK550" s="160"/>
      <c r="AL550" s="160"/>
      <c r="AM550" s="160"/>
      <c r="AN550" s="164"/>
      <c r="AO550" s="160"/>
      <c r="AP550" s="160"/>
      <c r="AQ550" s="160"/>
      <c r="AR550" s="160"/>
      <c r="AS550" s="160"/>
      <c r="AT550" s="160"/>
      <c r="AU550" s="160"/>
      <c r="AV550" s="160"/>
      <c r="AW550" s="160"/>
      <c r="AX550" s="160"/>
      <c r="AY550" s="160"/>
      <c r="AZ550" s="160"/>
      <c r="BA550" s="160"/>
      <c r="BB550" s="160"/>
      <c r="BC550" s="160"/>
      <c r="BD550" s="160"/>
      <c r="BE550" s="160"/>
      <c r="BF550" s="160"/>
      <c r="BG550" s="160"/>
      <c r="BH550" s="160"/>
      <c r="BI550" s="160"/>
      <c r="BJ550" s="160"/>
      <c r="BK550" s="160"/>
      <c r="BL550" s="160"/>
      <c r="BM550" s="160"/>
      <c r="BN550" s="160"/>
      <c r="BO550" s="160"/>
      <c r="BP550" s="160"/>
      <c r="BQ550" s="160"/>
      <c r="BR550" s="160"/>
      <c r="BS550" s="160"/>
      <c r="BT550" s="160"/>
      <c r="BU550" s="160"/>
      <c r="BV550" s="160"/>
      <c r="BW550" s="160"/>
      <c r="BX550" s="160"/>
      <c r="BY550" s="160"/>
      <c r="BZ550" s="160"/>
      <c r="CA550" s="160"/>
      <c r="CB550" s="160"/>
      <c r="CC550" s="160"/>
      <c r="CD550" s="160"/>
      <c r="CE550" s="160"/>
      <c r="CF550" s="160"/>
      <c r="CG550" s="160"/>
      <c r="CH550" s="160"/>
      <c r="CI550" s="160"/>
      <c r="CJ550" s="160"/>
      <c r="CK550" s="160"/>
      <c r="CL550" s="160"/>
    </row>
    <row r="551">
      <c r="A551" s="171"/>
      <c r="F551" s="11"/>
      <c r="G551" s="11"/>
      <c r="L551" s="171"/>
      <c r="M551" s="171"/>
      <c r="O551" s="160"/>
      <c r="P551" s="160"/>
      <c r="Q551" s="160"/>
      <c r="R551" s="160"/>
      <c r="S551" s="160"/>
      <c r="T551" s="207"/>
      <c r="U551" s="160"/>
      <c r="V551" s="160"/>
      <c r="W551" s="160"/>
      <c r="X551" s="160"/>
      <c r="Y551" s="160"/>
      <c r="Z551" s="160"/>
      <c r="AA551" s="160"/>
      <c r="AB551" s="160"/>
      <c r="AC551" s="160"/>
      <c r="AD551" s="160"/>
      <c r="AE551" s="160"/>
      <c r="AF551" s="160"/>
      <c r="AG551" s="160"/>
      <c r="AH551" s="160"/>
      <c r="AI551" s="160"/>
      <c r="AJ551" s="160"/>
      <c r="AK551" s="160"/>
      <c r="AL551" s="160"/>
      <c r="AM551" s="160"/>
      <c r="AN551" s="164"/>
      <c r="AO551" s="160"/>
      <c r="AP551" s="160"/>
      <c r="AQ551" s="160"/>
      <c r="AR551" s="160"/>
      <c r="AS551" s="160"/>
      <c r="AT551" s="160"/>
      <c r="AU551" s="160"/>
      <c r="AV551" s="160"/>
      <c r="AW551" s="160"/>
      <c r="AX551" s="160"/>
      <c r="AY551" s="160"/>
      <c r="AZ551" s="160"/>
      <c r="BA551" s="160"/>
      <c r="BB551" s="160"/>
      <c r="BC551" s="160"/>
      <c r="BD551" s="160"/>
      <c r="BE551" s="160"/>
      <c r="BF551" s="160"/>
      <c r="BG551" s="160"/>
      <c r="BH551" s="160"/>
      <c r="BI551" s="160"/>
      <c r="BJ551" s="160"/>
      <c r="BK551" s="160"/>
      <c r="BL551" s="160"/>
      <c r="BM551" s="160"/>
      <c r="BN551" s="160"/>
      <c r="BO551" s="160"/>
      <c r="BP551" s="160"/>
      <c r="BQ551" s="160"/>
      <c r="BR551" s="160"/>
      <c r="BS551" s="160"/>
      <c r="BT551" s="160"/>
      <c r="BU551" s="160"/>
      <c r="BV551" s="160"/>
      <c r="BW551" s="160"/>
      <c r="BX551" s="160"/>
      <c r="BY551" s="160"/>
      <c r="BZ551" s="160"/>
      <c r="CA551" s="160"/>
      <c r="CB551" s="160"/>
      <c r="CC551" s="160"/>
      <c r="CD551" s="160"/>
      <c r="CE551" s="160"/>
      <c r="CF551" s="160"/>
      <c r="CG551" s="160"/>
      <c r="CH551" s="160"/>
      <c r="CI551" s="160"/>
      <c r="CJ551" s="160"/>
      <c r="CK551" s="160"/>
      <c r="CL551" s="160"/>
    </row>
    <row r="552">
      <c r="A552" s="171"/>
      <c r="F552" s="11"/>
      <c r="G552" s="11"/>
      <c r="L552" s="171"/>
      <c r="M552" s="171"/>
      <c r="O552" s="160"/>
      <c r="P552" s="160"/>
      <c r="Q552" s="160"/>
      <c r="R552" s="160"/>
      <c r="S552" s="160"/>
      <c r="T552" s="207"/>
      <c r="U552" s="160"/>
      <c r="V552" s="160"/>
      <c r="W552" s="160"/>
      <c r="X552" s="160"/>
      <c r="Y552" s="160"/>
      <c r="Z552" s="160"/>
      <c r="AA552" s="160"/>
      <c r="AB552" s="160"/>
      <c r="AC552" s="160"/>
      <c r="AD552" s="160"/>
      <c r="AE552" s="160"/>
      <c r="AF552" s="160"/>
      <c r="AG552" s="160"/>
      <c r="AH552" s="160"/>
      <c r="AI552" s="160"/>
      <c r="AJ552" s="160"/>
      <c r="AK552" s="160"/>
      <c r="AL552" s="160"/>
      <c r="AM552" s="160"/>
      <c r="AN552" s="164"/>
      <c r="AO552" s="160"/>
      <c r="AP552" s="160"/>
      <c r="AQ552" s="160"/>
      <c r="AR552" s="160"/>
      <c r="AS552" s="160"/>
      <c r="AT552" s="160"/>
      <c r="AU552" s="160"/>
      <c r="AV552" s="160"/>
      <c r="AW552" s="160"/>
      <c r="AX552" s="160"/>
      <c r="AY552" s="160"/>
      <c r="AZ552" s="160"/>
      <c r="BA552" s="160"/>
      <c r="BB552" s="160"/>
      <c r="BC552" s="160"/>
      <c r="BD552" s="160"/>
      <c r="BE552" s="160"/>
      <c r="BF552" s="160"/>
      <c r="BG552" s="160"/>
      <c r="BH552" s="160"/>
      <c r="BI552" s="160"/>
      <c r="BJ552" s="160"/>
      <c r="BK552" s="160"/>
      <c r="BL552" s="160"/>
      <c r="BM552" s="160"/>
      <c r="BN552" s="160"/>
      <c r="BO552" s="160"/>
      <c r="BP552" s="160"/>
      <c r="BQ552" s="160"/>
      <c r="BR552" s="160"/>
      <c r="BS552" s="160"/>
      <c r="BT552" s="160"/>
      <c r="BU552" s="160"/>
      <c r="BV552" s="160"/>
      <c r="BW552" s="160"/>
      <c r="BX552" s="160"/>
      <c r="BY552" s="160"/>
      <c r="BZ552" s="160"/>
      <c r="CA552" s="160"/>
      <c r="CB552" s="160"/>
      <c r="CC552" s="160"/>
      <c r="CD552" s="160"/>
      <c r="CE552" s="160"/>
      <c r="CF552" s="160"/>
      <c r="CG552" s="160"/>
      <c r="CH552" s="160"/>
      <c r="CI552" s="160"/>
      <c r="CJ552" s="160"/>
      <c r="CK552" s="160"/>
      <c r="CL552" s="160"/>
    </row>
    <row r="553">
      <c r="A553" s="171"/>
      <c r="F553" s="11"/>
      <c r="G553" s="11"/>
      <c r="L553" s="171"/>
      <c r="M553" s="171"/>
      <c r="O553" s="160"/>
      <c r="P553" s="160"/>
      <c r="Q553" s="160"/>
      <c r="R553" s="160"/>
      <c r="S553" s="160"/>
      <c r="T553" s="207"/>
      <c r="U553" s="160"/>
      <c r="V553" s="160"/>
      <c r="W553" s="160"/>
      <c r="X553" s="160"/>
      <c r="Y553" s="160"/>
      <c r="Z553" s="160"/>
      <c r="AA553" s="160"/>
      <c r="AB553" s="160"/>
      <c r="AC553" s="160"/>
      <c r="AD553" s="160"/>
      <c r="AE553" s="160"/>
      <c r="AF553" s="160"/>
      <c r="AG553" s="160"/>
      <c r="AH553" s="160"/>
      <c r="AI553" s="160"/>
      <c r="AJ553" s="160"/>
      <c r="AK553" s="160"/>
      <c r="AL553" s="160"/>
      <c r="AM553" s="160"/>
      <c r="AN553" s="164"/>
      <c r="AO553" s="160"/>
      <c r="AP553" s="160"/>
      <c r="AQ553" s="160"/>
      <c r="AR553" s="160"/>
      <c r="AS553" s="160"/>
      <c r="AT553" s="160"/>
      <c r="AU553" s="160"/>
      <c r="AV553" s="160"/>
      <c r="AW553" s="160"/>
      <c r="AX553" s="160"/>
      <c r="AY553" s="160"/>
      <c r="AZ553" s="160"/>
      <c r="BA553" s="160"/>
      <c r="BB553" s="160"/>
      <c r="BC553" s="160"/>
      <c r="BD553" s="160"/>
      <c r="BE553" s="160"/>
      <c r="BF553" s="160"/>
      <c r="BG553" s="160"/>
      <c r="BH553" s="160"/>
      <c r="BI553" s="160"/>
      <c r="BJ553" s="160"/>
      <c r="BK553" s="160"/>
      <c r="BL553" s="160"/>
      <c r="BM553" s="160"/>
      <c r="BN553" s="160"/>
      <c r="BO553" s="160"/>
      <c r="BP553" s="160"/>
      <c r="BQ553" s="160"/>
      <c r="BR553" s="160"/>
      <c r="BS553" s="160"/>
      <c r="BT553" s="160"/>
      <c r="BU553" s="160"/>
      <c r="BV553" s="160"/>
      <c r="BW553" s="160"/>
      <c r="BX553" s="160"/>
      <c r="BY553" s="160"/>
      <c r="BZ553" s="160"/>
      <c r="CA553" s="160"/>
      <c r="CB553" s="160"/>
      <c r="CC553" s="160"/>
      <c r="CD553" s="160"/>
      <c r="CE553" s="160"/>
      <c r="CF553" s="160"/>
      <c r="CG553" s="160"/>
      <c r="CH553" s="160"/>
      <c r="CI553" s="160"/>
      <c r="CJ553" s="160"/>
      <c r="CK553" s="160"/>
      <c r="CL553" s="160"/>
    </row>
    <row r="554">
      <c r="A554" s="171"/>
      <c r="F554" s="11"/>
      <c r="G554" s="11"/>
      <c r="L554" s="171"/>
      <c r="M554" s="171"/>
      <c r="O554" s="160"/>
      <c r="P554" s="160"/>
      <c r="Q554" s="160"/>
      <c r="R554" s="160"/>
      <c r="S554" s="160"/>
      <c r="T554" s="207"/>
      <c r="U554" s="160"/>
      <c r="V554" s="160"/>
      <c r="W554" s="160"/>
      <c r="X554" s="160"/>
      <c r="Y554" s="160"/>
      <c r="Z554" s="160"/>
      <c r="AA554" s="160"/>
      <c r="AB554" s="160"/>
      <c r="AC554" s="160"/>
      <c r="AD554" s="160"/>
      <c r="AE554" s="160"/>
      <c r="AF554" s="160"/>
      <c r="AG554" s="160"/>
      <c r="AH554" s="160"/>
      <c r="AI554" s="160"/>
      <c r="AJ554" s="160"/>
      <c r="AK554" s="160"/>
      <c r="AL554" s="160"/>
      <c r="AM554" s="160"/>
      <c r="AN554" s="164"/>
      <c r="AO554" s="160"/>
      <c r="AP554" s="160"/>
      <c r="AQ554" s="160"/>
      <c r="AR554" s="160"/>
      <c r="AS554" s="160"/>
      <c r="AT554" s="160"/>
      <c r="AU554" s="160"/>
      <c r="AV554" s="160"/>
      <c r="AW554" s="160"/>
      <c r="AX554" s="160"/>
      <c r="AY554" s="160"/>
      <c r="AZ554" s="160"/>
      <c r="BA554" s="160"/>
      <c r="BB554" s="160"/>
      <c r="BC554" s="160"/>
      <c r="BD554" s="160"/>
      <c r="BE554" s="160"/>
      <c r="BF554" s="160"/>
      <c r="BG554" s="160"/>
      <c r="BH554" s="160"/>
      <c r="BI554" s="160"/>
      <c r="BJ554" s="160"/>
      <c r="BK554" s="160"/>
      <c r="BL554" s="160"/>
      <c r="BM554" s="160"/>
      <c r="BN554" s="160"/>
      <c r="BO554" s="160"/>
      <c r="BP554" s="160"/>
      <c r="BQ554" s="160"/>
      <c r="BR554" s="160"/>
      <c r="BS554" s="160"/>
      <c r="BT554" s="160"/>
      <c r="BU554" s="160"/>
      <c r="BV554" s="160"/>
      <c r="BW554" s="160"/>
      <c r="BX554" s="160"/>
      <c r="BY554" s="160"/>
      <c r="BZ554" s="160"/>
      <c r="CA554" s="160"/>
      <c r="CB554" s="160"/>
      <c r="CC554" s="160"/>
      <c r="CD554" s="160"/>
      <c r="CE554" s="160"/>
      <c r="CF554" s="160"/>
      <c r="CG554" s="160"/>
      <c r="CH554" s="160"/>
      <c r="CI554" s="160"/>
      <c r="CJ554" s="160"/>
      <c r="CK554" s="160"/>
      <c r="CL554" s="160"/>
    </row>
    <row r="555">
      <c r="A555" s="171"/>
      <c r="F555" s="11"/>
      <c r="G555" s="11"/>
      <c r="L555" s="171"/>
      <c r="M555" s="171"/>
      <c r="O555" s="160"/>
      <c r="P555" s="160"/>
      <c r="Q555" s="160"/>
      <c r="R555" s="160"/>
      <c r="S555" s="160"/>
      <c r="T555" s="207"/>
      <c r="U555" s="160"/>
      <c r="V555" s="160"/>
      <c r="W555" s="160"/>
      <c r="X555" s="160"/>
      <c r="Y555" s="160"/>
      <c r="Z555" s="160"/>
      <c r="AA555" s="160"/>
      <c r="AB555" s="160"/>
      <c r="AC555" s="160"/>
      <c r="AD555" s="160"/>
      <c r="AE555" s="160"/>
      <c r="AF555" s="160"/>
      <c r="AG555" s="160"/>
      <c r="AH555" s="160"/>
      <c r="AI555" s="160"/>
      <c r="AJ555" s="160"/>
      <c r="AK555" s="160"/>
      <c r="AL555" s="160"/>
      <c r="AM555" s="160"/>
      <c r="AN555" s="164"/>
      <c r="AO555" s="160"/>
      <c r="AP555" s="160"/>
      <c r="AQ555" s="160"/>
      <c r="AR555" s="160"/>
      <c r="AS555" s="160"/>
      <c r="AT555" s="160"/>
      <c r="AU555" s="160"/>
      <c r="AV555" s="160"/>
      <c r="AW555" s="160"/>
      <c r="AX555" s="160"/>
      <c r="AY555" s="160"/>
      <c r="AZ555" s="160"/>
      <c r="BA555" s="160"/>
      <c r="BB555" s="160"/>
      <c r="BC555" s="160"/>
      <c r="BD555" s="160"/>
      <c r="BE555" s="160"/>
      <c r="BF555" s="160"/>
      <c r="BG555" s="160"/>
      <c r="BH555" s="160"/>
      <c r="BI555" s="160"/>
      <c r="BJ555" s="160"/>
      <c r="BK555" s="160"/>
      <c r="BL555" s="160"/>
      <c r="BM555" s="160"/>
      <c r="BN555" s="160"/>
      <c r="BO555" s="160"/>
      <c r="BP555" s="160"/>
      <c r="BQ555" s="160"/>
      <c r="BR555" s="160"/>
      <c r="BS555" s="160"/>
      <c r="BT555" s="160"/>
      <c r="BU555" s="160"/>
      <c r="BV555" s="160"/>
      <c r="BW555" s="160"/>
      <c r="BX555" s="160"/>
      <c r="BY555" s="160"/>
      <c r="BZ555" s="160"/>
      <c r="CA555" s="160"/>
      <c r="CB555" s="160"/>
      <c r="CC555" s="160"/>
      <c r="CD555" s="160"/>
      <c r="CE555" s="160"/>
      <c r="CF555" s="160"/>
      <c r="CG555" s="160"/>
      <c r="CH555" s="160"/>
      <c r="CI555" s="160"/>
      <c r="CJ555" s="160"/>
      <c r="CK555" s="160"/>
      <c r="CL555" s="160"/>
    </row>
    <row r="556">
      <c r="A556" s="171"/>
      <c r="F556" s="11"/>
      <c r="G556" s="11"/>
      <c r="L556" s="171"/>
      <c r="M556" s="171"/>
      <c r="O556" s="160"/>
      <c r="P556" s="160"/>
      <c r="Q556" s="160"/>
      <c r="R556" s="160"/>
      <c r="S556" s="160"/>
      <c r="T556" s="207"/>
      <c r="U556" s="160"/>
      <c r="V556" s="160"/>
      <c r="W556" s="160"/>
      <c r="X556" s="160"/>
      <c r="Y556" s="160"/>
      <c r="Z556" s="160"/>
      <c r="AA556" s="160"/>
      <c r="AB556" s="160"/>
      <c r="AC556" s="160"/>
      <c r="AD556" s="160"/>
      <c r="AE556" s="160"/>
      <c r="AF556" s="160"/>
      <c r="AG556" s="160"/>
      <c r="AH556" s="160"/>
      <c r="AI556" s="160"/>
      <c r="AJ556" s="160"/>
      <c r="AK556" s="160"/>
      <c r="AL556" s="160"/>
      <c r="AM556" s="160"/>
      <c r="AN556" s="164"/>
      <c r="AO556" s="160"/>
      <c r="AP556" s="160"/>
      <c r="AQ556" s="160"/>
      <c r="AR556" s="160"/>
      <c r="AS556" s="160"/>
      <c r="AT556" s="160"/>
      <c r="AU556" s="160"/>
      <c r="AV556" s="160"/>
      <c r="AW556" s="160"/>
      <c r="AX556" s="160"/>
      <c r="AY556" s="160"/>
      <c r="AZ556" s="160"/>
      <c r="BA556" s="160"/>
      <c r="BB556" s="160"/>
      <c r="BC556" s="160"/>
      <c r="BD556" s="160"/>
      <c r="BE556" s="160"/>
      <c r="BF556" s="160"/>
      <c r="BG556" s="160"/>
      <c r="BH556" s="160"/>
      <c r="BI556" s="160"/>
      <c r="BJ556" s="160"/>
      <c r="BK556" s="160"/>
      <c r="BL556" s="160"/>
      <c r="BM556" s="160"/>
      <c r="BN556" s="160"/>
      <c r="BO556" s="160"/>
      <c r="BP556" s="160"/>
      <c r="BQ556" s="160"/>
      <c r="BR556" s="160"/>
      <c r="BS556" s="160"/>
      <c r="BT556" s="160"/>
      <c r="BU556" s="160"/>
      <c r="BV556" s="160"/>
      <c r="BW556" s="160"/>
      <c r="BX556" s="160"/>
      <c r="BY556" s="160"/>
      <c r="BZ556" s="160"/>
      <c r="CA556" s="160"/>
      <c r="CB556" s="160"/>
      <c r="CC556" s="160"/>
      <c r="CD556" s="160"/>
      <c r="CE556" s="160"/>
      <c r="CF556" s="160"/>
      <c r="CG556" s="160"/>
      <c r="CH556" s="160"/>
      <c r="CI556" s="160"/>
      <c r="CJ556" s="160"/>
      <c r="CK556" s="160"/>
      <c r="CL556" s="160"/>
    </row>
    <row r="557">
      <c r="A557" s="171"/>
      <c r="F557" s="11"/>
      <c r="G557" s="11"/>
      <c r="L557" s="171"/>
      <c r="M557" s="171"/>
      <c r="O557" s="160"/>
      <c r="P557" s="160"/>
      <c r="Q557" s="160"/>
      <c r="R557" s="160"/>
      <c r="S557" s="160"/>
      <c r="T557" s="207"/>
      <c r="U557" s="160"/>
      <c r="V557" s="160"/>
      <c r="W557" s="160"/>
      <c r="X557" s="160"/>
      <c r="Y557" s="160"/>
      <c r="Z557" s="160"/>
      <c r="AA557" s="160"/>
      <c r="AB557" s="160"/>
      <c r="AC557" s="160"/>
      <c r="AD557" s="160"/>
      <c r="AE557" s="160"/>
      <c r="AF557" s="160"/>
      <c r="AG557" s="160"/>
      <c r="AH557" s="160"/>
      <c r="AI557" s="160"/>
      <c r="AJ557" s="160"/>
      <c r="AK557" s="160"/>
      <c r="AL557" s="160"/>
      <c r="AM557" s="160"/>
      <c r="AN557" s="164"/>
      <c r="AO557" s="160"/>
      <c r="AP557" s="160"/>
      <c r="AQ557" s="160"/>
      <c r="AR557" s="160"/>
      <c r="AS557" s="160"/>
      <c r="AT557" s="160"/>
      <c r="AU557" s="160"/>
      <c r="AV557" s="160"/>
      <c r="AW557" s="160"/>
      <c r="AX557" s="160"/>
      <c r="AY557" s="160"/>
      <c r="AZ557" s="160"/>
      <c r="BA557" s="160"/>
      <c r="BB557" s="160"/>
      <c r="BC557" s="160"/>
      <c r="BD557" s="160"/>
      <c r="BE557" s="160"/>
      <c r="BF557" s="160"/>
      <c r="BG557" s="160"/>
      <c r="BH557" s="160"/>
      <c r="BI557" s="160"/>
      <c r="BJ557" s="160"/>
      <c r="BK557" s="160"/>
      <c r="BL557" s="160"/>
      <c r="BM557" s="160"/>
      <c r="BN557" s="160"/>
      <c r="BO557" s="160"/>
      <c r="BP557" s="160"/>
      <c r="BQ557" s="160"/>
      <c r="BR557" s="160"/>
      <c r="BS557" s="160"/>
      <c r="BT557" s="160"/>
      <c r="BU557" s="160"/>
      <c r="BV557" s="160"/>
      <c r="BW557" s="160"/>
      <c r="BX557" s="160"/>
      <c r="BY557" s="160"/>
      <c r="BZ557" s="160"/>
      <c r="CA557" s="160"/>
      <c r="CB557" s="160"/>
      <c r="CC557" s="160"/>
      <c r="CD557" s="160"/>
      <c r="CE557" s="160"/>
      <c r="CF557" s="160"/>
      <c r="CG557" s="160"/>
      <c r="CH557" s="160"/>
      <c r="CI557" s="160"/>
      <c r="CJ557" s="160"/>
      <c r="CK557" s="160"/>
      <c r="CL557" s="160"/>
    </row>
    <row r="558">
      <c r="A558" s="171"/>
      <c r="F558" s="11"/>
      <c r="G558" s="11"/>
      <c r="L558" s="171"/>
      <c r="M558" s="171"/>
      <c r="O558" s="160"/>
      <c r="P558" s="160"/>
      <c r="Q558" s="160"/>
      <c r="R558" s="160"/>
      <c r="S558" s="160"/>
      <c r="T558" s="207"/>
      <c r="U558" s="160"/>
      <c r="V558" s="160"/>
      <c r="W558" s="160"/>
      <c r="X558" s="160"/>
      <c r="Y558" s="160"/>
      <c r="Z558" s="160"/>
      <c r="AA558" s="160"/>
      <c r="AB558" s="160"/>
      <c r="AC558" s="160"/>
      <c r="AD558" s="160"/>
      <c r="AE558" s="160"/>
      <c r="AF558" s="160"/>
      <c r="AG558" s="160"/>
      <c r="AH558" s="160"/>
      <c r="AI558" s="160"/>
      <c r="AJ558" s="160"/>
      <c r="AK558" s="160"/>
      <c r="AL558" s="160"/>
      <c r="AM558" s="160"/>
      <c r="AN558" s="164"/>
      <c r="AO558" s="160"/>
      <c r="AP558" s="160"/>
      <c r="AQ558" s="160"/>
      <c r="AR558" s="160"/>
      <c r="AS558" s="160"/>
      <c r="AT558" s="160"/>
      <c r="AU558" s="160"/>
      <c r="AV558" s="160"/>
      <c r="AW558" s="160"/>
      <c r="AX558" s="160"/>
      <c r="AY558" s="160"/>
      <c r="AZ558" s="160"/>
      <c r="BA558" s="160"/>
      <c r="BB558" s="160"/>
      <c r="BC558" s="160"/>
      <c r="BD558" s="160"/>
      <c r="BE558" s="160"/>
      <c r="BF558" s="160"/>
      <c r="BG558" s="160"/>
      <c r="BH558" s="160"/>
      <c r="BI558" s="160"/>
      <c r="BJ558" s="160"/>
      <c r="BK558" s="160"/>
      <c r="BL558" s="160"/>
      <c r="BM558" s="160"/>
      <c r="BN558" s="160"/>
      <c r="BO558" s="160"/>
      <c r="BP558" s="160"/>
      <c r="BQ558" s="160"/>
      <c r="BR558" s="160"/>
      <c r="BS558" s="160"/>
      <c r="BT558" s="160"/>
      <c r="BU558" s="160"/>
      <c r="BV558" s="160"/>
      <c r="BW558" s="160"/>
      <c r="BX558" s="160"/>
      <c r="BY558" s="160"/>
      <c r="BZ558" s="160"/>
      <c r="CA558" s="160"/>
      <c r="CB558" s="160"/>
      <c r="CC558" s="160"/>
      <c r="CD558" s="160"/>
      <c r="CE558" s="160"/>
      <c r="CF558" s="160"/>
      <c r="CG558" s="160"/>
      <c r="CH558" s="160"/>
      <c r="CI558" s="160"/>
      <c r="CJ558" s="160"/>
      <c r="CK558" s="160"/>
      <c r="CL558" s="160"/>
    </row>
    <row r="559">
      <c r="A559" s="171"/>
      <c r="F559" s="11"/>
      <c r="G559" s="11"/>
      <c r="L559" s="171"/>
      <c r="M559" s="171"/>
      <c r="O559" s="160"/>
      <c r="P559" s="160"/>
      <c r="Q559" s="160"/>
      <c r="R559" s="160"/>
      <c r="S559" s="160"/>
      <c r="T559" s="207"/>
      <c r="U559" s="160"/>
      <c r="V559" s="160"/>
      <c r="W559" s="160"/>
      <c r="X559" s="160"/>
      <c r="Y559" s="160"/>
      <c r="Z559" s="160"/>
      <c r="AA559" s="160"/>
      <c r="AB559" s="160"/>
      <c r="AC559" s="160"/>
      <c r="AD559" s="160"/>
      <c r="AE559" s="160"/>
      <c r="AF559" s="160"/>
      <c r="AG559" s="160"/>
      <c r="AH559" s="160"/>
      <c r="AI559" s="160"/>
      <c r="AJ559" s="160"/>
      <c r="AK559" s="160"/>
      <c r="AL559" s="160"/>
      <c r="AM559" s="160"/>
      <c r="AN559" s="164"/>
      <c r="AO559" s="160"/>
      <c r="AP559" s="160"/>
      <c r="AQ559" s="160"/>
      <c r="AR559" s="160"/>
      <c r="AS559" s="160"/>
      <c r="AT559" s="160"/>
      <c r="AU559" s="160"/>
      <c r="AV559" s="160"/>
      <c r="AW559" s="160"/>
      <c r="AX559" s="160"/>
      <c r="AY559" s="160"/>
      <c r="AZ559" s="160"/>
      <c r="BA559" s="160"/>
      <c r="BB559" s="160"/>
      <c r="BC559" s="160"/>
      <c r="BD559" s="160"/>
      <c r="BE559" s="160"/>
      <c r="BF559" s="160"/>
      <c r="BG559" s="160"/>
      <c r="BH559" s="160"/>
      <c r="BI559" s="160"/>
      <c r="BJ559" s="160"/>
      <c r="BK559" s="160"/>
      <c r="BL559" s="160"/>
      <c r="BM559" s="160"/>
      <c r="BN559" s="160"/>
      <c r="BO559" s="160"/>
      <c r="BP559" s="160"/>
      <c r="BQ559" s="160"/>
      <c r="BR559" s="160"/>
      <c r="BS559" s="160"/>
      <c r="BT559" s="160"/>
      <c r="BU559" s="160"/>
      <c r="BV559" s="160"/>
      <c r="BW559" s="160"/>
      <c r="BX559" s="160"/>
      <c r="BY559" s="160"/>
      <c r="BZ559" s="160"/>
      <c r="CA559" s="160"/>
      <c r="CB559" s="160"/>
      <c r="CC559" s="160"/>
      <c r="CD559" s="160"/>
      <c r="CE559" s="160"/>
      <c r="CF559" s="160"/>
      <c r="CG559" s="160"/>
      <c r="CH559" s="160"/>
      <c r="CI559" s="160"/>
      <c r="CJ559" s="160"/>
      <c r="CK559" s="160"/>
      <c r="CL559" s="160"/>
    </row>
    <row r="560">
      <c r="A560" s="171"/>
      <c r="F560" s="11"/>
      <c r="G560" s="11"/>
      <c r="L560" s="171"/>
      <c r="M560" s="171"/>
      <c r="O560" s="160"/>
      <c r="P560" s="160"/>
      <c r="Q560" s="160"/>
      <c r="R560" s="160"/>
      <c r="S560" s="160"/>
      <c r="T560" s="207"/>
      <c r="U560" s="160"/>
      <c r="V560" s="160"/>
      <c r="W560" s="160"/>
      <c r="X560" s="160"/>
      <c r="Y560" s="160"/>
      <c r="Z560" s="160"/>
      <c r="AA560" s="160"/>
      <c r="AB560" s="160"/>
      <c r="AC560" s="160"/>
      <c r="AD560" s="160"/>
      <c r="AE560" s="160"/>
      <c r="AF560" s="160"/>
      <c r="AG560" s="160"/>
      <c r="AH560" s="160"/>
      <c r="AI560" s="160"/>
      <c r="AJ560" s="160"/>
      <c r="AK560" s="160"/>
      <c r="AL560" s="160"/>
      <c r="AM560" s="160"/>
      <c r="AN560" s="164"/>
      <c r="AO560" s="160"/>
      <c r="AP560" s="160"/>
      <c r="AQ560" s="160"/>
      <c r="AR560" s="160"/>
      <c r="AS560" s="160"/>
      <c r="AT560" s="160"/>
      <c r="AU560" s="160"/>
      <c r="AV560" s="160"/>
      <c r="AW560" s="160"/>
      <c r="AX560" s="160"/>
      <c r="AY560" s="160"/>
      <c r="AZ560" s="160"/>
      <c r="BA560" s="160"/>
      <c r="BB560" s="160"/>
      <c r="BC560" s="160"/>
      <c r="BD560" s="160"/>
      <c r="BE560" s="160"/>
      <c r="BF560" s="160"/>
      <c r="BG560" s="160"/>
      <c r="BH560" s="160"/>
      <c r="BI560" s="160"/>
      <c r="BJ560" s="160"/>
      <c r="BK560" s="160"/>
      <c r="BL560" s="160"/>
      <c r="BM560" s="160"/>
      <c r="BN560" s="160"/>
      <c r="BO560" s="160"/>
      <c r="BP560" s="160"/>
      <c r="BQ560" s="160"/>
      <c r="BR560" s="160"/>
      <c r="BS560" s="160"/>
      <c r="BT560" s="160"/>
      <c r="BU560" s="160"/>
      <c r="BV560" s="160"/>
      <c r="BW560" s="160"/>
      <c r="BX560" s="160"/>
      <c r="BY560" s="160"/>
      <c r="BZ560" s="160"/>
      <c r="CA560" s="160"/>
      <c r="CB560" s="160"/>
      <c r="CC560" s="160"/>
      <c r="CD560" s="160"/>
      <c r="CE560" s="160"/>
      <c r="CF560" s="160"/>
      <c r="CG560" s="160"/>
      <c r="CH560" s="160"/>
      <c r="CI560" s="160"/>
      <c r="CJ560" s="160"/>
      <c r="CK560" s="160"/>
      <c r="CL560" s="160"/>
    </row>
    <row r="561">
      <c r="A561" s="171"/>
      <c r="F561" s="11"/>
      <c r="G561" s="11"/>
      <c r="L561" s="171"/>
      <c r="M561" s="171"/>
      <c r="O561" s="160"/>
      <c r="P561" s="160"/>
      <c r="Q561" s="160"/>
      <c r="R561" s="160"/>
      <c r="S561" s="160"/>
      <c r="T561" s="207"/>
      <c r="U561" s="160"/>
      <c r="V561" s="160"/>
      <c r="W561" s="160"/>
      <c r="X561" s="160"/>
      <c r="Y561" s="160"/>
      <c r="Z561" s="160"/>
      <c r="AA561" s="160"/>
      <c r="AB561" s="160"/>
      <c r="AC561" s="160"/>
      <c r="AD561" s="160"/>
      <c r="AE561" s="160"/>
      <c r="AF561" s="160"/>
      <c r="AG561" s="160"/>
      <c r="AH561" s="160"/>
      <c r="AI561" s="160"/>
      <c r="AJ561" s="160"/>
      <c r="AK561" s="160"/>
      <c r="AL561" s="160"/>
      <c r="AM561" s="160"/>
      <c r="AN561" s="164"/>
      <c r="AO561" s="160"/>
      <c r="AP561" s="160"/>
      <c r="AQ561" s="160"/>
      <c r="AR561" s="160"/>
      <c r="AS561" s="160"/>
      <c r="AT561" s="160"/>
      <c r="AU561" s="160"/>
      <c r="AV561" s="160"/>
      <c r="AW561" s="160"/>
      <c r="AX561" s="160"/>
      <c r="AY561" s="160"/>
      <c r="AZ561" s="160"/>
      <c r="BA561" s="160"/>
      <c r="BB561" s="160"/>
      <c r="BC561" s="160"/>
      <c r="BD561" s="160"/>
      <c r="BE561" s="160"/>
      <c r="BF561" s="160"/>
      <c r="BG561" s="160"/>
      <c r="BH561" s="160"/>
      <c r="BI561" s="160"/>
      <c r="BJ561" s="160"/>
      <c r="BK561" s="160"/>
      <c r="BL561" s="160"/>
      <c r="BM561" s="160"/>
      <c r="BN561" s="160"/>
      <c r="BO561" s="160"/>
      <c r="BP561" s="160"/>
      <c r="BQ561" s="160"/>
      <c r="BR561" s="160"/>
      <c r="BS561" s="160"/>
      <c r="BT561" s="160"/>
      <c r="BU561" s="160"/>
      <c r="BV561" s="160"/>
      <c r="BW561" s="160"/>
      <c r="BX561" s="160"/>
      <c r="BY561" s="160"/>
      <c r="BZ561" s="160"/>
      <c r="CA561" s="160"/>
      <c r="CB561" s="160"/>
      <c r="CC561" s="160"/>
      <c r="CD561" s="160"/>
      <c r="CE561" s="160"/>
      <c r="CF561" s="160"/>
      <c r="CG561" s="160"/>
      <c r="CH561" s="160"/>
      <c r="CI561" s="160"/>
      <c r="CJ561" s="160"/>
      <c r="CK561" s="160"/>
      <c r="CL561" s="160"/>
    </row>
    <row r="562">
      <c r="A562" s="171"/>
      <c r="F562" s="11"/>
      <c r="G562" s="11"/>
      <c r="L562" s="171"/>
      <c r="M562" s="171"/>
      <c r="O562" s="160"/>
      <c r="P562" s="160"/>
      <c r="Q562" s="160"/>
      <c r="R562" s="160"/>
      <c r="S562" s="160"/>
      <c r="T562" s="207"/>
      <c r="U562" s="160"/>
      <c r="V562" s="160"/>
      <c r="W562" s="160"/>
      <c r="X562" s="160"/>
      <c r="Y562" s="160"/>
      <c r="Z562" s="160"/>
      <c r="AA562" s="160"/>
      <c r="AB562" s="160"/>
      <c r="AC562" s="160"/>
      <c r="AD562" s="160"/>
      <c r="AE562" s="160"/>
      <c r="AF562" s="160"/>
      <c r="AG562" s="160"/>
      <c r="AH562" s="160"/>
      <c r="AI562" s="160"/>
      <c r="AJ562" s="160"/>
      <c r="AK562" s="160"/>
      <c r="AL562" s="160"/>
      <c r="AM562" s="160"/>
      <c r="AN562" s="164"/>
      <c r="AO562" s="160"/>
      <c r="AP562" s="160"/>
      <c r="AQ562" s="160"/>
      <c r="AR562" s="160"/>
      <c r="AS562" s="160"/>
      <c r="AT562" s="160"/>
      <c r="AU562" s="160"/>
      <c r="AV562" s="160"/>
      <c r="AW562" s="160"/>
      <c r="AX562" s="160"/>
      <c r="AY562" s="160"/>
      <c r="AZ562" s="160"/>
      <c r="BA562" s="160"/>
      <c r="BB562" s="160"/>
      <c r="BC562" s="160"/>
      <c r="BD562" s="160"/>
      <c r="BE562" s="160"/>
      <c r="BF562" s="160"/>
      <c r="BG562" s="160"/>
      <c r="BH562" s="160"/>
      <c r="BI562" s="160"/>
      <c r="BJ562" s="160"/>
      <c r="BK562" s="160"/>
      <c r="BL562" s="160"/>
      <c r="BM562" s="160"/>
      <c r="BN562" s="160"/>
      <c r="BO562" s="160"/>
      <c r="BP562" s="160"/>
      <c r="BQ562" s="160"/>
      <c r="BR562" s="160"/>
      <c r="BS562" s="160"/>
      <c r="BT562" s="160"/>
      <c r="BU562" s="160"/>
      <c r="BV562" s="160"/>
      <c r="BW562" s="160"/>
      <c r="BX562" s="160"/>
      <c r="BY562" s="160"/>
      <c r="BZ562" s="160"/>
      <c r="CA562" s="160"/>
      <c r="CB562" s="160"/>
      <c r="CC562" s="160"/>
      <c r="CD562" s="160"/>
      <c r="CE562" s="160"/>
      <c r="CF562" s="160"/>
      <c r="CG562" s="160"/>
      <c r="CH562" s="160"/>
      <c r="CI562" s="160"/>
      <c r="CJ562" s="160"/>
      <c r="CK562" s="160"/>
      <c r="CL562" s="160"/>
    </row>
    <row r="563">
      <c r="A563" s="171"/>
      <c r="F563" s="11"/>
      <c r="G563" s="11"/>
      <c r="L563" s="171"/>
      <c r="M563" s="171"/>
      <c r="O563" s="160"/>
      <c r="P563" s="160"/>
      <c r="Q563" s="160"/>
      <c r="R563" s="160"/>
      <c r="S563" s="160"/>
      <c r="T563" s="207"/>
      <c r="U563" s="160"/>
      <c r="V563" s="160"/>
      <c r="W563" s="160"/>
      <c r="X563" s="160"/>
      <c r="Y563" s="160"/>
      <c r="Z563" s="160"/>
      <c r="AA563" s="160"/>
      <c r="AB563" s="160"/>
      <c r="AC563" s="160"/>
      <c r="AD563" s="160"/>
      <c r="AE563" s="160"/>
      <c r="AF563" s="160"/>
      <c r="AG563" s="160"/>
      <c r="AH563" s="160"/>
      <c r="AI563" s="160"/>
      <c r="AJ563" s="160"/>
      <c r="AK563" s="160"/>
      <c r="AL563" s="160"/>
      <c r="AM563" s="160"/>
      <c r="AN563" s="164"/>
      <c r="AO563" s="160"/>
      <c r="AP563" s="160"/>
      <c r="AQ563" s="160"/>
      <c r="AR563" s="160"/>
      <c r="AS563" s="160"/>
      <c r="AT563" s="160"/>
      <c r="AU563" s="160"/>
      <c r="AV563" s="160"/>
      <c r="AW563" s="160"/>
      <c r="AX563" s="160"/>
      <c r="AY563" s="160"/>
      <c r="AZ563" s="160"/>
      <c r="BA563" s="160"/>
      <c r="BB563" s="160"/>
      <c r="BC563" s="160"/>
      <c r="BD563" s="160"/>
      <c r="BE563" s="160"/>
      <c r="BF563" s="160"/>
      <c r="BG563" s="160"/>
      <c r="BH563" s="160"/>
      <c r="BI563" s="160"/>
      <c r="BJ563" s="160"/>
      <c r="BK563" s="160"/>
      <c r="BL563" s="160"/>
      <c r="BM563" s="160"/>
      <c r="BN563" s="160"/>
      <c r="BO563" s="160"/>
      <c r="BP563" s="160"/>
      <c r="BQ563" s="160"/>
      <c r="BR563" s="160"/>
      <c r="BS563" s="160"/>
      <c r="BT563" s="160"/>
      <c r="BU563" s="160"/>
      <c r="BV563" s="160"/>
      <c r="BW563" s="160"/>
      <c r="BX563" s="160"/>
      <c r="BY563" s="160"/>
      <c r="BZ563" s="160"/>
      <c r="CA563" s="160"/>
      <c r="CB563" s="160"/>
      <c r="CC563" s="160"/>
      <c r="CD563" s="160"/>
      <c r="CE563" s="160"/>
      <c r="CF563" s="160"/>
      <c r="CG563" s="160"/>
      <c r="CH563" s="160"/>
      <c r="CI563" s="160"/>
      <c r="CJ563" s="160"/>
      <c r="CK563" s="160"/>
      <c r="CL563" s="160"/>
    </row>
    <row r="564">
      <c r="A564" s="171"/>
      <c r="F564" s="11"/>
      <c r="G564" s="11"/>
      <c r="L564" s="171"/>
      <c r="M564" s="171"/>
      <c r="O564" s="160"/>
      <c r="P564" s="160"/>
      <c r="Q564" s="160"/>
      <c r="R564" s="160"/>
      <c r="S564" s="160"/>
      <c r="T564" s="207"/>
      <c r="U564" s="160"/>
      <c r="V564" s="160"/>
      <c r="W564" s="160"/>
      <c r="X564" s="160"/>
      <c r="Y564" s="160"/>
      <c r="Z564" s="160"/>
      <c r="AA564" s="160"/>
      <c r="AB564" s="160"/>
      <c r="AC564" s="160"/>
      <c r="AD564" s="160"/>
      <c r="AE564" s="160"/>
      <c r="AF564" s="160"/>
      <c r="AG564" s="160"/>
      <c r="AH564" s="160"/>
      <c r="AI564" s="160"/>
      <c r="AJ564" s="160"/>
      <c r="AK564" s="160"/>
      <c r="AL564" s="160"/>
      <c r="AM564" s="160"/>
      <c r="AN564" s="164"/>
      <c r="AO564" s="160"/>
      <c r="AP564" s="160"/>
      <c r="AQ564" s="160"/>
      <c r="AR564" s="160"/>
      <c r="AS564" s="160"/>
      <c r="AT564" s="160"/>
      <c r="AU564" s="160"/>
      <c r="AV564" s="160"/>
      <c r="AW564" s="160"/>
      <c r="AX564" s="160"/>
      <c r="AY564" s="160"/>
      <c r="AZ564" s="160"/>
      <c r="BA564" s="160"/>
      <c r="BB564" s="160"/>
      <c r="BC564" s="160"/>
      <c r="BD564" s="160"/>
      <c r="BE564" s="160"/>
      <c r="BF564" s="160"/>
      <c r="BG564" s="160"/>
      <c r="BH564" s="160"/>
      <c r="BI564" s="160"/>
      <c r="BJ564" s="160"/>
      <c r="BK564" s="160"/>
      <c r="BL564" s="160"/>
      <c r="BM564" s="160"/>
      <c r="BN564" s="160"/>
      <c r="BO564" s="160"/>
      <c r="BP564" s="160"/>
      <c r="BQ564" s="160"/>
      <c r="BR564" s="160"/>
      <c r="BS564" s="160"/>
      <c r="BT564" s="160"/>
      <c r="BU564" s="160"/>
      <c r="BV564" s="160"/>
      <c r="BW564" s="160"/>
      <c r="BX564" s="160"/>
      <c r="BY564" s="160"/>
      <c r="BZ564" s="160"/>
      <c r="CA564" s="160"/>
      <c r="CB564" s="160"/>
      <c r="CC564" s="160"/>
      <c r="CD564" s="160"/>
      <c r="CE564" s="160"/>
      <c r="CF564" s="160"/>
      <c r="CG564" s="160"/>
      <c r="CH564" s="160"/>
      <c r="CI564" s="160"/>
      <c r="CJ564" s="160"/>
      <c r="CK564" s="160"/>
      <c r="CL564" s="160"/>
    </row>
    <row r="565">
      <c r="A565" s="171"/>
      <c r="F565" s="11"/>
      <c r="G565" s="11"/>
      <c r="L565" s="171"/>
      <c r="M565" s="171"/>
      <c r="O565" s="160"/>
      <c r="P565" s="160"/>
      <c r="Q565" s="160"/>
      <c r="R565" s="160"/>
      <c r="S565" s="160"/>
      <c r="T565" s="207"/>
      <c r="U565" s="160"/>
      <c r="V565" s="160"/>
      <c r="W565" s="160"/>
      <c r="X565" s="160"/>
      <c r="Y565" s="160"/>
      <c r="Z565" s="160"/>
      <c r="AA565" s="160"/>
      <c r="AB565" s="160"/>
      <c r="AC565" s="160"/>
      <c r="AD565" s="160"/>
      <c r="AE565" s="160"/>
      <c r="AF565" s="160"/>
      <c r="AG565" s="160"/>
      <c r="AH565" s="160"/>
      <c r="AI565" s="160"/>
      <c r="AJ565" s="160"/>
      <c r="AK565" s="160"/>
      <c r="AL565" s="160"/>
      <c r="AM565" s="160"/>
      <c r="AN565" s="164"/>
      <c r="AO565" s="160"/>
      <c r="AP565" s="160"/>
      <c r="AQ565" s="160"/>
      <c r="AR565" s="160"/>
      <c r="AS565" s="160"/>
      <c r="AT565" s="160"/>
      <c r="AU565" s="160"/>
      <c r="AV565" s="160"/>
      <c r="AW565" s="160"/>
      <c r="AX565" s="160"/>
      <c r="AY565" s="160"/>
      <c r="AZ565" s="160"/>
      <c r="BA565" s="160"/>
      <c r="BB565" s="160"/>
      <c r="BC565" s="160"/>
      <c r="BD565" s="160"/>
      <c r="BE565" s="160"/>
      <c r="BF565" s="160"/>
      <c r="BG565" s="160"/>
      <c r="BH565" s="160"/>
      <c r="BI565" s="160"/>
      <c r="BJ565" s="160"/>
      <c r="BK565" s="160"/>
      <c r="BL565" s="160"/>
      <c r="BM565" s="160"/>
      <c r="BN565" s="160"/>
      <c r="BO565" s="160"/>
      <c r="BP565" s="160"/>
      <c r="BQ565" s="160"/>
      <c r="BR565" s="160"/>
      <c r="BS565" s="160"/>
      <c r="BT565" s="160"/>
      <c r="BU565" s="160"/>
      <c r="BV565" s="160"/>
      <c r="BW565" s="160"/>
      <c r="BX565" s="160"/>
      <c r="BY565" s="160"/>
      <c r="BZ565" s="160"/>
      <c r="CA565" s="160"/>
      <c r="CB565" s="160"/>
      <c r="CC565" s="160"/>
      <c r="CD565" s="160"/>
      <c r="CE565" s="160"/>
      <c r="CF565" s="160"/>
      <c r="CG565" s="160"/>
      <c r="CH565" s="160"/>
      <c r="CI565" s="160"/>
      <c r="CJ565" s="160"/>
      <c r="CK565" s="160"/>
      <c r="CL565" s="160"/>
    </row>
    <row r="566">
      <c r="A566" s="171"/>
      <c r="F566" s="11"/>
      <c r="G566" s="11"/>
      <c r="L566" s="171"/>
      <c r="M566" s="171"/>
      <c r="O566" s="160"/>
      <c r="P566" s="160"/>
      <c r="Q566" s="160"/>
      <c r="R566" s="160"/>
      <c r="S566" s="160"/>
      <c r="T566" s="207"/>
      <c r="U566" s="160"/>
      <c r="V566" s="160"/>
      <c r="W566" s="160"/>
      <c r="X566" s="160"/>
      <c r="Y566" s="160"/>
      <c r="Z566" s="160"/>
      <c r="AA566" s="160"/>
      <c r="AB566" s="160"/>
      <c r="AC566" s="160"/>
      <c r="AD566" s="160"/>
      <c r="AE566" s="160"/>
      <c r="AF566" s="160"/>
      <c r="AG566" s="160"/>
      <c r="AH566" s="160"/>
      <c r="AI566" s="160"/>
      <c r="AJ566" s="160"/>
      <c r="AK566" s="160"/>
      <c r="AL566" s="160"/>
      <c r="AM566" s="160"/>
      <c r="AN566" s="164"/>
      <c r="AO566" s="160"/>
      <c r="AP566" s="160"/>
      <c r="AQ566" s="160"/>
      <c r="AR566" s="160"/>
      <c r="AS566" s="160"/>
      <c r="AT566" s="160"/>
      <c r="AU566" s="160"/>
      <c r="AV566" s="160"/>
      <c r="AW566" s="160"/>
      <c r="AX566" s="160"/>
      <c r="AY566" s="160"/>
      <c r="AZ566" s="160"/>
      <c r="BA566" s="160"/>
      <c r="BB566" s="160"/>
      <c r="BC566" s="160"/>
      <c r="BD566" s="160"/>
      <c r="BE566" s="160"/>
      <c r="BF566" s="160"/>
      <c r="BG566" s="160"/>
      <c r="BH566" s="160"/>
      <c r="BI566" s="160"/>
      <c r="BJ566" s="160"/>
      <c r="BK566" s="160"/>
      <c r="BL566" s="160"/>
      <c r="BM566" s="160"/>
      <c r="BN566" s="160"/>
      <c r="BO566" s="160"/>
      <c r="BP566" s="160"/>
      <c r="BQ566" s="160"/>
      <c r="BR566" s="160"/>
      <c r="BS566" s="160"/>
      <c r="BT566" s="160"/>
      <c r="BU566" s="160"/>
      <c r="BV566" s="160"/>
      <c r="BW566" s="160"/>
      <c r="BX566" s="160"/>
      <c r="BY566" s="160"/>
      <c r="BZ566" s="160"/>
      <c r="CA566" s="160"/>
      <c r="CB566" s="160"/>
      <c r="CC566" s="160"/>
      <c r="CD566" s="160"/>
      <c r="CE566" s="160"/>
      <c r="CF566" s="160"/>
      <c r="CG566" s="160"/>
      <c r="CH566" s="160"/>
      <c r="CI566" s="160"/>
      <c r="CJ566" s="160"/>
      <c r="CK566" s="160"/>
      <c r="CL566" s="160"/>
    </row>
    <row r="567">
      <c r="A567" s="171"/>
      <c r="F567" s="11"/>
      <c r="G567" s="11"/>
      <c r="L567" s="171"/>
      <c r="M567" s="171"/>
      <c r="O567" s="160"/>
      <c r="P567" s="160"/>
      <c r="Q567" s="160"/>
      <c r="R567" s="160"/>
      <c r="S567" s="160"/>
      <c r="T567" s="207"/>
      <c r="U567" s="160"/>
      <c r="V567" s="160"/>
      <c r="W567" s="160"/>
      <c r="X567" s="160"/>
      <c r="Y567" s="160"/>
      <c r="Z567" s="160"/>
      <c r="AA567" s="160"/>
      <c r="AB567" s="160"/>
      <c r="AC567" s="160"/>
      <c r="AD567" s="160"/>
      <c r="AE567" s="160"/>
      <c r="AF567" s="160"/>
      <c r="AG567" s="160"/>
      <c r="AH567" s="160"/>
      <c r="AI567" s="160"/>
      <c r="AJ567" s="160"/>
      <c r="AK567" s="160"/>
      <c r="AL567" s="160"/>
      <c r="AM567" s="160"/>
      <c r="AN567" s="164"/>
      <c r="AO567" s="160"/>
      <c r="AP567" s="160"/>
      <c r="AQ567" s="160"/>
      <c r="AR567" s="160"/>
      <c r="AS567" s="160"/>
      <c r="AT567" s="160"/>
      <c r="AU567" s="160"/>
      <c r="AV567" s="160"/>
      <c r="AW567" s="160"/>
      <c r="AX567" s="160"/>
      <c r="AY567" s="160"/>
      <c r="AZ567" s="160"/>
      <c r="BA567" s="160"/>
      <c r="BB567" s="160"/>
      <c r="BC567" s="160"/>
      <c r="BD567" s="160"/>
      <c r="BE567" s="160"/>
      <c r="BF567" s="160"/>
      <c r="BG567" s="160"/>
      <c r="BH567" s="160"/>
      <c r="BI567" s="160"/>
      <c r="BJ567" s="160"/>
      <c r="BK567" s="160"/>
      <c r="BL567" s="160"/>
      <c r="BM567" s="160"/>
      <c r="BN567" s="160"/>
      <c r="BO567" s="160"/>
      <c r="BP567" s="160"/>
      <c r="BQ567" s="160"/>
      <c r="BR567" s="160"/>
      <c r="BS567" s="160"/>
      <c r="BT567" s="160"/>
      <c r="BU567" s="160"/>
      <c r="BV567" s="160"/>
      <c r="BW567" s="160"/>
      <c r="BX567" s="160"/>
      <c r="BY567" s="160"/>
      <c r="BZ567" s="160"/>
      <c r="CA567" s="160"/>
      <c r="CB567" s="160"/>
      <c r="CC567" s="160"/>
      <c r="CD567" s="160"/>
      <c r="CE567" s="160"/>
      <c r="CF567" s="160"/>
      <c r="CG567" s="160"/>
      <c r="CH567" s="160"/>
      <c r="CI567" s="160"/>
      <c r="CJ567" s="160"/>
      <c r="CK567" s="160"/>
      <c r="CL567" s="160"/>
    </row>
    <row r="568">
      <c r="A568" s="171"/>
      <c r="F568" s="11"/>
      <c r="G568" s="11"/>
      <c r="L568" s="171"/>
      <c r="M568" s="171"/>
      <c r="O568" s="160"/>
      <c r="P568" s="160"/>
      <c r="Q568" s="160"/>
      <c r="R568" s="160"/>
      <c r="S568" s="160"/>
      <c r="T568" s="207"/>
      <c r="U568" s="160"/>
      <c r="V568" s="160"/>
      <c r="W568" s="160"/>
      <c r="X568" s="160"/>
      <c r="Y568" s="160"/>
      <c r="Z568" s="160"/>
      <c r="AA568" s="160"/>
      <c r="AB568" s="160"/>
      <c r="AC568" s="160"/>
      <c r="AD568" s="160"/>
      <c r="AE568" s="160"/>
      <c r="AF568" s="160"/>
      <c r="AG568" s="160"/>
      <c r="AH568" s="160"/>
      <c r="AI568" s="160"/>
      <c r="AJ568" s="160"/>
      <c r="AK568" s="160"/>
      <c r="AL568" s="160"/>
      <c r="AM568" s="160"/>
      <c r="AN568" s="164"/>
      <c r="AO568" s="160"/>
      <c r="AP568" s="160"/>
      <c r="AQ568" s="160"/>
      <c r="AR568" s="160"/>
      <c r="AS568" s="160"/>
      <c r="AT568" s="160"/>
      <c r="AU568" s="160"/>
      <c r="AV568" s="160"/>
      <c r="AW568" s="160"/>
      <c r="AX568" s="160"/>
      <c r="AY568" s="160"/>
      <c r="AZ568" s="160"/>
      <c r="BA568" s="160"/>
      <c r="BB568" s="160"/>
      <c r="BC568" s="160"/>
      <c r="BD568" s="160"/>
      <c r="BE568" s="160"/>
      <c r="BF568" s="160"/>
      <c r="BG568" s="160"/>
      <c r="BH568" s="160"/>
      <c r="BI568" s="160"/>
      <c r="BJ568" s="160"/>
      <c r="BK568" s="160"/>
      <c r="BL568" s="160"/>
      <c r="BM568" s="160"/>
      <c r="BN568" s="160"/>
      <c r="BO568" s="160"/>
      <c r="BP568" s="160"/>
      <c r="BQ568" s="160"/>
      <c r="BR568" s="160"/>
      <c r="BS568" s="160"/>
      <c r="BT568" s="160"/>
      <c r="BU568" s="160"/>
      <c r="BV568" s="160"/>
      <c r="BW568" s="160"/>
      <c r="BX568" s="160"/>
      <c r="BY568" s="160"/>
      <c r="BZ568" s="160"/>
      <c r="CA568" s="160"/>
      <c r="CB568" s="160"/>
      <c r="CC568" s="160"/>
      <c r="CD568" s="160"/>
      <c r="CE568" s="160"/>
      <c r="CF568" s="160"/>
      <c r="CG568" s="160"/>
      <c r="CH568" s="160"/>
      <c r="CI568" s="160"/>
      <c r="CJ568" s="160"/>
      <c r="CK568" s="160"/>
      <c r="CL568" s="160"/>
    </row>
    <row r="569">
      <c r="A569" s="171"/>
      <c r="F569" s="11"/>
      <c r="G569" s="11"/>
      <c r="L569" s="171"/>
      <c r="M569" s="171"/>
      <c r="O569" s="160"/>
      <c r="P569" s="160"/>
      <c r="Q569" s="160"/>
      <c r="R569" s="160"/>
      <c r="S569" s="160"/>
      <c r="T569" s="207"/>
      <c r="U569" s="160"/>
      <c r="V569" s="160"/>
      <c r="W569" s="160"/>
      <c r="X569" s="160"/>
      <c r="Y569" s="160"/>
      <c r="Z569" s="160"/>
      <c r="AA569" s="160"/>
      <c r="AB569" s="160"/>
      <c r="AC569" s="160"/>
      <c r="AD569" s="160"/>
      <c r="AE569" s="160"/>
      <c r="AF569" s="160"/>
      <c r="AG569" s="160"/>
      <c r="AH569" s="160"/>
      <c r="AI569" s="160"/>
      <c r="AJ569" s="160"/>
      <c r="AK569" s="160"/>
      <c r="AL569" s="160"/>
      <c r="AM569" s="160"/>
      <c r="AN569" s="164"/>
      <c r="AO569" s="160"/>
      <c r="AP569" s="160"/>
      <c r="AQ569" s="160"/>
      <c r="AR569" s="160"/>
      <c r="AS569" s="160"/>
      <c r="AT569" s="160"/>
      <c r="AU569" s="160"/>
      <c r="AV569" s="160"/>
      <c r="AW569" s="160"/>
      <c r="AX569" s="160"/>
      <c r="AY569" s="160"/>
      <c r="AZ569" s="160"/>
      <c r="BA569" s="160"/>
      <c r="BB569" s="160"/>
      <c r="BC569" s="160"/>
      <c r="BD569" s="160"/>
      <c r="BE569" s="160"/>
      <c r="BF569" s="160"/>
      <c r="BG569" s="160"/>
      <c r="BH569" s="160"/>
      <c r="BI569" s="160"/>
      <c r="BJ569" s="160"/>
      <c r="BK569" s="160"/>
      <c r="BL569" s="160"/>
      <c r="BM569" s="160"/>
      <c r="BN569" s="160"/>
      <c r="BO569" s="160"/>
      <c r="BP569" s="160"/>
      <c r="BQ569" s="160"/>
      <c r="BR569" s="160"/>
      <c r="BS569" s="160"/>
      <c r="BT569" s="160"/>
      <c r="BU569" s="160"/>
      <c r="BV569" s="160"/>
      <c r="BW569" s="160"/>
      <c r="BX569" s="160"/>
      <c r="BY569" s="160"/>
      <c r="BZ569" s="160"/>
      <c r="CA569" s="160"/>
      <c r="CB569" s="160"/>
      <c r="CC569" s="160"/>
      <c r="CD569" s="160"/>
      <c r="CE569" s="160"/>
      <c r="CF569" s="160"/>
      <c r="CG569" s="160"/>
      <c r="CH569" s="160"/>
      <c r="CI569" s="160"/>
      <c r="CJ569" s="160"/>
      <c r="CK569" s="160"/>
      <c r="CL569" s="160"/>
    </row>
    <row r="570">
      <c r="A570" s="171"/>
      <c r="F570" s="11"/>
      <c r="G570" s="11"/>
      <c r="L570" s="171"/>
      <c r="M570" s="171"/>
      <c r="O570" s="160"/>
      <c r="P570" s="160"/>
      <c r="Q570" s="160"/>
      <c r="R570" s="160"/>
      <c r="S570" s="160"/>
      <c r="T570" s="207"/>
      <c r="U570" s="160"/>
      <c r="V570" s="160"/>
      <c r="W570" s="160"/>
      <c r="X570" s="160"/>
      <c r="Y570" s="160"/>
      <c r="Z570" s="160"/>
      <c r="AA570" s="160"/>
      <c r="AB570" s="160"/>
      <c r="AC570" s="160"/>
      <c r="AD570" s="160"/>
      <c r="AE570" s="160"/>
      <c r="AF570" s="160"/>
      <c r="AG570" s="160"/>
      <c r="AH570" s="160"/>
      <c r="AI570" s="160"/>
      <c r="AJ570" s="160"/>
      <c r="AK570" s="160"/>
      <c r="AL570" s="160"/>
      <c r="AM570" s="160"/>
      <c r="AN570" s="164"/>
      <c r="AO570" s="160"/>
      <c r="AP570" s="160"/>
      <c r="AQ570" s="160"/>
      <c r="AR570" s="160"/>
      <c r="AS570" s="160"/>
      <c r="AT570" s="160"/>
      <c r="AU570" s="160"/>
      <c r="AV570" s="160"/>
      <c r="AW570" s="160"/>
      <c r="AX570" s="160"/>
      <c r="AY570" s="160"/>
      <c r="AZ570" s="160"/>
      <c r="BA570" s="160"/>
      <c r="BB570" s="160"/>
      <c r="BC570" s="160"/>
      <c r="BD570" s="160"/>
      <c r="BE570" s="160"/>
      <c r="BF570" s="160"/>
      <c r="BG570" s="160"/>
      <c r="BH570" s="160"/>
      <c r="BI570" s="160"/>
      <c r="BJ570" s="160"/>
      <c r="BK570" s="160"/>
      <c r="BL570" s="160"/>
      <c r="BM570" s="160"/>
      <c r="BN570" s="160"/>
      <c r="BO570" s="160"/>
      <c r="BP570" s="160"/>
      <c r="BQ570" s="160"/>
      <c r="BR570" s="160"/>
      <c r="BS570" s="160"/>
      <c r="BT570" s="160"/>
      <c r="BU570" s="160"/>
      <c r="BV570" s="160"/>
      <c r="BW570" s="160"/>
      <c r="BX570" s="160"/>
      <c r="BY570" s="160"/>
      <c r="BZ570" s="160"/>
      <c r="CA570" s="160"/>
      <c r="CB570" s="160"/>
      <c r="CC570" s="160"/>
      <c r="CD570" s="160"/>
      <c r="CE570" s="160"/>
      <c r="CF570" s="160"/>
      <c r="CG570" s="160"/>
      <c r="CH570" s="160"/>
      <c r="CI570" s="160"/>
      <c r="CJ570" s="160"/>
      <c r="CK570" s="160"/>
      <c r="CL570" s="160"/>
    </row>
    <row r="571">
      <c r="A571" s="171"/>
      <c r="F571" s="11"/>
      <c r="G571" s="11"/>
      <c r="L571" s="171"/>
      <c r="M571" s="171"/>
      <c r="O571" s="160"/>
      <c r="P571" s="160"/>
      <c r="Q571" s="160"/>
      <c r="R571" s="160"/>
      <c r="S571" s="160"/>
      <c r="T571" s="207"/>
      <c r="U571" s="160"/>
      <c r="V571" s="160"/>
      <c r="W571" s="160"/>
      <c r="X571" s="160"/>
      <c r="Y571" s="160"/>
      <c r="Z571" s="160"/>
      <c r="AA571" s="160"/>
      <c r="AB571" s="160"/>
      <c r="AC571" s="160"/>
      <c r="AD571" s="160"/>
      <c r="AE571" s="160"/>
      <c r="AF571" s="160"/>
      <c r="AG571" s="160"/>
      <c r="AH571" s="160"/>
      <c r="AI571" s="160"/>
      <c r="AJ571" s="160"/>
      <c r="AK571" s="160"/>
      <c r="AL571" s="160"/>
      <c r="AM571" s="160"/>
      <c r="AN571" s="164"/>
      <c r="AO571" s="160"/>
      <c r="AP571" s="160"/>
      <c r="AQ571" s="160"/>
      <c r="AR571" s="160"/>
      <c r="AS571" s="160"/>
      <c r="AT571" s="160"/>
      <c r="AU571" s="160"/>
      <c r="AV571" s="160"/>
      <c r="AW571" s="160"/>
      <c r="AX571" s="160"/>
      <c r="AY571" s="160"/>
      <c r="AZ571" s="160"/>
      <c r="BA571" s="160"/>
      <c r="BB571" s="160"/>
      <c r="BC571" s="160"/>
      <c r="BD571" s="160"/>
      <c r="BE571" s="160"/>
      <c r="BF571" s="160"/>
      <c r="BG571" s="160"/>
      <c r="BH571" s="160"/>
      <c r="BI571" s="160"/>
      <c r="BJ571" s="160"/>
      <c r="BK571" s="160"/>
      <c r="BL571" s="160"/>
      <c r="BM571" s="160"/>
      <c r="BN571" s="160"/>
      <c r="BO571" s="160"/>
      <c r="BP571" s="160"/>
      <c r="BQ571" s="160"/>
      <c r="BR571" s="160"/>
      <c r="BS571" s="160"/>
      <c r="BT571" s="160"/>
      <c r="BU571" s="160"/>
      <c r="BV571" s="160"/>
      <c r="BW571" s="160"/>
      <c r="BX571" s="160"/>
      <c r="BY571" s="160"/>
      <c r="BZ571" s="160"/>
      <c r="CA571" s="160"/>
      <c r="CB571" s="160"/>
      <c r="CC571" s="160"/>
      <c r="CD571" s="160"/>
      <c r="CE571" s="160"/>
      <c r="CF571" s="160"/>
      <c r="CG571" s="160"/>
      <c r="CH571" s="160"/>
      <c r="CI571" s="160"/>
      <c r="CJ571" s="160"/>
      <c r="CK571" s="160"/>
      <c r="CL571" s="160"/>
    </row>
    <row r="572">
      <c r="A572" s="171"/>
      <c r="F572" s="11"/>
      <c r="G572" s="11"/>
      <c r="L572" s="171"/>
      <c r="M572" s="171"/>
      <c r="O572" s="160"/>
      <c r="P572" s="160"/>
      <c r="Q572" s="160"/>
      <c r="R572" s="160"/>
      <c r="S572" s="160"/>
      <c r="T572" s="207"/>
      <c r="U572" s="160"/>
      <c r="V572" s="160"/>
      <c r="W572" s="160"/>
      <c r="X572" s="160"/>
      <c r="Y572" s="160"/>
      <c r="Z572" s="160"/>
      <c r="AA572" s="160"/>
      <c r="AB572" s="160"/>
      <c r="AC572" s="160"/>
      <c r="AD572" s="160"/>
      <c r="AE572" s="160"/>
      <c r="AF572" s="160"/>
      <c r="AG572" s="160"/>
      <c r="AH572" s="160"/>
      <c r="AI572" s="160"/>
      <c r="AJ572" s="160"/>
      <c r="AK572" s="160"/>
      <c r="AL572" s="160"/>
      <c r="AM572" s="160"/>
      <c r="AN572" s="164"/>
      <c r="AO572" s="160"/>
      <c r="AP572" s="160"/>
      <c r="AQ572" s="160"/>
      <c r="AR572" s="160"/>
      <c r="AS572" s="160"/>
      <c r="AT572" s="160"/>
      <c r="AU572" s="160"/>
      <c r="AV572" s="160"/>
      <c r="AW572" s="160"/>
      <c r="AX572" s="160"/>
      <c r="AY572" s="160"/>
      <c r="AZ572" s="160"/>
      <c r="BA572" s="160"/>
      <c r="BB572" s="160"/>
      <c r="BC572" s="160"/>
      <c r="BD572" s="160"/>
      <c r="BE572" s="160"/>
      <c r="BF572" s="160"/>
      <c r="BG572" s="160"/>
      <c r="BH572" s="160"/>
      <c r="BI572" s="160"/>
      <c r="BJ572" s="160"/>
      <c r="BK572" s="160"/>
      <c r="BL572" s="160"/>
      <c r="BM572" s="160"/>
      <c r="BN572" s="160"/>
      <c r="BO572" s="160"/>
      <c r="BP572" s="160"/>
      <c r="BQ572" s="160"/>
      <c r="BR572" s="160"/>
      <c r="BS572" s="160"/>
      <c r="BT572" s="160"/>
      <c r="BU572" s="160"/>
      <c r="BV572" s="160"/>
      <c r="BW572" s="160"/>
      <c r="BX572" s="160"/>
      <c r="BY572" s="160"/>
      <c r="BZ572" s="160"/>
      <c r="CA572" s="160"/>
      <c r="CB572" s="160"/>
      <c r="CC572" s="160"/>
      <c r="CD572" s="160"/>
      <c r="CE572" s="160"/>
      <c r="CF572" s="160"/>
      <c r="CG572" s="160"/>
      <c r="CH572" s="160"/>
      <c r="CI572" s="160"/>
      <c r="CJ572" s="160"/>
      <c r="CK572" s="160"/>
      <c r="CL572" s="160"/>
    </row>
    <row r="573">
      <c r="A573" s="171"/>
      <c r="F573" s="11"/>
      <c r="G573" s="11"/>
      <c r="L573" s="171"/>
      <c r="M573" s="171"/>
      <c r="O573" s="160"/>
      <c r="P573" s="160"/>
      <c r="Q573" s="160"/>
      <c r="R573" s="160"/>
      <c r="S573" s="160"/>
      <c r="T573" s="207"/>
      <c r="U573" s="160"/>
      <c r="V573" s="160"/>
      <c r="W573" s="160"/>
      <c r="X573" s="160"/>
      <c r="Y573" s="160"/>
      <c r="Z573" s="160"/>
      <c r="AA573" s="160"/>
      <c r="AB573" s="160"/>
      <c r="AC573" s="160"/>
      <c r="AD573" s="160"/>
      <c r="AE573" s="160"/>
      <c r="AF573" s="160"/>
      <c r="AG573" s="160"/>
      <c r="AH573" s="160"/>
      <c r="AI573" s="160"/>
      <c r="AJ573" s="160"/>
      <c r="AK573" s="160"/>
      <c r="AL573" s="160"/>
      <c r="AM573" s="160"/>
      <c r="AN573" s="164"/>
      <c r="AO573" s="160"/>
      <c r="AP573" s="160"/>
      <c r="AQ573" s="160"/>
      <c r="AR573" s="160"/>
      <c r="AS573" s="160"/>
      <c r="AT573" s="160"/>
      <c r="AU573" s="160"/>
      <c r="AV573" s="160"/>
      <c r="AW573" s="160"/>
      <c r="AX573" s="160"/>
      <c r="AY573" s="160"/>
      <c r="AZ573" s="160"/>
      <c r="BA573" s="160"/>
      <c r="BB573" s="160"/>
      <c r="BC573" s="160"/>
      <c r="BD573" s="160"/>
      <c r="BE573" s="160"/>
      <c r="BF573" s="160"/>
      <c r="BG573" s="160"/>
      <c r="BH573" s="160"/>
      <c r="BI573" s="160"/>
      <c r="BJ573" s="160"/>
      <c r="BK573" s="160"/>
      <c r="BL573" s="160"/>
      <c r="BM573" s="160"/>
      <c r="BN573" s="160"/>
      <c r="BO573" s="160"/>
      <c r="BP573" s="160"/>
      <c r="BQ573" s="160"/>
      <c r="BR573" s="160"/>
      <c r="BS573" s="160"/>
      <c r="BT573" s="160"/>
      <c r="BU573" s="160"/>
      <c r="BV573" s="160"/>
      <c r="BW573" s="160"/>
      <c r="BX573" s="160"/>
      <c r="BY573" s="160"/>
      <c r="BZ573" s="160"/>
      <c r="CA573" s="160"/>
      <c r="CB573" s="160"/>
      <c r="CC573" s="160"/>
      <c r="CD573" s="160"/>
      <c r="CE573" s="160"/>
      <c r="CF573" s="160"/>
      <c r="CG573" s="160"/>
      <c r="CH573" s="160"/>
      <c r="CI573" s="160"/>
      <c r="CJ573" s="160"/>
      <c r="CK573" s="160"/>
      <c r="CL573" s="160"/>
    </row>
    <row r="574">
      <c r="A574" s="171"/>
      <c r="F574" s="11"/>
      <c r="G574" s="11"/>
      <c r="L574" s="171"/>
      <c r="M574" s="171"/>
      <c r="O574" s="160"/>
      <c r="P574" s="160"/>
      <c r="Q574" s="160"/>
      <c r="R574" s="160"/>
      <c r="S574" s="160"/>
      <c r="T574" s="207"/>
      <c r="U574" s="160"/>
      <c r="V574" s="160"/>
      <c r="W574" s="160"/>
      <c r="X574" s="160"/>
      <c r="Y574" s="160"/>
      <c r="Z574" s="160"/>
      <c r="AA574" s="160"/>
      <c r="AB574" s="160"/>
      <c r="AC574" s="160"/>
      <c r="AD574" s="160"/>
      <c r="AE574" s="160"/>
      <c r="AF574" s="160"/>
      <c r="AG574" s="160"/>
      <c r="AH574" s="160"/>
      <c r="AI574" s="160"/>
      <c r="AJ574" s="160"/>
      <c r="AK574" s="160"/>
      <c r="AL574" s="160"/>
      <c r="AM574" s="160"/>
      <c r="AN574" s="164"/>
      <c r="AO574" s="160"/>
      <c r="AP574" s="160"/>
      <c r="AQ574" s="160"/>
      <c r="AR574" s="160"/>
      <c r="AS574" s="160"/>
      <c r="AT574" s="160"/>
      <c r="AU574" s="160"/>
      <c r="AV574" s="160"/>
      <c r="AW574" s="160"/>
      <c r="AX574" s="160"/>
      <c r="AY574" s="160"/>
      <c r="AZ574" s="160"/>
      <c r="BA574" s="160"/>
      <c r="BB574" s="160"/>
      <c r="BC574" s="160"/>
      <c r="BD574" s="160"/>
      <c r="BE574" s="160"/>
      <c r="BF574" s="160"/>
      <c r="BG574" s="160"/>
      <c r="BH574" s="160"/>
      <c r="BI574" s="160"/>
      <c r="BJ574" s="160"/>
      <c r="BK574" s="160"/>
      <c r="BL574" s="160"/>
      <c r="BM574" s="160"/>
      <c r="BN574" s="160"/>
      <c r="BO574" s="160"/>
      <c r="BP574" s="160"/>
      <c r="BQ574" s="160"/>
      <c r="BR574" s="160"/>
      <c r="BS574" s="160"/>
      <c r="BT574" s="160"/>
      <c r="BU574" s="160"/>
      <c r="BV574" s="160"/>
      <c r="BW574" s="160"/>
      <c r="BX574" s="160"/>
      <c r="BY574" s="160"/>
      <c r="BZ574" s="160"/>
      <c r="CA574" s="160"/>
      <c r="CB574" s="160"/>
      <c r="CC574" s="160"/>
      <c r="CD574" s="160"/>
      <c r="CE574" s="160"/>
      <c r="CF574" s="160"/>
      <c r="CG574" s="160"/>
      <c r="CH574" s="160"/>
      <c r="CI574" s="160"/>
      <c r="CJ574" s="160"/>
      <c r="CK574" s="160"/>
      <c r="CL574" s="160"/>
    </row>
    <row r="575">
      <c r="A575" s="171"/>
      <c r="F575" s="11"/>
      <c r="G575" s="11"/>
      <c r="L575" s="171"/>
      <c r="M575" s="171"/>
      <c r="O575" s="160"/>
      <c r="P575" s="160"/>
      <c r="Q575" s="160"/>
      <c r="R575" s="160"/>
      <c r="S575" s="160"/>
      <c r="T575" s="207"/>
      <c r="U575" s="160"/>
      <c r="V575" s="160"/>
      <c r="W575" s="160"/>
      <c r="X575" s="160"/>
      <c r="Y575" s="160"/>
      <c r="Z575" s="160"/>
      <c r="AA575" s="160"/>
      <c r="AB575" s="160"/>
      <c r="AC575" s="160"/>
      <c r="AD575" s="160"/>
      <c r="AE575" s="160"/>
      <c r="AF575" s="160"/>
      <c r="AG575" s="160"/>
      <c r="AH575" s="160"/>
      <c r="AI575" s="160"/>
      <c r="AJ575" s="160"/>
      <c r="AK575" s="160"/>
      <c r="AL575" s="160"/>
      <c r="AM575" s="160"/>
      <c r="AN575" s="164"/>
      <c r="AO575" s="160"/>
      <c r="AP575" s="160"/>
      <c r="AQ575" s="160"/>
      <c r="AR575" s="160"/>
      <c r="AS575" s="160"/>
      <c r="AT575" s="160"/>
      <c r="AU575" s="160"/>
      <c r="AV575" s="160"/>
      <c r="AW575" s="160"/>
      <c r="AX575" s="160"/>
      <c r="AY575" s="160"/>
      <c r="AZ575" s="160"/>
      <c r="BA575" s="160"/>
      <c r="BB575" s="160"/>
      <c r="BC575" s="160"/>
      <c r="BD575" s="160"/>
      <c r="BE575" s="160"/>
      <c r="BF575" s="160"/>
      <c r="BG575" s="160"/>
      <c r="BH575" s="160"/>
      <c r="BI575" s="160"/>
      <c r="BJ575" s="160"/>
      <c r="BK575" s="160"/>
      <c r="BL575" s="160"/>
      <c r="BM575" s="160"/>
      <c r="BN575" s="160"/>
      <c r="BO575" s="160"/>
      <c r="BP575" s="160"/>
      <c r="BQ575" s="160"/>
      <c r="BR575" s="160"/>
      <c r="BS575" s="160"/>
      <c r="BT575" s="160"/>
      <c r="BU575" s="160"/>
      <c r="BV575" s="160"/>
      <c r="BW575" s="160"/>
      <c r="BX575" s="160"/>
      <c r="BY575" s="160"/>
      <c r="BZ575" s="160"/>
      <c r="CA575" s="160"/>
      <c r="CB575" s="160"/>
      <c r="CC575" s="160"/>
      <c r="CD575" s="160"/>
      <c r="CE575" s="160"/>
      <c r="CF575" s="160"/>
      <c r="CG575" s="160"/>
      <c r="CH575" s="160"/>
      <c r="CI575" s="160"/>
      <c r="CJ575" s="160"/>
      <c r="CK575" s="160"/>
      <c r="CL575" s="160"/>
    </row>
    <row r="576">
      <c r="A576" s="171"/>
      <c r="F576" s="11"/>
      <c r="G576" s="11"/>
      <c r="L576" s="171"/>
      <c r="M576" s="171"/>
      <c r="O576" s="160"/>
      <c r="P576" s="160"/>
      <c r="Q576" s="160"/>
      <c r="R576" s="160"/>
      <c r="S576" s="160"/>
      <c r="T576" s="207"/>
      <c r="U576" s="160"/>
      <c r="V576" s="160"/>
      <c r="W576" s="160"/>
      <c r="X576" s="160"/>
      <c r="Y576" s="160"/>
      <c r="Z576" s="160"/>
      <c r="AA576" s="160"/>
      <c r="AB576" s="160"/>
      <c r="AC576" s="160"/>
      <c r="AD576" s="160"/>
      <c r="AE576" s="160"/>
      <c r="AF576" s="160"/>
      <c r="AG576" s="160"/>
      <c r="AH576" s="160"/>
      <c r="AI576" s="160"/>
      <c r="AJ576" s="160"/>
      <c r="AK576" s="160"/>
      <c r="AL576" s="160"/>
      <c r="AM576" s="160"/>
      <c r="AN576" s="164"/>
      <c r="AO576" s="160"/>
      <c r="AP576" s="160"/>
      <c r="AQ576" s="160"/>
      <c r="AR576" s="160"/>
      <c r="AS576" s="160"/>
      <c r="AT576" s="160"/>
      <c r="AU576" s="160"/>
      <c r="AV576" s="160"/>
      <c r="AW576" s="160"/>
      <c r="AX576" s="160"/>
      <c r="AY576" s="160"/>
      <c r="AZ576" s="160"/>
      <c r="BA576" s="160"/>
      <c r="BB576" s="160"/>
      <c r="BC576" s="160"/>
      <c r="BD576" s="160"/>
      <c r="BE576" s="160"/>
      <c r="BF576" s="160"/>
      <c r="BG576" s="160"/>
      <c r="BH576" s="160"/>
      <c r="BI576" s="160"/>
      <c r="BJ576" s="160"/>
      <c r="BK576" s="160"/>
      <c r="BL576" s="160"/>
      <c r="BM576" s="160"/>
      <c r="BN576" s="160"/>
      <c r="BO576" s="160"/>
      <c r="BP576" s="160"/>
      <c r="BQ576" s="160"/>
      <c r="BR576" s="160"/>
      <c r="BS576" s="160"/>
      <c r="BT576" s="160"/>
      <c r="BU576" s="160"/>
      <c r="BV576" s="160"/>
      <c r="BW576" s="160"/>
      <c r="BX576" s="160"/>
      <c r="BY576" s="160"/>
      <c r="BZ576" s="160"/>
      <c r="CA576" s="160"/>
      <c r="CB576" s="160"/>
      <c r="CC576" s="160"/>
      <c r="CD576" s="160"/>
      <c r="CE576" s="160"/>
      <c r="CF576" s="160"/>
      <c r="CG576" s="160"/>
      <c r="CH576" s="160"/>
      <c r="CI576" s="160"/>
      <c r="CJ576" s="160"/>
      <c r="CK576" s="160"/>
      <c r="CL576" s="160"/>
    </row>
    <row r="577">
      <c r="A577" s="171"/>
      <c r="F577" s="11"/>
      <c r="G577" s="11"/>
      <c r="L577" s="171"/>
      <c r="M577" s="171"/>
      <c r="O577" s="160"/>
      <c r="P577" s="160"/>
      <c r="Q577" s="160"/>
      <c r="R577" s="160"/>
      <c r="S577" s="160"/>
      <c r="T577" s="207"/>
      <c r="U577" s="160"/>
      <c r="V577" s="160"/>
      <c r="W577" s="160"/>
      <c r="X577" s="160"/>
      <c r="Y577" s="160"/>
      <c r="Z577" s="160"/>
      <c r="AA577" s="160"/>
      <c r="AB577" s="160"/>
      <c r="AC577" s="160"/>
      <c r="AD577" s="160"/>
      <c r="AE577" s="160"/>
      <c r="AF577" s="160"/>
      <c r="AG577" s="160"/>
      <c r="AH577" s="160"/>
      <c r="AI577" s="160"/>
      <c r="AJ577" s="160"/>
      <c r="AK577" s="160"/>
      <c r="AL577" s="160"/>
      <c r="AM577" s="160"/>
      <c r="AN577" s="164"/>
      <c r="AO577" s="160"/>
      <c r="AP577" s="160"/>
      <c r="AQ577" s="160"/>
      <c r="AR577" s="160"/>
      <c r="AS577" s="160"/>
      <c r="AT577" s="160"/>
      <c r="AU577" s="160"/>
      <c r="AV577" s="160"/>
      <c r="AW577" s="160"/>
      <c r="AX577" s="160"/>
      <c r="AY577" s="160"/>
      <c r="AZ577" s="160"/>
      <c r="BA577" s="160"/>
      <c r="BB577" s="160"/>
      <c r="BC577" s="160"/>
      <c r="BD577" s="160"/>
      <c r="BE577" s="160"/>
      <c r="BF577" s="160"/>
      <c r="BG577" s="160"/>
      <c r="BH577" s="160"/>
      <c r="BI577" s="160"/>
      <c r="BJ577" s="160"/>
      <c r="BK577" s="160"/>
      <c r="BL577" s="160"/>
      <c r="BM577" s="160"/>
      <c r="BN577" s="160"/>
      <c r="BO577" s="160"/>
      <c r="BP577" s="160"/>
      <c r="BQ577" s="160"/>
      <c r="BR577" s="160"/>
      <c r="BS577" s="160"/>
      <c r="BT577" s="160"/>
      <c r="BU577" s="160"/>
      <c r="BV577" s="160"/>
      <c r="BW577" s="160"/>
      <c r="BX577" s="160"/>
      <c r="BY577" s="160"/>
      <c r="BZ577" s="160"/>
      <c r="CA577" s="160"/>
      <c r="CB577" s="160"/>
      <c r="CC577" s="160"/>
      <c r="CD577" s="160"/>
      <c r="CE577" s="160"/>
      <c r="CF577" s="160"/>
      <c r="CG577" s="160"/>
      <c r="CH577" s="160"/>
      <c r="CI577" s="160"/>
      <c r="CJ577" s="160"/>
      <c r="CK577" s="160"/>
      <c r="CL577" s="160"/>
    </row>
    <row r="578">
      <c r="A578" s="171"/>
      <c r="F578" s="11"/>
      <c r="G578" s="11"/>
      <c r="L578" s="171"/>
      <c r="M578" s="171"/>
      <c r="O578" s="160"/>
      <c r="P578" s="160"/>
      <c r="Q578" s="160"/>
      <c r="R578" s="160"/>
      <c r="S578" s="160"/>
      <c r="T578" s="207"/>
      <c r="U578" s="160"/>
      <c r="V578" s="160"/>
      <c r="W578" s="160"/>
      <c r="X578" s="160"/>
      <c r="Y578" s="160"/>
      <c r="Z578" s="160"/>
      <c r="AA578" s="160"/>
      <c r="AB578" s="160"/>
      <c r="AC578" s="160"/>
      <c r="AD578" s="160"/>
      <c r="AE578" s="160"/>
      <c r="AF578" s="160"/>
      <c r="AG578" s="160"/>
      <c r="AH578" s="160"/>
      <c r="AI578" s="160"/>
      <c r="AJ578" s="160"/>
      <c r="AK578" s="160"/>
      <c r="AL578" s="160"/>
      <c r="AM578" s="160"/>
      <c r="AN578" s="164"/>
      <c r="AO578" s="160"/>
      <c r="AP578" s="160"/>
      <c r="AQ578" s="160"/>
      <c r="AR578" s="160"/>
      <c r="AS578" s="160"/>
      <c r="AT578" s="160"/>
      <c r="AU578" s="160"/>
      <c r="AV578" s="160"/>
      <c r="AW578" s="160"/>
      <c r="AX578" s="160"/>
      <c r="AY578" s="160"/>
      <c r="AZ578" s="160"/>
      <c r="BA578" s="160"/>
      <c r="BB578" s="160"/>
      <c r="BC578" s="160"/>
      <c r="BD578" s="160"/>
      <c r="BE578" s="160"/>
      <c r="BF578" s="160"/>
      <c r="BG578" s="160"/>
      <c r="BH578" s="160"/>
      <c r="BI578" s="160"/>
      <c r="BJ578" s="160"/>
      <c r="BK578" s="160"/>
      <c r="BL578" s="160"/>
      <c r="BM578" s="160"/>
      <c r="BN578" s="160"/>
      <c r="BO578" s="160"/>
      <c r="BP578" s="160"/>
      <c r="BQ578" s="160"/>
      <c r="BR578" s="160"/>
      <c r="BS578" s="160"/>
      <c r="BT578" s="160"/>
      <c r="BU578" s="160"/>
      <c r="BV578" s="160"/>
      <c r="BW578" s="160"/>
      <c r="BX578" s="160"/>
      <c r="BY578" s="160"/>
      <c r="BZ578" s="160"/>
      <c r="CA578" s="160"/>
      <c r="CB578" s="160"/>
      <c r="CC578" s="160"/>
      <c r="CD578" s="160"/>
      <c r="CE578" s="160"/>
      <c r="CF578" s="160"/>
      <c r="CG578" s="160"/>
      <c r="CH578" s="160"/>
      <c r="CI578" s="160"/>
      <c r="CJ578" s="160"/>
      <c r="CK578" s="160"/>
      <c r="CL578" s="160"/>
    </row>
    <row r="579">
      <c r="A579" s="171"/>
      <c r="F579" s="11"/>
      <c r="G579" s="11"/>
      <c r="L579" s="171"/>
      <c r="M579" s="171"/>
      <c r="O579" s="160"/>
      <c r="P579" s="160"/>
      <c r="Q579" s="160"/>
      <c r="R579" s="160"/>
      <c r="S579" s="160"/>
      <c r="T579" s="207"/>
      <c r="U579" s="160"/>
      <c r="V579" s="160"/>
      <c r="W579" s="160"/>
      <c r="X579" s="160"/>
      <c r="Y579" s="160"/>
      <c r="Z579" s="160"/>
      <c r="AA579" s="160"/>
      <c r="AB579" s="160"/>
      <c r="AC579" s="160"/>
      <c r="AD579" s="160"/>
      <c r="AE579" s="160"/>
      <c r="AF579" s="160"/>
      <c r="AG579" s="160"/>
      <c r="AH579" s="160"/>
      <c r="AI579" s="160"/>
      <c r="AJ579" s="160"/>
      <c r="AK579" s="160"/>
      <c r="AL579" s="160"/>
      <c r="AM579" s="160"/>
      <c r="AN579" s="164"/>
      <c r="AO579" s="160"/>
      <c r="AP579" s="160"/>
      <c r="AQ579" s="160"/>
      <c r="AR579" s="160"/>
      <c r="AS579" s="160"/>
      <c r="AT579" s="160"/>
      <c r="AU579" s="160"/>
      <c r="AV579" s="160"/>
      <c r="AW579" s="160"/>
      <c r="AX579" s="160"/>
      <c r="AY579" s="160"/>
      <c r="AZ579" s="160"/>
      <c r="BA579" s="160"/>
      <c r="BB579" s="160"/>
      <c r="BC579" s="160"/>
      <c r="BD579" s="160"/>
      <c r="BE579" s="160"/>
      <c r="BF579" s="160"/>
      <c r="BG579" s="160"/>
      <c r="BH579" s="160"/>
      <c r="BI579" s="160"/>
      <c r="BJ579" s="160"/>
      <c r="BK579" s="160"/>
      <c r="BL579" s="160"/>
      <c r="BM579" s="160"/>
      <c r="BN579" s="160"/>
      <c r="BO579" s="160"/>
      <c r="BP579" s="160"/>
      <c r="BQ579" s="160"/>
      <c r="BR579" s="160"/>
      <c r="BS579" s="160"/>
      <c r="BT579" s="160"/>
      <c r="BU579" s="160"/>
      <c r="BV579" s="160"/>
      <c r="BW579" s="160"/>
      <c r="BX579" s="160"/>
      <c r="BY579" s="160"/>
      <c r="BZ579" s="160"/>
      <c r="CA579" s="160"/>
      <c r="CB579" s="160"/>
      <c r="CC579" s="160"/>
      <c r="CD579" s="160"/>
      <c r="CE579" s="160"/>
      <c r="CF579" s="160"/>
      <c r="CG579" s="160"/>
      <c r="CH579" s="160"/>
      <c r="CI579" s="160"/>
      <c r="CJ579" s="160"/>
      <c r="CK579" s="160"/>
      <c r="CL579" s="160"/>
    </row>
    <row r="580">
      <c r="A580" s="171"/>
      <c r="F580" s="11"/>
      <c r="G580" s="11"/>
      <c r="L580" s="171"/>
      <c r="M580" s="171"/>
      <c r="O580" s="160"/>
      <c r="P580" s="160"/>
      <c r="Q580" s="160"/>
      <c r="R580" s="160"/>
      <c r="S580" s="160"/>
      <c r="T580" s="207"/>
      <c r="U580" s="160"/>
      <c r="V580" s="160"/>
      <c r="W580" s="160"/>
      <c r="X580" s="160"/>
      <c r="Y580" s="160"/>
      <c r="Z580" s="160"/>
      <c r="AA580" s="160"/>
      <c r="AB580" s="160"/>
      <c r="AC580" s="160"/>
      <c r="AD580" s="160"/>
      <c r="AE580" s="160"/>
      <c r="AF580" s="160"/>
      <c r="AG580" s="160"/>
      <c r="AH580" s="160"/>
      <c r="AI580" s="160"/>
      <c r="AJ580" s="160"/>
      <c r="AK580" s="160"/>
      <c r="AL580" s="160"/>
      <c r="AM580" s="160"/>
      <c r="AN580" s="164"/>
      <c r="AO580" s="160"/>
      <c r="AP580" s="160"/>
      <c r="AQ580" s="160"/>
      <c r="AR580" s="160"/>
      <c r="AS580" s="160"/>
      <c r="AT580" s="160"/>
      <c r="AU580" s="160"/>
      <c r="AV580" s="160"/>
      <c r="AW580" s="160"/>
      <c r="AX580" s="160"/>
      <c r="AY580" s="160"/>
      <c r="AZ580" s="160"/>
      <c r="BA580" s="160"/>
      <c r="BB580" s="160"/>
      <c r="BC580" s="160"/>
      <c r="BD580" s="160"/>
      <c r="BE580" s="160"/>
      <c r="BF580" s="160"/>
      <c r="BG580" s="160"/>
      <c r="BH580" s="160"/>
      <c r="BI580" s="160"/>
      <c r="BJ580" s="160"/>
      <c r="BK580" s="160"/>
      <c r="BL580" s="160"/>
      <c r="BM580" s="160"/>
      <c r="BN580" s="160"/>
      <c r="BO580" s="160"/>
      <c r="BP580" s="160"/>
      <c r="BQ580" s="160"/>
      <c r="BR580" s="160"/>
      <c r="BS580" s="160"/>
      <c r="BT580" s="160"/>
      <c r="BU580" s="160"/>
      <c r="BV580" s="160"/>
      <c r="BW580" s="160"/>
      <c r="BX580" s="160"/>
      <c r="BY580" s="160"/>
      <c r="BZ580" s="160"/>
      <c r="CA580" s="160"/>
      <c r="CB580" s="160"/>
      <c r="CC580" s="160"/>
      <c r="CD580" s="160"/>
      <c r="CE580" s="160"/>
      <c r="CF580" s="160"/>
      <c r="CG580" s="160"/>
      <c r="CH580" s="160"/>
      <c r="CI580" s="160"/>
      <c r="CJ580" s="160"/>
      <c r="CK580" s="160"/>
      <c r="CL580" s="160"/>
    </row>
    <row r="581">
      <c r="A581" s="171"/>
      <c r="F581" s="11"/>
      <c r="G581" s="11"/>
      <c r="L581" s="171"/>
      <c r="M581" s="171"/>
      <c r="O581" s="160"/>
      <c r="P581" s="160"/>
      <c r="Q581" s="160"/>
      <c r="R581" s="160"/>
      <c r="S581" s="160"/>
      <c r="T581" s="207"/>
      <c r="U581" s="160"/>
      <c r="V581" s="160"/>
      <c r="W581" s="160"/>
      <c r="X581" s="160"/>
      <c r="Y581" s="160"/>
      <c r="Z581" s="160"/>
      <c r="AA581" s="160"/>
      <c r="AB581" s="160"/>
      <c r="AC581" s="160"/>
      <c r="AD581" s="160"/>
      <c r="AE581" s="160"/>
      <c r="AF581" s="160"/>
      <c r="AG581" s="160"/>
      <c r="AH581" s="160"/>
      <c r="AI581" s="160"/>
      <c r="AJ581" s="160"/>
      <c r="AK581" s="160"/>
      <c r="AL581" s="160"/>
      <c r="AM581" s="160"/>
      <c r="AN581" s="164"/>
      <c r="AO581" s="160"/>
      <c r="AP581" s="160"/>
      <c r="AQ581" s="160"/>
      <c r="AR581" s="160"/>
      <c r="AS581" s="160"/>
      <c r="AT581" s="160"/>
      <c r="AU581" s="160"/>
      <c r="AV581" s="160"/>
      <c r="AW581" s="160"/>
      <c r="AX581" s="160"/>
      <c r="AY581" s="160"/>
      <c r="AZ581" s="160"/>
      <c r="BA581" s="160"/>
      <c r="BB581" s="160"/>
      <c r="BC581" s="160"/>
      <c r="BD581" s="160"/>
      <c r="BE581" s="160"/>
      <c r="BF581" s="160"/>
      <c r="BG581" s="160"/>
      <c r="BH581" s="160"/>
      <c r="BI581" s="160"/>
      <c r="BJ581" s="160"/>
      <c r="BK581" s="160"/>
      <c r="BL581" s="160"/>
      <c r="BM581" s="160"/>
      <c r="BN581" s="160"/>
      <c r="BO581" s="160"/>
      <c r="BP581" s="160"/>
      <c r="BQ581" s="160"/>
      <c r="BR581" s="160"/>
      <c r="BS581" s="160"/>
      <c r="BT581" s="160"/>
      <c r="BU581" s="160"/>
      <c r="BV581" s="160"/>
      <c r="BW581" s="160"/>
      <c r="BX581" s="160"/>
      <c r="BY581" s="160"/>
      <c r="BZ581" s="160"/>
      <c r="CA581" s="160"/>
      <c r="CB581" s="160"/>
      <c r="CC581" s="160"/>
      <c r="CD581" s="160"/>
      <c r="CE581" s="160"/>
      <c r="CF581" s="160"/>
      <c r="CG581" s="160"/>
      <c r="CH581" s="160"/>
      <c r="CI581" s="160"/>
      <c r="CJ581" s="160"/>
      <c r="CK581" s="160"/>
      <c r="CL581" s="160"/>
    </row>
    <row r="582">
      <c r="A582" s="171"/>
      <c r="F582" s="11"/>
      <c r="G582" s="11"/>
      <c r="L582" s="171"/>
      <c r="M582" s="171"/>
      <c r="O582" s="160"/>
      <c r="P582" s="160"/>
      <c r="Q582" s="160"/>
      <c r="R582" s="160"/>
      <c r="S582" s="160"/>
      <c r="T582" s="207"/>
      <c r="U582" s="160"/>
      <c r="V582" s="160"/>
      <c r="W582" s="160"/>
      <c r="X582" s="160"/>
      <c r="Y582" s="160"/>
      <c r="Z582" s="160"/>
      <c r="AA582" s="160"/>
      <c r="AB582" s="160"/>
      <c r="AC582" s="160"/>
      <c r="AD582" s="160"/>
      <c r="AE582" s="160"/>
      <c r="AF582" s="160"/>
      <c r="AG582" s="160"/>
      <c r="AH582" s="160"/>
      <c r="AI582" s="160"/>
      <c r="AJ582" s="160"/>
      <c r="AK582" s="160"/>
      <c r="AL582" s="160"/>
      <c r="AM582" s="160"/>
      <c r="AN582" s="164"/>
      <c r="AO582" s="160"/>
      <c r="AP582" s="160"/>
      <c r="AQ582" s="160"/>
      <c r="AR582" s="160"/>
      <c r="AS582" s="160"/>
      <c r="AT582" s="160"/>
      <c r="AU582" s="160"/>
      <c r="AV582" s="160"/>
      <c r="AW582" s="160"/>
      <c r="AX582" s="160"/>
      <c r="AY582" s="160"/>
      <c r="AZ582" s="160"/>
      <c r="BA582" s="160"/>
      <c r="BB582" s="160"/>
      <c r="BC582" s="160"/>
      <c r="BD582" s="160"/>
      <c r="BE582" s="160"/>
      <c r="BF582" s="160"/>
      <c r="BG582" s="160"/>
      <c r="BH582" s="160"/>
      <c r="BI582" s="160"/>
      <c r="BJ582" s="160"/>
      <c r="BK582" s="160"/>
      <c r="BL582" s="160"/>
      <c r="BM582" s="160"/>
      <c r="BN582" s="160"/>
      <c r="BO582" s="160"/>
      <c r="BP582" s="160"/>
      <c r="BQ582" s="160"/>
      <c r="BR582" s="160"/>
      <c r="BS582" s="160"/>
      <c r="BT582" s="160"/>
      <c r="BU582" s="160"/>
      <c r="BV582" s="160"/>
      <c r="BW582" s="160"/>
      <c r="BX582" s="160"/>
      <c r="BY582" s="160"/>
      <c r="BZ582" s="160"/>
      <c r="CA582" s="160"/>
      <c r="CB582" s="160"/>
      <c r="CC582" s="160"/>
      <c r="CD582" s="160"/>
      <c r="CE582" s="160"/>
      <c r="CF582" s="160"/>
      <c r="CG582" s="160"/>
      <c r="CH582" s="160"/>
      <c r="CI582" s="160"/>
      <c r="CJ582" s="160"/>
      <c r="CK582" s="160"/>
      <c r="CL582" s="160"/>
    </row>
    <row r="583">
      <c r="A583" s="171"/>
      <c r="F583" s="11"/>
      <c r="G583" s="11"/>
      <c r="L583" s="171"/>
      <c r="M583" s="171"/>
      <c r="O583" s="160"/>
      <c r="P583" s="160"/>
      <c r="Q583" s="160"/>
      <c r="R583" s="160"/>
      <c r="S583" s="160"/>
      <c r="T583" s="207"/>
      <c r="U583" s="160"/>
      <c r="V583" s="160"/>
      <c r="W583" s="160"/>
      <c r="X583" s="160"/>
      <c r="Y583" s="160"/>
      <c r="Z583" s="160"/>
      <c r="AA583" s="160"/>
      <c r="AB583" s="160"/>
      <c r="AC583" s="160"/>
      <c r="AD583" s="160"/>
      <c r="AE583" s="160"/>
      <c r="AF583" s="160"/>
      <c r="AG583" s="160"/>
      <c r="AH583" s="160"/>
      <c r="AI583" s="160"/>
      <c r="AJ583" s="160"/>
      <c r="AK583" s="160"/>
      <c r="AL583" s="160"/>
      <c r="AM583" s="160"/>
      <c r="AN583" s="164"/>
      <c r="AO583" s="160"/>
      <c r="AP583" s="160"/>
      <c r="AQ583" s="160"/>
      <c r="AR583" s="160"/>
      <c r="AS583" s="160"/>
      <c r="AT583" s="160"/>
      <c r="AU583" s="160"/>
      <c r="AV583" s="160"/>
      <c r="AW583" s="160"/>
      <c r="AX583" s="160"/>
      <c r="AY583" s="160"/>
      <c r="AZ583" s="160"/>
      <c r="BA583" s="160"/>
      <c r="BB583" s="160"/>
      <c r="BC583" s="160"/>
      <c r="BD583" s="160"/>
      <c r="BE583" s="160"/>
      <c r="BF583" s="160"/>
      <c r="BG583" s="160"/>
      <c r="BH583" s="160"/>
      <c r="BI583" s="160"/>
      <c r="BJ583" s="160"/>
      <c r="BK583" s="160"/>
      <c r="BL583" s="160"/>
      <c r="BM583" s="160"/>
      <c r="BN583" s="160"/>
      <c r="BO583" s="160"/>
      <c r="BP583" s="160"/>
      <c r="BQ583" s="160"/>
      <c r="BR583" s="160"/>
      <c r="BS583" s="160"/>
      <c r="BT583" s="160"/>
      <c r="BU583" s="160"/>
      <c r="BV583" s="160"/>
      <c r="BW583" s="160"/>
      <c r="BX583" s="160"/>
      <c r="BY583" s="160"/>
      <c r="BZ583" s="160"/>
      <c r="CA583" s="160"/>
      <c r="CB583" s="160"/>
      <c r="CC583" s="160"/>
      <c r="CD583" s="160"/>
      <c r="CE583" s="160"/>
      <c r="CF583" s="160"/>
      <c r="CG583" s="160"/>
      <c r="CH583" s="160"/>
      <c r="CI583" s="160"/>
      <c r="CJ583" s="160"/>
      <c r="CK583" s="160"/>
      <c r="CL583" s="160"/>
    </row>
    <row r="584">
      <c r="A584" s="171"/>
      <c r="F584" s="11"/>
      <c r="G584" s="11"/>
      <c r="L584" s="171"/>
      <c r="M584" s="171"/>
      <c r="O584" s="160"/>
      <c r="P584" s="160"/>
      <c r="Q584" s="160"/>
      <c r="R584" s="160"/>
      <c r="S584" s="160"/>
      <c r="T584" s="207"/>
      <c r="U584" s="160"/>
      <c r="V584" s="160"/>
      <c r="W584" s="160"/>
      <c r="X584" s="160"/>
      <c r="Y584" s="160"/>
      <c r="Z584" s="160"/>
      <c r="AA584" s="160"/>
      <c r="AB584" s="160"/>
      <c r="AC584" s="160"/>
      <c r="AD584" s="160"/>
      <c r="AE584" s="160"/>
      <c r="AF584" s="160"/>
      <c r="AG584" s="160"/>
      <c r="AH584" s="160"/>
      <c r="AI584" s="160"/>
      <c r="AJ584" s="160"/>
      <c r="AK584" s="160"/>
      <c r="AL584" s="160"/>
      <c r="AM584" s="160"/>
      <c r="AN584" s="164"/>
      <c r="AO584" s="160"/>
      <c r="AP584" s="160"/>
      <c r="AQ584" s="160"/>
      <c r="AR584" s="160"/>
      <c r="AS584" s="160"/>
      <c r="AT584" s="160"/>
      <c r="AU584" s="160"/>
      <c r="AV584" s="160"/>
      <c r="AW584" s="160"/>
      <c r="AX584" s="160"/>
      <c r="AY584" s="160"/>
      <c r="AZ584" s="160"/>
      <c r="BA584" s="160"/>
      <c r="BB584" s="160"/>
      <c r="BC584" s="160"/>
      <c r="BD584" s="160"/>
      <c r="BE584" s="160"/>
      <c r="BF584" s="160"/>
      <c r="BG584" s="160"/>
      <c r="BH584" s="160"/>
      <c r="BI584" s="160"/>
      <c r="BJ584" s="160"/>
      <c r="BK584" s="160"/>
      <c r="BL584" s="160"/>
      <c r="BM584" s="160"/>
      <c r="BN584" s="160"/>
      <c r="BO584" s="160"/>
      <c r="BP584" s="160"/>
      <c r="BQ584" s="160"/>
      <c r="BR584" s="160"/>
      <c r="BS584" s="160"/>
      <c r="BT584" s="160"/>
      <c r="BU584" s="160"/>
      <c r="BV584" s="160"/>
      <c r="BW584" s="160"/>
      <c r="BX584" s="160"/>
      <c r="BY584" s="160"/>
      <c r="BZ584" s="160"/>
      <c r="CA584" s="160"/>
      <c r="CB584" s="160"/>
      <c r="CC584" s="160"/>
      <c r="CD584" s="160"/>
      <c r="CE584" s="160"/>
      <c r="CF584" s="160"/>
      <c r="CG584" s="160"/>
      <c r="CH584" s="160"/>
      <c r="CI584" s="160"/>
      <c r="CJ584" s="160"/>
      <c r="CK584" s="160"/>
      <c r="CL584" s="160"/>
    </row>
    <row r="585">
      <c r="A585" s="171"/>
      <c r="F585" s="11"/>
      <c r="G585" s="11"/>
      <c r="L585" s="171"/>
      <c r="M585" s="171"/>
      <c r="O585" s="160"/>
      <c r="P585" s="160"/>
      <c r="Q585" s="160"/>
      <c r="R585" s="160"/>
      <c r="S585" s="160"/>
      <c r="T585" s="207"/>
      <c r="U585" s="160"/>
      <c r="V585" s="160"/>
      <c r="W585" s="160"/>
      <c r="X585" s="160"/>
      <c r="Y585" s="160"/>
      <c r="Z585" s="160"/>
      <c r="AA585" s="160"/>
      <c r="AB585" s="160"/>
      <c r="AC585" s="160"/>
      <c r="AD585" s="160"/>
      <c r="AE585" s="160"/>
      <c r="AF585" s="160"/>
      <c r="AG585" s="160"/>
      <c r="AH585" s="160"/>
      <c r="AI585" s="160"/>
      <c r="AJ585" s="160"/>
      <c r="AK585" s="160"/>
      <c r="AL585" s="160"/>
      <c r="AM585" s="160"/>
      <c r="AN585" s="164"/>
      <c r="AO585" s="160"/>
      <c r="AP585" s="160"/>
      <c r="AQ585" s="160"/>
      <c r="AR585" s="160"/>
      <c r="AS585" s="160"/>
      <c r="AT585" s="160"/>
      <c r="AU585" s="160"/>
      <c r="AV585" s="160"/>
      <c r="AW585" s="160"/>
      <c r="AX585" s="160"/>
      <c r="AY585" s="160"/>
      <c r="AZ585" s="160"/>
      <c r="BA585" s="160"/>
      <c r="BB585" s="160"/>
      <c r="BC585" s="160"/>
      <c r="BD585" s="160"/>
      <c r="BE585" s="160"/>
      <c r="BF585" s="160"/>
      <c r="BG585" s="160"/>
      <c r="BH585" s="160"/>
      <c r="BI585" s="160"/>
      <c r="BJ585" s="160"/>
      <c r="BK585" s="160"/>
      <c r="BL585" s="160"/>
      <c r="BM585" s="160"/>
      <c r="BN585" s="160"/>
      <c r="BO585" s="160"/>
      <c r="BP585" s="160"/>
      <c r="BQ585" s="160"/>
      <c r="BR585" s="160"/>
      <c r="BS585" s="160"/>
      <c r="BT585" s="160"/>
      <c r="BU585" s="160"/>
      <c r="BV585" s="160"/>
      <c r="BW585" s="160"/>
      <c r="BX585" s="160"/>
      <c r="BY585" s="160"/>
      <c r="BZ585" s="160"/>
      <c r="CA585" s="160"/>
      <c r="CB585" s="160"/>
      <c r="CC585" s="160"/>
      <c r="CD585" s="160"/>
      <c r="CE585" s="160"/>
      <c r="CF585" s="160"/>
      <c r="CG585" s="160"/>
      <c r="CH585" s="160"/>
      <c r="CI585" s="160"/>
      <c r="CJ585" s="160"/>
      <c r="CK585" s="160"/>
      <c r="CL585" s="160"/>
    </row>
    <row r="586">
      <c r="A586" s="171"/>
      <c r="F586" s="11"/>
      <c r="G586" s="11"/>
      <c r="L586" s="171"/>
      <c r="M586" s="171"/>
      <c r="O586" s="160"/>
      <c r="P586" s="160"/>
      <c r="Q586" s="160"/>
      <c r="R586" s="160"/>
      <c r="S586" s="160"/>
      <c r="T586" s="207"/>
      <c r="U586" s="160"/>
      <c r="V586" s="160"/>
      <c r="W586" s="160"/>
      <c r="X586" s="160"/>
      <c r="Y586" s="160"/>
      <c r="Z586" s="160"/>
      <c r="AA586" s="160"/>
      <c r="AB586" s="160"/>
      <c r="AC586" s="160"/>
      <c r="AD586" s="160"/>
      <c r="AE586" s="160"/>
      <c r="AF586" s="160"/>
      <c r="AG586" s="160"/>
      <c r="AH586" s="160"/>
      <c r="AI586" s="160"/>
      <c r="AJ586" s="160"/>
      <c r="AK586" s="160"/>
      <c r="AL586" s="160"/>
      <c r="AM586" s="160"/>
      <c r="AN586" s="164"/>
      <c r="AO586" s="160"/>
      <c r="AP586" s="160"/>
      <c r="AQ586" s="160"/>
      <c r="AR586" s="160"/>
      <c r="AS586" s="160"/>
      <c r="AT586" s="160"/>
      <c r="AU586" s="160"/>
      <c r="AV586" s="160"/>
      <c r="AW586" s="160"/>
      <c r="AX586" s="160"/>
      <c r="AY586" s="160"/>
      <c r="AZ586" s="160"/>
      <c r="BA586" s="160"/>
      <c r="BB586" s="160"/>
      <c r="BC586" s="160"/>
      <c r="BD586" s="160"/>
      <c r="BE586" s="160"/>
      <c r="BF586" s="160"/>
      <c r="BG586" s="160"/>
      <c r="BH586" s="160"/>
      <c r="BI586" s="160"/>
      <c r="BJ586" s="160"/>
      <c r="BK586" s="160"/>
      <c r="BL586" s="160"/>
      <c r="BM586" s="160"/>
      <c r="BN586" s="160"/>
      <c r="BO586" s="160"/>
      <c r="BP586" s="160"/>
      <c r="BQ586" s="160"/>
      <c r="BR586" s="160"/>
      <c r="BS586" s="160"/>
      <c r="BT586" s="160"/>
      <c r="BU586" s="160"/>
      <c r="BV586" s="160"/>
      <c r="BW586" s="160"/>
      <c r="BX586" s="160"/>
      <c r="BY586" s="160"/>
      <c r="BZ586" s="160"/>
      <c r="CA586" s="160"/>
      <c r="CB586" s="160"/>
      <c r="CC586" s="160"/>
      <c r="CD586" s="160"/>
      <c r="CE586" s="160"/>
      <c r="CF586" s="160"/>
      <c r="CG586" s="160"/>
      <c r="CH586" s="160"/>
      <c r="CI586" s="160"/>
      <c r="CJ586" s="160"/>
      <c r="CK586" s="160"/>
      <c r="CL586" s="160"/>
    </row>
    <row r="587">
      <c r="A587" s="171"/>
      <c r="F587" s="11"/>
      <c r="G587" s="11"/>
      <c r="L587" s="171"/>
      <c r="M587" s="171"/>
      <c r="O587" s="160"/>
      <c r="P587" s="160"/>
      <c r="Q587" s="160"/>
      <c r="R587" s="160"/>
      <c r="S587" s="160"/>
      <c r="T587" s="207"/>
      <c r="U587" s="160"/>
      <c r="V587" s="160"/>
      <c r="W587" s="160"/>
      <c r="X587" s="160"/>
      <c r="Y587" s="160"/>
      <c r="Z587" s="160"/>
      <c r="AA587" s="160"/>
      <c r="AB587" s="160"/>
      <c r="AC587" s="160"/>
      <c r="AD587" s="160"/>
      <c r="AE587" s="160"/>
      <c r="AF587" s="160"/>
      <c r="AG587" s="160"/>
      <c r="AH587" s="160"/>
      <c r="AI587" s="160"/>
      <c r="AJ587" s="160"/>
      <c r="AK587" s="160"/>
      <c r="AL587" s="160"/>
      <c r="AM587" s="160"/>
      <c r="AN587" s="164"/>
      <c r="AO587" s="160"/>
      <c r="AP587" s="160"/>
      <c r="AQ587" s="160"/>
      <c r="AR587" s="160"/>
      <c r="AS587" s="160"/>
      <c r="AT587" s="160"/>
      <c r="AU587" s="160"/>
      <c r="AV587" s="160"/>
      <c r="AW587" s="160"/>
      <c r="AX587" s="160"/>
      <c r="AY587" s="160"/>
      <c r="AZ587" s="160"/>
      <c r="BA587" s="160"/>
      <c r="BB587" s="160"/>
      <c r="BC587" s="160"/>
      <c r="BD587" s="160"/>
      <c r="BE587" s="160"/>
      <c r="BF587" s="160"/>
      <c r="BG587" s="160"/>
      <c r="BH587" s="160"/>
      <c r="BI587" s="160"/>
      <c r="BJ587" s="160"/>
      <c r="BK587" s="160"/>
      <c r="BL587" s="160"/>
      <c r="BM587" s="160"/>
      <c r="BN587" s="160"/>
      <c r="BO587" s="160"/>
      <c r="BP587" s="160"/>
      <c r="BQ587" s="160"/>
      <c r="BR587" s="160"/>
      <c r="BS587" s="160"/>
      <c r="BT587" s="160"/>
      <c r="BU587" s="160"/>
      <c r="BV587" s="160"/>
      <c r="BW587" s="160"/>
      <c r="BX587" s="160"/>
      <c r="BY587" s="160"/>
      <c r="BZ587" s="160"/>
      <c r="CA587" s="160"/>
      <c r="CB587" s="160"/>
      <c r="CC587" s="160"/>
      <c r="CD587" s="160"/>
      <c r="CE587" s="160"/>
      <c r="CF587" s="160"/>
      <c r="CG587" s="160"/>
      <c r="CH587" s="160"/>
      <c r="CI587" s="160"/>
      <c r="CJ587" s="160"/>
      <c r="CK587" s="160"/>
      <c r="CL587" s="160"/>
    </row>
    <row r="588">
      <c r="A588" s="171"/>
      <c r="F588" s="11"/>
      <c r="G588" s="11"/>
      <c r="L588" s="171"/>
      <c r="M588" s="171"/>
      <c r="O588" s="160"/>
      <c r="P588" s="160"/>
      <c r="Q588" s="160"/>
      <c r="R588" s="160"/>
      <c r="S588" s="160"/>
      <c r="T588" s="207"/>
      <c r="U588" s="160"/>
      <c r="V588" s="160"/>
      <c r="W588" s="160"/>
      <c r="X588" s="160"/>
      <c r="Y588" s="160"/>
      <c r="Z588" s="160"/>
      <c r="AA588" s="160"/>
      <c r="AB588" s="160"/>
      <c r="AC588" s="160"/>
      <c r="AD588" s="160"/>
      <c r="AE588" s="160"/>
      <c r="AF588" s="160"/>
      <c r="AG588" s="160"/>
      <c r="AH588" s="160"/>
      <c r="AI588" s="160"/>
      <c r="AJ588" s="160"/>
      <c r="AK588" s="160"/>
      <c r="AL588" s="160"/>
      <c r="AM588" s="160"/>
      <c r="AN588" s="164"/>
      <c r="AO588" s="160"/>
      <c r="AP588" s="160"/>
      <c r="AQ588" s="160"/>
      <c r="AR588" s="160"/>
      <c r="AS588" s="160"/>
      <c r="AT588" s="160"/>
      <c r="AU588" s="160"/>
      <c r="AV588" s="160"/>
      <c r="AW588" s="160"/>
      <c r="AX588" s="160"/>
      <c r="AY588" s="160"/>
      <c r="AZ588" s="160"/>
      <c r="BA588" s="160"/>
      <c r="BB588" s="160"/>
      <c r="BC588" s="160"/>
      <c r="BD588" s="160"/>
      <c r="BE588" s="160"/>
      <c r="BF588" s="160"/>
      <c r="BG588" s="160"/>
      <c r="BH588" s="160"/>
      <c r="BI588" s="160"/>
      <c r="BJ588" s="160"/>
      <c r="BK588" s="160"/>
      <c r="BL588" s="160"/>
      <c r="BM588" s="160"/>
      <c r="BN588" s="160"/>
      <c r="BO588" s="160"/>
      <c r="BP588" s="160"/>
      <c r="BQ588" s="160"/>
      <c r="BR588" s="160"/>
      <c r="BS588" s="160"/>
      <c r="BT588" s="160"/>
      <c r="BU588" s="160"/>
      <c r="BV588" s="160"/>
      <c r="BW588" s="160"/>
      <c r="BX588" s="160"/>
      <c r="BY588" s="160"/>
      <c r="BZ588" s="160"/>
      <c r="CA588" s="160"/>
      <c r="CB588" s="160"/>
      <c r="CC588" s="160"/>
      <c r="CD588" s="160"/>
      <c r="CE588" s="160"/>
      <c r="CF588" s="160"/>
      <c r="CG588" s="160"/>
      <c r="CH588" s="160"/>
      <c r="CI588" s="160"/>
      <c r="CJ588" s="160"/>
      <c r="CK588" s="160"/>
      <c r="CL588" s="160"/>
    </row>
    <row r="589">
      <c r="A589" s="171"/>
      <c r="F589" s="11"/>
      <c r="G589" s="11"/>
      <c r="L589" s="171"/>
      <c r="M589" s="171"/>
      <c r="O589" s="160"/>
      <c r="P589" s="160"/>
      <c r="Q589" s="160"/>
      <c r="R589" s="160"/>
      <c r="S589" s="160"/>
      <c r="T589" s="207"/>
      <c r="U589" s="160"/>
      <c r="V589" s="160"/>
      <c r="W589" s="160"/>
      <c r="X589" s="160"/>
      <c r="Y589" s="160"/>
      <c r="Z589" s="160"/>
      <c r="AA589" s="160"/>
      <c r="AB589" s="160"/>
      <c r="AC589" s="160"/>
      <c r="AD589" s="160"/>
      <c r="AE589" s="160"/>
      <c r="AF589" s="160"/>
      <c r="AG589" s="160"/>
      <c r="AH589" s="160"/>
      <c r="AI589" s="160"/>
      <c r="AJ589" s="160"/>
      <c r="AK589" s="160"/>
      <c r="AL589" s="160"/>
      <c r="AM589" s="160"/>
      <c r="AN589" s="164"/>
      <c r="AO589" s="160"/>
      <c r="AP589" s="160"/>
      <c r="AQ589" s="160"/>
      <c r="AR589" s="160"/>
      <c r="AS589" s="160"/>
      <c r="AT589" s="160"/>
      <c r="AU589" s="160"/>
      <c r="AV589" s="160"/>
      <c r="AW589" s="160"/>
      <c r="AX589" s="160"/>
      <c r="AY589" s="160"/>
      <c r="AZ589" s="160"/>
      <c r="BA589" s="160"/>
      <c r="BB589" s="160"/>
      <c r="BC589" s="160"/>
      <c r="BD589" s="160"/>
      <c r="BE589" s="160"/>
      <c r="BF589" s="160"/>
      <c r="BG589" s="160"/>
      <c r="BH589" s="160"/>
      <c r="BI589" s="160"/>
      <c r="BJ589" s="160"/>
      <c r="BK589" s="160"/>
      <c r="BL589" s="160"/>
      <c r="BM589" s="160"/>
      <c r="BN589" s="160"/>
      <c r="BO589" s="160"/>
      <c r="BP589" s="160"/>
      <c r="BQ589" s="160"/>
      <c r="BR589" s="160"/>
      <c r="BS589" s="160"/>
      <c r="BT589" s="160"/>
      <c r="BU589" s="160"/>
      <c r="BV589" s="160"/>
      <c r="BW589" s="160"/>
      <c r="BX589" s="160"/>
      <c r="BY589" s="160"/>
      <c r="BZ589" s="160"/>
      <c r="CA589" s="160"/>
      <c r="CB589" s="160"/>
      <c r="CC589" s="160"/>
      <c r="CD589" s="160"/>
      <c r="CE589" s="160"/>
      <c r="CF589" s="160"/>
      <c r="CG589" s="160"/>
      <c r="CH589" s="160"/>
      <c r="CI589" s="160"/>
      <c r="CJ589" s="160"/>
      <c r="CK589" s="160"/>
      <c r="CL589" s="160"/>
    </row>
    <row r="590">
      <c r="A590" s="171"/>
      <c r="F590" s="11"/>
      <c r="G590" s="11"/>
      <c r="L590" s="171"/>
      <c r="M590" s="171"/>
      <c r="O590" s="160"/>
      <c r="P590" s="160"/>
      <c r="Q590" s="160"/>
      <c r="R590" s="160"/>
      <c r="S590" s="160"/>
      <c r="T590" s="207"/>
      <c r="U590" s="160"/>
      <c r="V590" s="160"/>
      <c r="W590" s="160"/>
      <c r="X590" s="160"/>
      <c r="Y590" s="160"/>
      <c r="Z590" s="160"/>
      <c r="AA590" s="160"/>
      <c r="AB590" s="160"/>
      <c r="AC590" s="160"/>
      <c r="AD590" s="160"/>
      <c r="AE590" s="160"/>
      <c r="AF590" s="160"/>
      <c r="AG590" s="160"/>
      <c r="AH590" s="160"/>
      <c r="AI590" s="160"/>
      <c r="AJ590" s="160"/>
      <c r="AK590" s="160"/>
      <c r="AL590" s="160"/>
      <c r="AM590" s="160"/>
      <c r="AN590" s="164"/>
      <c r="AO590" s="160"/>
      <c r="AP590" s="160"/>
      <c r="AQ590" s="160"/>
      <c r="AR590" s="160"/>
      <c r="AS590" s="160"/>
      <c r="AT590" s="160"/>
      <c r="AU590" s="160"/>
      <c r="AV590" s="160"/>
      <c r="AW590" s="160"/>
      <c r="AX590" s="160"/>
      <c r="AY590" s="160"/>
      <c r="AZ590" s="160"/>
      <c r="BA590" s="160"/>
      <c r="BB590" s="160"/>
      <c r="BC590" s="160"/>
      <c r="BD590" s="160"/>
      <c r="BE590" s="160"/>
      <c r="BF590" s="160"/>
      <c r="BG590" s="160"/>
      <c r="BH590" s="160"/>
      <c r="BI590" s="160"/>
      <c r="BJ590" s="160"/>
      <c r="BK590" s="160"/>
      <c r="BL590" s="160"/>
      <c r="BM590" s="160"/>
      <c r="BN590" s="160"/>
      <c r="BO590" s="160"/>
      <c r="BP590" s="160"/>
      <c r="BQ590" s="160"/>
      <c r="BR590" s="160"/>
      <c r="BS590" s="160"/>
      <c r="BT590" s="160"/>
      <c r="BU590" s="160"/>
      <c r="BV590" s="160"/>
      <c r="BW590" s="160"/>
      <c r="BX590" s="160"/>
      <c r="BY590" s="160"/>
      <c r="BZ590" s="160"/>
      <c r="CA590" s="160"/>
      <c r="CB590" s="160"/>
      <c r="CC590" s="160"/>
      <c r="CD590" s="160"/>
      <c r="CE590" s="160"/>
      <c r="CF590" s="160"/>
      <c r="CG590" s="160"/>
      <c r="CH590" s="160"/>
      <c r="CI590" s="160"/>
      <c r="CJ590" s="160"/>
      <c r="CK590" s="160"/>
      <c r="CL590" s="160"/>
    </row>
    <row r="591">
      <c r="A591" s="171"/>
      <c r="F591" s="11"/>
      <c r="G591" s="11"/>
      <c r="L591" s="171"/>
      <c r="M591" s="171"/>
      <c r="O591" s="160"/>
      <c r="P591" s="160"/>
      <c r="Q591" s="160"/>
      <c r="R591" s="160"/>
      <c r="S591" s="160"/>
      <c r="T591" s="207"/>
      <c r="U591" s="160"/>
      <c r="V591" s="160"/>
      <c r="W591" s="160"/>
      <c r="X591" s="160"/>
      <c r="Y591" s="160"/>
      <c r="Z591" s="160"/>
      <c r="AA591" s="160"/>
      <c r="AB591" s="160"/>
      <c r="AC591" s="160"/>
      <c r="AD591" s="160"/>
      <c r="AE591" s="160"/>
      <c r="AF591" s="160"/>
      <c r="AG591" s="160"/>
      <c r="AH591" s="160"/>
      <c r="AI591" s="160"/>
      <c r="AJ591" s="160"/>
      <c r="AK591" s="160"/>
      <c r="AL591" s="160"/>
      <c r="AM591" s="160"/>
      <c r="AN591" s="164"/>
      <c r="AO591" s="160"/>
      <c r="AP591" s="160"/>
      <c r="AQ591" s="160"/>
      <c r="AR591" s="160"/>
      <c r="AS591" s="160"/>
      <c r="AT591" s="160"/>
      <c r="AU591" s="160"/>
      <c r="AV591" s="160"/>
      <c r="AW591" s="160"/>
      <c r="AX591" s="160"/>
      <c r="AY591" s="160"/>
      <c r="AZ591" s="160"/>
      <c r="BA591" s="160"/>
      <c r="BB591" s="160"/>
      <c r="BC591" s="160"/>
      <c r="BD591" s="160"/>
      <c r="BE591" s="160"/>
      <c r="BF591" s="160"/>
      <c r="BG591" s="160"/>
      <c r="BH591" s="160"/>
      <c r="BI591" s="160"/>
      <c r="BJ591" s="160"/>
      <c r="BK591" s="160"/>
      <c r="BL591" s="160"/>
      <c r="BM591" s="160"/>
      <c r="BN591" s="160"/>
      <c r="BO591" s="160"/>
      <c r="BP591" s="160"/>
      <c r="BQ591" s="160"/>
      <c r="BR591" s="160"/>
      <c r="BS591" s="160"/>
      <c r="BT591" s="160"/>
      <c r="BU591" s="160"/>
      <c r="BV591" s="160"/>
      <c r="BW591" s="160"/>
      <c r="BX591" s="160"/>
      <c r="BY591" s="160"/>
      <c r="BZ591" s="160"/>
      <c r="CA591" s="160"/>
      <c r="CB591" s="160"/>
      <c r="CC591" s="160"/>
      <c r="CD591" s="160"/>
      <c r="CE591" s="160"/>
      <c r="CF591" s="160"/>
      <c r="CG591" s="160"/>
      <c r="CH591" s="160"/>
      <c r="CI591" s="160"/>
      <c r="CJ591" s="160"/>
      <c r="CK591" s="160"/>
      <c r="CL591" s="160"/>
    </row>
    <row r="592">
      <c r="A592" s="171"/>
      <c r="F592" s="11"/>
      <c r="G592" s="11"/>
      <c r="L592" s="171"/>
      <c r="M592" s="171"/>
      <c r="O592" s="160"/>
      <c r="P592" s="160"/>
      <c r="Q592" s="160"/>
      <c r="R592" s="160"/>
      <c r="S592" s="160"/>
      <c r="T592" s="207"/>
      <c r="U592" s="160"/>
      <c r="V592" s="160"/>
      <c r="W592" s="160"/>
      <c r="X592" s="160"/>
      <c r="Y592" s="160"/>
      <c r="Z592" s="160"/>
      <c r="AA592" s="160"/>
      <c r="AB592" s="160"/>
      <c r="AC592" s="160"/>
      <c r="AD592" s="160"/>
      <c r="AE592" s="160"/>
      <c r="AF592" s="160"/>
      <c r="AG592" s="160"/>
      <c r="AH592" s="160"/>
      <c r="AI592" s="160"/>
      <c r="AJ592" s="160"/>
      <c r="AK592" s="160"/>
      <c r="AL592" s="160"/>
      <c r="AM592" s="160"/>
      <c r="AN592" s="164"/>
      <c r="AO592" s="160"/>
      <c r="AP592" s="160"/>
      <c r="AQ592" s="160"/>
      <c r="AR592" s="160"/>
      <c r="AS592" s="160"/>
      <c r="AT592" s="160"/>
      <c r="AU592" s="160"/>
      <c r="AV592" s="160"/>
      <c r="AW592" s="160"/>
      <c r="AX592" s="160"/>
      <c r="AY592" s="160"/>
      <c r="AZ592" s="160"/>
      <c r="BA592" s="160"/>
      <c r="BB592" s="160"/>
      <c r="BC592" s="160"/>
      <c r="BD592" s="160"/>
      <c r="BE592" s="160"/>
      <c r="BF592" s="160"/>
      <c r="BG592" s="160"/>
      <c r="BH592" s="160"/>
      <c r="BI592" s="160"/>
      <c r="BJ592" s="160"/>
      <c r="BK592" s="160"/>
      <c r="BL592" s="160"/>
      <c r="BM592" s="160"/>
      <c r="BN592" s="160"/>
      <c r="BO592" s="160"/>
      <c r="BP592" s="160"/>
      <c r="BQ592" s="160"/>
      <c r="BR592" s="160"/>
      <c r="BS592" s="160"/>
      <c r="BT592" s="160"/>
      <c r="BU592" s="160"/>
      <c r="BV592" s="160"/>
      <c r="BW592" s="160"/>
      <c r="BX592" s="160"/>
      <c r="BY592" s="160"/>
      <c r="BZ592" s="160"/>
      <c r="CA592" s="160"/>
      <c r="CB592" s="160"/>
      <c r="CC592" s="160"/>
      <c r="CD592" s="160"/>
      <c r="CE592" s="160"/>
      <c r="CF592" s="160"/>
      <c r="CG592" s="160"/>
      <c r="CH592" s="160"/>
      <c r="CI592" s="160"/>
      <c r="CJ592" s="160"/>
      <c r="CK592" s="160"/>
      <c r="CL592" s="160"/>
    </row>
    <row r="593">
      <c r="A593" s="171"/>
      <c r="F593" s="11"/>
      <c r="G593" s="11"/>
      <c r="L593" s="171"/>
      <c r="M593" s="171"/>
      <c r="O593" s="160"/>
      <c r="P593" s="160"/>
      <c r="Q593" s="160"/>
      <c r="R593" s="160"/>
      <c r="S593" s="160"/>
      <c r="T593" s="207"/>
      <c r="U593" s="160"/>
      <c r="V593" s="160"/>
      <c r="W593" s="160"/>
      <c r="X593" s="160"/>
      <c r="Y593" s="160"/>
      <c r="Z593" s="160"/>
      <c r="AA593" s="160"/>
      <c r="AB593" s="160"/>
      <c r="AC593" s="160"/>
      <c r="AD593" s="160"/>
      <c r="AE593" s="160"/>
      <c r="AF593" s="160"/>
      <c r="AG593" s="160"/>
      <c r="AH593" s="160"/>
      <c r="AI593" s="160"/>
      <c r="AJ593" s="160"/>
      <c r="AK593" s="160"/>
      <c r="AL593" s="160"/>
      <c r="AM593" s="160"/>
      <c r="AN593" s="164"/>
      <c r="AO593" s="160"/>
      <c r="AP593" s="160"/>
      <c r="AQ593" s="160"/>
      <c r="AR593" s="160"/>
      <c r="AS593" s="160"/>
      <c r="AT593" s="160"/>
      <c r="AU593" s="160"/>
      <c r="AV593" s="160"/>
      <c r="AW593" s="160"/>
      <c r="AX593" s="160"/>
      <c r="AY593" s="160"/>
      <c r="AZ593" s="160"/>
      <c r="BA593" s="160"/>
      <c r="BB593" s="160"/>
      <c r="BC593" s="160"/>
      <c r="BD593" s="160"/>
      <c r="BE593" s="160"/>
      <c r="BF593" s="160"/>
      <c r="BG593" s="160"/>
      <c r="BH593" s="160"/>
      <c r="BI593" s="160"/>
      <c r="BJ593" s="160"/>
      <c r="BK593" s="160"/>
      <c r="BL593" s="160"/>
      <c r="BM593" s="160"/>
      <c r="BN593" s="160"/>
      <c r="BO593" s="160"/>
      <c r="BP593" s="160"/>
      <c r="BQ593" s="160"/>
      <c r="BR593" s="160"/>
      <c r="BS593" s="160"/>
      <c r="BT593" s="160"/>
      <c r="BU593" s="160"/>
      <c r="BV593" s="160"/>
      <c r="BW593" s="160"/>
      <c r="BX593" s="160"/>
      <c r="BY593" s="160"/>
      <c r="BZ593" s="160"/>
      <c r="CA593" s="160"/>
      <c r="CB593" s="160"/>
      <c r="CC593" s="160"/>
      <c r="CD593" s="160"/>
      <c r="CE593" s="160"/>
      <c r="CF593" s="160"/>
      <c r="CG593" s="160"/>
      <c r="CH593" s="160"/>
      <c r="CI593" s="160"/>
      <c r="CJ593" s="160"/>
      <c r="CK593" s="160"/>
      <c r="CL593" s="160"/>
    </row>
    <row r="594">
      <c r="A594" s="171"/>
      <c r="F594" s="11"/>
      <c r="G594" s="11"/>
      <c r="L594" s="171"/>
      <c r="M594" s="171"/>
      <c r="O594" s="160"/>
      <c r="P594" s="160"/>
      <c r="Q594" s="160"/>
      <c r="R594" s="160"/>
      <c r="S594" s="160"/>
      <c r="T594" s="207"/>
      <c r="U594" s="160"/>
      <c r="V594" s="160"/>
      <c r="W594" s="160"/>
      <c r="X594" s="160"/>
      <c r="Y594" s="160"/>
      <c r="Z594" s="160"/>
      <c r="AA594" s="160"/>
      <c r="AB594" s="160"/>
      <c r="AC594" s="160"/>
      <c r="AD594" s="160"/>
      <c r="AE594" s="160"/>
      <c r="AF594" s="160"/>
      <c r="AG594" s="160"/>
      <c r="AH594" s="160"/>
      <c r="AI594" s="160"/>
      <c r="AJ594" s="160"/>
      <c r="AK594" s="160"/>
      <c r="AL594" s="160"/>
      <c r="AM594" s="160"/>
      <c r="AN594" s="164"/>
      <c r="AO594" s="160"/>
      <c r="AP594" s="160"/>
      <c r="AQ594" s="160"/>
      <c r="AR594" s="160"/>
      <c r="AS594" s="160"/>
      <c r="AT594" s="160"/>
      <c r="AU594" s="160"/>
      <c r="AV594" s="160"/>
      <c r="AW594" s="160"/>
      <c r="AX594" s="160"/>
      <c r="AY594" s="160"/>
      <c r="AZ594" s="160"/>
      <c r="BA594" s="160"/>
      <c r="BB594" s="160"/>
      <c r="BC594" s="160"/>
      <c r="BD594" s="160"/>
      <c r="BE594" s="160"/>
      <c r="BF594" s="160"/>
      <c r="BG594" s="160"/>
      <c r="BH594" s="160"/>
      <c r="BI594" s="160"/>
      <c r="BJ594" s="160"/>
      <c r="BK594" s="160"/>
      <c r="BL594" s="160"/>
      <c r="BM594" s="160"/>
      <c r="BN594" s="160"/>
      <c r="BO594" s="160"/>
      <c r="BP594" s="160"/>
      <c r="BQ594" s="160"/>
      <c r="BR594" s="160"/>
      <c r="BS594" s="160"/>
      <c r="BT594" s="160"/>
      <c r="BU594" s="160"/>
      <c r="BV594" s="160"/>
      <c r="BW594" s="160"/>
      <c r="BX594" s="160"/>
      <c r="BY594" s="160"/>
      <c r="BZ594" s="160"/>
      <c r="CA594" s="160"/>
      <c r="CB594" s="160"/>
      <c r="CC594" s="160"/>
      <c r="CD594" s="160"/>
      <c r="CE594" s="160"/>
      <c r="CF594" s="160"/>
      <c r="CG594" s="160"/>
      <c r="CH594" s="160"/>
      <c r="CI594" s="160"/>
      <c r="CJ594" s="160"/>
      <c r="CK594" s="160"/>
      <c r="CL594" s="160"/>
    </row>
    <row r="595">
      <c r="A595" s="171"/>
      <c r="F595" s="11"/>
      <c r="G595" s="11"/>
      <c r="L595" s="171"/>
      <c r="M595" s="171"/>
      <c r="O595" s="160"/>
      <c r="P595" s="160"/>
      <c r="Q595" s="160"/>
      <c r="R595" s="160"/>
      <c r="S595" s="160"/>
      <c r="T595" s="207"/>
      <c r="U595" s="160"/>
      <c r="V595" s="160"/>
      <c r="W595" s="160"/>
      <c r="X595" s="160"/>
      <c r="Y595" s="160"/>
      <c r="Z595" s="160"/>
      <c r="AA595" s="160"/>
      <c r="AB595" s="160"/>
      <c r="AC595" s="160"/>
      <c r="AD595" s="160"/>
      <c r="AE595" s="160"/>
      <c r="AF595" s="160"/>
      <c r="AG595" s="160"/>
      <c r="AH595" s="160"/>
      <c r="AI595" s="160"/>
      <c r="AJ595" s="160"/>
      <c r="AK595" s="160"/>
      <c r="AL595" s="160"/>
      <c r="AM595" s="160"/>
      <c r="AN595" s="164"/>
      <c r="AO595" s="160"/>
      <c r="AP595" s="160"/>
      <c r="AQ595" s="160"/>
      <c r="AR595" s="160"/>
      <c r="AS595" s="160"/>
      <c r="AT595" s="160"/>
      <c r="AU595" s="160"/>
      <c r="AV595" s="160"/>
      <c r="AW595" s="160"/>
      <c r="AX595" s="160"/>
      <c r="AY595" s="160"/>
      <c r="AZ595" s="160"/>
      <c r="BA595" s="160"/>
      <c r="BB595" s="160"/>
      <c r="BC595" s="160"/>
      <c r="BD595" s="160"/>
      <c r="BE595" s="160"/>
      <c r="BF595" s="160"/>
      <c r="BG595" s="160"/>
      <c r="BH595" s="160"/>
      <c r="BI595" s="160"/>
      <c r="BJ595" s="160"/>
      <c r="BK595" s="160"/>
      <c r="BL595" s="160"/>
      <c r="BM595" s="160"/>
      <c r="BN595" s="160"/>
      <c r="BO595" s="160"/>
      <c r="BP595" s="160"/>
      <c r="BQ595" s="160"/>
      <c r="BR595" s="160"/>
      <c r="BS595" s="160"/>
      <c r="BT595" s="160"/>
      <c r="BU595" s="160"/>
      <c r="BV595" s="160"/>
      <c r="BW595" s="160"/>
      <c r="BX595" s="160"/>
      <c r="BY595" s="160"/>
      <c r="BZ595" s="160"/>
      <c r="CA595" s="160"/>
      <c r="CB595" s="160"/>
      <c r="CC595" s="160"/>
      <c r="CD595" s="160"/>
      <c r="CE595" s="160"/>
      <c r="CF595" s="160"/>
      <c r="CG595" s="160"/>
      <c r="CH595" s="160"/>
      <c r="CI595" s="160"/>
      <c r="CJ595" s="160"/>
      <c r="CK595" s="160"/>
      <c r="CL595" s="160"/>
    </row>
    <row r="596">
      <c r="A596" s="171"/>
      <c r="F596" s="11"/>
      <c r="G596" s="11"/>
      <c r="L596" s="171"/>
      <c r="M596" s="171"/>
      <c r="O596" s="160"/>
      <c r="P596" s="160"/>
      <c r="Q596" s="160"/>
      <c r="R596" s="160"/>
      <c r="S596" s="160"/>
      <c r="T596" s="207"/>
      <c r="U596" s="160"/>
      <c r="V596" s="160"/>
      <c r="W596" s="160"/>
      <c r="X596" s="160"/>
      <c r="Y596" s="160"/>
      <c r="Z596" s="160"/>
      <c r="AA596" s="160"/>
      <c r="AB596" s="160"/>
      <c r="AC596" s="160"/>
      <c r="AD596" s="160"/>
      <c r="AE596" s="160"/>
      <c r="AF596" s="160"/>
      <c r="AG596" s="160"/>
      <c r="AH596" s="160"/>
      <c r="AI596" s="160"/>
      <c r="AJ596" s="160"/>
      <c r="AK596" s="160"/>
      <c r="AL596" s="160"/>
      <c r="AM596" s="160"/>
      <c r="AN596" s="164"/>
      <c r="AO596" s="160"/>
      <c r="AP596" s="160"/>
      <c r="AQ596" s="160"/>
      <c r="AR596" s="160"/>
      <c r="AS596" s="160"/>
      <c r="AT596" s="160"/>
      <c r="AU596" s="160"/>
      <c r="AV596" s="160"/>
      <c r="AW596" s="160"/>
      <c r="AX596" s="160"/>
      <c r="AY596" s="160"/>
      <c r="AZ596" s="160"/>
      <c r="BA596" s="160"/>
      <c r="BB596" s="160"/>
      <c r="BC596" s="160"/>
      <c r="BD596" s="160"/>
      <c r="BE596" s="160"/>
      <c r="BF596" s="160"/>
      <c r="BG596" s="160"/>
      <c r="BH596" s="160"/>
      <c r="BI596" s="160"/>
      <c r="BJ596" s="160"/>
      <c r="BK596" s="160"/>
      <c r="BL596" s="160"/>
      <c r="BM596" s="160"/>
      <c r="BN596" s="160"/>
      <c r="BO596" s="160"/>
      <c r="BP596" s="160"/>
      <c r="BQ596" s="160"/>
      <c r="BR596" s="160"/>
      <c r="BS596" s="160"/>
      <c r="BT596" s="160"/>
      <c r="BU596" s="160"/>
      <c r="BV596" s="160"/>
      <c r="BW596" s="160"/>
      <c r="BX596" s="160"/>
      <c r="BY596" s="160"/>
      <c r="BZ596" s="160"/>
      <c r="CA596" s="160"/>
      <c r="CB596" s="160"/>
      <c r="CC596" s="160"/>
      <c r="CD596" s="160"/>
      <c r="CE596" s="160"/>
      <c r="CF596" s="160"/>
      <c r="CG596" s="160"/>
      <c r="CH596" s="160"/>
      <c r="CI596" s="160"/>
      <c r="CJ596" s="160"/>
      <c r="CK596" s="160"/>
      <c r="CL596" s="160"/>
    </row>
    <row r="597">
      <c r="A597" s="171"/>
      <c r="F597" s="11"/>
      <c r="G597" s="11"/>
      <c r="L597" s="171"/>
      <c r="M597" s="171"/>
      <c r="O597" s="160"/>
      <c r="P597" s="160"/>
      <c r="Q597" s="160"/>
      <c r="R597" s="160"/>
      <c r="S597" s="160"/>
      <c r="T597" s="207"/>
      <c r="U597" s="160"/>
      <c r="V597" s="160"/>
      <c r="W597" s="160"/>
      <c r="X597" s="160"/>
      <c r="Y597" s="160"/>
      <c r="Z597" s="160"/>
      <c r="AA597" s="160"/>
      <c r="AB597" s="160"/>
      <c r="AC597" s="160"/>
      <c r="AD597" s="160"/>
      <c r="AE597" s="160"/>
      <c r="AF597" s="160"/>
      <c r="AG597" s="160"/>
      <c r="AH597" s="160"/>
      <c r="AI597" s="160"/>
      <c r="AJ597" s="160"/>
      <c r="AK597" s="160"/>
      <c r="AL597" s="160"/>
      <c r="AM597" s="160"/>
      <c r="AN597" s="164"/>
      <c r="AO597" s="160"/>
      <c r="AP597" s="160"/>
      <c r="AQ597" s="160"/>
      <c r="AR597" s="160"/>
      <c r="AS597" s="160"/>
      <c r="AT597" s="160"/>
      <c r="AU597" s="160"/>
      <c r="AV597" s="160"/>
      <c r="AW597" s="160"/>
      <c r="AX597" s="160"/>
      <c r="AY597" s="160"/>
      <c r="AZ597" s="160"/>
      <c r="BA597" s="160"/>
      <c r="BB597" s="160"/>
      <c r="BC597" s="160"/>
      <c r="BD597" s="160"/>
      <c r="BE597" s="160"/>
      <c r="BF597" s="160"/>
      <c r="BG597" s="160"/>
      <c r="BH597" s="160"/>
      <c r="BI597" s="160"/>
      <c r="BJ597" s="160"/>
      <c r="BK597" s="160"/>
      <c r="BL597" s="160"/>
      <c r="BM597" s="160"/>
      <c r="BN597" s="160"/>
      <c r="BO597" s="160"/>
      <c r="BP597" s="160"/>
      <c r="BQ597" s="160"/>
      <c r="BR597" s="160"/>
      <c r="BS597" s="160"/>
      <c r="BT597" s="160"/>
      <c r="BU597" s="160"/>
      <c r="BV597" s="160"/>
      <c r="BW597" s="160"/>
      <c r="BX597" s="160"/>
      <c r="BY597" s="160"/>
      <c r="BZ597" s="160"/>
      <c r="CA597" s="160"/>
      <c r="CB597" s="160"/>
      <c r="CC597" s="160"/>
      <c r="CD597" s="160"/>
      <c r="CE597" s="160"/>
      <c r="CF597" s="160"/>
      <c r="CG597" s="160"/>
      <c r="CH597" s="160"/>
      <c r="CI597" s="160"/>
      <c r="CJ597" s="160"/>
      <c r="CK597" s="160"/>
      <c r="CL597" s="160"/>
    </row>
    <row r="598">
      <c r="A598" s="171"/>
      <c r="F598" s="11"/>
      <c r="G598" s="11"/>
      <c r="L598" s="171"/>
      <c r="M598" s="171"/>
      <c r="O598" s="160"/>
      <c r="P598" s="160"/>
      <c r="Q598" s="160"/>
      <c r="R598" s="160"/>
      <c r="S598" s="160"/>
      <c r="T598" s="207"/>
      <c r="U598" s="160"/>
      <c r="V598" s="160"/>
      <c r="W598" s="160"/>
      <c r="X598" s="160"/>
      <c r="Y598" s="160"/>
      <c r="Z598" s="160"/>
      <c r="AA598" s="160"/>
      <c r="AB598" s="160"/>
      <c r="AC598" s="160"/>
      <c r="AD598" s="160"/>
      <c r="AE598" s="160"/>
      <c r="AF598" s="160"/>
      <c r="AG598" s="160"/>
      <c r="AH598" s="160"/>
      <c r="AI598" s="160"/>
      <c r="AJ598" s="160"/>
      <c r="AK598" s="160"/>
      <c r="AL598" s="160"/>
      <c r="AM598" s="160"/>
      <c r="AN598" s="164"/>
      <c r="AO598" s="160"/>
      <c r="AP598" s="160"/>
      <c r="AQ598" s="160"/>
      <c r="AR598" s="160"/>
      <c r="AS598" s="160"/>
      <c r="AT598" s="160"/>
      <c r="AU598" s="160"/>
      <c r="AV598" s="160"/>
      <c r="AW598" s="160"/>
      <c r="AX598" s="160"/>
      <c r="AY598" s="160"/>
      <c r="AZ598" s="160"/>
      <c r="BA598" s="160"/>
      <c r="BB598" s="160"/>
      <c r="BC598" s="160"/>
      <c r="BD598" s="160"/>
      <c r="BE598" s="160"/>
      <c r="BF598" s="160"/>
      <c r="BG598" s="160"/>
      <c r="BH598" s="160"/>
      <c r="BI598" s="160"/>
      <c r="BJ598" s="160"/>
      <c r="BK598" s="160"/>
      <c r="BL598" s="160"/>
      <c r="BM598" s="160"/>
      <c r="BN598" s="160"/>
      <c r="BO598" s="160"/>
      <c r="BP598" s="160"/>
      <c r="BQ598" s="160"/>
      <c r="BR598" s="160"/>
      <c r="BS598" s="160"/>
      <c r="BT598" s="160"/>
      <c r="BU598" s="160"/>
      <c r="BV598" s="160"/>
      <c r="BW598" s="160"/>
      <c r="BX598" s="160"/>
      <c r="BY598" s="160"/>
      <c r="BZ598" s="160"/>
      <c r="CA598" s="160"/>
      <c r="CB598" s="160"/>
      <c r="CC598" s="160"/>
      <c r="CD598" s="160"/>
      <c r="CE598" s="160"/>
      <c r="CF598" s="160"/>
      <c r="CG598" s="160"/>
      <c r="CH598" s="160"/>
      <c r="CI598" s="160"/>
      <c r="CJ598" s="160"/>
      <c r="CK598" s="160"/>
      <c r="CL598" s="160"/>
    </row>
    <row r="599">
      <c r="A599" s="171"/>
      <c r="F599" s="11"/>
      <c r="G599" s="11"/>
      <c r="L599" s="171"/>
      <c r="M599" s="171"/>
      <c r="O599" s="160"/>
      <c r="P599" s="160"/>
      <c r="Q599" s="160"/>
      <c r="R599" s="160"/>
      <c r="S599" s="160"/>
      <c r="T599" s="207"/>
      <c r="U599" s="160"/>
      <c r="V599" s="160"/>
      <c r="W599" s="160"/>
      <c r="X599" s="160"/>
      <c r="Y599" s="160"/>
      <c r="Z599" s="160"/>
      <c r="AA599" s="160"/>
      <c r="AB599" s="160"/>
      <c r="AC599" s="160"/>
      <c r="AD599" s="160"/>
      <c r="AE599" s="160"/>
      <c r="AF599" s="160"/>
      <c r="AG599" s="160"/>
      <c r="AH599" s="160"/>
      <c r="AI599" s="160"/>
      <c r="AJ599" s="160"/>
      <c r="AK599" s="160"/>
      <c r="AL599" s="160"/>
      <c r="AM599" s="160"/>
      <c r="AN599" s="164"/>
      <c r="AO599" s="160"/>
      <c r="AP599" s="160"/>
      <c r="AQ599" s="160"/>
      <c r="AR599" s="160"/>
      <c r="AS599" s="160"/>
      <c r="AT599" s="160"/>
      <c r="AU599" s="160"/>
      <c r="AV599" s="160"/>
      <c r="AW599" s="160"/>
      <c r="AX599" s="160"/>
      <c r="AY599" s="160"/>
      <c r="AZ599" s="160"/>
      <c r="BA599" s="160"/>
      <c r="BB599" s="160"/>
      <c r="BC599" s="160"/>
      <c r="BD599" s="160"/>
      <c r="BE599" s="160"/>
      <c r="BF599" s="160"/>
      <c r="BG599" s="160"/>
      <c r="BH599" s="160"/>
      <c r="BI599" s="160"/>
      <c r="BJ599" s="160"/>
      <c r="BK599" s="160"/>
      <c r="BL599" s="160"/>
      <c r="BM599" s="160"/>
      <c r="BN599" s="160"/>
      <c r="BO599" s="160"/>
      <c r="BP599" s="160"/>
      <c r="BQ599" s="160"/>
      <c r="BR599" s="160"/>
      <c r="BS599" s="160"/>
      <c r="BT599" s="160"/>
      <c r="BU599" s="160"/>
      <c r="BV599" s="160"/>
      <c r="BW599" s="160"/>
      <c r="BX599" s="160"/>
      <c r="BY599" s="160"/>
      <c r="BZ599" s="160"/>
      <c r="CA599" s="160"/>
      <c r="CB599" s="160"/>
      <c r="CC599" s="160"/>
      <c r="CD599" s="160"/>
      <c r="CE599" s="160"/>
      <c r="CF599" s="160"/>
      <c r="CG599" s="160"/>
      <c r="CH599" s="160"/>
      <c r="CI599" s="160"/>
      <c r="CJ599" s="160"/>
      <c r="CK599" s="160"/>
      <c r="CL599" s="160"/>
    </row>
    <row r="600">
      <c r="A600" s="171"/>
      <c r="F600" s="11"/>
      <c r="G600" s="11"/>
      <c r="L600" s="171"/>
      <c r="M600" s="171"/>
      <c r="O600" s="160"/>
      <c r="P600" s="160"/>
      <c r="Q600" s="160"/>
      <c r="R600" s="160"/>
      <c r="S600" s="160"/>
      <c r="T600" s="207"/>
      <c r="U600" s="160"/>
      <c r="V600" s="160"/>
      <c r="W600" s="160"/>
      <c r="X600" s="160"/>
      <c r="Y600" s="160"/>
      <c r="Z600" s="160"/>
      <c r="AA600" s="160"/>
      <c r="AB600" s="160"/>
      <c r="AC600" s="160"/>
      <c r="AD600" s="160"/>
      <c r="AE600" s="160"/>
      <c r="AF600" s="160"/>
      <c r="AG600" s="160"/>
      <c r="AH600" s="160"/>
      <c r="AI600" s="160"/>
      <c r="AJ600" s="160"/>
      <c r="AK600" s="160"/>
      <c r="AL600" s="160"/>
      <c r="AM600" s="160"/>
      <c r="AN600" s="164"/>
      <c r="AO600" s="160"/>
      <c r="AP600" s="160"/>
      <c r="AQ600" s="160"/>
      <c r="AR600" s="160"/>
      <c r="AS600" s="160"/>
      <c r="AT600" s="160"/>
      <c r="AU600" s="160"/>
      <c r="AV600" s="160"/>
      <c r="AW600" s="160"/>
      <c r="AX600" s="160"/>
      <c r="AY600" s="160"/>
      <c r="AZ600" s="160"/>
      <c r="BA600" s="160"/>
      <c r="BB600" s="160"/>
      <c r="BC600" s="160"/>
      <c r="BD600" s="160"/>
      <c r="BE600" s="160"/>
      <c r="BF600" s="160"/>
      <c r="BG600" s="160"/>
      <c r="BH600" s="160"/>
      <c r="BI600" s="160"/>
      <c r="BJ600" s="160"/>
      <c r="BK600" s="160"/>
      <c r="BL600" s="160"/>
      <c r="BM600" s="160"/>
      <c r="BN600" s="160"/>
      <c r="BO600" s="160"/>
      <c r="BP600" s="160"/>
      <c r="BQ600" s="160"/>
      <c r="BR600" s="160"/>
      <c r="BS600" s="160"/>
      <c r="BT600" s="160"/>
      <c r="BU600" s="160"/>
      <c r="BV600" s="160"/>
      <c r="BW600" s="160"/>
      <c r="BX600" s="160"/>
      <c r="BY600" s="160"/>
      <c r="BZ600" s="160"/>
      <c r="CA600" s="160"/>
      <c r="CB600" s="160"/>
      <c r="CC600" s="160"/>
      <c r="CD600" s="160"/>
      <c r="CE600" s="160"/>
      <c r="CF600" s="160"/>
      <c r="CG600" s="160"/>
      <c r="CH600" s="160"/>
      <c r="CI600" s="160"/>
      <c r="CJ600" s="160"/>
      <c r="CK600" s="160"/>
      <c r="CL600" s="160"/>
    </row>
    <row r="601">
      <c r="A601" s="171"/>
      <c r="F601" s="11"/>
      <c r="G601" s="11"/>
      <c r="L601" s="171"/>
      <c r="M601" s="171"/>
      <c r="O601" s="160"/>
      <c r="P601" s="160"/>
      <c r="Q601" s="160"/>
      <c r="R601" s="160"/>
      <c r="S601" s="160"/>
      <c r="T601" s="207"/>
      <c r="U601" s="160"/>
      <c r="V601" s="160"/>
      <c r="W601" s="160"/>
      <c r="X601" s="160"/>
      <c r="Y601" s="160"/>
      <c r="Z601" s="160"/>
      <c r="AA601" s="160"/>
      <c r="AB601" s="160"/>
      <c r="AC601" s="160"/>
      <c r="AD601" s="160"/>
      <c r="AE601" s="160"/>
      <c r="AF601" s="160"/>
      <c r="AG601" s="160"/>
      <c r="AH601" s="160"/>
      <c r="AI601" s="160"/>
      <c r="AJ601" s="160"/>
      <c r="AK601" s="160"/>
      <c r="AL601" s="160"/>
      <c r="AM601" s="160"/>
      <c r="AN601" s="164"/>
      <c r="AO601" s="160"/>
      <c r="AP601" s="160"/>
      <c r="AQ601" s="160"/>
      <c r="AR601" s="160"/>
      <c r="AS601" s="160"/>
      <c r="AT601" s="160"/>
      <c r="AU601" s="160"/>
      <c r="AV601" s="160"/>
      <c r="AW601" s="160"/>
      <c r="AX601" s="160"/>
      <c r="AY601" s="160"/>
      <c r="AZ601" s="160"/>
      <c r="BA601" s="160"/>
      <c r="BB601" s="160"/>
      <c r="BC601" s="160"/>
      <c r="BD601" s="160"/>
      <c r="BE601" s="160"/>
      <c r="BF601" s="160"/>
      <c r="BG601" s="160"/>
      <c r="BH601" s="160"/>
      <c r="BI601" s="160"/>
      <c r="BJ601" s="160"/>
      <c r="BK601" s="160"/>
      <c r="BL601" s="160"/>
      <c r="BM601" s="160"/>
      <c r="BN601" s="160"/>
      <c r="BO601" s="160"/>
      <c r="BP601" s="160"/>
      <c r="BQ601" s="160"/>
      <c r="BR601" s="160"/>
      <c r="BS601" s="160"/>
      <c r="BT601" s="160"/>
      <c r="BU601" s="160"/>
      <c r="BV601" s="160"/>
      <c r="BW601" s="160"/>
      <c r="BX601" s="160"/>
      <c r="BY601" s="160"/>
      <c r="BZ601" s="160"/>
      <c r="CA601" s="160"/>
      <c r="CB601" s="160"/>
      <c r="CC601" s="160"/>
      <c r="CD601" s="160"/>
      <c r="CE601" s="160"/>
      <c r="CF601" s="160"/>
      <c r="CG601" s="160"/>
      <c r="CH601" s="160"/>
      <c r="CI601" s="160"/>
      <c r="CJ601" s="160"/>
      <c r="CK601" s="160"/>
      <c r="CL601" s="160"/>
    </row>
    <row r="602">
      <c r="A602" s="171"/>
      <c r="F602" s="11"/>
      <c r="G602" s="11"/>
      <c r="L602" s="171"/>
      <c r="M602" s="171"/>
      <c r="O602" s="160"/>
      <c r="P602" s="160"/>
      <c r="Q602" s="160"/>
      <c r="R602" s="160"/>
      <c r="S602" s="160"/>
      <c r="T602" s="207"/>
      <c r="U602" s="160"/>
      <c r="V602" s="160"/>
      <c r="W602" s="160"/>
      <c r="X602" s="160"/>
      <c r="Y602" s="160"/>
      <c r="Z602" s="160"/>
      <c r="AA602" s="160"/>
      <c r="AB602" s="160"/>
      <c r="AC602" s="160"/>
      <c r="AD602" s="160"/>
      <c r="AE602" s="160"/>
      <c r="AF602" s="160"/>
      <c r="AG602" s="160"/>
      <c r="AH602" s="160"/>
      <c r="AI602" s="160"/>
      <c r="AJ602" s="160"/>
      <c r="AK602" s="160"/>
      <c r="AL602" s="160"/>
      <c r="AM602" s="160"/>
      <c r="AN602" s="164"/>
      <c r="AO602" s="160"/>
      <c r="AP602" s="160"/>
      <c r="AQ602" s="160"/>
      <c r="AR602" s="160"/>
      <c r="AS602" s="160"/>
      <c r="AT602" s="160"/>
      <c r="AU602" s="160"/>
      <c r="AV602" s="160"/>
      <c r="AW602" s="160"/>
      <c r="AX602" s="160"/>
      <c r="AY602" s="160"/>
      <c r="AZ602" s="160"/>
      <c r="BA602" s="160"/>
      <c r="BB602" s="160"/>
      <c r="BC602" s="160"/>
      <c r="BD602" s="160"/>
      <c r="BE602" s="160"/>
      <c r="BF602" s="160"/>
      <c r="BG602" s="160"/>
      <c r="BH602" s="160"/>
      <c r="BI602" s="160"/>
      <c r="BJ602" s="160"/>
      <c r="BK602" s="160"/>
      <c r="BL602" s="160"/>
      <c r="BM602" s="160"/>
      <c r="BN602" s="160"/>
      <c r="BO602" s="160"/>
      <c r="BP602" s="160"/>
      <c r="BQ602" s="160"/>
      <c r="BR602" s="160"/>
      <c r="BS602" s="160"/>
      <c r="BT602" s="160"/>
      <c r="BU602" s="160"/>
      <c r="BV602" s="160"/>
      <c r="BW602" s="160"/>
      <c r="BX602" s="160"/>
      <c r="BY602" s="160"/>
      <c r="BZ602" s="160"/>
      <c r="CA602" s="160"/>
      <c r="CB602" s="160"/>
      <c r="CC602" s="160"/>
      <c r="CD602" s="160"/>
      <c r="CE602" s="160"/>
      <c r="CF602" s="160"/>
      <c r="CG602" s="160"/>
      <c r="CH602" s="160"/>
      <c r="CI602" s="160"/>
      <c r="CJ602" s="160"/>
      <c r="CK602" s="160"/>
      <c r="CL602" s="160"/>
    </row>
    <row r="603">
      <c r="A603" s="171"/>
      <c r="F603" s="11"/>
      <c r="G603" s="11"/>
      <c r="L603" s="171"/>
      <c r="M603" s="171"/>
      <c r="O603" s="160"/>
      <c r="P603" s="160"/>
      <c r="Q603" s="160"/>
      <c r="R603" s="160"/>
      <c r="S603" s="160"/>
      <c r="T603" s="207"/>
      <c r="U603" s="160"/>
      <c r="V603" s="160"/>
      <c r="W603" s="160"/>
      <c r="X603" s="160"/>
      <c r="Y603" s="160"/>
      <c r="Z603" s="160"/>
      <c r="AA603" s="160"/>
      <c r="AB603" s="160"/>
      <c r="AC603" s="160"/>
      <c r="AD603" s="160"/>
      <c r="AE603" s="160"/>
      <c r="AF603" s="160"/>
      <c r="AG603" s="160"/>
      <c r="AH603" s="160"/>
      <c r="AI603" s="160"/>
      <c r="AJ603" s="160"/>
      <c r="AK603" s="160"/>
      <c r="AL603" s="160"/>
      <c r="AM603" s="160"/>
      <c r="AN603" s="164"/>
      <c r="AO603" s="160"/>
      <c r="AP603" s="160"/>
      <c r="AQ603" s="160"/>
      <c r="AR603" s="160"/>
      <c r="AS603" s="160"/>
      <c r="AT603" s="160"/>
      <c r="AU603" s="160"/>
      <c r="AV603" s="160"/>
      <c r="AW603" s="160"/>
      <c r="AX603" s="160"/>
      <c r="AY603" s="160"/>
      <c r="AZ603" s="160"/>
      <c r="BA603" s="160"/>
      <c r="BB603" s="160"/>
      <c r="BC603" s="160"/>
      <c r="BD603" s="160"/>
      <c r="BE603" s="160"/>
      <c r="BF603" s="160"/>
      <c r="BG603" s="160"/>
      <c r="BH603" s="160"/>
      <c r="BI603" s="160"/>
      <c r="BJ603" s="160"/>
      <c r="BK603" s="160"/>
      <c r="BL603" s="160"/>
      <c r="BM603" s="160"/>
      <c r="BN603" s="160"/>
      <c r="BO603" s="160"/>
      <c r="BP603" s="160"/>
      <c r="BQ603" s="160"/>
      <c r="BR603" s="160"/>
      <c r="BS603" s="160"/>
      <c r="BT603" s="160"/>
      <c r="BU603" s="160"/>
      <c r="BV603" s="160"/>
      <c r="BW603" s="160"/>
      <c r="BX603" s="160"/>
      <c r="BY603" s="160"/>
      <c r="BZ603" s="160"/>
      <c r="CA603" s="160"/>
      <c r="CB603" s="160"/>
      <c r="CC603" s="160"/>
      <c r="CD603" s="160"/>
      <c r="CE603" s="160"/>
      <c r="CF603" s="160"/>
      <c r="CG603" s="160"/>
      <c r="CH603" s="160"/>
      <c r="CI603" s="160"/>
      <c r="CJ603" s="160"/>
      <c r="CK603" s="160"/>
      <c r="CL603" s="160"/>
    </row>
    <row r="604">
      <c r="A604" s="171"/>
      <c r="F604" s="11"/>
      <c r="G604" s="11"/>
      <c r="L604" s="171"/>
      <c r="M604" s="171"/>
      <c r="O604" s="160"/>
      <c r="P604" s="160"/>
      <c r="Q604" s="160"/>
      <c r="R604" s="160"/>
      <c r="S604" s="160"/>
      <c r="T604" s="207"/>
      <c r="U604" s="160"/>
      <c r="V604" s="160"/>
      <c r="W604" s="160"/>
      <c r="X604" s="160"/>
      <c r="Y604" s="160"/>
      <c r="Z604" s="160"/>
      <c r="AA604" s="160"/>
      <c r="AB604" s="160"/>
      <c r="AC604" s="160"/>
      <c r="AD604" s="160"/>
      <c r="AE604" s="160"/>
      <c r="AF604" s="160"/>
      <c r="AG604" s="160"/>
      <c r="AH604" s="160"/>
      <c r="AI604" s="160"/>
      <c r="AJ604" s="160"/>
      <c r="AK604" s="160"/>
      <c r="AL604" s="160"/>
      <c r="AM604" s="160"/>
      <c r="AN604" s="164"/>
      <c r="AO604" s="160"/>
      <c r="AP604" s="160"/>
      <c r="AQ604" s="160"/>
      <c r="AR604" s="160"/>
      <c r="AS604" s="160"/>
      <c r="AT604" s="160"/>
      <c r="AU604" s="160"/>
      <c r="AV604" s="160"/>
      <c r="AW604" s="160"/>
      <c r="AX604" s="160"/>
      <c r="AY604" s="160"/>
      <c r="AZ604" s="160"/>
      <c r="BA604" s="160"/>
      <c r="BB604" s="160"/>
      <c r="BC604" s="160"/>
      <c r="BD604" s="160"/>
      <c r="BE604" s="160"/>
      <c r="BF604" s="160"/>
      <c r="BG604" s="160"/>
      <c r="BH604" s="160"/>
      <c r="BI604" s="160"/>
      <c r="BJ604" s="160"/>
      <c r="BK604" s="160"/>
      <c r="BL604" s="160"/>
      <c r="BM604" s="160"/>
      <c r="BN604" s="160"/>
      <c r="BO604" s="160"/>
      <c r="BP604" s="160"/>
      <c r="BQ604" s="160"/>
      <c r="BR604" s="160"/>
      <c r="BS604" s="160"/>
      <c r="BT604" s="160"/>
      <c r="BU604" s="160"/>
      <c r="BV604" s="160"/>
      <c r="BW604" s="160"/>
      <c r="BX604" s="160"/>
      <c r="BY604" s="160"/>
      <c r="BZ604" s="160"/>
      <c r="CA604" s="160"/>
      <c r="CB604" s="160"/>
      <c r="CC604" s="160"/>
      <c r="CD604" s="160"/>
      <c r="CE604" s="160"/>
      <c r="CF604" s="160"/>
      <c r="CG604" s="160"/>
      <c r="CH604" s="160"/>
      <c r="CI604" s="160"/>
      <c r="CJ604" s="160"/>
      <c r="CK604" s="160"/>
      <c r="CL604" s="160"/>
    </row>
    <row r="605">
      <c r="A605" s="171"/>
      <c r="F605" s="11"/>
      <c r="G605" s="11"/>
      <c r="L605" s="171"/>
      <c r="M605" s="171"/>
      <c r="O605" s="160"/>
      <c r="P605" s="160"/>
      <c r="Q605" s="160"/>
      <c r="R605" s="160"/>
      <c r="S605" s="160"/>
      <c r="T605" s="207"/>
      <c r="U605" s="160"/>
      <c r="V605" s="160"/>
      <c r="W605" s="160"/>
      <c r="X605" s="160"/>
      <c r="Y605" s="160"/>
      <c r="Z605" s="160"/>
      <c r="AA605" s="160"/>
      <c r="AB605" s="160"/>
      <c r="AC605" s="160"/>
      <c r="AD605" s="160"/>
      <c r="AE605" s="160"/>
      <c r="AF605" s="160"/>
      <c r="AG605" s="160"/>
      <c r="AH605" s="160"/>
      <c r="AI605" s="160"/>
      <c r="AJ605" s="160"/>
      <c r="AK605" s="160"/>
      <c r="AL605" s="160"/>
      <c r="AM605" s="160"/>
      <c r="AN605" s="164"/>
      <c r="AO605" s="160"/>
      <c r="AP605" s="160"/>
      <c r="AQ605" s="160"/>
      <c r="AR605" s="160"/>
      <c r="AS605" s="160"/>
      <c r="AT605" s="160"/>
      <c r="AU605" s="160"/>
      <c r="AV605" s="160"/>
      <c r="AW605" s="160"/>
      <c r="AX605" s="160"/>
      <c r="AY605" s="160"/>
      <c r="AZ605" s="160"/>
      <c r="BA605" s="160"/>
      <c r="BB605" s="160"/>
      <c r="BC605" s="160"/>
      <c r="BD605" s="160"/>
      <c r="BE605" s="160"/>
      <c r="BF605" s="160"/>
      <c r="BG605" s="160"/>
      <c r="BH605" s="160"/>
      <c r="BI605" s="160"/>
      <c r="BJ605" s="160"/>
      <c r="BK605" s="160"/>
      <c r="BL605" s="160"/>
      <c r="BM605" s="160"/>
      <c r="BN605" s="160"/>
      <c r="BO605" s="160"/>
      <c r="BP605" s="160"/>
      <c r="BQ605" s="160"/>
      <c r="BR605" s="160"/>
      <c r="BS605" s="160"/>
      <c r="BT605" s="160"/>
      <c r="BU605" s="160"/>
      <c r="BV605" s="160"/>
      <c r="BW605" s="160"/>
      <c r="BX605" s="160"/>
      <c r="BY605" s="160"/>
      <c r="BZ605" s="160"/>
      <c r="CA605" s="160"/>
      <c r="CB605" s="160"/>
      <c r="CC605" s="160"/>
      <c r="CD605" s="160"/>
      <c r="CE605" s="160"/>
      <c r="CF605" s="160"/>
      <c r="CG605" s="160"/>
      <c r="CH605" s="160"/>
      <c r="CI605" s="160"/>
      <c r="CJ605" s="160"/>
      <c r="CK605" s="160"/>
      <c r="CL605" s="160"/>
    </row>
    <row r="606">
      <c r="A606" s="171"/>
      <c r="F606" s="11"/>
      <c r="G606" s="11"/>
      <c r="L606" s="171"/>
      <c r="M606" s="171"/>
      <c r="O606" s="160"/>
      <c r="P606" s="160"/>
      <c r="Q606" s="160"/>
      <c r="R606" s="160"/>
      <c r="S606" s="160"/>
      <c r="T606" s="207"/>
      <c r="U606" s="160"/>
      <c r="V606" s="160"/>
      <c r="W606" s="160"/>
      <c r="X606" s="160"/>
      <c r="Y606" s="160"/>
      <c r="Z606" s="160"/>
      <c r="AA606" s="160"/>
      <c r="AB606" s="160"/>
      <c r="AC606" s="160"/>
      <c r="AD606" s="160"/>
      <c r="AE606" s="160"/>
      <c r="AF606" s="160"/>
      <c r="AG606" s="160"/>
      <c r="AH606" s="160"/>
      <c r="AI606" s="160"/>
      <c r="AJ606" s="160"/>
      <c r="AK606" s="160"/>
      <c r="AL606" s="160"/>
      <c r="AM606" s="160"/>
      <c r="AN606" s="164"/>
      <c r="AO606" s="160"/>
      <c r="AP606" s="160"/>
      <c r="AQ606" s="160"/>
      <c r="AR606" s="160"/>
      <c r="AS606" s="160"/>
      <c r="AT606" s="160"/>
      <c r="AU606" s="160"/>
      <c r="AV606" s="160"/>
      <c r="AW606" s="160"/>
      <c r="AX606" s="160"/>
      <c r="AY606" s="160"/>
      <c r="AZ606" s="160"/>
      <c r="BA606" s="160"/>
      <c r="BB606" s="160"/>
      <c r="BC606" s="160"/>
      <c r="BD606" s="160"/>
      <c r="BE606" s="160"/>
      <c r="BF606" s="160"/>
      <c r="BG606" s="160"/>
      <c r="BH606" s="160"/>
      <c r="BI606" s="160"/>
      <c r="BJ606" s="160"/>
      <c r="BK606" s="160"/>
      <c r="BL606" s="160"/>
      <c r="BM606" s="160"/>
      <c r="BN606" s="160"/>
      <c r="BO606" s="160"/>
      <c r="BP606" s="160"/>
      <c r="BQ606" s="160"/>
      <c r="BR606" s="160"/>
      <c r="BS606" s="160"/>
      <c r="BT606" s="160"/>
      <c r="BU606" s="160"/>
      <c r="BV606" s="160"/>
      <c r="BW606" s="160"/>
      <c r="BX606" s="160"/>
      <c r="BY606" s="160"/>
      <c r="BZ606" s="160"/>
      <c r="CA606" s="160"/>
      <c r="CB606" s="160"/>
      <c r="CC606" s="160"/>
      <c r="CD606" s="160"/>
      <c r="CE606" s="160"/>
      <c r="CF606" s="160"/>
      <c r="CG606" s="160"/>
      <c r="CH606" s="160"/>
      <c r="CI606" s="160"/>
      <c r="CJ606" s="160"/>
      <c r="CK606" s="160"/>
      <c r="CL606" s="160"/>
    </row>
    <row r="607">
      <c r="A607" s="171"/>
      <c r="F607" s="11"/>
      <c r="G607" s="11"/>
      <c r="L607" s="171"/>
      <c r="M607" s="171"/>
      <c r="O607" s="160"/>
      <c r="P607" s="160"/>
      <c r="Q607" s="160"/>
      <c r="R607" s="160"/>
      <c r="S607" s="160"/>
      <c r="T607" s="207"/>
      <c r="U607" s="160"/>
      <c r="V607" s="160"/>
      <c r="W607" s="160"/>
      <c r="X607" s="160"/>
      <c r="Y607" s="160"/>
      <c r="Z607" s="160"/>
      <c r="AA607" s="160"/>
      <c r="AB607" s="160"/>
      <c r="AC607" s="160"/>
      <c r="AD607" s="160"/>
      <c r="AE607" s="160"/>
      <c r="AF607" s="160"/>
      <c r="AG607" s="160"/>
      <c r="AH607" s="160"/>
      <c r="AI607" s="160"/>
      <c r="AJ607" s="160"/>
      <c r="AK607" s="160"/>
      <c r="AL607" s="160"/>
      <c r="AM607" s="160"/>
      <c r="AN607" s="164"/>
      <c r="AO607" s="160"/>
      <c r="AP607" s="160"/>
      <c r="AQ607" s="160"/>
      <c r="AR607" s="160"/>
      <c r="AS607" s="160"/>
      <c r="AT607" s="160"/>
      <c r="AU607" s="160"/>
      <c r="AV607" s="160"/>
      <c r="AW607" s="160"/>
      <c r="AX607" s="160"/>
      <c r="AY607" s="160"/>
      <c r="AZ607" s="160"/>
      <c r="BA607" s="160"/>
      <c r="BB607" s="160"/>
      <c r="BC607" s="160"/>
      <c r="BD607" s="160"/>
      <c r="BE607" s="160"/>
      <c r="BF607" s="160"/>
      <c r="BG607" s="160"/>
      <c r="BH607" s="160"/>
      <c r="BI607" s="160"/>
      <c r="BJ607" s="160"/>
      <c r="BK607" s="160"/>
      <c r="BL607" s="160"/>
      <c r="BM607" s="160"/>
      <c r="BN607" s="160"/>
      <c r="BO607" s="160"/>
      <c r="BP607" s="160"/>
      <c r="BQ607" s="160"/>
      <c r="BR607" s="160"/>
      <c r="BS607" s="160"/>
      <c r="BT607" s="160"/>
      <c r="BU607" s="160"/>
      <c r="BV607" s="160"/>
      <c r="BW607" s="160"/>
      <c r="BX607" s="160"/>
      <c r="BY607" s="160"/>
      <c r="BZ607" s="160"/>
      <c r="CA607" s="160"/>
      <c r="CB607" s="160"/>
      <c r="CC607" s="160"/>
      <c r="CD607" s="160"/>
      <c r="CE607" s="160"/>
      <c r="CF607" s="160"/>
      <c r="CG607" s="160"/>
      <c r="CH607" s="160"/>
      <c r="CI607" s="160"/>
      <c r="CJ607" s="160"/>
      <c r="CK607" s="160"/>
      <c r="CL607" s="160"/>
    </row>
    <row r="608">
      <c r="A608" s="171"/>
      <c r="F608" s="11"/>
      <c r="G608" s="11"/>
      <c r="L608" s="171"/>
      <c r="M608" s="171"/>
      <c r="O608" s="160"/>
      <c r="P608" s="160"/>
      <c r="Q608" s="160"/>
      <c r="R608" s="160"/>
      <c r="S608" s="160"/>
      <c r="T608" s="207"/>
      <c r="U608" s="160"/>
      <c r="V608" s="160"/>
      <c r="W608" s="160"/>
      <c r="X608" s="160"/>
      <c r="Y608" s="160"/>
      <c r="Z608" s="160"/>
      <c r="AA608" s="160"/>
      <c r="AB608" s="160"/>
      <c r="AC608" s="160"/>
      <c r="AD608" s="160"/>
      <c r="AE608" s="160"/>
      <c r="AF608" s="160"/>
      <c r="AG608" s="160"/>
      <c r="AH608" s="160"/>
      <c r="AI608" s="160"/>
      <c r="AJ608" s="160"/>
      <c r="AK608" s="160"/>
      <c r="AL608" s="160"/>
      <c r="AM608" s="160"/>
      <c r="AN608" s="164"/>
      <c r="AO608" s="160"/>
      <c r="AP608" s="160"/>
      <c r="AQ608" s="160"/>
      <c r="AR608" s="160"/>
      <c r="AS608" s="160"/>
      <c r="AT608" s="160"/>
      <c r="AU608" s="160"/>
      <c r="AV608" s="160"/>
      <c r="AW608" s="160"/>
      <c r="AX608" s="160"/>
      <c r="AY608" s="160"/>
      <c r="AZ608" s="160"/>
      <c r="BA608" s="160"/>
      <c r="BB608" s="160"/>
      <c r="BC608" s="160"/>
      <c r="BD608" s="160"/>
      <c r="BE608" s="160"/>
      <c r="BF608" s="160"/>
      <c r="BG608" s="160"/>
      <c r="BH608" s="160"/>
      <c r="BI608" s="160"/>
      <c r="BJ608" s="160"/>
      <c r="BK608" s="160"/>
      <c r="BL608" s="160"/>
      <c r="BM608" s="160"/>
      <c r="BN608" s="160"/>
      <c r="BO608" s="160"/>
      <c r="BP608" s="160"/>
      <c r="BQ608" s="160"/>
      <c r="BR608" s="160"/>
      <c r="BS608" s="160"/>
      <c r="BT608" s="160"/>
      <c r="BU608" s="160"/>
      <c r="BV608" s="160"/>
      <c r="BW608" s="160"/>
      <c r="BX608" s="160"/>
      <c r="BY608" s="160"/>
      <c r="BZ608" s="160"/>
      <c r="CA608" s="160"/>
      <c r="CB608" s="160"/>
      <c r="CC608" s="160"/>
      <c r="CD608" s="160"/>
      <c r="CE608" s="160"/>
      <c r="CF608" s="160"/>
      <c r="CG608" s="160"/>
      <c r="CH608" s="160"/>
      <c r="CI608" s="160"/>
      <c r="CJ608" s="160"/>
      <c r="CK608" s="160"/>
      <c r="CL608" s="160"/>
    </row>
    <row r="609">
      <c r="A609" s="171"/>
      <c r="F609" s="11"/>
      <c r="G609" s="11"/>
      <c r="L609" s="171"/>
      <c r="M609" s="171"/>
      <c r="O609" s="160"/>
      <c r="P609" s="160"/>
      <c r="Q609" s="160"/>
      <c r="R609" s="160"/>
      <c r="S609" s="160"/>
      <c r="T609" s="207"/>
      <c r="U609" s="160"/>
      <c r="V609" s="160"/>
      <c r="W609" s="160"/>
      <c r="X609" s="160"/>
      <c r="Y609" s="160"/>
      <c r="Z609" s="160"/>
      <c r="AA609" s="160"/>
      <c r="AB609" s="160"/>
      <c r="AC609" s="160"/>
      <c r="AD609" s="160"/>
      <c r="AE609" s="160"/>
      <c r="AF609" s="160"/>
      <c r="AG609" s="160"/>
      <c r="AH609" s="160"/>
      <c r="AI609" s="160"/>
      <c r="AJ609" s="160"/>
      <c r="AK609" s="160"/>
      <c r="AL609" s="160"/>
      <c r="AM609" s="160"/>
      <c r="AN609" s="164"/>
      <c r="AO609" s="160"/>
      <c r="AP609" s="160"/>
      <c r="AQ609" s="160"/>
      <c r="AR609" s="160"/>
      <c r="AS609" s="160"/>
      <c r="AT609" s="160"/>
      <c r="AU609" s="160"/>
      <c r="AV609" s="160"/>
      <c r="AW609" s="160"/>
      <c r="AX609" s="160"/>
      <c r="AY609" s="160"/>
      <c r="AZ609" s="160"/>
      <c r="BA609" s="160"/>
      <c r="BB609" s="160"/>
      <c r="BC609" s="160"/>
      <c r="BD609" s="160"/>
      <c r="BE609" s="160"/>
      <c r="BF609" s="160"/>
      <c r="BG609" s="160"/>
      <c r="BH609" s="160"/>
      <c r="BI609" s="160"/>
      <c r="BJ609" s="160"/>
      <c r="BK609" s="160"/>
      <c r="BL609" s="160"/>
      <c r="BM609" s="160"/>
      <c r="BN609" s="160"/>
      <c r="BO609" s="160"/>
      <c r="BP609" s="160"/>
      <c r="BQ609" s="160"/>
      <c r="BR609" s="160"/>
      <c r="BS609" s="160"/>
      <c r="BT609" s="160"/>
      <c r="BU609" s="160"/>
      <c r="BV609" s="160"/>
      <c r="BW609" s="160"/>
      <c r="BX609" s="160"/>
      <c r="BY609" s="160"/>
      <c r="BZ609" s="160"/>
      <c r="CA609" s="160"/>
      <c r="CB609" s="160"/>
      <c r="CC609" s="160"/>
      <c r="CD609" s="160"/>
      <c r="CE609" s="160"/>
      <c r="CF609" s="160"/>
      <c r="CG609" s="160"/>
      <c r="CH609" s="160"/>
      <c r="CI609" s="160"/>
      <c r="CJ609" s="160"/>
      <c r="CK609" s="160"/>
      <c r="CL609" s="160"/>
    </row>
    <row r="610">
      <c r="A610" s="171"/>
      <c r="F610" s="11"/>
      <c r="G610" s="11"/>
      <c r="L610" s="171"/>
      <c r="M610" s="171"/>
      <c r="O610" s="160"/>
      <c r="P610" s="160"/>
      <c r="Q610" s="160"/>
      <c r="R610" s="160"/>
      <c r="S610" s="160"/>
      <c r="T610" s="207"/>
      <c r="U610" s="160"/>
      <c r="V610" s="160"/>
      <c r="W610" s="160"/>
      <c r="X610" s="160"/>
      <c r="Y610" s="160"/>
      <c r="Z610" s="160"/>
      <c r="AA610" s="160"/>
      <c r="AB610" s="160"/>
      <c r="AC610" s="160"/>
      <c r="AD610" s="160"/>
      <c r="AE610" s="160"/>
      <c r="AF610" s="160"/>
      <c r="AG610" s="160"/>
      <c r="AH610" s="160"/>
      <c r="AI610" s="160"/>
      <c r="AJ610" s="160"/>
      <c r="AK610" s="160"/>
      <c r="AL610" s="160"/>
      <c r="AM610" s="160"/>
      <c r="AN610" s="164"/>
      <c r="AO610" s="160"/>
      <c r="AP610" s="160"/>
      <c r="AQ610" s="160"/>
      <c r="AR610" s="160"/>
      <c r="AS610" s="160"/>
      <c r="AT610" s="160"/>
      <c r="AU610" s="160"/>
      <c r="AV610" s="160"/>
      <c r="AW610" s="160"/>
      <c r="AX610" s="160"/>
      <c r="AY610" s="160"/>
      <c r="AZ610" s="160"/>
      <c r="BA610" s="160"/>
      <c r="BB610" s="160"/>
      <c r="BC610" s="160"/>
      <c r="BD610" s="160"/>
      <c r="BE610" s="160"/>
      <c r="BF610" s="160"/>
      <c r="BG610" s="160"/>
      <c r="BH610" s="160"/>
      <c r="BI610" s="160"/>
      <c r="BJ610" s="160"/>
      <c r="BK610" s="160"/>
      <c r="BL610" s="160"/>
      <c r="BM610" s="160"/>
      <c r="BN610" s="160"/>
      <c r="BO610" s="160"/>
      <c r="BP610" s="160"/>
      <c r="BQ610" s="160"/>
      <c r="BR610" s="160"/>
      <c r="BS610" s="160"/>
      <c r="BT610" s="160"/>
      <c r="BU610" s="160"/>
      <c r="BV610" s="160"/>
      <c r="BW610" s="160"/>
      <c r="BX610" s="160"/>
      <c r="BY610" s="160"/>
      <c r="BZ610" s="160"/>
      <c r="CA610" s="160"/>
      <c r="CB610" s="160"/>
      <c r="CC610" s="160"/>
      <c r="CD610" s="160"/>
      <c r="CE610" s="160"/>
      <c r="CF610" s="160"/>
      <c r="CG610" s="160"/>
      <c r="CH610" s="160"/>
      <c r="CI610" s="160"/>
      <c r="CJ610" s="160"/>
      <c r="CK610" s="160"/>
      <c r="CL610" s="160"/>
    </row>
    <row r="611">
      <c r="A611" s="171"/>
      <c r="F611" s="11"/>
      <c r="G611" s="11"/>
      <c r="L611" s="171"/>
      <c r="M611" s="171"/>
      <c r="O611" s="160"/>
      <c r="P611" s="160"/>
      <c r="Q611" s="160"/>
      <c r="R611" s="160"/>
      <c r="S611" s="160"/>
      <c r="T611" s="207"/>
      <c r="U611" s="160"/>
      <c r="V611" s="160"/>
      <c r="W611" s="160"/>
      <c r="X611" s="160"/>
      <c r="Y611" s="160"/>
      <c r="Z611" s="160"/>
      <c r="AA611" s="160"/>
      <c r="AB611" s="160"/>
      <c r="AC611" s="160"/>
      <c r="AD611" s="160"/>
      <c r="AE611" s="160"/>
      <c r="AF611" s="160"/>
      <c r="AG611" s="160"/>
      <c r="AH611" s="160"/>
      <c r="AI611" s="160"/>
      <c r="AJ611" s="160"/>
      <c r="AK611" s="160"/>
      <c r="AL611" s="160"/>
      <c r="AM611" s="160"/>
      <c r="AN611" s="164"/>
      <c r="AO611" s="160"/>
      <c r="AP611" s="160"/>
      <c r="AQ611" s="160"/>
      <c r="AR611" s="160"/>
      <c r="AS611" s="160"/>
      <c r="AT611" s="160"/>
      <c r="AU611" s="160"/>
      <c r="AV611" s="160"/>
      <c r="AW611" s="160"/>
      <c r="AX611" s="160"/>
      <c r="AY611" s="160"/>
      <c r="AZ611" s="160"/>
      <c r="BA611" s="160"/>
      <c r="BB611" s="160"/>
      <c r="BC611" s="160"/>
      <c r="BD611" s="160"/>
      <c r="BE611" s="160"/>
      <c r="BF611" s="160"/>
      <c r="BG611" s="160"/>
      <c r="BH611" s="160"/>
      <c r="BI611" s="160"/>
      <c r="BJ611" s="160"/>
      <c r="BK611" s="160"/>
      <c r="BL611" s="160"/>
      <c r="BM611" s="160"/>
      <c r="BN611" s="160"/>
      <c r="BO611" s="160"/>
      <c r="BP611" s="160"/>
      <c r="BQ611" s="160"/>
      <c r="BR611" s="160"/>
      <c r="BS611" s="160"/>
      <c r="BT611" s="160"/>
      <c r="BU611" s="160"/>
      <c r="BV611" s="160"/>
      <c r="BW611" s="160"/>
      <c r="BX611" s="160"/>
      <c r="BY611" s="160"/>
      <c r="BZ611" s="160"/>
      <c r="CA611" s="160"/>
      <c r="CB611" s="160"/>
      <c r="CC611" s="160"/>
      <c r="CD611" s="160"/>
      <c r="CE611" s="160"/>
      <c r="CF611" s="160"/>
      <c r="CG611" s="160"/>
      <c r="CH611" s="160"/>
      <c r="CI611" s="160"/>
      <c r="CJ611" s="160"/>
      <c r="CK611" s="160"/>
      <c r="CL611" s="160"/>
    </row>
    <row r="612">
      <c r="A612" s="171"/>
      <c r="F612" s="11"/>
      <c r="G612" s="11"/>
      <c r="L612" s="171"/>
      <c r="M612" s="171"/>
      <c r="O612" s="160"/>
      <c r="P612" s="160"/>
      <c r="Q612" s="160"/>
      <c r="R612" s="160"/>
      <c r="S612" s="160"/>
      <c r="T612" s="207"/>
      <c r="U612" s="160"/>
      <c r="V612" s="160"/>
      <c r="W612" s="160"/>
      <c r="X612" s="160"/>
      <c r="Y612" s="160"/>
      <c r="Z612" s="160"/>
      <c r="AA612" s="160"/>
      <c r="AB612" s="160"/>
      <c r="AC612" s="160"/>
      <c r="AD612" s="160"/>
      <c r="AE612" s="160"/>
      <c r="AF612" s="160"/>
      <c r="AG612" s="160"/>
      <c r="AH612" s="160"/>
      <c r="AI612" s="160"/>
      <c r="AJ612" s="160"/>
      <c r="AK612" s="160"/>
      <c r="AL612" s="160"/>
      <c r="AM612" s="160"/>
      <c r="AN612" s="164"/>
      <c r="AO612" s="160"/>
      <c r="AP612" s="160"/>
      <c r="AQ612" s="160"/>
      <c r="AR612" s="160"/>
      <c r="AS612" s="160"/>
      <c r="AT612" s="160"/>
      <c r="AU612" s="160"/>
      <c r="AV612" s="160"/>
      <c r="AW612" s="160"/>
      <c r="AX612" s="160"/>
      <c r="AY612" s="160"/>
      <c r="AZ612" s="160"/>
      <c r="BA612" s="160"/>
      <c r="BB612" s="160"/>
      <c r="BC612" s="160"/>
      <c r="BD612" s="160"/>
      <c r="BE612" s="160"/>
      <c r="BF612" s="160"/>
      <c r="BG612" s="160"/>
      <c r="BH612" s="160"/>
      <c r="BI612" s="160"/>
      <c r="BJ612" s="160"/>
      <c r="BK612" s="160"/>
      <c r="BL612" s="160"/>
      <c r="BM612" s="160"/>
      <c r="BN612" s="160"/>
      <c r="BO612" s="160"/>
      <c r="BP612" s="160"/>
      <c r="BQ612" s="160"/>
      <c r="BR612" s="160"/>
      <c r="BS612" s="160"/>
      <c r="BT612" s="160"/>
      <c r="BU612" s="160"/>
      <c r="BV612" s="160"/>
      <c r="BW612" s="160"/>
      <c r="BX612" s="160"/>
      <c r="BY612" s="160"/>
      <c r="BZ612" s="160"/>
      <c r="CA612" s="160"/>
      <c r="CB612" s="160"/>
      <c r="CC612" s="160"/>
      <c r="CD612" s="160"/>
      <c r="CE612" s="160"/>
      <c r="CF612" s="160"/>
      <c r="CG612" s="160"/>
      <c r="CH612" s="160"/>
      <c r="CI612" s="160"/>
      <c r="CJ612" s="160"/>
      <c r="CK612" s="160"/>
      <c r="CL612" s="160"/>
    </row>
    <row r="613">
      <c r="A613" s="171"/>
      <c r="F613" s="11"/>
      <c r="G613" s="11"/>
      <c r="L613" s="171"/>
      <c r="M613" s="171"/>
      <c r="O613" s="160"/>
      <c r="P613" s="160"/>
      <c r="Q613" s="160"/>
      <c r="R613" s="160"/>
      <c r="S613" s="160"/>
      <c r="T613" s="207"/>
      <c r="U613" s="160"/>
      <c r="V613" s="160"/>
      <c r="W613" s="160"/>
      <c r="X613" s="160"/>
      <c r="Y613" s="160"/>
      <c r="Z613" s="160"/>
      <c r="AA613" s="160"/>
      <c r="AB613" s="160"/>
      <c r="AC613" s="160"/>
      <c r="AD613" s="160"/>
      <c r="AE613" s="160"/>
      <c r="AF613" s="160"/>
      <c r="AG613" s="160"/>
      <c r="AH613" s="160"/>
      <c r="AI613" s="160"/>
      <c r="AJ613" s="160"/>
      <c r="AK613" s="160"/>
      <c r="AL613" s="160"/>
      <c r="AM613" s="160"/>
      <c r="AN613" s="164"/>
      <c r="AO613" s="160"/>
      <c r="AP613" s="160"/>
      <c r="AQ613" s="160"/>
      <c r="AR613" s="160"/>
      <c r="AS613" s="160"/>
      <c r="AT613" s="160"/>
      <c r="AU613" s="160"/>
      <c r="AV613" s="160"/>
      <c r="AW613" s="160"/>
      <c r="AX613" s="160"/>
      <c r="AY613" s="160"/>
      <c r="AZ613" s="160"/>
      <c r="BA613" s="160"/>
      <c r="BB613" s="160"/>
      <c r="BC613" s="160"/>
      <c r="BD613" s="160"/>
      <c r="BE613" s="160"/>
      <c r="BF613" s="160"/>
      <c r="BG613" s="160"/>
      <c r="BH613" s="160"/>
      <c r="BI613" s="160"/>
      <c r="BJ613" s="160"/>
      <c r="BK613" s="160"/>
      <c r="BL613" s="160"/>
      <c r="BM613" s="160"/>
      <c r="BN613" s="160"/>
      <c r="BO613" s="160"/>
      <c r="BP613" s="160"/>
      <c r="BQ613" s="160"/>
      <c r="BR613" s="160"/>
      <c r="BS613" s="160"/>
      <c r="BT613" s="160"/>
      <c r="BU613" s="160"/>
      <c r="BV613" s="160"/>
      <c r="BW613" s="160"/>
      <c r="BX613" s="160"/>
      <c r="BY613" s="160"/>
      <c r="BZ613" s="160"/>
      <c r="CA613" s="160"/>
      <c r="CB613" s="160"/>
      <c r="CC613" s="160"/>
      <c r="CD613" s="160"/>
      <c r="CE613" s="160"/>
      <c r="CF613" s="160"/>
      <c r="CG613" s="160"/>
      <c r="CH613" s="160"/>
      <c r="CI613" s="160"/>
      <c r="CJ613" s="160"/>
      <c r="CK613" s="160"/>
      <c r="CL613" s="160"/>
    </row>
    <row r="614">
      <c r="A614" s="171"/>
      <c r="F614" s="11"/>
      <c r="G614" s="11"/>
      <c r="L614" s="171"/>
      <c r="M614" s="171"/>
      <c r="O614" s="160"/>
      <c r="P614" s="160"/>
      <c r="Q614" s="160"/>
      <c r="R614" s="160"/>
      <c r="S614" s="160"/>
      <c r="T614" s="207"/>
      <c r="U614" s="160"/>
      <c r="V614" s="160"/>
      <c r="W614" s="160"/>
      <c r="X614" s="160"/>
      <c r="Y614" s="160"/>
      <c r="Z614" s="160"/>
      <c r="AA614" s="160"/>
      <c r="AB614" s="160"/>
      <c r="AC614" s="160"/>
      <c r="AD614" s="160"/>
      <c r="AE614" s="160"/>
      <c r="AF614" s="160"/>
      <c r="AG614" s="160"/>
      <c r="AH614" s="160"/>
      <c r="AI614" s="160"/>
      <c r="AJ614" s="160"/>
      <c r="AK614" s="160"/>
      <c r="AL614" s="160"/>
      <c r="AM614" s="160"/>
      <c r="AN614" s="164"/>
      <c r="AO614" s="160"/>
      <c r="AP614" s="160"/>
      <c r="AQ614" s="160"/>
      <c r="AR614" s="160"/>
      <c r="AS614" s="160"/>
      <c r="AT614" s="160"/>
      <c r="AU614" s="160"/>
      <c r="AV614" s="160"/>
      <c r="AW614" s="160"/>
      <c r="AX614" s="160"/>
      <c r="AY614" s="160"/>
      <c r="AZ614" s="160"/>
      <c r="BA614" s="160"/>
      <c r="BB614" s="160"/>
      <c r="BC614" s="160"/>
      <c r="BD614" s="160"/>
      <c r="BE614" s="160"/>
      <c r="BF614" s="160"/>
      <c r="BG614" s="160"/>
      <c r="BH614" s="160"/>
      <c r="BI614" s="160"/>
      <c r="BJ614" s="160"/>
      <c r="BK614" s="160"/>
      <c r="BL614" s="160"/>
      <c r="BM614" s="160"/>
      <c r="BN614" s="160"/>
      <c r="BO614" s="160"/>
      <c r="BP614" s="160"/>
      <c r="BQ614" s="160"/>
      <c r="BR614" s="160"/>
      <c r="BS614" s="160"/>
      <c r="BT614" s="160"/>
      <c r="BU614" s="160"/>
      <c r="BV614" s="160"/>
      <c r="BW614" s="160"/>
      <c r="BX614" s="160"/>
      <c r="BY614" s="160"/>
      <c r="BZ614" s="160"/>
      <c r="CA614" s="160"/>
      <c r="CB614" s="160"/>
      <c r="CC614" s="160"/>
      <c r="CD614" s="160"/>
      <c r="CE614" s="160"/>
      <c r="CF614" s="160"/>
      <c r="CG614" s="160"/>
      <c r="CH614" s="160"/>
      <c r="CI614" s="160"/>
      <c r="CJ614" s="160"/>
      <c r="CK614" s="160"/>
      <c r="CL614" s="160"/>
    </row>
    <row r="615">
      <c r="A615" s="171"/>
      <c r="F615" s="11"/>
      <c r="G615" s="11"/>
      <c r="L615" s="171"/>
      <c r="M615" s="171"/>
      <c r="O615" s="160"/>
      <c r="P615" s="160"/>
      <c r="Q615" s="160"/>
      <c r="R615" s="160"/>
      <c r="S615" s="160"/>
      <c r="T615" s="207"/>
      <c r="U615" s="160"/>
      <c r="V615" s="160"/>
      <c r="W615" s="160"/>
      <c r="X615" s="160"/>
      <c r="Y615" s="160"/>
      <c r="Z615" s="160"/>
      <c r="AA615" s="160"/>
      <c r="AB615" s="160"/>
      <c r="AC615" s="160"/>
      <c r="AD615" s="160"/>
      <c r="AE615" s="160"/>
      <c r="AF615" s="160"/>
      <c r="AG615" s="160"/>
      <c r="AH615" s="160"/>
      <c r="AI615" s="160"/>
      <c r="AJ615" s="160"/>
      <c r="AK615" s="160"/>
      <c r="AL615" s="160"/>
      <c r="AM615" s="160"/>
      <c r="AN615" s="164"/>
      <c r="AO615" s="160"/>
      <c r="AP615" s="160"/>
      <c r="AQ615" s="160"/>
      <c r="AR615" s="160"/>
      <c r="AS615" s="160"/>
      <c r="AT615" s="160"/>
      <c r="AU615" s="160"/>
      <c r="AV615" s="160"/>
      <c r="AW615" s="160"/>
      <c r="AX615" s="160"/>
      <c r="AY615" s="160"/>
      <c r="AZ615" s="160"/>
      <c r="BA615" s="160"/>
      <c r="BB615" s="160"/>
      <c r="BC615" s="160"/>
      <c r="BD615" s="160"/>
      <c r="BE615" s="160"/>
      <c r="BF615" s="160"/>
      <c r="BG615" s="160"/>
      <c r="BH615" s="160"/>
      <c r="BI615" s="160"/>
      <c r="BJ615" s="160"/>
      <c r="BK615" s="160"/>
      <c r="BL615" s="160"/>
      <c r="BM615" s="160"/>
      <c r="BN615" s="160"/>
      <c r="BO615" s="160"/>
      <c r="BP615" s="160"/>
      <c r="BQ615" s="160"/>
      <c r="BR615" s="160"/>
      <c r="BS615" s="160"/>
      <c r="BT615" s="160"/>
      <c r="BU615" s="160"/>
      <c r="BV615" s="160"/>
      <c r="BW615" s="160"/>
      <c r="BX615" s="160"/>
      <c r="BY615" s="160"/>
      <c r="BZ615" s="160"/>
      <c r="CA615" s="160"/>
      <c r="CB615" s="160"/>
      <c r="CC615" s="160"/>
      <c r="CD615" s="160"/>
      <c r="CE615" s="160"/>
      <c r="CF615" s="160"/>
      <c r="CG615" s="160"/>
      <c r="CH615" s="160"/>
      <c r="CI615" s="160"/>
      <c r="CJ615" s="160"/>
      <c r="CK615" s="160"/>
      <c r="CL615" s="160"/>
    </row>
    <row r="616">
      <c r="A616" s="171"/>
      <c r="F616" s="11"/>
      <c r="G616" s="11"/>
      <c r="L616" s="171"/>
      <c r="M616" s="171"/>
      <c r="O616" s="160"/>
      <c r="P616" s="160"/>
      <c r="Q616" s="160"/>
      <c r="R616" s="160"/>
      <c r="S616" s="160"/>
      <c r="T616" s="207"/>
      <c r="U616" s="160"/>
      <c r="V616" s="160"/>
      <c r="W616" s="160"/>
      <c r="X616" s="160"/>
      <c r="Y616" s="160"/>
      <c r="Z616" s="160"/>
      <c r="AA616" s="160"/>
      <c r="AB616" s="160"/>
      <c r="AC616" s="160"/>
      <c r="AD616" s="160"/>
      <c r="AE616" s="160"/>
      <c r="AF616" s="160"/>
      <c r="AG616" s="160"/>
      <c r="AH616" s="160"/>
      <c r="AI616" s="160"/>
      <c r="AJ616" s="160"/>
      <c r="AK616" s="160"/>
      <c r="AL616" s="160"/>
      <c r="AM616" s="160"/>
      <c r="AN616" s="164"/>
      <c r="AO616" s="160"/>
      <c r="AP616" s="160"/>
      <c r="AQ616" s="160"/>
      <c r="AR616" s="160"/>
      <c r="AS616" s="160"/>
      <c r="AT616" s="160"/>
      <c r="AU616" s="160"/>
      <c r="AV616" s="160"/>
      <c r="AW616" s="160"/>
      <c r="AX616" s="160"/>
      <c r="AY616" s="160"/>
      <c r="AZ616" s="160"/>
      <c r="BA616" s="160"/>
      <c r="BB616" s="160"/>
      <c r="BC616" s="160"/>
      <c r="BD616" s="160"/>
      <c r="BE616" s="160"/>
      <c r="BF616" s="160"/>
      <c r="BG616" s="160"/>
      <c r="BH616" s="160"/>
      <c r="BI616" s="160"/>
      <c r="BJ616" s="160"/>
      <c r="BK616" s="160"/>
      <c r="BL616" s="160"/>
      <c r="BM616" s="160"/>
      <c r="BN616" s="160"/>
      <c r="BO616" s="160"/>
      <c r="BP616" s="160"/>
      <c r="BQ616" s="160"/>
      <c r="BR616" s="160"/>
      <c r="BS616" s="160"/>
      <c r="BT616" s="160"/>
      <c r="BU616" s="160"/>
      <c r="BV616" s="160"/>
      <c r="BW616" s="160"/>
      <c r="BX616" s="160"/>
      <c r="BY616" s="160"/>
      <c r="BZ616" s="160"/>
      <c r="CA616" s="160"/>
      <c r="CB616" s="160"/>
      <c r="CC616" s="160"/>
      <c r="CD616" s="160"/>
      <c r="CE616" s="160"/>
      <c r="CF616" s="160"/>
      <c r="CG616" s="160"/>
      <c r="CH616" s="160"/>
      <c r="CI616" s="160"/>
      <c r="CJ616" s="160"/>
      <c r="CK616" s="160"/>
      <c r="CL616" s="160"/>
    </row>
    <row r="617">
      <c r="A617" s="171"/>
      <c r="F617" s="11"/>
      <c r="G617" s="11"/>
      <c r="L617" s="171"/>
      <c r="M617" s="171"/>
      <c r="O617" s="160"/>
      <c r="P617" s="160"/>
      <c r="Q617" s="160"/>
      <c r="R617" s="160"/>
      <c r="S617" s="160"/>
      <c r="T617" s="207"/>
      <c r="U617" s="160"/>
      <c r="V617" s="160"/>
      <c r="W617" s="160"/>
      <c r="X617" s="160"/>
      <c r="Y617" s="160"/>
      <c r="Z617" s="160"/>
      <c r="AA617" s="160"/>
      <c r="AB617" s="160"/>
      <c r="AC617" s="160"/>
      <c r="AD617" s="160"/>
      <c r="AE617" s="160"/>
      <c r="AF617" s="160"/>
      <c r="AG617" s="160"/>
      <c r="AH617" s="160"/>
      <c r="AI617" s="160"/>
      <c r="AJ617" s="160"/>
      <c r="AK617" s="160"/>
      <c r="AL617" s="160"/>
      <c r="AM617" s="160"/>
      <c r="AN617" s="164"/>
      <c r="AO617" s="160"/>
      <c r="AP617" s="160"/>
      <c r="AQ617" s="160"/>
      <c r="AR617" s="160"/>
      <c r="AS617" s="160"/>
      <c r="AT617" s="160"/>
      <c r="AU617" s="160"/>
      <c r="AV617" s="160"/>
      <c r="AW617" s="160"/>
      <c r="AX617" s="160"/>
      <c r="AY617" s="160"/>
      <c r="AZ617" s="160"/>
      <c r="BA617" s="160"/>
      <c r="BB617" s="160"/>
      <c r="BC617" s="160"/>
      <c r="BD617" s="160"/>
      <c r="BE617" s="160"/>
      <c r="BF617" s="160"/>
      <c r="BG617" s="160"/>
      <c r="BH617" s="160"/>
      <c r="BI617" s="160"/>
      <c r="BJ617" s="160"/>
      <c r="BK617" s="160"/>
      <c r="BL617" s="160"/>
      <c r="BM617" s="160"/>
      <c r="BN617" s="160"/>
      <c r="BO617" s="160"/>
      <c r="BP617" s="160"/>
      <c r="BQ617" s="160"/>
      <c r="BR617" s="160"/>
      <c r="BS617" s="160"/>
      <c r="BT617" s="160"/>
      <c r="BU617" s="160"/>
      <c r="BV617" s="160"/>
      <c r="BW617" s="160"/>
      <c r="BX617" s="160"/>
      <c r="BY617" s="160"/>
      <c r="BZ617" s="160"/>
      <c r="CA617" s="160"/>
      <c r="CB617" s="160"/>
      <c r="CC617" s="160"/>
      <c r="CD617" s="160"/>
      <c r="CE617" s="160"/>
      <c r="CF617" s="160"/>
      <c r="CG617" s="160"/>
      <c r="CH617" s="160"/>
      <c r="CI617" s="160"/>
      <c r="CJ617" s="160"/>
      <c r="CK617" s="160"/>
      <c r="CL617" s="160"/>
    </row>
    <row r="618">
      <c r="A618" s="171"/>
      <c r="F618" s="11"/>
      <c r="G618" s="11"/>
      <c r="L618" s="171"/>
      <c r="M618" s="171"/>
      <c r="O618" s="160"/>
      <c r="P618" s="160"/>
      <c r="Q618" s="160"/>
      <c r="R618" s="160"/>
      <c r="S618" s="160"/>
      <c r="T618" s="207"/>
      <c r="U618" s="160"/>
      <c r="V618" s="160"/>
      <c r="W618" s="160"/>
      <c r="X618" s="160"/>
      <c r="Y618" s="160"/>
      <c r="Z618" s="160"/>
      <c r="AA618" s="160"/>
      <c r="AB618" s="160"/>
      <c r="AC618" s="160"/>
      <c r="AD618" s="160"/>
      <c r="AE618" s="160"/>
      <c r="AF618" s="160"/>
      <c r="AG618" s="160"/>
      <c r="AH618" s="160"/>
      <c r="AI618" s="160"/>
      <c r="AJ618" s="160"/>
      <c r="AK618" s="160"/>
      <c r="AL618" s="160"/>
      <c r="AM618" s="160"/>
      <c r="AN618" s="164"/>
      <c r="AO618" s="160"/>
      <c r="AP618" s="160"/>
      <c r="AQ618" s="160"/>
      <c r="AR618" s="160"/>
      <c r="AS618" s="160"/>
      <c r="AT618" s="160"/>
      <c r="AU618" s="160"/>
      <c r="AV618" s="160"/>
      <c r="AW618" s="160"/>
      <c r="AX618" s="160"/>
      <c r="AY618" s="160"/>
      <c r="AZ618" s="160"/>
      <c r="BA618" s="160"/>
      <c r="BB618" s="160"/>
      <c r="BC618" s="160"/>
      <c r="BD618" s="160"/>
      <c r="BE618" s="160"/>
      <c r="BF618" s="160"/>
      <c r="BG618" s="160"/>
      <c r="BH618" s="160"/>
      <c r="BI618" s="160"/>
      <c r="BJ618" s="160"/>
      <c r="BK618" s="160"/>
      <c r="BL618" s="160"/>
      <c r="BM618" s="160"/>
      <c r="BN618" s="160"/>
      <c r="BO618" s="160"/>
      <c r="BP618" s="160"/>
      <c r="BQ618" s="160"/>
      <c r="BR618" s="160"/>
      <c r="BS618" s="160"/>
      <c r="BT618" s="160"/>
      <c r="BU618" s="160"/>
      <c r="BV618" s="160"/>
      <c r="BW618" s="160"/>
      <c r="BX618" s="160"/>
      <c r="BY618" s="160"/>
      <c r="BZ618" s="160"/>
      <c r="CA618" s="160"/>
      <c r="CB618" s="160"/>
      <c r="CC618" s="160"/>
      <c r="CD618" s="160"/>
      <c r="CE618" s="160"/>
      <c r="CF618" s="160"/>
      <c r="CG618" s="160"/>
      <c r="CH618" s="160"/>
      <c r="CI618" s="160"/>
      <c r="CJ618" s="160"/>
      <c r="CK618" s="160"/>
      <c r="CL618" s="160"/>
    </row>
    <row r="619">
      <c r="A619" s="171"/>
      <c r="F619" s="11"/>
      <c r="G619" s="11"/>
      <c r="L619" s="171"/>
      <c r="M619" s="171"/>
      <c r="O619" s="160"/>
      <c r="P619" s="160"/>
      <c r="Q619" s="160"/>
      <c r="R619" s="160"/>
      <c r="S619" s="160"/>
      <c r="T619" s="207"/>
      <c r="U619" s="160"/>
      <c r="V619" s="160"/>
      <c r="W619" s="160"/>
      <c r="X619" s="160"/>
      <c r="Y619" s="160"/>
      <c r="Z619" s="160"/>
      <c r="AA619" s="160"/>
      <c r="AB619" s="160"/>
      <c r="AC619" s="160"/>
      <c r="AD619" s="160"/>
      <c r="AE619" s="160"/>
      <c r="AF619" s="160"/>
      <c r="AG619" s="160"/>
      <c r="AH619" s="160"/>
      <c r="AI619" s="160"/>
      <c r="AJ619" s="160"/>
      <c r="AK619" s="160"/>
      <c r="AL619" s="160"/>
      <c r="AM619" s="160"/>
      <c r="AN619" s="164"/>
      <c r="AO619" s="160"/>
      <c r="AP619" s="160"/>
      <c r="AQ619" s="160"/>
      <c r="AR619" s="160"/>
      <c r="AS619" s="160"/>
      <c r="AT619" s="160"/>
      <c r="AU619" s="160"/>
      <c r="AV619" s="160"/>
      <c r="AW619" s="160"/>
      <c r="AX619" s="160"/>
      <c r="AY619" s="160"/>
      <c r="AZ619" s="160"/>
      <c r="BA619" s="160"/>
      <c r="BB619" s="160"/>
      <c r="BC619" s="160"/>
      <c r="BD619" s="160"/>
      <c r="BE619" s="160"/>
      <c r="BF619" s="160"/>
      <c r="BG619" s="160"/>
      <c r="BH619" s="160"/>
      <c r="BI619" s="160"/>
      <c r="BJ619" s="160"/>
      <c r="BK619" s="160"/>
      <c r="BL619" s="160"/>
      <c r="BM619" s="160"/>
      <c r="BN619" s="160"/>
      <c r="BO619" s="160"/>
      <c r="BP619" s="160"/>
      <c r="BQ619" s="160"/>
      <c r="BR619" s="160"/>
      <c r="BS619" s="160"/>
      <c r="BT619" s="160"/>
      <c r="BU619" s="160"/>
      <c r="BV619" s="160"/>
      <c r="BW619" s="160"/>
      <c r="BX619" s="160"/>
      <c r="BY619" s="160"/>
      <c r="BZ619" s="160"/>
      <c r="CA619" s="160"/>
      <c r="CB619" s="160"/>
      <c r="CC619" s="160"/>
      <c r="CD619" s="160"/>
      <c r="CE619" s="160"/>
      <c r="CF619" s="160"/>
      <c r="CG619" s="160"/>
      <c r="CH619" s="160"/>
      <c r="CI619" s="160"/>
      <c r="CJ619" s="160"/>
      <c r="CK619" s="160"/>
      <c r="CL619" s="160"/>
    </row>
    <row r="620">
      <c r="A620" s="171"/>
      <c r="F620" s="11"/>
      <c r="G620" s="11"/>
      <c r="L620" s="171"/>
      <c r="M620" s="171"/>
      <c r="O620" s="160"/>
      <c r="P620" s="160"/>
      <c r="Q620" s="160"/>
      <c r="R620" s="160"/>
      <c r="S620" s="160"/>
      <c r="T620" s="207"/>
      <c r="U620" s="160"/>
      <c r="V620" s="160"/>
      <c r="W620" s="160"/>
      <c r="X620" s="160"/>
      <c r="Y620" s="160"/>
      <c r="Z620" s="160"/>
      <c r="AA620" s="160"/>
      <c r="AB620" s="160"/>
      <c r="AC620" s="160"/>
      <c r="AD620" s="160"/>
      <c r="AE620" s="160"/>
      <c r="AF620" s="160"/>
      <c r="AG620" s="160"/>
      <c r="AH620" s="160"/>
      <c r="AI620" s="160"/>
      <c r="AJ620" s="160"/>
      <c r="AK620" s="160"/>
      <c r="AL620" s="160"/>
      <c r="AM620" s="160"/>
      <c r="AN620" s="164"/>
      <c r="AO620" s="160"/>
      <c r="AP620" s="160"/>
      <c r="AQ620" s="160"/>
      <c r="AR620" s="160"/>
      <c r="AS620" s="160"/>
      <c r="AT620" s="160"/>
      <c r="AU620" s="160"/>
      <c r="AV620" s="160"/>
      <c r="AW620" s="160"/>
      <c r="AX620" s="160"/>
      <c r="AY620" s="160"/>
      <c r="AZ620" s="160"/>
      <c r="BA620" s="160"/>
      <c r="BB620" s="160"/>
      <c r="BC620" s="160"/>
      <c r="BD620" s="160"/>
      <c r="BE620" s="160"/>
      <c r="BF620" s="160"/>
      <c r="BG620" s="160"/>
      <c r="BH620" s="160"/>
      <c r="BI620" s="160"/>
      <c r="BJ620" s="160"/>
      <c r="BK620" s="160"/>
      <c r="BL620" s="160"/>
      <c r="BM620" s="160"/>
      <c r="BN620" s="160"/>
      <c r="BO620" s="160"/>
      <c r="BP620" s="160"/>
      <c r="BQ620" s="160"/>
      <c r="BR620" s="160"/>
      <c r="BS620" s="160"/>
      <c r="BT620" s="160"/>
      <c r="BU620" s="160"/>
      <c r="BV620" s="160"/>
      <c r="BW620" s="160"/>
      <c r="BX620" s="160"/>
      <c r="BY620" s="160"/>
      <c r="BZ620" s="160"/>
      <c r="CA620" s="160"/>
      <c r="CB620" s="160"/>
      <c r="CC620" s="160"/>
      <c r="CD620" s="160"/>
      <c r="CE620" s="160"/>
      <c r="CF620" s="160"/>
      <c r="CG620" s="160"/>
      <c r="CH620" s="160"/>
      <c r="CI620" s="160"/>
      <c r="CJ620" s="160"/>
      <c r="CK620" s="160"/>
      <c r="CL620" s="160"/>
    </row>
    <row r="621">
      <c r="A621" s="171"/>
      <c r="F621" s="11"/>
      <c r="G621" s="11"/>
      <c r="L621" s="171"/>
      <c r="M621" s="171"/>
      <c r="O621" s="160"/>
      <c r="P621" s="160"/>
      <c r="Q621" s="160"/>
      <c r="R621" s="160"/>
      <c r="S621" s="160"/>
      <c r="T621" s="207"/>
      <c r="U621" s="160"/>
      <c r="V621" s="160"/>
      <c r="W621" s="160"/>
      <c r="X621" s="160"/>
      <c r="Y621" s="160"/>
      <c r="Z621" s="160"/>
      <c r="AA621" s="160"/>
      <c r="AB621" s="160"/>
      <c r="AC621" s="160"/>
      <c r="AD621" s="160"/>
      <c r="AE621" s="160"/>
      <c r="AF621" s="160"/>
      <c r="AG621" s="160"/>
      <c r="AH621" s="160"/>
      <c r="AI621" s="160"/>
      <c r="AJ621" s="160"/>
      <c r="AK621" s="160"/>
      <c r="AL621" s="160"/>
      <c r="AM621" s="160"/>
      <c r="AN621" s="164"/>
      <c r="AO621" s="160"/>
      <c r="AP621" s="160"/>
      <c r="AQ621" s="160"/>
      <c r="AR621" s="160"/>
      <c r="AS621" s="160"/>
      <c r="AT621" s="160"/>
      <c r="AU621" s="160"/>
      <c r="AV621" s="160"/>
      <c r="AW621" s="160"/>
      <c r="AX621" s="160"/>
      <c r="AY621" s="160"/>
      <c r="AZ621" s="160"/>
      <c r="BA621" s="160"/>
      <c r="BB621" s="160"/>
      <c r="BC621" s="160"/>
      <c r="BD621" s="160"/>
      <c r="BE621" s="160"/>
      <c r="BF621" s="160"/>
      <c r="BG621" s="160"/>
      <c r="BH621" s="160"/>
      <c r="BI621" s="160"/>
      <c r="BJ621" s="160"/>
      <c r="BK621" s="160"/>
      <c r="BL621" s="160"/>
      <c r="BM621" s="160"/>
      <c r="BN621" s="160"/>
      <c r="BO621" s="160"/>
      <c r="BP621" s="160"/>
      <c r="BQ621" s="160"/>
      <c r="BR621" s="160"/>
      <c r="BS621" s="160"/>
      <c r="BT621" s="160"/>
      <c r="BU621" s="160"/>
      <c r="BV621" s="160"/>
      <c r="BW621" s="160"/>
      <c r="BX621" s="160"/>
      <c r="BY621" s="160"/>
      <c r="BZ621" s="160"/>
      <c r="CA621" s="160"/>
      <c r="CB621" s="160"/>
      <c r="CC621" s="160"/>
      <c r="CD621" s="160"/>
      <c r="CE621" s="160"/>
      <c r="CF621" s="160"/>
      <c r="CG621" s="160"/>
      <c r="CH621" s="160"/>
      <c r="CI621" s="160"/>
      <c r="CJ621" s="160"/>
      <c r="CK621" s="160"/>
      <c r="CL621" s="160"/>
    </row>
    <row r="622">
      <c r="A622" s="171"/>
      <c r="F622" s="11"/>
      <c r="G622" s="11"/>
      <c r="L622" s="171"/>
      <c r="M622" s="171"/>
      <c r="O622" s="160"/>
      <c r="P622" s="160"/>
      <c r="Q622" s="160"/>
      <c r="R622" s="160"/>
      <c r="S622" s="160"/>
      <c r="T622" s="207"/>
      <c r="U622" s="160"/>
      <c r="V622" s="160"/>
      <c r="W622" s="160"/>
      <c r="X622" s="160"/>
      <c r="Y622" s="160"/>
      <c r="Z622" s="160"/>
      <c r="AA622" s="160"/>
      <c r="AB622" s="160"/>
      <c r="AC622" s="160"/>
      <c r="AD622" s="160"/>
      <c r="AE622" s="160"/>
      <c r="AF622" s="160"/>
      <c r="AG622" s="160"/>
      <c r="AH622" s="160"/>
      <c r="AI622" s="160"/>
      <c r="AJ622" s="160"/>
      <c r="AK622" s="160"/>
      <c r="AL622" s="160"/>
      <c r="AM622" s="160"/>
      <c r="AN622" s="164"/>
      <c r="AO622" s="160"/>
      <c r="AP622" s="160"/>
      <c r="AQ622" s="160"/>
      <c r="AR622" s="160"/>
      <c r="AS622" s="160"/>
      <c r="AT622" s="160"/>
      <c r="AU622" s="160"/>
      <c r="AV622" s="160"/>
      <c r="AW622" s="160"/>
      <c r="AX622" s="160"/>
      <c r="AY622" s="160"/>
      <c r="AZ622" s="160"/>
      <c r="BA622" s="160"/>
      <c r="BB622" s="160"/>
      <c r="BC622" s="160"/>
      <c r="BD622" s="160"/>
      <c r="BE622" s="160"/>
      <c r="BF622" s="160"/>
      <c r="BG622" s="160"/>
      <c r="BH622" s="160"/>
      <c r="BI622" s="160"/>
      <c r="BJ622" s="160"/>
      <c r="BK622" s="160"/>
      <c r="BL622" s="160"/>
      <c r="BM622" s="160"/>
      <c r="BN622" s="160"/>
      <c r="BO622" s="160"/>
      <c r="BP622" s="160"/>
      <c r="BQ622" s="160"/>
      <c r="BR622" s="160"/>
      <c r="BS622" s="160"/>
      <c r="BT622" s="160"/>
      <c r="BU622" s="160"/>
      <c r="BV622" s="160"/>
      <c r="BW622" s="160"/>
      <c r="BX622" s="160"/>
      <c r="BY622" s="160"/>
      <c r="BZ622" s="160"/>
      <c r="CA622" s="160"/>
      <c r="CB622" s="160"/>
      <c r="CC622" s="160"/>
      <c r="CD622" s="160"/>
      <c r="CE622" s="160"/>
      <c r="CF622" s="160"/>
      <c r="CG622" s="160"/>
      <c r="CH622" s="160"/>
      <c r="CI622" s="160"/>
      <c r="CJ622" s="160"/>
      <c r="CK622" s="160"/>
      <c r="CL622" s="160"/>
    </row>
    <row r="623">
      <c r="A623" s="171"/>
      <c r="F623" s="11"/>
      <c r="G623" s="11"/>
      <c r="L623" s="171"/>
      <c r="M623" s="171"/>
      <c r="O623" s="160"/>
      <c r="P623" s="160"/>
      <c r="Q623" s="160"/>
      <c r="R623" s="160"/>
      <c r="S623" s="160"/>
      <c r="T623" s="207"/>
      <c r="U623" s="160"/>
      <c r="V623" s="160"/>
      <c r="W623" s="160"/>
      <c r="X623" s="160"/>
      <c r="Y623" s="160"/>
      <c r="Z623" s="160"/>
      <c r="AA623" s="160"/>
      <c r="AB623" s="160"/>
      <c r="AC623" s="160"/>
      <c r="AD623" s="160"/>
      <c r="AE623" s="160"/>
      <c r="AF623" s="160"/>
      <c r="AG623" s="160"/>
      <c r="AH623" s="160"/>
      <c r="AI623" s="160"/>
      <c r="AJ623" s="160"/>
      <c r="AK623" s="160"/>
      <c r="AL623" s="160"/>
      <c r="AM623" s="160"/>
      <c r="AN623" s="164"/>
      <c r="AO623" s="160"/>
      <c r="AP623" s="160"/>
      <c r="AQ623" s="160"/>
      <c r="AR623" s="160"/>
      <c r="AS623" s="160"/>
      <c r="AT623" s="160"/>
      <c r="AU623" s="160"/>
      <c r="AV623" s="160"/>
      <c r="AW623" s="160"/>
      <c r="AX623" s="160"/>
      <c r="AY623" s="160"/>
      <c r="AZ623" s="160"/>
      <c r="BA623" s="160"/>
      <c r="BB623" s="160"/>
      <c r="BC623" s="160"/>
      <c r="BD623" s="160"/>
      <c r="BE623" s="160"/>
      <c r="BF623" s="160"/>
      <c r="BG623" s="160"/>
      <c r="BH623" s="160"/>
      <c r="BI623" s="160"/>
      <c r="BJ623" s="160"/>
      <c r="BK623" s="160"/>
      <c r="BL623" s="160"/>
      <c r="BM623" s="160"/>
      <c r="BN623" s="160"/>
      <c r="BO623" s="160"/>
      <c r="BP623" s="160"/>
      <c r="BQ623" s="160"/>
      <c r="BR623" s="160"/>
      <c r="BS623" s="160"/>
      <c r="BT623" s="160"/>
      <c r="BU623" s="160"/>
      <c r="BV623" s="160"/>
      <c r="BW623" s="160"/>
      <c r="BX623" s="160"/>
      <c r="BY623" s="160"/>
      <c r="BZ623" s="160"/>
      <c r="CA623" s="160"/>
      <c r="CB623" s="160"/>
      <c r="CC623" s="160"/>
      <c r="CD623" s="160"/>
      <c r="CE623" s="160"/>
      <c r="CF623" s="160"/>
      <c r="CG623" s="160"/>
      <c r="CH623" s="160"/>
      <c r="CI623" s="160"/>
      <c r="CJ623" s="160"/>
      <c r="CK623" s="160"/>
      <c r="CL623" s="160"/>
    </row>
    <row r="624">
      <c r="A624" s="171"/>
      <c r="F624" s="11"/>
      <c r="G624" s="11"/>
      <c r="L624" s="171"/>
      <c r="M624" s="171"/>
      <c r="O624" s="160"/>
      <c r="P624" s="160"/>
      <c r="Q624" s="160"/>
      <c r="R624" s="160"/>
      <c r="S624" s="160"/>
      <c r="T624" s="207"/>
      <c r="U624" s="160"/>
      <c r="V624" s="160"/>
      <c r="W624" s="160"/>
      <c r="X624" s="160"/>
      <c r="Y624" s="160"/>
      <c r="Z624" s="160"/>
      <c r="AA624" s="160"/>
      <c r="AB624" s="160"/>
      <c r="AC624" s="160"/>
      <c r="AD624" s="160"/>
      <c r="AE624" s="160"/>
      <c r="AF624" s="160"/>
      <c r="AG624" s="160"/>
      <c r="AH624" s="160"/>
      <c r="AI624" s="160"/>
      <c r="AJ624" s="160"/>
      <c r="AK624" s="160"/>
      <c r="AL624" s="160"/>
      <c r="AM624" s="160"/>
      <c r="AN624" s="164"/>
      <c r="AO624" s="160"/>
      <c r="AP624" s="160"/>
      <c r="AQ624" s="160"/>
      <c r="AR624" s="160"/>
      <c r="AS624" s="160"/>
      <c r="AT624" s="160"/>
      <c r="AU624" s="160"/>
      <c r="AV624" s="160"/>
      <c r="AW624" s="160"/>
      <c r="AX624" s="160"/>
      <c r="AY624" s="160"/>
      <c r="AZ624" s="160"/>
      <c r="BA624" s="160"/>
      <c r="BB624" s="160"/>
      <c r="BC624" s="160"/>
      <c r="BD624" s="160"/>
      <c r="BE624" s="160"/>
      <c r="BF624" s="160"/>
      <c r="BG624" s="160"/>
      <c r="BH624" s="160"/>
      <c r="BI624" s="160"/>
      <c r="BJ624" s="160"/>
      <c r="BK624" s="160"/>
      <c r="BL624" s="160"/>
      <c r="BM624" s="160"/>
      <c r="BN624" s="160"/>
      <c r="BO624" s="160"/>
      <c r="BP624" s="160"/>
      <c r="BQ624" s="160"/>
      <c r="BR624" s="160"/>
      <c r="BS624" s="160"/>
      <c r="BT624" s="160"/>
      <c r="BU624" s="160"/>
      <c r="BV624" s="160"/>
      <c r="BW624" s="160"/>
      <c r="BX624" s="160"/>
      <c r="BY624" s="160"/>
      <c r="BZ624" s="160"/>
      <c r="CA624" s="160"/>
      <c r="CB624" s="160"/>
      <c r="CC624" s="160"/>
      <c r="CD624" s="160"/>
      <c r="CE624" s="160"/>
      <c r="CF624" s="160"/>
      <c r="CG624" s="160"/>
      <c r="CH624" s="160"/>
      <c r="CI624" s="160"/>
      <c r="CJ624" s="160"/>
      <c r="CK624" s="160"/>
      <c r="CL624" s="160"/>
    </row>
    <row r="625">
      <c r="A625" s="171"/>
      <c r="F625" s="11"/>
      <c r="G625" s="11"/>
      <c r="L625" s="171"/>
      <c r="M625" s="171"/>
      <c r="O625" s="160"/>
      <c r="P625" s="160"/>
      <c r="Q625" s="160"/>
      <c r="R625" s="160"/>
      <c r="S625" s="160"/>
      <c r="T625" s="207"/>
      <c r="U625" s="160"/>
      <c r="V625" s="160"/>
      <c r="W625" s="160"/>
      <c r="X625" s="160"/>
      <c r="Y625" s="160"/>
      <c r="Z625" s="160"/>
      <c r="AA625" s="160"/>
      <c r="AB625" s="160"/>
      <c r="AC625" s="160"/>
      <c r="AD625" s="160"/>
      <c r="AE625" s="160"/>
      <c r="AF625" s="160"/>
      <c r="AG625" s="160"/>
      <c r="AH625" s="160"/>
      <c r="AI625" s="160"/>
      <c r="AJ625" s="160"/>
      <c r="AK625" s="160"/>
      <c r="AL625" s="160"/>
      <c r="AM625" s="160"/>
      <c r="AN625" s="164"/>
      <c r="AO625" s="160"/>
      <c r="AP625" s="160"/>
      <c r="AQ625" s="160"/>
      <c r="AR625" s="160"/>
      <c r="AS625" s="160"/>
      <c r="AT625" s="160"/>
      <c r="AU625" s="160"/>
      <c r="AV625" s="160"/>
      <c r="AW625" s="160"/>
      <c r="AX625" s="160"/>
      <c r="AY625" s="160"/>
      <c r="AZ625" s="160"/>
      <c r="BA625" s="160"/>
      <c r="BB625" s="160"/>
      <c r="BC625" s="160"/>
      <c r="BD625" s="160"/>
      <c r="BE625" s="160"/>
      <c r="BF625" s="160"/>
      <c r="BG625" s="160"/>
      <c r="BH625" s="160"/>
      <c r="BI625" s="160"/>
      <c r="BJ625" s="160"/>
      <c r="BK625" s="160"/>
      <c r="BL625" s="160"/>
      <c r="BM625" s="160"/>
      <c r="BN625" s="160"/>
      <c r="BO625" s="160"/>
      <c r="BP625" s="160"/>
      <c r="BQ625" s="160"/>
      <c r="BR625" s="160"/>
      <c r="BS625" s="160"/>
      <c r="BT625" s="160"/>
      <c r="BU625" s="160"/>
      <c r="BV625" s="160"/>
      <c r="BW625" s="160"/>
      <c r="BX625" s="160"/>
      <c r="BY625" s="160"/>
      <c r="BZ625" s="160"/>
      <c r="CA625" s="160"/>
      <c r="CB625" s="160"/>
      <c r="CC625" s="160"/>
      <c r="CD625" s="160"/>
      <c r="CE625" s="160"/>
      <c r="CF625" s="160"/>
      <c r="CG625" s="160"/>
      <c r="CH625" s="160"/>
      <c r="CI625" s="160"/>
      <c r="CJ625" s="160"/>
      <c r="CK625" s="160"/>
      <c r="CL625" s="160"/>
    </row>
    <row r="626">
      <c r="A626" s="171"/>
      <c r="F626" s="11"/>
      <c r="G626" s="11"/>
      <c r="L626" s="171"/>
      <c r="M626" s="171"/>
      <c r="O626" s="160"/>
      <c r="P626" s="160"/>
      <c r="Q626" s="160"/>
      <c r="R626" s="160"/>
      <c r="S626" s="160"/>
      <c r="T626" s="207"/>
      <c r="U626" s="160"/>
      <c r="V626" s="160"/>
      <c r="W626" s="160"/>
      <c r="X626" s="160"/>
      <c r="Y626" s="160"/>
      <c r="Z626" s="160"/>
      <c r="AA626" s="160"/>
      <c r="AB626" s="160"/>
      <c r="AC626" s="160"/>
      <c r="AD626" s="160"/>
      <c r="AE626" s="160"/>
      <c r="AF626" s="160"/>
      <c r="AG626" s="160"/>
      <c r="AH626" s="160"/>
      <c r="AI626" s="160"/>
      <c r="AJ626" s="160"/>
      <c r="AK626" s="160"/>
      <c r="AL626" s="160"/>
      <c r="AM626" s="160"/>
      <c r="AN626" s="164"/>
      <c r="AO626" s="160"/>
      <c r="AP626" s="160"/>
      <c r="AQ626" s="160"/>
      <c r="AR626" s="160"/>
      <c r="AS626" s="160"/>
      <c r="AT626" s="160"/>
      <c r="AU626" s="160"/>
      <c r="AV626" s="160"/>
      <c r="AW626" s="160"/>
      <c r="AX626" s="160"/>
      <c r="AY626" s="160"/>
      <c r="AZ626" s="160"/>
      <c r="BA626" s="160"/>
      <c r="BB626" s="160"/>
      <c r="BC626" s="160"/>
      <c r="BD626" s="160"/>
      <c r="BE626" s="160"/>
      <c r="BF626" s="160"/>
      <c r="BG626" s="160"/>
      <c r="BH626" s="160"/>
      <c r="BI626" s="160"/>
      <c r="BJ626" s="160"/>
      <c r="BK626" s="160"/>
      <c r="BL626" s="160"/>
      <c r="BM626" s="160"/>
      <c r="BN626" s="160"/>
      <c r="BO626" s="160"/>
      <c r="BP626" s="160"/>
      <c r="BQ626" s="160"/>
      <c r="BR626" s="160"/>
      <c r="BS626" s="160"/>
      <c r="BT626" s="160"/>
      <c r="BU626" s="160"/>
      <c r="BV626" s="160"/>
      <c r="BW626" s="160"/>
      <c r="BX626" s="160"/>
      <c r="BY626" s="160"/>
      <c r="BZ626" s="160"/>
      <c r="CA626" s="160"/>
      <c r="CB626" s="160"/>
      <c r="CC626" s="160"/>
      <c r="CD626" s="160"/>
      <c r="CE626" s="160"/>
      <c r="CF626" s="160"/>
      <c r="CG626" s="160"/>
      <c r="CH626" s="160"/>
      <c r="CI626" s="160"/>
      <c r="CJ626" s="160"/>
      <c r="CK626" s="160"/>
      <c r="CL626" s="160"/>
    </row>
    <row r="627">
      <c r="A627" s="171"/>
      <c r="F627" s="11"/>
      <c r="G627" s="11"/>
      <c r="L627" s="171"/>
      <c r="M627" s="171"/>
      <c r="O627" s="160"/>
      <c r="P627" s="160"/>
      <c r="Q627" s="160"/>
      <c r="R627" s="160"/>
      <c r="S627" s="160"/>
      <c r="T627" s="207"/>
      <c r="U627" s="160"/>
      <c r="V627" s="160"/>
      <c r="W627" s="160"/>
      <c r="X627" s="160"/>
      <c r="Y627" s="160"/>
      <c r="Z627" s="160"/>
      <c r="AA627" s="160"/>
      <c r="AB627" s="160"/>
      <c r="AC627" s="160"/>
      <c r="AD627" s="160"/>
      <c r="AE627" s="160"/>
      <c r="AF627" s="160"/>
      <c r="AG627" s="160"/>
      <c r="AH627" s="160"/>
      <c r="AI627" s="160"/>
      <c r="AJ627" s="160"/>
      <c r="AK627" s="160"/>
      <c r="AL627" s="160"/>
      <c r="AM627" s="160"/>
      <c r="AN627" s="164"/>
      <c r="AO627" s="160"/>
      <c r="AP627" s="160"/>
      <c r="AQ627" s="160"/>
      <c r="AR627" s="160"/>
      <c r="AS627" s="160"/>
      <c r="AT627" s="160"/>
      <c r="AU627" s="160"/>
      <c r="AV627" s="160"/>
      <c r="AW627" s="160"/>
      <c r="AX627" s="160"/>
      <c r="AY627" s="160"/>
      <c r="AZ627" s="160"/>
      <c r="BA627" s="160"/>
      <c r="BB627" s="160"/>
      <c r="BC627" s="160"/>
      <c r="BD627" s="160"/>
      <c r="BE627" s="160"/>
      <c r="BF627" s="160"/>
      <c r="BG627" s="160"/>
      <c r="BH627" s="160"/>
      <c r="BI627" s="160"/>
      <c r="BJ627" s="160"/>
      <c r="BK627" s="160"/>
      <c r="BL627" s="160"/>
      <c r="BM627" s="160"/>
      <c r="BN627" s="160"/>
      <c r="BO627" s="160"/>
      <c r="BP627" s="160"/>
      <c r="BQ627" s="160"/>
      <c r="BR627" s="160"/>
      <c r="BS627" s="160"/>
      <c r="BT627" s="160"/>
      <c r="BU627" s="160"/>
      <c r="BV627" s="160"/>
      <c r="BW627" s="160"/>
      <c r="BX627" s="160"/>
      <c r="BY627" s="160"/>
      <c r="BZ627" s="160"/>
      <c r="CA627" s="160"/>
      <c r="CB627" s="160"/>
      <c r="CC627" s="160"/>
      <c r="CD627" s="160"/>
      <c r="CE627" s="160"/>
      <c r="CF627" s="160"/>
      <c r="CG627" s="160"/>
      <c r="CH627" s="160"/>
      <c r="CI627" s="160"/>
      <c r="CJ627" s="160"/>
      <c r="CK627" s="160"/>
      <c r="CL627" s="160"/>
    </row>
    <row r="628">
      <c r="A628" s="171"/>
      <c r="F628" s="11"/>
      <c r="G628" s="11"/>
      <c r="L628" s="171"/>
      <c r="M628" s="171"/>
      <c r="O628" s="160"/>
      <c r="P628" s="160"/>
      <c r="Q628" s="160"/>
      <c r="R628" s="160"/>
      <c r="S628" s="160"/>
      <c r="T628" s="207"/>
      <c r="U628" s="160"/>
      <c r="V628" s="160"/>
      <c r="W628" s="160"/>
      <c r="X628" s="160"/>
      <c r="Y628" s="160"/>
      <c r="Z628" s="160"/>
      <c r="AA628" s="160"/>
      <c r="AB628" s="160"/>
      <c r="AC628" s="160"/>
      <c r="AD628" s="160"/>
      <c r="AE628" s="160"/>
      <c r="AF628" s="160"/>
      <c r="AG628" s="160"/>
      <c r="AH628" s="160"/>
      <c r="AI628" s="160"/>
      <c r="AJ628" s="160"/>
      <c r="AK628" s="160"/>
      <c r="AL628" s="160"/>
      <c r="AM628" s="160"/>
      <c r="AN628" s="164"/>
      <c r="AO628" s="160"/>
      <c r="AP628" s="160"/>
      <c r="AQ628" s="160"/>
      <c r="AR628" s="160"/>
      <c r="AS628" s="160"/>
      <c r="AT628" s="160"/>
      <c r="AU628" s="160"/>
      <c r="AV628" s="160"/>
      <c r="AW628" s="160"/>
      <c r="AX628" s="160"/>
      <c r="AY628" s="160"/>
      <c r="AZ628" s="160"/>
      <c r="BA628" s="160"/>
      <c r="BB628" s="160"/>
      <c r="BC628" s="160"/>
      <c r="BD628" s="160"/>
      <c r="BE628" s="160"/>
      <c r="BF628" s="160"/>
      <c r="BG628" s="160"/>
      <c r="BH628" s="160"/>
      <c r="BI628" s="160"/>
      <c r="BJ628" s="160"/>
      <c r="BK628" s="160"/>
      <c r="BL628" s="160"/>
      <c r="BM628" s="160"/>
      <c r="BN628" s="160"/>
      <c r="BO628" s="160"/>
      <c r="BP628" s="160"/>
      <c r="BQ628" s="160"/>
      <c r="BR628" s="160"/>
      <c r="BS628" s="160"/>
      <c r="BT628" s="160"/>
      <c r="BU628" s="160"/>
      <c r="BV628" s="160"/>
      <c r="BW628" s="160"/>
      <c r="BX628" s="160"/>
      <c r="BY628" s="160"/>
      <c r="BZ628" s="160"/>
      <c r="CA628" s="160"/>
      <c r="CB628" s="160"/>
      <c r="CC628" s="160"/>
      <c r="CD628" s="160"/>
      <c r="CE628" s="160"/>
      <c r="CF628" s="160"/>
      <c r="CG628" s="160"/>
      <c r="CH628" s="160"/>
      <c r="CI628" s="160"/>
      <c r="CJ628" s="160"/>
      <c r="CK628" s="160"/>
      <c r="CL628" s="160"/>
    </row>
    <row r="629">
      <c r="A629" s="171"/>
      <c r="F629" s="11"/>
      <c r="G629" s="11"/>
      <c r="L629" s="171"/>
      <c r="M629" s="171"/>
      <c r="O629" s="160"/>
      <c r="P629" s="160"/>
      <c r="Q629" s="160"/>
      <c r="R629" s="160"/>
      <c r="S629" s="160"/>
      <c r="T629" s="207"/>
      <c r="U629" s="160"/>
      <c r="V629" s="160"/>
      <c r="W629" s="160"/>
      <c r="X629" s="160"/>
      <c r="Y629" s="160"/>
      <c r="Z629" s="160"/>
      <c r="AA629" s="160"/>
      <c r="AB629" s="160"/>
      <c r="AC629" s="160"/>
      <c r="AD629" s="160"/>
      <c r="AE629" s="160"/>
      <c r="AF629" s="160"/>
      <c r="AG629" s="160"/>
      <c r="AH629" s="160"/>
      <c r="AI629" s="160"/>
      <c r="AJ629" s="160"/>
      <c r="AK629" s="160"/>
      <c r="AL629" s="160"/>
      <c r="AM629" s="160"/>
      <c r="AN629" s="164"/>
      <c r="AO629" s="160"/>
      <c r="AP629" s="160"/>
      <c r="AQ629" s="160"/>
      <c r="AR629" s="160"/>
      <c r="AS629" s="160"/>
      <c r="AT629" s="160"/>
      <c r="AU629" s="160"/>
      <c r="AV629" s="160"/>
      <c r="AW629" s="160"/>
      <c r="AX629" s="160"/>
      <c r="AY629" s="160"/>
      <c r="AZ629" s="160"/>
      <c r="BA629" s="160"/>
      <c r="BB629" s="160"/>
      <c r="BC629" s="160"/>
      <c r="BD629" s="160"/>
      <c r="BE629" s="160"/>
      <c r="BF629" s="160"/>
      <c r="BG629" s="160"/>
      <c r="BH629" s="160"/>
      <c r="BI629" s="160"/>
      <c r="BJ629" s="160"/>
      <c r="BK629" s="160"/>
      <c r="BL629" s="160"/>
      <c r="BM629" s="160"/>
      <c r="BN629" s="160"/>
      <c r="BO629" s="160"/>
      <c r="BP629" s="160"/>
      <c r="BQ629" s="160"/>
      <c r="BR629" s="160"/>
      <c r="BS629" s="160"/>
      <c r="BT629" s="160"/>
      <c r="BU629" s="160"/>
      <c r="BV629" s="160"/>
      <c r="BW629" s="160"/>
      <c r="BX629" s="160"/>
      <c r="BY629" s="160"/>
      <c r="BZ629" s="160"/>
      <c r="CA629" s="160"/>
      <c r="CB629" s="160"/>
      <c r="CC629" s="160"/>
      <c r="CD629" s="160"/>
      <c r="CE629" s="160"/>
      <c r="CF629" s="160"/>
      <c r="CG629" s="160"/>
      <c r="CH629" s="160"/>
      <c r="CI629" s="160"/>
      <c r="CJ629" s="160"/>
      <c r="CK629" s="160"/>
      <c r="CL629" s="160"/>
    </row>
    <row r="630">
      <c r="A630" s="171"/>
      <c r="F630" s="11"/>
      <c r="G630" s="11"/>
      <c r="L630" s="171"/>
      <c r="M630" s="171"/>
      <c r="O630" s="160"/>
      <c r="P630" s="160"/>
      <c r="Q630" s="160"/>
      <c r="R630" s="160"/>
      <c r="S630" s="160"/>
      <c r="T630" s="207"/>
      <c r="U630" s="160"/>
      <c r="V630" s="160"/>
      <c r="W630" s="160"/>
      <c r="X630" s="160"/>
      <c r="Y630" s="160"/>
      <c r="Z630" s="160"/>
      <c r="AA630" s="160"/>
      <c r="AB630" s="160"/>
      <c r="AC630" s="160"/>
      <c r="AD630" s="160"/>
      <c r="AE630" s="160"/>
      <c r="AF630" s="160"/>
      <c r="AG630" s="160"/>
      <c r="AH630" s="160"/>
      <c r="AI630" s="160"/>
      <c r="AJ630" s="160"/>
      <c r="AK630" s="160"/>
      <c r="AL630" s="160"/>
      <c r="AM630" s="160"/>
      <c r="AN630" s="164"/>
      <c r="AO630" s="160"/>
      <c r="AP630" s="160"/>
      <c r="AQ630" s="160"/>
      <c r="AR630" s="160"/>
      <c r="AS630" s="160"/>
      <c r="AT630" s="160"/>
      <c r="AU630" s="160"/>
      <c r="AV630" s="160"/>
      <c r="AW630" s="160"/>
      <c r="AX630" s="160"/>
      <c r="AY630" s="160"/>
      <c r="AZ630" s="160"/>
      <c r="BA630" s="160"/>
      <c r="BB630" s="160"/>
      <c r="BC630" s="160"/>
      <c r="BD630" s="160"/>
      <c r="BE630" s="160"/>
      <c r="BF630" s="160"/>
      <c r="BG630" s="160"/>
      <c r="BH630" s="160"/>
      <c r="BI630" s="160"/>
      <c r="BJ630" s="160"/>
      <c r="BK630" s="160"/>
      <c r="BL630" s="160"/>
      <c r="BM630" s="160"/>
      <c r="BN630" s="160"/>
      <c r="BO630" s="160"/>
      <c r="BP630" s="160"/>
      <c r="BQ630" s="160"/>
      <c r="BR630" s="160"/>
      <c r="BS630" s="160"/>
      <c r="BT630" s="160"/>
      <c r="BU630" s="160"/>
      <c r="BV630" s="160"/>
      <c r="BW630" s="160"/>
      <c r="BX630" s="160"/>
      <c r="BY630" s="160"/>
      <c r="BZ630" s="160"/>
      <c r="CA630" s="160"/>
      <c r="CB630" s="160"/>
      <c r="CC630" s="160"/>
      <c r="CD630" s="160"/>
      <c r="CE630" s="160"/>
      <c r="CF630" s="160"/>
      <c r="CG630" s="160"/>
      <c r="CH630" s="160"/>
      <c r="CI630" s="160"/>
      <c r="CJ630" s="160"/>
      <c r="CK630" s="160"/>
      <c r="CL630" s="160"/>
    </row>
    <row r="631">
      <c r="A631" s="171"/>
      <c r="F631" s="11"/>
      <c r="G631" s="11"/>
      <c r="L631" s="171"/>
      <c r="M631" s="171"/>
      <c r="O631" s="160"/>
      <c r="P631" s="160"/>
      <c r="Q631" s="160"/>
      <c r="R631" s="160"/>
      <c r="S631" s="160"/>
      <c r="T631" s="207"/>
      <c r="U631" s="160"/>
      <c r="V631" s="160"/>
      <c r="W631" s="160"/>
      <c r="X631" s="160"/>
      <c r="Y631" s="160"/>
      <c r="Z631" s="160"/>
      <c r="AA631" s="160"/>
      <c r="AB631" s="160"/>
      <c r="AC631" s="160"/>
      <c r="AD631" s="160"/>
      <c r="AE631" s="160"/>
      <c r="AF631" s="160"/>
      <c r="AG631" s="160"/>
      <c r="AH631" s="160"/>
      <c r="AI631" s="160"/>
      <c r="AJ631" s="160"/>
      <c r="AK631" s="160"/>
      <c r="AL631" s="160"/>
      <c r="AM631" s="160"/>
      <c r="AN631" s="164"/>
      <c r="AO631" s="160"/>
      <c r="AP631" s="160"/>
      <c r="AQ631" s="160"/>
      <c r="AR631" s="160"/>
      <c r="AS631" s="160"/>
      <c r="AT631" s="160"/>
      <c r="AU631" s="160"/>
      <c r="AV631" s="160"/>
      <c r="AW631" s="160"/>
      <c r="AX631" s="160"/>
      <c r="AY631" s="160"/>
      <c r="AZ631" s="160"/>
      <c r="BA631" s="160"/>
      <c r="BB631" s="160"/>
      <c r="BC631" s="160"/>
      <c r="BD631" s="160"/>
      <c r="BE631" s="160"/>
      <c r="BF631" s="160"/>
      <c r="BG631" s="160"/>
      <c r="BH631" s="160"/>
      <c r="BI631" s="160"/>
      <c r="BJ631" s="160"/>
      <c r="BK631" s="160"/>
      <c r="BL631" s="160"/>
      <c r="BM631" s="160"/>
      <c r="BN631" s="160"/>
      <c r="BO631" s="160"/>
      <c r="BP631" s="160"/>
      <c r="BQ631" s="160"/>
      <c r="BR631" s="160"/>
      <c r="BS631" s="160"/>
      <c r="BT631" s="160"/>
      <c r="BU631" s="160"/>
      <c r="BV631" s="160"/>
      <c r="BW631" s="160"/>
      <c r="BX631" s="160"/>
      <c r="BY631" s="160"/>
      <c r="BZ631" s="160"/>
      <c r="CA631" s="160"/>
      <c r="CB631" s="160"/>
      <c r="CC631" s="160"/>
      <c r="CD631" s="160"/>
      <c r="CE631" s="160"/>
      <c r="CF631" s="160"/>
      <c r="CG631" s="160"/>
      <c r="CH631" s="160"/>
      <c r="CI631" s="160"/>
      <c r="CJ631" s="160"/>
      <c r="CK631" s="160"/>
      <c r="CL631" s="160"/>
    </row>
    <row r="632">
      <c r="A632" s="171"/>
      <c r="F632" s="11"/>
      <c r="G632" s="11"/>
      <c r="L632" s="171"/>
      <c r="M632" s="171"/>
      <c r="O632" s="160"/>
      <c r="P632" s="160"/>
      <c r="Q632" s="160"/>
      <c r="R632" s="160"/>
      <c r="S632" s="160"/>
      <c r="T632" s="207"/>
      <c r="U632" s="160"/>
      <c r="V632" s="160"/>
      <c r="W632" s="160"/>
      <c r="X632" s="160"/>
      <c r="Y632" s="160"/>
      <c r="Z632" s="160"/>
      <c r="AA632" s="160"/>
      <c r="AB632" s="160"/>
      <c r="AC632" s="160"/>
      <c r="AD632" s="160"/>
      <c r="AE632" s="160"/>
      <c r="AF632" s="160"/>
      <c r="AG632" s="160"/>
      <c r="AH632" s="160"/>
      <c r="AI632" s="160"/>
      <c r="AJ632" s="160"/>
      <c r="AK632" s="160"/>
      <c r="AL632" s="160"/>
      <c r="AM632" s="160"/>
      <c r="AN632" s="164"/>
      <c r="AO632" s="160"/>
      <c r="AP632" s="160"/>
      <c r="AQ632" s="160"/>
      <c r="AR632" s="160"/>
      <c r="AS632" s="160"/>
      <c r="AT632" s="160"/>
      <c r="AU632" s="160"/>
      <c r="AV632" s="160"/>
      <c r="AW632" s="160"/>
      <c r="AX632" s="160"/>
      <c r="AY632" s="160"/>
      <c r="AZ632" s="160"/>
      <c r="BA632" s="160"/>
      <c r="BB632" s="160"/>
      <c r="BC632" s="160"/>
      <c r="BD632" s="160"/>
      <c r="BE632" s="160"/>
      <c r="BF632" s="160"/>
      <c r="BG632" s="160"/>
      <c r="BH632" s="160"/>
      <c r="BI632" s="160"/>
      <c r="BJ632" s="160"/>
      <c r="BK632" s="160"/>
      <c r="BL632" s="160"/>
      <c r="BM632" s="160"/>
      <c r="BN632" s="160"/>
      <c r="BO632" s="160"/>
      <c r="BP632" s="160"/>
      <c r="BQ632" s="160"/>
      <c r="BR632" s="160"/>
      <c r="BS632" s="160"/>
      <c r="BT632" s="160"/>
      <c r="BU632" s="160"/>
      <c r="BV632" s="160"/>
      <c r="BW632" s="160"/>
      <c r="BX632" s="160"/>
      <c r="BY632" s="160"/>
      <c r="BZ632" s="160"/>
      <c r="CA632" s="160"/>
      <c r="CB632" s="160"/>
      <c r="CC632" s="160"/>
      <c r="CD632" s="160"/>
      <c r="CE632" s="160"/>
      <c r="CF632" s="160"/>
      <c r="CG632" s="160"/>
      <c r="CH632" s="160"/>
      <c r="CI632" s="160"/>
      <c r="CJ632" s="160"/>
      <c r="CK632" s="160"/>
      <c r="CL632" s="160"/>
    </row>
    <row r="633">
      <c r="A633" s="171"/>
      <c r="F633" s="11"/>
      <c r="G633" s="11"/>
      <c r="L633" s="171"/>
      <c r="M633" s="171"/>
      <c r="O633" s="160"/>
      <c r="P633" s="160"/>
      <c r="Q633" s="160"/>
      <c r="R633" s="160"/>
      <c r="S633" s="160"/>
      <c r="T633" s="207"/>
      <c r="U633" s="160"/>
      <c r="V633" s="160"/>
      <c r="W633" s="160"/>
      <c r="X633" s="160"/>
      <c r="Y633" s="160"/>
      <c r="Z633" s="160"/>
      <c r="AA633" s="160"/>
      <c r="AB633" s="160"/>
      <c r="AC633" s="160"/>
      <c r="AD633" s="160"/>
      <c r="AE633" s="160"/>
      <c r="AF633" s="160"/>
      <c r="AG633" s="160"/>
      <c r="AH633" s="160"/>
      <c r="AI633" s="160"/>
      <c r="AJ633" s="160"/>
      <c r="AK633" s="160"/>
      <c r="AL633" s="160"/>
      <c r="AM633" s="160"/>
      <c r="AN633" s="164"/>
      <c r="AO633" s="160"/>
      <c r="AP633" s="160"/>
      <c r="AQ633" s="160"/>
      <c r="AR633" s="160"/>
      <c r="AS633" s="160"/>
      <c r="AT633" s="160"/>
      <c r="AU633" s="160"/>
      <c r="AV633" s="160"/>
      <c r="AW633" s="160"/>
      <c r="AX633" s="160"/>
      <c r="AY633" s="160"/>
      <c r="AZ633" s="160"/>
      <c r="BA633" s="160"/>
      <c r="BB633" s="160"/>
      <c r="BC633" s="160"/>
      <c r="BD633" s="160"/>
      <c r="BE633" s="160"/>
      <c r="BF633" s="160"/>
      <c r="BG633" s="160"/>
      <c r="BH633" s="160"/>
      <c r="BI633" s="160"/>
      <c r="BJ633" s="160"/>
      <c r="BK633" s="160"/>
      <c r="BL633" s="160"/>
      <c r="BM633" s="160"/>
      <c r="BN633" s="160"/>
      <c r="BO633" s="160"/>
      <c r="BP633" s="160"/>
      <c r="BQ633" s="160"/>
      <c r="BR633" s="160"/>
      <c r="BS633" s="160"/>
      <c r="BT633" s="160"/>
      <c r="BU633" s="160"/>
      <c r="BV633" s="160"/>
      <c r="BW633" s="160"/>
      <c r="BX633" s="160"/>
      <c r="BY633" s="160"/>
      <c r="BZ633" s="160"/>
      <c r="CA633" s="160"/>
      <c r="CB633" s="160"/>
      <c r="CC633" s="160"/>
      <c r="CD633" s="160"/>
      <c r="CE633" s="160"/>
      <c r="CF633" s="160"/>
      <c r="CG633" s="160"/>
      <c r="CH633" s="160"/>
      <c r="CI633" s="160"/>
      <c r="CJ633" s="160"/>
      <c r="CK633" s="160"/>
      <c r="CL633" s="160"/>
    </row>
    <row r="634">
      <c r="A634" s="171"/>
      <c r="F634" s="11"/>
      <c r="G634" s="11"/>
      <c r="L634" s="171"/>
      <c r="M634" s="171"/>
      <c r="O634" s="160"/>
      <c r="P634" s="160"/>
      <c r="Q634" s="160"/>
      <c r="R634" s="160"/>
      <c r="S634" s="160"/>
      <c r="T634" s="207"/>
      <c r="U634" s="160"/>
      <c r="V634" s="160"/>
      <c r="W634" s="160"/>
      <c r="X634" s="160"/>
      <c r="Y634" s="160"/>
      <c r="Z634" s="160"/>
      <c r="AA634" s="160"/>
      <c r="AB634" s="160"/>
      <c r="AC634" s="160"/>
      <c r="AD634" s="160"/>
      <c r="AE634" s="160"/>
      <c r="AF634" s="160"/>
      <c r="AG634" s="160"/>
      <c r="AH634" s="160"/>
      <c r="AI634" s="160"/>
      <c r="AJ634" s="160"/>
      <c r="AK634" s="160"/>
      <c r="AL634" s="160"/>
      <c r="AM634" s="160"/>
      <c r="AN634" s="164"/>
      <c r="AO634" s="160"/>
      <c r="AP634" s="160"/>
      <c r="AQ634" s="160"/>
      <c r="AR634" s="160"/>
      <c r="AS634" s="160"/>
      <c r="AT634" s="160"/>
      <c r="AU634" s="160"/>
      <c r="AV634" s="160"/>
      <c r="AW634" s="160"/>
      <c r="AX634" s="160"/>
      <c r="AY634" s="160"/>
      <c r="AZ634" s="160"/>
      <c r="BA634" s="160"/>
      <c r="BB634" s="160"/>
      <c r="BC634" s="160"/>
      <c r="BD634" s="160"/>
      <c r="BE634" s="160"/>
      <c r="BF634" s="160"/>
      <c r="BG634" s="160"/>
      <c r="BH634" s="160"/>
      <c r="BI634" s="160"/>
      <c r="BJ634" s="160"/>
      <c r="BK634" s="160"/>
      <c r="BL634" s="160"/>
      <c r="BM634" s="160"/>
      <c r="BN634" s="160"/>
      <c r="BO634" s="160"/>
      <c r="BP634" s="160"/>
      <c r="BQ634" s="160"/>
      <c r="BR634" s="160"/>
      <c r="BS634" s="160"/>
      <c r="BT634" s="160"/>
      <c r="BU634" s="160"/>
      <c r="BV634" s="160"/>
      <c r="BW634" s="160"/>
      <c r="BX634" s="160"/>
      <c r="BY634" s="160"/>
      <c r="BZ634" s="160"/>
      <c r="CA634" s="160"/>
      <c r="CB634" s="160"/>
      <c r="CC634" s="160"/>
      <c r="CD634" s="160"/>
      <c r="CE634" s="160"/>
      <c r="CF634" s="160"/>
      <c r="CG634" s="160"/>
      <c r="CH634" s="160"/>
      <c r="CI634" s="160"/>
      <c r="CJ634" s="160"/>
      <c r="CK634" s="160"/>
      <c r="CL634" s="160"/>
    </row>
    <row r="635">
      <c r="A635" s="171"/>
      <c r="F635" s="11"/>
      <c r="G635" s="11"/>
      <c r="L635" s="171"/>
      <c r="M635" s="171"/>
      <c r="O635" s="160"/>
      <c r="P635" s="160"/>
      <c r="Q635" s="160"/>
      <c r="R635" s="160"/>
      <c r="S635" s="160"/>
      <c r="T635" s="207"/>
      <c r="U635" s="160"/>
      <c r="V635" s="160"/>
      <c r="W635" s="160"/>
      <c r="X635" s="160"/>
      <c r="Y635" s="160"/>
      <c r="Z635" s="160"/>
      <c r="AA635" s="160"/>
      <c r="AB635" s="160"/>
      <c r="AC635" s="160"/>
      <c r="AD635" s="160"/>
      <c r="AE635" s="160"/>
      <c r="AF635" s="160"/>
      <c r="AG635" s="160"/>
      <c r="AH635" s="160"/>
      <c r="AI635" s="160"/>
      <c r="AJ635" s="160"/>
      <c r="AK635" s="160"/>
      <c r="AL635" s="160"/>
      <c r="AM635" s="160"/>
      <c r="AN635" s="164"/>
      <c r="AO635" s="160"/>
      <c r="AP635" s="160"/>
      <c r="AQ635" s="160"/>
      <c r="AR635" s="160"/>
      <c r="AS635" s="160"/>
      <c r="AT635" s="160"/>
      <c r="AU635" s="160"/>
      <c r="AV635" s="160"/>
      <c r="AW635" s="160"/>
      <c r="AX635" s="160"/>
      <c r="AY635" s="160"/>
      <c r="AZ635" s="160"/>
      <c r="BA635" s="160"/>
      <c r="BB635" s="160"/>
      <c r="BC635" s="160"/>
      <c r="BD635" s="160"/>
      <c r="BE635" s="160"/>
      <c r="BF635" s="160"/>
      <c r="BG635" s="160"/>
      <c r="BH635" s="160"/>
      <c r="BI635" s="160"/>
      <c r="BJ635" s="160"/>
      <c r="BK635" s="160"/>
      <c r="BL635" s="160"/>
      <c r="BM635" s="160"/>
      <c r="BN635" s="160"/>
      <c r="BO635" s="160"/>
      <c r="BP635" s="160"/>
      <c r="BQ635" s="160"/>
      <c r="BR635" s="160"/>
      <c r="BS635" s="160"/>
      <c r="BT635" s="160"/>
      <c r="BU635" s="160"/>
      <c r="BV635" s="160"/>
      <c r="BW635" s="160"/>
      <c r="BX635" s="160"/>
      <c r="BY635" s="160"/>
      <c r="BZ635" s="160"/>
      <c r="CA635" s="160"/>
      <c r="CB635" s="160"/>
      <c r="CC635" s="160"/>
      <c r="CD635" s="160"/>
      <c r="CE635" s="160"/>
      <c r="CF635" s="160"/>
      <c r="CG635" s="160"/>
      <c r="CH635" s="160"/>
      <c r="CI635" s="160"/>
      <c r="CJ635" s="160"/>
      <c r="CK635" s="160"/>
      <c r="CL635" s="160"/>
    </row>
    <row r="636">
      <c r="A636" s="171"/>
      <c r="F636" s="11"/>
      <c r="G636" s="11"/>
      <c r="L636" s="171"/>
      <c r="M636" s="171"/>
      <c r="O636" s="160"/>
      <c r="P636" s="160"/>
      <c r="Q636" s="160"/>
      <c r="R636" s="160"/>
      <c r="S636" s="160"/>
      <c r="T636" s="207"/>
      <c r="U636" s="160"/>
      <c r="V636" s="160"/>
      <c r="W636" s="160"/>
      <c r="X636" s="160"/>
      <c r="Y636" s="160"/>
      <c r="Z636" s="160"/>
      <c r="AA636" s="160"/>
      <c r="AB636" s="160"/>
      <c r="AC636" s="160"/>
      <c r="AD636" s="160"/>
      <c r="AE636" s="160"/>
      <c r="AF636" s="160"/>
      <c r="AG636" s="160"/>
      <c r="AH636" s="160"/>
      <c r="AI636" s="160"/>
      <c r="AJ636" s="160"/>
      <c r="AK636" s="160"/>
      <c r="AL636" s="160"/>
      <c r="AM636" s="160"/>
      <c r="AN636" s="164"/>
      <c r="AO636" s="160"/>
      <c r="AP636" s="160"/>
      <c r="AQ636" s="160"/>
      <c r="AR636" s="160"/>
      <c r="AS636" s="160"/>
      <c r="AT636" s="160"/>
      <c r="AU636" s="160"/>
      <c r="AV636" s="160"/>
      <c r="AW636" s="160"/>
      <c r="AX636" s="160"/>
      <c r="AY636" s="160"/>
      <c r="AZ636" s="160"/>
      <c r="BA636" s="160"/>
      <c r="BB636" s="160"/>
      <c r="BC636" s="160"/>
      <c r="BD636" s="160"/>
      <c r="BE636" s="160"/>
      <c r="BF636" s="160"/>
      <c r="BG636" s="160"/>
      <c r="BH636" s="160"/>
      <c r="BI636" s="160"/>
      <c r="BJ636" s="160"/>
      <c r="BK636" s="160"/>
      <c r="BL636" s="160"/>
      <c r="BM636" s="160"/>
      <c r="BN636" s="160"/>
      <c r="BO636" s="160"/>
      <c r="BP636" s="160"/>
      <c r="BQ636" s="160"/>
      <c r="BR636" s="160"/>
      <c r="BS636" s="160"/>
      <c r="BT636" s="160"/>
      <c r="BU636" s="160"/>
      <c r="BV636" s="160"/>
      <c r="BW636" s="160"/>
      <c r="BX636" s="160"/>
      <c r="BY636" s="160"/>
      <c r="BZ636" s="160"/>
      <c r="CA636" s="160"/>
      <c r="CB636" s="160"/>
      <c r="CC636" s="160"/>
      <c r="CD636" s="160"/>
      <c r="CE636" s="160"/>
      <c r="CF636" s="160"/>
      <c r="CG636" s="160"/>
      <c r="CH636" s="160"/>
      <c r="CI636" s="160"/>
      <c r="CJ636" s="160"/>
      <c r="CK636" s="160"/>
      <c r="CL636" s="160"/>
    </row>
    <row r="637">
      <c r="A637" s="171"/>
      <c r="F637" s="11"/>
      <c r="G637" s="11"/>
      <c r="L637" s="171"/>
      <c r="M637" s="171"/>
      <c r="O637" s="160"/>
      <c r="P637" s="160"/>
      <c r="Q637" s="160"/>
      <c r="R637" s="160"/>
      <c r="S637" s="160"/>
      <c r="T637" s="207"/>
      <c r="U637" s="160"/>
      <c r="V637" s="160"/>
      <c r="W637" s="160"/>
      <c r="X637" s="160"/>
      <c r="Y637" s="160"/>
      <c r="Z637" s="160"/>
      <c r="AA637" s="160"/>
      <c r="AB637" s="160"/>
      <c r="AC637" s="160"/>
      <c r="AD637" s="160"/>
      <c r="AE637" s="160"/>
      <c r="AF637" s="160"/>
      <c r="AG637" s="160"/>
      <c r="AH637" s="160"/>
      <c r="AI637" s="160"/>
      <c r="AJ637" s="160"/>
      <c r="AK637" s="160"/>
      <c r="AL637" s="160"/>
      <c r="AM637" s="160"/>
      <c r="AN637" s="164"/>
      <c r="AO637" s="160"/>
      <c r="AP637" s="160"/>
      <c r="AQ637" s="160"/>
      <c r="AR637" s="160"/>
      <c r="AS637" s="160"/>
      <c r="AT637" s="160"/>
      <c r="AU637" s="160"/>
      <c r="AV637" s="160"/>
      <c r="AW637" s="160"/>
      <c r="AX637" s="160"/>
      <c r="AY637" s="160"/>
      <c r="AZ637" s="160"/>
      <c r="BA637" s="160"/>
      <c r="BB637" s="160"/>
      <c r="BC637" s="160"/>
      <c r="BD637" s="160"/>
      <c r="BE637" s="160"/>
      <c r="BF637" s="160"/>
      <c r="BG637" s="160"/>
      <c r="BH637" s="160"/>
      <c r="BI637" s="160"/>
      <c r="BJ637" s="160"/>
      <c r="BK637" s="160"/>
      <c r="BL637" s="160"/>
      <c r="BM637" s="160"/>
      <c r="BN637" s="160"/>
      <c r="BO637" s="160"/>
      <c r="BP637" s="160"/>
      <c r="BQ637" s="160"/>
      <c r="BR637" s="160"/>
      <c r="BS637" s="160"/>
      <c r="BT637" s="160"/>
      <c r="BU637" s="160"/>
      <c r="BV637" s="160"/>
      <c r="BW637" s="160"/>
      <c r="BX637" s="160"/>
      <c r="BY637" s="160"/>
      <c r="BZ637" s="160"/>
      <c r="CA637" s="160"/>
      <c r="CB637" s="160"/>
      <c r="CC637" s="160"/>
      <c r="CD637" s="160"/>
      <c r="CE637" s="160"/>
      <c r="CF637" s="160"/>
      <c r="CG637" s="160"/>
      <c r="CH637" s="160"/>
      <c r="CI637" s="160"/>
      <c r="CJ637" s="160"/>
      <c r="CK637" s="160"/>
      <c r="CL637" s="160"/>
    </row>
    <row r="638">
      <c r="A638" s="171"/>
      <c r="F638" s="11"/>
      <c r="G638" s="11"/>
      <c r="L638" s="171"/>
      <c r="M638" s="171"/>
      <c r="O638" s="160"/>
      <c r="P638" s="160"/>
      <c r="Q638" s="160"/>
      <c r="R638" s="160"/>
      <c r="S638" s="160"/>
      <c r="T638" s="207"/>
      <c r="U638" s="160"/>
      <c r="V638" s="160"/>
      <c r="W638" s="160"/>
      <c r="X638" s="160"/>
      <c r="Y638" s="160"/>
      <c r="Z638" s="160"/>
      <c r="AA638" s="160"/>
      <c r="AB638" s="160"/>
      <c r="AC638" s="160"/>
      <c r="AD638" s="160"/>
      <c r="AE638" s="160"/>
      <c r="AF638" s="160"/>
      <c r="AG638" s="160"/>
      <c r="AH638" s="160"/>
      <c r="AI638" s="160"/>
      <c r="AJ638" s="160"/>
      <c r="AK638" s="160"/>
      <c r="AL638" s="160"/>
      <c r="AM638" s="160"/>
      <c r="AN638" s="164"/>
      <c r="AO638" s="160"/>
      <c r="AP638" s="160"/>
      <c r="AQ638" s="160"/>
      <c r="AR638" s="160"/>
      <c r="AS638" s="160"/>
      <c r="AT638" s="160"/>
      <c r="AU638" s="160"/>
      <c r="AV638" s="160"/>
      <c r="AW638" s="160"/>
      <c r="AX638" s="160"/>
      <c r="AY638" s="160"/>
      <c r="AZ638" s="160"/>
      <c r="BA638" s="160"/>
      <c r="BB638" s="160"/>
      <c r="BC638" s="160"/>
      <c r="BD638" s="160"/>
      <c r="BE638" s="160"/>
      <c r="BF638" s="160"/>
      <c r="BG638" s="160"/>
      <c r="BH638" s="160"/>
      <c r="BI638" s="160"/>
      <c r="BJ638" s="160"/>
      <c r="BK638" s="160"/>
      <c r="BL638" s="160"/>
      <c r="BM638" s="160"/>
      <c r="BN638" s="160"/>
      <c r="BO638" s="160"/>
      <c r="BP638" s="160"/>
      <c r="BQ638" s="160"/>
      <c r="BR638" s="160"/>
      <c r="BS638" s="160"/>
      <c r="BT638" s="160"/>
      <c r="BU638" s="160"/>
      <c r="BV638" s="160"/>
      <c r="BW638" s="160"/>
      <c r="BX638" s="160"/>
      <c r="BY638" s="160"/>
      <c r="BZ638" s="160"/>
      <c r="CA638" s="160"/>
      <c r="CB638" s="160"/>
      <c r="CC638" s="160"/>
      <c r="CD638" s="160"/>
      <c r="CE638" s="160"/>
      <c r="CF638" s="160"/>
      <c r="CG638" s="160"/>
      <c r="CH638" s="160"/>
      <c r="CI638" s="160"/>
      <c r="CJ638" s="160"/>
      <c r="CK638" s="160"/>
      <c r="CL638" s="160"/>
    </row>
    <row r="639">
      <c r="A639" s="171"/>
      <c r="F639" s="11"/>
      <c r="G639" s="11"/>
      <c r="L639" s="171"/>
      <c r="M639" s="171"/>
      <c r="O639" s="160"/>
      <c r="P639" s="160"/>
      <c r="Q639" s="160"/>
      <c r="R639" s="160"/>
      <c r="S639" s="160"/>
      <c r="T639" s="207"/>
      <c r="U639" s="160"/>
      <c r="V639" s="160"/>
      <c r="W639" s="160"/>
      <c r="X639" s="160"/>
      <c r="Y639" s="160"/>
      <c r="Z639" s="160"/>
      <c r="AA639" s="160"/>
      <c r="AB639" s="160"/>
      <c r="AC639" s="160"/>
      <c r="AD639" s="160"/>
      <c r="AE639" s="160"/>
      <c r="AF639" s="160"/>
      <c r="AG639" s="160"/>
      <c r="AH639" s="160"/>
      <c r="AI639" s="160"/>
      <c r="AJ639" s="160"/>
      <c r="AK639" s="160"/>
      <c r="AL639" s="160"/>
      <c r="AM639" s="160"/>
      <c r="AN639" s="164"/>
      <c r="AO639" s="160"/>
      <c r="AP639" s="160"/>
      <c r="AQ639" s="160"/>
      <c r="AR639" s="160"/>
      <c r="AS639" s="160"/>
      <c r="AT639" s="160"/>
      <c r="AU639" s="160"/>
      <c r="AV639" s="160"/>
      <c r="AW639" s="160"/>
      <c r="AX639" s="160"/>
      <c r="AY639" s="160"/>
      <c r="AZ639" s="160"/>
      <c r="BA639" s="160"/>
      <c r="BB639" s="160"/>
      <c r="BC639" s="160"/>
      <c r="BD639" s="160"/>
      <c r="BE639" s="160"/>
      <c r="BF639" s="160"/>
      <c r="BG639" s="160"/>
      <c r="BH639" s="160"/>
      <c r="BI639" s="160"/>
      <c r="BJ639" s="160"/>
      <c r="BK639" s="160"/>
      <c r="BL639" s="160"/>
      <c r="BM639" s="160"/>
      <c r="BN639" s="160"/>
      <c r="BO639" s="160"/>
      <c r="BP639" s="160"/>
      <c r="BQ639" s="160"/>
      <c r="BR639" s="160"/>
      <c r="BS639" s="160"/>
      <c r="BT639" s="160"/>
      <c r="BU639" s="160"/>
      <c r="BV639" s="160"/>
      <c r="BW639" s="160"/>
      <c r="BX639" s="160"/>
      <c r="BY639" s="160"/>
      <c r="BZ639" s="160"/>
      <c r="CA639" s="160"/>
      <c r="CB639" s="160"/>
      <c r="CC639" s="160"/>
      <c r="CD639" s="160"/>
      <c r="CE639" s="160"/>
      <c r="CF639" s="160"/>
      <c r="CG639" s="160"/>
      <c r="CH639" s="160"/>
      <c r="CI639" s="160"/>
      <c r="CJ639" s="160"/>
      <c r="CK639" s="160"/>
      <c r="CL639" s="160"/>
    </row>
    <row r="640">
      <c r="A640" s="171"/>
      <c r="F640" s="11"/>
      <c r="G640" s="11"/>
      <c r="L640" s="171"/>
      <c r="M640" s="171"/>
      <c r="O640" s="160"/>
      <c r="P640" s="160"/>
      <c r="Q640" s="160"/>
      <c r="R640" s="160"/>
      <c r="S640" s="160"/>
      <c r="T640" s="207"/>
      <c r="U640" s="160"/>
      <c r="V640" s="160"/>
      <c r="W640" s="160"/>
      <c r="X640" s="160"/>
      <c r="Y640" s="160"/>
      <c r="Z640" s="160"/>
      <c r="AA640" s="160"/>
      <c r="AB640" s="160"/>
      <c r="AC640" s="160"/>
      <c r="AD640" s="160"/>
      <c r="AE640" s="160"/>
      <c r="AF640" s="160"/>
      <c r="AG640" s="160"/>
      <c r="AH640" s="160"/>
      <c r="AI640" s="160"/>
      <c r="AJ640" s="160"/>
      <c r="AK640" s="160"/>
      <c r="AL640" s="160"/>
      <c r="AM640" s="160"/>
      <c r="AN640" s="164"/>
      <c r="AO640" s="160"/>
      <c r="AP640" s="160"/>
      <c r="AQ640" s="160"/>
      <c r="AR640" s="160"/>
      <c r="AS640" s="160"/>
      <c r="AT640" s="160"/>
      <c r="AU640" s="160"/>
      <c r="AV640" s="160"/>
      <c r="AW640" s="160"/>
      <c r="AX640" s="160"/>
      <c r="AY640" s="160"/>
      <c r="AZ640" s="160"/>
      <c r="BA640" s="160"/>
      <c r="BB640" s="160"/>
      <c r="BC640" s="160"/>
      <c r="BD640" s="160"/>
      <c r="BE640" s="160"/>
      <c r="BF640" s="160"/>
      <c r="BG640" s="160"/>
      <c r="BH640" s="160"/>
      <c r="BI640" s="160"/>
      <c r="BJ640" s="160"/>
      <c r="BK640" s="160"/>
      <c r="BL640" s="160"/>
      <c r="BM640" s="160"/>
      <c r="BN640" s="160"/>
      <c r="BO640" s="160"/>
      <c r="BP640" s="160"/>
      <c r="BQ640" s="160"/>
      <c r="BR640" s="160"/>
      <c r="BS640" s="160"/>
      <c r="BT640" s="160"/>
      <c r="BU640" s="160"/>
      <c r="BV640" s="160"/>
      <c r="BW640" s="160"/>
      <c r="BX640" s="160"/>
      <c r="BY640" s="160"/>
      <c r="BZ640" s="160"/>
      <c r="CA640" s="160"/>
      <c r="CB640" s="160"/>
      <c r="CC640" s="160"/>
      <c r="CD640" s="160"/>
      <c r="CE640" s="160"/>
      <c r="CF640" s="160"/>
      <c r="CG640" s="160"/>
      <c r="CH640" s="160"/>
      <c r="CI640" s="160"/>
      <c r="CJ640" s="160"/>
      <c r="CK640" s="160"/>
      <c r="CL640" s="160"/>
    </row>
    <row r="641">
      <c r="A641" s="171"/>
      <c r="F641" s="11"/>
      <c r="G641" s="11"/>
      <c r="L641" s="171"/>
      <c r="M641" s="171"/>
      <c r="O641" s="160"/>
      <c r="P641" s="160"/>
      <c r="Q641" s="160"/>
      <c r="R641" s="160"/>
      <c r="S641" s="160"/>
      <c r="T641" s="207"/>
      <c r="U641" s="160"/>
      <c r="V641" s="160"/>
      <c r="W641" s="160"/>
      <c r="X641" s="160"/>
      <c r="Y641" s="160"/>
      <c r="Z641" s="160"/>
      <c r="AA641" s="160"/>
      <c r="AB641" s="160"/>
      <c r="AC641" s="160"/>
      <c r="AD641" s="160"/>
      <c r="AE641" s="160"/>
      <c r="AF641" s="160"/>
      <c r="AG641" s="160"/>
      <c r="AH641" s="160"/>
      <c r="AI641" s="160"/>
      <c r="AJ641" s="160"/>
      <c r="AK641" s="160"/>
      <c r="AL641" s="160"/>
      <c r="AM641" s="160"/>
      <c r="AN641" s="164"/>
      <c r="AO641" s="160"/>
      <c r="AP641" s="160"/>
      <c r="AQ641" s="160"/>
      <c r="AR641" s="160"/>
      <c r="AS641" s="160"/>
      <c r="AT641" s="160"/>
      <c r="AU641" s="160"/>
      <c r="AV641" s="160"/>
      <c r="AW641" s="160"/>
      <c r="AX641" s="160"/>
      <c r="AY641" s="160"/>
      <c r="AZ641" s="160"/>
      <c r="BA641" s="160"/>
      <c r="BB641" s="160"/>
      <c r="BC641" s="160"/>
      <c r="BD641" s="160"/>
      <c r="BE641" s="160"/>
      <c r="BF641" s="160"/>
      <c r="BG641" s="160"/>
      <c r="BH641" s="160"/>
      <c r="BI641" s="160"/>
      <c r="BJ641" s="160"/>
      <c r="BK641" s="160"/>
      <c r="BL641" s="160"/>
      <c r="BM641" s="160"/>
      <c r="BN641" s="160"/>
      <c r="BO641" s="160"/>
      <c r="BP641" s="160"/>
      <c r="BQ641" s="160"/>
      <c r="BR641" s="160"/>
      <c r="BS641" s="160"/>
      <c r="BT641" s="160"/>
      <c r="BU641" s="160"/>
      <c r="BV641" s="160"/>
      <c r="BW641" s="160"/>
      <c r="BX641" s="160"/>
      <c r="BY641" s="160"/>
      <c r="BZ641" s="160"/>
      <c r="CA641" s="160"/>
      <c r="CB641" s="160"/>
      <c r="CC641" s="160"/>
      <c r="CD641" s="160"/>
      <c r="CE641" s="160"/>
      <c r="CF641" s="160"/>
      <c r="CG641" s="160"/>
      <c r="CH641" s="160"/>
      <c r="CI641" s="160"/>
      <c r="CJ641" s="160"/>
      <c r="CK641" s="160"/>
      <c r="CL641" s="160"/>
    </row>
    <row r="642">
      <c r="A642" s="171"/>
      <c r="F642" s="11"/>
      <c r="G642" s="11"/>
      <c r="L642" s="171"/>
      <c r="M642" s="171"/>
      <c r="O642" s="160"/>
      <c r="P642" s="160"/>
      <c r="Q642" s="160"/>
      <c r="R642" s="160"/>
      <c r="S642" s="160"/>
      <c r="T642" s="207"/>
      <c r="U642" s="160"/>
      <c r="V642" s="160"/>
      <c r="W642" s="160"/>
      <c r="X642" s="160"/>
      <c r="Y642" s="160"/>
      <c r="Z642" s="160"/>
      <c r="AA642" s="160"/>
      <c r="AB642" s="160"/>
      <c r="AC642" s="160"/>
      <c r="AD642" s="160"/>
      <c r="AE642" s="160"/>
      <c r="AF642" s="160"/>
      <c r="AG642" s="160"/>
      <c r="AH642" s="160"/>
      <c r="AI642" s="160"/>
      <c r="AJ642" s="160"/>
      <c r="AK642" s="160"/>
      <c r="AL642" s="160"/>
      <c r="AM642" s="160"/>
      <c r="AN642" s="164"/>
      <c r="AO642" s="160"/>
      <c r="AP642" s="160"/>
      <c r="AQ642" s="160"/>
      <c r="AR642" s="160"/>
      <c r="AS642" s="160"/>
      <c r="AT642" s="160"/>
      <c r="AU642" s="160"/>
      <c r="AV642" s="160"/>
      <c r="AW642" s="160"/>
      <c r="AX642" s="160"/>
      <c r="AY642" s="160"/>
      <c r="AZ642" s="160"/>
      <c r="BA642" s="160"/>
      <c r="BB642" s="160"/>
      <c r="BC642" s="160"/>
      <c r="BD642" s="160"/>
      <c r="BE642" s="160"/>
      <c r="BF642" s="160"/>
      <c r="BG642" s="160"/>
      <c r="BH642" s="160"/>
      <c r="BI642" s="160"/>
      <c r="BJ642" s="160"/>
      <c r="BK642" s="160"/>
      <c r="BL642" s="160"/>
      <c r="BM642" s="160"/>
      <c r="BN642" s="160"/>
      <c r="BO642" s="160"/>
      <c r="BP642" s="160"/>
      <c r="BQ642" s="160"/>
      <c r="BR642" s="160"/>
      <c r="BS642" s="160"/>
      <c r="BT642" s="160"/>
      <c r="BU642" s="160"/>
      <c r="BV642" s="160"/>
      <c r="BW642" s="160"/>
      <c r="BX642" s="160"/>
      <c r="BY642" s="160"/>
      <c r="BZ642" s="160"/>
      <c r="CA642" s="160"/>
      <c r="CB642" s="160"/>
      <c r="CC642" s="160"/>
      <c r="CD642" s="160"/>
      <c r="CE642" s="160"/>
      <c r="CF642" s="160"/>
      <c r="CG642" s="160"/>
      <c r="CH642" s="160"/>
      <c r="CI642" s="160"/>
      <c r="CJ642" s="160"/>
      <c r="CK642" s="160"/>
      <c r="CL642" s="160"/>
    </row>
    <row r="643">
      <c r="A643" s="171"/>
      <c r="F643" s="11"/>
      <c r="G643" s="11"/>
      <c r="L643" s="171"/>
      <c r="M643" s="171"/>
      <c r="O643" s="160"/>
      <c r="P643" s="160"/>
      <c r="Q643" s="160"/>
      <c r="R643" s="160"/>
      <c r="S643" s="160"/>
      <c r="T643" s="207"/>
      <c r="U643" s="160"/>
      <c r="V643" s="160"/>
      <c r="W643" s="160"/>
      <c r="X643" s="160"/>
      <c r="Y643" s="160"/>
      <c r="Z643" s="160"/>
      <c r="AA643" s="160"/>
      <c r="AB643" s="160"/>
      <c r="AC643" s="160"/>
      <c r="AD643" s="160"/>
      <c r="AE643" s="160"/>
      <c r="AF643" s="160"/>
      <c r="AG643" s="160"/>
      <c r="AH643" s="160"/>
      <c r="AI643" s="160"/>
      <c r="AJ643" s="160"/>
      <c r="AK643" s="160"/>
      <c r="AL643" s="160"/>
      <c r="AM643" s="160"/>
      <c r="AN643" s="164"/>
      <c r="AO643" s="160"/>
      <c r="AP643" s="160"/>
      <c r="AQ643" s="160"/>
      <c r="AR643" s="160"/>
      <c r="AS643" s="160"/>
      <c r="AT643" s="160"/>
      <c r="AU643" s="160"/>
      <c r="AV643" s="160"/>
      <c r="AW643" s="160"/>
      <c r="AX643" s="160"/>
      <c r="AY643" s="160"/>
      <c r="AZ643" s="160"/>
      <c r="BA643" s="160"/>
      <c r="BB643" s="160"/>
      <c r="BC643" s="160"/>
      <c r="BD643" s="160"/>
      <c r="BE643" s="160"/>
      <c r="BF643" s="160"/>
      <c r="BG643" s="160"/>
      <c r="BH643" s="160"/>
      <c r="BI643" s="160"/>
      <c r="BJ643" s="160"/>
      <c r="BK643" s="160"/>
      <c r="BL643" s="160"/>
      <c r="BM643" s="160"/>
      <c r="BN643" s="160"/>
      <c r="BO643" s="160"/>
      <c r="BP643" s="160"/>
      <c r="BQ643" s="160"/>
      <c r="BR643" s="160"/>
      <c r="BS643" s="160"/>
      <c r="BT643" s="160"/>
      <c r="BU643" s="160"/>
      <c r="BV643" s="160"/>
      <c r="BW643" s="160"/>
      <c r="BX643" s="160"/>
      <c r="BY643" s="160"/>
      <c r="BZ643" s="160"/>
      <c r="CA643" s="160"/>
      <c r="CB643" s="160"/>
      <c r="CC643" s="160"/>
      <c r="CD643" s="160"/>
      <c r="CE643" s="160"/>
      <c r="CF643" s="160"/>
      <c r="CG643" s="160"/>
      <c r="CH643" s="160"/>
      <c r="CI643" s="160"/>
      <c r="CJ643" s="160"/>
      <c r="CK643" s="160"/>
      <c r="CL643" s="160"/>
    </row>
    <row r="644">
      <c r="A644" s="171"/>
      <c r="F644" s="11"/>
      <c r="G644" s="11"/>
      <c r="L644" s="171"/>
      <c r="M644" s="171"/>
      <c r="O644" s="160"/>
      <c r="P644" s="160"/>
      <c r="Q644" s="160"/>
      <c r="R644" s="160"/>
      <c r="S644" s="160"/>
      <c r="T644" s="207"/>
      <c r="U644" s="160"/>
      <c r="V644" s="160"/>
      <c r="W644" s="160"/>
      <c r="X644" s="160"/>
      <c r="Y644" s="160"/>
      <c r="Z644" s="160"/>
      <c r="AA644" s="160"/>
      <c r="AB644" s="160"/>
      <c r="AC644" s="160"/>
      <c r="AD644" s="160"/>
      <c r="AE644" s="160"/>
      <c r="AF644" s="160"/>
      <c r="AG644" s="160"/>
      <c r="AH644" s="160"/>
      <c r="AI644" s="160"/>
      <c r="AJ644" s="160"/>
      <c r="AK644" s="160"/>
      <c r="AL644" s="160"/>
      <c r="AM644" s="160"/>
      <c r="AN644" s="164"/>
      <c r="AO644" s="160"/>
      <c r="AP644" s="160"/>
      <c r="AQ644" s="160"/>
      <c r="AR644" s="160"/>
      <c r="AS644" s="160"/>
      <c r="AT644" s="160"/>
      <c r="AU644" s="160"/>
      <c r="AV644" s="160"/>
      <c r="AW644" s="160"/>
      <c r="AX644" s="160"/>
      <c r="AY644" s="160"/>
      <c r="AZ644" s="160"/>
      <c r="BA644" s="160"/>
      <c r="BB644" s="160"/>
      <c r="BC644" s="160"/>
      <c r="BD644" s="160"/>
      <c r="BE644" s="160"/>
      <c r="BF644" s="160"/>
      <c r="BG644" s="160"/>
      <c r="BH644" s="160"/>
      <c r="BI644" s="160"/>
      <c r="BJ644" s="160"/>
      <c r="BK644" s="160"/>
      <c r="BL644" s="160"/>
      <c r="BM644" s="160"/>
      <c r="BN644" s="160"/>
      <c r="BO644" s="160"/>
      <c r="BP644" s="160"/>
      <c r="BQ644" s="160"/>
      <c r="BR644" s="160"/>
      <c r="BS644" s="160"/>
      <c r="BT644" s="160"/>
      <c r="BU644" s="160"/>
      <c r="BV644" s="160"/>
      <c r="BW644" s="160"/>
      <c r="BX644" s="160"/>
      <c r="BY644" s="160"/>
      <c r="BZ644" s="160"/>
      <c r="CA644" s="160"/>
      <c r="CB644" s="160"/>
      <c r="CC644" s="160"/>
      <c r="CD644" s="160"/>
      <c r="CE644" s="160"/>
      <c r="CF644" s="160"/>
      <c r="CG644" s="160"/>
      <c r="CH644" s="160"/>
      <c r="CI644" s="160"/>
      <c r="CJ644" s="160"/>
      <c r="CK644" s="160"/>
      <c r="CL644" s="160"/>
    </row>
    <row r="645">
      <c r="A645" s="171"/>
      <c r="F645" s="11"/>
      <c r="G645" s="11"/>
      <c r="L645" s="171"/>
      <c r="M645" s="171"/>
      <c r="O645" s="160"/>
      <c r="P645" s="160"/>
      <c r="Q645" s="160"/>
      <c r="R645" s="160"/>
      <c r="S645" s="160"/>
      <c r="T645" s="207"/>
      <c r="U645" s="160"/>
      <c r="V645" s="160"/>
      <c r="W645" s="160"/>
      <c r="X645" s="160"/>
      <c r="Y645" s="160"/>
      <c r="Z645" s="160"/>
      <c r="AA645" s="160"/>
      <c r="AB645" s="160"/>
      <c r="AC645" s="160"/>
      <c r="AD645" s="160"/>
      <c r="AE645" s="160"/>
      <c r="AF645" s="160"/>
      <c r="AG645" s="160"/>
      <c r="AH645" s="160"/>
      <c r="AI645" s="160"/>
      <c r="AJ645" s="160"/>
      <c r="AK645" s="160"/>
      <c r="AL645" s="160"/>
      <c r="AM645" s="160"/>
      <c r="AN645" s="164"/>
      <c r="AO645" s="160"/>
      <c r="AP645" s="160"/>
      <c r="AQ645" s="160"/>
      <c r="AR645" s="160"/>
      <c r="AS645" s="160"/>
      <c r="AT645" s="160"/>
      <c r="AU645" s="160"/>
      <c r="AV645" s="160"/>
      <c r="AW645" s="160"/>
      <c r="AX645" s="160"/>
      <c r="AY645" s="160"/>
      <c r="AZ645" s="160"/>
      <c r="BA645" s="160"/>
      <c r="BB645" s="160"/>
      <c r="BC645" s="160"/>
      <c r="BD645" s="160"/>
      <c r="BE645" s="160"/>
      <c r="BF645" s="160"/>
      <c r="BG645" s="160"/>
      <c r="BH645" s="160"/>
      <c r="BI645" s="160"/>
      <c r="BJ645" s="160"/>
      <c r="BK645" s="160"/>
      <c r="BL645" s="160"/>
      <c r="BM645" s="160"/>
      <c r="BN645" s="160"/>
      <c r="BO645" s="160"/>
      <c r="BP645" s="160"/>
      <c r="BQ645" s="160"/>
      <c r="BR645" s="160"/>
      <c r="BS645" s="160"/>
      <c r="BT645" s="160"/>
      <c r="BU645" s="160"/>
      <c r="BV645" s="160"/>
      <c r="BW645" s="160"/>
      <c r="BX645" s="160"/>
      <c r="BY645" s="160"/>
      <c r="BZ645" s="160"/>
      <c r="CA645" s="160"/>
      <c r="CB645" s="160"/>
      <c r="CC645" s="160"/>
      <c r="CD645" s="160"/>
      <c r="CE645" s="160"/>
      <c r="CF645" s="160"/>
      <c r="CG645" s="160"/>
      <c r="CH645" s="160"/>
      <c r="CI645" s="160"/>
      <c r="CJ645" s="160"/>
      <c r="CK645" s="160"/>
      <c r="CL645" s="160"/>
    </row>
    <row r="646">
      <c r="A646" s="171"/>
      <c r="F646" s="11"/>
      <c r="G646" s="11"/>
      <c r="L646" s="171"/>
      <c r="M646" s="171"/>
      <c r="O646" s="160"/>
      <c r="P646" s="160"/>
      <c r="Q646" s="160"/>
      <c r="R646" s="160"/>
      <c r="S646" s="160"/>
      <c r="T646" s="207"/>
      <c r="U646" s="160"/>
      <c r="V646" s="160"/>
      <c r="W646" s="160"/>
      <c r="X646" s="160"/>
      <c r="Y646" s="160"/>
      <c r="Z646" s="160"/>
      <c r="AA646" s="160"/>
      <c r="AB646" s="160"/>
      <c r="AC646" s="160"/>
      <c r="AD646" s="160"/>
      <c r="AE646" s="160"/>
      <c r="AF646" s="160"/>
      <c r="AG646" s="160"/>
      <c r="AH646" s="160"/>
      <c r="AI646" s="160"/>
      <c r="AJ646" s="160"/>
      <c r="AK646" s="160"/>
      <c r="AL646" s="160"/>
      <c r="AM646" s="160"/>
      <c r="AN646" s="164"/>
      <c r="AO646" s="160"/>
      <c r="AP646" s="160"/>
      <c r="AQ646" s="160"/>
      <c r="AR646" s="160"/>
      <c r="AS646" s="160"/>
      <c r="AT646" s="160"/>
      <c r="AU646" s="160"/>
      <c r="AV646" s="160"/>
      <c r="AW646" s="160"/>
      <c r="AX646" s="160"/>
      <c r="AY646" s="160"/>
      <c r="AZ646" s="160"/>
      <c r="BA646" s="160"/>
      <c r="BB646" s="160"/>
      <c r="BC646" s="160"/>
      <c r="BD646" s="160"/>
      <c r="BE646" s="160"/>
      <c r="BF646" s="160"/>
      <c r="BG646" s="160"/>
      <c r="BH646" s="160"/>
      <c r="BI646" s="160"/>
      <c r="BJ646" s="160"/>
      <c r="BK646" s="160"/>
      <c r="BL646" s="160"/>
      <c r="BM646" s="160"/>
      <c r="BN646" s="160"/>
      <c r="BO646" s="160"/>
      <c r="BP646" s="160"/>
      <c r="BQ646" s="160"/>
      <c r="BR646" s="160"/>
      <c r="BS646" s="160"/>
      <c r="BT646" s="160"/>
      <c r="BU646" s="160"/>
      <c r="BV646" s="160"/>
      <c r="BW646" s="160"/>
      <c r="BX646" s="160"/>
      <c r="BY646" s="160"/>
      <c r="BZ646" s="160"/>
      <c r="CA646" s="160"/>
      <c r="CB646" s="160"/>
      <c r="CC646" s="160"/>
      <c r="CD646" s="160"/>
      <c r="CE646" s="160"/>
      <c r="CF646" s="160"/>
      <c r="CG646" s="160"/>
      <c r="CH646" s="160"/>
      <c r="CI646" s="160"/>
      <c r="CJ646" s="160"/>
      <c r="CK646" s="160"/>
      <c r="CL646" s="160"/>
    </row>
    <row r="647">
      <c r="A647" s="171"/>
      <c r="F647" s="11"/>
      <c r="G647" s="11"/>
      <c r="L647" s="171"/>
      <c r="M647" s="171"/>
      <c r="O647" s="160"/>
      <c r="P647" s="160"/>
      <c r="Q647" s="160"/>
      <c r="R647" s="160"/>
      <c r="S647" s="160"/>
      <c r="T647" s="207"/>
      <c r="U647" s="160"/>
      <c r="V647" s="160"/>
      <c r="W647" s="160"/>
      <c r="X647" s="160"/>
      <c r="Y647" s="160"/>
      <c r="Z647" s="160"/>
      <c r="AA647" s="160"/>
      <c r="AB647" s="160"/>
      <c r="AC647" s="160"/>
      <c r="AD647" s="160"/>
      <c r="AE647" s="160"/>
      <c r="AF647" s="160"/>
      <c r="AG647" s="160"/>
      <c r="AH647" s="160"/>
      <c r="AI647" s="160"/>
      <c r="AJ647" s="160"/>
      <c r="AK647" s="160"/>
      <c r="AL647" s="160"/>
      <c r="AM647" s="160"/>
      <c r="AN647" s="164"/>
      <c r="AO647" s="160"/>
      <c r="AP647" s="160"/>
      <c r="AQ647" s="160"/>
      <c r="AR647" s="160"/>
      <c r="AS647" s="160"/>
      <c r="AT647" s="160"/>
      <c r="AU647" s="160"/>
      <c r="AV647" s="160"/>
      <c r="AW647" s="160"/>
      <c r="AX647" s="160"/>
      <c r="AY647" s="160"/>
      <c r="AZ647" s="160"/>
      <c r="BA647" s="160"/>
      <c r="BB647" s="160"/>
      <c r="BC647" s="160"/>
      <c r="BD647" s="160"/>
      <c r="BE647" s="160"/>
      <c r="BF647" s="160"/>
      <c r="BG647" s="160"/>
      <c r="BH647" s="160"/>
      <c r="BI647" s="160"/>
      <c r="BJ647" s="160"/>
      <c r="BK647" s="160"/>
      <c r="BL647" s="160"/>
      <c r="BM647" s="160"/>
      <c r="BN647" s="160"/>
      <c r="BO647" s="160"/>
      <c r="BP647" s="160"/>
      <c r="BQ647" s="160"/>
      <c r="BR647" s="160"/>
      <c r="BS647" s="160"/>
      <c r="BT647" s="160"/>
      <c r="BU647" s="160"/>
      <c r="BV647" s="160"/>
      <c r="BW647" s="160"/>
      <c r="BX647" s="160"/>
      <c r="BY647" s="160"/>
      <c r="BZ647" s="160"/>
      <c r="CA647" s="160"/>
      <c r="CB647" s="160"/>
      <c r="CC647" s="160"/>
      <c r="CD647" s="160"/>
      <c r="CE647" s="160"/>
      <c r="CF647" s="160"/>
      <c r="CG647" s="160"/>
      <c r="CH647" s="160"/>
      <c r="CI647" s="160"/>
      <c r="CJ647" s="160"/>
      <c r="CK647" s="160"/>
      <c r="CL647" s="160"/>
    </row>
    <row r="648">
      <c r="A648" s="171"/>
      <c r="F648" s="11"/>
      <c r="G648" s="11"/>
      <c r="L648" s="171"/>
      <c r="M648" s="171"/>
      <c r="O648" s="160"/>
      <c r="P648" s="160"/>
      <c r="Q648" s="160"/>
      <c r="R648" s="160"/>
      <c r="S648" s="160"/>
      <c r="T648" s="207"/>
      <c r="U648" s="160"/>
      <c r="V648" s="160"/>
      <c r="W648" s="160"/>
      <c r="X648" s="160"/>
      <c r="Y648" s="160"/>
      <c r="Z648" s="160"/>
      <c r="AA648" s="160"/>
      <c r="AB648" s="160"/>
      <c r="AC648" s="160"/>
      <c r="AD648" s="160"/>
      <c r="AE648" s="160"/>
      <c r="AF648" s="160"/>
      <c r="AG648" s="160"/>
      <c r="AH648" s="160"/>
      <c r="AI648" s="160"/>
      <c r="AJ648" s="160"/>
      <c r="AK648" s="160"/>
      <c r="AL648" s="160"/>
      <c r="AM648" s="160"/>
      <c r="AN648" s="164"/>
      <c r="AO648" s="160"/>
      <c r="AP648" s="160"/>
      <c r="AQ648" s="160"/>
      <c r="AR648" s="160"/>
      <c r="AS648" s="160"/>
      <c r="AT648" s="160"/>
      <c r="AU648" s="160"/>
      <c r="AV648" s="160"/>
      <c r="AW648" s="160"/>
      <c r="AX648" s="160"/>
      <c r="AY648" s="160"/>
      <c r="AZ648" s="160"/>
      <c r="BA648" s="160"/>
      <c r="BB648" s="160"/>
      <c r="BC648" s="160"/>
      <c r="BD648" s="160"/>
      <c r="BE648" s="160"/>
      <c r="BF648" s="160"/>
      <c r="BG648" s="160"/>
      <c r="BH648" s="160"/>
      <c r="BI648" s="160"/>
      <c r="BJ648" s="160"/>
      <c r="BK648" s="160"/>
      <c r="BL648" s="160"/>
      <c r="BM648" s="160"/>
      <c r="BN648" s="160"/>
      <c r="BO648" s="160"/>
      <c r="BP648" s="160"/>
      <c r="BQ648" s="160"/>
      <c r="BR648" s="160"/>
      <c r="BS648" s="160"/>
      <c r="BT648" s="160"/>
      <c r="BU648" s="160"/>
      <c r="BV648" s="160"/>
      <c r="BW648" s="160"/>
      <c r="BX648" s="160"/>
      <c r="BY648" s="160"/>
      <c r="BZ648" s="160"/>
      <c r="CA648" s="160"/>
      <c r="CB648" s="160"/>
      <c r="CC648" s="160"/>
      <c r="CD648" s="160"/>
      <c r="CE648" s="160"/>
      <c r="CF648" s="160"/>
      <c r="CG648" s="160"/>
      <c r="CH648" s="160"/>
      <c r="CI648" s="160"/>
      <c r="CJ648" s="160"/>
      <c r="CK648" s="160"/>
      <c r="CL648" s="160"/>
    </row>
    <row r="649">
      <c r="A649" s="171"/>
      <c r="F649" s="11"/>
      <c r="G649" s="11"/>
      <c r="L649" s="171"/>
      <c r="M649" s="171"/>
      <c r="O649" s="160"/>
      <c r="P649" s="160"/>
      <c r="Q649" s="160"/>
      <c r="R649" s="160"/>
      <c r="S649" s="160"/>
      <c r="T649" s="207"/>
      <c r="U649" s="160"/>
      <c r="V649" s="160"/>
      <c r="W649" s="160"/>
      <c r="X649" s="160"/>
      <c r="Y649" s="160"/>
      <c r="Z649" s="160"/>
      <c r="AA649" s="160"/>
      <c r="AB649" s="160"/>
      <c r="AC649" s="160"/>
      <c r="AD649" s="160"/>
      <c r="AE649" s="160"/>
      <c r="AF649" s="160"/>
      <c r="AG649" s="160"/>
      <c r="AH649" s="160"/>
      <c r="AI649" s="160"/>
      <c r="AJ649" s="160"/>
      <c r="AK649" s="160"/>
      <c r="AL649" s="160"/>
      <c r="AM649" s="160"/>
      <c r="AN649" s="164"/>
      <c r="AO649" s="160"/>
      <c r="AP649" s="160"/>
      <c r="AQ649" s="160"/>
      <c r="AR649" s="160"/>
      <c r="AS649" s="160"/>
      <c r="AT649" s="160"/>
      <c r="AU649" s="160"/>
      <c r="AV649" s="160"/>
      <c r="AW649" s="160"/>
      <c r="AX649" s="160"/>
      <c r="AY649" s="160"/>
      <c r="AZ649" s="160"/>
      <c r="BA649" s="160"/>
      <c r="BB649" s="160"/>
      <c r="BC649" s="160"/>
      <c r="BD649" s="160"/>
      <c r="BE649" s="160"/>
      <c r="BF649" s="160"/>
      <c r="BG649" s="160"/>
      <c r="BH649" s="160"/>
      <c r="BI649" s="160"/>
      <c r="BJ649" s="160"/>
      <c r="BK649" s="160"/>
      <c r="BL649" s="160"/>
      <c r="BM649" s="160"/>
      <c r="BN649" s="160"/>
      <c r="BO649" s="160"/>
      <c r="BP649" s="160"/>
      <c r="BQ649" s="160"/>
      <c r="BR649" s="160"/>
      <c r="BS649" s="160"/>
      <c r="BT649" s="160"/>
      <c r="BU649" s="160"/>
      <c r="BV649" s="160"/>
      <c r="BW649" s="160"/>
      <c r="BX649" s="160"/>
      <c r="BY649" s="160"/>
      <c r="BZ649" s="160"/>
      <c r="CA649" s="160"/>
      <c r="CB649" s="160"/>
      <c r="CC649" s="160"/>
      <c r="CD649" s="160"/>
      <c r="CE649" s="160"/>
      <c r="CF649" s="160"/>
      <c r="CG649" s="160"/>
      <c r="CH649" s="160"/>
      <c r="CI649" s="160"/>
      <c r="CJ649" s="160"/>
      <c r="CK649" s="160"/>
      <c r="CL649" s="160"/>
    </row>
    <row r="650">
      <c r="A650" s="171"/>
      <c r="F650" s="11"/>
      <c r="G650" s="11"/>
      <c r="L650" s="171"/>
      <c r="M650" s="171"/>
      <c r="O650" s="160"/>
      <c r="P650" s="160"/>
      <c r="Q650" s="160"/>
      <c r="R650" s="160"/>
      <c r="S650" s="160"/>
      <c r="T650" s="207"/>
      <c r="U650" s="160"/>
      <c r="V650" s="160"/>
      <c r="W650" s="160"/>
      <c r="X650" s="160"/>
      <c r="Y650" s="160"/>
      <c r="Z650" s="160"/>
      <c r="AA650" s="160"/>
      <c r="AB650" s="160"/>
      <c r="AC650" s="160"/>
      <c r="AD650" s="160"/>
      <c r="AE650" s="160"/>
      <c r="AF650" s="160"/>
      <c r="AG650" s="160"/>
      <c r="AH650" s="160"/>
      <c r="AI650" s="160"/>
      <c r="AJ650" s="160"/>
      <c r="AK650" s="160"/>
      <c r="AL650" s="160"/>
      <c r="AM650" s="160"/>
      <c r="AN650" s="164"/>
      <c r="AO650" s="160"/>
      <c r="AP650" s="160"/>
      <c r="AQ650" s="160"/>
      <c r="AR650" s="160"/>
      <c r="AS650" s="160"/>
      <c r="AT650" s="160"/>
      <c r="AU650" s="160"/>
      <c r="AV650" s="160"/>
      <c r="AW650" s="160"/>
      <c r="AX650" s="160"/>
      <c r="AY650" s="160"/>
      <c r="AZ650" s="160"/>
      <c r="BA650" s="160"/>
      <c r="BB650" s="160"/>
      <c r="BC650" s="160"/>
      <c r="BD650" s="160"/>
      <c r="BE650" s="160"/>
      <c r="BF650" s="160"/>
      <c r="BG650" s="160"/>
      <c r="BH650" s="160"/>
      <c r="BI650" s="160"/>
      <c r="BJ650" s="160"/>
      <c r="BK650" s="160"/>
      <c r="BL650" s="160"/>
      <c r="BM650" s="160"/>
      <c r="BN650" s="160"/>
      <c r="BO650" s="160"/>
      <c r="BP650" s="160"/>
      <c r="BQ650" s="160"/>
      <c r="BR650" s="160"/>
      <c r="BS650" s="160"/>
      <c r="BT650" s="160"/>
      <c r="BU650" s="160"/>
      <c r="BV650" s="160"/>
      <c r="BW650" s="160"/>
      <c r="BX650" s="160"/>
      <c r="BY650" s="160"/>
      <c r="BZ650" s="160"/>
      <c r="CA650" s="160"/>
      <c r="CB650" s="160"/>
      <c r="CC650" s="160"/>
      <c r="CD650" s="160"/>
      <c r="CE650" s="160"/>
      <c r="CF650" s="160"/>
      <c r="CG650" s="160"/>
      <c r="CH650" s="160"/>
      <c r="CI650" s="160"/>
      <c r="CJ650" s="160"/>
      <c r="CK650" s="160"/>
      <c r="CL650" s="160"/>
    </row>
    <row r="651">
      <c r="A651" s="171"/>
      <c r="F651" s="11"/>
      <c r="G651" s="11"/>
      <c r="L651" s="171"/>
      <c r="M651" s="171"/>
      <c r="O651" s="160"/>
      <c r="P651" s="160"/>
      <c r="Q651" s="160"/>
      <c r="R651" s="160"/>
      <c r="S651" s="160"/>
      <c r="T651" s="207"/>
      <c r="U651" s="160"/>
      <c r="V651" s="160"/>
      <c r="W651" s="160"/>
      <c r="X651" s="160"/>
      <c r="Y651" s="160"/>
      <c r="Z651" s="160"/>
      <c r="AA651" s="160"/>
      <c r="AB651" s="160"/>
      <c r="AC651" s="160"/>
      <c r="AD651" s="160"/>
      <c r="AE651" s="160"/>
      <c r="AF651" s="160"/>
      <c r="AG651" s="160"/>
      <c r="AH651" s="160"/>
      <c r="AI651" s="160"/>
      <c r="AJ651" s="160"/>
      <c r="AK651" s="160"/>
      <c r="AL651" s="160"/>
      <c r="AM651" s="160"/>
      <c r="AN651" s="164"/>
      <c r="AO651" s="160"/>
      <c r="AP651" s="160"/>
      <c r="AQ651" s="160"/>
      <c r="AR651" s="160"/>
      <c r="AS651" s="160"/>
      <c r="AT651" s="160"/>
      <c r="AU651" s="160"/>
      <c r="AV651" s="160"/>
      <c r="AW651" s="160"/>
      <c r="AX651" s="160"/>
      <c r="AY651" s="160"/>
      <c r="AZ651" s="160"/>
      <c r="BA651" s="160"/>
      <c r="BB651" s="160"/>
      <c r="BC651" s="160"/>
      <c r="BD651" s="160"/>
      <c r="BE651" s="160"/>
      <c r="BF651" s="160"/>
      <c r="BG651" s="160"/>
      <c r="BH651" s="160"/>
      <c r="BI651" s="160"/>
      <c r="BJ651" s="160"/>
      <c r="BK651" s="160"/>
      <c r="BL651" s="160"/>
      <c r="BM651" s="160"/>
      <c r="BN651" s="160"/>
      <c r="BO651" s="160"/>
      <c r="BP651" s="160"/>
      <c r="BQ651" s="160"/>
      <c r="BR651" s="160"/>
      <c r="BS651" s="160"/>
      <c r="BT651" s="160"/>
      <c r="BU651" s="160"/>
      <c r="BV651" s="160"/>
      <c r="BW651" s="160"/>
      <c r="BX651" s="160"/>
      <c r="BY651" s="160"/>
      <c r="BZ651" s="160"/>
      <c r="CA651" s="160"/>
      <c r="CB651" s="160"/>
      <c r="CC651" s="160"/>
      <c r="CD651" s="160"/>
      <c r="CE651" s="160"/>
      <c r="CF651" s="160"/>
      <c r="CG651" s="160"/>
      <c r="CH651" s="160"/>
      <c r="CI651" s="160"/>
      <c r="CJ651" s="160"/>
      <c r="CK651" s="160"/>
      <c r="CL651" s="160"/>
    </row>
    <row r="652">
      <c r="A652" s="171"/>
      <c r="F652" s="11"/>
      <c r="G652" s="11"/>
      <c r="L652" s="171"/>
      <c r="M652" s="171"/>
      <c r="O652" s="160"/>
      <c r="P652" s="160"/>
      <c r="Q652" s="160"/>
      <c r="R652" s="160"/>
      <c r="S652" s="160"/>
      <c r="T652" s="207"/>
      <c r="U652" s="160"/>
      <c r="V652" s="160"/>
      <c r="W652" s="160"/>
      <c r="X652" s="160"/>
      <c r="Y652" s="160"/>
      <c r="Z652" s="160"/>
      <c r="AA652" s="160"/>
      <c r="AB652" s="160"/>
      <c r="AC652" s="160"/>
      <c r="AD652" s="160"/>
      <c r="AE652" s="160"/>
      <c r="AF652" s="160"/>
      <c r="AG652" s="160"/>
      <c r="AH652" s="160"/>
      <c r="AI652" s="160"/>
      <c r="AJ652" s="160"/>
      <c r="AK652" s="160"/>
      <c r="AL652" s="160"/>
      <c r="AM652" s="160"/>
      <c r="AN652" s="164"/>
      <c r="AO652" s="160"/>
      <c r="AP652" s="160"/>
      <c r="AQ652" s="160"/>
      <c r="AR652" s="160"/>
      <c r="AS652" s="160"/>
      <c r="AT652" s="160"/>
      <c r="AU652" s="160"/>
      <c r="AV652" s="160"/>
      <c r="AW652" s="160"/>
      <c r="AX652" s="160"/>
      <c r="AY652" s="160"/>
      <c r="AZ652" s="160"/>
      <c r="BA652" s="160"/>
      <c r="BB652" s="160"/>
      <c r="BC652" s="160"/>
      <c r="BD652" s="160"/>
      <c r="BE652" s="160"/>
      <c r="BF652" s="160"/>
      <c r="BG652" s="160"/>
      <c r="BH652" s="160"/>
      <c r="BI652" s="160"/>
      <c r="BJ652" s="160"/>
      <c r="BK652" s="160"/>
      <c r="BL652" s="160"/>
      <c r="BM652" s="160"/>
      <c r="BN652" s="160"/>
      <c r="BO652" s="160"/>
      <c r="BP652" s="160"/>
      <c r="BQ652" s="160"/>
      <c r="BR652" s="160"/>
      <c r="BS652" s="160"/>
      <c r="BT652" s="160"/>
      <c r="BU652" s="160"/>
      <c r="BV652" s="160"/>
      <c r="BW652" s="160"/>
      <c r="BX652" s="160"/>
      <c r="BY652" s="160"/>
      <c r="BZ652" s="160"/>
      <c r="CA652" s="160"/>
      <c r="CB652" s="160"/>
      <c r="CC652" s="160"/>
      <c r="CD652" s="160"/>
      <c r="CE652" s="160"/>
      <c r="CF652" s="160"/>
      <c r="CG652" s="160"/>
      <c r="CH652" s="160"/>
      <c r="CI652" s="160"/>
      <c r="CJ652" s="160"/>
      <c r="CK652" s="160"/>
      <c r="CL652" s="160"/>
    </row>
    <row r="653">
      <c r="A653" s="171"/>
      <c r="F653" s="11"/>
      <c r="G653" s="11"/>
      <c r="L653" s="171"/>
      <c r="M653" s="171"/>
      <c r="O653" s="160"/>
      <c r="P653" s="160"/>
      <c r="Q653" s="160"/>
      <c r="R653" s="160"/>
      <c r="S653" s="160"/>
      <c r="T653" s="207"/>
      <c r="U653" s="160"/>
      <c r="V653" s="160"/>
      <c r="W653" s="160"/>
      <c r="X653" s="160"/>
      <c r="Y653" s="160"/>
      <c r="Z653" s="160"/>
      <c r="AA653" s="160"/>
      <c r="AB653" s="160"/>
      <c r="AC653" s="160"/>
      <c r="AD653" s="160"/>
      <c r="AE653" s="160"/>
      <c r="AF653" s="160"/>
      <c r="AG653" s="160"/>
      <c r="AH653" s="160"/>
      <c r="AI653" s="160"/>
      <c r="AJ653" s="160"/>
      <c r="AK653" s="160"/>
      <c r="AL653" s="160"/>
      <c r="AM653" s="160"/>
      <c r="AN653" s="164"/>
      <c r="AO653" s="160"/>
      <c r="AP653" s="160"/>
      <c r="AQ653" s="160"/>
      <c r="AR653" s="160"/>
      <c r="AS653" s="160"/>
      <c r="AT653" s="160"/>
      <c r="AU653" s="160"/>
      <c r="AV653" s="160"/>
      <c r="AW653" s="160"/>
      <c r="AX653" s="160"/>
      <c r="AY653" s="160"/>
      <c r="AZ653" s="160"/>
      <c r="BA653" s="160"/>
      <c r="BB653" s="160"/>
      <c r="BC653" s="160"/>
      <c r="BD653" s="160"/>
      <c r="BE653" s="160"/>
      <c r="BF653" s="160"/>
      <c r="BG653" s="160"/>
      <c r="BH653" s="160"/>
      <c r="BI653" s="160"/>
      <c r="BJ653" s="160"/>
      <c r="BK653" s="160"/>
      <c r="BL653" s="160"/>
      <c r="BM653" s="160"/>
      <c r="BN653" s="160"/>
      <c r="BO653" s="160"/>
      <c r="BP653" s="160"/>
      <c r="BQ653" s="160"/>
      <c r="BR653" s="160"/>
      <c r="BS653" s="160"/>
      <c r="BT653" s="160"/>
      <c r="BU653" s="160"/>
      <c r="BV653" s="160"/>
      <c r="BW653" s="160"/>
      <c r="BX653" s="160"/>
      <c r="BY653" s="160"/>
      <c r="BZ653" s="160"/>
      <c r="CA653" s="160"/>
      <c r="CB653" s="160"/>
      <c r="CC653" s="160"/>
      <c r="CD653" s="160"/>
      <c r="CE653" s="160"/>
      <c r="CF653" s="160"/>
      <c r="CG653" s="160"/>
      <c r="CH653" s="160"/>
      <c r="CI653" s="160"/>
      <c r="CJ653" s="160"/>
      <c r="CK653" s="160"/>
      <c r="CL653" s="160"/>
    </row>
    <row r="654">
      <c r="A654" s="171"/>
      <c r="F654" s="11"/>
      <c r="G654" s="11"/>
      <c r="L654" s="171"/>
      <c r="M654" s="171"/>
      <c r="O654" s="160"/>
      <c r="P654" s="160"/>
      <c r="Q654" s="160"/>
      <c r="R654" s="160"/>
      <c r="S654" s="160"/>
      <c r="T654" s="207"/>
      <c r="U654" s="160"/>
      <c r="V654" s="160"/>
      <c r="W654" s="160"/>
      <c r="X654" s="160"/>
      <c r="Y654" s="160"/>
      <c r="Z654" s="160"/>
      <c r="AA654" s="160"/>
      <c r="AB654" s="160"/>
      <c r="AC654" s="160"/>
      <c r="AD654" s="160"/>
      <c r="AE654" s="160"/>
      <c r="AF654" s="160"/>
      <c r="AG654" s="160"/>
      <c r="AH654" s="160"/>
      <c r="AI654" s="160"/>
      <c r="AJ654" s="160"/>
      <c r="AK654" s="160"/>
      <c r="AL654" s="160"/>
      <c r="AM654" s="160"/>
      <c r="AN654" s="164"/>
      <c r="AO654" s="160"/>
      <c r="AP654" s="160"/>
      <c r="AQ654" s="160"/>
      <c r="AR654" s="160"/>
      <c r="AS654" s="160"/>
      <c r="AT654" s="160"/>
      <c r="AU654" s="160"/>
      <c r="AV654" s="160"/>
      <c r="AW654" s="160"/>
      <c r="AX654" s="160"/>
      <c r="AY654" s="160"/>
      <c r="AZ654" s="160"/>
      <c r="BA654" s="160"/>
      <c r="BB654" s="160"/>
      <c r="BC654" s="160"/>
      <c r="BD654" s="160"/>
      <c r="BE654" s="160"/>
      <c r="BF654" s="160"/>
      <c r="BG654" s="160"/>
      <c r="BH654" s="160"/>
      <c r="BI654" s="160"/>
      <c r="BJ654" s="160"/>
      <c r="BK654" s="160"/>
      <c r="BL654" s="160"/>
      <c r="BM654" s="160"/>
      <c r="BN654" s="160"/>
      <c r="BO654" s="160"/>
      <c r="BP654" s="160"/>
      <c r="BQ654" s="160"/>
      <c r="BR654" s="160"/>
      <c r="BS654" s="160"/>
      <c r="BT654" s="160"/>
      <c r="BU654" s="160"/>
      <c r="BV654" s="160"/>
      <c r="BW654" s="160"/>
      <c r="BX654" s="160"/>
      <c r="BY654" s="160"/>
      <c r="BZ654" s="160"/>
      <c r="CA654" s="160"/>
      <c r="CB654" s="160"/>
      <c r="CC654" s="160"/>
      <c r="CD654" s="160"/>
      <c r="CE654" s="160"/>
      <c r="CF654" s="160"/>
      <c r="CG654" s="160"/>
      <c r="CH654" s="160"/>
      <c r="CI654" s="160"/>
      <c r="CJ654" s="160"/>
      <c r="CK654" s="160"/>
      <c r="CL654" s="160"/>
    </row>
    <row r="655">
      <c r="A655" s="171"/>
      <c r="F655" s="11"/>
      <c r="G655" s="11"/>
      <c r="L655" s="171"/>
      <c r="M655" s="171"/>
      <c r="O655" s="160"/>
      <c r="P655" s="160"/>
      <c r="Q655" s="160"/>
      <c r="R655" s="160"/>
      <c r="S655" s="160"/>
      <c r="T655" s="207"/>
      <c r="U655" s="160"/>
      <c r="V655" s="160"/>
      <c r="W655" s="160"/>
      <c r="X655" s="160"/>
      <c r="Y655" s="160"/>
      <c r="Z655" s="160"/>
      <c r="AA655" s="160"/>
      <c r="AB655" s="160"/>
      <c r="AC655" s="160"/>
      <c r="AD655" s="160"/>
      <c r="AE655" s="160"/>
      <c r="AF655" s="160"/>
      <c r="AG655" s="160"/>
      <c r="AH655" s="160"/>
      <c r="AI655" s="160"/>
      <c r="AJ655" s="160"/>
      <c r="AK655" s="160"/>
      <c r="AL655" s="160"/>
      <c r="AM655" s="160"/>
      <c r="AN655" s="164"/>
      <c r="AO655" s="160"/>
      <c r="AP655" s="160"/>
      <c r="AQ655" s="160"/>
      <c r="AR655" s="160"/>
      <c r="AS655" s="160"/>
      <c r="AT655" s="160"/>
      <c r="AU655" s="160"/>
      <c r="AV655" s="160"/>
      <c r="AW655" s="160"/>
      <c r="AX655" s="160"/>
      <c r="AY655" s="160"/>
      <c r="AZ655" s="160"/>
      <c r="BA655" s="160"/>
      <c r="BB655" s="160"/>
      <c r="BC655" s="160"/>
      <c r="BD655" s="160"/>
      <c r="BE655" s="160"/>
      <c r="BF655" s="160"/>
      <c r="BG655" s="160"/>
      <c r="BH655" s="160"/>
      <c r="BI655" s="160"/>
      <c r="BJ655" s="160"/>
      <c r="BK655" s="160"/>
      <c r="BL655" s="160"/>
      <c r="BM655" s="160"/>
      <c r="BN655" s="160"/>
      <c r="BO655" s="160"/>
      <c r="BP655" s="160"/>
      <c r="BQ655" s="160"/>
      <c r="BR655" s="160"/>
      <c r="BS655" s="160"/>
      <c r="BT655" s="160"/>
      <c r="BU655" s="160"/>
      <c r="BV655" s="160"/>
      <c r="BW655" s="160"/>
      <c r="BX655" s="160"/>
      <c r="BY655" s="160"/>
      <c r="BZ655" s="160"/>
      <c r="CA655" s="160"/>
      <c r="CB655" s="160"/>
      <c r="CC655" s="160"/>
      <c r="CD655" s="160"/>
      <c r="CE655" s="160"/>
      <c r="CF655" s="160"/>
      <c r="CG655" s="160"/>
      <c r="CH655" s="160"/>
      <c r="CI655" s="160"/>
      <c r="CJ655" s="160"/>
      <c r="CK655" s="160"/>
      <c r="CL655" s="160"/>
    </row>
    <row r="656">
      <c r="A656" s="171"/>
      <c r="F656" s="11"/>
      <c r="G656" s="11"/>
      <c r="L656" s="171"/>
      <c r="M656" s="171"/>
      <c r="O656" s="160"/>
      <c r="P656" s="160"/>
      <c r="Q656" s="160"/>
      <c r="R656" s="160"/>
      <c r="S656" s="160"/>
      <c r="T656" s="207"/>
      <c r="U656" s="160"/>
      <c r="V656" s="160"/>
      <c r="W656" s="160"/>
      <c r="X656" s="160"/>
      <c r="Y656" s="160"/>
      <c r="Z656" s="160"/>
      <c r="AA656" s="160"/>
      <c r="AB656" s="160"/>
      <c r="AC656" s="160"/>
      <c r="AD656" s="160"/>
      <c r="AE656" s="160"/>
      <c r="AF656" s="160"/>
      <c r="AG656" s="160"/>
      <c r="AH656" s="160"/>
      <c r="AI656" s="160"/>
      <c r="AJ656" s="160"/>
      <c r="AK656" s="160"/>
      <c r="AL656" s="160"/>
      <c r="AM656" s="160"/>
      <c r="AN656" s="164"/>
      <c r="AO656" s="160"/>
      <c r="AP656" s="160"/>
      <c r="AQ656" s="160"/>
      <c r="AR656" s="160"/>
      <c r="AS656" s="160"/>
      <c r="AT656" s="160"/>
      <c r="AU656" s="160"/>
      <c r="AV656" s="160"/>
      <c r="AW656" s="160"/>
      <c r="AX656" s="160"/>
      <c r="AY656" s="160"/>
      <c r="AZ656" s="160"/>
      <c r="BA656" s="160"/>
      <c r="BB656" s="160"/>
      <c r="BC656" s="160"/>
      <c r="BD656" s="160"/>
      <c r="BE656" s="160"/>
      <c r="BF656" s="160"/>
      <c r="BG656" s="160"/>
      <c r="BH656" s="160"/>
      <c r="BI656" s="160"/>
      <c r="BJ656" s="160"/>
      <c r="BK656" s="160"/>
      <c r="BL656" s="160"/>
      <c r="BM656" s="160"/>
      <c r="BN656" s="160"/>
      <c r="BO656" s="160"/>
      <c r="BP656" s="160"/>
      <c r="BQ656" s="160"/>
      <c r="BR656" s="160"/>
      <c r="BS656" s="160"/>
      <c r="BT656" s="160"/>
      <c r="BU656" s="160"/>
      <c r="BV656" s="160"/>
      <c r="BW656" s="160"/>
      <c r="BX656" s="160"/>
      <c r="BY656" s="160"/>
      <c r="BZ656" s="160"/>
      <c r="CA656" s="160"/>
      <c r="CB656" s="160"/>
      <c r="CC656" s="160"/>
      <c r="CD656" s="160"/>
      <c r="CE656" s="160"/>
      <c r="CF656" s="160"/>
      <c r="CG656" s="160"/>
      <c r="CH656" s="160"/>
      <c r="CI656" s="160"/>
      <c r="CJ656" s="160"/>
      <c r="CK656" s="160"/>
      <c r="CL656" s="160"/>
    </row>
    <row r="657">
      <c r="A657" s="171"/>
      <c r="F657" s="11"/>
      <c r="G657" s="11"/>
      <c r="L657" s="171"/>
      <c r="M657" s="171"/>
      <c r="O657" s="160"/>
      <c r="P657" s="160"/>
      <c r="Q657" s="160"/>
      <c r="R657" s="160"/>
      <c r="S657" s="160"/>
      <c r="T657" s="207"/>
      <c r="U657" s="160"/>
      <c r="V657" s="160"/>
      <c r="W657" s="160"/>
      <c r="X657" s="160"/>
      <c r="Y657" s="160"/>
      <c r="Z657" s="160"/>
      <c r="AA657" s="160"/>
      <c r="AB657" s="160"/>
      <c r="AC657" s="160"/>
      <c r="AD657" s="160"/>
      <c r="AE657" s="160"/>
      <c r="AF657" s="160"/>
      <c r="AG657" s="160"/>
      <c r="AH657" s="160"/>
      <c r="AI657" s="160"/>
      <c r="AJ657" s="160"/>
      <c r="AK657" s="160"/>
      <c r="AL657" s="160"/>
      <c r="AM657" s="160"/>
      <c r="AN657" s="164"/>
      <c r="AO657" s="160"/>
      <c r="AP657" s="160"/>
      <c r="AQ657" s="160"/>
      <c r="AR657" s="160"/>
      <c r="AS657" s="160"/>
      <c r="AT657" s="160"/>
      <c r="AU657" s="160"/>
      <c r="AV657" s="160"/>
      <c r="AW657" s="160"/>
      <c r="AX657" s="160"/>
      <c r="AY657" s="160"/>
      <c r="AZ657" s="160"/>
      <c r="BA657" s="160"/>
      <c r="BB657" s="160"/>
      <c r="BC657" s="160"/>
      <c r="BD657" s="160"/>
      <c r="BE657" s="160"/>
      <c r="BF657" s="160"/>
      <c r="BG657" s="160"/>
      <c r="BH657" s="160"/>
      <c r="BI657" s="160"/>
      <c r="BJ657" s="160"/>
      <c r="BK657" s="160"/>
      <c r="BL657" s="160"/>
      <c r="BM657" s="160"/>
      <c r="BN657" s="160"/>
      <c r="BO657" s="160"/>
      <c r="BP657" s="160"/>
      <c r="BQ657" s="160"/>
      <c r="BR657" s="160"/>
      <c r="BS657" s="160"/>
      <c r="BT657" s="160"/>
      <c r="BU657" s="160"/>
      <c r="BV657" s="160"/>
      <c r="BW657" s="160"/>
      <c r="BX657" s="160"/>
      <c r="BY657" s="160"/>
      <c r="BZ657" s="160"/>
      <c r="CA657" s="160"/>
      <c r="CB657" s="160"/>
      <c r="CC657" s="160"/>
      <c r="CD657" s="160"/>
      <c r="CE657" s="160"/>
      <c r="CF657" s="160"/>
      <c r="CG657" s="160"/>
      <c r="CH657" s="160"/>
      <c r="CI657" s="160"/>
      <c r="CJ657" s="160"/>
      <c r="CK657" s="160"/>
      <c r="CL657" s="160"/>
    </row>
    <row r="658">
      <c r="A658" s="171"/>
      <c r="F658" s="11"/>
      <c r="G658" s="11"/>
      <c r="L658" s="171"/>
      <c r="M658" s="171"/>
      <c r="O658" s="160"/>
      <c r="P658" s="160"/>
      <c r="Q658" s="160"/>
      <c r="R658" s="160"/>
      <c r="S658" s="160"/>
      <c r="T658" s="207"/>
      <c r="U658" s="160"/>
      <c r="V658" s="160"/>
      <c r="W658" s="160"/>
      <c r="X658" s="160"/>
      <c r="Y658" s="160"/>
      <c r="Z658" s="160"/>
      <c r="AA658" s="160"/>
      <c r="AB658" s="160"/>
      <c r="AC658" s="160"/>
      <c r="AD658" s="160"/>
      <c r="AE658" s="160"/>
      <c r="AF658" s="160"/>
      <c r="AG658" s="160"/>
      <c r="AH658" s="160"/>
      <c r="AI658" s="160"/>
      <c r="AJ658" s="160"/>
      <c r="AK658" s="160"/>
      <c r="AL658" s="160"/>
      <c r="AM658" s="160"/>
      <c r="AN658" s="164"/>
      <c r="AO658" s="160"/>
      <c r="AP658" s="160"/>
      <c r="AQ658" s="160"/>
      <c r="AR658" s="160"/>
      <c r="AS658" s="160"/>
      <c r="AT658" s="160"/>
      <c r="AU658" s="160"/>
      <c r="AV658" s="160"/>
      <c r="AW658" s="160"/>
      <c r="AX658" s="160"/>
      <c r="AY658" s="160"/>
      <c r="AZ658" s="160"/>
      <c r="BA658" s="160"/>
      <c r="BB658" s="160"/>
      <c r="BC658" s="160"/>
      <c r="BD658" s="160"/>
      <c r="BE658" s="160"/>
      <c r="BF658" s="160"/>
      <c r="BG658" s="160"/>
      <c r="BH658" s="160"/>
      <c r="BI658" s="160"/>
      <c r="BJ658" s="160"/>
      <c r="BK658" s="160"/>
      <c r="BL658" s="160"/>
      <c r="BM658" s="160"/>
      <c r="BN658" s="160"/>
      <c r="BO658" s="160"/>
      <c r="BP658" s="160"/>
      <c r="BQ658" s="160"/>
      <c r="BR658" s="160"/>
      <c r="BS658" s="160"/>
      <c r="BT658" s="160"/>
      <c r="BU658" s="160"/>
      <c r="BV658" s="160"/>
      <c r="BW658" s="160"/>
      <c r="BX658" s="160"/>
      <c r="BY658" s="160"/>
      <c r="BZ658" s="160"/>
      <c r="CA658" s="160"/>
      <c r="CB658" s="160"/>
      <c r="CC658" s="160"/>
      <c r="CD658" s="160"/>
      <c r="CE658" s="160"/>
      <c r="CF658" s="160"/>
      <c r="CG658" s="160"/>
      <c r="CH658" s="160"/>
      <c r="CI658" s="160"/>
      <c r="CJ658" s="160"/>
      <c r="CK658" s="160"/>
      <c r="CL658" s="160"/>
    </row>
    <row r="659">
      <c r="A659" s="171"/>
      <c r="F659" s="11"/>
      <c r="G659" s="11"/>
      <c r="L659" s="171"/>
      <c r="M659" s="171"/>
      <c r="O659" s="160"/>
      <c r="P659" s="160"/>
      <c r="Q659" s="160"/>
      <c r="R659" s="160"/>
      <c r="S659" s="160"/>
      <c r="T659" s="207"/>
      <c r="U659" s="160"/>
      <c r="V659" s="160"/>
      <c r="W659" s="160"/>
      <c r="X659" s="160"/>
      <c r="Y659" s="160"/>
      <c r="Z659" s="160"/>
      <c r="AA659" s="160"/>
      <c r="AB659" s="160"/>
      <c r="AC659" s="160"/>
      <c r="AD659" s="160"/>
      <c r="AE659" s="160"/>
      <c r="AF659" s="160"/>
      <c r="AG659" s="160"/>
      <c r="AH659" s="160"/>
      <c r="AI659" s="160"/>
      <c r="AJ659" s="160"/>
      <c r="AK659" s="160"/>
      <c r="AL659" s="160"/>
      <c r="AM659" s="160"/>
      <c r="AN659" s="164"/>
      <c r="AO659" s="160"/>
      <c r="AP659" s="160"/>
      <c r="AQ659" s="160"/>
      <c r="AR659" s="160"/>
      <c r="AS659" s="160"/>
      <c r="AT659" s="160"/>
      <c r="AU659" s="160"/>
      <c r="AV659" s="160"/>
      <c r="AW659" s="160"/>
      <c r="AX659" s="160"/>
      <c r="AY659" s="160"/>
      <c r="AZ659" s="160"/>
      <c r="BA659" s="160"/>
      <c r="BB659" s="160"/>
      <c r="BC659" s="160"/>
      <c r="BD659" s="160"/>
      <c r="BE659" s="160"/>
      <c r="BF659" s="160"/>
      <c r="BG659" s="160"/>
      <c r="BH659" s="160"/>
      <c r="BI659" s="160"/>
      <c r="BJ659" s="160"/>
      <c r="BK659" s="160"/>
      <c r="BL659" s="160"/>
      <c r="BM659" s="160"/>
      <c r="BN659" s="160"/>
      <c r="BO659" s="160"/>
      <c r="BP659" s="160"/>
      <c r="BQ659" s="160"/>
      <c r="BR659" s="160"/>
      <c r="BS659" s="160"/>
      <c r="BT659" s="160"/>
      <c r="BU659" s="160"/>
      <c r="BV659" s="160"/>
      <c r="BW659" s="160"/>
      <c r="BX659" s="160"/>
      <c r="BY659" s="160"/>
      <c r="BZ659" s="160"/>
      <c r="CA659" s="160"/>
      <c r="CB659" s="160"/>
      <c r="CC659" s="160"/>
      <c r="CD659" s="160"/>
      <c r="CE659" s="160"/>
      <c r="CF659" s="160"/>
      <c r="CG659" s="160"/>
      <c r="CH659" s="160"/>
      <c r="CI659" s="160"/>
      <c r="CJ659" s="160"/>
      <c r="CK659" s="160"/>
      <c r="CL659" s="160"/>
    </row>
    <row r="660">
      <c r="A660" s="171"/>
      <c r="F660" s="11"/>
      <c r="G660" s="11"/>
      <c r="L660" s="171"/>
      <c r="M660" s="171"/>
      <c r="O660" s="160"/>
      <c r="P660" s="160"/>
      <c r="Q660" s="160"/>
      <c r="R660" s="160"/>
      <c r="S660" s="160"/>
      <c r="T660" s="207"/>
      <c r="U660" s="160"/>
      <c r="V660" s="160"/>
      <c r="W660" s="160"/>
      <c r="X660" s="160"/>
      <c r="Y660" s="160"/>
      <c r="Z660" s="160"/>
      <c r="AA660" s="160"/>
      <c r="AB660" s="160"/>
      <c r="AC660" s="160"/>
      <c r="AD660" s="160"/>
      <c r="AE660" s="160"/>
      <c r="AF660" s="160"/>
      <c r="AG660" s="160"/>
      <c r="AH660" s="160"/>
      <c r="AI660" s="160"/>
      <c r="AJ660" s="160"/>
      <c r="AK660" s="160"/>
      <c r="AL660" s="160"/>
      <c r="AM660" s="160"/>
      <c r="AN660" s="164"/>
      <c r="AO660" s="160"/>
      <c r="AP660" s="160"/>
      <c r="AQ660" s="160"/>
      <c r="AR660" s="160"/>
      <c r="AS660" s="160"/>
      <c r="AT660" s="160"/>
      <c r="AU660" s="160"/>
      <c r="AV660" s="160"/>
      <c r="AW660" s="160"/>
      <c r="AX660" s="160"/>
      <c r="AY660" s="160"/>
      <c r="AZ660" s="160"/>
      <c r="BA660" s="160"/>
      <c r="BB660" s="160"/>
      <c r="BC660" s="160"/>
      <c r="BD660" s="160"/>
      <c r="BE660" s="160"/>
      <c r="BF660" s="160"/>
      <c r="BG660" s="160"/>
      <c r="BH660" s="160"/>
      <c r="BI660" s="160"/>
      <c r="BJ660" s="160"/>
      <c r="BK660" s="160"/>
      <c r="BL660" s="160"/>
      <c r="BM660" s="160"/>
      <c r="BN660" s="160"/>
      <c r="BO660" s="160"/>
      <c r="BP660" s="160"/>
      <c r="BQ660" s="160"/>
      <c r="BR660" s="160"/>
      <c r="BS660" s="160"/>
      <c r="BT660" s="160"/>
      <c r="BU660" s="160"/>
      <c r="BV660" s="160"/>
      <c r="BW660" s="160"/>
      <c r="BX660" s="160"/>
      <c r="BY660" s="160"/>
      <c r="BZ660" s="160"/>
      <c r="CA660" s="160"/>
      <c r="CB660" s="160"/>
      <c r="CC660" s="160"/>
      <c r="CD660" s="160"/>
      <c r="CE660" s="160"/>
      <c r="CF660" s="160"/>
      <c r="CG660" s="160"/>
      <c r="CH660" s="160"/>
      <c r="CI660" s="160"/>
      <c r="CJ660" s="160"/>
      <c r="CK660" s="160"/>
      <c r="CL660" s="160"/>
    </row>
    <row r="661">
      <c r="A661" s="171"/>
      <c r="F661" s="11"/>
      <c r="G661" s="11"/>
      <c r="L661" s="171"/>
      <c r="M661" s="171"/>
      <c r="O661" s="160"/>
      <c r="P661" s="160"/>
      <c r="Q661" s="160"/>
      <c r="R661" s="160"/>
      <c r="S661" s="160"/>
      <c r="T661" s="207"/>
      <c r="U661" s="160"/>
      <c r="V661" s="160"/>
      <c r="W661" s="160"/>
      <c r="X661" s="160"/>
      <c r="Y661" s="160"/>
      <c r="Z661" s="160"/>
      <c r="AA661" s="160"/>
      <c r="AB661" s="160"/>
      <c r="AC661" s="160"/>
      <c r="AD661" s="160"/>
      <c r="AE661" s="160"/>
      <c r="AF661" s="160"/>
      <c r="AG661" s="160"/>
      <c r="AH661" s="160"/>
      <c r="AI661" s="160"/>
      <c r="AJ661" s="160"/>
      <c r="AK661" s="160"/>
      <c r="AL661" s="160"/>
      <c r="AM661" s="160"/>
      <c r="AN661" s="164"/>
      <c r="AO661" s="160"/>
      <c r="AP661" s="160"/>
      <c r="AQ661" s="160"/>
      <c r="AR661" s="160"/>
      <c r="AS661" s="160"/>
      <c r="AT661" s="160"/>
      <c r="AU661" s="160"/>
      <c r="AV661" s="160"/>
      <c r="AW661" s="160"/>
      <c r="AX661" s="160"/>
      <c r="AY661" s="160"/>
      <c r="AZ661" s="160"/>
      <c r="BA661" s="160"/>
      <c r="BB661" s="160"/>
      <c r="BC661" s="160"/>
      <c r="BD661" s="160"/>
      <c r="BE661" s="160"/>
      <c r="BF661" s="160"/>
      <c r="BG661" s="160"/>
      <c r="BH661" s="160"/>
      <c r="BI661" s="160"/>
      <c r="BJ661" s="160"/>
      <c r="BK661" s="160"/>
      <c r="BL661" s="160"/>
      <c r="BM661" s="160"/>
      <c r="BN661" s="160"/>
      <c r="BO661" s="160"/>
      <c r="BP661" s="160"/>
      <c r="BQ661" s="160"/>
      <c r="BR661" s="160"/>
      <c r="BS661" s="160"/>
      <c r="BT661" s="160"/>
      <c r="BU661" s="160"/>
      <c r="BV661" s="160"/>
      <c r="BW661" s="160"/>
      <c r="BX661" s="160"/>
      <c r="BY661" s="160"/>
      <c r="BZ661" s="160"/>
      <c r="CA661" s="160"/>
      <c r="CB661" s="160"/>
      <c r="CC661" s="160"/>
      <c r="CD661" s="160"/>
      <c r="CE661" s="160"/>
      <c r="CF661" s="160"/>
      <c r="CG661" s="160"/>
      <c r="CH661" s="160"/>
      <c r="CI661" s="160"/>
      <c r="CJ661" s="160"/>
      <c r="CK661" s="160"/>
      <c r="CL661" s="160"/>
    </row>
    <row r="662">
      <c r="A662" s="171"/>
      <c r="F662" s="11"/>
      <c r="G662" s="11"/>
      <c r="L662" s="171"/>
      <c r="M662" s="171"/>
      <c r="O662" s="160"/>
      <c r="P662" s="160"/>
      <c r="Q662" s="160"/>
      <c r="R662" s="160"/>
      <c r="S662" s="160"/>
      <c r="T662" s="207"/>
      <c r="U662" s="160"/>
      <c r="V662" s="160"/>
      <c r="W662" s="160"/>
      <c r="X662" s="160"/>
      <c r="Y662" s="160"/>
      <c r="Z662" s="160"/>
      <c r="AA662" s="160"/>
      <c r="AB662" s="160"/>
      <c r="AC662" s="160"/>
      <c r="AD662" s="160"/>
      <c r="AE662" s="160"/>
      <c r="AF662" s="160"/>
      <c r="AG662" s="160"/>
      <c r="AH662" s="160"/>
      <c r="AI662" s="160"/>
      <c r="AJ662" s="160"/>
      <c r="AK662" s="160"/>
      <c r="AL662" s="160"/>
      <c r="AM662" s="160"/>
      <c r="AN662" s="164"/>
      <c r="AO662" s="160"/>
      <c r="AP662" s="160"/>
      <c r="AQ662" s="160"/>
      <c r="AR662" s="160"/>
      <c r="AS662" s="160"/>
      <c r="AT662" s="160"/>
      <c r="AU662" s="160"/>
      <c r="AV662" s="160"/>
      <c r="AW662" s="160"/>
      <c r="AX662" s="160"/>
      <c r="AY662" s="160"/>
      <c r="AZ662" s="160"/>
      <c r="BA662" s="160"/>
      <c r="BB662" s="160"/>
      <c r="BC662" s="160"/>
      <c r="BD662" s="160"/>
      <c r="BE662" s="160"/>
      <c r="BF662" s="160"/>
      <c r="BG662" s="160"/>
      <c r="BH662" s="160"/>
      <c r="BI662" s="160"/>
      <c r="BJ662" s="160"/>
      <c r="BK662" s="160"/>
      <c r="BL662" s="160"/>
      <c r="BM662" s="160"/>
      <c r="BN662" s="160"/>
      <c r="BO662" s="160"/>
      <c r="BP662" s="160"/>
      <c r="BQ662" s="160"/>
      <c r="BR662" s="160"/>
      <c r="BS662" s="160"/>
      <c r="BT662" s="160"/>
      <c r="BU662" s="160"/>
      <c r="BV662" s="160"/>
      <c r="BW662" s="160"/>
      <c r="BX662" s="160"/>
      <c r="BY662" s="160"/>
      <c r="BZ662" s="160"/>
      <c r="CA662" s="160"/>
      <c r="CB662" s="160"/>
      <c r="CC662" s="160"/>
      <c r="CD662" s="160"/>
      <c r="CE662" s="160"/>
      <c r="CF662" s="160"/>
      <c r="CG662" s="160"/>
      <c r="CH662" s="160"/>
      <c r="CI662" s="160"/>
      <c r="CJ662" s="160"/>
      <c r="CK662" s="160"/>
      <c r="CL662" s="160"/>
    </row>
    <row r="663">
      <c r="A663" s="171"/>
      <c r="F663" s="11"/>
      <c r="G663" s="11"/>
      <c r="L663" s="171"/>
      <c r="M663" s="171"/>
      <c r="O663" s="160"/>
      <c r="P663" s="160"/>
      <c r="Q663" s="160"/>
      <c r="R663" s="160"/>
      <c r="S663" s="160"/>
      <c r="T663" s="207"/>
      <c r="U663" s="160"/>
      <c r="V663" s="160"/>
      <c r="W663" s="160"/>
      <c r="X663" s="160"/>
      <c r="Y663" s="160"/>
      <c r="Z663" s="160"/>
      <c r="AA663" s="160"/>
      <c r="AB663" s="160"/>
      <c r="AC663" s="160"/>
      <c r="AD663" s="160"/>
      <c r="AE663" s="160"/>
      <c r="AF663" s="160"/>
      <c r="AG663" s="160"/>
      <c r="AH663" s="160"/>
      <c r="AI663" s="160"/>
      <c r="AJ663" s="160"/>
      <c r="AK663" s="160"/>
      <c r="AL663" s="160"/>
      <c r="AM663" s="160"/>
      <c r="AN663" s="164"/>
      <c r="AO663" s="160"/>
      <c r="AP663" s="160"/>
      <c r="AQ663" s="160"/>
      <c r="AR663" s="160"/>
      <c r="AS663" s="160"/>
      <c r="AT663" s="160"/>
      <c r="AU663" s="160"/>
      <c r="AV663" s="160"/>
      <c r="AW663" s="160"/>
      <c r="AX663" s="160"/>
      <c r="AY663" s="160"/>
      <c r="AZ663" s="160"/>
      <c r="BA663" s="160"/>
      <c r="BB663" s="160"/>
      <c r="BC663" s="160"/>
      <c r="BD663" s="160"/>
      <c r="BE663" s="160"/>
      <c r="BF663" s="160"/>
      <c r="BG663" s="160"/>
      <c r="BH663" s="160"/>
      <c r="BI663" s="160"/>
      <c r="BJ663" s="160"/>
      <c r="BK663" s="160"/>
      <c r="BL663" s="160"/>
      <c r="BM663" s="160"/>
      <c r="BN663" s="160"/>
      <c r="BO663" s="160"/>
      <c r="BP663" s="160"/>
      <c r="BQ663" s="160"/>
      <c r="BR663" s="160"/>
      <c r="BS663" s="160"/>
      <c r="BT663" s="160"/>
      <c r="BU663" s="160"/>
      <c r="BV663" s="160"/>
      <c r="BW663" s="160"/>
      <c r="BX663" s="160"/>
      <c r="BY663" s="160"/>
      <c r="BZ663" s="160"/>
      <c r="CA663" s="160"/>
      <c r="CB663" s="160"/>
      <c r="CC663" s="160"/>
      <c r="CD663" s="160"/>
      <c r="CE663" s="160"/>
      <c r="CF663" s="160"/>
      <c r="CG663" s="160"/>
      <c r="CH663" s="160"/>
      <c r="CI663" s="160"/>
      <c r="CJ663" s="160"/>
      <c r="CK663" s="160"/>
      <c r="CL663" s="160"/>
    </row>
    <row r="664">
      <c r="A664" s="171"/>
      <c r="F664" s="11"/>
      <c r="G664" s="11"/>
      <c r="L664" s="171"/>
      <c r="M664" s="171"/>
      <c r="O664" s="160"/>
      <c r="P664" s="160"/>
      <c r="Q664" s="160"/>
      <c r="R664" s="160"/>
      <c r="S664" s="160"/>
      <c r="T664" s="207"/>
      <c r="U664" s="160"/>
      <c r="V664" s="160"/>
      <c r="W664" s="160"/>
      <c r="X664" s="160"/>
      <c r="Y664" s="160"/>
      <c r="Z664" s="160"/>
      <c r="AA664" s="160"/>
      <c r="AB664" s="160"/>
      <c r="AC664" s="160"/>
      <c r="AD664" s="160"/>
      <c r="AE664" s="160"/>
      <c r="AF664" s="160"/>
      <c r="AG664" s="160"/>
      <c r="AH664" s="160"/>
      <c r="AI664" s="160"/>
      <c r="AJ664" s="160"/>
      <c r="AK664" s="160"/>
      <c r="AL664" s="160"/>
      <c r="AM664" s="160"/>
      <c r="AN664" s="164"/>
      <c r="AO664" s="160"/>
      <c r="AP664" s="160"/>
      <c r="AQ664" s="160"/>
      <c r="AR664" s="160"/>
      <c r="AS664" s="160"/>
      <c r="AT664" s="160"/>
      <c r="AU664" s="160"/>
      <c r="AV664" s="160"/>
      <c r="AW664" s="160"/>
      <c r="AX664" s="160"/>
      <c r="AY664" s="160"/>
      <c r="AZ664" s="160"/>
      <c r="BA664" s="160"/>
      <c r="BB664" s="160"/>
      <c r="BC664" s="160"/>
      <c r="BD664" s="160"/>
      <c r="BE664" s="160"/>
      <c r="BF664" s="160"/>
      <c r="BG664" s="160"/>
      <c r="BH664" s="160"/>
      <c r="BI664" s="160"/>
      <c r="BJ664" s="160"/>
      <c r="BK664" s="160"/>
      <c r="BL664" s="160"/>
      <c r="BM664" s="160"/>
      <c r="BN664" s="160"/>
      <c r="BO664" s="160"/>
      <c r="BP664" s="160"/>
      <c r="BQ664" s="160"/>
      <c r="BR664" s="160"/>
      <c r="BS664" s="160"/>
      <c r="BT664" s="160"/>
      <c r="BU664" s="160"/>
      <c r="BV664" s="160"/>
      <c r="BW664" s="160"/>
      <c r="BX664" s="160"/>
      <c r="BY664" s="160"/>
      <c r="BZ664" s="160"/>
      <c r="CA664" s="160"/>
      <c r="CB664" s="160"/>
      <c r="CC664" s="160"/>
      <c r="CD664" s="160"/>
      <c r="CE664" s="160"/>
      <c r="CF664" s="160"/>
      <c r="CG664" s="160"/>
      <c r="CH664" s="160"/>
      <c r="CI664" s="160"/>
      <c r="CJ664" s="160"/>
      <c r="CK664" s="160"/>
      <c r="CL664" s="160"/>
    </row>
    <row r="665">
      <c r="A665" s="171"/>
      <c r="F665" s="11"/>
      <c r="G665" s="11"/>
      <c r="L665" s="171"/>
      <c r="M665" s="171"/>
      <c r="O665" s="160"/>
      <c r="P665" s="160"/>
      <c r="Q665" s="160"/>
      <c r="R665" s="160"/>
      <c r="S665" s="160"/>
      <c r="T665" s="207"/>
      <c r="U665" s="160"/>
      <c r="V665" s="160"/>
      <c r="W665" s="160"/>
      <c r="X665" s="160"/>
      <c r="Y665" s="160"/>
      <c r="Z665" s="160"/>
      <c r="AA665" s="160"/>
      <c r="AB665" s="160"/>
      <c r="AC665" s="160"/>
      <c r="AD665" s="160"/>
      <c r="AE665" s="160"/>
      <c r="AF665" s="160"/>
      <c r="AG665" s="160"/>
      <c r="AH665" s="160"/>
      <c r="AI665" s="160"/>
      <c r="AJ665" s="160"/>
      <c r="AK665" s="160"/>
      <c r="AL665" s="160"/>
      <c r="AM665" s="160"/>
      <c r="AN665" s="164"/>
      <c r="AO665" s="160"/>
      <c r="AP665" s="160"/>
      <c r="AQ665" s="160"/>
      <c r="AR665" s="160"/>
      <c r="AS665" s="160"/>
      <c r="AT665" s="160"/>
      <c r="AU665" s="160"/>
      <c r="AV665" s="160"/>
      <c r="AW665" s="160"/>
      <c r="AX665" s="160"/>
      <c r="AY665" s="160"/>
      <c r="AZ665" s="160"/>
      <c r="BA665" s="160"/>
      <c r="BB665" s="160"/>
      <c r="BC665" s="160"/>
      <c r="BD665" s="160"/>
      <c r="BE665" s="160"/>
      <c r="BF665" s="160"/>
      <c r="BG665" s="160"/>
      <c r="BH665" s="160"/>
      <c r="BI665" s="160"/>
      <c r="BJ665" s="160"/>
      <c r="BK665" s="160"/>
      <c r="BL665" s="160"/>
      <c r="BM665" s="160"/>
      <c r="BN665" s="160"/>
      <c r="BO665" s="160"/>
      <c r="BP665" s="160"/>
      <c r="BQ665" s="160"/>
      <c r="BR665" s="160"/>
      <c r="BS665" s="160"/>
      <c r="BT665" s="160"/>
      <c r="BU665" s="160"/>
      <c r="BV665" s="160"/>
      <c r="BW665" s="160"/>
      <c r="BX665" s="160"/>
      <c r="BY665" s="160"/>
      <c r="BZ665" s="160"/>
      <c r="CA665" s="160"/>
      <c r="CB665" s="160"/>
      <c r="CC665" s="160"/>
      <c r="CD665" s="160"/>
      <c r="CE665" s="160"/>
      <c r="CF665" s="160"/>
      <c r="CG665" s="160"/>
      <c r="CH665" s="160"/>
      <c r="CI665" s="160"/>
      <c r="CJ665" s="160"/>
      <c r="CK665" s="160"/>
      <c r="CL665" s="160"/>
    </row>
    <row r="666">
      <c r="A666" s="171"/>
      <c r="F666" s="11"/>
      <c r="G666" s="11"/>
      <c r="L666" s="171"/>
      <c r="M666" s="171"/>
      <c r="O666" s="160"/>
      <c r="P666" s="160"/>
      <c r="Q666" s="160"/>
      <c r="R666" s="160"/>
      <c r="S666" s="160"/>
      <c r="T666" s="207"/>
      <c r="U666" s="160"/>
      <c r="V666" s="160"/>
      <c r="W666" s="160"/>
      <c r="X666" s="160"/>
      <c r="Y666" s="160"/>
      <c r="Z666" s="160"/>
      <c r="AA666" s="160"/>
      <c r="AB666" s="160"/>
      <c r="AC666" s="160"/>
      <c r="AD666" s="160"/>
      <c r="AE666" s="160"/>
      <c r="AF666" s="160"/>
      <c r="AG666" s="160"/>
      <c r="AH666" s="160"/>
      <c r="AI666" s="160"/>
      <c r="AJ666" s="160"/>
      <c r="AK666" s="160"/>
      <c r="AL666" s="160"/>
      <c r="AM666" s="160"/>
      <c r="AN666" s="164"/>
      <c r="AO666" s="160"/>
      <c r="AP666" s="160"/>
      <c r="AQ666" s="160"/>
      <c r="AR666" s="160"/>
      <c r="AS666" s="160"/>
      <c r="AT666" s="160"/>
      <c r="AU666" s="160"/>
      <c r="AV666" s="160"/>
      <c r="AW666" s="160"/>
      <c r="AX666" s="160"/>
      <c r="AY666" s="160"/>
      <c r="AZ666" s="160"/>
      <c r="BA666" s="160"/>
      <c r="BB666" s="160"/>
      <c r="BC666" s="160"/>
      <c r="BD666" s="160"/>
      <c r="BE666" s="160"/>
      <c r="BF666" s="160"/>
      <c r="BG666" s="160"/>
      <c r="BH666" s="160"/>
      <c r="BI666" s="160"/>
      <c r="BJ666" s="160"/>
      <c r="BK666" s="160"/>
      <c r="BL666" s="160"/>
      <c r="BM666" s="160"/>
      <c r="BN666" s="160"/>
      <c r="BO666" s="160"/>
      <c r="BP666" s="160"/>
      <c r="BQ666" s="160"/>
      <c r="BR666" s="160"/>
      <c r="BS666" s="160"/>
      <c r="BT666" s="160"/>
      <c r="BU666" s="160"/>
      <c r="BV666" s="160"/>
      <c r="BW666" s="160"/>
      <c r="BX666" s="160"/>
      <c r="BY666" s="160"/>
      <c r="BZ666" s="160"/>
      <c r="CA666" s="160"/>
      <c r="CB666" s="160"/>
      <c r="CC666" s="160"/>
      <c r="CD666" s="160"/>
      <c r="CE666" s="160"/>
      <c r="CF666" s="160"/>
      <c r="CG666" s="160"/>
      <c r="CH666" s="160"/>
      <c r="CI666" s="160"/>
      <c r="CJ666" s="160"/>
      <c r="CK666" s="160"/>
      <c r="CL666" s="160"/>
    </row>
    <row r="667">
      <c r="A667" s="171"/>
      <c r="F667" s="11"/>
      <c r="G667" s="11"/>
      <c r="L667" s="171"/>
      <c r="M667" s="171"/>
      <c r="O667" s="160"/>
      <c r="P667" s="160"/>
      <c r="Q667" s="160"/>
      <c r="R667" s="160"/>
      <c r="S667" s="160"/>
      <c r="T667" s="207"/>
      <c r="U667" s="160"/>
      <c r="V667" s="160"/>
      <c r="W667" s="160"/>
      <c r="X667" s="160"/>
      <c r="Y667" s="160"/>
      <c r="Z667" s="160"/>
      <c r="AA667" s="160"/>
      <c r="AB667" s="160"/>
      <c r="AC667" s="160"/>
      <c r="AD667" s="160"/>
      <c r="AE667" s="160"/>
      <c r="AF667" s="160"/>
      <c r="AG667" s="160"/>
      <c r="AH667" s="160"/>
      <c r="AI667" s="160"/>
      <c r="AJ667" s="160"/>
      <c r="AK667" s="160"/>
      <c r="AL667" s="160"/>
      <c r="AM667" s="160"/>
      <c r="AN667" s="164"/>
      <c r="AO667" s="160"/>
      <c r="AP667" s="160"/>
      <c r="AQ667" s="160"/>
      <c r="AR667" s="160"/>
      <c r="AS667" s="160"/>
      <c r="AT667" s="160"/>
      <c r="AU667" s="160"/>
      <c r="AV667" s="160"/>
      <c r="AW667" s="160"/>
      <c r="AX667" s="160"/>
      <c r="AY667" s="160"/>
      <c r="AZ667" s="160"/>
      <c r="BA667" s="160"/>
      <c r="BB667" s="160"/>
      <c r="BC667" s="160"/>
      <c r="BD667" s="160"/>
      <c r="BE667" s="160"/>
      <c r="BF667" s="160"/>
      <c r="BG667" s="160"/>
      <c r="BH667" s="160"/>
      <c r="BI667" s="160"/>
      <c r="BJ667" s="160"/>
      <c r="BK667" s="160"/>
      <c r="BL667" s="160"/>
      <c r="BM667" s="160"/>
      <c r="BN667" s="160"/>
      <c r="BO667" s="160"/>
      <c r="BP667" s="160"/>
      <c r="BQ667" s="160"/>
      <c r="BR667" s="160"/>
      <c r="BS667" s="160"/>
      <c r="BT667" s="160"/>
      <c r="BU667" s="160"/>
      <c r="BV667" s="160"/>
      <c r="BW667" s="160"/>
      <c r="BX667" s="160"/>
      <c r="BY667" s="160"/>
      <c r="BZ667" s="160"/>
      <c r="CA667" s="160"/>
      <c r="CB667" s="160"/>
      <c r="CC667" s="160"/>
      <c r="CD667" s="160"/>
      <c r="CE667" s="160"/>
      <c r="CF667" s="160"/>
      <c r="CG667" s="160"/>
      <c r="CH667" s="160"/>
      <c r="CI667" s="160"/>
      <c r="CJ667" s="160"/>
      <c r="CK667" s="160"/>
      <c r="CL667" s="160"/>
    </row>
    <row r="668">
      <c r="A668" s="171"/>
      <c r="F668" s="11"/>
      <c r="G668" s="11"/>
      <c r="L668" s="171"/>
      <c r="M668" s="171"/>
      <c r="O668" s="160"/>
      <c r="P668" s="160"/>
      <c r="Q668" s="160"/>
      <c r="R668" s="160"/>
      <c r="S668" s="160"/>
      <c r="T668" s="207"/>
      <c r="U668" s="160"/>
      <c r="V668" s="160"/>
      <c r="W668" s="160"/>
      <c r="X668" s="160"/>
      <c r="Y668" s="160"/>
      <c r="Z668" s="160"/>
      <c r="AA668" s="160"/>
      <c r="AB668" s="160"/>
      <c r="AC668" s="160"/>
      <c r="AD668" s="160"/>
      <c r="AE668" s="160"/>
      <c r="AF668" s="160"/>
      <c r="AG668" s="160"/>
      <c r="AH668" s="160"/>
      <c r="AI668" s="160"/>
      <c r="AJ668" s="160"/>
      <c r="AK668" s="160"/>
      <c r="AL668" s="160"/>
      <c r="AM668" s="160"/>
      <c r="AN668" s="164"/>
      <c r="AO668" s="160"/>
      <c r="AP668" s="160"/>
      <c r="AQ668" s="160"/>
      <c r="AR668" s="160"/>
      <c r="AS668" s="160"/>
      <c r="AT668" s="160"/>
      <c r="AU668" s="160"/>
      <c r="AV668" s="160"/>
      <c r="AW668" s="160"/>
      <c r="AX668" s="160"/>
      <c r="AY668" s="160"/>
      <c r="AZ668" s="160"/>
      <c r="BA668" s="160"/>
      <c r="BB668" s="160"/>
      <c r="BC668" s="160"/>
      <c r="BD668" s="160"/>
      <c r="BE668" s="160"/>
      <c r="BF668" s="160"/>
      <c r="BG668" s="160"/>
      <c r="BH668" s="160"/>
      <c r="BI668" s="160"/>
      <c r="BJ668" s="160"/>
      <c r="BK668" s="160"/>
      <c r="BL668" s="160"/>
      <c r="BM668" s="160"/>
      <c r="BN668" s="160"/>
      <c r="BO668" s="160"/>
      <c r="BP668" s="160"/>
      <c r="BQ668" s="160"/>
      <c r="BR668" s="160"/>
      <c r="BS668" s="160"/>
      <c r="BT668" s="160"/>
      <c r="BU668" s="160"/>
      <c r="BV668" s="160"/>
      <c r="BW668" s="160"/>
      <c r="BX668" s="160"/>
      <c r="BY668" s="160"/>
      <c r="BZ668" s="160"/>
      <c r="CA668" s="160"/>
      <c r="CB668" s="160"/>
      <c r="CC668" s="160"/>
      <c r="CD668" s="160"/>
      <c r="CE668" s="160"/>
      <c r="CF668" s="160"/>
      <c r="CG668" s="160"/>
      <c r="CH668" s="160"/>
      <c r="CI668" s="160"/>
      <c r="CJ668" s="160"/>
      <c r="CK668" s="160"/>
      <c r="CL668" s="160"/>
    </row>
    <row r="669">
      <c r="A669" s="171"/>
      <c r="F669" s="11"/>
      <c r="G669" s="11"/>
      <c r="L669" s="171"/>
      <c r="M669" s="171"/>
      <c r="O669" s="160"/>
      <c r="P669" s="160"/>
      <c r="Q669" s="160"/>
      <c r="R669" s="160"/>
      <c r="S669" s="160"/>
      <c r="T669" s="207"/>
      <c r="U669" s="160"/>
      <c r="V669" s="160"/>
      <c r="W669" s="160"/>
      <c r="X669" s="160"/>
      <c r="Y669" s="160"/>
      <c r="Z669" s="160"/>
      <c r="AA669" s="160"/>
      <c r="AB669" s="160"/>
      <c r="AC669" s="160"/>
      <c r="AD669" s="160"/>
      <c r="AE669" s="160"/>
      <c r="AF669" s="160"/>
      <c r="AG669" s="160"/>
      <c r="AH669" s="160"/>
      <c r="AI669" s="160"/>
      <c r="AJ669" s="160"/>
      <c r="AK669" s="160"/>
      <c r="AL669" s="160"/>
      <c r="AM669" s="160"/>
      <c r="AN669" s="164"/>
      <c r="AO669" s="160"/>
      <c r="AP669" s="160"/>
      <c r="AQ669" s="160"/>
      <c r="AR669" s="160"/>
      <c r="AS669" s="160"/>
      <c r="AT669" s="160"/>
      <c r="AU669" s="160"/>
      <c r="AV669" s="160"/>
      <c r="AW669" s="160"/>
      <c r="AX669" s="160"/>
      <c r="AY669" s="160"/>
      <c r="AZ669" s="160"/>
      <c r="BA669" s="160"/>
      <c r="BB669" s="160"/>
      <c r="BC669" s="160"/>
      <c r="BD669" s="160"/>
      <c r="BE669" s="160"/>
      <c r="BF669" s="160"/>
      <c r="BG669" s="160"/>
      <c r="BH669" s="160"/>
      <c r="BI669" s="160"/>
      <c r="BJ669" s="160"/>
      <c r="BK669" s="160"/>
      <c r="BL669" s="160"/>
      <c r="BM669" s="160"/>
      <c r="BN669" s="160"/>
      <c r="BO669" s="160"/>
      <c r="BP669" s="160"/>
      <c r="BQ669" s="160"/>
      <c r="BR669" s="160"/>
      <c r="BS669" s="160"/>
      <c r="BT669" s="160"/>
      <c r="BU669" s="160"/>
      <c r="BV669" s="160"/>
      <c r="BW669" s="160"/>
      <c r="BX669" s="160"/>
      <c r="BY669" s="160"/>
      <c r="BZ669" s="160"/>
      <c r="CA669" s="160"/>
      <c r="CB669" s="160"/>
      <c r="CC669" s="160"/>
      <c r="CD669" s="160"/>
      <c r="CE669" s="160"/>
      <c r="CF669" s="160"/>
      <c r="CG669" s="160"/>
      <c r="CH669" s="160"/>
      <c r="CI669" s="160"/>
      <c r="CJ669" s="160"/>
      <c r="CK669" s="160"/>
      <c r="CL669" s="160"/>
    </row>
    <row r="670">
      <c r="A670" s="171"/>
      <c r="F670" s="11"/>
      <c r="G670" s="11"/>
      <c r="L670" s="171"/>
      <c r="M670" s="171"/>
      <c r="O670" s="160"/>
      <c r="P670" s="160"/>
      <c r="Q670" s="160"/>
      <c r="R670" s="160"/>
      <c r="S670" s="160"/>
      <c r="T670" s="207"/>
      <c r="U670" s="160"/>
      <c r="V670" s="160"/>
      <c r="W670" s="160"/>
      <c r="X670" s="160"/>
      <c r="Y670" s="160"/>
      <c r="Z670" s="160"/>
      <c r="AA670" s="160"/>
      <c r="AB670" s="160"/>
      <c r="AC670" s="160"/>
      <c r="AD670" s="160"/>
      <c r="AE670" s="160"/>
      <c r="AF670" s="160"/>
      <c r="AG670" s="160"/>
      <c r="AH670" s="160"/>
      <c r="AI670" s="160"/>
      <c r="AJ670" s="160"/>
      <c r="AK670" s="160"/>
      <c r="AL670" s="160"/>
      <c r="AM670" s="160"/>
      <c r="AN670" s="164"/>
      <c r="AO670" s="160"/>
      <c r="AP670" s="160"/>
      <c r="AQ670" s="160"/>
      <c r="AR670" s="160"/>
      <c r="AS670" s="160"/>
      <c r="AT670" s="160"/>
      <c r="AU670" s="160"/>
      <c r="AV670" s="160"/>
      <c r="AW670" s="160"/>
      <c r="AX670" s="160"/>
      <c r="AY670" s="160"/>
      <c r="AZ670" s="160"/>
      <c r="BA670" s="160"/>
      <c r="BB670" s="160"/>
      <c r="BC670" s="160"/>
      <c r="BD670" s="160"/>
      <c r="BE670" s="160"/>
      <c r="BF670" s="160"/>
      <c r="BG670" s="160"/>
      <c r="BH670" s="160"/>
      <c r="BI670" s="160"/>
      <c r="BJ670" s="160"/>
      <c r="BK670" s="160"/>
      <c r="BL670" s="160"/>
      <c r="BM670" s="160"/>
      <c r="BN670" s="160"/>
      <c r="BO670" s="160"/>
      <c r="BP670" s="160"/>
      <c r="BQ670" s="160"/>
      <c r="BR670" s="160"/>
      <c r="BS670" s="160"/>
      <c r="BT670" s="160"/>
      <c r="BU670" s="160"/>
      <c r="BV670" s="160"/>
      <c r="BW670" s="160"/>
      <c r="BX670" s="160"/>
      <c r="BY670" s="160"/>
      <c r="BZ670" s="160"/>
      <c r="CA670" s="160"/>
      <c r="CB670" s="160"/>
      <c r="CC670" s="160"/>
      <c r="CD670" s="160"/>
      <c r="CE670" s="160"/>
      <c r="CF670" s="160"/>
      <c r="CG670" s="160"/>
      <c r="CH670" s="160"/>
      <c r="CI670" s="160"/>
      <c r="CJ670" s="160"/>
      <c r="CK670" s="160"/>
      <c r="CL670" s="160"/>
    </row>
    <row r="671">
      <c r="A671" s="171"/>
      <c r="F671" s="11"/>
      <c r="G671" s="11"/>
      <c r="L671" s="171"/>
      <c r="M671" s="171"/>
      <c r="O671" s="160"/>
      <c r="P671" s="160"/>
      <c r="Q671" s="160"/>
      <c r="R671" s="160"/>
      <c r="S671" s="160"/>
      <c r="T671" s="207"/>
      <c r="U671" s="160"/>
      <c r="V671" s="160"/>
      <c r="W671" s="160"/>
      <c r="X671" s="160"/>
      <c r="Y671" s="160"/>
      <c r="Z671" s="160"/>
      <c r="AA671" s="160"/>
      <c r="AB671" s="160"/>
      <c r="AC671" s="160"/>
      <c r="AD671" s="160"/>
      <c r="AE671" s="160"/>
      <c r="AF671" s="160"/>
      <c r="AG671" s="160"/>
      <c r="AH671" s="160"/>
      <c r="AI671" s="160"/>
      <c r="AJ671" s="160"/>
      <c r="AK671" s="160"/>
      <c r="AL671" s="160"/>
      <c r="AM671" s="160"/>
      <c r="AN671" s="164"/>
      <c r="AO671" s="160"/>
      <c r="AP671" s="160"/>
      <c r="AQ671" s="160"/>
      <c r="AR671" s="160"/>
      <c r="AS671" s="160"/>
      <c r="AT671" s="160"/>
      <c r="AU671" s="160"/>
      <c r="AV671" s="160"/>
      <c r="AW671" s="160"/>
      <c r="AX671" s="160"/>
      <c r="AY671" s="160"/>
      <c r="AZ671" s="160"/>
      <c r="BA671" s="160"/>
      <c r="BB671" s="160"/>
      <c r="BC671" s="160"/>
      <c r="BD671" s="160"/>
      <c r="BE671" s="160"/>
      <c r="BF671" s="160"/>
      <c r="BG671" s="160"/>
      <c r="BH671" s="160"/>
      <c r="BI671" s="160"/>
      <c r="BJ671" s="160"/>
      <c r="BK671" s="160"/>
      <c r="BL671" s="160"/>
      <c r="BM671" s="160"/>
      <c r="BN671" s="160"/>
      <c r="BO671" s="160"/>
      <c r="BP671" s="160"/>
      <c r="BQ671" s="160"/>
      <c r="BR671" s="160"/>
      <c r="BS671" s="160"/>
      <c r="BT671" s="160"/>
      <c r="BU671" s="160"/>
      <c r="BV671" s="160"/>
      <c r="BW671" s="160"/>
      <c r="BX671" s="160"/>
      <c r="BY671" s="160"/>
      <c r="BZ671" s="160"/>
      <c r="CA671" s="160"/>
      <c r="CB671" s="160"/>
      <c r="CC671" s="160"/>
      <c r="CD671" s="160"/>
      <c r="CE671" s="160"/>
      <c r="CF671" s="160"/>
      <c r="CG671" s="160"/>
      <c r="CH671" s="160"/>
      <c r="CI671" s="160"/>
      <c r="CJ671" s="160"/>
      <c r="CK671" s="160"/>
      <c r="CL671" s="160"/>
    </row>
    <row r="672">
      <c r="A672" s="171"/>
      <c r="F672" s="11"/>
      <c r="G672" s="11"/>
      <c r="L672" s="171"/>
      <c r="M672" s="171"/>
      <c r="O672" s="160"/>
      <c r="P672" s="160"/>
      <c r="Q672" s="160"/>
      <c r="R672" s="160"/>
      <c r="S672" s="160"/>
      <c r="T672" s="207"/>
      <c r="U672" s="160"/>
      <c r="V672" s="160"/>
      <c r="W672" s="160"/>
      <c r="X672" s="160"/>
      <c r="Y672" s="160"/>
      <c r="Z672" s="160"/>
      <c r="AA672" s="160"/>
      <c r="AB672" s="160"/>
      <c r="AC672" s="160"/>
      <c r="AD672" s="160"/>
      <c r="AE672" s="160"/>
      <c r="AF672" s="160"/>
      <c r="AG672" s="160"/>
      <c r="AH672" s="160"/>
      <c r="AI672" s="160"/>
      <c r="AJ672" s="160"/>
      <c r="AK672" s="160"/>
      <c r="AL672" s="160"/>
      <c r="AM672" s="160"/>
      <c r="AN672" s="164"/>
      <c r="AO672" s="160"/>
      <c r="AP672" s="160"/>
      <c r="AQ672" s="160"/>
      <c r="AR672" s="160"/>
      <c r="AS672" s="160"/>
      <c r="AT672" s="160"/>
      <c r="AU672" s="160"/>
      <c r="AV672" s="160"/>
      <c r="AW672" s="160"/>
      <c r="AX672" s="160"/>
      <c r="AY672" s="160"/>
      <c r="AZ672" s="160"/>
      <c r="BA672" s="160"/>
      <c r="BB672" s="160"/>
      <c r="BC672" s="160"/>
      <c r="BD672" s="160"/>
      <c r="BE672" s="160"/>
      <c r="BF672" s="160"/>
      <c r="BG672" s="160"/>
      <c r="BH672" s="160"/>
      <c r="BI672" s="160"/>
      <c r="BJ672" s="160"/>
      <c r="BK672" s="160"/>
      <c r="BL672" s="160"/>
      <c r="BM672" s="160"/>
      <c r="BN672" s="160"/>
      <c r="BO672" s="160"/>
      <c r="BP672" s="160"/>
      <c r="BQ672" s="160"/>
      <c r="BR672" s="160"/>
      <c r="BS672" s="160"/>
      <c r="BT672" s="160"/>
      <c r="BU672" s="160"/>
      <c r="BV672" s="160"/>
      <c r="BW672" s="160"/>
      <c r="BX672" s="160"/>
      <c r="BY672" s="160"/>
      <c r="BZ672" s="160"/>
      <c r="CA672" s="160"/>
      <c r="CB672" s="160"/>
      <c r="CC672" s="160"/>
      <c r="CD672" s="160"/>
      <c r="CE672" s="160"/>
      <c r="CF672" s="160"/>
      <c r="CG672" s="160"/>
      <c r="CH672" s="160"/>
      <c r="CI672" s="160"/>
      <c r="CJ672" s="160"/>
      <c r="CK672" s="160"/>
      <c r="CL672" s="160"/>
    </row>
    <row r="673">
      <c r="A673" s="171"/>
      <c r="F673" s="11"/>
      <c r="G673" s="11"/>
      <c r="L673" s="171"/>
      <c r="M673" s="171"/>
      <c r="O673" s="160"/>
      <c r="P673" s="160"/>
      <c r="Q673" s="160"/>
      <c r="R673" s="160"/>
      <c r="S673" s="160"/>
      <c r="T673" s="207"/>
      <c r="U673" s="160"/>
      <c r="V673" s="160"/>
      <c r="W673" s="160"/>
      <c r="X673" s="160"/>
      <c r="Y673" s="160"/>
      <c r="Z673" s="160"/>
      <c r="AA673" s="160"/>
      <c r="AB673" s="160"/>
      <c r="AC673" s="160"/>
      <c r="AD673" s="160"/>
      <c r="AE673" s="160"/>
      <c r="AF673" s="160"/>
      <c r="AG673" s="160"/>
      <c r="AH673" s="160"/>
      <c r="AI673" s="160"/>
      <c r="AJ673" s="160"/>
      <c r="AK673" s="160"/>
      <c r="AL673" s="160"/>
      <c r="AM673" s="160"/>
      <c r="AN673" s="164"/>
      <c r="AO673" s="160"/>
      <c r="AP673" s="160"/>
      <c r="AQ673" s="160"/>
      <c r="AR673" s="160"/>
      <c r="AS673" s="160"/>
      <c r="AT673" s="160"/>
      <c r="AU673" s="160"/>
      <c r="AV673" s="160"/>
      <c r="AW673" s="160"/>
      <c r="AX673" s="160"/>
      <c r="AY673" s="160"/>
      <c r="AZ673" s="160"/>
      <c r="BA673" s="160"/>
      <c r="BB673" s="160"/>
      <c r="BC673" s="160"/>
      <c r="BD673" s="160"/>
      <c r="BE673" s="160"/>
      <c r="BF673" s="160"/>
      <c r="BG673" s="160"/>
      <c r="BH673" s="160"/>
      <c r="BI673" s="160"/>
      <c r="BJ673" s="160"/>
      <c r="BK673" s="160"/>
      <c r="BL673" s="160"/>
      <c r="BM673" s="160"/>
      <c r="BN673" s="160"/>
      <c r="BO673" s="160"/>
      <c r="BP673" s="160"/>
      <c r="BQ673" s="160"/>
      <c r="BR673" s="160"/>
      <c r="BS673" s="160"/>
      <c r="BT673" s="160"/>
      <c r="BU673" s="160"/>
      <c r="BV673" s="160"/>
      <c r="BW673" s="160"/>
      <c r="BX673" s="160"/>
      <c r="BY673" s="160"/>
      <c r="BZ673" s="160"/>
      <c r="CA673" s="160"/>
      <c r="CB673" s="160"/>
      <c r="CC673" s="160"/>
      <c r="CD673" s="160"/>
      <c r="CE673" s="160"/>
      <c r="CF673" s="160"/>
      <c r="CG673" s="160"/>
      <c r="CH673" s="160"/>
      <c r="CI673" s="160"/>
      <c r="CJ673" s="160"/>
      <c r="CK673" s="160"/>
      <c r="CL673" s="160"/>
    </row>
    <row r="674">
      <c r="A674" s="171"/>
      <c r="F674" s="11"/>
      <c r="G674" s="11"/>
      <c r="L674" s="171"/>
      <c r="M674" s="171"/>
      <c r="O674" s="160"/>
      <c r="P674" s="160"/>
      <c r="Q674" s="160"/>
      <c r="R674" s="160"/>
      <c r="S674" s="160"/>
      <c r="T674" s="207"/>
      <c r="U674" s="160"/>
      <c r="V674" s="160"/>
      <c r="W674" s="160"/>
      <c r="X674" s="160"/>
      <c r="Y674" s="160"/>
      <c r="Z674" s="160"/>
      <c r="AA674" s="160"/>
      <c r="AB674" s="160"/>
      <c r="AC674" s="160"/>
      <c r="AD674" s="160"/>
      <c r="AE674" s="160"/>
      <c r="AF674" s="160"/>
      <c r="AG674" s="160"/>
      <c r="AH674" s="160"/>
      <c r="AI674" s="160"/>
      <c r="AJ674" s="160"/>
      <c r="AK674" s="160"/>
      <c r="AL674" s="160"/>
      <c r="AM674" s="160"/>
      <c r="AN674" s="164"/>
      <c r="AO674" s="160"/>
      <c r="AP674" s="160"/>
      <c r="AQ674" s="160"/>
      <c r="AR674" s="160"/>
      <c r="AS674" s="160"/>
      <c r="AT674" s="160"/>
      <c r="AU674" s="160"/>
      <c r="AV674" s="160"/>
      <c r="AW674" s="160"/>
      <c r="AX674" s="160"/>
      <c r="AY674" s="160"/>
      <c r="AZ674" s="160"/>
      <c r="BA674" s="160"/>
      <c r="BB674" s="160"/>
      <c r="BC674" s="160"/>
      <c r="BD674" s="160"/>
      <c r="BE674" s="160"/>
      <c r="BF674" s="160"/>
      <c r="BG674" s="160"/>
      <c r="BH674" s="160"/>
      <c r="BI674" s="160"/>
      <c r="BJ674" s="160"/>
      <c r="BK674" s="160"/>
      <c r="BL674" s="160"/>
      <c r="BM674" s="160"/>
      <c r="BN674" s="160"/>
      <c r="BO674" s="160"/>
      <c r="BP674" s="160"/>
      <c r="BQ674" s="160"/>
      <c r="BR674" s="160"/>
      <c r="BS674" s="160"/>
      <c r="BT674" s="160"/>
      <c r="BU674" s="160"/>
      <c r="BV674" s="160"/>
      <c r="BW674" s="160"/>
      <c r="BX674" s="160"/>
      <c r="BY674" s="160"/>
      <c r="BZ674" s="160"/>
      <c r="CA674" s="160"/>
      <c r="CB674" s="160"/>
      <c r="CC674" s="160"/>
      <c r="CD674" s="160"/>
      <c r="CE674" s="160"/>
      <c r="CF674" s="160"/>
      <c r="CG674" s="160"/>
      <c r="CH674" s="160"/>
      <c r="CI674" s="160"/>
      <c r="CJ674" s="160"/>
      <c r="CK674" s="160"/>
      <c r="CL674" s="160"/>
    </row>
    <row r="675">
      <c r="A675" s="171"/>
      <c r="F675" s="11"/>
      <c r="G675" s="11"/>
      <c r="L675" s="171"/>
      <c r="M675" s="171"/>
      <c r="O675" s="160"/>
      <c r="P675" s="160"/>
      <c r="Q675" s="160"/>
      <c r="R675" s="160"/>
      <c r="S675" s="160"/>
      <c r="T675" s="207"/>
      <c r="U675" s="160"/>
      <c r="V675" s="160"/>
      <c r="W675" s="160"/>
      <c r="X675" s="160"/>
      <c r="Y675" s="160"/>
      <c r="Z675" s="160"/>
      <c r="AA675" s="160"/>
      <c r="AB675" s="160"/>
      <c r="AC675" s="160"/>
      <c r="AD675" s="160"/>
      <c r="AE675" s="160"/>
      <c r="AF675" s="160"/>
      <c r="AG675" s="160"/>
      <c r="AH675" s="160"/>
      <c r="AI675" s="160"/>
      <c r="AJ675" s="160"/>
      <c r="AK675" s="160"/>
      <c r="AL675" s="160"/>
      <c r="AM675" s="160"/>
      <c r="AN675" s="164"/>
      <c r="AO675" s="160"/>
      <c r="AP675" s="160"/>
      <c r="AQ675" s="160"/>
      <c r="AR675" s="160"/>
      <c r="AS675" s="160"/>
      <c r="AT675" s="160"/>
      <c r="AU675" s="160"/>
      <c r="AV675" s="160"/>
      <c r="AW675" s="160"/>
      <c r="AX675" s="160"/>
      <c r="AY675" s="160"/>
      <c r="AZ675" s="160"/>
      <c r="BA675" s="160"/>
      <c r="BB675" s="160"/>
      <c r="BC675" s="160"/>
      <c r="BD675" s="160"/>
      <c r="BE675" s="160"/>
      <c r="BF675" s="160"/>
      <c r="BG675" s="160"/>
      <c r="BH675" s="160"/>
      <c r="BI675" s="160"/>
      <c r="BJ675" s="160"/>
      <c r="BK675" s="160"/>
      <c r="BL675" s="160"/>
      <c r="BM675" s="160"/>
      <c r="BN675" s="160"/>
      <c r="BO675" s="160"/>
      <c r="BP675" s="160"/>
      <c r="BQ675" s="160"/>
      <c r="BR675" s="160"/>
      <c r="BS675" s="160"/>
      <c r="BT675" s="160"/>
      <c r="BU675" s="160"/>
      <c r="BV675" s="160"/>
      <c r="BW675" s="160"/>
      <c r="BX675" s="160"/>
      <c r="BY675" s="160"/>
      <c r="BZ675" s="160"/>
      <c r="CA675" s="160"/>
      <c r="CB675" s="160"/>
      <c r="CC675" s="160"/>
      <c r="CD675" s="160"/>
      <c r="CE675" s="160"/>
      <c r="CF675" s="160"/>
      <c r="CG675" s="160"/>
      <c r="CH675" s="160"/>
      <c r="CI675" s="160"/>
      <c r="CJ675" s="160"/>
      <c r="CK675" s="160"/>
      <c r="CL675" s="160"/>
    </row>
    <row r="676">
      <c r="A676" s="171"/>
      <c r="F676" s="11"/>
      <c r="G676" s="11"/>
      <c r="L676" s="171"/>
      <c r="M676" s="171"/>
      <c r="O676" s="160"/>
      <c r="P676" s="160"/>
      <c r="Q676" s="160"/>
      <c r="R676" s="160"/>
      <c r="S676" s="160"/>
      <c r="T676" s="207"/>
      <c r="U676" s="160"/>
      <c r="V676" s="160"/>
      <c r="W676" s="160"/>
      <c r="X676" s="160"/>
      <c r="Y676" s="160"/>
      <c r="Z676" s="160"/>
      <c r="AA676" s="160"/>
      <c r="AB676" s="160"/>
      <c r="AC676" s="160"/>
      <c r="AD676" s="160"/>
      <c r="AE676" s="160"/>
      <c r="AF676" s="160"/>
      <c r="AG676" s="160"/>
      <c r="AH676" s="160"/>
      <c r="AI676" s="160"/>
      <c r="AJ676" s="160"/>
      <c r="AK676" s="160"/>
      <c r="AL676" s="160"/>
      <c r="AM676" s="160"/>
      <c r="AN676" s="164"/>
      <c r="AO676" s="160"/>
      <c r="AP676" s="160"/>
      <c r="AQ676" s="160"/>
      <c r="AR676" s="160"/>
      <c r="AS676" s="160"/>
      <c r="AT676" s="160"/>
      <c r="AU676" s="160"/>
      <c r="AV676" s="160"/>
      <c r="AW676" s="160"/>
      <c r="AX676" s="160"/>
      <c r="AY676" s="160"/>
      <c r="AZ676" s="160"/>
      <c r="BA676" s="160"/>
      <c r="BB676" s="160"/>
      <c r="BC676" s="160"/>
      <c r="BD676" s="160"/>
      <c r="BE676" s="160"/>
      <c r="BF676" s="160"/>
      <c r="BG676" s="160"/>
      <c r="BH676" s="160"/>
      <c r="BI676" s="160"/>
      <c r="BJ676" s="160"/>
      <c r="BK676" s="160"/>
      <c r="BL676" s="160"/>
      <c r="BM676" s="160"/>
      <c r="BN676" s="160"/>
      <c r="BO676" s="160"/>
      <c r="BP676" s="160"/>
      <c r="BQ676" s="160"/>
      <c r="BR676" s="160"/>
      <c r="BS676" s="160"/>
      <c r="BT676" s="160"/>
      <c r="BU676" s="160"/>
      <c r="BV676" s="160"/>
      <c r="BW676" s="160"/>
      <c r="BX676" s="160"/>
      <c r="BY676" s="160"/>
      <c r="BZ676" s="160"/>
      <c r="CA676" s="160"/>
      <c r="CB676" s="160"/>
      <c r="CC676" s="160"/>
      <c r="CD676" s="160"/>
      <c r="CE676" s="160"/>
      <c r="CF676" s="160"/>
      <c r="CG676" s="160"/>
      <c r="CH676" s="160"/>
      <c r="CI676" s="160"/>
      <c r="CJ676" s="160"/>
      <c r="CK676" s="160"/>
      <c r="CL676" s="160"/>
    </row>
    <row r="677">
      <c r="A677" s="171"/>
      <c r="F677" s="11"/>
      <c r="G677" s="11"/>
      <c r="L677" s="171"/>
      <c r="M677" s="171"/>
      <c r="O677" s="160"/>
      <c r="P677" s="160"/>
      <c r="Q677" s="160"/>
      <c r="R677" s="160"/>
      <c r="S677" s="160"/>
      <c r="T677" s="207"/>
      <c r="U677" s="160"/>
      <c r="V677" s="160"/>
      <c r="W677" s="160"/>
      <c r="X677" s="160"/>
      <c r="Y677" s="160"/>
      <c r="Z677" s="160"/>
      <c r="AA677" s="160"/>
      <c r="AB677" s="160"/>
      <c r="AC677" s="160"/>
      <c r="AD677" s="160"/>
      <c r="AE677" s="160"/>
      <c r="AF677" s="160"/>
      <c r="AG677" s="160"/>
      <c r="AH677" s="160"/>
      <c r="AI677" s="160"/>
      <c r="AJ677" s="160"/>
      <c r="AK677" s="160"/>
      <c r="AL677" s="160"/>
      <c r="AM677" s="160"/>
      <c r="AN677" s="164"/>
      <c r="AO677" s="160"/>
      <c r="AP677" s="160"/>
      <c r="AQ677" s="160"/>
      <c r="AR677" s="160"/>
      <c r="AS677" s="160"/>
      <c r="AT677" s="160"/>
      <c r="AU677" s="160"/>
      <c r="AV677" s="160"/>
      <c r="AW677" s="160"/>
      <c r="AX677" s="160"/>
      <c r="AY677" s="160"/>
      <c r="AZ677" s="160"/>
      <c r="BA677" s="160"/>
      <c r="BB677" s="160"/>
      <c r="BC677" s="160"/>
      <c r="BD677" s="160"/>
      <c r="BE677" s="160"/>
      <c r="BF677" s="160"/>
      <c r="BG677" s="160"/>
      <c r="BH677" s="160"/>
      <c r="BI677" s="160"/>
      <c r="BJ677" s="160"/>
      <c r="BK677" s="160"/>
      <c r="BL677" s="160"/>
      <c r="BM677" s="160"/>
      <c r="BN677" s="160"/>
      <c r="BO677" s="160"/>
      <c r="BP677" s="160"/>
      <c r="BQ677" s="160"/>
      <c r="BR677" s="160"/>
      <c r="BS677" s="160"/>
      <c r="BT677" s="160"/>
      <c r="BU677" s="160"/>
      <c r="BV677" s="160"/>
      <c r="BW677" s="160"/>
      <c r="BX677" s="160"/>
      <c r="BY677" s="160"/>
      <c r="BZ677" s="160"/>
      <c r="CA677" s="160"/>
      <c r="CB677" s="160"/>
      <c r="CC677" s="160"/>
      <c r="CD677" s="160"/>
      <c r="CE677" s="160"/>
      <c r="CF677" s="160"/>
      <c r="CG677" s="160"/>
      <c r="CH677" s="160"/>
      <c r="CI677" s="160"/>
      <c r="CJ677" s="160"/>
      <c r="CK677" s="160"/>
      <c r="CL677" s="160"/>
    </row>
    <row r="678">
      <c r="A678" s="171"/>
      <c r="F678" s="11"/>
      <c r="G678" s="11"/>
      <c r="L678" s="171"/>
      <c r="M678" s="171"/>
      <c r="O678" s="160"/>
      <c r="P678" s="160"/>
      <c r="Q678" s="160"/>
      <c r="R678" s="160"/>
      <c r="S678" s="160"/>
      <c r="T678" s="207"/>
      <c r="U678" s="160"/>
      <c r="V678" s="160"/>
      <c r="W678" s="160"/>
      <c r="X678" s="160"/>
      <c r="Y678" s="160"/>
      <c r="Z678" s="160"/>
      <c r="AA678" s="160"/>
      <c r="AB678" s="160"/>
      <c r="AC678" s="160"/>
      <c r="AD678" s="160"/>
      <c r="AE678" s="160"/>
      <c r="AF678" s="160"/>
      <c r="AG678" s="160"/>
      <c r="AH678" s="160"/>
      <c r="AI678" s="160"/>
      <c r="AJ678" s="160"/>
      <c r="AK678" s="160"/>
      <c r="AL678" s="160"/>
      <c r="AM678" s="160"/>
      <c r="AN678" s="164"/>
      <c r="AO678" s="160"/>
      <c r="AP678" s="160"/>
      <c r="AQ678" s="160"/>
      <c r="AR678" s="160"/>
      <c r="AS678" s="160"/>
      <c r="AT678" s="160"/>
      <c r="AU678" s="160"/>
      <c r="AV678" s="160"/>
      <c r="AW678" s="160"/>
      <c r="AX678" s="160"/>
      <c r="AY678" s="160"/>
      <c r="AZ678" s="160"/>
      <c r="BA678" s="160"/>
      <c r="BB678" s="160"/>
      <c r="BC678" s="160"/>
      <c r="BD678" s="160"/>
      <c r="BE678" s="160"/>
      <c r="BF678" s="160"/>
      <c r="BG678" s="160"/>
      <c r="BH678" s="160"/>
      <c r="BI678" s="160"/>
      <c r="BJ678" s="160"/>
      <c r="BK678" s="160"/>
      <c r="BL678" s="160"/>
      <c r="BM678" s="160"/>
      <c r="BN678" s="160"/>
      <c r="BO678" s="160"/>
      <c r="BP678" s="160"/>
      <c r="BQ678" s="160"/>
      <c r="BR678" s="160"/>
      <c r="BS678" s="160"/>
      <c r="BT678" s="160"/>
      <c r="BU678" s="160"/>
      <c r="BV678" s="160"/>
      <c r="BW678" s="160"/>
      <c r="BX678" s="160"/>
      <c r="BY678" s="160"/>
      <c r="BZ678" s="160"/>
      <c r="CA678" s="160"/>
      <c r="CB678" s="160"/>
      <c r="CC678" s="160"/>
      <c r="CD678" s="160"/>
      <c r="CE678" s="160"/>
      <c r="CF678" s="160"/>
      <c r="CG678" s="160"/>
      <c r="CH678" s="160"/>
      <c r="CI678" s="160"/>
      <c r="CJ678" s="160"/>
      <c r="CK678" s="160"/>
      <c r="CL678" s="160"/>
    </row>
    <row r="679">
      <c r="A679" s="171"/>
      <c r="F679" s="11"/>
      <c r="G679" s="11"/>
      <c r="L679" s="171"/>
      <c r="M679" s="171"/>
      <c r="O679" s="160"/>
      <c r="P679" s="160"/>
      <c r="Q679" s="160"/>
      <c r="R679" s="160"/>
      <c r="S679" s="160"/>
      <c r="T679" s="207"/>
      <c r="U679" s="160"/>
      <c r="V679" s="160"/>
      <c r="W679" s="160"/>
      <c r="X679" s="160"/>
      <c r="Y679" s="160"/>
      <c r="Z679" s="160"/>
      <c r="AA679" s="160"/>
      <c r="AB679" s="160"/>
      <c r="AC679" s="160"/>
      <c r="AD679" s="160"/>
      <c r="AE679" s="160"/>
      <c r="AF679" s="160"/>
      <c r="AG679" s="160"/>
      <c r="AH679" s="160"/>
      <c r="AI679" s="160"/>
      <c r="AJ679" s="160"/>
      <c r="AK679" s="160"/>
      <c r="AL679" s="160"/>
      <c r="AM679" s="160"/>
      <c r="AN679" s="164"/>
      <c r="AO679" s="160"/>
      <c r="AP679" s="160"/>
      <c r="AQ679" s="160"/>
      <c r="AR679" s="160"/>
      <c r="AS679" s="160"/>
      <c r="AT679" s="160"/>
      <c r="AU679" s="160"/>
      <c r="AV679" s="160"/>
      <c r="AW679" s="160"/>
      <c r="AX679" s="160"/>
      <c r="AY679" s="160"/>
      <c r="AZ679" s="160"/>
      <c r="BA679" s="160"/>
      <c r="BB679" s="160"/>
      <c r="BC679" s="160"/>
      <c r="BD679" s="160"/>
      <c r="BE679" s="160"/>
      <c r="BF679" s="160"/>
      <c r="BG679" s="160"/>
      <c r="BH679" s="160"/>
      <c r="BI679" s="160"/>
      <c r="BJ679" s="160"/>
      <c r="BK679" s="160"/>
      <c r="BL679" s="160"/>
      <c r="BM679" s="160"/>
      <c r="BN679" s="160"/>
      <c r="BO679" s="160"/>
      <c r="BP679" s="160"/>
      <c r="BQ679" s="160"/>
      <c r="BR679" s="160"/>
      <c r="BS679" s="160"/>
      <c r="BT679" s="160"/>
      <c r="BU679" s="160"/>
      <c r="BV679" s="160"/>
      <c r="BW679" s="160"/>
      <c r="BX679" s="160"/>
      <c r="BY679" s="160"/>
      <c r="BZ679" s="160"/>
      <c r="CA679" s="160"/>
      <c r="CB679" s="160"/>
      <c r="CC679" s="160"/>
      <c r="CD679" s="160"/>
      <c r="CE679" s="160"/>
      <c r="CF679" s="160"/>
      <c r="CG679" s="160"/>
      <c r="CH679" s="160"/>
      <c r="CI679" s="160"/>
      <c r="CJ679" s="160"/>
      <c r="CK679" s="160"/>
      <c r="CL679" s="160"/>
    </row>
    <row r="680">
      <c r="A680" s="171"/>
      <c r="F680" s="11"/>
      <c r="G680" s="11"/>
      <c r="L680" s="171"/>
      <c r="M680" s="171"/>
      <c r="O680" s="160"/>
      <c r="P680" s="160"/>
      <c r="Q680" s="160"/>
      <c r="R680" s="160"/>
      <c r="S680" s="160"/>
      <c r="T680" s="207"/>
      <c r="U680" s="160"/>
      <c r="V680" s="160"/>
      <c r="W680" s="160"/>
      <c r="X680" s="160"/>
      <c r="Y680" s="160"/>
      <c r="Z680" s="160"/>
      <c r="AA680" s="160"/>
      <c r="AB680" s="160"/>
      <c r="AC680" s="160"/>
      <c r="AD680" s="160"/>
      <c r="AE680" s="160"/>
      <c r="AF680" s="160"/>
      <c r="AG680" s="160"/>
      <c r="AH680" s="160"/>
      <c r="AI680" s="160"/>
      <c r="AJ680" s="160"/>
      <c r="AK680" s="160"/>
      <c r="AL680" s="160"/>
      <c r="AM680" s="160"/>
      <c r="AN680" s="164"/>
      <c r="AO680" s="160"/>
      <c r="AP680" s="160"/>
      <c r="AQ680" s="160"/>
      <c r="AR680" s="160"/>
      <c r="AS680" s="160"/>
      <c r="AT680" s="160"/>
      <c r="AU680" s="160"/>
      <c r="AV680" s="160"/>
      <c r="AW680" s="160"/>
      <c r="AX680" s="160"/>
      <c r="AY680" s="160"/>
      <c r="AZ680" s="160"/>
      <c r="BA680" s="160"/>
      <c r="BB680" s="160"/>
      <c r="BC680" s="160"/>
      <c r="BD680" s="160"/>
      <c r="BE680" s="160"/>
      <c r="BF680" s="160"/>
      <c r="BG680" s="160"/>
      <c r="BH680" s="160"/>
      <c r="BI680" s="160"/>
      <c r="BJ680" s="160"/>
      <c r="BK680" s="160"/>
      <c r="BL680" s="160"/>
      <c r="BM680" s="160"/>
      <c r="BN680" s="160"/>
      <c r="BO680" s="160"/>
      <c r="BP680" s="160"/>
      <c r="BQ680" s="160"/>
      <c r="BR680" s="160"/>
      <c r="BS680" s="160"/>
      <c r="BT680" s="160"/>
      <c r="BU680" s="160"/>
      <c r="BV680" s="160"/>
      <c r="BW680" s="160"/>
      <c r="BX680" s="160"/>
      <c r="BY680" s="160"/>
      <c r="BZ680" s="160"/>
      <c r="CA680" s="160"/>
      <c r="CB680" s="160"/>
      <c r="CC680" s="160"/>
      <c r="CD680" s="160"/>
      <c r="CE680" s="160"/>
      <c r="CF680" s="160"/>
      <c r="CG680" s="160"/>
      <c r="CH680" s="160"/>
      <c r="CI680" s="160"/>
      <c r="CJ680" s="160"/>
      <c r="CK680" s="160"/>
      <c r="CL680" s="160"/>
    </row>
    <row r="681">
      <c r="A681" s="171"/>
      <c r="F681" s="11"/>
      <c r="G681" s="11"/>
      <c r="L681" s="171"/>
      <c r="M681" s="171"/>
      <c r="O681" s="160"/>
      <c r="P681" s="160"/>
      <c r="Q681" s="160"/>
      <c r="R681" s="160"/>
      <c r="S681" s="160"/>
      <c r="T681" s="207"/>
      <c r="U681" s="160"/>
      <c r="V681" s="160"/>
      <c r="W681" s="160"/>
      <c r="X681" s="160"/>
      <c r="Y681" s="160"/>
      <c r="Z681" s="160"/>
      <c r="AA681" s="160"/>
      <c r="AB681" s="160"/>
      <c r="AC681" s="160"/>
      <c r="AD681" s="160"/>
      <c r="AE681" s="160"/>
      <c r="AF681" s="160"/>
      <c r="AG681" s="160"/>
      <c r="AH681" s="160"/>
      <c r="AI681" s="160"/>
      <c r="AJ681" s="160"/>
      <c r="AK681" s="160"/>
      <c r="AL681" s="160"/>
      <c r="AM681" s="160"/>
      <c r="AN681" s="164"/>
      <c r="AO681" s="160"/>
      <c r="AP681" s="160"/>
      <c r="AQ681" s="160"/>
      <c r="AR681" s="160"/>
      <c r="AS681" s="160"/>
      <c r="AT681" s="160"/>
      <c r="AU681" s="160"/>
      <c r="AV681" s="160"/>
      <c r="AW681" s="160"/>
      <c r="AX681" s="160"/>
      <c r="AY681" s="160"/>
      <c r="AZ681" s="160"/>
      <c r="BA681" s="160"/>
      <c r="BB681" s="160"/>
      <c r="BC681" s="160"/>
      <c r="BD681" s="160"/>
      <c r="BE681" s="160"/>
      <c r="BF681" s="160"/>
      <c r="BG681" s="160"/>
      <c r="BH681" s="160"/>
      <c r="BI681" s="160"/>
      <c r="BJ681" s="160"/>
      <c r="BK681" s="160"/>
      <c r="BL681" s="160"/>
      <c r="BM681" s="160"/>
      <c r="BN681" s="160"/>
      <c r="BO681" s="160"/>
      <c r="BP681" s="160"/>
      <c r="BQ681" s="160"/>
      <c r="BR681" s="160"/>
      <c r="BS681" s="160"/>
      <c r="BT681" s="160"/>
      <c r="BU681" s="160"/>
      <c r="BV681" s="160"/>
      <c r="BW681" s="160"/>
      <c r="BX681" s="160"/>
      <c r="BY681" s="160"/>
      <c r="BZ681" s="160"/>
      <c r="CA681" s="160"/>
      <c r="CB681" s="160"/>
      <c r="CC681" s="160"/>
      <c r="CD681" s="160"/>
      <c r="CE681" s="160"/>
      <c r="CF681" s="160"/>
      <c r="CG681" s="160"/>
      <c r="CH681" s="160"/>
      <c r="CI681" s="160"/>
      <c r="CJ681" s="160"/>
      <c r="CK681" s="160"/>
      <c r="CL681" s="160"/>
    </row>
    <row r="682">
      <c r="A682" s="171"/>
      <c r="F682" s="11"/>
      <c r="G682" s="11"/>
      <c r="L682" s="171"/>
      <c r="M682" s="171"/>
      <c r="O682" s="160"/>
      <c r="P682" s="160"/>
      <c r="Q682" s="160"/>
      <c r="R682" s="160"/>
      <c r="S682" s="160"/>
      <c r="T682" s="207"/>
      <c r="U682" s="160"/>
      <c r="V682" s="160"/>
      <c r="W682" s="160"/>
      <c r="X682" s="160"/>
      <c r="Y682" s="160"/>
      <c r="Z682" s="160"/>
      <c r="AA682" s="160"/>
      <c r="AB682" s="160"/>
      <c r="AC682" s="160"/>
      <c r="AD682" s="160"/>
      <c r="AE682" s="160"/>
      <c r="AF682" s="160"/>
      <c r="AG682" s="160"/>
      <c r="AH682" s="160"/>
      <c r="AI682" s="160"/>
      <c r="AJ682" s="160"/>
      <c r="AK682" s="160"/>
      <c r="AL682" s="160"/>
      <c r="AM682" s="160"/>
      <c r="AN682" s="164"/>
      <c r="AO682" s="160"/>
      <c r="AP682" s="160"/>
      <c r="AQ682" s="160"/>
      <c r="AR682" s="160"/>
      <c r="AS682" s="160"/>
      <c r="AT682" s="160"/>
      <c r="AU682" s="160"/>
      <c r="AV682" s="160"/>
      <c r="AW682" s="160"/>
      <c r="AX682" s="160"/>
      <c r="AY682" s="160"/>
      <c r="AZ682" s="160"/>
      <c r="BA682" s="160"/>
      <c r="BB682" s="160"/>
      <c r="BC682" s="160"/>
      <c r="BD682" s="160"/>
      <c r="BE682" s="160"/>
      <c r="BF682" s="160"/>
      <c r="BG682" s="160"/>
      <c r="BH682" s="160"/>
      <c r="BI682" s="160"/>
      <c r="BJ682" s="160"/>
      <c r="BK682" s="160"/>
      <c r="BL682" s="160"/>
      <c r="BM682" s="160"/>
      <c r="BN682" s="160"/>
      <c r="BO682" s="160"/>
      <c r="BP682" s="160"/>
      <c r="BQ682" s="160"/>
      <c r="BR682" s="160"/>
      <c r="BS682" s="160"/>
      <c r="BT682" s="160"/>
      <c r="BU682" s="160"/>
      <c r="BV682" s="160"/>
      <c r="BW682" s="160"/>
      <c r="BX682" s="160"/>
      <c r="BY682" s="160"/>
      <c r="BZ682" s="160"/>
      <c r="CA682" s="160"/>
      <c r="CB682" s="160"/>
      <c r="CC682" s="160"/>
      <c r="CD682" s="160"/>
      <c r="CE682" s="160"/>
      <c r="CF682" s="160"/>
      <c r="CG682" s="160"/>
      <c r="CH682" s="160"/>
      <c r="CI682" s="160"/>
      <c r="CJ682" s="160"/>
      <c r="CK682" s="160"/>
      <c r="CL682" s="160"/>
    </row>
    <row r="683">
      <c r="A683" s="171"/>
      <c r="F683" s="11"/>
      <c r="G683" s="11"/>
      <c r="L683" s="171"/>
      <c r="M683" s="171"/>
      <c r="O683" s="160"/>
      <c r="P683" s="160"/>
      <c r="Q683" s="160"/>
      <c r="R683" s="160"/>
      <c r="S683" s="160"/>
      <c r="T683" s="207"/>
      <c r="U683" s="160"/>
      <c r="V683" s="160"/>
      <c r="W683" s="160"/>
      <c r="X683" s="160"/>
      <c r="Y683" s="160"/>
      <c r="Z683" s="160"/>
      <c r="AA683" s="160"/>
      <c r="AB683" s="160"/>
      <c r="AC683" s="160"/>
      <c r="AD683" s="160"/>
      <c r="AE683" s="160"/>
      <c r="AF683" s="160"/>
      <c r="AG683" s="160"/>
      <c r="AH683" s="160"/>
      <c r="AI683" s="160"/>
      <c r="AJ683" s="160"/>
      <c r="AK683" s="160"/>
      <c r="AL683" s="160"/>
      <c r="AM683" s="160"/>
      <c r="AN683" s="164"/>
      <c r="AO683" s="160"/>
      <c r="AP683" s="160"/>
      <c r="AQ683" s="160"/>
      <c r="AR683" s="160"/>
      <c r="AS683" s="160"/>
      <c r="AT683" s="160"/>
      <c r="AU683" s="160"/>
      <c r="AV683" s="160"/>
      <c r="AW683" s="160"/>
      <c r="AX683" s="160"/>
      <c r="AY683" s="160"/>
      <c r="AZ683" s="160"/>
      <c r="BA683" s="160"/>
      <c r="BB683" s="160"/>
      <c r="BC683" s="160"/>
      <c r="BD683" s="160"/>
      <c r="BE683" s="160"/>
      <c r="BF683" s="160"/>
      <c r="BG683" s="160"/>
      <c r="BH683" s="160"/>
      <c r="BI683" s="160"/>
      <c r="BJ683" s="160"/>
      <c r="BK683" s="160"/>
      <c r="BL683" s="160"/>
      <c r="BM683" s="160"/>
      <c r="BN683" s="160"/>
      <c r="BO683" s="160"/>
      <c r="BP683" s="160"/>
      <c r="BQ683" s="160"/>
      <c r="BR683" s="160"/>
      <c r="BS683" s="160"/>
      <c r="BT683" s="160"/>
      <c r="BU683" s="160"/>
      <c r="BV683" s="160"/>
      <c r="BW683" s="160"/>
      <c r="BX683" s="160"/>
      <c r="BY683" s="160"/>
      <c r="BZ683" s="160"/>
      <c r="CA683" s="160"/>
      <c r="CB683" s="160"/>
      <c r="CC683" s="160"/>
      <c r="CD683" s="160"/>
      <c r="CE683" s="160"/>
      <c r="CF683" s="160"/>
      <c r="CG683" s="160"/>
      <c r="CH683" s="160"/>
      <c r="CI683" s="160"/>
      <c r="CJ683" s="160"/>
      <c r="CK683" s="160"/>
      <c r="CL683" s="160"/>
    </row>
    <row r="684">
      <c r="A684" s="171"/>
      <c r="F684" s="11"/>
      <c r="G684" s="11"/>
      <c r="L684" s="171"/>
      <c r="M684" s="171"/>
      <c r="O684" s="160"/>
      <c r="P684" s="160"/>
      <c r="Q684" s="160"/>
      <c r="R684" s="160"/>
      <c r="S684" s="160"/>
      <c r="T684" s="207"/>
      <c r="U684" s="160"/>
      <c r="V684" s="160"/>
      <c r="W684" s="160"/>
      <c r="X684" s="160"/>
      <c r="Y684" s="160"/>
      <c r="Z684" s="160"/>
      <c r="AA684" s="160"/>
      <c r="AB684" s="160"/>
      <c r="AC684" s="160"/>
      <c r="AD684" s="160"/>
      <c r="AE684" s="160"/>
      <c r="AF684" s="160"/>
      <c r="AG684" s="160"/>
      <c r="AH684" s="160"/>
      <c r="AI684" s="160"/>
      <c r="AJ684" s="160"/>
      <c r="AK684" s="160"/>
      <c r="AL684" s="160"/>
      <c r="AM684" s="160"/>
      <c r="AN684" s="164"/>
      <c r="AO684" s="160"/>
      <c r="AP684" s="160"/>
      <c r="AQ684" s="160"/>
      <c r="AR684" s="160"/>
      <c r="AS684" s="160"/>
      <c r="AT684" s="160"/>
      <c r="AU684" s="160"/>
      <c r="AV684" s="160"/>
      <c r="AW684" s="160"/>
      <c r="AX684" s="160"/>
      <c r="AY684" s="160"/>
      <c r="AZ684" s="160"/>
      <c r="BA684" s="160"/>
      <c r="BB684" s="160"/>
      <c r="BC684" s="160"/>
      <c r="BD684" s="160"/>
      <c r="BE684" s="160"/>
      <c r="BF684" s="160"/>
      <c r="BG684" s="160"/>
      <c r="BH684" s="160"/>
      <c r="BI684" s="160"/>
      <c r="BJ684" s="160"/>
      <c r="BK684" s="160"/>
      <c r="BL684" s="160"/>
      <c r="BM684" s="160"/>
      <c r="BN684" s="160"/>
      <c r="BO684" s="160"/>
      <c r="BP684" s="160"/>
      <c r="BQ684" s="160"/>
      <c r="BR684" s="160"/>
      <c r="BS684" s="160"/>
      <c r="BT684" s="160"/>
      <c r="BU684" s="160"/>
      <c r="BV684" s="160"/>
      <c r="BW684" s="160"/>
      <c r="BX684" s="160"/>
      <c r="BY684" s="160"/>
      <c r="BZ684" s="160"/>
      <c r="CA684" s="160"/>
      <c r="CB684" s="160"/>
      <c r="CC684" s="160"/>
      <c r="CD684" s="160"/>
      <c r="CE684" s="160"/>
      <c r="CF684" s="160"/>
      <c r="CG684" s="160"/>
      <c r="CH684" s="160"/>
      <c r="CI684" s="160"/>
      <c r="CJ684" s="160"/>
      <c r="CK684" s="160"/>
      <c r="CL684" s="160"/>
    </row>
    <row r="685">
      <c r="A685" s="171"/>
      <c r="F685" s="11"/>
      <c r="G685" s="11"/>
      <c r="L685" s="171"/>
      <c r="M685" s="171"/>
      <c r="O685" s="160"/>
      <c r="P685" s="160"/>
      <c r="Q685" s="160"/>
      <c r="R685" s="160"/>
      <c r="S685" s="160"/>
      <c r="T685" s="207"/>
      <c r="U685" s="160"/>
      <c r="V685" s="160"/>
      <c r="W685" s="160"/>
      <c r="X685" s="160"/>
      <c r="Y685" s="160"/>
      <c r="Z685" s="160"/>
      <c r="AA685" s="160"/>
      <c r="AB685" s="160"/>
      <c r="AC685" s="160"/>
      <c r="AD685" s="160"/>
      <c r="AE685" s="160"/>
      <c r="AF685" s="160"/>
      <c r="AG685" s="160"/>
      <c r="AH685" s="160"/>
      <c r="AI685" s="160"/>
      <c r="AJ685" s="160"/>
      <c r="AK685" s="160"/>
      <c r="AL685" s="160"/>
      <c r="AM685" s="160"/>
      <c r="AN685" s="164"/>
      <c r="AO685" s="160"/>
      <c r="AP685" s="160"/>
      <c r="AQ685" s="160"/>
      <c r="AR685" s="160"/>
      <c r="AS685" s="160"/>
      <c r="AT685" s="160"/>
      <c r="AU685" s="160"/>
      <c r="AV685" s="160"/>
      <c r="AW685" s="160"/>
      <c r="AX685" s="160"/>
      <c r="AY685" s="160"/>
      <c r="AZ685" s="160"/>
      <c r="BA685" s="160"/>
      <c r="BB685" s="160"/>
      <c r="BC685" s="160"/>
      <c r="BD685" s="160"/>
      <c r="BE685" s="160"/>
      <c r="BF685" s="160"/>
      <c r="BG685" s="160"/>
      <c r="BH685" s="160"/>
      <c r="BI685" s="160"/>
      <c r="BJ685" s="160"/>
      <c r="BK685" s="160"/>
      <c r="BL685" s="160"/>
      <c r="BM685" s="160"/>
      <c r="BN685" s="160"/>
      <c r="BO685" s="160"/>
      <c r="BP685" s="160"/>
      <c r="BQ685" s="160"/>
      <c r="BR685" s="160"/>
      <c r="BS685" s="160"/>
      <c r="BT685" s="160"/>
      <c r="BU685" s="160"/>
      <c r="BV685" s="160"/>
      <c r="BW685" s="160"/>
      <c r="BX685" s="160"/>
      <c r="BY685" s="160"/>
      <c r="BZ685" s="160"/>
      <c r="CA685" s="160"/>
      <c r="CB685" s="160"/>
      <c r="CC685" s="160"/>
      <c r="CD685" s="160"/>
      <c r="CE685" s="160"/>
      <c r="CF685" s="160"/>
      <c r="CG685" s="160"/>
      <c r="CH685" s="160"/>
      <c r="CI685" s="160"/>
      <c r="CJ685" s="160"/>
      <c r="CK685" s="160"/>
      <c r="CL685" s="160"/>
    </row>
    <row r="686">
      <c r="A686" s="171"/>
      <c r="F686" s="11"/>
      <c r="G686" s="11"/>
      <c r="L686" s="171"/>
      <c r="M686" s="171"/>
      <c r="O686" s="160"/>
      <c r="P686" s="160"/>
      <c r="Q686" s="160"/>
      <c r="R686" s="160"/>
      <c r="S686" s="160"/>
      <c r="T686" s="207"/>
      <c r="U686" s="160"/>
      <c r="V686" s="160"/>
      <c r="W686" s="160"/>
      <c r="X686" s="160"/>
      <c r="Y686" s="160"/>
      <c r="Z686" s="160"/>
      <c r="AA686" s="160"/>
      <c r="AB686" s="160"/>
      <c r="AC686" s="160"/>
      <c r="AD686" s="160"/>
      <c r="AE686" s="160"/>
      <c r="AF686" s="160"/>
      <c r="AG686" s="160"/>
      <c r="AH686" s="160"/>
      <c r="AI686" s="160"/>
      <c r="AJ686" s="160"/>
      <c r="AK686" s="160"/>
      <c r="AL686" s="160"/>
      <c r="AM686" s="160"/>
      <c r="AN686" s="164"/>
      <c r="AO686" s="160"/>
      <c r="AP686" s="160"/>
      <c r="AQ686" s="160"/>
      <c r="AR686" s="160"/>
      <c r="AS686" s="160"/>
      <c r="AT686" s="160"/>
      <c r="AU686" s="160"/>
      <c r="AV686" s="160"/>
      <c r="AW686" s="160"/>
      <c r="AX686" s="160"/>
      <c r="AY686" s="160"/>
      <c r="AZ686" s="160"/>
      <c r="BA686" s="160"/>
      <c r="BB686" s="160"/>
      <c r="BC686" s="160"/>
      <c r="BD686" s="160"/>
      <c r="BE686" s="160"/>
      <c r="BF686" s="160"/>
      <c r="BG686" s="160"/>
      <c r="BH686" s="160"/>
      <c r="BI686" s="160"/>
      <c r="BJ686" s="160"/>
      <c r="BK686" s="160"/>
      <c r="BL686" s="160"/>
      <c r="BM686" s="160"/>
      <c r="BN686" s="160"/>
      <c r="BO686" s="160"/>
      <c r="BP686" s="160"/>
      <c r="BQ686" s="160"/>
      <c r="BR686" s="160"/>
      <c r="BS686" s="160"/>
      <c r="BT686" s="160"/>
      <c r="BU686" s="160"/>
      <c r="BV686" s="160"/>
      <c r="BW686" s="160"/>
      <c r="BX686" s="160"/>
      <c r="BY686" s="160"/>
      <c r="BZ686" s="160"/>
      <c r="CA686" s="160"/>
      <c r="CB686" s="160"/>
      <c r="CC686" s="160"/>
      <c r="CD686" s="160"/>
      <c r="CE686" s="160"/>
      <c r="CF686" s="160"/>
      <c r="CG686" s="160"/>
      <c r="CH686" s="160"/>
      <c r="CI686" s="160"/>
      <c r="CJ686" s="160"/>
      <c r="CK686" s="160"/>
      <c r="CL686" s="160"/>
    </row>
    <row r="687">
      <c r="A687" s="171"/>
      <c r="F687" s="11"/>
      <c r="G687" s="11"/>
      <c r="L687" s="171"/>
      <c r="M687" s="171"/>
      <c r="O687" s="160"/>
      <c r="P687" s="160"/>
      <c r="Q687" s="160"/>
      <c r="R687" s="160"/>
      <c r="S687" s="160"/>
      <c r="T687" s="207"/>
      <c r="U687" s="160"/>
      <c r="V687" s="160"/>
      <c r="W687" s="160"/>
      <c r="X687" s="160"/>
      <c r="Y687" s="160"/>
      <c r="Z687" s="160"/>
      <c r="AA687" s="160"/>
      <c r="AB687" s="160"/>
      <c r="AC687" s="160"/>
      <c r="AD687" s="160"/>
      <c r="AE687" s="160"/>
      <c r="AF687" s="160"/>
      <c r="AG687" s="160"/>
      <c r="AH687" s="160"/>
      <c r="AI687" s="160"/>
      <c r="AJ687" s="160"/>
      <c r="AK687" s="160"/>
      <c r="AL687" s="160"/>
      <c r="AM687" s="160"/>
      <c r="AN687" s="164"/>
      <c r="AO687" s="160"/>
      <c r="AP687" s="160"/>
      <c r="AQ687" s="160"/>
      <c r="AR687" s="160"/>
      <c r="AS687" s="160"/>
      <c r="AT687" s="160"/>
      <c r="AU687" s="160"/>
      <c r="AV687" s="160"/>
      <c r="AW687" s="160"/>
      <c r="AX687" s="160"/>
      <c r="AY687" s="160"/>
      <c r="AZ687" s="160"/>
      <c r="BA687" s="160"/>
      <c r="BB687" s="160"/>
      <c r="BC687" s="160"/>
      <c r="BD687" s="160"/>
      <c r="BE687" s="160"/>
      <c r="BF687" s="160"/>
      <c r="BG687" s="160"/>
      <c r="BH687" s="160"/>
      <c r="BI687" s="160"/>
      <c r="BJ687" s="160"/>
      <c r="BK687" s="160"/>
      <c r="BL687" s="160"/>
      <c r="BM687" s="160"/>
      <c r="BN687" s="160"/>
      <c r="BO687" s="160"/>
      <c r="BP687" s="160"/>
      <c r="BQ687" s="160"/>
      <c r="BR687" s="160"/>
      <c r="BS687" s="160"/>
      <c r="BT687" s="160"/>
      <c r="BU687" s="160"/>
      <c r="BV687" s="160"/>
      <c r="BW687" s="160"/>
      <c r="BX687" s="160"/>
      <c r="BY687" s="160"/>
      <c r="BZ687" s="160"/>
      <c r="CA687" s="160"/>
      <c r="CB687" s="160"/>
      <c r="CC687" s="160"/>
      <c r="CD687" s="160"/>
      <c r="CE687" s="160"/>
      <c r="CF687" s="160"/>
      <c r="CG687" s="160"/>
      <c r="CH687" s="160"/>
      <c r="CI687" s="160"/>
      <c r="CJ687" s="160"/>
      <c r="CK687" s="160"/>
      <c r="CL687" s="160"/>
    </row>
    <row r="688">
      <c r="A688" s="171"/>
      <c r="F688" s="11"/>
      <c r="G688" s="11"/>
      <c r="L688" s="171"/>
      <c r="M688" s="171"/>
      <c r="O688" s="160"/>
      <c r="P688" s="160"/>
      <c r="Q688" s="160"/>
      <c r="R688" s="160"/>
      <c r="S688" s="160"/>
      <c r="T688" s="207"/>
      <c r="U688" s="160"/>
      <c r="V688" s="160"/>
      <c r="W688" s="160"/>
      <c r="X688" s="160"/>
      <c r="Y688" s="160"/>
      <c r="Z688" s="160"/>
      <c r="AA688" s="160"/>
      <c r="AB688" s="160"/>
      <c r="AC688" s="160"/>
      <c r="AD688" s="160"/>
      <c r="AE688" s="160"/>
      <c r="AF688" s="160"/>
      <c r="AG688" s="160"/>
      <c r="AH688" s="160"/>
      <c r="AI688" s="160"/>
      <c r="AJ688" s="160"/>
      <c r="AK688" s="160"/>
      <c r="AL688" s="160"/>
      <c r="AM688" s="160"/>
      <c r="AN688" s="164"/>
      <c r="AO688" s="160"/>
      <c r="AP688" s="160"/>
      <c r="AQ688" s="160"/>
      <c r="AR688" s="160"/>
      <c r="AS688" s="160"/>
      <c r="AT688" s="160"/>
      <c r="AU688" s="160"/>
      <c r="AV688" s="160"/>
      <c r="AW688" s="160"/>
      <c r="AX688" s="160"/>
      <c r="AY688" s="160"/>
      <c r="AZ688" s="160"/>
      <c r="BA688" s="160"/>
      <c r="BB688" s="160"/>
      <c r="BC688" s="160"/>
      <c r="BD688" s="160"/>
      <c r="BE688" s="160"/>
      <c r="BF688" s="160"/>
      <c r="BG688" s="160"/>
      <c r="BH688" s="160"/>
      <c r="BI688" s="160"/>
      <c r="BJ688" s="160"/>
      <c r="BK688" s="160"/>
      <c r="BL688" s="160"/>
      <c r="BM688" s="160"/>
      <c r="BN688" s="160"/>
      <c r="BO688" s="160"/>
      <c r="BP688" s="160"/>
      <c r="BQ688" s="160"/>
      <c r="BR688" s="160"/>
      <c r="BS688" s="160"/>
      <c r="BT688" s="160"/>
      <c r="BU688" s="160"/>
      <c r="BV688" s="160"/>
      <c r="BW688" s="160"/>
      <c r="BX688" s="160"/>
      <c r="BY688" s="160"/>
      <c r="BZ688" s="160"/>
      <c r="CA688" s="160"/>
      <c r="CB688" s="160"/>
      <c r="CC688" s="160"/>
      <c r="CD688" s="160"/>
      <c r="CE688" s="160"/>
      <c r="CF688" s="160"/>
      <c r="CG688" s="160"/>
      <c r="CH688" s="160"/>
      <c r="CI688" s="160"/>
      <c r="CJ688" s="160"/>
      <c r="CK688" s="160"/>
      <c r="CL688" s="160"/>
    </row>
    <row r="689">
      <c r="A689" s="171"/>
      <c r="F689" s="11"/>
      <c r="G689" s="11"/>
      <c r="L689" s="171"/>
      <c r="M689" s="171"/>
      <c r="O689" s="160"/>
      <c r="P689" s="160"/>
      <c r="Q689" s="160"/>
      <c r="R689" s="160"/>
      <c r="S689" s="160"/>
      <c r="T689" s="207"/>
      <c r="U689" s="160"/>
      <c r="V689" s="160"/>
      <c r="W689" s="160"/>
      <c r="X689" s="160"/>
      <c r="Y689" s="160"/>
      <c r="Z689" s="160"/>
      <c r="AA689" s="160"/>
      <c r="AB689" s="160"/>
      <c r="AC689" s="160"/>
      <c r="AD689" s="160"/>
      <c r="AE689" s="160"/>
      <c r="AF689" s="160"/>
      <c r="AG689" s="160"/>
      <c r="AH689" s="160"/>
      <c r="AI689" s="160"/>
      <c r="AJ689" s="160"/>
      <c r="AK689" s="160"/>
      <c r="AL689" s="160"/>
      <c r="AM689" s="160"/>
      <c r="AN689" s="164"/>
      <c r="AO689" s="160"/>
      <c r="AP689" s="160"/>
      <c r="AQ689" s="160"/>
      <c r="AR689" s="160"/>
      <c r="AS689" s="160"/>
      <c r="AT689" s="160"/>
      <c r="AU689" s="160"/>
      <c r="AV689" s="160"/>
      <c r="AW689" s="160"/>
      <c r="AX689" s="160"/>
      <c r="AY689" s="160"/>
      <c r="AZ689" s="160"/>
      <c r="BA689" s="160"/>
      <c r="BB689" s="160"/>
      <c r="BC689" s="160"/>
      <c r="BD689" s="160"/>
      <c r="BE689" s="160"/>
      <c r="BF689" s="160"/>
      <c r="BG689" s="160"/>
      <c r="BH689" s="160"/>
      <c r="BI689" s="160"/>
      <c r="BJ689" s="160"/>
      <c r="BK689" s="160"/>
      <c r="BL689" s="160"/>
      <c r="BM689" s="160"/>
      <c r="BN689" s="160"/>
      <c r="BO689" s="160"/>
      <c r="BP689" s="160"/>
      <c r="BQ689" s="160"/>
      <c r="BR689" s="160"/>
      <c r="BS689" s="160"/>
      <c r="BT689" s="160"/>
      <c r="BU689" s="160"/>
      <c r="BV689" s="160"/>
      <c r="BW689" s="160"/>
      <c r="BX689" s="160"/>
      <c r="BY689" s="160"/>
      <c r="BZ689" s="160"/>
      <c r="CA689" s="160"/>
      <c r="CB689" s="160"/>
      <c r="CC689" s="160"/>
      <c r="CD689" s="160"/>
      <c r="CE689" s="160"/>
      <c r="CF689" s="160"/>
      <c r="CG689" s="160"/>
      <c r="CH689" s="160"/>
      <c r="CI689" s="160"/>
      <c r="CJ689" s="160"/>
      <c r="CK689" s="160"/>
      <c r="CL689" s="160"/>
    </row>
    <row r="690">
      <c r="A690" s="171"/>
      <c r="F690" s="11"/>
      <c r="G690" s="11"/>
      <c r="L690" s="171"/>
      <c r="M690" s="171"/>
      <c r="O690" s="160"/>
      <c r="P690" s="160"/>
      <c r="Q690" s="160"/>
      <c r="R690" s="160"/>
      <c r="S690" s="160"/>
      <c r="T690" s="207"/>
      <c r="U690" s="160"/>
      <c r="V690" s="160"/>
      <c r="W690" s="160"/>
      <c r="X690" s="160"/>
      <c r="Y690" s="160"/>
      <c r="Z690" s="160"/>
      <c r="AA690" s="160"/>
      <c r="AB690" s="160"/>
      <c r="AC690" s="160"/>
      <c r="AD690" s="160"/>
      <c r="AE690" s="160"/>
      <c r="AF690" s="160"/>
      <c r="AG690" s="160"/>
      <c r="AH690" s="160"/>
      <c r="AI690" s="160"/>
      <c r="AJ690" s="160"/>
      <c r="AK690" s="160"/>
      <c r="AL690" s="160"/>
      <c r="AM690" s="160"/>
      <c r="AN690" s="164"/>
      <c r="AO690" s="160"/>
      <c r="AP690" s="160"/>
      <c r="AQ690" s="160"/>
      <c r="AR690" s="160"/>
      <c r="AS690" s="160"/>
      <c r="AT690" s="160"/>
      <c r="AU690" s="160"/>
      <c r="AV690" s="160"/>
      <c r="AW690" s="160"/>
      <c r="AX690" s="160"/>
      <c r="AY690" s="160"/>
      <c r="AZ690" s="160"/>
      <c r="BA690" s="160"/>
      <c r="BB690" s="160"/>
      <c r="BC690" s="160"/>
      <c r="BD690" s="160"/>
      <c r="BE690" s="160"/>
      <c r="BF690" s="160"/>
      <c r="BG690" s="160"/>
      <c r="BH690" s="160"/>
      <c r="BI690" s="160"/>
      <c r="BJ690" s="160"/>
      <c r="BK690" s="160"/>
      <c r="BL690" s="160"/>
      <c r="BM690" s="160"/>
      <c r="BN690" s="160"/>
      <c r="BO690" s="160"/>
      <c r="BP690" s="160"/>
      <c r="BQ690" s="160"/>
      <c r="BR690" s="160"/>
      <c r="BS690" s="160"/>
      <c r="BT690" s="160"/>
      <c r="BU690" s="160"/>
      <c r="BV690" s="160"/>
      <c r="BW690" s="160"/>
      <c r="BX690" s="160"/>
      <c r="BY690" s="160"/>
      <c r="BZ690" s="160"/>
      <c r="CA690" s="160"/>
      <c r="CB690" s="160"/>
      <c r="CC690" s="160"/>
      <c r="CD690" s="160"/>
      <c r="CE690" s="160"/>
      <c r="CF690" s="160"/>
      <c r="CG690" s="160"/>
      <c r="CH690" s="160"/>
      <c r="CI690" s="160"/>
      <c r="CJ690" s="160"/>
      <c r="CK690" s="160"/>
      <c r="CL690" s="160"/>
    </row>
    <row r="691">
      <c r="A691" s="171"/>
      <c r="F691" s="11"/>
      <c r="G691" s="11"/>
      <c r="L691" s="171"/>
      <c r="M691" s="171"/>
      <c r="O691" s="160"/>
      <c r="P691" s="160"/>
      <c r="Q691" s="160"/>
      <c r="R691" s="160"/>
      <c r="S691" s="160"/>
      <c r="T691" s="207"/>
      <c r="U691" s="160"/>
      <c r="V691" s="160"/>
      <c r="W691" s="160"/>
      <c r="X691" s="160"/>
      <c r="Y691" s="160"/>
      <c r="Z691" s="160"/>
      <c r="AA691" s="160"/>
      <c r="AB691" s="160"/>
      <c r="AC691" s="160"/>
      <c r="AD691" s="160"/>
      <c r="AE691" s="160"/>
      <c r="AF691" s="160"/>
      <c r="AG691" s="160"/>
      <c r="AH691" s="160"/>
      <c r="AI691" s="160"/>
      <c r="AJ691" s="160"/>
      <c r="AK691" s="160"/>
      <c r="AL691" s="160"/>
      <c r="AM691" s="160"/>
      <c r="AN691" s="164"/>
      <c r="AO691" s="160"/>
      <c r="AP691" s="160"/>
      <c r="AQ691" s="160"/>
      <c r="AR691" s="160"/>
      <c r="AS691" s="160"/>
      <c r="AT691" s="160"/>
      <c r="AU691" s="160"/>
      <c r="AV691" s="160"/>
      <c r="AW691" s="160"/>
      <c r="AX691" s="160"/>
      <c r="AY691" s="160"/>
      <c r="AZ691" s="160"/>
      <c r="BA691" s="160"/>
      <c r="BB691" s="160"/>
      <c r="BC691" s="160"/>
      <c r="BD691" s="160"/>
      <c r="BE691" s="160"/>
      <c r="BF691" s="160"/>
      <c r="BG691" s="160"/>
      <c r="BH691" s="160"/>
      <c r="BI691" s="160"/>
      <c r="BJ691" s="160"/>
      <c r="BK691" s="160"/>
      <c r="BL691" s="160"/>
      <c r="BM691" s="160"/>
      <c r="BN691" s="160"/>
      <c r="BO691" s="160"/>
      <c r="BP691" s="160"/>
      <c r="BQ691" s="160"/>
      <c r="BR691" s="160"/>
      <c r="BS691" s="160"/>
      <c r="BT691" s="160"/>
      <c r="BU691" s="160"/>
      <c r="BV691" s="160"/>
      <c r="BW691" s="160"/>
      <c r="BX691" s="160"/>
      <c r="BY691" s="160"/>
      <c r="BZ691" s="160"/>
      <c r="CA691" s="160"/>
      <c r="CB691" s="160"/>
      <c r="CC691" s="160"/>
      <c r="CD691" s="160"/>
      <c r="CE691" s="160"/>
      <c r="CF691" s="160"/>
      <c r="CG691" s="160"/>
      <c r="CH691" s="160"/>
      <c r="CI691" s="160"/>
      <c r="CJ691" s="160"/>
      <c r="CK691" s="160"/>
      <c r="CL691" s="160"/>
    </row>
    <row r="692">
      <c r="A692" s="171"/>
      <c r="F692" s="11"/>
      <c r="G692" s="11"/>
      <c r="L692" s="171"/>
      <c r="M692" s="171"/>
      <c r="O692" s="160"/>
      <c r="P692" s="160"/>
      <c r="Q692" s="160"/>
      <c r="R692" s="160"/>
      <c r="S692" s="160"/>
      <c r="T692" s="207"/>
      <c r="U692" s="160"/>
      <c r="V692" s="160"/>
      <c r="W692" s="160"/>
      <c r="X692" s="160"/>
      <c r="Y692" s="160"/>
      <c r="Z692" s="160"/>
      <c r="AA692" s="160"/>
      <c r="AB692" s="160"/>
      <c r="AC692" s="160"/>
      <c r="AD692" s="160"/>
      <c r="AE692" s="160"/>
      <c r="AF692" s="160"/>
      <c r="AG692" s="160"/>
      <c r="AH692" s="160"/>
      <c r="AI692" s="160"/>
      <c r="AJ692" s="160"/>
      <c r="AK692" s="160"/>
      <c r="AL692" s="160"/>
      <c r="AM692" s="160"/>
      <c r="AN692" s="164"/>
      <c r="AO692" s="160"/>
      <c r="AP692" s="160"/>
      <c r="AQ692" s="160"/>
      <c r="AR692" s="160"/>
      <c r="AS692" s="160"/>
      <c r="AT692" s="160"/>
      <c r="AU692" s="160"/>
      <c r="AV692" s="160"/>
      <c r="AW692" s="160"/>
      <c r="AX692" s="160"/>
      <c r="AY692" s="160"/>
      <c r="AZ692" s="160"/>
      <c r="BA692" s="160"/>
      <c r="BB692" s="160"/>
      <c r="BC692" s="160"/>
      <c r="BD692" s="160"/>
      <c r="BE692" s="160"/>
      <c r="BF692" s="160"/>
      <c r="BG692" s="160"/>
      <c r="BH692" s="160"/>
      <c r="BI692" s="160"/>
      <c r="BJ692" s="160"/>
      <c r="BK692" s="160"/>
      <c r="BL692" s="160"/>
      <c r="BM692" s="160"/>
      <c r="BN692" s="160"/>
      <c r="BO692" s="160"/>
      <c r="BP692" s="160"/>
      <c r="BQ692" s="160"/>
      <c r="BR692" s="160"/>
      <c r="BS692" s="160"/>
      <c r="BT692" s="160"/>
      <c r="BU692" s="160"/>
      <c r="BV692" s="160"/>
      <c r="BW692" s="160"/>
      <c r="BX692" s="160"/>
      <c r="BY692" s="160"/>
      <c r="BZ692" s="160"/>
      <c r="CA692" s="160"/>
      <c r="CB692" s="160"/>
      <c r="CC692" s="160"/>
      <c r="CD692" s="160"/>
      <c r="CE692" s="160"/>
      <c r="CF692" s="160"/>
      <c r="CG692" s="160"/>
      <c r="CH692" s="160"/>
      <c r="CI692" s="160"/>
      <c r="CJ692" s="160"/>
      <c r="CK692" s="160"/>
      <c r="CL692" s="160"/>
    </row>
    <row r="693">
      <c r="A693" s="171"/>
      <c r="F693" s="11"/>
      <c r="G693" s="11"/>
      <c r="L693" s="171"/>
      <c r="M693" s="171"/>
      <c r="O693" s="160"/>
      <c r="P693" s="160"/>
      <c r="Q693" s="160"/>
      <c r="R693" s="160"/>
      <c r="S693" s="160"/>
      <c r="T693" s="207"/>
      <c r="U693" s="160"/>
      <c r="V693" s="160"/>
      <c r="W693" s="160"/>
      <c r="X693" s="160"/>
      <c r="Y693" s="160"/>
      <c r="Z693" s="160"/>
      <c r="AA693" s="160"/>
      <c r="AB693" s="160"/>
      <c r="AC693" s="160"/>
      <c r="AD693" s="160"/>
      <c r="AE693" s="160"/>
      <c r="AF693" s="160"/>
      <c r="AG693" s="160"/>
      <c r="AH693" s="160"/>
      <c r="AI693" s="160"/>
      <c r="AJ693" s="160"/>
      <c r="AK693" s="160"/>
      <c r="AL693" s="160"/>
      <c r="AM693" s="160"/>
      <c r="AN693" s="164"/>
      <c r="AO693" s="160"/>
      <c r="AP693" s="160"/>
      <c r="AQ693" s="160"/>
      <c r="AR693" s="160"/>
      <c r="AS693" s="160"/>
      <c r="AT693" s="160"/>
      <c r="AU693" s="160"/>
      <c r="AV693" s="160"/>
      <c r="AW693" s="160"/>
      <c r="AX693" s="160"/>
      <c r="AY693" s="160"/>
      <c r="AZ693" s="160"/>
      <c r="BA693" s="160"/>
      <c r="BB693" s="160"/>
      <c r="BC693" s="160"/>
      <c r="BD693" s="160"/>
      <c r="BE693" s="160"/>
      <c r="BF693" s="160"/>
      <c r="BG693" s="160"/>
      <c r="BH693" s="160"/>
      <c r="BI693" s="160"/>
      <c r="BJ693" s="160"/>
      <c r="BK693" s="160"/>
      <c r="BL693" s="160"/>
      <c r="BM693" s="160"/>
      <c r="BN693" s="160"/>
      <c r="BO693" s="160"/>
      <c r="BP693" s="160"/>
      <c r="BQ693" s="160"/>
      <c r="BR693" s="160"/>
      <c r="BS693" s="160"/>
      <c r="BT693" s="160"/>
      <c r="BU693" s="160"/>
      <c r="BV693" s="160"/>
      <c r="BW693" s="160"/>
      <c r="BX693" s="160"/>
      <c r="BY693" s="160"/>
      <c r="BZ693" s="160"/>
      <c r="CA693" s="160"/>
      <c r="CB693" s="160"/>
      <c r="CC693" s="160"/>
      <c r="CD693" s="160"/>
      <c r="CE693" s="160"/>
      <c r="CF693" s="160"/>
      <c r="CG693" s="160"/>
      <c r="CH693" s="160"/>
      <c r="CI693" s="160"/>
      <c r="CJ693" s="160"/>
      <c r="CK693" s="160"/>
      <c r="CL693" s="160"/>
    </row>
    <row r="694">
      <c r="A694" s="171"/>
      <c r="F694" s="11"/>
      <c r="G694" s="11"/>
      <c r="L694" s="171"/>
      <c r="M694" s="171"/>
      <c r="O694" s="160"/>
      <c r="P694" s="160"/>
      <c r="Q694" s="160"/>
      <c r="R694" s="160"/>
      <c r="S694" s="160"/>
      <c r="T694" s="207"/>
      <c r="U694" s="160"/>
      <c r="V694" s="160"/>
      <c r="W694" s="160"/>
      <c r="X694" s="160"/>
      <c r="Y694" s="160"/>
      <c r="Z694" s="160"/>
      <c r="AA694" s="160"/>
      <c r="AB694" s="160"/>
      <c r="AC694" s="160"/>
      <c r="AD694" s="160"/>
      <c r="AE694" s="160"/>
      <c r="AF694" s="160"/>
      <c r="AG694" s="160"/>
      <c r="AH694" s="160"/>
      <c r="AI694" s="160"/>
      <c r="AJ694" s="160"/>
      <c r="AK694" s="160"/>
      <c r="AL694" s="160"/>
      <c r="AM694" s="160"/>
      <c r="AN694" s="164"/>
      <c r="AO694" s="160"/>
      <c r="AP694" s="160"/>
      <c r="AQ694" s="160"/>
      <c r="AR694" s="160"/>
      <c r="AS694" s="160"/>
      <c r="AT694" s="160"/>
      <c r="AU694" s="160"/>
      <c r="AV694" s="160"/>
      <c r="AW694" s="160"/>
      <c r="AX694" s="160"/>
      <c r="AY694" s="160"/>
      <c r="AZ694" s="160"/>
      <c r="BA694" s="160"/>
      <c r="BB694" s="160"/>
      <c r="BC694" s="160"/>
      <c r="BD694" s="160"/>
      <c r="BE694" s="160"/>
      <c r="BF694" s="160"/>
      <c r="BG694" s="160"/>
      <c r="BH694" s="160"/>
      <c r="BI694" s="160"/>
      <c r="BJ694" s="160"/>
      <c r="BK694" s="160"/>
      <c r="BL694" s="160"/>
      <c r="BM694" s="160"/>
      <c r="BN694" s="160"/>
      <c r="BO694" s="160"/>
      <c r="BP694" s="160"/>
      <c r="BQ694" s="160"/>
      <c r="BR694" s="160"/>
      <c r="BS694" s="160"/>
      <c r="BT694" s="160"/>
      <c r="BU694" s="160"/>
      <c r="BV694" s="160"/>
      <c r="BW694" s="160"/>
      <c r="BX694" s="160"/>
      <c r="BY694" s="160"/>
      <c r="BZ694" s="160"/>
      <c r="CA694" s="160"/>
      <c r="CB694" s="160"/>
      <c r="CC694" s="160"/>
      <c r="CD694" s="160"/>
      <c r="CE694" s="160"/>
      <c r="CF694" s="160"/>
      <c r="CG694" s="160"/>
      <c r="CH694" s="160"/>
      <c r="CI694" s="160"/>
      <c r="CJ694" s="160"/>
      <c r="CK694" s="160"/>
      <c r="CL694" s="160"/>
    </row>
    <row r="695">
      <c r="A695" s="171"/>
      <c r="F695" s="11"/>
      <c r="G695" s="11"/>
      <c r="L695" s="171"/>
      <c r="M695" s="171"/>
      <c r="O695" s="160"/>
      <c r="P695" s="160"/>
      <c r="Q695" s="160"/>
      <c r="R695" s="160"/>
      <c r="S695" s="160"/>
      <c r="T695" s="207"/>
      <c r="U695" s="160"/>
      <c r="V695" s="160"/>
      <c r="W695" s="160"/>
      <c r="X695" s="160"/>
      <c r="Y695" s="160"/>
      <c r="Z695" s="160"/>
      <c r="AA695" s="160"/>
      <c r="AB695" s="160"/>
      <c r="AC695" s="160"/>
      <c r="AD695" s="160"/>
      <c r="AE695" s="160"/>
      <c r="AF695" s="160"/>
      <c r="AG695" s="160"/>
      <c r="AH695" s="160"/>
      <c r="AI695" s="160"/>
      <c r="AJ695" s="160"/>
      <c r="AK695" s="160"/>
      <c r="AL695" s="160"/>
      <c r="AM695" s="160"/>
      <c r="AN695" s="164"/>
      <c r="AO695" s="160"/>
      <c r="AP695" s="160"/>
      <c r="AQ695" s="160"/>
      <c r="AR695" s="160"/>
      <c r="AS695" s="160"/>
      <c r="AT695" s="160"/>
      <c r="AU695" s="160"/>
      <c r="AV695" s="160"/>
      <c r="AW695" s="160"/>
      <c r="AX695" s="160"/>
      <c r="AY695" s="160"/>
      <c r="AZ695" s="160"/>
      <c r="BA695" s="160"/>
      <c r="BB695" s="160"/>
      <c r="BC695" s="160"/>
      <c r="BD695" s="160"/>
      <c r="BE695" s="160"/>
      <c r="BF695" s="160"/>
      <c r="BG695" s="160"/>
      <c r="BH695" s="160"/>
      <c r="BI695" s="160"/>
      <c r="BJ695" s="160"/>
      <c r="BK695" s="160"/>
      <c r="BL695" s="160"/>
      <c r="BM695" s="160"/>
      <c r="BN695" s="160"/>
      <c r="BO695" s="160"/>
      <c r="BP695" s="160"/>
      <c r="BQ695" s="160"/>
      <c r="BR695" s="160"/>
      <c r="BS695" s="160"/>
      <c r="BT695" s="160"/>
      <c r="BU695" s="160"/>
      <c r="BV695" s="160"/>
      <c r="BW695" s="160"/>
      <c r="BX695" s="160"/>
      <c r="BY695" s="160"/>
      <c r="BZ695" s="160"/>
      <c r="CA695" s="160"/>
      <c r="CB695" s="160"/>
      <c r="CC695" s="160"/>
      <c r="CD695" s="160"/>
      <c r="CE695" s="160"/>
      <c r="CF695" s="160"/>
      <c r="CG695" s="160"/>
      <c r="CH695" s="160"/>
      <c r="CI695" s="160"/>
      <c r="CJ695" s="160"/>
      <c r="CK695" s="160"/>
      <c r="CL695" s="160"/>
    </row>
    <row r="696">
      <c r="A696" s="171"/>
      <c r="F696" s="11"/>
      <c r="G696" s="11"/>
      <c r="L696" s="171"/>
      <c r="M696" s="171"/>
      <c r="O696" s="160"/>
      <c r="P696" s="160"/>
      <c r="Q696" s="160"/>
      <c r="R696" s="160"/>
      <c r="S696" s="160"/>
      <c r="T696" s="207"/>
      <c r="U696" s="160"/>
      <c r="V696" s="160"/>
      <c r="W696" s="160"/>
      <c r="X696" s="160"/>
      <c r="Y696" s="160"/>
      <c r="Z696" s="160"/>
      <c r="AA696" s="160"/>
      <c r="AB696" s="160"/>
      <c r="AC696" s="160"/>
      <c r="AD696" s="160"/>
      <c r="AE696" s="160"/>
      <c r="AF696" s="160"/>
      <c r="AG696" s="160"/>
      <c r="AH696" s="160"/>
      <c r="AI696" s="160"/>
      <c r="AJ696" s="160"/>
      <c r="AK696" s="160"/>
      <c r="AL696" s="160"/>
      <c r="AM696" s="160"/>
      <c r="AN696" s="164"/>
      <c r="AO696" s="160"/>
      <c r="AP696" s="160"/>
      <c r="AQ696" s="160"/>
      <c r="AR696" s="160"/>
      <c r="AS696" s="160"/>
      <c r="AT696" s="160"/>
      <c r="AU696" s="160"/>
      <c r="AV696" s="160"/>
      <c r="AW696" s="160"/>
      <c r="AX696" s="160"/>
      <c r="AY696" s="160"/>
      <c r="AZ696" s="160"/>
      <c r="BA696" s="160"/>
      <c r="BB696" s="160"/>
      <c r="BC696" s="160"/>
      <c r="BD696" s="160"/>
      <c r="BE696" s="160"/>
      <c r="BF696" s="160"/>
      <c r="BG696" s="160"/>
      <c r="BH696" s="160"/>
      <c r="BI696" s="160"/>
      <c r="BJ696" s="160"/>
      <c r="BK696" s="160"/>
      <c r="BL696" s="160"/>
      <c r="BM696" s="160"/>
      <c r="BN696" s="160"/>
      <c r="BO696" s="160"/>
      <c r="BP696" s="160"/>
      <c r="BQ696" s="160"/>
      <c r="BR696" s="160"/>
      <c r="BS696" s="160"/>
      <c r="BT696" s="160"/>
      <c r="BU696" s="160"/>
      <c r="BV696" s="160"/>
      <c r="BW696" s="160"/>
      <c r="BX696" s="160"/>
      <c r="BY696" s="160"/>
      <c r="BZ696" s="160"/>
      <c r="CA696" s="160"/>
      <c r="CB696" s="160"/>
      <c r="CC696" s="160"/>
      <c r="CD696" s="160"/>
      <c r="CE696" s="160"/>
      <c r="CF696" s="160"/>
      <c r="CG696" s="160"/>
      <c r="CH696" s="160"/>
      <c r="CI696" s="160"/>
      <c r="CJ696" s="160"/>
      <c r="CK696" s="160"/>
      <c r="CL696" s="160"/>
    </row>
    <row r="697">
      <c r="A697" s="171"/>
      <c r="F697" s="11"/>
      <c r="G697" s="11"/>
      <c r="L697" s="171"/>
      <c r="M697" s="171"/>
      <c r="O697" s="160"/>
      <c r="P697" s="160"/>
      <c r="Q697" s="160"/>
      <c r="R697" s="160"/>
      <c r="S697" s="160"/>
      <c r="T697" s="207"/>
      <c r="U697" s="160"/>
      <c r="V697" s="160"/>
      <c r="W697" s="160"/>
      <c r="X697" s="160"/>
      <c r="Y697" s="160"/>
      <c r="Z697" s="160"/>
      <c r="AA697" s="160"/>
      <c r="AB697" s="160"/>
      <c r="AC697" s="160"/>
      <c r="AD697" s="160"/>
      <c r="AE697" s="160"/>
      <c r="AF697" s="160"/>
      <c r="AG697" s="160"/>
      <c r="AH697" s="160"/>
      <c r="AI697" s="160"/>
      <c r="AJ697" s="160"/>
      <c r="AK697" s="160"/>
      <c r="AL697" s="160"/>
      <c r="AM697" s="160"/>
      <c r="AN697" s="164"/>
      <c r="AO697" s="160"/>
      <c r="AP697" s="160"/>
      <c r="AQ697" s="160"/>
      <c r="AR697" s="160"/>
      <c r="AS697" s="160"/>
      <c r="AT697" s="160"/>
      <c r="AU697" s="160"/>
      <c r="AV697" s="160"/>
      <c r="AW697" s="160"/>
      <c r="AX697" s="160"/>
      <c r="AY697" s="160"/>
      <c r="AZ697" s="160"/>
      <c r="BA697" s="160"/>
      <c r="BB697" s="160"/>
      <c r="BC697" s="160"/>
      <c r="BD697" s="160"/>
      <c r="BE697" s="160"/>
      <c r="BF697" s="160"/>
      <c r="BG697" s="160"/>
      <c r="BH697" s="160"/>
      <c r="BI697" s="160"/>
      <c r="BJ697" s="160"/>
      <c r="BK697" s="160"/>
      <c r="BL697" s="160"/>
      <c r="BM697" s="160"/>
      <c r="BN697" s="160"/>
      <c r="BO697" s="160"/>
      <c r="BP697" s="160"/>
      <c r="BQ697" s="160"/>
      <c r="BR697" s="160"/>
      <c r="BS697" s="160"/>
      <c r="BT697" s="160"/>
      <c r="BU697" s="160"/>
      <c r="BV697" s="160"/>
      <c r="BW697" s="160"/>
      <c r="BX697" s="160"/>
      <c r="BY697" s="160"/>
      <c r="BZ697" s="160"/>
      <c r="CA697" s="160"/>
      <c r="CB697" s="160"/>
      <c r="CC697" s="160"/>
      <c r="CD697" s="160"/>
      <c r="CE697" s="160"/>
      <c r="CF697" s="160"/>
      <c r="CG697" s="160"/>
      <c r="CH697" s="160"/>
      <c r="CI697" s="160"/>
      <c r="CJ697" s="160"/>
      <c r="CK697" s="160"/>
      <c r="CL697" s="160"/>
    </row>
    <row r="698">
      <c r="A698" s="171"/>
      <c r="F698" s="11"/>
      <c r="G698" s="11"/>
      <c r="L698" s="171"/>
      <c r="M698" s="171"/>
      <c r="O698" s="160"/>
      <c r="P698" s="160"/>
      <c r="Q698" s="160"/>
      <c r="R698" s="160"/>
      <c r="S698" s="160"/>
      <c r="T698" s="207"/>
      <c r="U698" s="160"/>
      <c r="V698" s="160"/>
      <c r="W698" s="160"/>
      <c r="X698" s="160"/>
      <c r="Y698" s="160"/>
      <c r="Z698" s="160"/>
      <c r="AA698" s="160"/>
      <c r="AB698" s="160"/>
      <c r="AC698" s="160"/>
      <c r="AD698" s="160"/>
      <c r="AE698" s="160"/>
      <c r="AF698" s="160"/>
      <c r="AG698" s="160"/>
      <c r="AH698" s="160"/>
      <c r="AI698" s="160"/>
      <c r="AJ698" s="160"/>
      <c r="AK698" s="160"/>
      <c r="AL698" s="160"/>
      <c r="AM698" s="160"/>
      <c r="AN698" s="164"/>
      <c r="AO698" s="160"/>
      <c r="AP698" s="160"/>
      <c r="AQ698" s="160"/>
      <c r="AR698" s="160"/>
      <c r="AS698" s="160"/>
      <c r="AT698" s="160"/>
      <c r="AU698" s="160"/>
      <c r="AV698" s="160"/>
      <c r="AW698" s="160"/>
      <c r="AX698" s="160"/>
      <c r="AY698" s="160"/>
      <c r="AZ698" s="160"/>
      <c r="BA698" s="160"/>
      <c r="BB698" s="160"/>
      <c r="BC698" s="160"/>
      <c r="BD698" s="160"/>
      <c r="BE698" s="160"/>
      <c r="BF698" s="160"/>
      <c r="BG698" s="160"/>
      <c r="BH698" s="160"/>
      <c r="BI698" s="160"/>
      <c r="BJ698" s="160"/>
      <c r="BK698" s="160"/>
      <c r="BL698" s="160"/>
      <c r="BM698" s="160"/>
      <c r="BN698" s="160"/>
      <c r="BO698" s="160"/>
      <c r="BP698" s="160"/>
      <c r="BQ698" s="160"/>
      <c r="BR698" s="160"/>
      <c r="BS698" s="160"/>
      <c r="BT698" s="160"/>
      <c r="BU698" s="160"/>
      <c r="BV698" s="160"/>
      <c r="BW698" s="160"/>
      <c r="BX698" s="160"/>
      <c r="BY698" s="160"/>
      <c r="BZ698" s="160"/>
      <c r="CA698" s="160"/>
      <c r="CB698" s="160"/>
      <c r="CC698" s="160"/>
      <c r="CD698" s="160"/>
      <c r="CE698" s="160"/>
      <c r="CF698" s="160"/>
      <c r="CG698" s="160"/>
      <c r="CH698" s="160"/>
      <c r="CI698" s="160"/>
      <c r="CJ698" s="160"/>
      <c r="CK698" s="160"/>
      <c r="CL698" s="160"/>
    </row>
    <row r="699">
      <c r="A699" s="171"/>
      <c r="F699" s="11"/>
      <c r="G699" s="11"/>
      <c r="L699" s="171"/>
      <c r="M699" s="171"/>
      <c r="O699" s="160"/>
      <c r="P699" s="160"/>
      <c r="Q699" s="160"/>
      <c r="R699" s="160"/>
      <c r="S699" s="160"/>
      <c r="T699" s="207"/>
      <c r="U699" s="160"/>
      <c r="V699" s="160"/>
      <c r="W699" s="160"/>
      <c r="X699" s="160"/>
      <c r="Y699" s="160"/>
      <c r="Z699" s="160"/>
      <c r="AA699" s="160"/>
      <c r="AB699" s="160"/>
      <c r="AC699" s="160"/>
      <c r="AD699" s="160"/>
      <c r="AE699" s="160"/>
      <c r="AF699" s="160"/>
      <c r="AG699" s="160"/>
      <c r="AH699" s="160"/>
      <c r="AI699" s="160"/>
      <c r="AJ699" s="160"/>
      <c r="AK699" s="160"/>
      <c r="AL699" s="160"/>
      <c r="AM699" s="160"/>
      <c r="AN699" s="164"/>
      <c r="AO699" s="160"/>
      <c r="AP699" s="160"/>
      <c r="AQ699" s="160"/>
      <c r="AR699" s="160"/>
      <c r="AS699" s="160"/>
      <c r="AT699" s="160"/>
      <c r="AU699" s="160"/>
      <c r="AV699" s="160"/>
      <c r="AW699" s="160"/>
      <c r="AX699" s="160"/>
      <c r="AY699" s="160"/>
      <c r="AZ699" s="160"/>
      <c r="BA699" s="160"/>
      <c r="BB699" s="160"/>
      <c r="BC699" s="160"/>
      <c r="BD699" s="160"/>
      <c r="BE699" s="160"/>
      <c r="BF699" s="160"/>
      <c r="BG699" s="160"/>
      <c r="BH699" s="160"/>
      <c r="BI699" s="160"/>
      <c r="BJ699" s="160"/>
      <c r="BK699" s="160"/>
      <c r="BL699" s="160"/>
      <c r="BM699" s="160"/>
      <c r="BN699" s="160"/>
      <c r="BO699" s="160"/>
      <c r="BP699" s="160"/>
      <c r="BQ699" s="160"/>
      <c r="BR699" s="160"/>
      <c r="BS699" s="160"/>
      <c r="BT699" s="160"/>
      <c r="BU699" s="160"/>
      <c r="BV699" s="160"/>
      <c r="BW699" s="160"/>
      <c r="BX699" s="160"/>
      <c r="BY699" s="160"/>
      <c r="BZ699" s="160"/>
      <c r="CA699" s="160"/>
      <c r="CB699" s="160"/>
      <c r="CC699" s="160"/>
      <c r="CD699" s="160"/>
      <c r="CE699" s="160"/>
      <c r="CF699" s="160"/>
      <c r="CG699" s="160"/>
      <c r="CH699" s="160"/>
      <c r="CI699" s="160"/>
      <c r="CJ699" s="160"/>
      <c r="CK699" s="160"/>
      <c r="CL699" s="160"/>
    </row>
    <row r="700">
      <c r="A700" s="171"/>
      <c r="F700" s="11"/>
      <c r="G700" s="11"/>
      <c r="L700" s="171"/>
      <c r="M700" s="171"/>
      <c r="O700" s="160"/>
      <c r="P700" s="160"/>
      <c r="Q700" s="160"/>
      <c r="R700" s="160"/>
      <c r="S700" s="160"/>
      <c r="T700" s="207"/>
      <c r="U700" s="160"/>
      <c r="V700" s="160"/>
      <c r="W700" s="160"/>
      <c r="X700" s="160"/>
      <c r="Y700" s="160"/>
      <c r="Z700" s="160"/>
      <c r="AA700" s="160"/>
      <c r="AB700" s="160"/>
      <c r="AC700" s="160"/>
      <c r="AD700" s="160"/>
      <c r="AE700" s="160"/>
      <c r="AF700" s="160"/>
      <c r="AG700" s="160"/>
      <c r="AH700" s="160"/>
      <c r="AI700" s="160"/>
      <c r="AJ700" s="160"/>
      <c r="AK700" s="160"/>
      <c r="AL700" s="160"/>
      <c r="AM700" s="160"/>
      <c r="AN700" s="164"/>
      <c r="AO700" s="160"/>
      <c r="AP700" s="160"/>
      <c r="AQ700" s="160"/>
      <c r="AR700" s="160"/>
      <c r="AS700" s="160"/>
      <c r="AT700" s="160"/>
      <c r="AU700" s="160"/>
      <c r="AV700" s="160"/>
      <c r="AW700" s="160"/>
      <c r="AX700" s="160"/>
      <c r="AY700" s="160"/>
      <c r="AZ700" s="160"/>
      <c r="BA700" s="160"/>
      <c r="BB700" s="160"/>
      <c r="BC700" s="160"/>
      <c r="BD700" s="160"/>
      <c r="BE700" s="160"/>
      <c r="BF700" s="160"/>
      <c r="BG700" s="160"/>
      <c r="BH700" s="160"/>
      <c r="BI700" s="160"/>
      <c r="BJ700" s="160"/>
      <c r="BK700" s="160"/>
      <c r="BL700" s="160"/>
      <c r="BM700" s="160"/>
      <c r="BN700" s="160"/>
      <c r="BO700" s="160"/>
      <c r="BP700" s="160"/>
      <c r="BQ700" s="160"/>
      <c r="BR700" s="160"/>
      <c r="BS700" s="160"/>
      <c r="BT700" s="160"/>
      <c r="BU700" s="160"/>
      <c r="BV700" s="160"/>
      <c r="BW700" s="160"/>
      <c r="BX700" s="160"/>
      <c r="BY700" s="160"/>
      <c r="BZ700" s="160"/>
      <c r="CA700" s="160"/>
      <c r="CB700" s="160"/>
      <c r="CC700" s="160"/>
      <c r="CD700" s="160"/>
      <c r="CE700" s="160"/>
      <c r="CF700" s="160"/>
      <c r="CG700" s="160"/>
      <c r="CH700" s="160"/>
      <c r="CI700" s="160"/>
      <c r="CJ700" s="160"/>
      <c r="CK700" s="160"/>
      <c r="CL700" s="160"/>
    </row>
    <row r="701">
      <c r="A701" s="171"/>
      <c r="F701" s="11"/>
      <c r="G701" s="11"/>
      <c r="L701" s="171"/>
      <c r="M701" s="171"/>
      <c r="O701" s="160"/>
      <c r="P701" s="160"/>
      <c r="Q701" s="160"/>
      <c r="R701" s="160"/>
      <c r="S701" s="160"/>
      <c r="T701" s="207"/>
      <c r="U701" s="160"/>
      <c r="V701" s="160"/>
      <c r="W701" s="160"/>
      <c r="X701" s="160"/>
      <c r="Y701" s="160"/>
      <c r="Z701" s="160"/>
      <c r="AA701" s="160"/>
      <c r="AB701" s="160"/>
      <c r="AC701" s="160"/>
      <c r="AD701" s="160"/>
      <c r="AE701" s="160"/>
      <c r="AF701" s="160"/>
      <c r="AG701" s="160"/>
      <c r="AH701" s="160"/>
      <c r="AI701" s="160"/>
      <c r="AJ701" s="160"/>
      <c r="AK701" s="160"/>
      <c r="AL701" s="160"/>
      <c r="AM701" s="160"/>
      <c r="AN701" s="164"/>
      <c r="AO701" s="160"/>
      <c r="AP701" s="160"/>
      <c r="AQ701" s="160"/>
      <c r="AR701" s="160"/>
      <c r="AS701" s="160"/>
      <c r="AT701" s="160"/>
      <c r="AU701" s="160"/>
      <c r="AV701" s="160"/>
      <c r="AW701" s="160"/>
      <c r="AX701" s="160"/>
      <c r="AY701" s="160"/>
      <c r="AZ701" s="160"/>
      <c r="BA701" s="160"/>
      <c r="BB701" s="160"/>
      <c r="BC701" s="160"/>
      <c r="BD701" s="160"/>
      <c r="BE701" s="160"/>
      <c r="BF701" s="160"/>
      <c r="BG701" s="160"/>
      <c r="BH701" s="160"/>
      <c r="BI701" s="160"/>
      <c r="BJ701" s="160"/>
      <c r="BK701" s="160"/>
      <c r="BL701" s="160"/>
      <c r="BM701" s="160"/>
      <c r="BN701" s="160"/>
      <c r="BO701" s="160"/>
      <c r="BP701" s="160"/>
      <c r="BQ701" s="160"/>
      <c r="BR701" s="160"/>
      <c r="BS701" s="160"/>
      <c r="BT701" s="160"/>
      <c r="BU701" s="160"/>
      <c r="BV701" s="160"/>
      <c r="BW701" s="160"/>
      <c r="BX701" s="160"/>
      <c r="BY701" s="160"/>
      <c r="BZ701" s="160"/>
      <c r="CA701" s="160"/>
      <c r="CB701" s="160"/>
      <c r="CC701" s="160"/>
      <c r="CD701" s="160"/>
      <c r="CE701" s="160"/>
      <c r="CF701" s="160"/>
      <c r="CG701" s="160"/>
      <c r="CH701" s="160"/>
      <c r="CI701" s="160"/>
      <c r="CJ701" s="160"/>
      <c r="CK701" s="160"/>
      <c r="CL701" s="160"/>
    </row>
    <row r="702">
      <c r="A702" s="171"/>
      <c r="F702" s="11"/>
      <c r="G702" s="11"/>
      <c r="L702" s="171"/>
      <c r="M702" s="171"/>
      <c r="O702" s="160"/>
      <c r="P702" s="160"/>
      <c r="Q702" s="160"/>
      <c r="R702" s="160"/>
      <c r="S702" s="160"/>
      <c r="T702" s="207"/>
      <c r="U702" s="160"/>
      <c r="V702" s="160"/>
      <c r="W702" s="160"/>
      <c r="X702" s="160"/>
      <c r="Y702" s="160"/>
      <c r="Z702" s="160"/>
      <c r="AA702" s="160"/>
      <c r="AB702" s="160"/>
      <c r="AC702" s="160"/>
      <c r="AD702" s="160"/>
      <c r="AE702" s="160"/>
      <c r="AF702" s="160"/>
      <c r="AG702" s="160"/>
      <c r="AH702" s="160"/>
      <c r="AI702" s="160"/>
      <c r="AJ702" s="160"/>
      <c r="AK702" s="160"/>
      <c r="AL702" s="160"/>
      <c r="AM702" s="160"/>
      <c r="AN702" s="164"/>
      <c r="AO702" s="160"/>
      <c r="AP702" s="160"/>
      <c r="AQ702" s="160"/>
      <c r="AR702" s="160"/>
      <c r="AS702" s="160"/>
      <c r="AT702" s="160"/>
      <c r="AU702" s="160"/>
      <c r="AV702" s="160"/>
      <c r="AW702" s="160"/>
      <c r="AX702" s="160"/>
      <c r="AY702" s="160"/>
      <c r="AZ702" s="160"/>
      <c r="BA702" s="160"/>
      <c r="BB702" s="160"/>
      <c r="BC702" s="160"/>
      <c r="BD702" s="160"/>
      <c r="BE702" s="160"/>
      <c r="BF702" s="160"/>
      <c r="BG702" s="160"/>
      <c r="BH702" s="160"/>
      <c r="BI702" s="160"/>
      <c r="BJ702" s="160"/>
      <c r="BK702" s="160"/>
      <c r="BL702" s="160"/>
      <c r="BM702" s="160"/>
      <c r="BN702" s="160"/>
      <c r="BO702" s="160"/>
      <c r="BP702" s="160"/>
      <c r="BQ702" s="160"/>
      <c r="BR702" s="160"/>
      <c r="BS702" s="160"/>
      <c r="BT702" s="160"/>
      <c r="BU702" s="160"/>
      <c r="BV702" s="160"/>
      <c r="BW702" s="160"/>
      <c r="BX702" s="160"/>
      <c r="BY702" s="160"/>
      <c r="BZ702" s="160"/>
      <c r="CA702" s="160"/>
      <c r="CB702" s="160"/>
      <c r="CC702" s="160"/>
      <c r="CD702" s="160"/>
      <c r="CE702" s="160"/>
      <c r="CF702" s="160"/>
      <c r="CG702" s="160"/>
      <c r="CH702" s="160"/>
      <c r="CI702" s="160"/>
      <c r="CJ702" s="160"/>
      <c r="CK702" s="160"/>
      <c r="CL702" s="160"/>
    </row>
    <row r="703">
      <c r="A703" s="171"/>
      <c r="F703" s="11"/>
      <c r="G703" s="11"/>
      <c r="L703" s="171"/>
      <c r="M703" s="171"/>
      <c r="O703" s="160"/>
      <c r="P703" s="160"/>
      <c r="Q703" s="160"/>
      <c r="R703" s="160"/>
      <c r="S703" s="160"/>
      <c r="T703" s="207"/>
      <c r="U703" s="160"/>
      <c r="V703" s="160"/>
      <c r="W703" s="160"/>
      <c r="X703" s="160"/>
      <c r="Y703" s="160"/>
      <c r="Z703" s="160"/>
      <c r="AA703" s="160"/>
      <c r="AB703" s="160"/>
      <c r="AC703" s="160"/>
      <c r="AD703" s="160"/>
      <c r="AE703" s="160"/>
      <c r="AF703" s="160"/>
      <c r="AG703" s="160"/>
      <c r="AH703" s="160"/>
      <c r="AI703" s="160"/>
      <c r="AJ703" s="160"/>
      <c r="AK703" s="160"/>
      <c r="AL703" s="160"/>
      <c r="AM703" s="160"/>
      <c r="AN703" s="164"/>
      <c r="AO703" s="160"/>
      <c r="AP703" s="160"/>
      <c r="AQ703" s="160"/>
      <c r="AR703" s="160"/>
      <c r="AS703" s="160"/>
      <c r="AT703" s="160"/>
      <c r="AU703" s="160"/>
      <c r="AV703" s="160"/>
      <c r="AW703" s="160"/>
      <c r="AX703" s="160"/>
      <c r="AY703" s="160"/>
      <c r="AZ703" s="160"/>
      <c r="BA703" s="160"/>
      <c r="BB703" s="160"/>
      <c r="BC703" s="160"/>
      <c r="BD703" s="160"/>
      <c r="BE703" s="160"/>
      <c r="BF703" s="160"/>
      <c r="BG703" s="160"/>
      <c r="BH703" s="160"/>
      <c r="BI703" s="160"/>
      <c r="BJ703" s="160"/>
      <c r="BK703" s="160"/>
      <c r="BL703" s="160"/>
      <c r="BM703" s="160"/>
      <c r="BN703" s="160"/>
      <c r="BO703" s="160"/>
      <c r="BP703" s="160"/>
      <c r="BQ703" s="160"/>
      <c r="BR703" s="160"/>
      <c r="BS703" s="160"/>
      <c r="BT703" s="160"/>
      <c r="BU703" s="160"/>
      <c r="BV703" s="160"/>
      <c r="BW703" s="160"/>
      <c r="BX703" s="160"/>
      <c r="BY703" s="160"/>
      <c r="BZ703" s="160"/>
      <c r="CA703" s="160"/>
      <c r="CB703" s="160"/>
      <c r="CC703" s="160"/>
      <c r="CD703" s="160"/>
      <c r="CE703" s="160"/>
      <c r="CF703" s="160"/>
      <c r="CG703" s="160"/>
      <c r="CH703" s="160"/>
      <c r="CI703" s="160"/>
      <c r="CJ703" s="160"/>
      <c r="CK703" s="160"/>
      <c r="CL703" s="160"/>
    </row>
    <row r="704">
      <c r="A704" s="171"/>
      <c r="F704" s="11"/>
      <c r="G704" s="11"/>
      <c r="L704" s="171"/>
      <c r="M704" s="171"/>
      <c r="O704" s="160"/>
      <c r="P704" s="160"/>
      <c r="Q704" s="160"/>
      <c r="R704" s="160"/>
      <c r="S704" s="160"/>
      <c r="T704" s="207"/>
      <c r="U704" s="160"/>
      <c r="V704" s="160"/>
      <c r="W704" s="160"/>
      <c r="X704" s="160"/>
      <c r="Y704" s="160"/>
      <c r="Z704" s="160"/>
      <c r="AA704" s="160"/>
      <c r="AB704" s="160"/>
      <c r="AC704" s="160"/>
      <c r="AD704" s="160"/>
      <c r="AE704" s="160"/>
      <c r="AF704" s="160"/>
      <c r="AG704" s="160"/>
      <c r="AH704" s="160"/>
      <c r="AI704" s="160"/>
      <c r="AJ704" s="160"/>
      <c r="AK704" s="160"/>
      <c r="AL704" s="160"/>
      <c r="AM704" s="160"/>
      <c r="AN704" s="164"/>
      <c r="AO704" s="160"/>
      <c r="AP704" s="160"/>
      <c r="AQ704" s="160"/>
      <c r="AR704" s="160"/>
      <c r="AS704" s="160"/>
      <c r="AT704" s="160"/>
      <c r="AU704" s="160"/>
      <c r="AV704" s="160"/>
      <c r="AW704" s="160"/>
      <c r="AX704" s="160"/>
      <c r="AY704" s="160"/>
      <c r="AZ704" s="160"/>
      <c r="BA704" s="160"/>
      <c r="BB704" s="160"/>
      <c r="BC704" s="160"/>
      <c r="BD704" s="160"/>
      <c r="BE704" s="160"/>
      <c r="BF704" s="160"/>
      <c r="BG704" s="160"/>
      <c r="BH704" s="160"/>
      <c r="BI704" s="160"/>
      <c r="BJ704" s="160"/>
      <c r="BK704" s="160"/>
      <c r="BL704" s="160"/>
      <c r="BM704" s="160"/>
      <c r="BN704" s="160"/>
      <c r="BO704" s="160"/>
      <c r="BP704" s="160"/>
      <c r="BQ704" s="160"/>
      <c r="BR704" s="160"/>
      <c r="BS704" s="160"/>
      <c r="BT704" s="160"/>
      <c r="BU704" s="160"/>
      <c r="BV704" s="160"/>
      <c r="BW704" s="160"/>
      <c r="BX704" s="160"/>
      <c r="BY704" s="160"/>
      <c r="BZ704" s="160"/>
      <c r="CA704" s="160"/>
      <c r="CB704" s="160"/>
      <c r="CC704" s="160"/>
      <c r="CD704" s="160"/>
      <c r="CE704" s="160"/>
      <c r="CF704" s="160"/>
      <c r="CG704" s="160"/>
      <c r="CH704" s="160"/>
      <c r="CI704" s="160"/>
      <c r="CJ704" s="160"/>
      <c r="CK704" s="160"/>
      <c r="CL704" s="160"/>
    </row>
    <row r="705">
      <c r="A705" s="171"/>
      <c r="F705" s="11"/>
      <c r="G705" s="11"/>
      <c r="L705" s="171"/>
      <c r="M705" s="171"/>
      <c r="O705" s="160"/>
      <c r="P705" s="160"/>
      <c r="Q705" s="160"/>
      <c r="R705" s="160"/>
      <c r="S705" s="160"/>
      <c r="T705" s="207"/>
      <c r="U705" s="160"/>
      <c r="V705" s="160"/>
      <c r="W705" s="160"/>
      <c r="X705" s="160"/>
      <c r="Y705" s="160"/>
      <c r="Z705" s="160"/>
      <c r="AA705" s="160"/>
      <c r="AB705" s="160"/>
      <c r="AC705" s="160"/>
      <c r="AD705" s="160"/>
      <c r="AE705" s="160"/>
      <c r="AF705" s="160"/>
      <c r="AG705" s="160"/>
      <c r="AH705" s="160"/>
      <c r="AI705" s="160"/>
      <c r="AJ705" s="160"/>
      <c r="AK705" s="160"/>
      <c r="AL705" s="160"/>
      <c r="AM705" s="160"/>
      <c r="AN705" s="164"/>
      <c r="AO705" s="160"/>
      <c r="AP705" s="160"/>
      <c r="AQ705" s="160"/>
      <c r="AR705" s="160"/>
      <c r="AS705" s="160"/>
      <c r="AT705" s="160"/>
      <c r="AU705" s="160"/>
      <c r="AV705" s="160"/>
      <c r="AW705" s="160"/>
      <c r="AX705" s="160"/>
      <c r="AY705" s="160"/>
      <c r="AZ705" s="160"/>
      <c r="BA705" s="160"/>
      <c r="BB705" s="160"/>
      <c r="BC705" s="160"/>
      <c r="BD705" s="160"/>
      <c r="BE705" s="160"/>
      <c r="BF705" s="160"/>
      <c r="BG705" s="160"/>
      <c r="BH705" s="160"/>
      <c r="BI705" s="160"/>
      <c r="BJ705" s="160"/>
      <c r="BK705" s="160"/>
      <c r="BL705" s="160"/>
      <c r="BM705" s="160"/>
      <c r="BN705" s="160"/>
      <c r="BO705" s="160"/>
      <c r="BP705" s="160"/>
      <c r="BQ705" s="160"/>
      <c r="BR705" s="160"/>
      <c r="BS705" s="160"/>
      <c r="BT705" s="160"/>
      <c r="BU705" s="160"/>
      <c r="BV705" s="160"/>
      <c r="BW705" s="160"/>
      <c r="BX705" s="160"/>
      <c r="BY705" s="160"/>
      <c r="BZ705" s="160"/>
      <c r="CA705" s="160"/>
      <c r="CB705" s="160"/>
      <c r="CC705" s="160"/>
      <c r="CD705" s="160"/>
      <c r="CE705" s="160"/>
      <c r="CF705" s="160"/>
      <c r="CG705" s="160"/>
      <c r="CH705" s="160"/>
      <c r="CI705" s="160"/>
      <c r="CJ705" s="160"/>
      <c r="CK705" s="160"/>
      <c r="CL705" s="160"/>
    </row>
    <row r="706">
      <c r="A706" s="171"/>
      <c r="F706" s="11"/>
      <c r="G706" s="11"/>
      <c r="L706" s="171"/>
      <c r="M706" s="171"/>
      <c r="O706" s="160"/>
      <c r="P706" s="160"/>
      <c r="Q706" s="160"/>
      <c r="R706" s="160"/>
      <c r="S706" s="160"/>
      <c r="T706" s="207"/>
      <c r="U706" s="160"/>
      <c r="V706" s="160"/>
      <c r="W706" s="160"/>
      <c r="X706" s="160"/>
      <c r="Y706" s="160"/>
      <c r="Z706" s="160"/>
      <c r="AA706" s="160"/>
      <c r="AB706" s="160"/>
      <c r="AC706" s="160"/>
      <c r="AD706" s="160"/>
      <c r="AE706" s="160"/>
      <c r="AF706" s="160"/>
      <c r="AG706" s="160"/>
      <c r="AH706" s="160"/>
      <c r="AI706" s="160"/>
      <c r="AJ706" s="160"/>
      <c r="AK706" s="160"/>
      <c r="AL706" s="160"/>
      <c r="AM706" s="160"/>
      <c r="AN706" s="164"/>
      <c r="AO706" s="160"/>
      <c r="AP706" s="160"/>
      <c r="AQ706" s="160"/>
      <c r="AR706" s="160"/>
      <c r="AS706" s="160"/>
      <c r="AT706" s="160"/>
      <c r="AU706" s="160"/>
      <c r="AV706" s="160"/>
      <c r="AW706" s="160"/>
      <c r="AX706" s="160"/>
      <c r="AY706" s="160"/>
      <c r="AZ706" s="160"/>
      <c r="BA706" s="160"/>
      <c r="BB706" s="160"/>
      <c r="BC706" s="160"/>
      <c r="BD706" s="160"/>
      <c r="BE706" s="160"/>
      <c r="BF706" s="160"/>
      <c r="BG706" s="160"/>
      <c r="BH706" s="160"/>
      <c r="BI706" s="160"/>
      <c r="BJ706" s="160"/>
      <c r="BK706" s="160"/>
      <c r="BL706" s="160"/>
      <c r="BM706" s="160"/>
      <c r="BN706" s="160"/>
      <c r="BO706" s="160"/>
      <c r="BP706" s="160"/>
      <c r="BQ706" s="160"/>
      <c r="BR706" s="160"/>
      <c r="BS706" s="160"/>
      <c r="BT706" s="160"/>
      <c r="BU706" s="160"/>
      <c r="BV706" s="160"/>
      <c r="BW706" s="160"/>
      <c r="BX706" s="160"/>
      <c r="BY706" s="160"/>
      <c r="BZ706" s="160"/>
      <c r="CA706" s="160"/>
      <c r="CB706" s="160"/>
      <c r="CC706" s="160"/>
      <c r="CD706" s="160"/>
      <c r="CE706" s="160"/>
      <c r="CF706" s="160"/>
      <c r="CG706" s="160"/>
      <c r="CH706" s="160"/>
      <c r="CI706" s="160"/>
      <c r="CJ706" s="160"/>
      <c r="CK706" s="160"/>
      <c r="CL706" s="160"/>
    </row>
    <row r="707">
      <c r="A707" s="171"/>
      <c r="F707" s="11"/>
      <c r="G707" s="11"/>
      <c r="L707" s="171"/>
      <c r="M707" s="171"/>
      <c r="O707" s="160"/>
      <c r="P707" s="160"/>
      <c r="Q707" s="160"/>
      <c r="R707" s="160"/>
      <c r="S707" s="160"/>
      <c r="T707" s="207"/>
      <c r="U707" s="160"/>
      <c r="V707" s="160"/>
      <c r="W707" s="160"/>
      <c r="X707" s="160"/>
      <c r="Y707" s="160"/>
      <c r="Z707" s="160"/>
      <c r="AA707" s="160"/>
      <c r="AB707" s="160"/>
      <c r="AC707" s="160"/>
      <c r="AD707" s="160"/>
      <c r="AE707" s="160"/>
      <c r="AF707" s="160"/>
      <c r="AG707" s="160"/>
      <c r="AH707" s="160"/>
      <c r="AI707" s="160"/>
      <c r="AJ707" s="160"/>
      <c r="AK707" s="160"/>
      <c r="AL707" s="160"/>
      <c r="AM707" s="160"/>
      <c r="AN707" s="164"/>
      <c r="AO707" s="160"/>
      <c r="AP707" s="160"/>
      <c r="AQ707" s="160"/>
      <c r="AR707" s="160"/>
      <c r="AS707" s="160"/>
      <c r="AT707" s="160"/>
      <c r="AU707" s="160"/>
      <c r="AV707" s="160"/>
      <c r="AW707" s="160"/>
      <c r="AX707" s="160"/>
      <c r="AY707" s="160"/>
      <c r="AZ707" s="160"/>
      <c r="BA707" s="160"/>
      <c r="BB707" s="160"/>
      <c r="BC707" s="160"/>
      <c r="BD707" s="160"/>
      <c r="BE707" s="160"/>
      <c r="BF707" s="160"/>
      <c r="BG707" s="160"/>
      <c r="BH707" s="160"/>
      <c r="BI707" s="160"/>
      <c r="BJ707" s="160"/>
      <c r="BK707" s="160"/>
      <c r="BL707" s="160"/>
      <c r="BM707" s="160"/>
      <c r="BN707" s="160"/>
      <c r="BO707" s="160"/>
      <c r="BP707" s="160"/>
      <c r="BQ707" s="160"/>
      <c r="BR707" s="160"/>
      <c r="BS707" s="160"/>
      <c r="BT707" s="160"/>
      <c r="BU707" s="160"/>
      <c r="BV707" s="160"/>
      <c r="BW707" s="160"/>
      <c r="BX707" s="160"/>
      <c r="BY707" s="160"/>
      <c r="BZ707" s="160"/>
      <c r="CA707" s="160"/>
      <c r="CB707" s="160"/>
      <c r="CC707" s="160"/>
      <c r="CD707" s="160"/>
      <c r="CE707" s="160"/>
      <c r="CF707" s="160"/>
      <c r="CG707" s="160"/>
      <c r="CH707" s="160"/>
      <c r="CI707" s="160"/>
      <c r="CJ707" s="160"/>
      <c r="CK707" s="160"/>
      <c r="CL707" s="160"/>
    </row>
    <row r="708">
      <c r="A708" s="171"/>
      <c r="F708" s="11"/>
      <c r="G708" s="11"/>
      <c r="L708" s="171"/>
      <c r="M708" s="171"/>
      <c r="O708" s="160"/>
      <c r="P708" s="160"/>
      <c r="Q708" s="160"/>
      <c r="R708" s="160"/>
      <c r="S708" s="160"/>
      <c r="T708" s="207"/>
      <c r="U708" s="160"/>
      <c r="V708" s="160"/>
      <c r="W708" s="160"/>
      <c r="X708" s="160"/>
      <c r="Y708" s="160"/>
      <c r="Z708" s="160"/>
      <c r="AA708" s="160"/>
      <c r="AB708" s="160"/>
      <c r="AC708" s="160"/>
      <c r="AD708" s="160"/>
      <c r="AE708" s="160"/>
      <c r="AF708" s="160"/>
      <c r="AG708" s="160"/>
      <c r="AH708" s="160"/>
      <c r="AI708" s="160"/>
      <c r="AJ708" s="160"/>
      <c r="AK708" s="160"/>
      <c r="AL708" s="160"/>
      <c r="AM708" s="160"/>
      <c r="AN708" s="164"/>
      <c r="AO708" s="160"/>
      <c r="AP708" s="160"/>
      <c r="AQ708" s="160"/>
      <c r="AR708" s="160"/>
      <c r="AS708" s="160"/>
      <c r="AT708" s="160"/>
      <c r="AU708" s="160"/>
      <c r="AV708" s="160"/>
      <c r="AW708" s="160"/>
      <c r="AX708" s="160"/>
      <c r="AY708" s="160"/>
      <c r="AZ708" s="160"/>
      <c r="BA708" s="160"/>
      <c r="BB708" s="160"/>
      <c r="BC708" s="160"/>
      <c r="BD708" s="160"/>
      <c r="BE708" s="160"/>
      <c r="BF708" s="160"/>
      <c r="BG708" s="160"/>
      <c r="BH708" s="160"/>
      <c r="BI708" s="160"/>
      <c r="BJ708" s="160"/>
      <c r="BK708" s="160"/>
      <c r="BL708" s="160"/>
      <c r="BM708" s="160"/>
      <c r="BN708" s="160"/>
      <c r="BO708" s="160"/>
      <c r="BP708" s="160"/>
      <c r="BQ708" s="160"/>
      <c r="BR708" s="160"/>
      <c r="BS708" s="160"/>
      <c r="BT708" s="160"/>
      <c r="BU708" s="160"/>
      <c r="BV708" s="160"/>
      <c r="BW708" s="160"/>
      <c r="BX708" s="160"/>
      <c r="BY708" s="160"/>
      <c r="BZ708" s="160"/>
      <c r="CA708" s="160"/>
      <c r="CB708" s="160"/>
      <c r="CC708" s="160"/>
      <c r="CD708" s="160"/>
      <c r="CE708" s="160"/>
      <c r="CF708" s="160"/>
      <c r="CG708" s="160"/>
      <c r="CH708" s="160"/>
      <c r="CI708" s="160"/>
      <c r="CJ708" s="160"/>
      <c r="CK708" s="160"/>
      <c r="CL708" s="160"/>
    </row>
    <row r="709">
      <c r="A709" s="171"/>
      <c r="F709" s="11"/>
      <c r="G709" s="11"/>
      <c r="L709" s="171"/>
      <c r="M709" s="171"/>
      <c r="O709" s="160"/>
      <c r="P709" s="160"/>
      <c r="Q709" s="160"/>
      <c r="R709" s="160"/>
      <c r="S709" s="160"/>
      <c r="T709" s="207"/>
      <c r="U709" s="160"/>
      <c r="V709" s="160"/>
      <c r="W709" s="160"/>
      <c r="X709" s="160"/>
      <c r="Y709" s="160"/>
      <c r="Z709" s="160"/>
      <c r="AA709" s="160"/>
      <c r="AB709" s="160"/>
      <c r="AC709" s="160"/>
      <c r="AD709" s="160"/>
      <c r="AE709" s="160"/>
      <c r="AF709" s="160"/>
      <c r="AG709" s="160"/>
      <c r="AH709" s="160"/>
      <c r="AI709" s="160"/>
      <c r="AJ709" s="160"/>
      <c r="AK709" s="160"/>
      <c r="AL709" s="160"/>
      <c r="AM709" s="160"/>
      <c r="AN709" s="164"/>
      <c r="AO709" s="160"/>
      <c r="AP709" s="160"/>
      <c r="AQ709" s="160"/>
      <c r="AR709" s="160"/>
      <c r="AS709" s="160"/>
      <c r="AT709" s="160"/>
      <c r="AU709" s="160"/>
      <c r="AV709" s="160"/>
      <c r="AW709" s="160"/>
      <c r="AX709" s="160"/>
      <c r="AY709" s="160"/>
      <c r="AZ709" s="160"/>
      <c r="BA709" s="160"/>
      <c r="BB709" s="160"/>
      <c r="BC709" s="160"/>
      <c r="BD709" s="160"/>
      <c r="BE709" s="160"/>
      <c r="BF709" s="160"/>
      <c r="BG709" s="160"/>
      <c r="BH709" s="160"/>
      <c r="BI709" s="160"/>
      <c r="BJ709" s="160"/>
      <c r="BK709" s="160"/>
      <c r="BL709" s="160"/>
      <c r="BM709" s="160"/>
      <c r="BN709" s="160"/>
      <c r="BO709" s="160"/>
      <c r="BP709" s="160"/>
      <c r="BQ709" s="160"/>
      <c r="BR709" s="160"/>
      <c r="BS709" s="160"/>
      <c r="BT709" s="160"/>
      <c r="BU709" s="160"/>
      <c r="BV709" s="160"/>
      <c r="BW709" s="160"/>
      <c r="BX709" s="160"/>
      <c r="BY709" s="160"/>
      <c r="BZ709" s="160"/>
      <c r="CA709" s="160"/>
      <c r="CB709" s="160"/>
      <c r="CC709" s="160"/>
      <c r="CD709" s="160"/>
      <c r="CE709" s="160"/>
      <c r="CF709" s="160"/>
      <c r="CG709" s="160"/>
      <c r="CH709" s="160"/>
      <c r="CI709" s="160"/>
      <c r="CJ709" s="160"/>
      <c r="CK709" s="160"/>
      <c r="CL709" s="160"/>
    </row>
    <row r="710">
      <c r="A710" s="171"/>
      <c r="F710" s="11"/>
      <c r="G710" s="11"/>
      <c r="L710" s="171"/>
      <c r="M710" s="171"/>
      <c r="O710" s="160"/>
      <c r="P710" s="160"/>
      <c r="Q710" s="160"/>
      <c r="R710" s="160"/>
      <c r="S710" s="160"/>
      <c r="T710" s="207"/>
      <c r="U710" s="160"/>
      <c r="V710" s="160"/>
      <c r="W710" s="160"/>
      <c r="X710" s="160"/>
      <c r="Y710" s="160"/>
      <c r="Z710" s="160"/>
      <c r="AA710" s="160"/>
      <c r="AB710" s="160"/>
      <c r="AC710" s="160"/>
      <c r="AD710" s="160"/>
      <c r="AE710" s="160"/>
      <c r="AF710" s="160"/>
      <c r="AG710" s="160"/>
      <c r="AH710" s="160"/>
      <c r="AI710" s="160"/>
      <c r="AJ710" s="160"/>
      <c r="AK710" s="160"/>
      <c r="AL710" s="160"/>
      <c r="AM710" s="160"/>
      <c r="AN710" s="164"/>
      <c r="AO710" s="160"/>
      <c r="AP710" s="160"/>
      <c r="AQ710" s="160"/>
      <c r="AR710" s="160"/>
      <c r="AS710" s="160"/>
      <c r="AT710" s="160"/>
      <c r="AU710" s="160"/>
      <c r="AV710" s="160"/>
      <c r="AW710" s="160"/>
      <c r="AX710" s="160"/>
      <c r="AY710" s="160"/>
      <c r="AZ710" s="160"/>
      <c r="BA710" s="160"/>
      <c r="BB710" s="160"/>
      <c r="BC710" s="160"/>
      <c r="BD710" s="160"/>
      <c r="BE710" s="160"/>
      <c r="BF710" s="160"/>
      <c r="BG710" s="160"/>
      <c r="BH710" s="160"/>
      <c r="BI710" s="160"/>
      <c r="BJ710" s="160"/>
      <c r="BK710" s="160"/>
      <c r="BL710" s="160"/>
      <c r="BM710" s="160"/>
      <c r="BN710" s="160"/>
      <c r="BO710" s="160"/>
      <c r="BP710" s="160"/>
      <c r="BQ710" s="160"/>
      <c r="BR710" s="160"/>
      <c r="BS710" s="160"/>
      <c r="BT710" s="160"/>
      <c r="BU710" s="160"/>
      <c r="BV710" s="160"/>
      <c r="BW710" s="160"/>
      <c r="BX710" s="160"/>
      <c r="BY710" s="160"/>
      <c r="BZ710" s="160"/>
      <c r="CA710" s="160"/>
      <c r="CB710" s="160"/>
      <c r="CC710" s="160"/>
      <c r="CD710" s="160"/>
      <c r="CE710" s="160"/>
      <c r="CF710" s="160"/>
      <c r="CG710" s="160"/>
      <c r="CH710" s="160"/>
      <c r="CI710" s="160"/>
      <c r="CJ710" s="160"/>
      <c r="CK710" s="160"/>
      <c r="CL710" s="160"/>
    </row>
    <row r="711">
      <c r="A711" s="171"/>
      <c r="F711" s="11"/>
      <c r="G711" s="11"/>
      <c r="L711" s="171"/>
      <c r="M711" s="171"/>
      <c r="O711" s="160"/>
      <c r="P711" s="160"/>
      <c r="Q711" s="160"/>
      <c r="R711" s="160"/>
      <c r="S711" s="160"/>
      <c r="T711" s="207"/>
      <c r="U711" s="160"/>
      <c r="V711" s="160"/>
      <c r="W711" s="160"/>
      <c r="X711" s="160"/>
      <c r="Y711" s="160"/>
      <c r="Z711" s="160"/>
      <c r="AA711" s="160"/>
      <c r="AB711" s="160"/>
      <c r="AC711" s="160"/>
      <c r="AD711" s="160"/>
      <c r="AE711" s="160"/>
      <c r="AF711" s="160"/>
      <c r="AG711" s="160"/>
      <c r="AH711" s="160"/>
      <c r="AI711" s="160"/>
      <c r="AJ711" s="160"/>
      <c r="AK711" s="160"/>
      <c r="AL711" s="160"/>
      <c r="AM711" s="160"/>
      <c r="AN711" s="164"/>
      <c r="AO711" s="160"/>
      <c r="AP711" s="160"/>
      <c r="AQ711" s="160"/>
      <c r="AR711" s="160"/>
      <c r="AS711" s="160"/>
      <c r="AT711" s="160"/>
      <c r="AU711" s="160"/>
      <c r="AV711" s="160"/>
      <c r="AW711" s="160"/>
      <c r="AX711" s="160"/>
      <c r="AY711" s="160"/>
      <c r="AZ711" s="160"/>
      <c r="BA711" s="160"/>
      <c r="BB711" s="160"/>
      <c r="BC711" s="160"/>
      <c r="BD711" s="160"/>
      <c r="BE711" s="160"/>
      <c r="BF711" s="160"/>
      <c r="BG711" s="160"/>
      <c r="BH711" s="160"/>
      <c r="BI711" s="160"/>
      <c r="BJ711" s="160"/>
      <c r="BK711" s="160"/>
      <c r="BL711" s="160"/>
      <c r="BM711" s="160"/>
      <c r="BN711" s="160"/>
      <c r="BO711" s="160"/>
      <c r="BP711" s="160"/>
      <c r="BQ711" s="160"/>
      <c r="BR711" s="160"/>
      <c r="BS711" s="160"/>
      <c r="BT711" s="160"/>
      <c r="BU711" s="160"/>
      <c r="BV711" s="160"/>
      <c r="BW711" s="160"/>
      <c r="BX711" s="160"/>
      <c r="BY711" s="160"/>
      <c r="BZ711" s="160"/>
      <c r="CA711" s="160"/>
      <c r="CB711" s="160"/>
      <c r="CC711" s="160"/>
      <c r="CD711" s="160"/>
      <c r="CE711" s="160"/>
      <c r="CF711" s="160"/>
      <c r="CG711" s="160"/>
      <c r="CH711" s="160"/>
      <c r="CI711" s="160"/>
      <c r="CJ711" s="160"/>
      <c r="CK711" s="160"/>
      <c r="CL711" s="160"/>
    </row>
    <row r="712">
      <c r="A712" s="171"/>
      <c r="F712" s="11"/>
      <c r="G712" s="11"/>
      <c r="L712" s="171"/>
      <c r="M712" s="171"/>
      <c r="O712" s="160"/>
      <c r="P712" s="160"/>
      <c r="Q712" s="160"/>
      <c r="R712" s="160"/>
      <c r="S712" s="160"/>
      <c r="T712" s="207"/>
      <c r="U712" s="160"/>
      <c r="V712" s="160"/>
      <c r="W712" s="160"/>
      <c r="X712" s="160"/>
      <c r="Y712" s="160"/>
      <c r="Z712" s="160"/>
      <c r="AA712" s="160"/>
      <c r="AB712" s="160"/>
      <c r="AC712" s="160"/>
      <c r="AD712" s="160"/>
      <c r="AE712" s="160"/>
      <c r="AF712" s="160"/>
      <c r="AG712" s="160"/>
      <c r="AH712" s="160"/>
      <c r="AI712" s="160"/>
      <c r="AJ712" s="160"/>
      <c r="AK712" s="160"/>
      <c r="AL712" s="160"/>
      <c r="AM712" s="160"/>
      <c r="AN712" s="164"/>
      <c r="AO712" s="160"/>
      <c r="AP712" s="160"/>
      <c r="AQ712" s="160"/>
      <c r="AR712" s="160"/>
      <c r="AS712" s="160"/>
      <c r="AT712" s="160"/>
      <c r="AU712" s="160"/>
      <c r="AV712" s="160"/>
      <c r="AW712" s="160"/>
      <c r="AX712" s="160"/>
      <c r="AY712" s="160"/>
      <c r="AZ712" s="160"/>
      <c r="BA712" s="160"/>
      <c r="BB712" s="160"/>
      <c r="BC712" s="160"/>
      <c r="BD712" s="160"/>
      <c r="BE712" s="160"/>
      <c r="BF712" s="160"/>
      <c r="BG712" s="160"/>
      <c r="BH712" s="160"/>
      <c r="BI712" s="160"/>
      <c r="BJ712" s="160"/>
      <c r="BK712" s="160"/>
      <c r="BL712" s="160"/>
      <c r="BM712" s="160"/>
      <c r="BN712" s="160"/>
      <c r="BO712" s="160"/>
      <c r="BP712" s="160"/>
      <c r="BQ712" s="160"/>
      <c r="BR712" s="160"/>
      <c r="BS712" s="160"/>
      <c r="BT712" s="160"/>
      <c r="BU712" s="160"/>
      <c r="BV712" s="160"/>
      <c r="BW712" s="160"/>
      <c r="BX712" s="160"/>
      <c r="BY712" s="160"/>
      <c r="BZ712" s="160"/>
      <c r="CA712" s="160"/>
      <c r="CB712" s="160"/>
      <c r="CC712" s="160"/>
      <c r="CD712" s="160"/>
      <c r="CE712" s="160"/>
      <c r="CF712" s="160"/>
      <c r="CG712" s="160"/>
      <c r="CH712" s="160"/>
      <c r="CI712" s="160"/>
      <c r="CJ712" s="160"/>
      <c r="CK712" s="160"/>
      <c r="CL712" s="160"/>
    </row>
    <row r="713">
      <c r="A713" s="171"/>
      <c r="F713" s="11"/>
      <c r="G713" s="11"/>
      <c r="L713" s="171"/>
      <c r="M713" s="171"/>
      <c r="O713" s="160"/>
      <c r="P713" s="160"/>
      <c r="Q713" s="160"/>
      <c r="R713" s="160"/>
      <c r="S713" s="160"/>
      <c r="T713" s="207"/>
      <c r="U713" s="160"/>
      <c r="V713" s="160"/>
      <c r="W713" s="160"/>
      <c r="X713" s="160"/>
      <c r="Y713" s="160"/>
      <c r="Z713" s="160"/>
      <c r="AA713" s="160"/>
      <c r="AB713" s="160"/>
      <c r="AC713" s="160"/>
      <c r="AD713" s="160"/>
      <c r="AE713" s="160"/>
      <c r="AF713" s="160"/>
      <c r="AG713" s="160"/>
      <c r="AH713" s="160"/>
      <c r="AI713" s="160"/>
      <c r="AJ713" s="160"/>
      <c r="AK713" s="160"/>
      <c r="AL713" s="160"/>
      <c r="AM713" s="160"/>
      <c r="AN713" s="164"/>
      <c r="AO713" s="160"/>
      <c r="AP713" s="160"/>
      <c r="AQ713" s="160"/>
      <c r="AR713" s="160"/>
      <c r="AS713" s="160"/>
      <c r="AT713" s="160"/>
      <c r="AU713" s="160"/>
      <c r="AV713" s="160"/>
      <c r="AW713" s="160"/>
      <c r="AX713" s="160"/>
      <c r="AY713" s="160"/>
      <c r="AZ713" s="160"/>
      <c r="BA713" s="160"/>
      <c r="BB713" s="160"/>
      <c r="BC713" s="160"/>
      <c r="BD713" s="160"/>
      <c r="BE713" s="160"/>
      <c r="BF713" s="160"/>
      <c r="BG713" s="160"/>
      <c r="BH713" s="160"/>
      <c r="BI713" s="160"/>
      <c r="BJ713" s="160"/>
      <c r="BK713" s="160"/>
      <c r="BL713" s="160"/>
      <c r="BM713" s="160"/>
      <c r="BN713" s="160"/>
      <c r="BO713" s="160"/>
      <c r="BP713" s="160"/>
      <c r="BQ713" s="160"/>
      <c r="BR713" s="160"/>
      <c r="BS713" s="160"/>
      <c r="BT713" s="160"/>
      <c r="BU713" s="160"/>
      <c r="BV713" s="160"/>
      <c r="BW713" s="160"/>
      <c r="BX713" s="160"/>
      <c r="BY713" s="160"/>
      <c r="BZ713" s="160"/>
      <c r="CA713" s="160"/>
      <c r="CB713" s="160"/>
      <c r="CC713" s="160"/>
      <c r="CD713" s="160"/>
      <c r="CE713" s="160"/>
      <c r="CF713" s="160"/>
      <c r="CG713" s="160"/>
      <c r="CH713" s="160"/>
      <c r="CI713" s="160"/>
      <c r="CJ713" s="160"/>
      <c r="CK713" s="160"/>
      <c r="CL713" s="160"/>
    </row>
    <row r="714">
      <c r="A714" s="171"/>
      <c r="F714" s="11"/>
      <c r="G714" s="11"/>
      <c r="L714" s="171"/>
      <c r="M714" s="171"/>
      <c r="O714" s="160"/>
      <c r="P714" s="160"/>
      <c r="Q714" s="160"/>
      <c r="R714" s="160"/>
      <c r="S714" s="160"/>
      <c r="T714" s="207"/>
      <c r="U714" s="160"/>
      <c r="V714" s="160"/>
      <c r="W714" s="160"/>
      <c r="X714" s="160"/>
      <c r="Y714" s="160"/>
      <c r="Z714" s="160"/>
      <c r="AA714" s="160"/>
      <c r="AB714" s="160"/>
      <c r="AC714" s="160"/>
      <c r="AD714" s="160"/>
      <c r="AE714" s="160"/>
      <c r="AF714" s="160"/>
      <c r="AG714" s="160"/>
      <c r="AH714" s="160"/>
      <c r="AI714" s="160"/>
      <c r="AJ714" s="160"/>
      <c r="AK714" s="160"/>
      <c r="AL714" s="160"/>
      <c r="AM714" s="160"/>
      <c r="AN714" s="164"/>
      <c r="AO714" s="160"/>
      <c r="AP714" s="160"/>
      <c r="AQ714" s="160"/>
      <c r="AR714" s="160"/>
      <c r="AS714" s="160"/>
      <c r="AT714" s="160"/>
      <c r="AU714" s="160"/>
      <c r="AV714" s="160"/>
      <c r="AW714" s="160"/>
      <c r="AX714" s="160"/>
      <c r="AY714" s="160"/>
      <c r="AZ714" s="160"/>
      <c r="BA714" s="160"/>
      <c r="BB714" s="160"/>
      <c r="BC714" s="160"/>
      <c r="BD714" s="160"/>
      <c r="BE714" s="160"/>
      <c r="BF714" s="160"/>
      <c r="BG714" s="160"/>
      <c r="BH714" s="160"/>
      <c r="BI714" s="160"/>
      <c r="BJ714" s="160"/>
      <c r="BK714" s="160"/>
      <c r="BL714" s="160"/>
      <c r="BM714" s="160"/>
      <c r="BN714" s="160"/>
      <c r="BO714" s="160"/>
      <c r="BP714" s="160"/>
      <c r="BQ714" s="160"/>
      <c r="BR714" s="160"/>
      <c r="BS714" s="160"/>
      <c r="BT714" s="160"/>
      <c r="BU714" s="160"/>
      <c r="BV714" s="160"/>
      <c r="BW714" s="160"/>
      <c r="BX714" s="160"/>
      <c r="BY714" s="160"/>
      <c r="BZ714" s="160"/>
      <c r="CA714" s="160"/>
      <c r="CB714" s="160"/>
      <c r="CC714" s="160"/>
      <c r="CD714" s="160"/>
      <c r="CE714" s="160"/>
      <c r="CF714" s="160"/>
      <c r="CG714" s="160"/>
      <c r="CH714" s="160"/>
      <c r="CI714" s="160"/>
      <c r="CJ714" s="160"/>
      <c r="CK714" s="160"/>
      <c r="CL714" s="160"/>
    </row>
    <row r="715">
      <c r="A715" s="171"/>
      <c r="F715" s="11"/>
      <c r="G715" s="11"/>
      <c r="L715" s="171"/>
      <c r="M715" s="171"/>
      <c r="O715" s="160"/>
      <c r="P715" s="160"/>
      <c r="Q715" s="160"/>
      <c r="R715" s="160"/>
      <c r="S715" s="160"/>
      <c r="T715" s="207"/>
      <c r="U715" s="160"/>
      <c r="V715" s="160"/>
      <c r="W715" s="160"/>
      <c r="X715" s="160"/>
      <c r="Y715" s="160"/>
      <c r="Z715" s="160"/>
      <c r="AA715" s="160"/>
      <c r="AB715" s="160"/>
      <c r="AC715" s="160"/>
      <c r="AD715" s="160"/>
      <c r="AE715" s="160"/>
      <c r="AF715" s="160"/>
      <c r="AG715" s="160"/>
      <c r="AH715" s="160"/>
      <c r="AI715" s="160"/>
      <c r="AJ715" s="160"/>
      <c r="AK715" s="160"/>
      <c r="AL715" s="160"/>
      <c r="AM715" s="160"/>
      <c r="AN715" s="164"/>
      <c r="AO715" s="160"/>
      <c r="AP715" s="160"/>
      <c r="AQ715" s="160"/>
      <c r="AR715" s="160"/>
      <c r="AS715" s="160"/>
      <c r="AT715" s="160"/>
      <c r="AU715" s="160"/>
      <c r="AV715" s="160"/>
      <c r="AW715" s="160"/>
      <c r="AX715" s="160"/>
      <c r="AY715" s="160"/>
      <c r="AZ715" s="160"/>
      <c r="BA715" s="160"/>
      <c r="BB715" s="160"/>
      <c r="BC715" s="160"/>
      <c r="BD715" s="160"/>
      <c r="BE715" s="160"/>
      <c r="BF715" s="160"/>
      <c r="BG715" s="160"/>
      <c r="BH715" s="160"/>
      <c r="BI715" s="160"/>
      <c r="BJ715" s="160"/>
      <c r="BK715" s="160"/>
      <c r="BL715" s="160"/>
      <c r="BM715" s="160"/>
      <c r="BN715" s="160"/>
      <c r="BO715" s="160"/>
      <c r="BP715" s="160"/>
      <c r="BQ715" s="160"/>
      <c r="BR715" s="160"/>
      <c r="BS715" s="160"/>
      <c r="BT715" s="160"/>
      <c r="BU715" s="160"/>
      <c r="BV715" s="160"/>
      <c r="BW715" s="160"/>
      <c r="BX715" s="160"/>
      <c r="BY715" s="160"/>
      <c r="BZ715" s="160"/>
      <c r="CA715" s="160"/>
      <c r="CB715" s="160"/>
      <c r="CC715" s="160"/>
      <c r="CD715" s="160"/>
      <c r="CE715" s="160"/>
      <c r="CF715" s="160"/>
      <c r="CG715" s="160"/>
      <c r="CH715" s="160"/>
      <c r="CI715" s="160"/>
      <c r="CJ715" s="160"/>
      <c r="CK715" s="160"/>
      <c r="CL715" s="160"/>
    </row>
    <row r="716">
      <c r="A716" s="171"/>
      <c r="F716" s="11"/>
      <c r="G716" s="11"/>
      <c r="L716" s="171"/>
      <c r="M716" s="171"/>
      <c r="O716" s="160"/>
      <c r="P716" s="160"/>
      <c r="Q716" s="160"/>
      <c r="R716" s="160"/>
      <c r="S716" s="160"/>
      <c r="T716" s="207"/>
      <c r="U716" s="160"/>
      <c r="V716" s="160"/>
      <c r="W716" s="160"/>
      <c r="X716" s="160"/>
      <c r="Y716" s="160"/>
      <c r="Z716" s="160"/>
      <c r="AA716" s="160"/>
      <c r="AB716" s="160"/>
      <c r="AC716" s="160"/>
      <c r="AD716" s="160"/>
      <c r="AE716" s="160"/>
      <c r="AF716" s="160"/>
      <c r="AG716" s="160"/>
      <c r="AH716" s="160"/>
      <c r="AI716" s="160"/>
      <c r="AJ716" s="160"/>
      <c r="AK716" s="160"/>
      <c r="AL716" s="160"/>
      <c r="AM716" s="160"/>
      <c r="AN716" s="164"/>
      <c r="AO716" s="160"/>
      <c r="AP716" s="160"/>
      <c r="AQ716" s="160"/>
      <c r="AR716" s="160"/>
      <c r="AS716" s="160"/>
      <c r="AT716" s="160"/>
      <c r="AU716" s="160"/>
      <c r="AV716" s="160"/>
      <c r="AW716" s="160"/>
      <c r="AX716" s="160"/>
      <c r="AY716" s="160"/>
      <c r="AZ716" s="160"/>
      <c r="BA716" s="160"/>
      <c r="BB716" s="160"/>
      <c r="BC716" s="160"/>
      <c r="BD716" s="160"/>
      <c r="BE716" s="160"/>
      <c r="BF716" s="160"/>
      <c r="BG716" s="160"/>
      <c r="BH716" s="160"/>
      <c r="BI716" s="160"/>
      <c r="BJ716" s="160"/>
      <c r="BK716" s="160"/>
      <c r="BL716" s="160"/>
      <c r="BM716" s="160"/>
      <c r="BN716" s="160"/>
      <c r="BO716" s="160"/>
      <c r="BP716" s="160"/>
      <c r="BQ716" s="160"/>
      <c r="BR716" s="160"/>
      <c r="BS716" s="160"/>
      <c r="BT716" s="160"/>
      <c r="BU716" s="160"/>
      <c r="BV716" s="160"/>
      <c r="BW716" s="160"/>
      <c r="BX716" s="160"/>
      <c r="BY716" s="160"/>
      <c r="BZ716" s="160"/>
      <c r="CA716" s="160"/>
      <c r="CB716" s="160"/>
      <c r="CC716" s="160"/>
      <c r="CD716" s="160"/>
      <c r="CE716" s="160"/>
      <c r="CF716" s="160"/>
      <c r="CG716" s="160"/>
      <c r="CH716" s="160"/>
      <c r="CI716" s="160"/>
      <c r="CJ716" s="160"/>
      <c r="CK716" s="160"/>
      <c r="CL716" s="160"/>
    </row>
    <row r="717">
      <c r="A717" s="171"/>
      <c r="F717" s="11"/>
      <c r="G717" s="11"/>
      <c r="L717" s="171"/>
      <c r="M717" s="171"/>
      <c r="O717" s="160"/>
      <c r="P717" s="160"/>
      <c r="Q717" s="160"/>
      <c r="R717" s="160"/>
      <c r="S717" s="160"/>
      <c r="T717" s="207"/>
      <c r="U717" s="160"/>
      <c r="V717" s="160"/>
      <c r="W717" s="160"/>
      <c r="X717" s="160"/>
      <c r="Y717" s="160"/>
      <c r="Z717" s="160"/>
      <c r="AA717" s="160"/>
      <c r="AB717" s="160"/>
      <c r="AC717" s="160"/>
      <c r="AD717" s="160"/>
      <c r="AE717" s="160"/>
      <c r="AF717" s="160"/>
      <c r="AG717" s="160"/>
      <c r="AH717" s="160"/>
      <c r="AI717" s="160"/>
      <c r="AJ717" s="160"/>
      <c r="AK717" s="160"/>
      <c r="AL717" s="160"/>
      <c r="AM717" s="160"/>
      <c r="AN717" s="164"/>
      <c r="AO717" s="160"/>
      <c r="AP717" s="160"/>
      <c r="AQ717" s="160"/>
      <c r="AR717" s="160"/>
      <c r="AS717" s="160"/>
      <c r="AT717" s="160"/>
      <c r="AU717" s="160"/>
      <c r="AV717" s="160"/>
      <c r="AW717" s="160"/>
      <c r="AX717" s="160"/>
      <c r="AY717" s="160"/>
      <c r="AZ717" s="160"/>
      <c r="BA717" s="160"/>
      <c r="BB717" s="160"/>
      <c r="BC717" s="160"/>
      <c r="BD717" s="160"/>
      <c r="BE717" s="160"/>
      <c r="BF717" s="160"/>
      <c r="BG717" s="160"/>
      <c r="BH717" s="160"/>
      <c r="BI717" s="160"/>
      <c r="BJ717" s="160"/>
      <c r="BK717" s="160"/>
      <c r="BL717" s="160"/>
      <c r="BM717" s="160"/>
      <c r="BN717" s="160"/>
      <c r="BO717" s="160"/>
      <c r="BP717" s="160"/>
      <c r="BQ717" s="160"/>
      <c r="BR717" s="160"/>
      <c r="BS717" s="160"/>
      <c r="BT717" s="160"/>
      <c r="BU717" s="160"/>
      <c r="BV717" s="160"/>
      <c r="BW717" s="160"/>
      <c r="BX717" s="160"/>
      <c r="BY717" s="160"/>
      <c r="BZ717" s="160"/>
      <c r="CA717" s="160"/>
      <c r="CB717" s="160"/>
      <c r="CC717" s="160"/>
      <c r="CD717" s="160"/>
      <c r="CE717" s="160"/>
      <c r="CF717" s="160"/>
      <c r="CG717" s="160"/>
      <c r="CH717" s="160"/>
      <c r="CI717" s="160"/>
      <c r="CJ717" s="160"/>
      <c r="CK717" s="160"/>
      <c r="CL717" s="160"/>
    </row>
    <row r="718">
      <c r="A718" s="171"/>
      <c r="F718" s="11"/>
      <c r="G718" s="11"/>
      <c r="L718" s="171"/>
      <c r="M718" s="171"/>
      <c r="O718" s="160"/>
      <c r="P718" s="160"/>
      <c r="Q718" s="160"/>
      <c r="R718" s="160"/>
      <c r="S718" s="160"/>
      <c r="T718" s="207"/>
      <c r="U718" s="160"/>
      <c r="V718" s="160"/>
      <c r="W718" s="160"/>
      <c r="X718" s="160"/>
      <c r="Y718" s="160"/>
      <c r="Z718" s="160"/>
      <c r="AA718" s="160"/>
      <c r="AB718" s="160"/>
      <c r="AC718" s="160"/>
      <c r="AD718" s="160"/>
      <c r="AE718" s="160"/>
      <c r="AF718" s="160"/>
      <c r="AG718" s="160"/>
      <c r="AH718" s="160"/>
      <c r="AI718" s="160"/>
      <c r="AJ718" s="160"/>
      <c r="AK718" s="160"/>
      <c r="AL718" s="160"/>
      <c r="AM718" s="160"/>
      <c r="AN718" s="164"/>
      <c r="AO718" s="160"/>
      <c r="AP718" s="160"/>
      <c r="AQ718" s="160"/>
      <c r="AR718" s="160"/>
      <c r="AS718" s="160"/>
      <c r="AT718" s="160"/>
      <c r="AU718" s="160"/>
      <c r="AV718" s="160"/>
      <c r="AW718" s="160"/>
      <c r="AX718" s="160"/>
      <c r="AY718" s="160"/>
      <c r="AZ718" s="160"/>
      <c r="BA718" s="160"/>
      <c r="BB718" s="160"/>
      <c r="BC718" s="160"/>
      <c r="BD718" s="160"/>
      <c r="BE718" s="160"/>
      <c r="BF718" s="160"/>
      <c r="BG718" s="160"/>
      <c r="BH718" s="160"/>
      <c r="BI718" s="160"/>
      <c r="BJ718" s="160"/>
      <c r="BK718" s="160"/>
      <c r="BL718" s="160"/>
      <c r="BM718" s="160"/>
      <c r="BN718" s="160"/>
      <c r="BO718" s="160"/>
      <c r="BP718" s="160"/>
      <c r="BQ718" s="160"/>
      <c r="BR718" s="160"/>
      <c r="BS718" s="160"/>
      <c r="BT718" s="160"/>
      <c r="BU718" s="160"/>
      <c r="BV718" s="160"/>
      <c r="BW718" s="160"/>
      <c r="BX718" s="160"/>
      <c r="BY718" s="160"/>
      <c r="BZ718" s="160"/>
      <c r="CA718" s="160"/>
      <c r="CB718" s="160"/>
      <c r="CC718" s="160"/>
      <c r="CD718" s="160"/>
      <c r="CE718" s="160"/>
      <c r="CF718" s="160"/>
      <c r="CG718" s="160"/>
      <c r="CH718" s="160"/>
      <c r="CI718" s="160"/>
      <c r="CJ718" s="160"/>
      <c r="CK718" s="160"/>
      <c r="CL718" s="160"/>
    </row>
    <row r="719">
      <c r="A719" s="171"/>
      <c r="F719" s="11"/>
      <c r="G719" s="11"/>
      <c r="L719" s="171"/>
      <c r="M719" s="171"/>
      <c r="O719" s="160"/>
      <c r="P719" s="160"/>
      <c r="Q719" s="160"/>
      <c r="R719" s="160"/>
      <c r="S719" s="160"/>
      <c r="T719" s="207"/>
      <c r="U719" s="160"/>
      <c r="V719" s="160"/>
      <c r="W719" s="160"/>
      <c r="X719" s="160"/>
      <c r="Y719" s="160"/>
      <c r="Z719" s="160"/>
      <c r="AA719" s="160"/>
      <c r="AB719" s="160"/>
      <c r="AC719" s="160"/>
      <c r="AD719" s="160"/>
      <c r="AE719" s="160"/>
      <c r="AF719" s="160"/>
      <c r="AG719" s="160"/>
      <c r="AH719" s="160"/>
      <c r="AI719" s="160"/>
      <c r="AJ719" s="160"/>
      <c r="AK719" s="160"/>
      <c r="AL719" s="160"/>
      <c r="AM719" s="160"/>
      <c r="AN719" s="164"/>
      <c r="AO719" s="160"/>
      <c r="AP719" s="160"/>
      <c r="AQ719" s="160"/>
      <c r="AR719" s="160"/>
      <c r="AS719" s="160"/>
      <c r="AT719" s="160"/>
      <c r="AU719" s="160"/>
      <c r="AV719" s="160"/>
      <c r="AW719" s="160"/>
      <c r="AX719" s="160"/>
      <c r="AY719" s="160"/>
      <c r="AZ719" s="160"/>
      <c r="BA719" s="160"/>
      <c r="BB719" s="160"/>
      <c r="BC719" s="160"/>
      <c r="BD719" s="160"/>
      <c r="BE719" s="160"/>
      <c r="BF719" s="160"/>
      <c r="BG719" s="160"/>
      <c r="BH719" s="160"/>
      <c r="BI719" s="160"/>
      <c r="BJ719" s="160"/>
      <c r="BK719" s="160"/>
      <c r="BL719" s="160"/>
      <c r="BM719" s="160"/>
      <c r="BN719" s="160"/>
      <c r="BO719" s="160"/>
      <c r="BP719" s="160"/>
      <c r="BQ719" s="160"/>
      <c r="BR719" s="160"/>
      <c r="BS719" s="160"/>
      <c r="BT719" s="160"/>
      <c r="BU719" s="160"/>
      <c r="BV719" s="160"/>
      <c r="BW719" s="160"/>
      <c r="BX719" s="160"/>
      <c r="BY719" s="160"/>
      <c r="BZ719" s="160"/>
      <c r="CA719" s="160"/>
      <c r="CB719" s="160"/>
      <c r="CC719" s="160"/>
      <c r="CD719" s="160"/>
      <c r="CE719" s="160"/>
      <c r="CF719" s="160"/>
      <c r="CG719" s="160"/>
      <c r="CH719" s="160"/>
      <c r="CI719" s="160"/>
      <c r="CJ719" s="160"/>
      <c r="CK719" s="160"/>
      <c r="CL719" s="160"/>
    </row>
    <row r="720">
      <c r="A720" s="171"/>
      <c r="F720" s="11"/>
      <c r="G720" s="11"/>
      <c r="L720" s="171"/>
      <c r="M720" s="171"/>
      <c r="O720" s="160"/>
      <c r="P720" s="160"/>
      <c r="Q720" s="160"/>
      <c r="R720" s="160"/>
      <c r="S720" s="160"/>
      <c r="T720" s="207"/>
      <c r="U720" s="160"/>
      <c r="V720" s="160"/>
      <c r="W720" s="160"/>
      <c r="X720" s="160"/>
      <c r="Y720" s="160"/>
      <c r="Z720" s="160"/>
      <c r="AA720" s="160"/>
      <c r="AB720" s="160"/>
      <c r="AC720" s="160"/>
      <c r="AD720" s="160"/>
      <c r="AE720" s="160"/>
      <c r="AF720" s="160"/>
      <c r="AG720" s="160"/>
      <c r="AH720" s="160"/>
      <c r="AI720" s="160"/>
      <c r="AJ720" s="160"/>
      <c r="AK720" s="160"/>
      <c r="AL720" s="160"/>
      <c r="AM720" s="160"/>
      <c r="AN720" s="164"/>
      <c r="AO720" s="160"/>
      <c r="AP720" s="160"/>
      <c r="AQ720" s="160"/>
      <c r="AR720" s="160"/>
      <c r="AS720" s="160"/>
      <c r="AT720" s="160"/>
      <c r="AU720" s="160"/>
      <c r="AV720" s="160"/>
      <c r="AW720" s="160"/>
      <c r="AX720" s="160"/>
      <c r="AY720" s="160"/>
      <c r="AZ720" s="160"/>
      <c r="BA720" s="160"/>
      <c r="BB720" s="160"/>
      <c r="BC720" s="160"/>
      <c r="BD720" s="160"/>
      <c r="BE720" s="160"/>
      <c r="BF720" s="160"/>
      <c r="BG720" s="160"/>
      <c r="BH720" s="160"/>
      <c r="BI720" s="160"/>
      <c r="BJ720" s="160"/>
      <c r="BK720" s="160"/>
      <c r="BL720" s="160"/>
      <c r="BM720" s="160"/>
      <c r="BN720" s="160"/>
      <c r="BO720" s="160"/>
      <c r="BP720" s="160"/>
      <c r="BQ720" s="160"/>
      <c r="BR720" s="160"/>
      <c r="BS720" s="160"/>
      <c r="BT720" s="160"/>
      <c r="BU720" s="160"/>
      <c r="BV720" s="160"/>
      <c r="BW720" s="160"/>
      <c r="BX720" s="160"/>
      <c r="BY720" s="160"/>
      <c r="BZ720" s="160"/>
      <c r="CA720" s="160"/>
      <c r="CB720" s="160"/>
      <c r="CC720" s="160"/>
      <c r="CD720" s="160"/>
      <c r="CE720" s="160"/>
      <c r="CF720" s="160"/>
      <c r="CG720" s="160"/>
      <c r="CH720" s="160"/>
      <c r="CI720" s="160"/>
      <c r="CJ720" s="160"/>
      <c r="CK720" s="160"/>
      <c r="CL720" s="160"/>
    </row>
    <row r="721">
      <c r="A721" s="171"/>
      <c r="F721" s="11"/>
      <c r="G721" s="11"/>
      <c r="L721" s="171"/>
      <c r="M721" s="171"/>
      <c r="O721" s="160"/>
      <c r="P721" s="160"/>
      <c r="Q721" s="160"/>
      <c r="R721" s="160"/>
      <c r="S721" s="160"/>
      <c r="T721" s="207"/>
      <c r="U721" s="160"/>
      <c r="V721" s="160"/>
      <c r="W721" s="160"/>
      <c r="X721" s="160"/>
      <c r="Y721" s="160"/>
      <c r="Z721" s="160"/>
      <c r="AA721" s="160"/>
      <c r="AB721" s="160"/>
      <c r="AC721" s="160"/>
      <c r="AD721" s="160"/>
      <c r="AE721" s="160"/>
      <c r="AF721" s="160"/>
      <c r="AG721" s="160"/>
      <c r="AH721" s="160"/>
      <c r="AI721" s="160"/>
      <c r="AJ721" s="160"/>
      <c r="AK721" s="160"/>
      <c r="AL721" s="160"/>
      <c r="AM721" s="160"/>
      <c r="AN721" s="164"/>
      <c r="AO721" s="160"/>
      <c r="AP721" s="160"/>
      <c r="AQ721" s="160"/>
      <c r="AR721" s="160"/>
      <c r="AS721" s="160"/>
      <c r="AT721" s="160"/>
      <c r="AU721" s="160"/>
      <c r="AV721" s="160"/>
      <c r="AW721" s="160"/>
      <c r="AX721" s="160"/>
      <c r="AY721" s="160"/>
      <c r="AZ721" s="160"/>
      <c r="BA721" s="160"/>
      <c r="BB721" s="160"/>
      <c r="BC721" s="160"/>
      <c r="BD721" s="160"/>
      <c r="BE721" s="160"/>
      <c r="BF721" s="160"/>
      <c r="BG721" s="160"/>
      <c r="BH721" s="160"/>
      <c r="BI721" s="160"/>
      <c r="BJ721" s="160"/>
      <c r="BK721" s="160"/>
      <c r="BL721" s="160"/>
      <c r="BM721" s="160"/>
      <c r="BN721" s="160"/>
      <c r="BO721" s="160"/>
      <c r="BP721" s="160"/>
      <c r="BQ721" s="160"/>
      <c r="BR721" s="160"/>
      <c r="BS721" s="160"/>
      <c r="BT721" s="160"/>
      <c r="BU721" s="160"/>
      <c r="BV721" s="160"/>
      <c r="BW721" s="160"/>
      <c r="BX721" s="160"/>
      <c r="BY721" s="160"/>
      <c r="BZ721" s="160"/>
      <c r="CA721" s="160"/>
      <c r="CB721" s="160"/>
      <c r="CC721" s="160"/>
      <c r="CD721" s="160"/>
      <c r="CE721" s="160"/>
      <c r="CF721" s="160"/>
      <c r="CG721" s="160"/>
      <c r="CH721" s="160"/>
      <c r="CI721" s="160"/>
      <c r="CJ721" s="160"/>
      <c r="CK721" s="160"/>
      <c r="CL721" s="160"/>
    </row>
    <row r="722">
      <c r="A722" s="171"/>
      <c r="F722" s="11"/>
      <c r="G722" s="11"/>
      <c r="L722" s="171"/>
      <c r="M722" s="171"/>
      <c r="O722" s="160"/>
      <c r="P722" s="160"/>
      <c r="Q722" s="160"/>
      <c r="R722" s="160"/>
      <c r="S722" s="160"/>
      <c r="T722" s="207"/>
      <c r="U722" s="160"/>
      <c r="V722" s="160"/>
      <c r="W722" s="160"/>
      <c r="X722" s="160"/>
      <c r="Y722" s="160"/>
      <c r="Z722" s="160"/>
      <c r="AA722" s="160"/>
      <c r="AB722" s="160"/>
      <c r="AC722" s="160"/>
      <c r="AD722" s="160"/>
      <c r="AE722" s="160"/>
      <c r="AF722" s="160"/>
      <c r="AG722" s="160"/>
      <c r="AH722" s="160"/>
      <c r="AI722" s="160"/>
      <c r="AJ722" s="160"/>
      <c r="AK722" s="160"/>
      <c r="AL722" s="160"/>
      <c r="AM722" s="160"/>
      <c r="AN722" s="164"/>
      <c r="AO722" s="160"/>
      <c r="AP722" s="160"/>
      <c r="AQ722" s="160"/>
      <c r="AR722" s="160"/>
      <c r="AS722" s="160"/>
      <c r="AT722" s="160"/>
      <c r="AU722" s="160"/>
      <c r="AV722" s="160"/>
      <c r="AW722" s="160"/>
      <c r="AX722" s="160"/>
      <c r="AY722" s="160"/>
      <c r="AZ722" s="160"/>
      <c r="BA722" s="160"/>
      <c r="BB722" s="160"/>
      <c r="BC722" s="160"/>
      <c r="BD722" s="160"/>
      <c r="BE722" s="160"/>
      <c r="BF722" s="160"/>
      <c r="BG722" s="160"/>
      <c r="BH722" s="160"/>
      <c r="BI722" s="160"/>
      <c r="BJ722" s="160"/>
      <c r="BK722" s="160"/>
      <c r="BL722" s="160"/>
      <c r="BM722" s="160"/>
      <c r="BN722" s="160"/>
      <c r="BO722" s="160"/>
      <c r="BP722" s="160"/>
      <c r="BQ722" s="160"/>
      <c r="BR722" s="160"/>
      <c r="BS722" s="160"/>
      <c r="BT722" s="160"/>
      <c r="BU722" s="160"/>
      <c r="BV722" s="160"/>
      <c r="BW722" s="160"/>
      <c r="BX722" s="160"/>
      <c r="BY722" s="160"/>
      <c r="BZ722" s="160"/>
      <c r="CA722" s="160"/>
      <c r="CB722" s="160"/>
      <c r="CC722" s="160"/>
      <c r="CD722" s="160"/>
      <c r="CE722" s="160"/>
      <c r="CF722" s="160"/>
      <c r="CG722" s="160"/>
      <c r="CH722" s="160"/>
      <c r="CI722" s="160"/>
      <c r="CJ722" s="160"/>
      <c r="CK722" s="160"/>
      <c r="CL722" s="160"/>
    </row>
    <row r="723">
      <c r="A723" s="171"/>
      <c r="F723" s="11"/>
      <c r="G723" s="11"/>
      <c r="L723" s="171"/>
      <c r="M723" s="171"/>
      <c r="O723" s="160"/>
      <c r="P723" s="160"/>
      <c r="Q723" s="160"/>
      <c r="R723" s="160"/>
      <c r="S723" s="160"/>
      <c r="T723" s="207"/>
      <c r="U723" s="160"/>
      <c r="V723" s="160"/>
      <c r="W723" s="160"/>
      <c r="X723" s="160"/>
      <c r="Y723" s="160"/>
      <c r="Z723" s="160"/>
      <c r="AA723" s="160"/>
      <c r="AB723" s="160"/>
      <c r="AC723" s="160"/>
      <c r="AD723" s="160"/>
      <c r="AE723" s="160"/>
      <c r="AF723" s="160"/>
      <c r="AG723" s="160"/>
      <c r="AH723" s="160"/>
      <c r="AI723" s="160"/>
      <c r="AJ723" s="160"/>
      <c r="AK723" s="160"/>
      <c r="AL723" s="160"/>
      <c r="AM723" s="160"/>
      <c r="AN723" s="164"/>
      <c r="AO723" s="160"/>
      <c r="AP723" s="160"/>
      <c r="AQ723" s="160"/>
      <c r="AR723" s="160"/>
      <c r="AS723" s="160"/>
      <c r="AT723" s="160"/>
      <c r="AU723" s="160"/>
      <c r="AV723" s="160"/>
      <c r="AW723" s="160"/>
      <c r="AX723" s="160"/>
      <c r="AY723" s="160"/>
      <c r="AZ723" s="160"/>
      <c r="BA723" s="160"/>
      <c r="BB723" s="160"/>
      <c r="BC723" s="160"/>
      <c r="BD723" s="160"/>
      <c r="BE723" s="160"/>
      <c r="BF723" s="160"/>
      <c r="BG723" s="160"/>
      <c r="BH723" s="160"/>
      <c r="BI723" s="160"/>
      <c r="BJ723" s="160"/>
      <c r="BK723" s="160"/>
      <c r="BL723" s="160"/>
      <c r="BM723" s="160"/>
      <c r="BN723" s="160"/>
      <c r="BO723" s="160"/>
      <c r="BP723" s="160"/>
      <c r="BQ723" s="160"/>
      <c r="BR723" s="160"/>
      <c r="BS723" s="160"/>
      <c r="BT723" s="160"/>
      <c r="BU723" s="160"/>
      <c r="BV723" s="160"/>
      <c r="BW723" s="160"/>
      <c r="BX723" s="160"/>
      <c r="BY723" s="160"/>
      <c r="BZ723" s="160"/>
      <c r="CA723" s="160"/>
      <c r="CB723" s="160"/>
      <c r="CC723" s="160"/>
      <c r="CD723" s="160"/>
      <c r="CE723" s="160"/>
      <c r="CF723" s="160"/>
      <c r="CG723" s="160"/>
      <c r="CH723" s="160"/>
      <c r="CI723" s="160"/>
      <c r="CJ723" s="160"/>
      <c r="CK723" s="160"/>
      <c r="CL723" s="160"/>
    </row>
    <row r="724">
      <c r="A724" s="171"/>
      <c r="F724" s="11"/>
      <c r="G724" s="11"/>
      <c r="L724" s="171"/>
      <c r="M724" s="171"/>
      <c r="O724" s="160"/>
      <c r="P724" s="160"/>
      <c r="Q724" s="160"/>
      <c r="R724" s="160"/>
      <c r="S724" s="160"/>
      <c r="T724" s="207"/>
      <c r="U724" s="160"/>
      <c r="V724" s="160"/>
      <c r="W724" s="160"/>
      <c r="X724" s="160"/>
      <c r="Y724" s="160"/>
      <c r="Z724" s="160"/>
      <c r="AA724" s="160"/>
      <c r="AB724" s="160"/>
      <c r="AC724" s="160"/>
      <c r="AD724" s="160"/>
      <c r="AE724" s="160"/>
      <c r="AF724" s="160"/>
      <c r="AG724" s="160"/>
      <c r="AH724" s="160"/>
      <c r="AI724" s="160"/>
      <c r="AJ724" s="160"/>
      <c r="AK724" s="160"/>
      <c r="AL724" s="160"/>
      <c r="AM724" s="160"/>
      <c r="AN724" s="164"/>
      <c r="AO724" s="160"/>
      <c r="AP724" s="160"/>
      <c r="AQ724" s="160"/>
      <c r="AR724" s="160"/>
      <c r="AS724" s="160"/>
      <c r="AT724" s="160"/>
      <c r="AU724" s="160"/>
      <c r="AV724" s="160"/>
      <c r="AW724" s="160"/>
      <c r="AX724" s="160"/>
      <c r="AY724" s="160"/>
      <c r="AZ724" s="160"/>
      <c r="BA724" s="160"/>
      <c r="BB724" s="160"/>
      <c r="BC724" s="160"/>
      <c r="BD724" s="160"/>
      <c r="BE724" s="160"/>
      <c r="BF724" s="160"/>
      <c r="BG724" s="160"/>
      <c r="BH724" s="160"/>
      <c r="BI724" s="160"/>
      <c r="BJ724" s="160"/>
      <c r="BK724" s="160"/>
      <c r="BL724" s="160"/>
      <c r="BM724" s="160"/>
      <c r="BN724" s="160"/>
      <c r="BO724" s="160"/>
      <c r="BP724" s="160"/>
      <c r="BQ724" s="160"/>
      <c r="BR724" s="160"/>
      <c r="BS724" s="160"/>
      <c r="BT724" s="160"/>
      <c r="BU724" s="160"/>
      <c r="BV724" s="160"/>
      <c r="BW724" s="160"/>
      <c r="BX724" s="160"/>
      <c r="BY724" s="160"/>
      <c r="BZ724" s="160"/>
      <c r="CA724" s="160"/>
      <c r="CB724" s="160"/>
      <c r="CC724" s="160"/>
      <c r="CD724" s="160"/>
      <c r="CE724" s="160"/>
      <c r="CF724" s="160"/>
      <c r="CG724" s="160"/>
      <c r="CH724" s="160"/>
      <c r="CI724" s="160"/>
      <c r="CJ724" s="160"/>
      <c r="CK724" s="160"/>
      <c r="CL724" s="160"/>
    </row>
    <row r="725">
      <c r="A725" s="171"/>
      <c r="F725" s="11"/>
      <c r="G725" s="11"/>
      <c r="L725" s="171"/>
      <c r="M725" s="171"/>
      <c r="O725" s="160"/>
      <c r="P725" s="160"/>
      <c r="Q725" s="160"/>
      <c r="R725" s="160"/>
      <c r="S725" s="160"/>
      <c r="T725" s="207"/>
      <c r="U725" s="160"/>
      <c r="V725" s="160"/>
      <c r="W725" s="160"/>
      <c r="X725" s="160"/>
      <c r="Y725" s="160"/>
      <c r="Z725" s="160"/>
      <c r="AA725" s="160"/>
      <c r="AB725" s="160"/>
      <c r="AC725" s="160"/>
      <c r="AD725" s="160"/>
      <c r="AE725" s="160"/>
      <c r="AF725" s="160"/>
      <c r="AG725" s="160"/>
      <c r="AH725" s="160"/>
      <c r="AI725" s="160"/>
      <c r="AJ725" s="160"/>
      <c r="AK725" s="160"/>
      <c r="AL725" s="160"/>
      <c r="AM725" s="160"/>
      <c r="AN725" s="164"/>
      <c r="AO725" s="160"/>
      <c r="AP725" s="160"/>
      <c r="AQ725" s="160"/>
      <c r="AR725" s="160"/>
      <c r="AS725" s="160"/>
      <c r="AT725" s="160"/>
      <c r="AU725" s="160"/>
      <c r="AV725" s="160"/>
      <c r="AW725" s="160"/>
      <c r="AX725" s="160"/>
      <c r="AY725" s="160"/>
      <c r="AZ725" s="160"/>
      <c r="BA725" s="160"/>
      <c r="BB725" s="160"/>
      <c r="BC725" s="160"/>
      <c r="BD725" s="160"/>
      <c r="BE725" s="160"/>
      <c r="BF725" s="160"/>
      <c r="BG725" s="160"/>
      <c r="BH725" s="160"/>
      <c r="BI725" s="160"/>
      <c r="BJ725" s="160"/>
      <c r="BK725" s="160"/>
      <c r="BL725" s="160"/>
      <c r="BM725" s="160"/>
      <c r="BN725" s="160"/>
      <c r="BO725" s="160"/>
      <c r="BP725" s="160"/>
      <c r="BQ725" s="160"/>
      <c r="BR725" s="160"/>
      <c r="BS725" s="160"/>
      <c r="BT725" s="160"/>
      <c r="BU725" s="160"/>
      <c r="BV725" s="160"/>
      <c r="BW725" s="160"/>
      <c r="BX725" s="160"/>
      <c r="BY725" s="160"/>
      <c r="BZ725" s="160"/>
      <c r="CA725" s="160"/>
      <c r="CB725" s="160"/>
      <c r="CC725" s="160"/>
      <c r="CD725" s="160"/>
      <c r="CE725" s="160"/>
      <c r="CF725" s="160"/>
      <c r="CG725" s="160"/>
      <c r="CH725" s="160"/>
      <c r="CI725" s="160"/>
      <c r="CJ725" s="160"/>
      <c r="CK725" s="160"/>
      <c r="CL725" s="160"/>
    </row>
    <row r="726">
      <c r="A726" s="171"/>
      <c r="F726" s="11"/>
      <c r="G726" s="11"/>
      <c r="L726" s="171"/>
      <c r="M726" s="171"/>
      <c r="O726" s="160"/>
      <c r="P726" s="160"/>
      <c r="Q726" s="160"/>
      <c r="R726" s="160"/>
      <c r="S726" s="160"/>
      <c r="T726" s="207"/>
      <c r="U726" s="160"/>
      <c r="V726" s="160"/>
      <c r="W726" s="160"/>
      <c r="X726" s="160"/>
      <c r="Y726" s="160"/>
      <c r="Z726" s="160"/>
      <c r="AA726" s="160"/>
      <c r="AB726" s="160"/>
      <c r="AC726" s="160"/>
      <c r="AD726" s="160"/>
      <c r="AE726" s="160"/>
      <c r="AF726" s="160"/>
      <c r="AG726" s="160"/>
      <c r="AH726" s="160"/>
      <c r="AI726" s="160"/>
      <c r="AJ726" s="160"/>
      <c r="AK726" s="160"/>
      <c r="AL726" s="160"/>
      <c r="AM726" s="160"/>
      <c r="AN726" s="164"/>
      <c r="AO726" s="160"/>
      <c r="AP726" s="160"/>
      <c r="AQ726" s="160"/>
      <c r="AR726" s="160"/>
      <c r="AS726" s="160"/>
      <c r="AT726" s="160"/>
      <c r="AU726" s="160"/>
      <c r="AV726" s="160"/>
      <c r="AW726" s="160"/>
      <c r="AX726" s="160"/>
      <c r="AY726" s="160"/>
      <c r="AZ726" s="160"/>
      <c r="BA726" s="160"/>
      <c r="BB726" s="160"/>
      <c r="BC726" s="160"/>
      <c r="BD726" s="160"/>
      <c r="BE726" s="160"/>
      <c r="BF726" s="160"/>
      <c r="BG726" s="160"/>
      <c r="BH726" s="160"/>
      <c r="BI726" s="160"/>
      <c r="BJ726" s="160"/>
      <c r="BK726" s="160"/>
      <c r="BL726" s="160"/>
      <c r="BM726" s="160"/>
      <c r="BN726" s="160"/>
      <c r="BO726" s="160"/>
      <c r="BP726" s="160"/>
      <c r="BQ726" s="160"/>
      <c r="BR726" s="160"/>
      <c r="BS726" s="160"/>
      <c r="BT726" s="160"/>
      <c r="BU726" s="160"/>
      <c r="BV726" s="160"/>
      <c r="BW726" s="160"/>
      <c r="BX726" s="160"/>
      <c r="BY726" s="160"/>
      <c r="BZ726" s="160"/>
      <c r="CA726" s="160"/>
      <c r="CB726" s="160"/>
      <c r="CC726" s="160"/>
      <c r="CD726" s="160"/>
      <c r="CE726" s="160"/>
      <c r="CF726" s="160"/>
      <c r="CG726" s="160"/>
      <c r="CH726" s="160"/>
      <c r="CI726" s="160"/>
      <c r="CJ726" s="160"/>
      <c r="CK726" s="160"/>
      <c r="CL726" s="160"/>
    </row>
    <row r="727">
      <c r="A727" s="171"/>
      <c r="F727" s="11"/>
      <c r="G727" s="11"/>
      <c r="L727" s="171"/>
      <c r="M727" s="171"/>
      <c r="O727" s="160"/>
      <c r="P727" s="160"/>
      <c r="Q727" s="160"/>
      <c r="R727" s="160"/>
      <c r="S727" s="160"/>
      <c r="T727" s="207"/>
      <c r="U727" s="160"/>
      <c r="V727" s="160"/>
      <c r="W727" s="160"/>
      <c r="X727" s="160"/>
      <c r="Y727" s="160"/>
      <c r="Z727" s="160"/>
      <c r="AA727" s="160"/>
      <c r="AB727" s="160"/>
      <c r="AC727" s="160"/>
      <c r="AD727" s="160"/>
      <c r="AE727" s="160"/>
      <c r="AF727" s="160"/>
      <c r="AG727" s="160"/>
      <c r="AH727" s="160"/>
      <c r="AI727" s="160"/>
      <c r="AJ727" s="160"/>
      <c r="AK727" s="160"/>
      <c r="AL727" s="160"/>
      <c r="AM727" s="160"/>
      <c r="AN727" s="164"/>
      <c r="AO727" s="160"/>
      <c r="AP727" s="160"/>
      <c r="AQ727" s="160"/>
      <c r="AR727" s="160"/>
      <c r="AS727" s="160"/>
      <c r="AT727" s="160"/>
      <c r="AU727" s="160"/>
      <c r="AV727" s="160"/>
      <c r="AW727" s="160"/>
      <c r="AX727" s="160"/>
      <c r="AY727" s="160"/>
      <c r="AZ727" s="160"/>
      <c r="BA727" s="160"/>
      <c r="BB727" s="160"/>
      <c r="BC727" s="160"/>
      <c r="BD727" s="160"/>
      <c r="BE727" s="160"/>
      <c r="BF727" s="160"/>
      <c r="BG727" s="160"/>
      <c r="BH727" s="160"/>
      <c r="BI727" s="160"/>
      <c r="BJ727" s="160"/>
      <c r="BK727" s="160"/>
      <c r="BL727" s="160"/>
      <c r="BM727" s="160"/>
      <c r="BN727" s="160"/>
      <c r="BO727" s="160"/>
      <c r="BP727" s="160"/>
      <c r="BQ727" s="160"/>
      <c r="BR727" s="160"/>
      <c r="BS727" s="160"/>
      <c r="BT727" s="160"/>
      <c r="BU727" s="160"/>
      <c r="BV727" s="160"/>
      <c r="BW727" s="160"/>
      <c r="BX727" s="160"/>
      <c r="BY727" s="160"/>
      <c r="BZ727" s="160"/>
      <c r="CA727" s="160"/>
      <c r="CB727" s="160"/>
      <c r="CC727" s="160"/>
      <c r="CD727" s="160"/>
      <c r="CE727" s="160"/>
      <c r="CF727" s="160"/>
      <c r="CG727" s="160"/>
      <c r="CH727" s="160"/>
      <c r="CI727" s="160"/>
      <c r="CJ727" s="160"/>
      <c r="CK727" s="160"/>
      <c r="CL727" s="160"/>
    </row>
    <row r="728">
      <c r="A728" s="171"/>
      <c r="F728" s="11"/>
      <c r="G728" s="11"/>
      <c r="L728" s="171"/>
      <c r="M728" s="171"/>
      <c r="O728" s="160"/>
      <c r="P728" s="160"/>
      <c r="Q728" s="160"/>
      <c r="R728" s="160"/>
      <c r="S728" s="160"/>
      <c r="T728" s="207"/>
      <c r="U728" s="160"/>
      <c r="V728" s="160"/>
      <c r="W728" s="160"/>
      <c r="X728" s="160"/>
      <c r="Y728" s="160"/>
      <c r="Z728" s="160"/>
      <c r="AA728" s="160"/>
      <c r="AB728" s="160"/>
      <c r="AC728" s="160"/>
      <c r="AD728" s="160"/>
      <c r="AE728" s="160"/>
      <c r="AF728" s="160"/>
      <c r="AG728" s="160"/>
      <c r="AH728" s="160"/>
      <c r="AI728" s="160"/>
      <c r="AJ728" s="160"/>
      <c r="AK728" s="160"/>
      <c r="AL728" s="160"/>
      <c r="AM728" s="160"/>
      <c r="AN728" s="164"/>
      <c r="AO728" s="160"/>
      <c r="AP728" s="160"/>
      <c r="AQ728" s="160"/>
      <c r="AR728" s="160"/>
      <c r="AS728" s="160"/>
      <c r="AT728" s="160"/>
      <c r="AU728" s="160"/>
      <c r="AV728" s="160"/>
      <c r="AW728" s="160"/>
      <c r="AX728" s="160"/>
      <c r="AY728" s="160"/>
      <c r="AZ728" s="160"/>
      <c r="BA728" s="160"/>
      <c r="BB728" s="160"/>
      <c r="BC728" s="160"/>
      <c r="BD728" s="160"/>
      <c r="BE728" s="160"/>
      <c r="BF728" s="160"/>
      <c r="BG728" s="160"/>
      <c r="BH728" s="160"/>
      <c r="BI728" s="160"/>
      <c r="BJ728" s="160"/>
      <c r="BK728" s="160"/>
      <c r="BL728" s="160"/>
      <c r="BM728" s="160"/>
      <c r="BN728" s="160"/>
      <c r="BO728" s="160"/>
      <c r="BP728" s="160"/>
      <c r="BQ728" s="160"/>
      <c r="BR728" s="160"/>
      <c r="BS728" s="160"/>
      <c r="BT728" s="160"/>
      <c r="BU728" s="160"/>
      <c r="BV728" s="160"/>
      <c r="BW728" s="160"/>
      <c r="BX728" s="160"/>
      <c r="BY728" s="160"/>
      <c r="BZ728" s="160"/>
      <c r="CA728" s="160"/>
      <c r="CB728" s="160"/>
      <c r="CC728" s="160"/>
      <c r="CD728" s="160"/>
      <c r="CE728" s="160"/>
      <c r="CF728" s="160"/>
      <c r="CG728" s="160"/>
      <c r="CH728" s="160"/>
      <c r="CI728" s="160"/>
      <c r="CJ728" s="160"/>
      <c r="CK728" s="160"/>
      <c r="CL728" s="160"/>
    </row>
    <row r="729">
      <c r="A729" s="171"/>
      <c r="F729" s="11"/>
      <c r="G729" s="11"/>
      <c r="L729" s="171"/>
      <c r="M729" s="171"/>
      <c r="O729" s="160"/>
      <c r="P729" s="160"/>
      <c r="Q729" s="160"/>
      <c r="R729" s="160"/>
      <c r="S729" s="160"/>
      <c r="T729" s="207"/>
      <c r="U729" s="160"/>
      <c r="V729" s="160"/>
      <c r="W729" s="160"/>
      <c r="X729" s="160"/>
      <c r="Y729" s="160"/>
      <c r="Z729" s="160"/>
      <c r="AA729" s="160"/>
      <c r="AB729" s="160"/>
      <c r="AC729" s="160"/>
      <c r="AD729" s="160"/>
      <c r="AE729" s="160"/>
      <c r="AF729" s="160"/>
      <c r="AG729" s="160"/>
      <c r="AH729" s="160"/>
      <c r="AI729" s="160"/>
      <c r="AJ729" s="160"/>
      <c r="AK729" s="160"/>
      <c r="AL729" s="160"/>
      <c r="AM729" s="160"/>
      <c r="AN729" s="164"/>
      <c r="AO729" s="160"/>
      <c r="AP729" s="160"/>
      <c r="AQ729" s="160"/>
      <c r="AR729" s="160"/>
      <c r="AS729" s="160"/>
      <c r="AT729" s="160"/>
      <c r="AU729" s="160"/>
      <c r="AV729" s="160"/>
      <c r="AW729" s="160"/>
      <c r="AX729" s="160"/>
      <c r="AY729" s="160"/>
      <c r="AZ729" s="160"/>
      <c r="BA729" s="160"/>
      <c r="BB729" s="160"/>
      <c r="BC729" s="160"/>
      <c r="BD729" s="160"/>
      <c r="BE729" s="160"/>
      <c r="BF729" s="160"/>
      <c r="BG729" s="160"/>
      <c r="BH729" s="160"/>
      <c r="BI729" s="160"/>
      <c r="BJ729" s="160"/>
      <c r="BK729" s="160"/>
      <c r="BL729" s="160"/>
      <c r="BM729" s="160"/>
      <c r="BN729" s="160"/>
      <c r="BO729" s="160"/>
      <c r="BP729" s="160"/>
      <c r="BQ729" s="160"/>
      <c r="BR729" s="160"/>
      <c r="BS729" s="160"/>
      <c r="BT729" s="160"/>
      <c r="BU729" s="160"/>
      <c r="BV729" s="160"/>
      <c r="BW729" s="160"/>
      <c r="BX729" s="160"/>
      <c r="BY729" s="160"/>
      <c r="BZ729" s="160"/>
      <c r="CA729" s="160"/>
      <c r="CB729" s="160"/>
      <c r="CC729" s="160"/>
      <c r="CD729" s="160"/>
      <c r="CE729" s="160"/>
      <c r="CF729" s="160"/>
      <c r="CG729" s="160"/>
      <c r="CH729" s="160"/>
      <c r="CI729" s="160"/>
      <c r="CJ729" s="160"/>
      <c r="CK729" s="160"/>
      <c r="CL729" s="160"/>
    </row>
    <row r="730">
      <c r="A730" s="171"/>
      <c r="F730" s="11"/>
      <c r="G730" s="11"/>
      <c r="L730" s="171"/>
      <c r="M730" s="171"/>
      <c r="O730" s="160"/>
      <c r="P730" s="160"/>
      <c r="Q730" s="160"/>
      <c r="R730" s="160"/>
      <c r="S730" s="160"/>
      <c r="T730" s="207"/>
      <c r="U730" s="160"/>
      <c r="V730" s="160"/>
      <c r="W730" s="160"/>
      <c r="X730" s="160"/>
      <c r="Y730" s="160"/>
      <c r="Z730" s="160"/>
      <c r="AA730" s="160"/>
      <c r="AB730" s="160"/>
      <c r="AC730" s="160"/>
      <c r="AD730" s="160"/>
      <c r="AE730" s="160"/>
      <c r="AF730" s="160"/>
      <c r="AG730" s="160"/>
      <c r="AH730" s="160"/>
      <c r="AI730" s="160"/>
      <c r="AJ730" s="160"/>
      <c r="AK730" s="160"/>
      <c r="AL730" s="160"/>
      <c r="AM730" s="160"/>
      <c r="AN730" s="164"/>
      <c r="AO730" s="160"/>
      <c r="AP730" s="160"/>
      <c r="AQ730" s="160"/>
      <c r="AR730" s="160"/>
      <c r="AS730" s="160"/>
      <c r="AT730" s="160"/>
      <c r="AU730" s="160"/>
      <c r="AV730" s="160"/>
      <c r="AW730" s="160"/>
      <c r="AX730" s="160"/>
      <c r="AY730" s="160"/>
      <c r="AZ730" s="160"/>
      <c r="BA730" s="160"/>
      <c r="BB730" s="160"/>
      <c r="BC730" s="160"/>
      <c r="BD730" s="160"/>
      <c r="BE730" s="160"/>
      <c r="BF730" s="160"/>
      <c r="BG730" s="160"/>
      <c r="BH730" s="160"/>
      <c r="BI730" s="160"/>
      <c r="BJ730" s="160"/>
      <c r="BK730" s="160"/>
      <c r="BL730" s="160"/>
      <c r="BM730" s="160"/>
      <c r="BN730" s="160"/>
      <c r="BO730" s="160"/>
      <c r="BP730" s="160"/>
      <c r="BQ730" s="160"/>
      <c r="BR730" s="160"/>
      <c r="BS730" s="160"/>
      <c r="BT730" s="160"/>
      <c r="BU730" s="160"/>
      <c r="BV730" s="160"/>
      <c r="BW730" s="160"/>
      <c r="BX730" s="160"/>
      <c r="BY730" s="160"/>
      <c r="BZ730" s="160"/>
      <c r="CA730" s="160"/>
      <c r="CB730" s="160"/>
      <c r="CC730" s="160"/>
      <c r="CD730" s="160"/>
      <c r="CE730" s="160"/>
      <c r="CF730" s="160"/>
      <c r="CG730" s="160"/>
      <c r="CH730" s="160"/>
      <c r="CI730" s="160"/>
      <c r="CJ730" s="160"/>
      <c r="CK730" s="160"/>
      <c r="CL730" s="160"/>
    </row>
    <row r="731">
      <c r="A731" s="171"/>
      <c r="F731" s="11"/>
      <c r="G731" s="11"/>
      <c r="L731" s="171"/>
      <c r="M731" s="171"/>
      <c r="O731" s="160"/>
      <c r="P731" s="160"/>
      <c r="Q731" s="160"/>
      <c r="R731" s="160"/>
      <c r="S731" s="160"/>
      <c r="T731" s="207"/>
      <c r="U731" s="160"/>
      <c r="V731" s="160"/>
      <c r="W731" s="160"/>
      <c r="X731" s="160"/>
      <c r="Y731" s="160"/>
      <c r="Z731" s="160"/>
      <c r="AA731" s="160"/>
      <c r="AB731" s="160"/>
      <c r="AC731" s="160"/>
      <c r="AD731" s="160"/>
      <c r="AE731" s="160"/>
      <c r="AF731" s="160"/>
      <c r="AG731" s="160"/>
      <c r="AH731" s="160"/>
      <c r="AI731" s="160"/>
      <c r="AJ731" s="160"/>
      <c r="AK731" s="160"/>
      <c r="AL731" s="160"/>
      <c r="AM731" s="160"/>
      <c r="AN731" s="164"/>
      <c r="AO731" s="160"/>
      <c r="AP731" s="160"/>
      <c r="AQ731" s="160"/>
      <c r="AR731" s="160"/>
      <c r="AS731" s="160"/>
      <c r="AT731" s="160"/>
      <c r="AU731" s="160"/>
      <c r="AV731" s="160"/>
      <c r="AW731" s="160"/>
      <c r="AX731" s="160"/>
      <c r="AY731" s="160"/>
      <c r="AZ731" s="160"/>
      <c r="BA731" s="160"/>
      <c r="BB731" s="160"/>
      <c r="BC731" s="160"/>
      <c r="BD731" s="160"/>
      <c r="BE731" s="160"/>
      <c r="BF731" s="160"/>
      <c r="BG731" s="160"/>
      <c r="BH731" s="160"/>
      <c r="BI731" s="160"/>
      <c r="BJ731" s="160"/>
      <c r="BK731" s="160"/>
      <c r="BL731" s="160"/>
      <c r="BM731" s="160"/>
      <c r="BN731" s="160"/>
      <c r="BO731" s="160"/>
      <c r="BP731" s="160"/>
      <c r="BQ731" s="160"/>
      <c r="BR731" s="160"/>
      <c r="BS731" s="160"/>
      <c r="BT731" s="160"/>
      <c r="BU731" s="160"/>
      <c r="BV731" s="160"/>
      <c r="BW731" s="160"/>
      <c r="BX731" s="160"/>
      <c r="BY731" s="160"/>
      <c r="BZ731" s="160"/>
      <c r="CA731" s="160"/>
      <c r="CB731" s="160"/>
      <c r="CC731" s="160"/>
      <c r="CD731" s="160"/>
      <c r="CE731" s="160"/>
      <c r="CF731" s="160"/>
      <c r="CG731" s="160"/>
      <c r="CH731" s="160"/>
      <c r="CI731" s="160"/>
      <c r="CJ731" s="160"/>
      <c r="CK731" s="160"/>
      <c r="CL731" s="160"/>
    </row>
    <row r="732">
      <c r="A732" s="171"/>
      <c r="F732" s="11"/>
      <c r="G732" s="11"/>
      <c r="L732" s="171"/>
      <c r="M732" s="171"/>
      <c r="O732" s="160"/>
      <c r="P732" s="160"/>
      <c r="Q732" s="160"/>
      <c r="R732" s="160"/>
      <c r="S732" s="160"/>
      <c r="T732" s="207"/>
      <c r="U732" s="160"/>
      <c r="V732" s="160"/>
      <c r="W732" s="160"/>
      <c r="X732" s="160"/>
      <c r="Y732" s="160"/>
      <c r="Z732" s="160"/>
      <c r="AA732" s="160"/>
      <c r="AB732" s="160"/>
      <c r="AC732" s="160"/>
      <c r="AD732" s="160"/>
      <c r="AE732" s="160"/>
      <c r="AF732" s="160"/>
      <c r="AG732" s="160"/>
      <c r="AH732" s="160"/>
      <c r="AI732" s="160"/>
      <c r="AJ732" s="160"/>
      <c r="AK732" s="160"/>
      <c r="AL732" s="160"/>
      <c r="AM732" s="160"/>
      <c r="AN732" s="164"/>
      <c r="AO732" s="160"/>
      <c r="AP732" s="160"/>
      <c r="AQ732" s="160"/>
      <c r="AR732" s="160"/>
      <c r="AS732" s="160"/>
      <c r="AT732" s="160"/>
      <c r="AU732" s="160"/>
      <c r="AV732" s="160"/>
      <c r="AW732" s="160"/>
      <c r="AX732" s="160"/>
      <c r="AY732" s="160"/>
      <c r="AZ732" s="160"/>
      <c r="BA732" s="160"/>
      <c r="BB732" s="160"/>
      <c r="BC732" s="160"/>
      <c r="BD732" s="160"/>
      <c r="BE732" s="160"/>
      <c r="BF732" s="160"/>
      <c r="BG732" s="160"/>
      <c r="BH732" s="160"/>
      <c r="BI732" s="160"/>
      <c r="BJ732" s="160"/>
      <c r="BK732" s="160"/>
      <c r="BL732" s="160"/>
      <c r="BM732" s="160"/>
      <c r="BN732" s="160"/>
      <c r="BO732" s="160"/>
      <c r="BP732" s="160"/>
      <c r="BQ732" s="160"/>
      <c r="BR732" s="160"/>
      <c r="BS732" s="160"/>
      <c r="BT732" s="160"/>
      <c r="BU732" s="160"/>
      <c r="BV732" s="160"/>
      <c r="BW732" s="160"/>
      <c r="BX732" s="160"/>
      <c r="BY732" s="160"/>
      <c r="BZ732" s="160"/>
      <c r="CA732" s="160"/>
      <c r="CB732" s="160"/>
      <c r="CC732" s="160"/>
      <c r="CD732" s="160"/>
      <c r="CE732" s="160"/>
      <c r="CF732" s="160"/>
      <c r="CG732" s="160"/>
      <c r="CH732" s="160"/>
      <c r="CI732" s="160"/>
      <c r="CJ732" s="160"/>
      <c r="CK732" s="160"/>
      <c r="CL732" s="160"/>
    </row>
    <row r="733">
      <c r="A733" s="171"/>
      <c r="F733" s="11"/>
      <c r="G733" s="11"/>
      <c r="L733" s="171"/>
      <c r="M733" s="171"/>
      <c r="O733" s="160"/>
      <c r="P733" s="160"/>
      <c r="Q733" s="160"/>
      <c r="R733" s="160"/>
      <c r="S733" s="160"/>
      <c r="T733" s="207"/>
      <c r="U733" s="160"/>
      <c r="V733" s="160"/>
      <c r="W733" s="160"/>
      <c r="X733" s="160"/>
      <c r="Y733" s="160"/>
      <c r="Z733" s="160"/>
      <c r="AA733" s="160"/>
      <c r="AB733" s="160"/>
      <c r="AC733" s="160"/>
      <c r="AD733" s="160"/>
      <c r="AE733" s="160"/>
      <c r="AF733" s="160"/>
      <c r="AG733" s="160"/>
      <c r="AH733" s="160"/>
      <c r="AI733" s="160"/>
      <c r="AJ733" s="160"/>
      <c r="AK733" s="160"/>
      <c r="AL733" s="160"/>
      <c r="AM733" s="160"/>
      <c r="AN733" s="164"/>
      <c r="AO733" s="160"/>
      <c r="AP733" s="160"/>
      <c r="AQ733" s="160"/>
      <c r="AR733" s="160"/>
      <c r="AS733" s="160"/>
      <c r="AT733" s="160"/>
      <c r="AU733" s="160"/>
      <c r="AV733" s="160"/>
      <c r="AW733" s="160"/>
      <c r="AX733" s="160"/>
      <c r="AY733" s="160"/>
      <c r="AZ733" s="160"/>
      <c r="BA733" s="160"/>
      <c r="BB733" s="160"/>
      <c r="BC733" s="160"/>
      <c r="BD733" s="160"/>
      <c r="BE733" s="160"/>
      <c r="BF733" s="160"/>
      <c r="BG733" s="160"/>
      <c r="BH733" s="160"/>
      <c r="BI733" s="160"/>
      <c r="BJ733" s="160"/>
      <c r="BK733" s="160"/>
      <c r="BL733" s="160"/>
      <c r="BM733" s="160"/>
      <c r="BN733" s="160"/>
      <c r="BO733" s="160"/>
      <c r="BP733" s="160"/>
      <c r="BQ733" s="160"/>
      <c r="BR733" s="160"/>
      <c r="BS733" s="160"/>
      <c r="BT733" s="160"/>
      <c r="BU733" s="160"/>
      <c r="BV733" s="160"/>
      <c r="BW733" s="160"/>
      <c r="BX733" s="160"/>
      <c r="BY733" s="160"/>
      <c r="BZ733" s="160"/>
      <c r="CA733" s="160"/>
      <c r="CB733" s="160"/>
      <c r="CC733" s="160"/>
      <c r="CD733" s="160"/>
      <c r="CE733" s="160"/>
      <c r="CF733" s="160"/>
      <c r="CG733" s="160"/>
      <c r="CH733" s="160"/>
      <c r="CI733" s="160"/>
      <c r="CJ733" s="160"/>
      <c r="CK733" s="160"/>
      <c r="CL733" s="160"/>
    </row>
    <row r="734">
      <c r="A734" s="171"/>
      <c r="F734" s="11"/>
      <c r="G734" s="11"/>
      <c r="L734" s="171"/>
      <c r="M734" s="171"/>
      <c r="O734" s="160"/>
      <c r="P734" s="160"/>
      <c r="Q734" s="160"/>
      <c r="R734" s="160"/>
      <c r="S734" s="160"/>
      <c r="T734" s="207"/>
      <c r="U734" s="160"/>
      <c r="V734" s="160"/>
      <c r="W734" s="160"/>
      <c r="X734" s="160"/>
      <c r="Y734" s="160"/>
      <c r="Z734" s="160"/>
      <c r="AA734" s="160"/>
      <c r="AB734" s="160"/>
      <c r="AC734" s="160"/>
      <c r="AD734" s="160"/>
      <c r="AE734" s="160"/>
      <c r="AF734" s="160"/>
      <c r="AG734" s="160"/>
      <c r="AH734" s="160"/>
      <c r="AI734" s="160"/>
      <c r="AJ734" s="160"/>
      <c r="AK734" s="160"/>
      <c r="AL734" s="160"/>
      <c r="AM734" s="160"/>
      <c r="AN734" s="164"/>
      <c r="AO734" s="160"/>
      <c r="AP734" s="160"/>
      <c r="AQ734" s="160"/>
      <c r="AR734" s="160"/>
      <c r="AS734" s="160"/>
      <c r="AT734" s="160"/>
      <c r="AU734" s="160"/>
      <c r="AV734" s="160"/>
      <c r="AW734" s="160"/>
      <c r="AX734" s="160"/>
      <c r="AY734" s="160"/>
      <c r="AZ734" s="160"/>
      <c r="BA734" s="160"/>
      <c r="BB734" s="160"/>
      <c r="BC734" s="160"/>
      <c r="BD734" s="160"/>
      <c r="BE734" s="160"/>
      <c r="BF734" s="160"/>
      <c r="BG734" s="160"/>
      <c r="BH734" s="160"/>
      <c r="BI734" s="160"/>
      <c r="BJ734" s="160"/>
      <c r="BK734" s="160"/>
      <c r="BL734" s="160"/>
      <c r="BM734" s="160"/>
      <c r="BN734" s="160"/>
      <c r="BO734" s="160"/>
      <c r="BP734" s="160"/>
      <c r="BQ734" s="160"/>
      <c r="BR734" s="160"/>
      <c r="BS734" s="160"/>
      <c r="BT734" s="160"/>
      <c r="BU734" s="160"/>
      <c r="BV734" s="160"/>
      <c r="BW734" s="160"/>
      <c r="BX734" s="160"/>
      <c r="BY734" s="160"/>
      <c r="BZ734" s="160"/>
      <c r="CA734" s="160"/>
      <c r="CB734" s="160"/>
      <c r="CC734" s="160"/>
      <c r="CD734" s="160"/>
      <c r="CE734" s="160"/>
      <c r="CF734" s="160"/>
      <c r="CG734" s="160"/>
      <c r="CH734" s="160"/>
      <c r="CI734" s="160"/>
      <c r="CJ734" s="160"/>
      <c r="CK734" s="160"/>
      <c r="CL734" s="160"/>
    </row>
    <row r="735">
      <c r="A735" s="171"/>
      <c r="F735" s="11"/>
      <c r="G735" s="11"/>
      <c r="L735" s="171"/>
      <c r="M735" s="171"/>
      <c r="O735" s="160"/>
      <c r="P735" s="160"/>
      <c r="Q735" s="160"/>
      <c r="R735" s="160"/>
      <c r="S735" s="160"/>
      <c r="T735" s="207"/>
      <c r="U735" s="160"/>
      <c r="V735" s="160"/>
      <c r="W735" s="160"/>
      <c r="X735" s="160"/>
      <c r="Y735" s="160"/>
      <c r="Z735" s="160"/>
      <c r="AA735" s="160"/>
      <c r="AB735" s="160"/>
      <c r="AC735" s="160"/>
      <c r="AD735" s="160"/>
      <c r="AE735" s="160"/>
      <c r="AF735" s="160"/>
      <c r="AG735" s="160"/>
      <c r="AH735" s="160"/>
      <c r="AI735" s="160"/>
      <c r="AJ735" s="160"/>
      <c r="AK735" s="160"/>
      <c r="AL735" s="160"/>
      <c r="AM735" s="160"/>
      <c r="AN735" s="164"/>
      <c r="AO735" s="160"/>
      <c r="AP735" s="160"/>
      <c r="AQ735" s="160"/>
      <c r="AR735" s="160"/>
      <c r="AS735" s="160"/>
      <c r="AT735" s="160"/>
      <c r="AU735" s="160"/>
      <c r="AV735" s="160"/>
      <c r="AW735" s="160"/>
      <c r="AX735" s="160"/>
      <c r="AY735" s="160"/>
      <c r="AZ735" s="160"/>
      <c r="BA735" s="160"/>
      <c r="BB735" s="160"/>
      <c r="BC735" s="160"/>
      <c r="BD735" s="160"/>
      <c r="BE735" s="160"/>
      <c r="BF735" s="160"/>
      <c r="BG735" s="160"/>
      <c r="BH735" s="160"/>
      <c r="BI735" s="160"/>
      <c r="BJ735" s="160"/>
      <c r="BK735" s="160"/>
      <c r="BL735" s="160"/>
      <c r="BM735" s="160"/>
      <c r="BN735" s="160"/>
      <c r="BO735" s="160"/>
      <c r="BP735" s="160"/>
      <c r="BQ735" s="160"/>
      <c r="BR735" s="160"/>
      <c r="BS735" s="160"/>
      <c r="BT735" s="160"/>
      <c r="BU735" s="160"/>
      <c r="BV735" s="160"/>
      <c r="BW735" s="160"/>
      <c r="BX735" s="160"/>
      <c r="BY735" s="160"/>
      <c r="BZ735" s="160"/>
      <c r="CA735" s="160"/>
      <c r="CB735" s="160"/>
      <c r="CC735" s="160"/>
      <c r="CD735" s="160"/>
      <c r="CE735" s="160"/>
      <c r="CF735" s="160"/>
      <c r="CG735" s="160"/>
      <c r="CH735" s="160"/>
      <c r="CI735" s="160"/>
      <c r="CJ735" s="160"/>
      <c r="CK735" s="160"/>
      <c r="CL735" s="160"/>
    </row>
    <row r="736">
      <c r="A736" s="171"/>
      <c r="F736" s="11"/>
      <c r="G736" s="11"/>
      <c r="L736" s="171"/>
      <c r="M736" s="171"/>
      <c r="O736" s="160"/>
      <c r="P736" s="160"/>
      <c r="Q736" s="160"/>
      <c r="R736" s="160"/>
      <c r="S736" s="160"/>
      <c r="T736" s="207"/>
      <c r="U736" s="160"/>
      <c r="V736" s="160"/>
      <c r="W736" s="160"/>
      <c r="X736" s="160"/>
      <c r="Y736" s="160"/>
      <c r="Z736" s="160"/>
      <c r="AA736" s="160"/>
      <c r="AB736" s="160"/>
      <c r="AC736" s="160"/>
      <c r="AD736" s="160"/>
      <c r="AE736" s="160"/>
      <c r="AF736" s="160"/>
      <c r="AG736" s="160"/>
      <c r="AH736" s="160"/>
      <c r="AI736" s="160"/>
      <c r="AJ736" s="160"/>
      <c r="AK736" s="160"/>
      <c r="AL736" s="160"/>
      <c r="AM736" s="160"/>
      <c r="AN736" s="164"/>
      <c r="AO736" s="160"/>
      <c r="AP736" s="160"/>
      <c r="AQ736" s="160"/>
      <c r="AR736" s="160"/>
      <c r="AS736" s="160"/>
      <c r="AT736" s="160"/>
      <c r="AU736" s="160"/>
      <c r="AV736" s="160"/>
      <c r="AW736" s="160"/>
      <c r="AX736" s="160"/>
      <c r="AY736" s="160"/>
      <c r="AZ736" s="160"/>
      <c r="BA736" s="160"/>
      <c r="BB736" s="160"/>
      <c r="BC736" s="160"/>
      <c r="BD736" s="160"/>
      <c r="BE736" s="160"/>
      <c r="BF736" s="160"/>
      <c r="BG736" s="160"/>
      <c r="BH736" s="160"/>
      <c r="BI736" s="160"/>
      <c r="BJ736" s="160"/>
      <c r="BK736" s="160"/>
      <c r="BL736" s="160"/>
      <c r="BM736" s="160"/>
      <c r="BN736" s="160"/>
      <c r="BO736" s="160"/>
      <c r="BP736" s="160"/>
      <c r="BQ736" s="160"/>
      <c r="BR736" s="160"/>
      <c r="BS736" s="160"/>
      <c r="BT736" s="160"/>
      <c r="BU736" s="160"/>
      <c r="BV736" s="160"/>
      <c r="BW736" s="160"/>
      <c r="BX736" s="160"/>
      <c r="BY736" s="160"/>
      <c r="BZ736" s="160"/>
      <c r="CA736" s="160"/>
      <c r="CB736" s="160"/>
      <c r="CC736" s="160"/>
      <c r="CD736" s="160"/>
      <c r="CE736" s="160"/>
      <c r="CF736" s="160"/>
      <c r="CG736" s="160"/>
      <c r="CH736" s="160"/>
      <c r="CI736" s="160"/>
      <c r="CJ736" s="160"/>
      <c r="CK736" s="160"/>
      <c r="CL736" s="160"/>
    </row>
    <row r="737">
      <c r="A737" s="171"/>
      <c r="F737" s="11"/>
      <c r="G737" s="11"/>
      <c r="L737" s="171"/>
      <c r="M737" s="171"/>
      <c r="O737" s="160"/>
      <c r="P737" s="160"/>
      <c r="Q737" s="160"/>
      <c r="R737" s="160"/>
      <c r="S737" s="160"/>
      <c r="T737" s="207"/>
      <c r="U737" s="160"/>
      <c r="V737" s="160"/>
      <c r="W737" s="160"/>
      <c r="X737" s="160"/>
      <c r="Y737" s="160"/>
      <c r="Z737" s="160"/>
      <c r="AA737" s="160"/>
      <c r="AB737" s="160"/>
      <c r="AC737" s="160"/>
      <c r="AD737" s="160"/>
      <c r="AE737" s="160"/>
      <c r="AF737" s="160"/>
      <c r="AG737" s="160"/>
      <c r="AH737" s="160"/>
      <c r="AI737" s="160"/>
      <c r="AJ737" s="160"/>
      <c r="AK737" s="160"/>
      <c r="AL737" s="160"/>
      <c r="AM737" s="160"/>
      <c r="AN737" s="164"/>
      <c r="AO737" s="160"/>
      <c r="AP737" s="160"/>
      <c r="AQ737" s="160"/>
      <c r="AR737" s="160"/>
      <c r="AS737" s="160"/>
      <c r="AT737" s="160"/>
      <c r="AU737" s="160"/>
      <c r="AV737" s="160"/>
      <c r="AW737" s="160"/>
      <c r="AX737" s="160"/>
      <c r="AY737" s="160"/>
      <c r="AZ737" s="160"/>
      <c r="BA737" s="160"/>
      <c r="BB737" s="160"/>
      <c r="BC737" s="160"/>
      <c r="BD737" s="160"/>
      <c r="BE737" s="160"/>
      <c r="BF737" s="160"/>
      <c r="BG737" s="160"/>
      <c r="BH737" s="160"/>
      <c r="BI737" s="160"/>
      <c r="BJ737" s="160"/>
      <c r="BK737" s="160"/>
      <c r="BL737" s="160"/>
      <c r="BM737" s="160"/>
      <c r="BN737" s="160"/>
      <c r="BO737" s="160"/>
      <c r="BP737" s="160"/>
      <c r="BQ737" s="160"/>
      <c r="BR737" s="160"/>
      <c r="BS737" s="160"/>
      <c r="BT737" s="160"/>
      <c r="BU737" s="160"/>
      <c r="BV737" s="160"/>
      <c r="BW737" s="160"/>
      <c r="BX737" s="160"/>
      <c r="BY737" s="160"/>
      <c r="BZ737" s="160"/>
      <c r="CA737" s="160"/>
      <c r="CB737" s="160"/>
      <c r="CC737" s="160"/>
      <c r="CD737" s="160"/>
      <c r="CE737" s="160"/>
      <c r="CF737" s="160"/>
      <c r="CG737" s="160"/>
      <c r="CH737" s="160"/>
      <c r="CI737" s="160"/>
      <c r="CJ737" s="160"/>
      <c r="CK737" s="160"/>
      <c r="CL737" s="160"/>
    </row>
    <row r="738">
      <c r="A738" s="171"/>
      <c r="F738" s="11"/>
      <c r="G738" s="11"/>
      <c r="L738" s="171"/>
      <c r="M738" s="171"/>
      <c r="O738" s="160"/>
      <c r="P738" s="160"/>
      <c r="Q738" s="160"/>
      <c r="R738" s="160"/>
      <c r="S738" s="160"/>
      <c r="T738" s="207"/>
      <c r="U738" s="160"/>
      <c r="V738" s="160"/>
      <c r="W738" s="160"/>
      <c r="X738" s="160"/>
      <c r="Y738" s="160"/>
      <c r="Z738" s="160"/>
      <c r="AA738" s="160"/>
      <c r="AB738" s="160"/>
      <c r="AC738" s="160"/>
      <c r="AD738" s="160"/>
      <c r="AE738" s="160"/>
      <c r="AF738" s="160"/>
      <c r="AG738" s="160"/>
      <c r="AH738" s="160"/>
      <c r="AI738" s="160"/>
      <c r="AJ738" s="160"/>
      <c r="AK738" s="160"/>
      <c r="AL738" s="160"/>
      <c r="AM738" s="160"/>
      <c r="AN738" s="164"/>
      <c r="AO738" s="160"/>
      <c r="AP738" s="160"/>
      <c r="AQ738" s="160"/>
      <c r="AR738" s="160"/>
      <c r="AS738" s="160"/>
      <c r="AT738" s="160"/>
      <c r="AU738" s="160"/>
      <c r="AV738" s="160"/>
      <c r="AW738" s="160"/>
      <c r="AX738" s="160"/>
      <c r="AY738" s="160"/>
      <c r="AZ738" s="160"/>
      <c r="BA738" s="160"/>
      <c r="BB738" s="160"/>
      <c r="BC738" s="160"/>
      <c r="BD738" s="160"/>
      <c r="BE738" s="160"/>
      <c r="BF738" s="160"/>
      <c r="BG738" s="160"/>
      <c r="BH738" s="160"/>
      <c r="BI738" s="160"/>
      <c r="BJ738" s="160"/>
      <c r="BK738" s="160"/>
      <c r="BL738" s="160"/>
      <c r="BM738" s="160"/>
      <c r="BN738" s="160"/>
      <c r="BO738" s="160"/>
      <c r="BP738" s="160"/>
      <c r="BQ738" s="160"/>
      <c r="BR738" s="160"/>
      <c r="BS738" s="160"/>
      <c r="BT738" s="160"/>
      <c r="BU738" s="160"/>
      <c r="BV738" s="160"/>
      <c r="BW738" s="160"/>
      <c r="BX738" s="160"/>
      <c r="BY738" s="160"/>
      <c r="BZ738" s="160"/>
      <c r="CA738" s="160"/>
      <c r="CB738" s="160"/>
      <c r="CC738" s="160"/>
      <c r="CD738" s="160"/>
      <c r="CE738" s="160"/>
      <c r="CF738" s="160"/>
      <c r="CG738" s="160"/>
      <c r="CH738" s="160"/>
      <c r="CI738" s="160"/>
      <c r="CJ738" s="160"/>
      <c r="CK738" s="160"/>
      <c r="CL738" s="160"/>
    </row>
    <row r="739">
      <c r="A739" s="171"/>
      <c r="F739" s="11"/>
      <c r="G739" s="11"/>
      <c r="L739" s="171"/>
      <c r="M739" s="171"/>
      <c r="O739" s="160"/>
      <c r="P739" s="160"/>
      <c r="Q739" s="160"/>
      <c r="R739" s="160"/>
      <c r="S739" s="160"/>
      <c r="T739" s="207"/>
      <c r="U739" s="160"/>
      <c r="V739" s="160"/>
      <c r="W739" s="160"/>
      <c r="X739" s="160"/>
      <c r="Y739" s="160"/>
      <c r="Z739" s="160"/>
      <c r="AA739" s="160"/>
      <c r="AB739" s="160"/>
      <c r="AC739" s="160"/>
      <c r="AD739" s="160"/>
      <c r="AE739" s="160"/>
      <c r="AF739" s="160"/>
      <c r="AG739" s="160"/>
      <c r="AH739" s="160"/>
      <c r="AI739" s="160"/>
      <c r="AJ739" s="160"/>
      <c r="AK739" s="160"/>
      <c r="AL739" s="160"/>
      <c r="AM739" s="160"/>
      <c r="AN739" s="164"/>
      <c r="AO739" s="160"/>
      <c r="AP739" s="160"/>
      <c r="AQ739" s="160"/>
      <c r="AR739" s="160"/>
      <c r="AS739" s="160"/>
      <c r="AT739" s="160"/>
      <c r="AU739" s="160"/>
      <c r="AV739" s="160"/>
      <c r="AW739" s="160"/>
      <c r="AX739" s="160"/>
      <c r="AY739" s="160"/>
      <c r="AZ739" s="160"/>
      <c r="BA739" s="160"/>
      <c r="BB739" s="160"/>
      <c r="BC739" s="160"/>
      <c r="BD739" s="160"/>
      <c r="BE739" s="160"/>
      <c r="BF739" s="160"/>
      <c r="BG739" s="160"/>
      <c r="BH739" s="160"/>
      <c r="BI739" s="160"/>
      <c r="BJ739" s="160"/>
      <c r="BK739" s="160"/>
      <c r="BL739" s="160"/>
      <c r="BM739" s="160"/>
      <c r="BN739" s="160"/>
      <c r="BO739" s="160"/>
      <c r="BP739" s="160"/>
      <c r="BQ739" s="160"/>
      <c r="BR739" s="160"/>
      <c r="BS739" s="160"/>
      <c r="BT739" s="160"/>
      <c r="BU739" s="160"/>
      <c r="BV739" s="160"/>
      <c r="BW739" s="160"/>
      <c r="BX739" s="160"/>
      <c r="BY739" s="160"/>
      <c r="BZ739" s="160"/>
      <c r="CA739" s="160"/>
      <c r="CB739" s="160"/>
      <c r="CC739" s="160"/>
      <c r="CD739" s="160"/>
      <c r="CE739" s="160"/>
      <c r="CF739" s="160"/>
      <c r="CG739" s="160"/>
      <c r="CH739" s="160"/>
      <c r="CI739" s="160"/>
      <c r="CJ739" s="160"/>
      <c r="CK739" s="160"/>
      <c r="CL739" s="160"/>
    </row>
    <row r="740">
      <c r="A740" s="171"/>
      <c r="F740" s="11"/>
      <c r="G740" s="11"/>
      <c r="L740" s="171"/>
      <c r="M740" s="171"/>
      <c r="O740" s="160"/>
      <c r="P740" s="160"/>
      <c r="Q740" s="160"/>
      <c r="R740" s="160"/>
      <c r="S740" s="160"/>
      <c r="T740" s="207"/>
      <c r="U740" s="160"/>
      <c r="V740" s="160"/>
      <c r="W740" s="160"/>
      <c r="X740" s="160"/>
      <c r="Y740" s="160"/>
      <c r="Z740" s="160"/>
      <c r="AA740" s="160"/>
      <c r="AB740" s="160"/>
      <c r="AC740" s="160"/>
      <c r="AD740" s="160"/>
      <c r="AE740" s="160"/>
      <c r="AF740" s="160"/>
      <c r="AG740" s="160"/>
      <c r="AH740" s="160"/>
      <c r="AI740" s="160"/>
      <c r="AJ740" s="160"/>
      <c r="AK740" s="160"/>
      <c r="AL740" s="160"/>
      <c r="AM740" s="160"/>
      <c r="AN740" s="164"/>
      <c r="AO740" s="160"/>
      <c r="AP740" s="160"/>
      <c r="AQ740" s="160"/>
      <c r="AR740" s="160"/>
      <c r="AS740" s="160"/>
      <c r="AT740" s="160"/>
      <c r="AU740" s="160"/>
      <c r="AV740" s="160"/>
      <c r="AW740" s="160"/>
      <c r="AX740" s="160"/>
      <c r="AY740" s="160"/>
      <c r="AZ740" s="160"/>
      <c r="BA740" s="160"/>
      <c r="BB740" s="160"/>
      <c r="BC740" s="160"/>
      <c r="BD740" s="160"/>
      <c r="BE740" s="160"/>
      <c r="BF740" s="160"/>
      <c r="BG740" s="160"/>
      <c r="BH740" s="160"/>
      <c r="BI740" s="160"/>
      <c r="BJ740" s="160"/>
      <c r="BK740" s="160"/>
      <c r="BL740" s="160"/>
      <c r="BM740" s="160"/>
      <c r="BN740" s="160"/>
      <c r="BO740" s="160"/>
      <c r="BP740" s="160"/>
      <c r="BQ740" s="160"/>
      <c r="BR740" s="160"/>
      <c r="BS740" s="160"/>
      <c r="BT740" s="160"/>
      <c r="BU740" s="160"/>
      <c r="BV740" s="160"/>
      <c r="BW740" s="160"/>
      <c r="BX740" s="160"/>
      <c r="BY740" s="160"/>
      <c r="BZ740" s="160"/>
      <c r="CA740" s="160"/>
      <c r="CB740" s="160"/>
      <c r="CC740" s="160"/>
      <c r="CD740" s="160"/>
      <c r="CE740" s="160"/>
      <c r="CF740" s="160"/>
      <c r="CG740" s="160"/>
      <c r="CH740" s="160"/>
      <c r="CI740" s="160"/>
      <c r="CJ740" s="160"/>
      <c r="CK740" s="160"/>
      <c r="CL740" s="160"/>
    </row>
    <row r="741">
      <c r="A741" s="171"/>
      <c r="F741" s="11"/>
      <c r="G741" s="11"/>
      <c r="L741" s="171"/>
      <c r="M741" s="171"/>
      <c r="O741" s="160"/>
      <c r="P741" s="160"/>
      <c r="Q741" s="160"/>
      <c r="R741" s="160"/>
      <c r="S741" s="160"/>
      <c r="T741" s="207"/>
      <c r="U741" s="160"/>
      <c r="V741" s="160"/>
      <c r="W741" s="160"/>
      <c r="X741" s="160"/>
      <c r="Y741" s="160"/>
      <c r="Z741" s="160"/>
      <c r="AA741" s="160"/>
      <c r="AB741" s="160"/>
      <c r="AC741" s="160"/>
      <c r="AD741" s="160"/>
      <c r="AE741" s="160"/>
      <c r="AF741" s="160"/>
      <c r="AG741" s="160"/>
      <c r="AH741" s="160"/>
      <c r="AI741" s="160"/>
      <c r="AJ741" s="160"/>
      <c r="AK741" s="160"/>
      <c r="AL741" s="160"/>
      <c r="AM741" s="160"/>
      <c r="AN741" s="164"/>
      <c r="AO741" s="160"/>
      <c r="AP741" s="160"/>
      <c r="AQ741" s="160"/>
      <c r="AR741" s="160"/>
      <c r="AS741" s="160"/>
      <c r="AT741" s="160"/>
      <c r="AU741" s="160"/>
      <c r="AV741" s="160"/>
      <c r="AW741" s="160"/>
      <c r="AX741" s="160"/>
      <c r="AY741" s="160"/>
      <c r="AZ741" s="160"/>
      <c r="BA741" s="160"/>
      <c r="BB741" s="160"/>
      <c r="BC741" s="160"/>
      <c r="BD741" s="160"/>
      <c r="BE741" s="160"/>
      <c r="BF741" s="160"/>
      <c r="BG741" s="160"/>
      <c r="BH741" s="160"/>
      <c r="BI741" s="160"/>
      <c r="BJ741" s="160"/>
      <c r="BK741" s="160"/>
      <c r="BL741" s="160"/>
      <c r="BM741" s="160"/>
      <c r="BN741" s="160"/>
      <c r="BO741" s="160"/>
      <c r="BP741" s="160"/>
      <c r="BQ741" s="160"/>
      <c r="BR741" s="160"/>
      <c r="BS741" s="160"/>
      <c r="BT741" s="160"/>
      <c r="BU741" s="160"/>
      <c r="BV741" s="160"/>
      <c r="BW741" s="160"/>
      <c r="BX741" s="160"/>
      <c r="BY741" s="160"/>
      <c r="BZ741" s="160"/>
      <c r="CA741" s="160"/>
      <c r="CB741" s="160"/>
      <c r="CC741" s="160"/>
      <c r="CD741" s="160"/>
      <c r="CE741" s="160"/>
      <c r="CF741" s="160"/>
      <c r="CG741" s="160"/>
      <c r="CH741" s="160"/>
      <c r="CI741" s="160"/>
      <c r="CJ741" s="160"/>
      <c r="CK741" s="160"/>
      <c r="CL741" s="160"/>
    </row>
    <row r="742">
      <c r="A742" s="171"/>
      <c r="F742" s="11"/>
      <c r="G742" s="11"/>
      <c r="L742" s="171"/>
      <c r="M742" s="171"/>
      <c r="O742" s="160"/>
      <c r="P742" s="160"/>
      <c r="Q742" s="160"/>
      <c r="R742" s="160"/>
      <c r="S742" s="160"/>
      <c r="T742" s="207"/>
      <c r="U742" s="160"/>
      <c r="V742" s="160"/>
      <c r="W742" s="160"/>
      <c r="X742" s="160"/>
      <c r="Y742" s="160"/>
      <c r="Z742" s="160"/>
      <c r="AA742" s="160"/>
      <c r="AB742" s="160"/>
      <c r="AC742" s="160"/>
      <c r="AD742" s="160"/>
      <c r="AE742" s="160"/>
      <c r="AF742" s="160"/>
      <c r="AG742" s="160"/>
      <c r="AH742" s="160"/>
      <c r="AI742" s="160"/>
      <c r="AJ742" s="160"/>
      <c r="AK742" s="160"/>
      <c r="AL742" s="160"/>
      <c r="AM742" s="160"/>
      <c r="AN742" s="164"/>
      <c r="AO742" s="160"/>
      <c r="AP742" s="160"/>
      <c r="AQ742" s="160"/>
      <c r="AR742" s="160"/>
      <c r="AS742" s="160"/>
      <c r="AT742" s="160"/>
      <c r="AU742" s="160"/>
      <c r="AV742" s="160"/>
      <c r="AW742" s="160"/>
      <c r="AX742" s="160"/>
      <c r="AY742" s="160"/>
      <c r="AZ742" s="160"/>
      <c r="BA742" s="160"/>
      <c r="BB742" s="160"/>
      <c r="BC742" s="160"/>
      <c r="BD742" s="160"/>
      <c r="BE742" s="160"/>
      <c r="BF742" s="160"/>
      <c r="BG742" s="160"/>
      <c r="BH742" s="160"/>
      <c r="BI742" s="160"/>
      <c r="BJ742" s="160"/>
      <c r="BK742" s="160"/>
      <c r="BL742" s="160"/>
      <c r="BM742" s="160"/>
      <c r="BN742" s="160"/>
      <c r="BO742" s="160"/>
      <c r="BP742" s="160"/>
      <c r="BQ742" s="160"/>
      <c r="BR742" s="160"/>
      <c r="BS742" s="160"/>
      <c r="BT742" s="160"/>
      <c r="BU742" s="160"/>
      <c r="BV742" s="160"/>
      <c r="BW742" s="160"/>
      <c r="BX742" s="160"/>
      <c r="BY742" s="160"/>
      <c r="BZ742" s="160"/>
      <c r="CA742" s="160"/>
      <c r="CB742" s="160"/>
      <c r="CC742" s="160"/>
      <c r="CD742" s="160"/>
      <c r="CE742" s="160"/>
      <c r="CF742" s="160"/>
      <c r="CG742" s="160"/>
      <c r="CH742" s="160"/>
      <c r="CI742" s="160"/>
      <c r="CJ742" s="160"/>
      <c r="CK742" s="160"/>
      <c r="CL742" s="160"/>
    </row>
    <row r="743">
      <c r="A743" s="171"/>
      <c r="F743" s="11"/>
      <c r="G743" s="11"/>
      <c r="L743" s="171"/>
      <c r="M743" s="171"/>
      <c r="O743" s="160"/>
      <c r="P743" s="160"/>
      <c r="Q743" s="160"/>
      <c r="R743" s="160"/>
      <c r="S743" s="160"/>
      <c r="T743" s="207"/>
      <c r="U743" s="160"/>
      <c r="V743" s="160"/>
      <c r="W743" s="160"/>
      <c r="X743" s="160"/>
      <c r="Y743" s="160"/>
      <c r="Z743" s="160"/>
      <c r="AA743" s="160"/>
      <c r="AB743" s="160"/>
      <c r="AC743" s="160"/>
      <c r="AD743" s="160"/>
      <c r="AE743" s="160"/>
      <c r="AF743" s="160"/>
      <c r="AG743" s="160"/>
      <c r="AH743" s="160"/>
      <c r="AI743" s="160"/>
      <c r="AJ743" s="160"/>
      <c r="AK743" s="160"/>
      <c r="AL743" s="160"/>
      <c r="AM743" s="160"/>
      <c r="AN743" s="164"/>
      <c r="AO743" s="160"/>
      <c r="AP743" s="160"/>
      <c r="AQ743" s="160"/>
      <c r="AR743" s="160"/>
      <c r="AS743" s="160"/>
      <c r="AT743" s="160"/>
      <c r="AU743" s="160"/>
      <c r="AV743" s="160"/>
      <c r="AW743" s="160"/>
      <c r="AX743" s="160"/>
      <c r="AY743" s="160"/>
      <c r="AZ743" s="160"/>
      <c r="BA743" s="160"/>
      <c r="BB743" s="160"/>
      <c r="BC743" s="160"/>
      <c r="BD743" s="160"/>
      <c r="BE743" s="160"/>
      <c r="BF743" s="160"/>
      <c r="BG743" s="160"/>
      <c r="BH743" s="160"/>
      <c r="BI743" s="160"/>
      <c r="BJ743" s="160"/>
      <c r="BK743" s="160"/>
      <c r="BL743" s="160"/>
      <c r="BM743" s="160"/>
      <c r="BN743" s="160"/>
      <c r="BO743" s="160"/>
      <c r="BP743" s="160"/>
      <c r="BQ743" s="160"/>
      <c r="BR743" s="160"/>
      <c r="BS743" s="160"/>
      <c r="BT743" s="160"/>
      <c r="BU743" s="160"/>
      <c r="BV743" s="160"/>
      <c r="BW743" s="160"/>
      <c r="BX743" s="160"/>
      <c r="BY743" s="160"/>
      <c r="BZ743" s="160"/>
      <c r="CA743" s="160"/>
      <c r="CB743" s="160"/>
      <c r="CC743" s="160"/>
      <c r="CD743" s="160"/>
      <c r="CE743" s="160"/>
      <c r="CF743" s="160"/>
      <c r="CG743" s="160"/>
      <c r="CH743" s="160"/>
      <c r="CI743" s="160"/>
      <c r="CJ743" s="160"/>
      <c r="CK743" s="160"/>
      <c r="CL743" s="160"/>
    </row>
    <row r="744">
      <c r="A744" s="171"/>
      <c r="F744" s="11"/>
      <c r="G744" s="11"/>
      <c r="L744" s="171"/>
      <c r="M744" s="171"/>
      <c r="O744" s="160"/>
      <c r="P744" s="160"/>
      <c r="Q744" s="160"/>
      <c r="R744" s="160"/>
      <c r="S744" s="160"/>
      <c r="T744" s="207"/>
      <c r="U744" s="160"/>
      <c r="V744" s="160"/>
      <c r="W744" s="160"/>
      <c r="X744" s="160"/>
      <c r="Y744" s="160"/>
      <c r="Z744" s="160"/>
      <c r="AA744" s="160"/>
      <c r="AB744" s="160"/>
      <c r="AC744" s="160"/>
      <c r="AD744" s="160"/>
      <c r="AE744" s="160"/>
      <c r="AF744" s="160"/>
      <c r="AG744" s="160"/>
      <c r="AH744" s="160"/>
      <c r="AI744" s="160"/>
      <c r="AJ744" s="160"/>
      <c r="AK744" s="160"/>
      <c r="AL744" s="160"/>
      <c r="AM744" s="160"/>
      <c r="AN744" s="164"/>
      <c r="AO744" s="160"/>
      <c r="AP744" s="160"/>
      <c r="AQ744" s="160"/>
      <c r="AR744" s="160"/>
      <c r="AS744" s="160"/>
      <c r="AT744" s="160"/>
      <c r="AU744" s="160"/>
      <c r="AV744" s="160"/>
      <c r="AW744" s="160"/>
      <c r="AX744" s="160"/>
      <c r="AY744" s="160"/>
      <c r="AZ744" s="160"/>
      <c r="BA744" s="160"/>
      <c r="BB744" s="160"/>
      <c r="BC744" s="160"/>
      <c r="BD744" s="160"/>
      <c r="BE744" s="160"/>
      <c r="BF744" s="160"/>
      <c r="BG744" s="160"/>
      <c r="BH744" s="160"/>
      <c r="BI744" s="160"/>
      <c r="BJ744" s="160"/>
      <c r="BK744" s="160"/>
      <c r="BL744" s="160"/>
      <c r="BM744" s="160"/>
      <c r="BN744" s="160"/>
      <c r="BO744" s="160"/>
      <c r="BP744" s="160"/>
      <c r="BQ744" s="160"/>
      <c r="BR744" s="160"/>
      <c r="BS744" s="160"/>
      <c r="BT744" s="160"/>
      <c r="BU744" s="160"/>
      <c r="BV744" s="160"/>
      <c r="BW744" s="160"/>
      <c r="BX744" s="160"/>
      <c r="BY744" s="160"/>
      <c r="BZ744" s="160"/>
      <c r="CA744" s="160"/>
      <c r="CB744" s="160"/>
      <c r="CC744" s="160"/>
      <c r="CD744" s="160"/>
      <c r="CE744" s="160"/>
      <c r="CF744" s="160"/>
      <c r="CG744" s="160"/>
      <c r="CH744" s="160"/>
      <c r="CI744" s="160"/>
      <c r="CJ744" s="160"/>
      <c r="CK744" s="160"/>
      <c r="CL744" s="160"/>
    </row>
    <row r="745">
      <c r="A745" s="171"/>
      <c r="F745" s="11"/>
      <c r="G745" s="11"/>
      <c r="L745" s="171"/>
      <c r="M745" s="171"/>
      <c r="O745" s="160"/>
      <c r="P745" s="160"/>
      <c r="Q745" s="160"/>
      <c r="R745" s="160"/>
      <c r="S745" s="160"/>
      <c r="T745" s="207"/>
      <c r="U745" s="160"/>
      <c r="V745" s="160"/>
      <c r="W745" s="160"/>
      <c r="X745" s="160"/>
      <c r="Y745" s="160"/>
      <c r="Z745" s="160"/>
      <c r="AA745" s="160"/>
      <c r="AB745" s="160"/>
      <c r="AC745" s="160"/>
      <c r="AD745" s="160"/>
      <c r="AE745" s="160"/>
      <c r="AF745" s="160"/>
      <c r="AG745" s="160"/>
      <c r="AH745" s="160"/>
      <c r="AI745" s="160"/>
      <c r="AJ745" s="160"/>
      <c r="AK745" s="160"/>
      <c r="AL745" s="160"/>
      <c r="AM745" s="160"/>
      <c r="AN745" s="164"/>
      <c r="AO745" s="160"/>
      <c r="AP745" s="160"/>
      <c r="AQ745" s="160"/>
      <c r="AR745" s="160"/>
      <c r="AS745" s="160"/>
      <c r="AT745" s="160"/>
      <c r="AU745" s="160"/>
      <c r="AV745" s="160"/>
      <c r="AW745" s="160"/>
      <c r="AX745" s="160"/>
      <c r="AY745" s="160"/>
      <c r="AZ745" s="160"/>
      <c r="BA745" s="160"/>
      <c r="BB745" s="160"/>
      <c r="BC745" s="160"/>
      <c r="BD745" s="160"/>
      <c r="BE745" s="160"/>
      <c r="BF745" s="160"/>
      <c r="BG745" s="160"/>
      <c r="BH745" s="160"/>
      <c r="BI745" s="160"/>
      <c r="BJ745" s="160"/>
      <c r="BK745" s="160"/>
      <c r="BL745" s="160"/>
      <c r="BM745" s="160"/>
      <c r="BN745" s="160"/>
      <c r="BO745" s="160"/>
      <c r="BP745" s="160"/>
      <c r="BQ745" s="160"/>
      <c r="BR745" s="160"/>
      <c r="BS745" s="160"/>
      <c r="BT745" s="160"/>
      <c r="BU745" s="160"/>
      <c r="BV745" s="160"/>
      <c r="BW745" s="160"/>
      <c r="BX745" s="160"/>
      <c r="BY745" s="160"/>
      <c r="BZ745" s="160"/>
      <c r="CA745" s="160"/>
      <c r="CB745" s="160"/>
      <c r="CC745" s="160"/>
      <c r="CD745" s="160"/>
      <c r="CE745" s="160"/>
      <c r="CF745" s="160"/>
      <c r="CG745" s="160"/>
      <c r="CH745" s="160"/>
      <c r="CI745" s="160"/>
      <c r="CJ745" s="160"/>
      <c r="CK745" s="160"/>
      <c r="CL745" s="160"/>
    </row>
    <row r="746">
      <c r="A746" s="171"/>
      <c r="F746" s="11"/>
      <c r="G746" s="11"/>
      <c r="L746" s="171"/>
      <c r="M746" s="171"/>
      <c r="O746" s="160"/>
      <c r="P746" s="160"/>
      <c r="Q746" s="160"/>
      <c r="R746" s="160"/>
      <c r="S746" s="160"/>
      <c r="T746" s="207"/>
      <c r="U746" s="160"/>
      <c r="V746" s="160"/>
      <c r="W746" s="160"/>
      <c r="X746" s="160"/>
      <c r="Y746" s="160"/>
      <c r="Z746" s="160"/>
      <c r="AA746" s="160"/>
      <c r="AB746" s="160"/>
      <c r="AC746" s="160"/>
      <c r="AD746" s="160"/>
      <c r="AE746" s="160"/>
      <c r="AF746" s="160"/>
      <c r="AG746" s="160"/>
      <c r="AH746" s="160"/>
      <c r="AI746" s="160"/>
      <c r="AJ746" s="160"/>
      <c r="AK746" s="160"/>
      <c r="AL746" s="160"/>
      <c r="AM746" s="160"/>
      <c r="AN746" s="164"/>
      <c r="AO746" s="160"/>
      <c r="AP746" s="160"/>
      <c r="AQ746" s="160"/>
      <c r="AR746" s="160"/>
      <c r="AS746" s="160"/>
      <c r="AT746" s="160"/>
      <c r="AU746" s="160"/>
      <c r="AV746" s="160"/>
      <c r="AW746" s="160"/>
      <c r="AX746" s="160"/>
      <c r="AY746" s="160"/>
      <c r="AZ746" s="160"/>
      <c r="BA746" s="160"/>
      <c r="BB746" s="160"/>
      <c r="BC746" s="160"/>
      <c r="BD746" s="160"/>
      <c r="BE746" s="160"/>
      <c r="BF746" s="160"/>
      <c r="BG746" s="160"/>
      <c r="BH746" s="160"/>
      <c r="BI746" s="160"/>
      <c r="BJ746" s="160"/>
      <c r="BK746" s="160"/>
      <c r="BL746" s="160"/>
      <c r="BM746" s="160"/>
      <c r="BN746" s="160"/>
      <c r="BO746" s="160"/>
      <c r="BP746" s="160"/>
      <c r="BQ746" s="160"/>
      <c r="BR746" s="160"/>
      <c r="BS746" s="160"/>
      <c r="BT746" s="160"/>
      <c r="BU746" s="160"/>
      <c r="BV746" s="160"/>
      <c r="BW746" s="160"/>
      <c r="BX746" s="160"/>
      <c r="BY746" s="160"/>
      <c r="BZ746" s="160"/>
      <c r="CA746" s="160"/>
      <c r="CB746" s="160"/>
      <c r="CC746" s="160"/>
      <c r="CD746" s="160"/>
      <c r="CE746" s="160"/>
      <c r="CF746" s="160"/>
      <c r="CG746" s="160"/>
      <c r="CH746" s="160"/>
      <c r="CI746" s="160"/>
      <c r="CJ746" s="160"/>
      <c r="CK746" s="160"/>
      <c r="CL746" s="160"/>
    </row>
    <row r="747">
      <c r="A747" s="171"/>
      <c r="F747" s="11"/>
      <c r="G747" s="11"/>
      <c r="L747" s="171"/>
      <c r="M747" s="171"/>
      <c r="O747" s="160"/>
      <c r="P747" s="160"/>
      <c r="Q747" s="160"/>
      <c r="R747" s="160"/>
      <c r="S747" s="160"/>
      <c r="T747" s="207"/>
      <c r="U747" s="160"/>
      <c r="V747" s="160"/>
      <c r="W747" s="160"/>
      <c r="X747" s="160"/>
      <c r="Y747" s="160"/>
      <c r="Z747" s="160"/>
      <c r="AA747" s="160"/>
      <c r="AB747" s="160"/>
      <c r="AC747" s="160"/>
      <c r="AD747" s="160"/>
      <c r="AE747" s="160"/>
      <c r="AF747" s="160"/>
      <c r="AG747" s="160"/>
      <c r="AH747" s="160"/>
      <c r="AI747" s="160"/>
      <c r="AJ747" s="160"/>
      <c r="AK747" s="160"/>
      <c r="AL747" s="160"/>
      <c r="AM747" s="160"/>
      <c r="AN747" s="164"/>
      <c r="AO747" s="160"/>
      <c r="AP747" s="160"/>
      <c r="AQ747" s="160"/>
      <c r="AR747" s="160"/>
      <c r="AS747" s="160"/>
      <c r="AT747" s="160"/>
      <c r="AU747" s="160"/>
      <c r="AV747" s="160"/>
      <c r="AW747" s="160"/>
      <c r="AX747" s="160"/>
      <c r="AY747" s="160"/>
      <c r="AZ747" s="160"/>
      <c r="BA747" s="160"/>
      <c r="BB747" s="160"/>
      <c r="BC747" s="160"/>
      <c r="BD747" s="160"/>
      <c r="BE747" s="160"/>
      <c r="BF747" s="160"/>
      <c r="BG747" s="160"/>
      <c r="BH747" s="160"/>
      <c r="BI747" s="160"/>
      <c r="BJ747" s="160"/>
      <c r="BK747" s="160"/>
      <c r="BL747" s="160"/>
      <c r="BM747" s="160"/>
      <c r="BN747" s="160"/>
      <c r="BO747" s="160"/>
      <c r="BP747" s="160"/>
      <c r="BQ747" s="160"/>
      <c r="BR747" s="160"/>
      <c r="BS747" s="160"/>
      <c r="BT747" s="160"/>
      <c r="BU747" s="160"/>
      <c r="BV747" s="160"/>
      <c r="BW747" s="160"/>
      <c r="BX747" s="160"/>
      <c r="BY747" s="160"/>
      <c r="BZ747" s="160"/>
      <c r="CA747" s="160"/>
      <c r="CB747" s="160"/>
      <c r="CC747" s="160"/>
      <c r="CD747" s="160"/>
      <c r="CE747" s="160"/>
      <c r="CF747" s="160"/>
      <c r="CG747" s="160"/>
      <c r="CH747" s="160"/>
      <c r="CI747" s="160"/>
      <c r="CJ747" s="160"/>
      <c r="CK747" s="160"/>
      <c r="CL747" s="160"/>
    </row>
    <row r="748">
      <c r="A748" s="171"/>
      <c r="F748" s="11"/>
      <c r="G748" s="11"/>
      <c r="L748" s="171"/>
      <c r="M748" s="171"/>
      <c r="O748" s="160"/>
      <c r="P748" s="160"/>
      <c r="Q748" s="160"/>
      <c r="R748" s="160"/>
      <c r="S748" s="160"/>
      <c r="T748" s="207"/>
      <c r="U748" s="160"/>
      <c r="V748" s="160"/>
      <c r="W748" s="160"/>
      <c r="X748" s="160"/>
      <c r="Y748" s="160"/>
      <c r="Z748" s="160"/>
      <c r="AA748" s="160"/>
      <c r="AB748" s="160"/>
      <c r="AC748" s="160"/>
      <c r="AD748" s="160"/>
      <c r="AE748" s="160"/>
      <c r="AF748" s="160"/>
      <c r="AG748" s="160"/>
      <c r="AH748" s="160"/>
      <c r="AI748" s="160"/>
      <c r="AJ748" s="160"/>
      <c r="AK748" s="160"/>
      <c r="AL748" s="160"/>
      <c r="AM748" s="160"/>
      <c r="AN748" s="164"/>
      <c r="AO748" s="160"/>
      <c r="AP748" s="160"/>
      <c r="AQ748" s="160"/>
      <c r="AR748" s="160"/>
      <c r="AS748" s="160"/>
      <c r="AT748" s="160"/>
      <c r="AU748" s="160"/>
      <c r="AV748" s="160"/>
      <c r="AW748" s="160"/>
      <c r="AX748" s="160"/>
      <c r="AY748" s="160"/>
      <c r="AZ748" s="160"/>
      <c r="BA748" s="160"/>
      <c r="BB748" s="160"/>
      <c r="BC748" s="160"/>
      <c r="BD748" s="160"/>
      <c r="BE748" s="160"/>
      <c r="BF748" s="160"/>
      <c r="BG748" s="160"/>
      <c r="BH748" s="160"/>
      <c r="BI748" s="160"/>
      <c r="BJ748" s="160"/>
      <c r="BK748" s="160"/>
      <c r="BL748" s="160"/>
      <c r="BM748" s="160"/>
      <c r="BN748" s="160"/>
      <c r="BO748" s="160"/>
      <c r="BP748" s="160"/>
      <c r="BQ748" s="160"/>
      <c r="BR748" s="160"/>
      <c r="BS748" s="160"/>
      <c r="BT748" s="160"/>
      <c r="BU748" s="160"/>
      <c r="BV748" s="160"/>
      <c r="BW748" s="160"/>
      <c r="BX748" s="160"/>
      <c r="BY748" s="160"/>
      <c r="BZ748" s="160"/>
      <c r="CA748" s="160"/>
      <c r="CB748" s="160"/>
      <c r="CC748" s="160"/>
      <c r="CD748" s="160"/>
      <c r="CE748" s="160"/>
      <c r="CF748" s="160"/>
      <c r="CG748" s="160"/>
      <c r="CH748" s="160"/>
      <c r="CI748" s="160"/>
      <c r="CJ748" s="160"/>
      <c r="CK748" s="160"/>
      <c r="CL748" s="160"/>
    </row>
    <row r="749">
      <c r="A749" s="171"/>
      <c r="F749" s="11"/>
      <c r="G749" s="11"/>
      <c r="L749" s="171"/>
      <c r="M749" s="171"/>
      <c r="O749" s="160"/>
      <c r="P749" s="160"/>
      <c r="Q749" s="160"/>
      <c r="R749" s="160"/>
      <c r="S749" s="160"/>
      <c r="T749" s="207"/>
      <c r="U749" s="160"/>
      <c r="V749" s="160"/>
      <c r="W749" s="160"/>
      <c r="X749" s="160"/>
      <c r="Y749" s="160"/>
      <c r="Z749" s="160"/>
      <c r="AA749" s="160"/>
      <c r="AB749" s="160"/>
      <c r="AC749" s="160"/>
      <c r="AD749" s="160"/>
      <c r="AE749" s="160"/>
      <c r="AF749" s="160"/>
      <c r="AG749" s="160"/>
      <c r="AH749" s="160"/>
      <c r="AI749" s="160"/>
      <c r="AJ749" s="160"/>
      <c r="AK749" s="160"/>
      <c r="AL749" s="160"/>
      <c r="AM749" s="160"/>
      <c r="AN749" s="164"/>
      <c r="AO749" s="160"/>
      <c r="AP749" s="160"/>
      <c r="AQ749" s="160"/>
      <c r="AR749" s="160"/>
      <c r="AS749" s="160"/>
      <c r="AT749" s="160"/>
      <c r="AU749" s="160"/>
      <c r="AV749" s="160"/>
      <c r="AW749" s="160"/>
      <c r="AX749" s="160"/>
      <c r="AY749" s="160"/>
      <c r="AZ749" s="160"/>
      <c r="BA749" s="160"/>
      <c r="BB749" s="160"/>
      <c r="BC749" s="160"/>
      <c r="BD749" s="160"/>
      <c r="BE749" s="160"/>
      <c r="BF749" s="160"/>
      <c r="BG749" s="160"/>
      <c r="BH749" s="160"/>
      <c r="BI749" s="160"/>
      <c r="BJ749" s="160"/>
      <c r="BK749" s="160"/>
      <c r="BL749" s="160"/>
      <c r="BM749" s="160"/>
      <c r="BN749" s="160"/>
      <c r="BO749" s="160"/>
      <c r="BP749" s="160"/>
      <c r="BQ749" s="160"/>
      <c r="BR749" s="160"/>
      <c r="BS749" s="160"/>
      <c r="BT749" s="160"/>
      <c r="BU749" s="160"/>
      <c r="BV749" s="160"/>
      <c r="BW749" s="160"/>
      <c r="BX749" s="160"/>
      <c r="BY749" s="160"/>
      <c r="BZ749" s="160"/>
      <c r="CA749" s="160"/>
      <c r="CB749" s="160"/>
      <c r="CC749" s="160"/>
      <c r="CD749" s="160"/>
      <c r="CE749" s="160"/>
      <c r="CF749" s="160"/>
      <c r="CG749" s="160"/>
      <c r="CH749" s="160"/>
      <c r="CI749" s="160"/>
      <c r="CJ749" s="160"/>
      <c r="CK749" s="160"/>
      <c r="CL749" s="160"/>
    </row>
    <row r="750">
      <c r="A750" s="171"/>
      <c r="F750" s="11"/>
      <c r="G750" s="11"/>
      <c r="L750" s="171"/>
      <c r="M750" s="171"/>
      <c r="O750" s="160"/>
      <c r="P750" s="160"/>
      <c r="Q750" s="160"/>
      <c r="R750" s="160"/>
      <c r="S750" s="160"/>
      <c r="T750" s="207"/>
      <c r="U750" s="160"/>
      <c r="V750" s="160"/>
      <c r="W750" s="160"/>
      <c r="X750" s="160"/>
      <c r="Y750" s="160"/>
      <c r="Z750" s="160"/>
      <c r="AA750" s="160"/>
      <c r="AB750" s="160"/>
      <c r="AC750" s="160"/>
      <c r="AD750" s="160"/>
      <c r="AE750" s="160"/>
      <c r="AF750" s="160"/>
      <c r="AG750" s="160"/>
      <c r="AH750" s="160"/>
      <c r="AI750" s="160"/>
      <c r="AJ750" s="160"/>
      <c r="AK750" s="160"/>
      <c r="AL750" s="160"/>
      <c r="AM750" s="160"/>
      <c r="AN750" s="164"/>
      <c r="AO750" s="160"/>
      <c r="AP750" s="160"/>
      <c r="AQ750" s="160"/>
      <c r="AR750" s="160"/>
      <c r="AS750" s="160"/>
      <c r="AT750" s="160"/>
      <c r="AU750" s="160"/>
      <c r="AV750" s="160"/>
      <c r="AW750" s="160"/>
      <c r="AX750" s="160"/>
      <c r="AY750" s="160"/>
      <c r="AZ750" s="160"/>
      <c r="BA750" s="160"/>
      <c r="BB750" s="160"/>
      <c r="BC750" s="160"/>
      <c r="BD750" s="160"/>
      <c r="BE750" s="160"/>
      <c r="BF750" s="160"/>
      <c r="BG750" s="160"/>
      <c r="BH750" s="160"/>
      <c r="BI750" s="160"/>
      <c r="BJ750" s="160"/>
      <c r="BK750" s="160"/>
      <c r="BL750" s="160"/>
      <c r="BM750" s="160"/>
      <c r="BN750" s="160"/>
      <c r="BO750" s="160"/>
      <c r="BP750" s="160"/>
      <c r="BQ750" s="160"/>
      <c r="BR750" s="160"/>
      <c r="BS750" s="160"/>
      <c r="BT750" s="160"/>
      <c r="BU750" s="160"/>
      <c r="BV750" s="160"/>
      <c r="BW750" s="160"/>
      <c r="BX750" s="160"/>
      <c r="BY750" s="160"/>
      <c r="BZ750" s="160"/>
      <c r="CA750" s="160"/>
      <c r="CB750" s="160"/>
      <c r="CC750" s="160"/>
      <c r="CD750" s="160"/>
      <c r="CE750" s="160"/>
      <c r="CF750" s="160"/>
      <c r="CG750" s="160"/>
      <c r="CH750" s="160"/>
      <c r="CI750" s="160"/>
      <c r="CJ750" s="160"/>
      <c r="CK750" s="160"/>
      <c r="CL750" s="160"/>
    </row>
    <row r="751">
      <c r="A751" s="171"/>
      <c r="F751" s="11"/>
      <c r="G751" s="11"/>
      <c r="L751" s="171"/>
      <c r="M751" s="171"/>
      <c r="O751" s="160"/>
      <c r="P751" s="160"/>
      <c r="Q751" s="160"/>
      <c r="R751" s="160"/>
      <c r="S751" s="160"/>
      <c r="T751" s="207"/>
      <c r="U751" s="160"/>
      <c r="V751" s="160"/>
      <c r="W751" s="160"/>
      <c r="X751" s="160"/>
      <c r="Y751" s="160"/>
      <c r="Z751" s="160"/>
      <c r="AA751" s="160"/>
      <c r="AB751" s="160"/>
      <c r="AC751" s="160"/>
      <c r="AD751" s="160"/>
      <c r="AE751" s="160"/>
      <c r="AF751" s="160"/>
      <c r="AG751" s="160"/>
      <c r="AH751" s="160"/>
      <c r="AI751" s="160"/>
      <c r="AJ751" s="160"/>
      <c r="AK751" s="160"/>
      <c r="AL751" s="160"/>
      <c r="AM751" s="160"/>
      <c r="AN751" s="164"/>
      <c r="AO751" s="160"/>
      <c r="AP751" s="160"/>
      <c r="AQ751" s="160"/>
      <c r="AR751" s="160"/>
      <c r="AS751" s="160"/>
      <c r="AT751" s="160"/>
      <c r="AU751" s="160"/>
      <c r="AV751" s="160"/>
      <c r="AW751" s="160"/>
      <c r="AX751" s="160"/>
      <c r="AY751" s="160"/>
      <c r="AZ751" s="160"/>
      <c r="BA751" s="160"/>
      <c r="BB751" s="160"/>
      <c r="BC751" s="160"/>
      <c r="BD751" s="160"/>
      <c r="BE751" s="160"/>
      <c r="BF751" s="160"/>
      <c r="BG751" s="160"/>
      <c r="BH751" s="160"/>
      <c r="BI751" s="160"/>
      <c r="BJ751" s="160"/>
      <c r="BK751" s="160"/>
      <c r="BL751" s="160"/>
      <c r="BM751" s="160"/>
      <c r="BN751" s="160"/>
      <c r="BO751" s="160"/>
      <c r="BP751" s="160"/>
      <c r="BQ751" s="160"/>
      <c r="BR751" s="160"/>
      <c r="BS751" s="160"/>
      <c r="BT751" s="160"/>
      <c r="BU751" s="160"/>
      <c r="BV751" s="160"/>
      <c r="BW751" s="160"/>
      <c r="BX751" s="160"/>
      <c r="BY751" s="160"/>
      <c r="BZ751" s="160"/>
      <c r="CA751" s="160"/>
      <c r="CB751" s="160"/>
      <c r="CC751" s="160"/>
      <c r="CD751" s="160"/>
      <c r="CE751" s="160"/>
      <c r="CF751" s="160"/>
      <c r="CG751" s="160"/>
      <c r="CH751" s="160"/>
      <c r="CI751" s="160"/>
      <c r="CJ751" s="160"/>
      <c r="CK751" s="160"/>
      <c r="CL751" s="160"/>
    </row>
    <row r="752">
      <c r="A752" s="171"/>
      <c r="F752" s="11"/>
      <c r="G752" s="11"/>
      <c r="L752" s="171"/>
      <c r="M752" s="171"/>
      <c r="O752" s="160"/>
      <c r="P752" s="160"/>
      <c r="Q752" s="160"/>
      <c r="R752" s="160"/>
      <c r="S752" s="160"/>
      <c r="T752" s="207"/>
      <c r="U752" s="160"/>
      <c r="V752" s="160"/>
      <c r="W752" s="160"/>
      <c r="X752" s="160"/>
      <c r="Y752" s="160"/>
      <c r="Z752" s="160"/>
      <c r="AA752" s="160"/>
      <c r="AB752" s="160"/>
      <c r="AC752" s="160"/>
      <c r="AD752" s="160"/>
      <c r="AE752" s="160"/>
      <c r="AF752" s="160"/>
      <c r="AG752" s="160"/>
      <c r="AH752" s="160"/>
      <c r="AI752" s="160"/>
      <c r="AJ752" s="160"/>
      <c r="AK752" s="160"/>
      <c r="AL752" s="160"/>
      <c r="AM752" s="160"/>
      <c r="AN752" s="164"/>
      <c r="AO752" s="160"/>
      <c r="AP752" s="160"/>
      <c r="AQ752" s="160"/>
      <c r="AR752" s="160"/>
      <c r="AS752" s="160"/>
      <c r="AT752" s="160"/>
      <c r="AU752" s="160"/>
      <c r="AV752" s="160"/>
      <c r="AW752" s="160"/>
      <c r="AX752" s="160"/>
      <c r="AY752" s="160"/>
      <c r="AZ752" s="160"/>
      <c r="BA752" s="160"/>
      <c r="BB752" s="160"/>
      <c r="BC752" s="160"/>
      <c r="BD752" s="160"/>
      <c r="BE752" s="160"/>
      <c r="BF752" s="160"/>
      <c r="BG752" s="160"/>
      <c r="BH752" s="160"/>
      <c r="BI752" s="160"/>
      <c r="BJ752" s="160"/>
      <c r="BK752" s="160"/>
      <c r="BL752" s="160"/>
      <c r="BM752" s="160"/>
      <c r="BN752" s="160"/>
      <c r="BO752" s="160"/>
      <c r="BP752" s="160"/>
      <c r="BQ752" s="160"/>
      <c r="BR752" s="160"/>
      <c r="BS752" s="160"/>
      <c r="BT752" s="160"/>
      <c r="BU752" s="160"/>
      <c r="BV752" s="160"/>
      <c r="BW752" s="160"/>
      <c r="BX752" s="160"/>
      <c r="BY752" s="160"/>
      <c r="BZ752" s="160"/>
      <c r="CA752" s="160"/>
      <c r="CB752" s="160"/>
      <c r="CC752" s="160"/>
      <c r="CD752" s="160"/>
      <c r="CE752" s="160"/>
      <c r="CF752" s="160"/>
      <c r="CG752" s="160"/>
      <c r="CH752" s="160"/>
      <c r="CI752" s="160"/>
      <c r="CJ752" s="160"/>
      <c r="CK752" s="160"/>
      <c r="CL752" s="160"/>
    </row>
    <row r="753">
      <c r="A753" s="171"/>
      <c r="F753" s="11"/>
      <c r="G753" s="11"/>
      <c r="L753" s="171"/>
      <c r="M753" s="171"/>
      <c r="O753" s="160"/>
      <c r="P753" s="160"/>
      <c r="Q753" s="160"/>
      <c r="R753" s="160"/>
      <c r="S753" s="160"/>
      <c r="T753" s="207"/>
      <c r="U753" s="160"/>
      <c r="V753" s="160"/>
      <c r="W753" s="160"/>
      <c r="X753" s="160"/>
      <c r="Y753" s="160"/>
      <c r="Z753" s="160"/>
      <c r="AA753" s="160"/>
      <c r="AB753" s="160"/>
      <c r="AC753" s="160"/>
      <c r="AD753" s="160"/>
      <c r="AE753" s="160"/>
      <c r="AF753" s="160"/>
      <c r="AG753" s="160"/>
      <c r="AH753" s="160"/>
      <c r="AI753" s="160"/>
      <c r="AJ753" s="160"/>
      <c r="AK753" s="160"/>
      <c r="AL753" s="160"/>
      <c r="AM753" s="160"/>
      <c r="AN753" s="164"/>
      <c r="AO753" s="160"/>
      <c r="AP753" s="160"/>
      <c r="AQ753" s="160"/>
      <c r="AR753" s="160"/>
      <c r="AS753" s="160"/>
      <c r="AT753" s="160"/>
      <c r="AU753" s="160"/>
      <c r="AV753" s="160"/>
      <c r="AW753" s="160"/>
      <c r="AX753" s="160"/>
      <c r="AY753" s="160"/>
      <c r="AZ753" s="160"/>
      <c r="BA753" s="160"/>
      <c r="BB753" s="160"/>
      <c r="BC753" s="160"/>
      <c r="BD753" s="160"/>
      <c r="BE753" s="160"/>
      <c r="BF753" s="160"/>
      <c r="BG753" s="160"/>
      <c r="BH753" s="160"/>
      <c r="BI753" s="160"/>
      <c r="BJ753" s="160"/>
      <c r="BK753" s="160"/>
      <c r="BL753" s="160"/>
      <c r="BM753" s="160"/>
      <c r="BN753" s="160"/>
      <c r="BO753" s="160"/>
      <c r="BP753" s="160"/>
      <c r="BQ753" s="160"/>
      <c r="BR753" s="160"/>
      <c r="BS753" s="160"/>
      <c r="BT753" s="160"/>
      <c r="BU753" s="160"/>
      <c r="BV753" s="160"/>
      <c r="BW753" s="160"/>
      <c r="BX753" s="160"/>
      <c r="BY753" s="160"/>
      <c r="BZ753" s="160"/>
      <c r="CA753" s="160"/>
      <c r="CB753" s="160"/>
      <c r="CC753" s="160"/>
      <c r="CD753" s="160"/>
      <c r="CE753" s="160"/>
      <c r="CF753" s="160"/>
      <c r="CG753" s="160"/>
      <c r="CH753" s="160"/>
      <c r="CI753" s="160"/>
      <c r="CJ753" s="160"/>
      <c r="CK753" s="160"/>
      <c r="CL753" s="160"/>
    </row>
    <row r="754">
      <c r="A754" s="171"/>
      <c r="F754" s="11"/>
      <c r="G754" s="11"/>
      <c r="L754" s="171"/>
      <c r="M754" s="171"/>
      <c r="O754" s="160"/>
      <c r="P754" s="160"/>
      <c r="Q754" s="160"/>
      <c r="R754" s="160"/>
      <c r="S754" s="160"/>
      <c r="T754" s="207"/>
      <c r="U754" s="160"/>
      <c r="V754" s="160"/>
      <c r="W754" s="160"/>
      <c r="X754" s="160"/>
      <c r="Y754" s="160"/>
      <c r="Z754" s="160"/>
      <c r="AA754" s="160"/>
      <c r="AB754" s="160"/>
      <c r="AC754" s="160"/>
      <c r="AD754" s="160"/>
      <c r="AE754" s="160"/>
      <c r="AF754" s="160"/>
      <c r="AG754" s="160"/>
      <c r="AH754" s="160"/>
      <c r="AI754" s="160"/>
      <c r="AJ754" s="160"/>
      <c r="AK754" s="160"/>
      <c r="AL754" s="160"/>
      <c r="AM754" s="160"/>
      <c r="AN754" s="164"/>
      <c r="AO754" s="160"/>
      <c r="AP754" s="160"/>
      <c r="AQ754" s="160"/>
      <c r="AR754" s="160"/>
      <c r="AS754" s="160"/>
      <c r="AT754" s="160"/>
      <c r="AU754" s="160"/>
      <c r="AV754" s="160"/>
      <c r="AW754" s="160"/>
      <c r="AX754" s="160"/>
      <c r="AY754" s="160"/>
      <c r="AZ754" s="160"/>
      <c r="BA754" s="160"/>
      <c r="BB754" s="160"/>
      <c r="BC754" s="160"/>
      <c r="BD754" s="160"/>
      <c r="BE754" s="160"/>
      <c r="BF754" s="160"/>
      <c r="BG754" s="160"/>
      <c r="BH754" s="160"/>
      <c r="BI754" s="160"/>
      <c r="BJ754" s="160"/>
      <c r="BK754" s="160"/>
      <c r="BL754" s="160"/>
      <c r="BM754" s="160"/>
      <c r="BN754" s="160"/>
      <c r="BO754" s="160"/>
      <c r="BP754" s="160"/>
      <c r="BQ754" s="160"/>
      <c r="BR754" s="160"/>
      <c r="BS754" s="160"/>
      <c r="BT754" s="160"/>
      <c r="BU754" s="160"/>
      <c r="BV754" s="160"/>
      <c r="BW754" s="160"/>
      <c r="BX754" s="160"/>
      <c r="BY754" s="160"/>
      <c r="BZ754" s="160"/>
      <c r="CA754" s="160"/>
      <c r="CB754" s="160"/>
      <c r="CC754" s="160"/>
      <c r="CD754" s="160"/>
      <c r="CE754" s="160"/>
      <c r="CF754" s="160"/>
      <c r="CG754" s="160"/>
      <c r="CH754" s="160"/>
      <c r="CI754" s="160"/>
      <c r="CJ754" s="160"/>
      <c r="CK754" s="160"/>
      <c r="CL754" s="160"/>
    </row>
    <row r="755">
      <c r="A755" s="171"/>
      <c r="F755" s="11"/>
      <c r="G755" s="11"/>
      <c r="L755" s="171"/>
      <c r="M755" s="171"/>
      <c r="O755" s="160"/>
      <c r="P755" s="160"/>
      <c r="Q755" s="160"/>
      <c r="R755" s="160"/>
      <c r="S755" s="160"/>
      <c r="T755" s="207"/>
      <c r="U755" s="160"/>
      <c r="V755" s="160"/>
      <c r="W755" s="160"/>
      <c r="X755" s="160"/>
      <c r="Y755" s="160"/>
      <c r="Z755" s="160"/>
      <c r="AA755" s="160"/>
      <c r="AB755" s="160"/>
      <c r="AC755" s="160"/>
      <c r="AD755" s="160"/>
      <c r="AE755" s="160"/>
      <c r="AF755" s="160"/>
      <c r="AG755" s="160"/>
      <c r="AH755" s="160"/>
      <c r="AI755" s="160"/>
      <c r="AJ755" s="160"/>
      <c r="AK755" s="160"/>
      <c r="AL755" s="160"/>
      <c r="AM755" s="160"/>
      <c r="AN755" s="164"/>
      <c r="AO755" s="160"/>
      <c r="AP755" s="160"/>
      <c r="AQ755" s="160"/>
      <c r="AR755" s="160"/>
      <c r="AS755" s="160"/>
      <c r="AT755" s="160"/>
      <c r="AU755" s="160"/>
      <c r="AV755" s="160"/>
      <c r="AW755" s="160"/>
      <c r="AX755" s="160"/>
      <c r="AY755" s="160"/>
      <c r="AZ755" s="160"/>
      <c r="BA755" s="160"/>
      <c r="BB755" s="160"/>
      <c r="BC755" s="160"/>
      <c r="BD755" s="160"/>
      <c r="BE755" s="160"/>
      <c r="BF755" s="160"/>
      <c r="BG755" s="160"/>
      <c r="BH755" s="160"/>
      <c r="BI755" s="160"/>
      <c r="BJ755" s="160"/>
      <c r="BK755" s="160"/>
      <c r="BL755" s="160"/>
      <c r="BM755" s="160"/>
      <c r="BN755" s="160"/>
      <c r="BO755" s="160"/>
      <c r="BP755" s="160"/>
      <c r="BQ755" s="160"/>
      <c r="BR755" s="160"/>
      <c r="BS755" s="160"/>
      <c r="BT755" s="160"/>
      <c r="BU755" s="160"/>
      <c r="BV755" s="160"/>
      <c r="BW755" s="160"/>
      <c r="BX755" s="160"/>
      <c r="BY755" s="160"/>
      <c r="BZ755" s="160"/>
      <c r="CA755" s="160"/>
      <c r="CB755" s="160"/>
      <c r="CC755" s="160"/>
      <c r="CD755" s="160"/>
      <c r="CE755" s="160"/>
      <c r="CF755" s="160"/>
      <c r="CG755" s="160"/>
      <c r="CH755" s="160"/>
      <c r="CI755" s="160"/>
      <c r="CJ755" s="160"/>
      <c r="CK755" s="160"/>
      <c r="CL755" s="160"/>
    </row>
    <row r="756">
      <c r="A756" s="171"/>
      <c r="F756" s="11"/>
      <c r="G756" s="11"/>
      <c r="L756" s="171"/>
      <c r="M756" s="171"/>
      <c r="O756" s="160"/>
      <c r="P756" s="160"/>
      <c r="Q756" s="160"/>
      <c r="R756" s="160"/>
      <c r="S756" s="160"/>
      <c r="T756" s="207"/>
      <c r="U756" s="160"/>
      <c r="V756" s="160"/>
      <c r="W756" s="160"/>
      <c r="X756" s="160"/>
      <c r="Y756" s="160"/>
      <c r="Z756" s="160"/>
      <c r="AA756" s="160"/>
      <c r="AB756" s="160"/>
      <c r="AC756" s="160"/>
      <c r="AD756" s="160"/>
      <c r="AE756" s="160"/>
      <c r="AF756" s="160"/>
      <c r="AG756" s="160"/>
      <c r="AH756" s="160"/>
      <c r="AI756" s="160"/>
      <c r="AJ756" s="160"/>
      <c r="AK756" s="160"/>
      <c r="AL756" s="160"/>
      <c r="AM756" s="160"/>
      <c r="AN756" s="164"/>
      <c r="AO756" s="160"/>
      <c r="AP756" s="160"/>
      <c r="AQ756" s="160"/>
      <c r="AR756" s="160"/>
      <c r="AS756" s="160"/>
      <c r="AT756" s="160"/>
      <c r="AU756" s="160"/>
      <c r="AV756" s="160"/>
      <c r="AW756" s="160"/>
      <c r="AX756" s="160"/>
      <c r="AY756" s="160"/>
      <c r="AZ756" s="160"/>
      <c r="BA756" s="160"/>
      <c r="BB756" s="160"/>
      <c r="BC756" s="160"/>
      <c r="BD756" s="160"/>
      <c r="BE756" s="160"/>
      <c r="BF756" s="160"/>
      <c r="BG756" s="160"/>
      <c r="BH756" s="160"/>
      <c r="BI756" s="160"/>
      <c r="BJ756" s="160"/>
      <c r="BK756" s="160"/>
      <c r="BL756" s="160"/>
      <c r="BM756" s="160"/>
      <c r="BN756" s="160"/>
      <c r="BO756" s="160"/>
      <c r="BP756" s="160"/>
      <c r="BQ756" s="160"/>
      <c r="BR756" s="160"/>
      <c r="BS756" s="160"/>
      <c r="BT756" s="160"/>
      <c r="BU756" s="160"/>
      <c r="BV756" s="160"/>
      <c r="BW756" s="160"/>
      <c r="BX756" s="160"/>
      <c r="BY756" s="160"/>
      <c r="BZ756" s="160"/>
      <c r="CA756" s="160"/>
      <c r="CB756" s="160"/>
      <c r="CC756" s="160"/>
      <c r="CD756" s="160"/>
      <c r="CE756" s="160"/>
      <c r="CF756" s="160"/>
      <c r="CG756" s="160"/>
      <c r="CH756" s="160"/>
      <c r="CI756" s="160"/>
      <c r="CJ756" s="160"/>
      <c r="CK756" s="160"/>
      <c r="CL756" s="160"/>
    </row>
    <row r="757">
      <c r="A757" s="171"/>
      <c r="F757" s="11"/>
      <c r="G757" s="11"/>
      <c r="L757" s="171"/>
      <c r="M757" s="171"/>
      <c r="O757" s="160"/>
      <c r="P757" s="160"/>
      <c r="Q757" s="160"/>
      <c r="R757" s="160"/>
      <c r="S757" s="160"/>
      <c r="T757" s="207"/>
      <c r="U757" s="160"/>
      <c r="V757" s="160"/>
      <c r="W757" s="160"/>
      <c r="X757" s="160"/>
      <c r="Y757" s="160"/>
      <c r="Z757" s="160"/>
      <c r="AA757" s="160"/>
      <c r="AB757" s="160"/>
      <c r="AC757" s="160"/>
      <c r="AD757" s="160"/>
      <c r="AE757" s="160"/>
      <c r="AF757" s="160"/>
      <c r="AG757" s="160"/>
      <c r="AH757" s="160"/>
      <c r="AI757" s="160"/>
      <c r="AJ757" s="160"/>
      <c r="AK757" s="160"/>
      <c r="AL757" s="160"/>
      <c r="AM757" s="160"/>
      <c r="AN757" s="164"/>
      <c r="AO757" s="160"/>
      <c r="AP757" s="160"/>
      <c r="AQ757" s="160"/>
      <c r="AR757" s="160"/>
      <c r="AS757" s="160"/>
      <c r="AT757" s="160"/>
      <c r="AU757" s="160"/>
      <c r="AV757" s="160"/>
      <c r="AW757" s="160"/>
      <c r="AX757" s="160"/>
      <c r="AY757" s="160"/>
      <c r="AZ757" s="160"/>
      <c r="BA757" s="160"/>
      <c r="BB757" s="160"/>
      <c r="BC757" s="160"/>
      <c r="BD757" s="160"/>
      <c r="BE757" s="160"/>
      <c r="BF757" s="160"/>
      <c r="BG757" s="160"/>
      <c r="BH757" s="160"/>
      <c r="BI757" s="160"/>
      <c r="BJ757" s="160"/>
      <c r="BK757" s="160"/>
      <c r="BL757" s="160"/>
      <c r="BM757" s="160"/>
      <c r="BN757" s="160"/>
      <c r="BO757" s="160"/>
      <c r="BP757" s="160"/>
      <c r="BQ757" s="160"/>
      <c r="BR757" s="160"/>
      <c r="BS757" s="160"/>
      <c r="BT757" s="160"/>
      <c r="BU757" s="160"/>
      <c r="BV757" s="160"/>
      <c r="BW757" s="160"/>
      <c r="BX757" s="160"/>
      <c r="BY757" s="160"/>
      <c r="BZ757" s="160"/>
      <c r="CA757" s="160"/>
      <c r="CB757" s="160"/>
      <c r="CC757" s="160"/>
      <c r="CD757" s="160"/>
      <c r="CE757" s="160"/>
      <c r="CF757" s="160"/>
      <c r="CG757" s="160"/>
      <c r="CH757" s="160"/>
      <c r="CI757" s="160"/>
      <c r="CJ757" s="160"/>
      <c r="CK757" s="160"/>
      <c r="CL757" s="160"/>
    </row>
    <row r="758">
      <c r="A758" s="171"/>
      <c r="F758" s="11"/>
      <c r="G758" s="11"/>
      <c r="L758" s="171"/>
      <c r="M758" s="171"/>
      <c r="O758" s="160"/>
      <c r="P758" s="160"/>
      <c r="Q758" s="160"/>
      <c r="R758" s="160"/>
      <c r="S758" s="160"/>
      <c r="T758" s="207"/>
      <c r="U758" s="160"/>
      <c r="V758" s="160"/>
      <c r="W758" s="160"/>
      <c r="X758" s="160"/>
      <c r="Y758" s="160"/>
      <c r="Z758" s="160"/>
      <c r="AA758" s="160"/>
      <c r="AB758" s="160"/>
      <c r="AC758" s="160"/>
      <c r="AD758" s="160"/>
      <c r="AE758" s="160"/>
      <c r="AF758" s="160"/>
      <c r="AG758" s="160"/>
      <c r="AH758" s="160"/>
      <c r="AI758" s="160"/>
      <c r="AJ758" s="160"/>
      <c r="AK758" s="160"/>
      <c r="AL758" s="160"/>
      <c r="AM758" s="160"/>
      <c r="AN758" s="164"/>
      <c r="AO758" s="160"/>
      <c r="AP758" s="160"/>
      <c r="AQ758" s="160"/>
      <c r="AR758" s="160"/>
      <c r="AS758" s="160"/>
      <c r="AT758" s="160"/>
      <c r="AU758" s="160"/>
      <c r="AV758" s="160"/>
      <c r="AW758" s="160"/>
      <c r="AX758" s="160"/>
      <c r="AY758" s="160"/>
      <c r="AZ758" s="160"/>
      <c r="BA758" s="160"/>
      <c r="BB758" s="160"/>
      <c r="BC758" s="160"/>
      <c r="BD758" s="160"/>
      <c r="BE758" s="160"/>
      <c r="BF758" s="160"/>
      <c r="BG758" s="160"/>
      <c r="BH758" s="160"/>
      <c r="BI758" s="160"/>
      <c r="BJ758" s="160"/>
      <c r="BK758" s="160"/>
      <c r="BL758" s="160"/>
      <c r="BM758" s="160"/>
      <c r="BN758" s="160"/>
      <c r="BO758" s="160"/>
      <c r="BP758" s="160"/>
      <c r="BQ758" s="160"/>
      <c r="BR758" s="160"/>
      <c r="BS758" s="160"/>
      <c r="BT758" s="160"/>
      <c r="BU758" s="160"/>
      <c r="BV758" s="160"/>
      <c r="BW758" s="160"/>
      <c r="BX758" s="160"/>
      <c r="BY758" s="160"/>
      <c r="BZ758" s="160"/>
      <c r="CA758" s="160"/>
      <c r="CB758" s="160"/>
      <c r="CC758" s="160"/>
      <c r="CD758" s="160"/>
      <c r="CE758" s="160"/>
      <c r="CF758" s="160"/>
      <c r="CG758" s="160"/>
      <c r="CH758" s="160"/>
      <c r="CI758" s="160"/>
      <c r="CJ758" s="160"/>
      <c r="CK758" s="160"/>
      <c r="CL758" s="160"/>
    </row>
    <row r="759">
      <c r="A759" s="171"/>
      <c r="F759" s="11"/>
      <c r="G759" s="11"/>
      <c r="L759" s="171"/>
      <c r="M759" s="171"/>
      <c r="O759" s="160"/>
      <c r="P759" s="160"/>
      <c r="Q759" s="160"/>
      <c r="R759" s="160"/>
      <c r="S759" s="160"/>
      <c r="T759" s="207"/>
      <c r="U759" s="160"/>
      <c r="V759" s="160"/>
      <c r="W759" s="160"/>
      <c r="X759" s="160"/>
      <c r="Y759" s="160"/>
      <c r="Z759" s="160"/>
      <c r="AA759" s="160"/>
      <c r="AB759" s="160"/>
      <c r="AC759" s="160"/>
      <c r="AD759" s="160"/>
      <c r="AE759" s="160"/>
      <c r="AF759" s="160"/>
      <c r="AG759" s="160"/>
      <c r="AH759" s="160"/>
      <c r="AI759" s="160"/>
      <c r="AJ759" s="160"/>
      <c r="AK759" s="160"/>
      <c r="AL759" s="160"/>
      <c r="AM759" s="160"/>
      <c r="AN759" s="164"/>
      <c r="AO759" s="160"/>
      <c r="AP759" s="160"/>
      <c r="AQ759" s="160"/>
      <c r="AR759" s="160"/>
      <c r="AS759" s="160"/>
      <c r="AT759" s="160"/>
      <c r="AU759" s="160"/>
      <c r="AV759" s="160"/>
      <c r="AW759" s="160"/>
      <c r="AX759" s="160"/>
      <c r="AY759" s="160"/>
      <c r="AZ759" s="160"/>
      <c r="BA759" s="160"/>
      <c r="BB759" s="160"/>
      <c r="BC759" s="160"/>
      <c r="BD759" s="160"/>
      <c r="BE759" s="160"/>
      <c r="BF759" s="160"/>
      <c r="BG759" s="160"/>
      <c r="BH759" s="160"/>
      <c r="BI759" s="160"/>
      <c r="BJ759" s="160"/>
      <c r="BK759" s="160"/>
      <c r="BL759" s="160"/>
      <c r="BM759" s="160"/>
      <c r="BN759" s="160"/>
      <c r="BO759" s="160"/>
      <c r="BP759" s="160"/>
      <c r="BQ759" s="160"/>
      <c r="BR759" s="160"/>
      <c r="BS759" s="160"/>
      <c r="BT759" s="160"/>
      <c r="BU759" s="160"/>
      <c r="BV759" s="160"/>
      <c r="BW759" s="160"/>
      <c r="BX759" s="160"/>
      <c r="BY759" s="160"/>
      <c r="BZ759" s="160"/>
      <c r="CA759" s="160"/>
      <c r="CB759" s="160"/>
      <c r="CC759" s="160"/>
      <c r="CD759" s="160"/>
      <c r="CE759" s="160"/>
      <c r="CF759" s="160"/>
      <c r="CG759" s="160"/>
      <c r="CH759" s="160"/>
      <c r="CI759" s="160"/>
      <c r="CJ759" s="160"/>
      <c r="CK759" s="160"/>
      <c r="CL759" s="160"/>
    </row>
    <row r="760">
      <c r="A760" s="171"/>
      <c r="F760" s="11"/>
      <c r="G760" s="11"/>
      <c r="L760" s="171"/>
      <c r="M760" s="171"/>
      <c r="O760" s="160"/>
      <c r="P760" s="160"/>
      <c r="Q760" s="160"/>
      <c r="R760" s="160"/>
      <c r="S760" s="160"/>
      <c r="T760" s="207"/>
      <c r="U760" s="160"/>
      <c r="V760" s="160"/>
      <c r="W760" s="160"/>
      <c r="X760" s="160"/>
      <c r="Y760" s="160"/>
      <c r="Z760" s="160"/>
      <c r="AA760" s="160"/>
      <c r="AB760" s="160"/>
      <c r="AC760" s="160"/>
      <c r="AD760" s="160"/>
      <c r="AE760" s="160"/>
      <c r="AF760" s="160"/>
      <c r="AG760" s="160"/>
      <c r="AH760" s="160"/>
      <c r="AI760" s="160"/>
      <c r="AJ760" s="160"/>
      <c r="AK760" s="160"/>
      <c r="AL760" s="160"/>
      <c r="AM760" s="160"/>
      <c r="AN760" s="164"/>
      <c r="AO760" s="160"/>
      <c r="AP760" s="160"/>
      <c r="AQ760" s="160"/>
      <c r="AR760" s="160"/>
      <c r="AS760" s="160"/>
      <c r="AT760" s="160"/>
      <c r="AU760" s="160"/>
      <c r="AV760" s="160"/>
      <c r="AW760" s="160"/>
      <c r="AX760" s="160"/>
      <c r="AY760" s="160"/>
      <c r="AZ760" s="160"/>
      <c r="BA760" s="160"/>
      <c r="BB760" s="160"/>
      <c r="BC760" s="160"/>
      <c r="BD760" s="160"/>
      <c r="BE760" s="160"/>
      <c r="BF760" s="160"/>
      <c r="BG760" s="160"/>
      <c r="BH760" s="160"/>
      <c r="BI760" s="160"/>
      <c r="BJ760" s="160"/>
      <c r="BK760" s="160"/>
      <c r="BL760" s="160"/>
      <c r="BM760" s="160"/>
      <c r="BN760" s="160"/>
      <c r="BO760" s="160"/>
      <c r="BP760" s="160"/>
      <c r="BQ760" s="160"/>
      <c r="BR760" s="160"/>
      <c r="BS760" s="160"/>
      <c r="BT760" s="160"/>
      <c r="BU760" s="160"/>
      <c r="BV760" s="160"/>
      <c r="BW760" s="160"/>
      <c r="BX760" s="160"/>
      <c r="BY760" s="160"/>
      <c r="BZ760" s="160"/>
      <c r="CA760" s="160"/>
      <c r="CB760" s="160"/>
      <c r="CC760" s="160"/>
      <c r="CD760" s="160"/>
      <c r="CE760" s="160"/>
      <c r="CF760" s="160"/>
      <c r="CG760" s="160"/>
      <c r="CH760" s="160"/>
      <c r="CI760" s="160"/>
      <c r="CJ760" s="160"/>
      <c r="CK760" s="160"/>
      <c r="CL760" s="160"/>
    </row>
    <row r="761">
      <c r="A761" s="171"/>
      <c r="F761" s="11"/>
      <c r="G761" s="11"/>
      <c r="L761" s="171"/>
      <c r="M761" s="171"/>
      <c r="O761" s="160"/>
      <c r="P761" s="160"/>
      <c r="Q761" s="160"/>
      <c r="R761" s="160"/>
      <c r="S761" s="160"/>
      <c r="T761" s="207"/>
      <c r="U761" s="160"/>
      <c r="V761" s="160"/>
      <c r="W761" s="160"/>
      <c r="X761" s="160"/>
      <c r="Y761" s="160"/>
      <c r="Z761" s="160"/>
      <c r="AA761" s="160"/>
      <c r="AB761" s="160"/>
      <c r="AC761" s="160"/>
      <c r="AD761" s="160"/>
      <c r="AE761" s="160"/>
      <c r="AF761" s="160"/>
      <c r="AG761" s="160"/>
      <c r="AH761" s="160"/>
      <c r="AI761" s="160"/>
      <c r="AJ761" s="160"/>
      <c r="AK761" s="160"/>
      <c r="AL761" s="160"/>
      <c r="AM761" s="160"/>
      <c r="AN761" s="164"/>
      <c r="AO761" s="160"/>
      <c r="AP761" s="160"/>
      <c r="AQ761" s="160"/>
      <c r="AR761" s="160"/>
      <c r="AS761" s="160"/>
      <c r="AT761" s="160"/>
      <c r="AU761" s="160"/>
      <c r="AV761" s="160"/>
      <c r="AW761" s="160"/>
      <c r="AX761" s="160"/>
      <c r="AY761" s="160"/>
      <c r="AZ761" s="160"/>
      <c r="BA761" s="160"/>
      <c r="BB761" s="160"/>
      <c r="BC761" s="160"/>
      <c r="BD761" s="160"/>
      <c r="BE761" s="160"/>
      <c r="BF761" s="160"/>
      <c r="BG761" s="160"/>
      <c r="BH761" s="160"/>
      <c r="BI761" s="160"/>
      <c r="BJ761" s="160"/>
      <c r="BK761" s="160"/>
      <c r="BL761" s="160"/>
      <c r="BM761" s="160"/>
      <c r="BN761" s="160"/>
      <c r="BO761" s="160"/>
      <c r="BP761" s="160"/>
      <c r="BQ761" s="160"/>
      <c r="BR761" s="160"/>
      <c r="BS761" s="160"/>
      <c r="BT761" s="160"/>
      <c r="BU761" s="160"/>
      <c r="BV761" s="160"/>
      <c r="BW761" s="160"/>
      <c r="BX761" s="160"/>
      <c r="BY761" s="160"/>
      <c r="BZ761" s="160"/>
      <c r="CA761" s="160"/>
      <c r="CB761" s="160"/>
      <c r="CC761" s="160"/>
      <c r="CD761" s="160"/>
      <c r="CE761" s="160"/>
      <c r="CF761" s="160"/>
      <c r="CG761" s="160"/>
      <c r="CH761" s="160"/>
      <c r="CI761" s="160"/>
      <c r="CJ761" s="160"/>
      <c r="CK761" s="160"/>
      <c r="CL761" s="160"/>
    </row>
    <row r="762">
      <c r="A762" s="171"/>
      <c r="F762" s="11"/>
      <c r="G762" s="11"/>
      <c r="L762" s="171"/>
      <c r="M762" s="171"/>
      <c r="O762" s="160"/>
      <c r="P762" s="160"/>
      <c r="Q762" s="160"/>
      <c r="R762" s="160"/>
      <c r="S762" s="160"/>
      <c r="T762" s="207"/>
      <c r="U762" s="160"/>
      <c r="V762" s="160"/>
      <c r="W762" s="160"/>
      <c r="X762" s="160"/>
      <c r="Y762" s="160"/>
      <c r="Z762" s="160"/>
      <c r="AA762" s="160"/>
      <c r="AB762" s="160"/>
      <c r="AC762" s="160"/>
      <c r="AD762" s="160"/>
      <c r="AE762" s="160"/>
      <c r="AF762" s="160"/>
      <c r="AG762" s="160"/>
      <c r="AH762" s="160"/>
      <c r="AI762" s="160"/>
      <c r="AJ762" s="160"/>
      <c r="AK762" s="160"/>
      <c r="AL762" s="160"/>
      <c r="AM762" s="160"/>
      <c r="AN762" s="164"/>
      <c r="AO762" s="160"/>
      <c r="AP762" s="160"/>
      <c r="AQ762" s="160"/>
      <c r="AR762" s="160"/>
      <c r="AS762" s="160"/>
      <c r="AT762" s="160"/>
      <c r="AU762" s="160"/>
      <c r="AV762" s="160"/>
      <c r="AW762" s="160"/>
      <c r="AX762" s="160"/>
      <c r="AY762" s="160"/>
      <c r="AZ762" s="160"/>
      <c r="BA762" s="160"/>
      <c r="BB762" s="160"/>
      <c r="BC762" s="160"/>
      <c r="BD762" s="160"/>
      <c r="BE762" s="160"/>
      <c r="BF762" s="160"/>
      <c r="BG762" s="160"/>
      <c r="BH762" s="160"/>
      <c r="BI762" s="160"/>
      <c r="BJ762" s="160"/>
      <c r="BK762" s="160"/>
      <c r="BL762" s="160"/>
      <c r="BM762" s="160"/>
      <c r="BN762" s="160"/>
      <c r="BO762" s="160"/>
      <c r="BP762" s="160"/>
      <c r="BQ762" s="160"/>
      <c r="BR762" s="160"/>
      <c r="BS762" s="160"/>
      <c r="BT762" s="160"/>
      <c r="BU762" s="160"/>
      <c r="BV762" s="160"/>
      <c r="BW762" s="160"/>
      <c r="BX762" s="160"/>
      <c r="BY762" s="160"/>
      <c r="BZ762" s="160"/>
      <c r="CA762" s="160"/>
      <c r="CB762" s="160"/>
      <c r="CC762" s="160"/>
      <c r="CD762" s="160"/>
      <c r="CE762" s="160"/>
      <c r="CF762" s="160"/>
      <c r="CG762" s="160"/>
      <c r="CH762" s="160"/>
      <c r="CI762" s="160"/>
      <c r="CJ762" s="160"/>
      <c r="CK762" s="160"/>
      <c r="CL762" s="160"/>
    </row>
    <row r="763">
      <c r="A763" s="171"/>
      <c r="F763" s="11"/>
      <c r="G763" s="11"/>
      <c r="L763" s="171"/>
      <c r="M763" s="171"/>
      <c r="O763" s="160"/>
      <c r="P763" s="160"/>
      <c r="Q763" s="160"/>
      <c r="R763" s="160"/>
      <c r="S763" s="160"/>
      <c r="T763" s="207"/>
      <c r="U763" s="160"/>
      <c r="V763" s="160"/>
      <c r="W763" s="160"/>
      <c r="X763" s="160"/>
      <c r="Y763" s="160"/>
      <c r="Z763" s="160"/>
      <c r="AA763" s="160"/>
      <c r="AB763" s="160"/>
      <c r="AC763" s="160"/>
      <c r="AD763" s="160"/>
      <c r="AE763" s="160"/>
      <c r="AF763" s="160"/>
      <c r="AG763" s="160"/>
      <c r="AH763" s="160"/>
      <c r="AI763" s="160"/>
      <c r="AJ763" s="160"/>
      <c r="AK763" s="160"/>
      <c r="AL763" s="160"/>
      <c r="AM763" s="160"/>
      <c r="AN763" s="164"/>
      <c r="AO763" s="160"/>
      <c r="AP763" s="160"/>
      <c r="AQ763" s="160"/>
      <c r="AR763" s="160"/>
      <c r="AS763" s="160"/>
      <c r="AT763" s="160"/>
      <c r="AU763" s="160"/>
      <c r="AV763" s="160"/>
      <c r="AW763" s="160"/>
      <c r="AX763" s="160"/>
      <c r="AY763" s="160"/>
      <c r="AZ763" s="160"/>
      <c r="BA763" s="160"/>
      <c r="BB763" s="160"/>
      <c r="BC763" s="160"/>
      <c r="BD763" s="160"/>
      <c r="BE763" s="160"/>
      <c r="BF763" s="160"/>
      <c r="BG763" s="160"/>
      <c r="BH763" s="160"/>
      <c r="BI763" s="160"/>
      <c r="BJ763" s="160"/>
      <c r="BK763" s="160"/>
      <c r="BL763" s="160"/>
      <c r="BM763" s="160"/>
      <c r="BN763" s="160"/>
      <c r="BO763" s="160"/>
      <c r="BP763" s="160"/>
      <c r="BQ763" s="160"/>
      <c r="BR763" s="160"/>
      <c r="BS763" s="160"/>
      <c r="BT763" s="160"/>
      <c r="BU763" s="160"/>
      <c r="BV763" s="160"/>
      <c r="BW763" s="160"/>
      <c r="BX763" s="160"/>
      <c r="BY763" s="160"/>
      <c r="BZ763" s="160"/>
      <c r="CA763" s="160"/>
      <c r="CB763" s="160"/>
      <c r="CC763" s="160"/>
      <c r="CD763" s="160"/>
      <c r="CE763" s="160"/>
      <c r="CF763" s="160"/>
      <c r="CG763" s="160"/>
      <c r="CH763" s="160"/>
      <c r="CI763" s="160"/>
      <c r="CJ763" s="160"/>
      <c r="CK763" s="160"/>
      <c r="CL763" s="160"/>
    </row>
    <row r="764">
      <c r="A764" s="171"/>
      <c r="F764" s="11"/>
      <c r="G764" s="11"/>
      <c r="L764" s="171"/>
      <c r="M764" s="171"/>
      <c r="O764" s="160"/>
      <c r="P764" s="160"/>
      <c r="Q764" s="160"/>
      <c r="R764" s="160"/>
      <c r="S764" s="160"/>
      <c r="T764" s="207"/>
      <c r="U764" s="160"/>
      <c r="V764" s="160"/>
      <c r="W764" s="160"/>
      <c r="X764" s="160"/>
      <c r="Y764" s="160"/>
      <c r="Z764" s="160"/>
      <c r="AA764" s="160"/>
      <c r="AB764" s="160"/>
      <c r="AC764" s="160"/>
      <c r="AD764" s="160"/>
      <c r="AE764" s="160"/>
      <c r="AF764" s="160"/>
      <c r="AG764" s="160"/>
      <c r="AH764" s="160"/>
      <c r="AI764" s="160"/>
      <c r="AJ764" s="160"/>
      <c r="AK764" s="160"/>
      <c r="AL764" s="160"/>
      <c r="AM764" s="160"/>
      <c r="AN764" s="164"/>
      <c r="AO764" s="160"/>
      <c r="AP764" s="160"/>
      <c r="AQ764" s="160"/>
      <c r="AR764" s="160"/>
      <c r="AS764" s="160"/>
      <c r="AT764" s="160"/>
      <c r="AU764" s="160"/>
      <c r="AV764" s="160"/>
      <c r="AW764" s="160"/>
      <c r="AX764" s="160"/>
      <c r="AY764" s="160"/>
      <c r="AZ764" s="160"/>
      <c r="BA764" s="160"/>
      <c r="BB764" s="160"/>
      <c r="BC764" s="160"/>
      <c r="BD764" s="160"/>
      <c r="BE764" s="160"/>
      <c r="BF764" s="160"/>
      <c r="BG764" s="160"/>
      <c r="BH764" s="160"/>
      <c r="BI764" s="160"/>
      <c r="BJ764" s="160"/>
      <c r="BK764" s="160"/>
      <c r="BL764" s="160"/>
      <c r="BM764" s="160"/>
      <c r="BN764" s="160"/>
      <c r="BO764" s="160"/>
      <c r="BP764" s="160"/>
      <c r="BQ764" s="160"/>
      <c r="BR764" s="160"/>
      <c r="BS764" s="160"/>
      <c r="BT764" s="160"/>
      <c r="BU764" s="160"/>
      <c r="BV764" s="160"/>
      <c r="BW764" s="160"/>
      <c r="BX764" s="160"/>
      <c r="BY764" s="160"/>
      <c r="BZ764" s="160"/>
      <c r="CA764" s="160"/>
      <c r="CB764" s="160"/>
      <c r="CC764" s="160"/>
      <c r="CD764" s="160"/>
      <c r="CE764" s="160"/>
      <c r="CF764" s="160"/>
      <c r="CG764" s="160"/>
      <c r="CH764" s="160"/>
      <c r="CI764" s="160"/>
      <c r="CJ764" s="160"/>
      <c r="CK764" s="160"/>
      <c r="CL764" s="160"/>
    </row>
    <row r="765">
      <c r="A765" s="171"/>
      <c r="F765" s="11"/>
      <c r="G765" s="11"/>
      <c r="L765" s="171"/>
      <c r="M765" s="171"/>
      <c r="O765" s="160"/>
      <c r="P765" s="160"/>
      <c r="Q765" s="160"/>
      <c r="R765" s="160"/>
      <c r="S765" s="160"/>
      <c r="T765" s="207"/>
      <c r="U765" s="160"/>
      <c r="V765" s="160"/>
      <c r="W765" s="160"/>
      <c r="X765" s="160"/>
      <c r="Y765" s="160"/>
      <c r="Z765" s="160"/>
      <c r="AA765" s="160"/>
      <c r="AB765" s="160"/>
      <c r="AC765" s="160"/>
      <c r="AD765" s="160"/>
      <c r="AE765" s="160"/>
      <c r="AF765" s="160"/>
      <c r="AG765" s="160"/>
      <c r="AH765" s="160"/>
      <c r="AI765" s="160"/>
      <c r="AJ765" s="160"/>
      <c r="AK765" s="160"/>
      <c r="AL765" s="160"/>
      <c r="AM765" s="160"/>
      <c r="AN765" s="164"/>
      <c r="AO765" s="160"/>
      <c r="AP765" s="160"/>
      <c r="AQ765" s="160"/>
      <c r="AR765" s="160"/>
      <c r="AS765" s="160"/>
      <c r="AT765" s="160"/>
      <c r="AU765" s="160"/>
      <c r="AV765" s="160"/>
      <c r="AW765" s="160"/>
      <c r="AX765" s="160"/>
      <c r="AY765" s="160"/>
      <c r="AZ765" s="160"/>
      <c r="BA765" s="160"/>
      <c r="BB765" s="160"/>
      <c r="BC765" s="160"/>
      <c r="BD765" s="160"/>
      <c r="BE765" s="160"/>
      <c r="BF765" s="160"/>
      <c r="BG765" s="160"/>
      <c r="BH765" s="160"/>
      <c r="BI765" s="160"/>
      <c r="BJ765" s="160"/>
      <c r="BK765" s="160"/>
      <c r="BL765" s="160"/>
      <c r="BM765" s="160"/>
      <c r="BN765" s="160"/>
      <c r="BO765" s="160"/>
      <c r="BP765" s="160"/>
      <c r="BQ765" s="160"/>
      <c r="BR765" s="160"/>
      <c r="BS765" s="160"/>
      <c r="BT765" s="160"/>
      <c r="BU765" s="160"/>
      <c r="BV765" s="160"/>
      <c r="BW765" s="160"/>
      <c r="BX765" s="160"/>
      <c r="BY765" s="160"/>
      <c r="BZ765" s="160"/>
      <c r="CA765" s="160"/>
      <c r="CB765" s="160"/>
      <c r="CC765" s="160"/>
      <c r="CD765" s="160"/>
      <c r="CE765" s="160"/>
      <c r="CF765" s="160"/>
      <c r="CG765" s="160"/>
      <c r="CH765" s="160"/>
      <c r="CI765" s="160"/>
      <c r="CJ765" s="160"/>
      <c r="CK765" s="160"/>
      <c r="CL765" s="160"/>
    </row>
    <row r="766">
      <c r="A766" s="171"/>
      <c r="F766" s="11"/>
      <c r="G766" s="11"/>
      <c r="L766" s="171"/>
      <c r="M766" s="171"/>
      <c r="O766" s="160"/>
      <c r="P766" s="160"/>
      <c r="Q766" s="160"/>
      <c r="R766" s="160"/>
      <c r="S766" s="160"/>
      <c r="T766" s="207"/>
      <c r="U766" s="160"/>
      <c r="V766" s="160"/>
      <c r="W766" s="160"/>
      <c r="X766" s="160"/>
      <c r="Y766" s="160"/>
      <c r="Z766" s="160"/>
      <c r="AA766" s="160"/>
      <c r="AB766" s="160"/>
      <c r="AC766" s="160"/>
      <c r="AD766" s="160"/>
      <c r="AE766" s="160"/>
      <c r="AF766" s="160"/>
      <c r="AG766" s="160"/>
      <c r="AH766" s="160"/>
      <c r="AI766" s="160"/>
      <c r="AJ766" s="160"/>
      <c r="AK766" s="160"/>
      <c r="AL766" s="160"/>
      <c r="AM766" s="160"/>
      <c r="AN766" s="164"/>
      <c r="AO766" s="160"/>
      <c r="AP766" s="160"/>
      <c r="AQ766" s="160"/>
      <c r="AR766" s="160"/>
      <c r="AS766" s="160"/>
      <c r="AT766" s="160"/>
      <c r="AU766" s="160"/>
      <c r="AV766" s="160"/>
      <c r="AW766" s="160"/>
      <c r="AX766" s="160"/>
      <c r="AY766" s="160"/>
      <c r="AZ766" s="160"/>
      <c r="BA766" s="160"/>
      <c r="BB766" s="160"/>
      <c r="BC766" s="160"/>
      <c r="BD766" s="160"/>
      <c r="BE766" s="160"/>
      <c r="BF766" s="160"/>
      <c r="BG766" s="160"/>
      <c r="BH766" s="160"/>
      <c r="BI766" s="160"/>
      <c r="BJ766" s="160"/>
      <c r="BK766" s="160"/>
      <c r="BL766" s="160"/>
      <c r="BM766" s="160"/>
      <c r="BN766" s="160"/>
      <c r="BO766" s="160"/>
      <c r="BP766" s="160"/>
      <c r="BQ766" s="160"/>
      <c r="BR766" s="160"/>
      <c r="BS766" s="160"/>
      <c r="BT766" s="160"/>
      <c r="BU766" s="160"/>
      <c r="BV766" s="160"/>
      <c r="BW766" s="160"/>
      <c r="BX766" s="160"/>
      <c r="BY766" s="160"/>
      <c r="BZ766" s="160"/>
      <c r="CA766" s="160"/>
      <c r="CB766" s="160"/>
      <c r="CC766" s="160"/>
      <c r="CD766" s="160"/>
      <c r="CE766" s="160"/>
      <c r="CF766" s="160"/>
      <c r="CG766" s="160"/>
      <c r="CH766" s="160"/>
      <c r="CI766" s="160"/>
      <c r="CJ766" s="160"/>
      <c r="CK766" s="160"/>
      <c r="CL766" s="160"/>
    </row>
    <row r="767">
      <c r="A767" s="171"/>
      <c r="F767" s="11"/>
      <c r="G767" s="11"/>
      <c r="L767" s="171"/>
      <c r="M767" s="171"/>
      <c r="O767" s="160"/>
      <c r="P767" s="160"/>
      <c r="Q767" s="160"/>
      <c r="R767" s="160"/>
      <c r="S767" s="160"/>
      <c r="T767" s="207"/>
      <c r="U767" s="160"/>
      <c r="V767" s="160"/>
      <c r="W767" s="160"/>
      <c r="X767" s="160"/>
      <c r="Y767" s="160"/>
      <c r="Z767" s="160"/>
      <c r="AA767" s="160"/>
      <c r="AB767" s="160"/>
      <c r="AC767" s="160"/>
      <c r="AD767" s="160"/>
      <c r="AE767" s="160"/>
      <c r="AF767" s="160"/>
      <c r="AG767" s="160"/>
      <c r="AH767" s="160"/>
      <c r="AI767" s="160"/>
      <c r="AJ767" s="160"/>
      <c r="AK767" s="160"/>
      <c r="AL767" s="160"/>
      <c r="AM767" s="160"/>
      <c r="AN767" s="164"/>
      <c r="AO767" s="160"/>
      <c r="AP767" s="160"/>
      <c r="AQ767" s="160"/>
      <c r="AR767" s="160"/>
      <c r="AS767" s="160"/>
      <c r="AT767" s="160"/>
      <c r="AU767" s="160"/>
      <c r="AV767" s="160"/>
      <c r="AW767" s="160"/>
      <c r="AX767" s="160"/>
      <c r="AY767" s="160"/>
      <c r="AZ767" s="160"/>
      <c r="BA767" s="160"/>
      <c r="BB767" s="160"/>
      <c r="BC767" s="160"/>
      <c r="BD767" s="160"/>
      <c r="BE767" s="160"/>
      <c r="BF767" s="160"/>
      <c r="BG767" s="160"/>
      <c r="BH767" s="160"/>
      <c r="BI767" s="160"/>
      <c r="BJ767" s="160"/>
      <c r="BK767" s="160"/>
      <c r="BL767" s="160"/>
      <c r="BM767" s="160"/>
      <c r="BN767" s="160"/>
      <c r="BO767" s="160"/>
      <c r="BP767" s="160"/>
      <c r="BQ767" s="160"/>
      <c r="BR767" s="160"/>
      <c r="BS767" s="160"/>
      <c r="BT767" s="160"/>
      <c r="BU767" s="160"/>
      <c r="BV767" s="160"/>
      <c r="BW767" s="160"/>
      <c r="BX767" s="160"/>
      <c r="BY767" s="160"/>
      <c r="BZ767" s="160"/>
      <c r="CA767" s="160"/>
      <c r="CB767" s="160"/>
      <c r="CC767" s="160"/>
      <c r="CD767" s="160"/>
      <c r="CE767" s="160"/>
      <c r="CF767" s="160"/>
      <c r="CG767" s="160"/>
      <c r="CH767" s="160"/>
      <c r="CI767" s="160"/>
      <c r="CJ767" s="160"/>
      <c r="CK767" s="160"/>
      <c r="CL767" s="160"/>
    </row>
    <row r="768">
      <c r="A768" s="171"/>
      <c r="F768" s="11"/>
      <c r="G768" s="11"/>
      <c r="L768" s="171"/>
      <c r="M768" s="171"/>
      <c r="O768" s="160"/>
      <c r="P768" s="160"/>
      <c r="Q768" s="160"/>
      <c r="R768" s="160"/>
      <c r="S768" s="160"/>
      <c r="T768" s="207"/>
      <c r="U768" s="160"/>
      <c r="V768" s="160"/>
      <c r="W768" s="160"/>
      <c r="X768" s="160"/>
      <c r="Y768" s="160"/>
      <c r="Z768" s="160"/>
      <c r="AA768" s="160"/>
      <c r="AB768" s="160"/>
      <c r="AC768" s="160"/>
      <c r="AD768" s="160"/>
      <c r="AE768" s="160"/>
      <c r="AF768" s="160"/>
      <c r="AG768" s="160"/>
      <c r="AH768" s="160"/>
      <c r="AI768" s="160"/>
      <c r="AJ768" s="160"/>
      <c r="AK768" s="160"/>
      <c r="AL768" s="160"/>
      <c r="AM768" s="160"/>
      <c r="AN768" s="164"/>
      <c r="AO768" s="160"/>
      <c r="AP768" s="160"/>
      <c r="AQ768" s="160"/>
      <c r="AR768" s="160"/>
      <c r="AS768" s="160"/>
      <c r="AT768" s="160"/>
      <c r="AU768" s="160"/>
      <c r="AV768" s="160"/>
      <c r="AW768" s="160"/>
      <c r="AX768" s="160"/>
      <c r="AY768" s="160"/>
      <c r="AZ768" s="160"/>
      <c r="BA768" s="160"/>
      <c r="BB768" s="160"/>
      <c r="BC768" s="160"/>
      <c r="BD768" s="160"/>
      <c r="BE768" s="160"/>
      <c r="BF768" s="160"/>
      <c r="BG768" s="160"/>
      <c r="BH768" s="160"/>
      <c r="BI768" s="160"/>
      <c r="BJ768" s="160"/>
      <c r="BK768" s="160"/>
      <c r="BL768" s="160"/>
      <c r="BM768" s="160"/>
      <c r="BN768" s="160"/>
      <c r="BO768" s="160"/>
      <c r="BP768" s="160"/>
      <c r="BQ768" s="160"/>
      <c r="BR768" s="160"/>
      <c r="BS768" s="160"/>
      <c r="BT768" s="160"/>
      <c r="BU768" s="160"/>
      <c r="BV768" s="160"/>
      <c r="BW768" s="160"/>
      <c r="BX768" s="160"/>
      <c r="BY768" s="160"/>
      <c r="BZ768" s="160"/>
      <c r="CA768" s="160"/>
      <c r="CB768" s="160"/>
      <c r="CC768" s="160"/>
      <c r="CD768" s="160"/>
      <c r="CE768" s="160"/>
      <c r="CF768" s="160"/>
      <c r="CG768" s="160"/>
      <c r="CH768" s="160"/>
      <c r="CI768" s="160"/>
      <c r="CJ768" s="160"/>
      <c r="CK768" s="160"/>
      <c r="CL768" s="160"/>
    </row>
    <row r="769">
      <c r="A769" s="171"/>
      <c r="F769" s="11"/>
      <c r="G769" s="11"/>
      <c r="L769" s="171"/>
      <c r="M769" s="171"/>
      <c r="O769" s="160"/>
      <c r="P769" s="160"/>
      <c r="Q769" s="160"/>
      <c r="R769" s="160"/>
      <c r="S769" s="160"/>
      <c r="T769" s="207"/>
      <c r="U769" s="160"/>
      <c r="V769" s="160"/>
      <c r="W769" s="160"/>
      <c r="X769" s="160"/>
      <c r="Y769" s="160"/>
      <c r="Z769" s="160"/>
      <c r="AA769" s="160"/>
      <c r="AB769" s="160"/>
      <c r="AC769" s="160"/>
      <c r="AD769" s="160"/>
      <c r="AE769" s="160"/>
      <c r="AF769" s="160"/>
      <c r="AG769" s="160"/>
      <c r="AH769" s="160"/>
      <c r="AI769" s="160"/>
      <c r="AJ769" s="160"/>
      <c r="AK769" s="160"/>
      <c r="AL769" s="160"/>
      <c r="AM769" s="160"/>
      <c r="AN769" s="164"/>
      <c r="AO769" s="160"/>
      <c r="AP769" s="160"/>
      <c r="AQ769" s="160"/>
      <c r="AR769" s="160"/>
      <c r="AS769" s="160"/>
      <c r="AT769" s="160"/>
      <c r="AU769" s="160"/>
      <c r="AV769" s="160"/>
      <c r="AW769" s="160"/>
      <c r="AX769" s="160"/>
      <c r="AY769" s="160"/>
      <c r="AZ769" s="160"/>
      <c r="BA769" s="160"/>
      <c r="BB769" s="160"/>
      <c r="BC769" s="160"/>
      <c r="BD769" s="160"/>
      <c r="BE769" s="160"/>
      <c r="BF769" s="160"/>
      <c r="BG769" s="160"/>
      <c r="BH769" s="160"/>
      <c r="BI769" s="160"/>
      <c r="BJ769" s="160"/>
      <c r="BK769" s="160"/>
      <c r="BL769" s="160"/>
      <c r="BM769" s="160"/>
      <c r="BN769" s="160"/>
      <c r="BO769" s="160"/>
      <c r="BP769" s="160"/>
      <c r="BQ769" s="160"/>
      <c r="BR769" s="160"/>
      <c r="BS769" s="160"/>
      <c r="BT769" s="160"/>
      <c r="BU769" s="160"/>
      <c r="BV769" s="160"/>
      <c r="BW769" s="160"/>
      <c r="BX769" s="160"/>
      <c r="BY769" s="160"/>
      <c r="BZ769" s="160"/>
      <c r="CA769" s="160"/>
      <c r="CB769" s="160"/>
      <c r="CC769" s="160"/>
      <c r="CD769" s="160"/>
      <c r="CE769" s="160"/>
      <c r="CF769" s="160"/>
      <c r="CG769" s="160"/>
      <c r="CH769" s="160"/>
      <c r="CI769" s="160"/>
      <c r="CJ769" s="160"/>
      <c r="CK769" s="160"/>
      <c r="CL769" s="160"/>
    </row>
    <row r="770">
      <c r="A770" s="171"/>
      <c r="F770" s="11"/>
      <c r="G770" s="11"/>
      <c r="L770" s="171"/>
      <c r="M770" s="171"/>
      <c r="O770" s="160"/>
      <c r="P770" s="160"/>
      <c r="Q770" s="160"/>
      <c r="R770" s="160"/>
      <c r="S770" s="160"/>
      <c r="T770" s="207"/>
      <c r="U770" s="160"/>
      <c r="V770" s="160"/>
      <c r="W770" s="160"/>
      <c r="X770" s="160"/>
      <c r="Y770" s="160"/>
      <c r="Z770" s="160"/>
      <c r="AA770" s="160"/>
      <c r="AB770" s="160"/>
      <c r="AC770" s="160"/>
      <c r="AD770" s="160"/>
      <c r="AE770" s="160"/>
      <c r="AF770" s="160"/>
      <c r="AG770" s="160"/>
      <c r="AH770" s="160"/>
      <c r="AI770" s="160"/>
      <c r="AJ770" s="160"/>
      <c r="AK770" s="160"/>
      <c r="AL770" s="160"/>
      <c r="AM770" s="160"/>
      <c r="AN770" s="164"/>
      <c r="AO770" s="160"/>
      <c r="AP770" s="160"/>
      <c r="AQ770" s="160"/>
      <c r="AR770" s="160"/>
      <c r="AS770" s="160"/>
      <c r="AT770" s="160"/>
      <c r="AU770" s="160"/>
      <c r="AV770" s="160"/>
      <c r="AW770" s="160"/>
      <c r="AX770" s="160"/>
      <c r="AY770" s="160"/>
      <c r="AZ770" s="160"/>
      <c r="BA770" s="160"/>
      <c r="BB770" s="160"/>
      <c r="BC770" s="160"/>
      <c r="BD770" s="160"/>
      <c r="BE770" s="160"/>
      <c r="BF770" s="160"/>
      <c r="BG770" s="160"/>
      <c r="BH770" s="160"/>
      <c r="BI770" s="160"/>
      <c r="BJ770" s="160"/>
      <c r="BK770" s="160"/>
      <c r="BL770" s="160"/>
      <c r="BM770" s="160"/>
      <c r="BN770" s="160"/>
      <c r="BO770" s="160"/>
      <c r="BP770" s="160"/>
      <c r="BQ770" s="160"/>
      <c r="BR770" s="160"/>
      <c r="BS770" s="160"/>
      <c r="BT770" s="160"/>
      <c r="BU770" s="160"/>
      <c r="BV770" s="160"/>
      <c r="BW770" s="160"/>
      <c r="BX770" s="160"/>
      <c r="BY770" s="160"/>
      <c r="BZ770" s="160"/>
      <c r="CA770" s="160"/>
      <c r="CB770" s="160"/>
      <c r="CC770" s="160"/>
      <c r="CD770" s="160"/>
      <c r="CE770" s="160"/>
      <c r="CF770" s="160"/>
      <c r="CG770" s="160"/>
      <c r="CH770" s="160"/>
      <c r="CI770" s="160"/>
      <c r="CJ770" s="160"/>
      <c r="CK770" s="160"/>
      <c r="CL770" s="160"/>
    </row>
    <row r="771">
      <c r="A771" s="171"/>
      <c r="F771" s="11"/>
      <c r="G771" s="11"/>
      <c r="L771" s="171"/>
      <c r="M771" s="171"/>
      <c r="O771" s="160"/>
      <c r="P771" s="160"/>
      <c r="Q771" s="160"/>
      <c r="R771" s="160"/>
      <c r="S771" s="160"/>
      <c r="T771" s="207"/>
      <c r="U771" s="160"/>
      <c r="V771" s="160"/>
      <c r="W771" s="160"/>
      <c r="X771" s="160"/>
      <c r="Y771" s="160"/>
      <c r="Z771" s="160"/>
      <c r="AA771" s="160"/>
      <c r="AB771" s="160"/>
      <c r="AC771" s="160"/>
      <c r="AD771" s="160"/>
      <c r="AE771" s="160"/>
      <c r="AF771" s="160"/>
      <c r="AG771" s="160"/>
      <c r="AH771" s="160"/>
      <c r="AI771" s="160"/>
      <c r="AJ771" s="160"/>
      <c r="AK771" s="160"/>
      <c r="AL771" s="160"/>
      <c r="AM771" s="160"/>
      <c r="AN771" s="164"/>
      <c r="AO771" s="160"/>
      <c r="AP771" s="160"/>
      <c r="AQ771" s="160"/>
      <c r="AR771" s="160"/>
      <c r="AS771" s="160"/>
      <c r="AT771" s="160"/>
      <c r="AU771" s="160"/>
      <c r="AV771" s="160"/>
      <c r="AW771" s="160"/>
      <c r="AX771" s="160"/>
      <c r="AY771" s="160"/>
      <c r="AZ771" s="160"/>
      <c r="BA771" s="160"/>
      <c r="BB771" s="160"/>
      <c r="BC771" s="160"/>
      <c r="BD771" s="160"/>
      <c r="BE771" s="160"/>
      <c r="BF771" s="160"/>
      <c r="BG771" s="160"/>
      <c r="BH771" s="160"/>
      <c r="BI771" s="160"/>
      <c r="BJ771" s="160"/>
      <c r="BK771" s="160"/>
      <c r="BL771" s="160"/>
      <c r="BM771" s="160"/>
      <c r="BN771" s="160"/>
      <c r="BO771" s="160"/>
      <c r="BP771" s="160"/>
      <c r="BQ771" s="160"/>
      <c r="BR771" s="160"/>
      <c r="BS771" s="160"/>
      <c r="BT771" s="160"/>
      <c r="BU771" s="160"/>
      <c r="BV771" s="160"/>
      <c r="BW771" s="160"/>
      <c r="BX771" s="160"/>
      <c r="BY771" s="160"/>
      <c r="BZ771" s="160"/>
      <c r="CA771" s="160"/>
      <c r="CB771" s="160"/>
      <c r="CC771" s="160"/>
      <c r="CD771" s="160"/>
      <c r="CE771" s="160"/>
      <c r="CF771" s="160"/>
      <c r="CG771" s="160"/>
      <c r="CH771" s="160"/>
      <c r="CI771" s="160"/>
      <c r="CJ771" s="160"/>
      <c r="CK771" s="160"/>
      <c r="CL771" s="160"/>
    </row>
    <row r="772">
      <c r="A772" s="171"/>
      <c r="F772" s="11"/>
      <c r="G772" s="11"/>
      <c r="L772" s="171"/>
      <c r="M772" s="171"/>
      <c r="O772" s="160"/>
      <c r="P772" s="160"/>
      <c r="Q772" s="160"/>
      <c r="R772" s="160"/>
      <c r="S772" s="160"/>
      <c r="T772" s="207"/>
      <c r="U772" s="160"/>
      <c r="V772" s="160"/>
      <c r="W772" s="160"/>
      <c r="X772" s="160"/>
      <c r="Y772" s="160"/>
      <c r="Z772" s="160"/>
      <c r="AA772" s="160"/>
      <c r="AB772" s="160"/>
      <c r="AC772" s="160"/>
      <c r="AD772" s="160"/>
      <c r="AE772" s="160"/>
      <c r="AF772" s="160"/>
      <c r="AG772" s="160"/>
      <c r="AH772" s="160"/>
      <c r="AI772" s="160"/>
      <c r="AJ772" s="160"/>
      <c r="AK772" s="160"/>
      <c r="AL772" s="160"/>
      <c r="AM772" s="160"/>
      <c r="AN772" s="164"/>
      <c r="AO772" s="160"/>
      <c r="AP772" s="160"/>
      <c r="AQ772" s="160"/>
      <c r="AR772" s="160"/>
      <c r="AS772" s="160"/>
      <c r="AT772" s="160"/>
      <c r="AU772" s="160"/>
      <c r="AV772" s="160"/>
      <c r="AW772" s="160"/>
      <c r="AX772" s="160"/>
      <c r="AY772" s="160"/>
      <c r="AZ772" s="160"/>
      <c r="BA772" s="160"/>
      <c r="BB772" s="160"/>
      <c r="BC772" s="160"/>
      <c r="BD772" s="160"/>
      <c r="BE772" s="160"/>
      <c r="BF772" s="160"/>
      <c r="BG772" s="160"/>
      <c r="BH772" s="160"/>
      <c r="BI772" s="160"/>
      <c r="BJ772" s="160"/>
      <c r="BK772" s="160"/>
      <c r="BL772" s="160"/>
      <c r="BM772" s="160"/>
      <c r="BN772" s="160"/>
      <c r="BO772" s="160"/>
      <c r="BP772" s="160"/>
      <c r="BQ772" s="160"/>
      <c r="BR772" s="160"/>
      <c r="BS772" s="160"/>
      <c r="BT772" s="160"/>
      <c r="BU772" s="160"/>
      <c r="BV772" s="160"/>
      <c r="BW772" s="160"/>
      <c r="BX772" s="160"/>
      <c r="BY772" s="160"/>
      <c r="BZ772" s="160"/>
      <c r="CA772" s="160"/>
      <c r="CB772" s="160"/>
      <c r="CC772" s="160"/>
      <c r="CD772" s="160"/>
      <c r="CE772" s="160"/>
      <c r="CF772" s="160"/>
      <c r="CG772" s="160"/>
      <c r="CH772" s="160"/>
      <c r="CI772" s="160"/>
      <c r="CJ772" s="160"/>
      <c r="CK772" s="160"/>
      <c r="CL772" s="160"/>
    </row>
    <row r="773">
      <c r="A773" s="171"/>
      <c r="F773" s="11"/>
      <c r="G773" s="11"/>
      <c r="L773" s="171"/>
      <c r="M773" s="171"/>
      <c r="O773" s="160"/>
      <c r="P773" s="160"/>
      <c r="Q773" s="160"/>
      <c r="R773" s="160"/>
      <c r="S773" s="160"/>
      <c r="T773" s="207"/>
      <c r="U773" s="160"/>
      <c r="V773" s="160"/>
      <c r="W773" s="160"/>
      <c r="X773" s="160"/>
      <c r="Y773" s="160"/>
      <c r="Z773" s="160"/>
      <c r="AA773" s="160"/>
      <c r="AB773" s="160"/>
      <c r="AC773" s="160"/>
      <c r="AD773" s="160"/>
      <c r="AE773" s="160"/>
      <c r="AF773" s="160"/>
      <c r="AG773" s="160"/>
      <c r="AH773" s="160"/>
      <c r="AI773" s="160"/>
      <c r="AJ773" s="160"/>
      <c r="AK773" s="160"/>
      <c r="AL773" s="160"/>
      <c r="AM773" s="160"/>
      <c r="AN773" s="164"/>
      <c r="AO773" s="160"/>
      <c r="AP773" s="160"/>
      <c r="AQ773" s="160"/>
      <c r="AR773" s="160"/>
      <c r="AS773" s="160"/>
      <c r="AT773" s="160"/>
      <c r="AU773" s="160"/>
      <c r="AV773" s="160"/>
      <c r="AW773" s="160"/>
      <c r="AX773" s="160"/>
      <c r="AY773" s="160"/>
      <c r="AZ773" s="160"/>
      <c r="BA773" s="160"/>
      <c r="BB773" s="160"/>
      <c r="BC773" s="160"/>
      <c r="BD773" s="160"/>
      <c r="BE773" s="160"/>
      <c r="BF773" s="160"/>
      <c r="BG773" s="160"/>
      <c r="BH773" s="160"/>
      <c r="BI773" s="160"/>
      <c r="BJ773" s="160"/>
      <c r="BK773" s="160"/>
      <c r="BL773" s="160"/>
      <c r="BM773" s="160"/>
      <c r="BN773" s="160"/>
      <c r="BO773" s="160"/>
      <c r="BP773" s="160"/>
      <c r="BQ773" s="160"/>
      <c r="BR773" s="160"/>
      <c r="BS773" s="160"/>
      <c r="BT773" s="160"/>
      <c r="BU773" s="160"/>
      <c r="BV773" s="160"/>
      <c r="BW773" s="160"/>
      <c r="BX773" s="160"/>
      <c r="BY773" s="160"/>
      <c r="BZ773" s="160"/>
      <c r="CA773" s="160"/>
      <c r="CB773" s="160"/>
      <c r="CC773" s="160"/>
      <c r="CD773" s="160"/>
      <c r="CE773" s="160"/>
      <c r="CF773" s="160"/>
      <c r="CG773" s="160"/>
      <c r="CH773" s="160"/>
      <c r="CI773" s="160"/>
      <c r="CJ773" s="160"/>
      <c r="CK773" s="160"/>
      <c r="CL773" s="160"/>
    </row>
    <row r="774">
      <c r="A774" s="171"/>
      <c r="F774" s="11"/>
      <c r="G774" s="11"/>
      <c r="L774" s="171"/>
      <c r="M774" s="171"/>
      <c r="O774" s="160"/>
      <c r="P774" s="160"/>
      <c r="Q774" s="160"/>
      <c r="R774" s="160"/>
      <c r="S774" s="160"/>
      <c r="T774" s="207"/>
      <c r="U774" s="160"/>
      <c r="V774" s="160"/>
      <c r="W774" s="160"/>
      <c r="X774" s="160"/>
      <c r="Y774" s="160"/>
      <c r="Z774" s="160"/>
      <c r="AA774" s="160"/>
      <c r="AB774" s="160"/>
      <c r="AC774" s="160"/>
      <c r="AD774" s="160"/>
      <c r="AE774" s="160"/>
      <c r="AF774" s="160"/>
      <c r="AG774" s="160"/>
      <c r="AH774" s="160"/>
      <c r="AI774" s="160"/>
      <c r="AJ774" s="160"/>
      <c r="AK774" s="160"/>
      <c r="AL774" s="160"/>
      <c r="AM774" s="160"/>
      <c r="AN774" s="164"/>
      <c r="AO774" s="160"/>
      <c r="AP774" s="160"/>
      <c r="AQ774" s="160"/>
      <c r="AR774" s="160"/>
      <c r="AS774" s="160"/>
      <c r="AT774" s="160"/>
      <c r="AU774" s="160"/>
      <c r="AV774" s="160"/>
      <c r="AW774" s="160"/>
      <c r="AX774" s="160"/>
      <c r="AY774" s="160"/>
      <c r="AZ774" s="160"/>
      <c r="BA774" s="160"/>
      <c r="BB774" s="160"/>
      <c r="BC774" s="160"/>
      <c r="BD774" s="160"/>
      <c r="BE774" s="160"/>
      <c r="BF774" s="160"/>
      <c r="BG774" s="160"/>
      <c r="BH774" s="160"/>
      <c r="BI774" s="160"/>
      <c r="BJ774" s="160"/>
      <c r="BK774" s="160"/>
      <c r="BL774" s="160"/>
      <c r="BM774" s="160"/>
      <c r="BN774" s="160"/>
      <c r="BO774" s="160"/>
      <c r="BP774" s="160"/>
      <c r="BQ774" s="160"/>
      <c r="BR774" s="160"/>
      <c r="BS774" s="160"/>
      <c r="BT774" s="160"/>
      <c r="BU774" s="160"/>
      <c r="BV774" s="160"/>
      <c r="BW774" s="160"/>
      <c r="BX774" s="160"/>
      <c r="BY774" s="160"/>
      <c r="BZ774" s="160"/>
      <c r="CA774" s="160"/>
      <c r="CB774" s="160"/>
      <c r="CC774" s="160"/>
      <c r="CD774" s="160"/>
      <c r="CE774" s="160"/>
      <c r="CF774" s="160"/>
      <c r="CG774" s="160"/>
      <c r="CH774" s="160"/>
      <c r="CI774" s="160"/>
      <c r="CJ774" s="160"/>
      <c r="CK774" s="160"/>
      <c r="CL774" s="160"/>
    </row>
    <row r="775">
      <c r="A775" s="171"/>
      <c r="F775" s="11"/>
      <c r="G775" s="11"/>
      <c r="L775" s="171"/>
      <c r="M775" s="171"/>
      <c r="O775" s="160"/>
      <c r="P775" s="160"/>
      <c r="Q775" s="160"/>
      <c r="R775" s="160"/>
      <c r="S775" s="160"/>
      <c r="T775" s="207"/>
      <c r="U775" s="160"/>
      <c r="V775" s="160"/>
      <c r="W775" s="160"/>
      <c r="X775" s="160"/>
      <c r="Y775" s="160"/>
      <c r="Z775" s="160"/>
      <c r="AA775" s="160"/>
      <c r="AB775" s="160"/>
      <c r="AC775" s="160"/>
      <c r="AD775" s="160"/>
      <c r="AE775" s="160"/>
      <c r="AF775" s="160"/>
      <c r="AG775" s="160"/>
      <c r="AH775" s="160"/>
      <c r="AI775" s="160"/>
      <c r="AJ775" s="160"/>
      <c r="AK775" s="160"/>
      <c r="AL775" s="160"/>
      <c r="AM775" s="160"/>
      <c r="AN775" s="164"/>
      <c r="AO775" s="160"/>
      <c r="AP775" s="160"/>
      <c r="AQ775" s="160"/>
      <c r="AR775" s="160"/>
      <c r="AS775" s="160"/>
      <c r="AT775" s="160"/>
      <c r="AU775" s="160"/>
      <c r="AV775" s="160"/>
      <c r="AW775" s="160"/>
      <c r="AX775" s="160"/>
      <c r="AY775" s="160"/>
      <c r="AZ775" s="160"/>
      <c r="BA775" s="160"/>
      <c r="BB775" s="160"/>
      <c r="BC775" s="160"/>
      <c r="BD775" s="160"/>
      <c r="BE775" s="160"/>
      <c r="BF775" s="160"/>
      <c r="BG775" s="160"/>
      <c r="BH775" s="160"/>
      <c r="BI775" s="160"/>
      <c r="BJ775" s="160"/>
      <c r="BK775" s="160"/>
      <c r="BL775" s="160"/>
      <c r="BM775" s="160"/>
      <c r="BN775" s="160"/>
      <c r="BO775" s="160"/>
      <c r="BP775" s="160"/>
      <c r="BQ775" s="160"/>
      <c r="BR775" s="160"/>
      <c r="BS775" s="160"/>
      <c r="BT775" s="160"/>
      <c r="BU775" s="160"/>
      <c r="BV775" s="160"/>
      <c r="BW775" s="160"/>
      <c r="BX775" s="160"/>
      <c r="BY775" s="160"/>
      <c r="BZ775" s="160"/>
      <c r="CA775" s="160"/>
      <c r="CB775" s="160"/>
      <c r="CC775" s="160"/>
      <c r="CD775" s="160"/>
      <c r="CE775" s="160"/>
      <c r="CF775" s="160"/>
      <c r="CG775" s="160"/>
      <c r="CH775" s="160"/>
      <c r="CI775" s="160"/>
      <c r="CJ775" s="160"/>
      <c r="CK775" s="160"/>
      <c r="CL775" s="160"/>
    </row>
    <row r="776">
      <c r="A776" s="171"/>
      <c r="F776" s="11"/>
      <c r="G776" s="11"/>
      <c r="L776" s="171"/>
      <c r="M776" s="171"/>
      <c r="O776" s="160"/>
      <c r="P776" s="160"/>
      <c r="Q776" s="160"/>
      <c r="R776" s="160"/>
      <c r="S776" s="160"/>
      <c r="T776" s="207"/>
      <c r="U776" s="160"/>
      <c r="V776" s="160"/>
      <c r="W776" s="160"/>
      <c r="X776" s="160"/>
      <c r="Y776" s="160"/>
      <c r="Z776" s="160"/>
      <c r="AA776" s="160"/>
      <c r="AB776" s="160"/>
      <c r="AC776" s="160"/>
      <c r="AD776" s="160"/>
      <c r="AE776" s="160"/>
      <c r="AF776" s="160"/>
      <c r="AG776" s="160"/>
      <c r="AH776" s="160"/>
      <c r="AI776" s="160"/>
      <c r="AJ776" s="160"/>
      <c r="AK776" s="160"/>
      <c r="AL776" s="160"/>
      <c r="AM776" s="160"/>
      <c r="AN776" s="164"/>
      <c r="AO776" s="160"/>
      <c r="AP776" s="160"/>
      <c r="AQ776" s="160"/>
      <c r="AR776" s="160"/>
      <c r="AS776" s="160"/>
      <c r="AT776" s="160"/>
      <c r="AU776" s="160"/>
      <c r="AV776" s="160"/>
      <c r="AW776" s="160"/>
      <c r="AX776" s="160"/>
      <c r="AY776" s="160"/>
      <c r="AZ776" s="160"/>
      <c r="BA776" s="160"/>
      <c r="BB776" s="160"/>
      <c r="BC776" s="160"/>
      <c r="BD776" s="160"/>
      <c r="BE776" s="160"/>
      <c r="BF776" s="160"/>
      <c r="BG776" s="160"/>
      <c r="BH776" s="160"/>
      <c r="BI776" s="160"/>
      <c r="BJ776" s="160"/>
      <c r="BK776" s="160"/>
      <c r="BL776" s="160"/>
      <c r="BM776" s="160"/>
      <c r="BN776" s="160"/>
      <c r="BO776" s="160"/>
      <c r="BP776" s="160"/>
      <c r="BQ776" s="160"/>
      <c r="BR776" s="160"/>
      <c r="BS776" s="160"/>
      <c r="BT776" s="160"/>
      <c r="BU776" s="160"/>
      <c r="BV776" s="160"/>
      <c r="BW776" s="160"/>
      <c r="BX776" s="160"/>
      <c r="BY776" s="160"/>
      <c r="BZ776" s="160"/>
      <c r="CA776" s="160"/>
      <c r="CB776" s="160"/>
      <c r="CC776" s="160"/>
      <c r="CD776" s="160"/>
      <c r="CE776" s="160"/>
      <c r="CF776" s="160"/>
      <c r="CG776" s="160"/>
      <c r="CH776" s="160"/>
      <c r="CI776" s="160"/>
      <c r="CJ776" s="160"/>
      <c r="CK776" s="160"/>
      <c r="CL776" s="160"/>
    </row>
    <row r="777">
      <c r="A777" s="171"/>
      <c r="F777" s="11"/>
      <c r="G777" s="11"/>
      <c r="L777" s="171"/>
      <c r="M777" s="171"/>
      <c r="O777" s="160"/>
      <c r="P777" s="160"/>
      <c r="Q777" s="160"/>
      <c r="R777" s="160"/>
      <c r="S777" s="160"/>
      <c r="T777" s="207"/>
      <c r="U777" s="160"/>
      <c r="V777" s="160"/>
      <c r="W777" s="160"/>
      <c r="X777" s="160"/>
      <c r="Y777" s="160"/>
      <c r="Z777" s="160"/>
      <c r="AA777" s="160"/>
      <c r="AB777" s="160"/>
      <c r="AC777" s="160"/>
      <c r="AD777" s="160"/>
      <c r="AE777" s="160"/>
      <c r="AF777" s="160"/>
      <c r="AG777" s="160"/>
      <c r="AH777" s="160"/>
      <c r="AI777" s="160"/>
      <c r="AJ777" s="160"/>
      <c r="AK777" s="160"/>
      <c r="AL777" s="160"/>
      <c r="AM777" s="160"/>
      <c r="AN777" s="164"/>
      <c r="AO777" s="160"/>
      <c r="AP777" s="160"/>
      <c r="AQ777" s="160"/>
      <c r="AR777" s="160"/>
      <c r="AS777" s="160"/>
      <c r="AT777" s="160"/>
      <c r="AU777" s="160"/>
      <c r="AV777" s="160"/>
      <c r="AW777" s="160"/>
      <c r="AX777" s="160"/>
      <c r="AY777" s="160"/>
      <c r="AZ777" s="160"/>
      <c r="BA777" s="160"/>
      <c r="BB777" s="160"/>
      <c r="BC777" s="160"/>
      <c r="BD777" s="160"/>
      <c r="BE777" s="160"/>
      <c r="BF777" s="160"/>
      <c r="BG777" s="160"/>
      <c r="BH777" s="160"/>
      <c r="BI777" s="160"/>
      <c r="BJ777" s="160"/>
      <c r="BK777" s="160"/>
      <c r="BL777" s="160"/>
      <c r="BM777" s="160"/>
      <c r="BN777" s="160"/>
      <c r="BO777" s="160"/>
      <c r="BP777" s="160"/>
      <c r="BQ777" s="160"/>
      <c r="BR777" s="160"/>
      <c r="BS777" s="160"/>
      <c r="BT777" s="160"/>
      <c r="BU777" s="160"/>
      <c r="BV777" s="160"/>
      <c r="BW777" s="160"/>
      <c r="BX777" s="160"/>
      <c r="BY777" s="160"/>
      <c r="BZ777" s="160"/>
      <c r="CA777" s="160"/>
      <c r="CB777" s="160"/>
      <c r="CC777" s="160"/>
      <c r="CD777" s="160"/>
      <c r="CE777" s="160"/>
      <c r="CF777" s="160"/>
      <c r="CG777" s="160"/>
      <c r="CH777" s="160"/>
      <c r="CI777" s="160"/>
      <c r="CJ777" s="160"/>
      <c r="CK777" s="160"/>
      <c r="CL777" s="160"/>
    </row>
    <row r="778">
      <c r="A778" s="171"/>
      <c r="F778" s="11"/>
      <c r="G778" s="11"/>
      <c r="L778" s="171"/>
      <c r="M778" s="171"/>
      <c r="O778" s="160"/>
      <c r="P778" s="160"/>
      <c r="Q778" s="160"/>
      <c r="R778" s="160"/>
      <c r="S778" s="160"/>
      <c r="T778" s="207"/>
      <c r="U778" s="160"/>
      <c r="V778" s="160"/>
      <c r="W778" s="160"/>
      <c r="X778" s="160"/>
      <c r="Y778" s="160"/>
      <c r="Z778" s="160"/>
      <c r="AA778" s="160"/>
      <c r="AB778" s="160"/>
      <c r="AC778" s="160"/>
      <c r="AD778" s="160"/>
      <c r="AE778" s="160"/>
      <c r="AF778" s="160"/>
      <c r="AG778" s="160"/>
      <c r="AH778" s="160"/>
      <c r="AI778" s="160"/>
      <c r="AJ778" s="160"/>
      <c r="AK778" s="160"/>
      <c r="AL778" s="160"/>
      <c r="AM778" s="160"/>
      <c r="AN778" s="164"/>
      <c r="AO778" s="160"/>
      <c r="AP778" s="160"/>
      <c r="AQ778" s="160"/>
      <c r="AR778" s="160"/>
      <c r="AS778" s="160"/>
      <c r="AT778" s="160"/>
      <c r="AU778" s="160"/>
      <c r="AV778" s="160"/>
      <c r="AW778" s="160"/>
      <c r="AX778" s="160"/>
      <c r="AY778" s="160"/>
      <c r="AZ778" s="160"/>
      <c r="BA778" s="160"/>
      <c r="BB778" s="160"/>
      <c r="BC778" s="160"/>
      <c r="BD778" s="160"/>
      <c r="BE778" s="160"/>
      <c r="BF778" s="160"/>
      <c r="BG778" s="160"/>
      <c r="BH778" s="160"/>
      <c r="BI778" s="160"/>
      <c r="BJ778" s="160"/>
      <c r="BK778" s="160"/>
      <c r="BL778" s="160"/>
      <c r="BM778" s="160"/>
      <c r="BN778" s="160"/>
      <c r="BO778" s="160"/>
      <c r="BP778" s="160"/>
      <c r="BQ778" s="160"/>
      <c r="BR778" s="160"/>
      <c r="BS778" s="160"/>
      <c r="BT778" s="160"/>
      <c r="BU778" s="160"/>
      <c r="BV778" s="160"/>
      <c r="BW778" s="160"/>
      <c r="BX778" s="160"/>
      <c r="BY778" s="160"/>
      <c r="BZ778" s="160"/>
      <c r="CA778" s="160"/>
      <c r="CB778" s="160"/>
      <c r="CC778" s="160"/>
      <c r="CD778" s="160"/>
      <c r="CE778" s="160"/>
      <c r="CF778" s="160"/>
      <c r="CG778" s="160"/>
      <c r="CH778" s="160"/>
      <c r="CI778" s="160"/>
      <c r="CJ778" s="160"/>
      <c r="CK778" s="160"/>
      <c r="CL778" s="160"/>
    </row>
    <row r="779">
      <c r="A779" s="171"/>
      <c r="F779" s="11"/>
      <c r="G779" s="11"/>
      <c r="L779" s="171"/>
      <c r="M779" s="171"/>
      <c r="O779" s="160"/>
      <c r="P779" s="160"/>
      <c r="Q779" s="160"/>
      <c r="R779" s="160"/>
      <c r="S779" s="160"/>
      <c r="T779" s="207"/>
      <c r="U779" s="160"/>
      <c r="V779" s="160"/>
      <c r="W779" s="160"/>
      <c r="X779" s="160"/>
      <c r="Y779" s="160"/>
      <c r="Z779" s="160"/>
      <c r="AA779" s="160"/>
      <c r="AB779" s="160"/>
      <c r="AC779" s="160"/>
      <c r="AD779" s="160"/>
      <c r="AE779" s="160"/>
      <c r="AF779" s="160"/>
      <c r="AG779" s="160"/>
      <c r="AH779" s="160"/>
      <c r="AI779" s="160"/>
      <c r="AJ779" s="160"/>
      <c r="AK779" s="160"/>
      <c r="AL779" s="160"/>
      <c r="AM779" s="160"/>
      <c r="AN779" s="164"/>
      <c r="AO779" s="160"/>
      <c r="AP779" s="160"/>
      <c r="AQ779" s="160"/>
      <c r="AR779" s="160"/>
      <c r="AS779" s="160"/>
      <c r="AT779" s="160"/>
      <c r="AU779" s="160"/>
      <c r="AV779" s="160"/>
      <c r="AW779" s="160"/>
      <c r="AX779" s="160"/>
      <c r="AY779" s="160"/>
      <c r="AZ779" s="160"/>
      <c r="BA779" s="160"/>
      <c r="BB779" s="160"/>
      <c r="BC779" s="160"/>
      <c r="BD779" s="160"/>
      <c r="BE779" s="160"/>
      <c r="BF779" s="160"/>
      <c r="BG779" s="160"/>
      <c r="BH779" s="160"/>
      <c r="BI779" s="160"/>
      <c r="BJ779" s="160"/>
      <c r="BK779" s="160"/>
      <c r="BL779" s="160"/>
      <c r="BM779" s="160"/>
      <c r="BN779" s="160"/>
      <c r="BO779" s="160"/>
      <c r="BP779" s="160"/>
      <c r="BQ779" s="160"/>
      <c r="BR779" s="160"/>
      <c r="BS779" s="160"/>
      <c r="BT779" s="160"/>
      <c r="BU779" s="160"/>
      <c r="BV779" s="160"/>
      <c r="BW779" s="160"/>
      <c r="BX779" s="160"/>
      <c r="BY779" s="160"/>
      <c r="BZ779" s="160"/>
      <c r="CA779" s="160"/>
      <c r="CB779" s="160"/>
      <c r="CC779" s="160"/>
      <c r="CD779" s="160"/>
      <c r="CE779" s="160"/>
      <c r="CF779" s="160"/>
      <c r="CG779" s="160"/>
      <c r="CH779" s="160"/>
      <c r="CI779" s="160"/>
      <c r="CJ779" s="160"/>
      <c r="CK779" s="160"/>
      <c r="CL779" s="160"/>
    </row>
    <row r="780">
      <c r="A780" s="171"/>
      <c r="F780" s="11"/>
      <c r="G780" s="11"/>
      <c r="L780" s="171"/>
      <c r="M780" s="171"/>
      <c r="O780" s="160"/>
      <c r="P780" s="160"/>
      <c r="Q780" s="160"/>
      <c r="R780" s="160"/>
      <c r="S780" s="160"/>
      <c r="T780" s="207"/>
      <c r="U780" s="160"/>
      <c r="V780" s="160"/>
      <c r="W780" s="160"/>
      <c r="X780" s="160"/>
      <c r="Y780" s="160"/>
      <c r="Z780" s="160"/>
      <c r="AA780" s="160"/>
      <c r="AB780" s="160"/>
      <c r="AC780" s="160"/>
      <c r="AD780" s="160"/>
      <c r="AE780" s="160"/>
      <c r="AF780" s="160"/>
      <c r="AG780" s="160"/>
      <c r="AH780" s="160"/>
      <c r="AI780" s="160"/>
      <c r="AJ780" s="160"/>
      <c r="AK780" s="160"/>
      <c r="AL780" s="160"/>
      <c r="AM780" s="160"/>
      <c r="AN780" s="164"/>
      <c r="AO780" s="160"/>
      <c r="AP780" s="160"/>
      <c r="AQ780" s="160"/>
      <c r="AR780" s="160"/>
      <c r="AS780" s="160"/>
      <c r="AT780" s="160"/>
      <c r="AU780" s="160"/>
      <c r="AV780" s="160"/>
      <c r="AW780" s="160"/>
      <c r="AX780" s="160"/>
      <c r="AY780" s="160"/>
      <c r="AZ780" s="160"/>
      <c r="BA780" s="160"/>
      <c r="BB780" s="160"/>
      <c r="BC780" s="160"/>
      <c r="BD780" s="160"/>
      <c r="BE780" s="160"/>
      <c r="BF780" s="160"/>
      <c r="BG780" s="160"/>
      <c r="BH780" s="160"/>
      <c r="BI780" s="160"/>
      <c r="BJ780" s="160"/>
      <c r="BK780" s="160"/>
      <c r="BL780" s="160"/>
      <c r="BM780" s="160"/>
      <c r="BN780" s="160"/>
      <c r="BO780" s="160"/>
      <c r="BP780" s="160"/>
      <c r="BQ780" s="160"/>
      <c r="BR780" s="160"/>
      <c r="BS780" s="160"/>
      <c r="BT780" s="160"/>
      <c r="BU780" s="160"/>
      <c r="BV780" s="160"/>
      <c r="BW780" s="160"/>
      <c r="BX780" s="160"/>
      <c r="BY780" s="160"/>
      <c r="BZ780" s="160"/>
      <c r="CA780" s="160"/>
      <c r="CB780" s="160"/>
      <c r="CC780" s="160"/>
      <c r="CD780" s="160"/>
      <c r="CE780" s="160"/>
      <c r="CF780" s="160"/>
      <c r="CG780" s="160"/>
      <c r="CH780" s="160"/>
      <c r="CI780" s="160"/>
      <c r="CJ780" s="160"/>
      <c r="CK780" s="160"/>
      <c r="CL780" s="160"/>
    </row>
    <row r="781">
      <c r="A781" s="171"/>
      <c r="F781" s="11"/>
      <c r="G781" s="11"/>
      <c r="L781" s="171"/>
      <c r="M781" s="171"/>
      <c r="O781" s="160"/>
      <c r="P781" s="160"/>
      <c r="Q781" s="160"/>
      <c r="R781" s="160"/>
      <c r="S781" s="160"/>
      <c r="T781" s="207"/>
      <c r="U781" s="160"/>
      <c r="V781" s="160"/>
      <c r="W781" s="160"/>
      <c r="X781" s="160"/>
      <c r="Y781" s="160"/>
      <c r="Z781" s="160"/>
      <c r="AA781" s="160"/>
      <c r="AB781" s="160"/>
      <c r="AC781" s="160"/>
      <c r="AD781" s="160"/>
      <c r="AE781" s="160"/>
      <c r="AF781" s="160"/>
      <c r="AG781" s="160"/>
      <c r="AH781" s="160"/>
      <c r="AI781" s="160"/>
      <c r="AJ781" s="160"/>
      <c r="AK781" s="160"/>
      <c r="AL781" s="160"/>
      <c r="AM781" s="160"/>
      <c r="AN781" s="164"/>
      <c r="AO781" s="160"/>
      <c r="AP781" s="160"/>
      <c r="AQ781" s="160"/>
      <c r="AR781" s="160"/>
      <c r="AS781" s="160"/>
      <c r="AT781" s="160"/>
      <c r="AU781" s="160"/>
      <c r="AV781" s="160"/>
      <c r="AW781" s="160"/>
      <c r="AX781" s="160"/>
      <c r="AY781" s="160"/>
      <c r="AZ781" s="160"/>
      <c r="BA781" s="160"/>
      <c r="BB781" s="160"/>
      <c r="BC781" s="160"/>
      <c r="BD781" s="160"/>
      <c r="BE781" s="160"/>
      <c r="BF781" s="160"/>
      <c r="BG781" s="160"/>
      <c r="BH781" s="160"/>
      <c r="BI781" s="160"/>
      <c r="BJ781" s="160"/>
      <c r="BK781" s="160"/>
      <c r="BL781" s="160"/>
      <c r="BM781" s="160"/>
      <c r="BN781" s="160"/>
      <c r="BO781" s="160"/>
      <c r="BP781" s="160"/>
      <c r="BQ781" s="160"/>
      <c r="BR781" s="160"/>
      <c r="BS781" s="160"/>
      <c r="BT781" s="160"/>
      <c r="BU781" s="160"/>
      <c r="BV781" s="160"/>
      <c r="BW781" s="160"/>
      <c r="BX781" s="160"/>
      <c r="BY781" s="160"/>
      <c r="BZ781" s="160"/>
      <c r="CA781" s="160"/>
      <c r="CB781" s="160"/>
      <c r="CC781" s="160"/>
      <c r="CD781" s="160"/>
      <c r="CE781" s="160"/>
      <c r="CF781" s="160"/>
      <c r="CG781" s="160"/>
      <c r="CH781" s="160"/>
      <c r="CI781" s="160"/>
      <c r="CJ781" s="160"/>
      <c r="CK781" s="160"/>
      <c r="CL781" s="160"/>
    </row>
    <row r="782">
      <c r="A782" s="171"/>
      <c r="F782" s="11"/>
      <c r="G782" s="11"/>
      <c r="L782" s="171"/>
      <c r="M782" s="171"/>
      <c r="O782" s="160"/>
      <c r="P782" s="160"/>
      <c r="Q782" s="160"/>
      <c r="R782" s="160"/>
      <c r="S782" s="160"/>
      <c r="T782" s="207"/>
      <c r="U782" s="160"/>
      <c r="V782" s="160"/>
      <c r="W782" s="160"/>
      <c r="X782" s="160"/>
      <c r="Y782" s="160"/>
      <c r="Z782" s="160"/>
      <c r="AA782" s="160"/>
      <c r="AB782" s="160"/>
      <c r="AC782" s="160"/>
      <c r="AD782" s="160"/>
      <c r="AE782" s="160"/>
      <c r="AF782" s="160"/>
      <c r="AG782" s="160"/>
      <c r="AH782" s="160"/>
      <c r="AI782" s="160"/>
      <c r="AJ782" s="160"/>
      <c r="AK782" s="160"/>
      <c r="AL782" s="160"/>
      <c r="AM782" s="160"/>
      <c r="AN782" s="164"/>
      <c r="AO782" s="160"/>
      <c r="AP782" s="160"/>
      <c r="AQ782" s="160"/>
      <c r="AR782" s="160"/>
      <c r="AS782" s="160"/>
      <c r="AT782" s="160"/>
      <c r="AU782" s="160"/>
      <c r="AV782" s="160"/>
      <c r="AW782" s="160"/>
      <c r="AX782" s="160"/>
      <c r="AY782" s="160"/>
      <c r="AZ782" s="160"/>
      <c r="BA782" s="160"/>
      <c r="BB782" s="160"/>
      <c r="BC782" s="160"/>
      <c r="BD782" s="160"/>
      <c r="BE782" s="160"/>
      <c r="BF782" s="160"/>
      <c r="BG782" s="160"/>
      <c r="BH782" s="160"/>
      <c r="BI782" s="160"/>
      <c r="BJ782" s="160"/>
      <c r="BK782" s="160"/>
      <c r="BL782" s="160"/>
      <c r="BM782" s="160"/>
      <c r="BN782" s="160"/>
      <c r="BO782" s="160"/>
      <c r="BP782" s="160"/>
      <c r="BQ782" s="160"/>
      <c r="BR782" s="160"/>
      <c r="BS782" s="160"/>
      <c r="BT782" s="160"/>
      <c r="BU782" s="160"/>
      <c r="BV782" s="160"/>
      <c r="BW782" s="160"/>
      <c r="BX782" s="160"/>
      <c r="BY782" s="160"/>
      <c r="BZ782" s="160"/>
      <c r="CA782" s="160"/>
      <c r="CB782" s="160"/>
      <c r="CC782" s="160"/>
      <c r="CD782" s="160"/>
      <c r="CE782" s="160"/>
      <c r="CF782" s="160"/>
      <c r="CG782" s="160"/>
      <c r="CH782" s="160"/>
      <c r="CI782" s="160"/>
      <c r="CJ782" s="160"/>
      <c r="CK782" s="160"/>
      <c r="CL782" s="160"/>
    </row>
    <row r="783">
      <c r="A783" s="171"/>
      <c r="F783" s="11"/>
      <c r="G783" s="11"/>
      <c r="L783" s="171"/>
      <c r="M783" s="171"/>
      <c r="O783" s="160"/>
      <c r="P783" s="160"/>
      <c r="Q783" s="160"/>
      <c r="R783" s="160"/>
      <c r="S783" s="160"/>
      <c r="T783" s="207"/>
      <c r="U783" s="160"/>
      <c r="V783" s="160"/>
      <c r="W783" s="160"/>
      <c r="X783" s="160"/>
      <c r="Y783" s="160"/>
      <c r="Z783" s="160"/>
      <c r="AA783" s="160"/>
      <c r="AB783" s="160"/>
      <c r="AC783" s="160"/>
      <c r="AD783" s="160"/>
      <c r="AE783" s="160"/>
      <c r="AF783" s="160"/>
      <c r="AG783" s="160"/>
      <c r="AH783" s="160"/>
      <c r="AI783" s="160"/>
      <c r="AJ783" s="160"/>
      <c r="AK783" s="160"/>
      <c r="AL783" s="160"/>
      <c r="AM783" s="160"/>
      <c r="AN783" s="164"/>
      <c r="AO783" s="160"/>
      <c r="AP783" s="160"/>
      <c r="AQ783" s="160"/>
      <c r="AR783" s="160"/>
      <c r="AS783" s="160"/>
      <c r="AT783" s="160"/>
      <c r="AU783" s="160"/>
      <c r="AV783" s="160"/>
      <c r="AW783" s="160"/>
      <c r="AX783" s="160"/>
      <c r="AY783" s="160"/>
      <c r="AZ783" s="160"/>
      <c r="BA783" s="160"/>
      <c r="BB783" s="160"/>
      <c r="BC783" s="160"/>
      <c r="BD783" s="160"/>
      <c r="BE783" s="160"/>
      <c r="BF783" s="160"/>
      <c r="BG783" s="160"/>
      <c r="BH783" s="160"/>
      <c r="BI783" s="160"/>
      <c r="BJ783" s="160"/>
      <c r="BK783" s="160"/>
      <c r="BL783" s="160"/>
      <c r="BM783" s="160"/>
      <c r="BN783" s="160"/>
      <c r="BO783" s="160"/>
      <c r="BP783" s="160"/>
      <c r="BQ783" s="160"/>
      <c r="BR783" s="160"/>
      <c r="BS783" s="160"/>
      <c r="BT783" s="160"/>
      <c r="BU783" s="160"/>
      <c r="BV783" s="160"/>
      <c r="BW783" s="160"/>
      <c r="BX783" s="160"/>
      <c r="BY783" s="160"/>
      <c r="BZ783" s="160"/>
      <c r="CA783" s="160"/>
      <c r="CB783" s="160"/>
      <c r="CC783" s="160"/>
      <c r="CD783" s="160"/>
      <c r="CE783" s="160"/>
      <c r="CF783" s="160"/>
      <c r="CG783" s="160"/>
      <c r="CH783" s="160"/>
      <c r="CI783" s="160"/>
      <c r="CJ783" s="160"/>
      <c r="CK783" s="160"/>
      <c r="CL783" s="160"/>
    </row>
    <row r="784">
      <c r="A784" s="171"/>
      <c r="F784" s="11"/>
      <c r="G784" s="11"/>
      <c r="L784" s="171"/>
      <c r="M784" s="171"/>
      <c r="O784" s="160"/>
      <c r="P784" s="160"/>
      <c r="Q784" s="160"/>
      <c r="R784" s="160"/>
      <c r="S784" s="160"/>
      <c r="T784" s="207"/>
      <c r="U784" s="160"/>
      <c r="V784" s="160"/>
      <c r="W784" s="160"/>
      <c r="X784" s="160"/>
      <c r="Y784" s="160"/>
      <c r="Z784" s="160"/>
      <c r="AA784" s="160"/>
      <c r="AB784" s="160"/>
      <c r="AC784" s="160"/>
      <c r="AD784" s="160"/>
      <c r="AE784" s="160"/>
      <c r="AF784" s="160"/>
      <c r="AG784" s="160"/>
      <c r="AH784" s="160"/>
      <c r="AI784" s="160"/>
      <c r="AJ784" s="160"/>
      <c r="AK784" s="160"/>
      <c r="AL784" s="160"/>
      <c r="AM784" s="160"/>
      <c r="AN784" s="164"/>
      <c r="AO784" s="160"/>
      <c r="AP784" s="160"/>
      <c r="AQ784" s="160"/>
      <c r="AR784" s="160"/>
      <c r="AS784" s="160"/>
      <c r="AT784" s="160"/>
      <c r="AU784" s="160"/>
      <c r="AV784" s="160"/>
      <c r="AW784" s="160"/>
      <c r="AX784" s="160"/>
      <c r="AY784" s="160"/>
      <c r="AZ784" s="160"/>
      <c r="BA784" s="160"/>
      <c r="BB784" s="160"/>
      <c r="BC784" s="160"/>
      <c r="BD784" s="160"/>
      <c r="BE784" s="160"/>
      <c r="BF784" s="160"/>
      <c r="BG784" s="160"/>
      <c r="BH784" s="160"/>
      <c r="BI784" s="160"/>
      <c r="BJ784" s="160"/>
      <c r="BK784" s="160"/>
      <c r="BL784" s="160"/>
      <c r="BM784" s="160"/>
      <c r="BN784" s="160"/>
      <c r="BO784" s="160"/>
      <c r="BP784" s="160"/>
      <c r="BQ784" s="160"/>
      <c r="BR784" s="160"/>
      <c r="BS784" s="160"/>
      <c r="BT784" s="160"/>
      <c r="BU784" s="160"/>
      <c r="BV784" s="160"/>
      <c r="BW784" s="160"/>
      <c r="BX784" s="160"/>
      <c r="BY784" s="160"/>
      <c r="BZ784" s="160"/>
      <c r="CA784" s="160"/>
      <c r="CB784" s="160"/>
      <c r="CC784" s="160"/>
      <c r="CD784" s="160"/>
      <c r="CE784" s="160"/>
      <c r="CF784" s="160"/>
      <c r="CG784" s="160"/>
      <c r="CH784" s="160"/>
      <c r="CI784" s="160"/>
      <c r="CJ784" s="160"/>
      <c r="CK784" s="160"/>
      <c r="CL784" s="160"/>
    </row>
    <row r="785">
      <c r="A785" s="171"/>
      <c r="F785" s="11"/>
      <c r="G785" s="11"/>
      <c r="L785" s="171"/>
      <c r="M785" s="171"/>
      <c r="O785" s="160"/>
      <c r="P785" s="160"/>
      <c r="Q785" s="160"/>
      <c r="R785" s="160"/>
      <c r="S785" s="160"/>
      <c r="T785" s="207"/>
      <c r="U785" s="160"/>
      <c r="V785" s="160"/>
      <c r="W785" s="160"/>
      <c r="X785" s="160"/>
      <c r="Y785" s="160"/>
      <c r="Z785" s="160"/>
      <c r="AA785" s="160"/>
      <c r="AB785" s="160"/>
      <c r="AC785" s="160"/>
      <c r="AD785" s="160"/>
      <c r="AE785" s="160"/>
      <c r="AF785" s="160"/>
      <c r="AG785" s="160"/>
      <c r="AH785" s="160"/>
      <c r="AI785" s="160"/>
      <c r="AJ785" s="160"/>
      <c r="AK785" s="160"/>
      <c r="AL785" s="160"/>
      <c r="AM785" s="160"/>
      <c r="AN785" s="164"/>
      <c r="AO785" s="160"/>
      <c r="AP785" s="160"/>
      <c r="AQ785" s="160"/>
      <c r="AR785" s="160"/>
      <c r="AS785" s="160"/>
      <c r="AT785" s="160"/>
      <c r="AU785" s="160"/>
      <c r="AV785" s="160"/>
      <c r="AW785" s="160"/>
      <c r="AX785" s="160"/>
      <c r="AY785" s="160"/>
      <c r="AZ785" s="160"/>
      <c r="BA785" s="160"/>
      <c r="BB785" s="160"/>
      <c r="BC785" s="160"/>
      <c r="BD785" s="160"/>
      <c r="BE785" s="160"/>
      <c r="BF785" s="160"/>
      <c r="BG785" s="160"/>
      <c r="BH785" s="160"/>
      <c r="BI785" s="160"/>
      <c r="BJ785" s="160"/>
      <c r="BK785" s="160"/>
      <c r="BL785" s="160"/>
      <c r="BM785" s="160"/>
      <c r="BN785" s="160"/>
      <c r="BO785" s="160"/>
      <c r="BP785" s="160"/>
      <c r="BQ785" s="160"/>
      <c r="BR785" s="160"/>
      <c r="BS785" s="160"/>
      <c r="BT785" s="160"/>
      <c r="BU785" s="160"/>
      <c r="BV785" s="160"/>
      <c r="BW785" s="160"/>
      <c r="BX785" s="160"/>
      <c r="BY785" s="160"/>
      <c r="BZ785" s="160"/>
      <c r="CA785" s="160"/>
      <c r="CB785" s="160"/>
      <c r="CC785" s="160"/>
      <c r="CD785" s="160"/>
      <c r="CE785" s="160"/>
      <c r="CF785" s="160"/>
      <c r="CG785" s="160"/>
      <c r="CH785" s="160"/>
      <c r="CI785" s="160"/>
      <c r="CJ785" s="160"/>
      <c r="CK785" s="160"/>
      <c r="CL785" s="160"/>
    </row>
    <row r="786">
      <c r="A786" s="171"/>
      <c r="F786" s="11"/>
      <c r="G786" s="11"/>
      <c r="L786" s="171"/>
      <c r="M786" s="171"/>
      <c r="O786" s="160"/>
      <c r="P786" s="160"/>
      <c r="Q786" s="160"/>
      <c r="R786" s="160"/>
      <c r="S786" s="160"/>
      <c r="T786" s="207"/>
      <c r="U786" s="160"/>
      <c r="V786" s="160"/>
      <c r="W786" s="160"/>
      <c r="X786" s="160"/>
      <c r="Y786" s="160"/>
      <c r="Z786" s="160"/>
      <c r="AA786" s="160"/>
      <c r="AB786" s="160"/>
      <c r="AC786" s="160"/>
      <c r="AD786" s="160"/>
      <c r="AE786" s="160"/>
      <c r="AF786" s="160"/>
      <c r="AG786" s="160"/>
      <c r="AH786" s="160"/>
      <c r="AI786" s="160"/>
      <c r="AJ786" s="160"/>
      <c r="AK786" s="160"/>
      <c r="AL786" s="160"/>
      <c r="AM786" s="160"/>
      <c r="AN786" s="164"/>
      <c r="AO786" s="160"/>
      <c r="AP786" s="160"/>
      <c r="AQ786" s="160"/>
      <c r="AR786" s="160"/>
      <c r="AS786" s="160"/>
      <c r="AT786" s="160"/>
      <c r="AU786" s="160"/>
      <c r="AV786" s="160"/>
      <c r="AW786" s="160"/>
      <c r="AX786" s="160"/>
      <c r="AY786" s="160"/>
      <c r="AZ786" s="160"/>
      <c r="BA786" s="160"/>
      <c r="BB786" s="160"/>
      <c r="BC786" s="160"/>
      <c r="BD786" s="160"/>
      <c r="BE786" s="160"/>
      <c r="BF786" s="160"/>
      <c r="BG786" s="160"/>
      <c r="BH786" s="160"/>
      <c r="BI786" s="160"/>
      <c r="BJ786" s="160"/>
      <c r="BK786" s="160"/>
      <c r="BL786" s="160"/>
      <c r="BM786" s="160"/>
      <c r="BN786" s="160"/>
      <c r="BO786" s="160"/>
      <c r="BP786" s="160"/>
      <c r="BQ786" s="160"/>
      <c r="BR786" s="160"/>
      <c r="BS786" s="160"/>
      <c r="BT786" s="160"/>
      <c r="BU786" s="160"/>
      <c r="BV786" s="160"/>
      <c r="BW786" s="160"/>
      <c r="BX786" s="160"/>
      <c r="BY786" s="160"/>
      <c r="BZ786" s="160"/>
      <c r="CA786" s="160"/>
      <c r="CB786" s="160"/>
      <c r="CC786" s="160"/>
      <c r="CD786" s="160"/>
      <c r="CE786" s="160"/>
      <c r="CF786" s="160"/>
      <c r="CG786" s="160"/>
      <c r="CH786" s="160"/>
      <c r="CI786" s="160"/>
      <c r="CJ786" s="160"/>
      <c r="CK786" s="160"/>
      <c r="CL786" s="160"/>
    </row>
    <row r="787">
      <c r="A787" s="171"/>
      <c r="F787" s="11"/>
      <c r="G787" s="11"/>
      <c r="L787" s="171"/>
      <c r="M787" s="171"/>
      <c r="O787" s="160"/>
      <c r="P787" s="160"/>
      <c r="Q787" s="160"/>
      <c r="R787" s="160"/>
      <c r="S787" s="160"/>
      <c r="T787" s="207"/>
      <c r="U787" s="160"/>
      <c r="V787" s="160"/>
      <c r="W787" s="160"/>
      <c r="X787" s="160"/>
      <c r="Y787" s="160"/>
      <c r="Z787" s="160"/>
      <c r="AA787" s="160"/>
      <c r="AB787" s="160"/>
      <c r="AC787" s="160"/>
      <c r="AD787" s="160"/>
      <c r="AE787" s="160"/>
      <c r="AF787" s="160"/>
      <c r="AG787" s="160"/>
      <c r="AH787" s="160"/>
      <c r="AI787" s="160"/>
      <c r="AJ787" s="160"/>
      <c r="AK787" s="160"/>
      <c r="AL787" s="160"/>
      <c r="AM787" s="160"/>
      <c r="AN787" s="164"/>
      <c r="AO787" s="160"/>
      <c r="AP787" s="160"/>
      <c r="AQ787" s="160"/>
      <c r="AR787" s="160"/>
      <c r="AS787" s="160"/>
      <c r="AT787" s="160"/>
      <c r="AU787" s="160"/>
      <c r="AV787" s="160"/>
      <c r="AW787" s="160"/>
      <c r="AX787" s="160"/>
      <c r="AY787" s="160"/>
      <c r="AZ787" s="160"/>
      <c r="BA787" s="160"/>
      <c r="BB787" s="160"/>
      <c r="BC787" s="160"/>
      <c r="BD787" s="160"/>
      <c r="BE787" s="160"/>
      <c r="BF787" s="160"/>
      <c r="BG787" s="160"/>
      <c r="BH787" s="160"/>
      <c r="BI787" s="160"/>
      <c r="BJ787" s="160"/>
      <c r="BK787" s="160"/>
      <c r="BL787" s="160"/>
      <c r="BM787" s="160"/>
      <c r="BN787" s="160"/>
      <c r="BO787" s="160"/>
      <c r="BP787" s="160"/>
      <c r="BQ787" s="160"/>
      <c r="BR787" s="160"/>
      <c r="BS787" s="160"/>
      <c r="BT787" s="160"/>
      <c r="BU787" s="160"/>
      <c r="BV787" s="160"/>
      <c r="BW787" s="160"/>
      <c r="BX787" s="160"/>
      <c r="BY787" s="160"/>
      <c r="BZ787" s="160"/>
      <c r="CA787" s="160"/>
      <c r="CB787" s="160"/>
      <c r="CC787" s="160"/>
      <c r="CD787" s="160"/>
      <c r="CE787" s="160"/>
      <c r="CF787" s="160"/>
      <c r="CG787" s="160"/>
      <c r="CH787" s="160"/>
      <c r="CI787" s="160"/>
      <c r="CJ787" s="160"/>
      <c r="CK787" s="160"/>
      <c r="CL787" s="160"/>
    </row>
    <row r="788">
      <c r="A788" s="171"/>
      <c r="F788" s="11"/>
      <c r="G788" s="11"/>
      <c r="L788" s="171"/>
      <c r="M788" s="171"/>
      <c r="O788" s="160"/>
      <c r="P788" s="160"/>
      <c r="Q788" s="160"/>
      <c r="R788" s="160"/>
      <c r="S788" s="160"/>
      <c r="T788" s="207"/>
      <c r="U788" s="160"/>
      <c r="V788" s="160"/>
      <c r="W788" s="160"/>
      <c r="X788" s="160"/>
      <c r="Y788" s="160"/>
      <c r="Z788" s="160"/>
      <c r="AA788" s="160"/>
      <c r="AB788" s="160"/>
      <c r="AC788" s="160"/>
      <c r="AD788" s="160"/>
      <c r="AE788" s="160"/>
      <c r="AF788" s="160"/>
      <c r="AG788" s="160"/>
      <c r="AH788" s="160"/>
      <c r="AI788" s="160"/>
      <c r="AJ788" s="160"/>
      <c r="AK788" s="160"/>
      <c r="AL788" s="160"/>
      <c r="AM788" s="160"/>
      <c r="AN788" s="164"/>
      <c r="AO788" s="160"/>
      <c r="AP788" s="160"/>
      <c r="AQ788" s="160"/>
      <c r="AR788" s="160"/>
      <c r="AS788" s="160"/>
      <c r="AT788" s="160"/>
      <c r="AU788" s="160"/>
      <c r="AV788" s="160"/>
      <c r="AW788" s="160"/>
      <c r="AX788" s="160"/>
      <c r="AY788" s="160"/>
      <c r="AZ788" s="160"/>
      <c r="BA788" s="160"/>
      <c r="BB788" s="160"/>
      <c r="BC788" s="160"/>
      <c r="BD788" s="160"/>
      <c r="BE788" s="160"/>
      <c r="BF788" s="160"/>
      <c r="BG788" s="160"/>
      <c r="BH788" s="160"/>
      <c r="BI788" s="160"/>
      <c r="BJ788" s="160"/>
      <c r="BK788" s="160"/>
      <c r="BL788" s="160"/>
      <c r="BM788" s="160"/>
      <c r="BN788" s="160"/>
      <c r="BO788" s="160"/>
      <c r="BP788" s="160"/>
      <c r="BQ788" s="160"/>
      <c r="BR788" s="160"/>
      <c r="BS788" s="160"/>
      <c r="BT788" s="160"/>
      <c r="BU788" s="160"/>
      <c r="BV788" s="160"/>
      <c r="BW788" s="160"/>
      <c r="BX788" s="160"/>
      <c r="BY788" s="160"/>
      <c r="BZ788" s="160"/>
      <c r="CA788" s="160"/>
      <c r="CB788" s="160"/>
      <c r="CC788" s="160"/>
      <c r="CD788" s="160"/>
      <c r="CE788" s="160"/>
      <c r="CF788" s="160"/>
      <c r="CG788" s="160"/>
      <c r="CH788" s="160"/>
      <c r="CI788" s="160"/>
      <c r="CJ788" s="160"/>
      <c r="CK788" s="160"/>
      <c r="CL788" s="160"/>
    </row>
    <row r="789">
      <c r="A789" s="171"/>
      <c r="F789" s="11"/>
      <c r="G789" s="11"/>
      <c r="L789" s="171"/>
      <c r="M789" s="171"/>
      <c r="O789" s="160"/>
      <c r="P789" s="160"/>
      <c r="Q789" s="160"/>
      <c r="R789" s="160"/>
      <c r="S789" s="160"/>
      <c r="T789" s="207"/>
      <c r="U789" s="160"/>
      <c r="V789" s="160"/>
      <c r="W789" s="160"/>
      <c r="X789" s="160"/>
      <c r="Y789" s="160"/>
      <c r="Z789" s="160"/>
      <c r="AA789" s="160"/>
      <c r="AB789" s="160"/>
      <c r="AC789" s="160"/>
      <c r="AD789" s="160"/>
      <c r="AE789" s="160"/>
      <c r="AF789" s="160"/>
      <c r="AG789" s="160"/>
      <c r="AH789" s="160"/>
      <c r="AI789" s="160"/>
      <c r="AJ789" s="160"/>
      <c r="AK789" s="160"/>
      <c r="AL789" s="160"/>
      <c r="AM789" s="160"/>
      <c r="AN789" s="164"/>
      <c r="AO789" s="160"/>
      <c r="AP789" s="160"/>
      <c r="AQ789" s="160"/>
      <c r="AR789" s="160"/>
      <c r="AS789" s="160"/>
      <c r="AT789" s="160"/>
      <c r="AU789" s="160"/>
      <c r="AV789" s="160"/>
      <c r="AW789" s="160"/>
      <c r="AX789" s="160"/>
      <c r="AY789" s="160"/>
      <c r="AZ789" s="160"/>
      <c r="BA789" s="160"/>
      <c r="BB789" s="160"/>
      <c r="BC789" s="160"/>
      <c r="BD789" s="160"/>
      <c r="BE789" s="160"/>
      <c r="BF789" s="160"/>
      <c r="BG789" s="160"/>
      <c r="BH789" s="160"/>
      <c r="BI789" s="160"/>
      <c r="BJ789" s="160"/>
      <c r="BK789" s="160"/>
      <c r="BL789" s="160"/>
      <c r="BM789" s="160"/>
      <c r="BN789" s="160"/>
      <c r="BO789" s="160"/>
      <c r="BP789" s="160"/>
      <c r="BQ789" s="160"/>
      <c r="BR789" s="160"/>
      <c r="BS789" s="160"/>
      <c r="BT789" s="160"/>
      <c r="BU789" s="160"/>
      <c r="BV789" s="160"/>
      <c r="BW789" s="160"/>
      <c r="BX789" s="160"/>
      <c r="BY789" s="160"/>
      <c r="BZ789" s="160"/>
      <c r="CA789" s="160"/>
      <c r="CB789" s="160"/>
      <c r="CC789" s="160"/>
      <c r="CD789" s="160"/>
      <c r="CE789" s="160"/>
      <c r="CF789" s="160"/>
      <c r="CG789" s="160"/>
      <c r="CH789" s="160"/>
      <c r="CI789" s="160"/>
      <c r="CJ789" s="160"/>
      <c r="CK789" s="160"/>
      <c r="CL789" s="160"/>
    </row>
    <row r="790">
      <c r="A790" s="171"/>
      <c r="F790" s="11"/>
      <c r="G790" s="11"/>
      <c r="L790" s="171"/>
      <c r="M790" s="171"/>
      <c r="O790" s="160"/>
      <c r="P790" s="160"/>
      <c r="Q790" s="160"/>
      <c r="R790" s="160"/>
      <c r="S790" s="160"/>
      <c r="T790" s="207"/>
      <c r="U790" s="160"/>
      <c r="V790" s="160"/>
      <c r="W790" s="160"/>
      <c r="X790" s="160"/>
      <c r="Y790" s="160"/>
      <c r="Z790" s="160"/>
      <c r="AA790" s="160"/>
      <c r="AB790" s="160"/>
      <c r="AC790" s="160"/>
      <c r="AD790" s="160"/>
      <c r="AE790" s="160"/>
      <c r="AF790" s="160"/>
      <c r="AG790" s="160"/>
      <c r="AH790" s="160"/>
      <c r="AI790" s="160"/>
      <c r="AJ790" s="160"/>
      <c r="AK790" s="160"/>
      <c r="AL790" s="160"/>
      <c r="AM790" s="160"/>
      <c r="AN790" s="164"/>
      <c r="AO790" s="160"/>
      <c r="AP790" s="160"/>
      <c r="AQ790" s="160"/>
      <c r="AR790" s="160"/>
      <c r="AS790" s="160"/>
      <c r="AT790" s="160"/>
      <c r="AU790" s="160"/>
      <c r="AV790" s="160"/>
      <c r="AW790" s="160"/>
      <c r="AX790" s="160"/>
      <c r="AY790" s="160"/>
      <c r="AZ790" s="160"/>
      <c r="BA790" s="160"/>
      <c r="BB790" s="160"/>
      <c r="BC790" s="160"/>
      <c r="BD790" s="160"/>
      <c r="BE790" s="160"/>
      <c r="BF790" s="160"/>
      <c r="BG790" s="160"/>
      <c r="BH790" s="160"/>
      <c r="BI790" s="160"/>
      <c r="BJ790" s="160"/>
      <c r="BK790" s="160"/>
      <c r="BL790" s="160"/>
      <c r="BM790" s="160"/>
      <c r="BN790" s="160"/>
      <c r="BO790" s="160"/>
      <c r="BP790" s="160"/>
      <c r="BQ790" s="160"/>
      <c r="BR790" s="160"/>
      <c r="BS790" s="160"/>
      <c r="BT790" s="160"/>
      <c r="BU790" s="160"/>
      <c r="BV790" s="160"/>
      <c r="BW790" s="160"/>
      <c r="BX790" s="160"/>
      <c r="BY790" s="160"/>
      <c r="BZ790" s="160"/>
      <c r="CA790" s="160"/>
      <c r="CB790" s="160"/>
      <c r="CC790" s="160"/>
      <c r="CD790" s="160"/>
      <c r="CE790" s="160"/>
      <c r="CF790" s="160"/>
      <c r="CG790" s="160"/>
      <c r="CH790" s="160"/>
      <c r="CI790" s="160"/>
      <c r="CJ790" s="160"/>
      <c r="CK790" s="160"/>
      <c r="CL790" s="160"/>
    </row>
    <row r="791">
      <c r="A791" s="171"/>
      <c r="F791" s="11"/>
      <c r="G791" s="11"/>
      <c r="L791" s="171"/>
      <c r="M791" s="171"/>
      <c r="O791" s="160"/>
      <c r="P791" s="160"/>
      <c r="Q791" s="160"/>
      <c r="R791" s="160"/>
      <c r="S791" s="160"/>
      <c r="T791" s="207"/>
      <c r="U791" s="160"/>
      <c r="V791" s="160"/>
      <c r="W791" s="160"/>
      <c r="X791" s="160"/>
      <c r="Y791" s="160"/>
      <c r="Z791" s="160"/>
      <c r="AA791" s="160"/>
      <c r="AB791" s="160"/>
      <c r="AC791" s="160"/>
      <c r="AD791" s="160"/>
      <c r="AE791" s="160"/>
      <c r="AF791" s="160"/>
      <c r="AG791" s="160"/>
      <c r="AH791" s="160"/>
      <c r="AI791" s="160"/>
      <c r="AJ791" s="160"/>
      <c r="AK791" s="160"/>
      <c r="AL791" s="160"/>
      <c r="AM791" s="160"/>
      <c r="AN791" s="164"/>
      <c r="AO791" s="160"/>
      <c r="AP791" s="160"/>
      <c r="AQ791" s="160"/>
      <c r="AR791" s="160"/>
      <c r="AS791" s="160"/>
      <c r="AT791" s="160"/>
      <c r="AU791" s="160"/>
      <c r="AV791" s="160"/>
      <c r="AW791" s="160"/>
      <c r="AX791" s="160"/>
      <c r="AY791" s="160"/>
      <c r="AZ791" s="160"/>
      <c r="BA791" s="160"/>
      <c r="BB791" s="160"/>
      <c r="BC791" s="160"/>
      <c r="BD791" s="160"/>
      <c r="BE791" s="160"/>
      <c r="BF791" s="160"/>
      <c r="BG791" s="160"/>
      <c r="BH791" s="160"/>
      <c r="BI791" s="160"/>
      <c r="BJ791" s="160"/>
      <c r="BK791" s="160"/>
      <c r="BL791" s="160"/>
      <c r="BM791" s="160"/>
      <c r="BN791" s="160"/>
      <c r="BO791" s="160"/>
      <c r="BP791" s="160"/>
      <c r="BQ791" s="160"/>
      <c r="BR791" s="160"/>
      <c r="BS791" s="160"/>
      <c r="BT791" s="160"/>
      <c r="BU791" s="160"/>
      <c r="BV791" s="160"/>
      <c r="BW791" s="160"/>
      <c r="BX791" s="160"/>
      <c r="BY791" s="160"/>
      <c r="BZ791" s="160"/>
      <c r="CA791" s="160"/>
      <c r="CB791" s="160"/>
      <c r="CC791" s="160"/>
      <c r="CD791" s="160"/>
      <c r="CE791" s="160"/>
      <c r="CF791" s="160"/>
      <c r="CG791" s="160"/>
      <c r="CH791" s="160"/>
      <c r="CI791" s="160"/>
      <c r="CJ791" s="160"/>
      <c r="CK791" s="160"/>
      <c r="CL791" s="160"/>
    </row>
    <row r="792">
      <c r="A792" s="171"/>
      <c r="F792" s="11"/>
      <c r="G792" s="11"/>
      <c r="L792" s="171"/>
      <c r="M792" s="171"/>
      <c r="O792" s="160"/>
      <c r="P792" s="160"/>
      <c r="Q792" s="160"/>
      <c r="R792" s="160"/>
      <c r="S792" s="160"/>
      <c r="T792" s="207"/>
      <c r="U792" s="160"/>
      <c r="V792" s="160"/>
      <c r="W792" s="160"/>
      <c r="X792" s="160"/>
      <c r="Y792" s="160"/>
      <c r="Z792" s="160"/>
      <c r="AA792" s="160"/>
      <c r="AB792" s="160"/>
      <c r="AC792" s="160"/>
      <c r="AD792" s="160"/>
      <c r="AE792" s="160"/>
      <c r="AF792" s="160"/>
      <c r="AG792" s="160"/>
      <c r="AH792" s="160"/>
      <c r="AI792" s="160"/>
      <c r="AJ792" s="160"/>
      <c r="AK792" s="160"/>
      <c r="AL792" s="160"/>
      <c r="AM792" s="160"/>
      <c r="AN792" s="164"/>
      <c r="AO792" s="160"/>
      <c r="AP792" s="160"/>
      <c r="AQ792" s="160"/>
      <c r="AR792" s="160"/>
      <c r="AS792" s="160"/>
      <c r="AT792" s="160"/>
      <c r="AU792" s="160"/>
      <c r="AV792" s="160"/>
      <c r="AW792" s="160"/>
      <c r="AX792" s="160"/>
      <c r="AY792" s="160"/>
      <c r="AZ792" s="160"/>
      <c r="BA792" s="160"/>
      <c r="BB792" s="160"/>
      <c r="BC792" s="160"/>
      <c r="BD792" s="160"/>
      <c r="BE792" s="160"/>
      <c r="BF792" s="160"/>
      <c r="BG792" s="160"/>
      <c r="BH792" s="160"/>
      <c r="BI792" s="160"/>
      <c r="BJ792" s="160"/>
      <c r="BK792" s="160"/>
      <c r="BL792" s="160"/>
      <c r="BM792" s="160"/>
      <c r="BN792" s="160"/>
      <c r="BO792" s="160"/>
      <c r="BP792" s="160"/>
      <c r="BQ792" s="160"/>
      <c r="BR792" s="160"/>
      <c r="BS792" s="160"/>
      <c r="BT792" s="160"/>
      <c r="BU792" s="160"/>
      <c r="BV792" s="160"/>
      <c r="BW792" s="160"/>
      <c r="BX792" s="160"/>
      <c r="BY792" s="160"/>
      <c r="BZ792" s="160"/>
      <c r="CA792" s="160"/>
      <c r="CB792" s="160"/>
      <c r="CC792" s="160"/>
      <c r="CD792" s="160"/>
      <c r="CE792" s="160"/>
      <c r="CF792" s="160"/>
      <c r="CG792" s="160"/>
      <c r="CH792" s="160"/>
      <c r="CI792" s="160"/>
      <c r="CJ792" s="160"/>
      <c r="CK792" s="160"/>
      <c r="CL792" s="160"/>
    </row>
    <row r="793">
      <c r="A793" s="171"/>
      <c r="F793" s="11"/>
      <c r="G793" s="11"/>
      <c r="L793" s="171"/>
      <c r="M793" s="171"/>
      <c r="O793" s="160"/>
      <c r="P793" s="160"/>
      <c r="Q793" s="160"/>
      <c r="R793" s="160"/>
      <c r="S793" s="160"/>
      <c r="T793" s="207"/>
      <c r="U793" s="160"/>
      <c r="V793" s="160"/>
      <c r="W793" s="160"/>
      <c r="X793" s="160"/>
      <c r="Y793" s="160"/>
      <c r="Z793" s="160"/>
      <c r="AA793" s="160"/>
      <c r="AB793" s="160"/>
      <c r="AC793" s="160"/>
      <c r="AD793" s="160"/>
      <c r="AE793" s="160"/>
      <c r="AF793" s="160"/>
      <c r="AG793" s="160"/>
      <c r="AH793" s="160"/>
      <c r="AI793" s="160"/>
      <c r="AJ793" s="160"/>
      <c r="AK793" s="160"/>
      <c r="AL793" s="160"/>
      <c r="AM793" s="160"/>
      <c r="AN793" s="164"/>
      <c r="AO793" s="160"/>
      <c r="AP793" s="160"/>
      <c r="AQ793" s="160"/>
      <c r="AR793" s="160"/>
      <c r="AS793" s="160"/>
      <c r="AT793" s="160"/>
      <c r="AU793" s="160"/>
      <c r="AV793" s="160"/>
      <c r="AW793" s="160"/>
      <c r="AX793" s="160"/>
      <c r="AY793" s="160"/>
      <c r="AZ793" s="160"/>
      <c r="BA793" s="160"/>
      <c r="BB793" s="160"/>
      <c r="BC793" s="160"/>
      <c r="BD793" s="160"/>
      <c r="BE793" s="160"/>
      <c r="BF793" s="160"/>
      <c r="BG793" s="160"/>
      <c r="BH793" s="160"/>
      <c r="BI793" s="160"/>
      <c r="BJ793" s="160"/>
      <c r="BK793" s="160"/>
      <c r="BL793" s="160"/>
      <c r="BM793" s="160"/>
      <c r="BN793" s="160"/>
      <c r="BO793" s="160"/>
      <c r="BP793" s="160"/>
      <c r="BQ793" s="160"/>
      <c r="BR793" s="160"/>
      <c r="BS793" s="160"/>
      <c r="BT793" s="160"/>
      <c r="BU793" s="160"/>
      <c r="BV793" s="160"/>
      <c r="BW793" s="160"/>
      <c r="BX793" s="160"/>
      <c r="BY793" s="160"/>
      <c r="BZ793" s="160"/>
      <c r="CA793" s="160"/>
      <c r="CB793" s="160"/>
      <c r="CC793" s="160"/>
      <c r="CD793" s="160"/>
      <c r="CE793" s="160"/>
      <c r="CF793" s="160"/>
      <c r="CG793" s="160"/>
      <c r="CH793" s="160"/>
      <c r="CI793" s="160"/>
      <c r="CJ793" s="160"/>
      <c r="CK793" s="160"/>
      <c r="CL793" s="160"/>
    </row>
    <row r="794">
      <c r="A794" s="171"/>
      <c r="F794" s="11"/>
      <c r="G794" s="11"/>
      <c r="L794" s="171"/>
      <c r="M794" s="171"/>
      <c r="O794" s="160"/>
      <c r="P794" s="160"/>
      <c r="Q794" s="160"/>
      <c r="R794" s="160"/>
      <c r="S794" s="160"/>
      <c r="T794" s="207"/>
      <c r="U794" s="160"/>
      <c r="V794" s="160"/>
      <c r="W794" s="160"/>
      <c r="X794" s="160"/>
      <c r="Y794" s="160"/>
      <c r="Z794" s="160"/>
      <c r="AA794" s="160"/>
      <c r="AB794" s="160"/>
      <c r="AC794" s="160"/>
      <c r="AD794" s="160"/>
      <c r="AE794" s="160"/>
      <c r="AF794" s="160"/>
      <c r="AG794" s="160"/>
      <c r="AH794" s="160"/>
      <c r="AI794" s="160"/>
      <c r="AJ794" s="160"/>
      <c r="AK794" s="160"/>
      <c r="AL794" s="160"/>
      <c r="AM794" s="160"/>
      <c r="AN794" s="164"/>
      <c r="AO794" s="160"/>
      <c r="AP794" s="160"/>
      <c r="AQ794" s="160"/>
      <c r="AR794" s="160"/>
      <c r="AS794" s="160"/>
      <c r="AT794" s="160"/>
      <c r="AU794" s="160"/>
      <c r="AV794" s="160"/>
      <c r="AW794" s="160"/>
      <c r="AX794" s="160"/>
      <c r="AY794" s="160"/>
      <c r="AZ794" s="160"/>
      <c r="BA794" s="160"/>
      <c r="BB794" s="160"/>
      <c r="BC794" s="160"/>
      <c r="BD794" s="160"/>
      <c r="BE794" s="160"/>
      <c r="BF794" s="160"/>
      <c r="BG794" s="160"/>
      <c r="BH794" s="160"/>
      <c r="BI794" s="160"/>
      <c r="BJ794" s="160"/>
      <c r="BK794" s="160"/>
      <c r="BL794" s="160"/>
      <c r="BM794" s="160"/>
      <c r="BN794" s="160"/>
      <c r="BO794" s="160"/>
      <c r="BP794" s="160"/>
      <c r="BQ794" s="160"/>
      <c r="BR794" s="160"/>
      <c r="BS794" s="160"/>
      <c r="BT794" s="160"/>
      <c r="BU794" s="160"/>
      <c r="BV794" s="160"/>
      <c r="BW794" s="160"/>
      <c r="BX794" s="160"/>
      <c r="BY794" s="160"/>
      <c r="BZ794" s="160"/>
      <c r="CA794" s="160"/>
      <c r="CB794" s="160"/>
      <c r="CC794" s="160"/>
      <c r="CD794" s="160"/>
      <c r="CE794" s="160"/>
      <c r="CF794" s="160"/>
      <c r="CG794" s="160"/>
      <c r="CH794" s="160"/>
      <c r="CI794" s="160"/>
      <c r="CJ794" s="160"/>
      <c r="CK794" s="160"/>
      <c r="CL794" s="160"/>
    </row>
    <row r="795">
      <c r="A795" s="171"/>
      <c r="F795" s="11"/>
      <c r="G795" s="11"/>
      <c r="L795" s="171"/>
      <c r="M795" s="171"/>
      <c r="O795" s="160"/>
      <c r="P795" s="160"/>
      <c r="Q795" s="160"/>
      <c r="R795" s="160"/>
      <c r="S795" s="160"/>
      <c r="T795" s="207"/>
      <c r="U795" s="160"/>
      <c r="V795" s="160"/>
      <c r="W795" s="160"/>
      <c r="X795" s="160"/>
      <c r="Y795" s="160"/>
      <c r="Z795" s="160"/>
      <c r="AA795" s="160"/>
      <c r="AB795" s="160"/>
      <c r="AC795" s="160"/>
      <c r="AD795" s="160"/>
      <c r="AE795" s="160"/>
      <c r="AF795" s="160"/>
      <c r="AG795" s="160"/>
      <c r="AH795" s="160"/>
      <c r="AI795" s="160"/>
      <c r="AJ795" s="160"/>
      <c r="AK795" s="160"/>
      <c r="AL795" s="160"/>
      <c r="AM795" s="160"/>
      <c r="AN795" s="164"/>
      <c r="AO795" s="160"/>
      <c r="AP795" s="160"/>
      <c r="AQ795" s="160"/>
      <c r="AR795" s="160"/>
      <c r="AS795" s="160"/>
      <c r="AT795" s="160"/>
      <c r="AU795" s="160"/>
      <c r="AV795" s="160"/>
      <c r="AW795" s="160"/>
      <c r="AX795" s="160"/>
      <c r="AY795" s="160"/>
      <c r="AZ795" s="160"/>
      <c r="BA795" s="160"/>
      <c r="BB795" s="160"/>
      <c r="BC795" s="160"/>
      <c r="BD795" s="160"/>
      <c r="BE795" s="160"/>
      <c r="BF795" s="160"/>
      <c r="BG795" s="160"/>
      <c r="BH795" s="160"/>
      <c r="BI795" s="160"/>
      <c r="BJ795" s="160"/>
      <c r="BK795" s="160"/>
      <c r="BL795" s="160"/>
      <c r="BM795" s="160"/>
      <c r="BN795" s="160"/>
      <c r="BO795" s="160"/>
      <c r="BP795" s="160"/>
      <c r="BQ795" s="160"/>
      <c r="BR795" s="160"/>
      <c r="BS795" s="160"/>
      <c r="BT795" s="160"/>
      <c r="BU795" s="160"/>
      <c r="BV795" s="160"/>
      <c r="BW795" s="160"/>
      <c r="BX795" s="160"/>
      <c r="BY795" s="160"/>
      <c r="BZ795" s="160"/>
      <c r="CA795" s="160"/>
      <c r="CB795" s="160"/>
      <c r="CC795" s="160"/>
      <c r="CD795" s="160"/>
      <c r="CE795" s="160"/>
      <c r="CF795" s="160"/>
      <c r="CG795" s="160"/>
      <c r="CH795" s="160"/>
      <c r="CI795" s="160"/>
      <c r="CJ795" s="160"/>
      <c r="CK795" s="160"/>
      <c r="CL795" s="160"/>
    </row>
    <row r="796">
      <c r="A796" s="171"/>
      <c r="F796" s="11"/>
      <c r="G796" s="11"/>
      <c r="L796" s="171"/>
      <c r="M796" s="171"/>
      <c r="O796" s="160"/>
      <c r="P796" s="160"/>
      <c r="Q796" s="160"/>
      <c r="R796" s="160"/>
      <c r="S796" s="160"/>
      <c r="T796" s="207"/>
      <c r="U796" s="160"/>
      <c r="V796" s="160"/>
      <c r="W796" s="160"/>
      <c r="X796" s="160"/>
      <c r="Y796" s="160"/>
      <c r="Z796" s="160"/>
      <c r="AA796" s="160"/>
      <c r="AB796" s="160"/>
      <c r="AC796" s="160"/>
      <c r="AD796" s="160"/>
      <c r="AE796" s="160"/>
      <c r="AF796" s="160"/>
      <c r="AG796" s="160"/>
      <c r="AH796" s="160"/>
      <c r="AI796" s="160"/>
      <c r="AJ796" s="160"/>
      <c r="AK796" s="160"/>
      <c r="AL796" s="160"/>
      <c r="AM796" s="160"/>
      <c r="AN796" s="164"/>
      <c r="AO796" s="160"/>
      <c r="AP796" s="160"/>
      <c r="AQ796" s="160"/>
      <c r="AR796" s="160"/>
      <c r="AS796" s="160"/>
      <c r="AT796" s="160"/>
      <c r="AU796" s="160"/>
      <c r="AV796" s="160"/>
      <c r="AW796" s="160"/>
      <c r="AX796" s="160"/>
      <c r="AY796" s="160"/>
      <c r="AZ796" s="160"/>
      <c r="BA796" s="160"/>
      <c r="BB796" s="160"/>
      <c r="BC796" s="160"/>
      <c r="BD796" s="160"/>
      <c r="BE796" s="160"/>
      <c r="BF796" s="160"/>
      <c r="BG796" s="160"/>
      <c r="BH796" s="160"/>
      <c r="BI796" s="160"/>
      <c r="BJ796" s="160"/>
      <c r="BK796" s="160"/>
      <c r="BL796" s="160"/>
      <c r="BM796" s="160"/>
      <c r="BN796" s="160"/>
      <c r="BO796" s="160"/>
      <c r="BP796" s="160"/>
      <c r="BQ796" s="160"/>
      <c r="BR796" s="160"/>
      <c r="BS796" s="160"/>
      <c r="BT796" s="160"/>
      <c r="BU796" s="160"/>
      <c r="BV796" s="160"/>
      <c r="BW796" s="160"/>
      <c r="BX796" s="160"/>
      <c r="BY796" s="160"/>
      <c r="BZ796" s="160"/>
      <c r="CA796" s="160"/>
      <c r="CB796" s="160"/>
      <c r="CC796" s="160"/>
      <c r="CD796" s="160"/>
      <c r="CE796" s="160"/>
      <c r="CF796" s="160"/>
      <c r="CG796" s="160"/>
      <c r="CH796" s="160"/>
      <c r="CI796" s="160"/>
      <c r="CJ796" s="160"/>
      <c r="CK796" s="160"/>
      <c r="CL796" s="160"/>
    </row>
    <row r="797">
      <c r="A797" s="171"/>
      <c r="F797" s="11"/>
      <c r="G797" s="11"/>
      <c r="L797" s="171"/>
      <c r="M797" s="171"/>
      <c r="O797" s="160"/>
      <c r="P797" s="160"/>
      <c r="Q797" s="160"/>
      <c r="R797" s="160"/>
      <c r="S797" s="160"/>
      <c r="T797" s="207"/>
      <c r="U797" s="160"/>
      <c r="V797" s="160"/>
      <c r="W797" s="160"/>
      <c r="X797" s="160"/>
      <c r="Y797" s="160"/>
      <c r="Z797" s="160"/>
      <c r="AA797" s="160"/>
      <c r="AB797" s="160"/>
      <c r="AC797" s="160"/>
      <c r="AD797" s="160"/>
      <c r="AE797" s="160"/>
      <c r="AF797" s="160"/>
      <c r="AG797" s="160"/>
      <c r="AH797" s="160"/>
      <c r="AI797" s="160"/>
      <c r="AJ797" s="160"/>
      <c r="AK797" s="160"/>
      <c r="AL797" s="160"/>
      <c r="AM797" s="160"/>
      <c r="AN797" s="164"/>
      <c r="AO797" s="160"/>
      <c r="AP797" s="160"/>
      <c r="AQ797" s="160"/>
      <c r="AR797" s="160"/>
      <c r="AS797" s="160"/>
      <c r="AT797" s="160"/>
      <c r="AU797" s="160"/>
      <c r="AV797" s="160"/>
      <c r="AW797" s="160"/>
      <c r="AX797" s="160"/>
      <c r="AY797" s="160"/>
      <c r="AZ797" s="160"/>
      <c r="BA797" s="160"/>
      <c r="BB797" s="160"/>
      <c r="BC797" s="160"/>
      <c r="BD797" s="160"/>
      <c r="BE797" s="160"/>
      <c r="BF797" s="160"/>
      <c r="BG797" s="160"/>
      <c r="BH797" s="160"/>
      <c r="BI797" s="160"/>
      <c r="BJ797" s="160"/>
      <c r="BK797" s="160"/>
      <c r="BL797" s="160"/>
      <c r="BM797" s="160"/>
      <c r="BN797" s="160"/>
      <c r="BO797" s="160"/>
      <c r="BP797" s="160"/>
      <c r="BQ797" s="160"/>
      <c r="BR797" s="160"/>
      <c r="BS797" s="160"/>
      <c r="BT797" s="160"/>
      <c r="BU797" s="160"/>
      <c r="BV797" s="160"/>
      <c r="BW797" s="160"/>
      <c r="BX797" s="160"/>
      <c r="BY797" s="160"/>
      <c r="BZ797" s="160"/>
      <c r="CA797" s="160"/>
      <c r="CB797" s="160"/>
      <c r="CC797" s="160"/>
      <c r="CD797" s="160"/>
      <c r="CE797" s="160"/>
      <c r="CF797" s="160"/>
      <c r="CG797" s="160"/>
      <c r="CH797" s="160"/>
      <c r="CI797" s="160"/>
      <c r="CJ797" s="160"/>
      <c r="CK797" s="160"/>
      <c r="CL797" s="160"/>
    </row>
    <row r="798">
      <c r="A798" s="171"/>
      <c r="F798" s="11"/>
      <c r="G798" s="11"/>
      <c r="L798" s="171"/>
      <c r="M798" s="171"/>
      <c r="O798" s="160"/>
      <c r="P798" s="160"/>
      <c r="Q798" s="160"/>
      <c r="R798" s="160"/>
      <c r="S798" s="160"/>
      <c r="T798" s="207"/>
      <c r="U798" s="160"/>
      <c r="V798" s="160"/>
      <c r="W798" s="160"/>
      <c r="X798" s="160"/>
      <c r="Y798" s="160"/>
      <c r="Z798" s="160"/>
      <c r="AA798" s="160"/>
      <c r="AB798" s="160"/>
      <c r="AC798" s="160"/>
      <c r="AD798" s="160"/>
      <c r="AE798" s="160"/>
      <c r="AF798" s="160"/>
      <c r="AG798" s="160"/>
      <c r="AH798" s="160"/>
      <c r="AI798" s="160"/>
      <c r="AJ798" s="160"/>
      <c r="AK798" s="160"/>
      <c r="AL798" s="160"/>
      <c r="AM798" s="160"/>
      <c r="AN798" s="164"/>
      <c r="AO798" s="160"/>
      <c r="AP798" s="160"/>
      <c r="AQ798" s="160"/>
      <c r="AR798" s="160"/>
      <c r="AS798" s="160"/>
      <c r="AT798" s="160"/>
      <c r="AU798" s="160"/>
      <c r="AV798" s="160"/>
      <c r="AW798" s="160"/>
      <c r="AX798" s="160"/>
      <c r="AY798" s="160"/>
      <c r="AZ798" s="160"/>
      <c r="BA798" s="160"/>
      <c r="BB798" s="160"/>
      <c r="BC798" s="160"/>
      <c r="BD798" s="160"/>
      <c r="BE798" s="160"/>
      <c r="BF798" s="160"/>
      <c r="BG798" s="160"/>
      <c r="BH798" s="160"/>
      <c r="BI798" s="160"/>
      <c r="BJ798" s="160"/>
      <c r="BK798" s="160"/>
      <c r="BL798" s="160"/>
      <c r="BM798" s="160"/>
      <c r="BN798" s="160"/>
      <c r="BO798" s="160"/>
      <c r="BP798" s="160"/>
      <c r="BQ798" s="160"/>
      <c r="BR798" s="160"/>
      <c r="BS798" s="160"/>
      <c r="BT798" s="160"/>
      <c r="BU798" s="160"/>
      <c r="BV798" s="160"/>
      <c r="BW798" s="160"/>
      <c r="BX798" s="160"/>
      <c r="BY798" s="160"/>
      <c r="BZ798" s="160"/>
      <c r="CA798" s="160"/>
      <c r="CB798" s="160"/>
      <c r="CC798" s="160"/>
      <c r="CD798" s="160"/>
      <c r="CE798" s="160"/>
      <c r="CF798" s="160"/>
      <c r="CG798" s="160"/>
      <c r="CH798" s="160"/>
      <c r="CI798" s="160"/>
      <c r="CJ798" s="160"/>
      <c r="CK798" s="160"/>
      <c r="CL798" s="160"/>
    </row>
    <row r="799">
      <c r="A799" s="171"/>
      <c r="F799" s="11"/>
      <c r="G799" s="11"/>
      <c r="L799" s="171"/>
      <c r="M799" s="171"/>
      <c r="O799" s="160"/>
      <c r="P799" s="160"/>
      <c r="Q799" s="160"/>
      <c r="R799" s="160"/>
      <c r="S799" s="160"/>
      <c r="T799" s="207"/>
      <c r="U799" s="160"/>
      <c r="V799" s="160"/>
      <c r="W799" s="160"/>
      <c r="X799" s="160"/>
      <c r="Y799" s="160"/>
      <c r="Z799" s="160"/>
      <c r="AA799" s="160"/>
      <c r="AB799" s="160"/>
      <c r="AC799" s="160"/>
      <c r="AD799" s="160"/>
      <c r="AE799" s="160"/>
      <c r="AF799" s="160"/>
      <c r="AG799" s="160"/>
      <c r="AH799" s="160"/>
      <c r="AI799" s="160"/>
      <c r="AJ799" s="160"/>
      <c r="AK799" s="160"/>
      <c r="AL799" s="160"/>
      <c r="AM799" s="160"/>
      <c r="AN799" s="164"/>
      <c r="AO799" s="160"/>
      <c r="AP799" s="160"/>
      <c r="AQ799" s="160"/>
      <c r="AR799" s="160"/>
      <c r="AS799" s="160"/>
      <c r="AT799" s="160"/>
      <c r="AU799" s="160"/>
      <c r="AV799" s="160"/>
      <c r="AW799" s="160"/>
      <c r="AX799" s="160"/>
      <c r="AY799" s="160"/>
      <c r="AZ799" s="160"/>
      <c r="BA799" s="160"/>
      <c r="BB799" s="160"/>
      <c r="BC799" s="160"/>
      <c r="BD799" s="160"/>
      <c r="BE799" s="160"/>
      <c r="BF799" s="160"/>
      <c r="BG799" s="160"/>
      <c r="BH799" s="160"/>
      <c r="BI799" s="160"/>
      <c r="BJ799" s="160"/>
      <c r="BK799" s="160"/>
      <c r="BL799" s="160"/>
      <c r="BM799" s="160"/>
      <c r="BN799" s="160"/>
      <c r="BO799" s="160"/>
      <c r="BP799" s="160"/>
      <c r="BQ799" s="160"/>
      <c r="BR799" s="160"/>
      <c r="BS799" s="160"/>
      <c r="BT799" s="160"/>
      <c r="BU799" s="160"/>
      <c r="BV799" s="160"/>
      <c r="BW799" s="160"/>
      <c r="BX799" s="160"/>
      <c r="BY799" s="160"/>
      <c r="BZ799" s="160"/>
      <c r="CA799" s="160"/>
      <c r="CB799" s="160"/>
      <c r="CC799" s="160"/>
      <c r="CD799" s="160"/>
      <c r="CE799" s="160"/>
      <c r="CF799" s="160"/>
      <c r="CG799" s="160"/>
      <c r="CH799" s="160"/>
      <c r="CI799" s="160"/>
      <c r="CJ799" s="160"/>
      <c r="CK799" s="160"/>
      <c r="CL799" s="160"/>
    </row>
    <row r="800">
      <c r="A800" s="171"/>
      <c r="F800" s="11"/>
      <c r="G800" s="11"/>
      <c r="L800" s="171"/>
      <c r="M800" s="171"/>
      <c r="O800" s="160"/>
      <c r="P800" s="160"/>
      <c r="Q800" s="160"/>
      <c r="R800" s="160"/>
      <c r="S800" s="160"/>
      <c r="T800" s="207"/>
      <c r="U800" s="160"/>
      <c r="V800" s="160"/>
      <c r="W800" s="160"/>
      <c r="X800" s="160"/>
      <c r="Y800" s="160"/>
      <c r="Z800" s="160"/>
      <c r="AA800" s="160"/>
      <c r="AB800" s="160"/>
      <c r="AC800" s="160"/>
      <c r="AD800" s="160"/>
      <c r="AE800" s="160"/>
      <c r="AF800" s="160"/>
      <c r="AG800" s="160"/>
      <c r="AH800" s="160"/>
      <c r="AI800" s="160"/>
      <c r="AJ800" s="160"/>
      <c r="AK800" s="160"/>
      <c r="AL800" s="160"/>
      <c r="AM800" s="160"/>
      <c r="AN800" s="164"/>
      <c r="AO800" s="160"/>
      <c r="AP800" s="160"/>
      <c r="AQ800" s="160"/>
      <c r="AR800" s="160"/>
      <c r="AS800" s="160"/>
      <c r="AT800" s="160"/>
      <c r="AU800" s="160"/>
      <c r="AV800" s="160"/>
      <c r="AW800" s="160"/>
      <c r="AX800" s="160"/>
      <c r="AY800" s="160"/>
      <c r="AZ800" s="160"/>
      <c r="BA800" s="160"/>
      <c r="BB800" s="160"/>
      <c r="BC800" s="160"/>
      <c r="BD800" s="160"/>
      <c r="BE800" s="160"/>
      <c r="BF800" s="160"/>
      <c r="BG800" s="160"/>
      <c r="BH800" s="160"/>
      <c r="BI800" s="160"/>
      <c r="BJ800" s="160"/>
      <c r="BK800" s="160"/>
      <c r="BL800" s="160"/>
      <c r="BM800" s="160"/>
      <c r="BN800" s="160"/>
      <c r="BO800" s="160"/>
      <c r="BP800" s="160"/>
      <c r="BQ800" s="160"/>
      <c r="BR800" s="160"/>
      <c r="BS800" s="160"/>
      <c r="BT800" s="160"/>
      <c r="BU800" s="160"/>
      <c r="BV800" s="160"/>
      <c r="BW800" s="160"/>
      <c r="BX800" s="160"/>
      <c r="BY800" s="160"/>
      <c r="BZ800" s="160"/>
      <c r="CA800" s="160"/>
      <c r="CB800" s="160"/>
      <c r="CC800" s="160"/>
      <c r="CD800" s="160"/>
      <c r="CE800" s="160"/>
      <c r="CF800" s="160"/>
      <c r="CG800" s="160"/>
      <c r="CH800" s="160"/>
      <c r="CI800" s="160"/>
      <c r="CJ800" s="160"/>
      <c r="CK800" s="160"/>
      <c r="CL800" s="160"/>
    </row>
    <row r="801">
      <c r="A801" s="171"/>
      <c r="F801" s="11"/>
      <c r="G801" s="11"/>
      <c r="L801" s="171"/>
      <c r="M801" s="171"/>
      <c r="O801" s="160"/>
      <c r="P801" s="160"/>
      <c r="Q801" s="160"/>
      <c r="R801" s="160"/>
      <c r="S801" s="160"/>
      <c r="T801" s="207"/>
      <c r="U801" s="160"/>
      <c r="V801" s="160"/>
      <c r="W801" s="160"/>
      <c r="X801" s="160"/>
      <c r="Y801" s="160"/>
      <c r="Z801" s="160"/>
      <c r="AA801" s="160"/>
      <c r="AB801" s="160"/>
      <c r="AC801" s="160"/>
      <c r="AD801" s="160"/>
      <c r="AE801" s="160"/>
      <c r="AF801" s="160"/>
      <c r="AG801" s="160"/>
      <c r="AH801" s="160"/>
      <c r="AI801" s="160"/>
      <c r="AJ801" s="160"/>
      <c r="AK801" s="160"/>
      <c r="AL801" s="160"/>
      <c r="AM801" s="160"/>
      <c r="AN801" s="164"/>
      <c r="AO801" s="160"/>
      <c r="AP801" s="160"/>
      <c r="AQ801" s="160"/>
      <c r="AR801" s="160"/>
      <c r="AS801" s="160"/>
      <c r="AT801" s="160"/>
      <c r="AU801" s="160"/>
      <c r="AV801" s="160"/>
      <c r="AW801" s="160"/>
      <c r="AX801" s="160"/>
      <c r="AY801" s="160"/>
      <c r="AZ801" s="160"/>
      <c r="BA801" s="160"/>
      <c r="BB801" s="160"/>
      <c r="BC801" s="160"/>
      <c r="BD801" s="160"/>
      <c r="BE801" s="160"/>
      <c r="BF801" s="160"/>
      <c r="BG801" s="160"/>
      <c r="BH801" s="160"/>
      <c r="BI801" s="160"/>
      <c r="BJ801" s="160"/>
      <c r="BK801" s="160"/>
      <c r="BL801" s="160"/>
      <c r="BM801" s="160"/>
      <c r="BN801" s="160"/>
      <c r="BO801" s="160"/>
      <c r="BP801" s="160"/>
      <c r="BQ801" s="160"/>
      <c r="BR801" s="160"/>
      <c r="BS801" s="160"/>
      <c r="BT801" s="160"/>
      <c r="BU801" s="160"/>
      <c r="BV801" s="160"/>
      <c r="BW801" s="160"/>
      <c r="BX801" s="160"/>
      <c r="BY801" s="160"/>
      <c r="BZ801" s="160"/>
      <c r="CA801" s="160"/>
      <c r="CB801" s="160"/>
      <c r="CC801" s="160"/>
      <c r="CD801" s="160"/>
      <c r="CE801" s="160"/>
      <c r="CF801" s="160"/>
      <c r="CG801" s="160"/>
      <c r="CH801" s="160"/>
      <c r="CI801" s="160"/>
      <c r="CJ801" s="160"/>
      <c r="CK801" s="160"/>
      <c r="CL801" s="160"/>
    </row>
    <row r="802">
      <c r="A802" s="171"/>
      <c r="F802" s="11"/>
      <c r="G802" s="11"/>
      <c r="L802" s="171"/>
      <c r="M802" s="171"/>
      <c r="O802" s="160"/>
      <c r="P802" s="160"/>
      <c r="Q802" s="160"/>
      <c r="R802" s="160"/>
      <c r="S802" s="160"/>
      <c r="T802" s="207"/>
      <c r="U802" s="160"/>
      <c r="V802" s="160"/>
      <c r="W802" s="160"/>
      <c r="X802" s="160"/>
      <c r="Y802" s="160"/>
      <c r="Z802" s="160"/>
      <c r="AA802" s="160"/>
      <c r="AB802" s="160"/>
      <c r="AC802" s="160"/>
      <c r="AD802" s="160"/>
      <c r="AE802" s="160"/>
      <c r="AF802" s="160"/>
      <c r="AG802" s="160"/>
      <c r="AH802" s="160"/>
      <c r="AI802" s="160"/>
      <c r="AJ802" s="160"/>
      <c r="AK802" s="160"/>
      <c r="AL802" s="160"/>
      <c r="AM802" s="160"/>
      <c r="AN802" s="164"/>
      <c r="AO802" s="160"/>
      <c r="AP802" s="160"/>
      <c r="AQ802" s="160"/>
      <c r="AR802" s="160"/>
      <c r="AS802" s="160"/>
      <c r="AT802" s="160"/>
      <c r="AU802" s="160"/>
      <c r="AV802" s="160"/>
      <c r="AW802" s="160"/>
      <c r="AX802" s="160"/>
      <c r="AY802" s="160"/>
      <c r="AZ802" s="160"/>
      <c r="BA802" s="160"/>
      <c r="BB802" s="160"/>
      <c r="BC802" s="160"/>
      <c r="BD802" s="160"/>
      <c r="BE802" s="160"/>
      <c r="BF802" s="160"/>
      <c r="BG802" s="160"/>
      <c r="BH802" s="160"/>
      <c r="BI802" s="160"/>
      <c r="BJ802" s="160"/>
      <c r="BK802" s="160"/>
      <c r="BL802" s="160"/>
      <c r="BM802" s="160"/>
      <c r="BN802" s="160"/>
      <c r="BO802" s="160"/>
      <c r="BP802" s="160"/>
      <c r="BQ802" s="160"/>
      <c r="BR802" s="160"/>
      <c r="BS802" s="160"/>
      <c r="BT802" s="160"/>
      <c r="BU802" s="160"/>
      <c r="BV802" s="160"/>
      <c r="BW802" s="160"/>
      <c r="BX802" s="160"/>
      <c r="BY802" s="160"/>
      <c r="BZ802" s="160"/>
      <c r="CA802" s="160"/>
      <c r="CB802" s="160"/>
      <c r="CC802" s="160"/>
      <c r="CD802" s="160"/>
      <c r="CE802" s="160"/>
      <c r="CF802" s="160"/>
      <c r="CG802" s="160"/>
      <c r="CH802" s="160"/>
      <c r="CI802" s="160"/>
      <c r="CJ802" s="160"/>
      <c r="CK802" s="160"/>
      <c r="CL802" s="160"/>
    </row>
    <row r="803">
      <c r="A803" s="171"/>
      <c r="F803" s="11"/>
      <c r="G803" s="11"/>
      <c r="L803" s="171"/>
      <c r="M803" s="171"/>
      <c r="O803" s="160"/>
      <c r="P803" s="160"/>
      <c r="Q803" s="160"/>
      <c r="R803" s="160"/>
      <c r="S803" s="160"/>
      <c r="T803" s="207"/>
      <c r="U803" s="160"/>
      <c r="V803" s="160"/>
      <c r="W803" s="160"/>
      <c r="X803" s="160"/>
      <c r="Y803" s="160"/>
      <c r="Z803" s="160"/>
      <c r="AA803" s="160"/>
      <c r="AB803" s="160"/>
      <c r="AC803" s="160"/>
      <c r="AD803" s="160"/>
      <c r="AE803" s="160"/>
      <c r="AF803" s="160"/>
      <c r="AG803" s="160"/>
      <c r="AH803" s="160"/>
      <c r="AI803" s="160"/>
      <c r="AJ803" s="160"/>
      <c r="AK803" s="160"/>
      <c r="AL803" s="160"/>
      <c r="AM803" s="160"/>
      <c r="AN803" s="164"/>
      <c r="AO803" s="160"/>
      <c r="AP803" s="160"/>
      <c r="AQ803" s="160"/>
      <c r="AR803" s="160"/>
      <c r="AS803" s="160"/>
      <c r="AT803" s="160"/>
      <c r="AU803" s="160"/>
      <c r="AV803" s="160"/>
      <c r="AW803" s="160"/>
      <c r="AX803" s="160"/>
      <c r="AY803" s="160"/>
      <c r="AZ803" s="160"/>
      <c r="BA803" s="160"/>
      <c r="BB803" s="160"/>
      <c r="BC803" s="160"/>
      <c r="BD803" s="160"/>
      <c r="BE803" s="160"/>
      <c r="BF803" s="160"/>
      <c r="BG803" s="160"/>
      <c r="BH803" s="160"/>
      <c r="BI803" s="160"/>
      <c r="BJ803" s="160"/>
      <c r="BK803" s="160"/>
      <c r="BL803" s="160"/>
      <c r="BM803" s="160"/>
      <c r="BN803" s="160"/>
      <c r="BO803" s="160"/>
      <c r="BP803" s="160"/>
      <c r="BQ803" s="160"/>
      <c r="BR803" s="160"/>
      <c r="BS803" s="160"/>
      <c r="BT803" s="160"/>
      <c r="BU803" s="160"/>
      <c r="BV803" s="160"/>
      <c r="BW803" s="160"/>
      <c r="BX803" s="160"/>
      <c r="BY803" s="160"/>
      <c r="BZ803" s="160"/>
      <c r="CA803" s="160"/>
      <c r="CB803" s="160"/>
      <c r="CC803" s="160"/>
      <c r="CD803" s="160"/>
      <c r="CE803" s="160"/>
      <c r="CF803" s="160"/>
      <c r="CG803" s="160"/>
      <c r="CH803" s="160"/>
      <c r="CI803" s="160"/>
      <c r="CJ803" s="160"/>
      <c r="CK803" s="160"/>
      <c r="CL803" s="160"/>
    </row>
    <row r="804">
      <c r="A804" s="171"/>
      <c r="F804" s="11"/>
      <c r="G804" s="11"/>
      <c r="L804" s="171"/>
      <c r="M804" s="171"/>
      <c r="O804" s="160"/>
      <c r="P804" s="160"/>
      <c r="Q804" s="160"/>
      <c r="R804" s="160"/>
      <c r="S804" s="160"/>
      <c r="T804" s="207"/>
      <c r="U804" s="160"/>
      <c r="V804" s="160"/>
      <c r="W804" s="160"/>
      <c r="X804" s="160"/>
      <c r="Y804" s="160"/>
      <c r="Z804" s="160"/>
      <c r="AA804" s="160"/>
      <c r="AB804" s="160"/>
      <c r="AC804" s="160"/>
      <c r="AD804" s="160"/>
      <c r="AE804" s="160"/>
      <c r="AF804" s="160"/>
      <c r="AG804" s="160"/>
      <c r="AH804" s="160"/>
      <c r="AI804" s="160"/>
      <c r="AJ804" s="160"/>
      <c r="AK804" s="160"/>
      <c r="AL804" s="160"/>
      <c r="AM804" s="160"/>
      <c r="AN804" s="164"/>
      <c r="AO804" s="160"/>
      <c r="AP804" s="160"/>
      <c r="AQ804" s="160"/>
      <c r="AR804" s="160"/>
      <c r="AS804" s="160"/>
      <c r="AT804" s="160"/>
      <c r="AU804" s="160"/>
      <c r="AV804" s="160"/>
      <c r="AW804" s="160"/>
      <c r="AX804" s="160"/>
      <c r="AY804" s="160"/>
      <c r="AZ804" s="160"/>
      <c r="BA804" s="160"/>
      <c r="BB804" s="160"/>
      <c r="BC804" s="160"/>
      <c r="BD804" s="160"/>
      <c r="BE804" s="160"/>
      <c r="BF804" s="160"/>
      <c r="BG804" s="160"/>
      <c r="BH804" s="160"/>
      <c r="BI804" s="160"/>
      <c r="BJ804" s="160"/>
      <c r="BK804" s="160"/>
      <c r="BL804" s="160"/>
      <c r="BM804" s="160"/>
      <c r="BN804" s="160"/>
      <c r="BO804" s="160"/>
      <c r="BP804" s="160"/>
      <c r="BQ804" s="160"/>
      <c r="BR804" s="160"/>
      <c r="BS804" s="160"/>
      <c r="BT804" s="160"/>
      <c r="BU804" s="160"/>
      <c r="BV804" s="160"/>
      <c r="BW804" s="160"/>
      <c r="BX804" s="160"/>
      <c r="BY804" s="160"/>
      <c r="BZ804" s="160"/>
      <c r="CA804" s="160"/>
      <c r="CB804" s="160"/>
      <c r="CC804" s="160"/>
      <c r="CD804" s="160"/>
      <c r="CE804" s="160"/>
      <c r="CF804" s="160"/>
      <c r="CG804" s="160"/>
      <c r="CH804" s="160"/>
      <c r="CI804" s="160"/>
      <c r="CJ804" s="160"/>
      <c r="CK804" s="160"/>
      <c r="CL804" s="160"/>
    </row>
    <row r="805">
      <c r="A805" s="171"/>
      <c r="F805" s="11"/>
      <c r="G805" s="11"/>
      <c r="L805" s="171"/>
      <c r="M805" s="171"/>
      <c r="O805" s="160"/>
      <c r="P805" s="160"/>
      <c r="Q805" s="160"/>
      <c r="R805" s="160"/>
      <c r="S805" s="160"/>
      <c r="T805" s="207"/>
      <c r="U805" s="160"/>
      <c r="V805" s="160"/>
      <c r="W805" s="160"/>
      <c r="X805" s="160"/>
      <c r="Y805" s="160"/>
      <c r="Z805" s="160"/>
      <c r="AA805" s="160"/>
      <c r="AB805" s="160"/>
      <c r="AC805" s="160"/>
      <c r="AD805" s="160"/>
      <c r="AE805" s="160"/>
      <c r="AF805" s="160"/>
      <c r="AG805" s="160"/>
      <c r="AH805" s="160"/>
      <c r="AI805" s="160"/>
      <c r="AJ805" s="160"/>
      <c r="AK805" s="160"/>
      <c r="AL805" s="160"/>
      <c r="AM805" s="160"/>
      <c r="AN805" s="164"/>
      <c r="AO805" s="160"/>
      <c r="AP805" s="160"/>
      <c r="AQ805" s="160"/>
      <c r="AR805" s="160"/>
      <c r="AS805" s="160"/>
      <c r="AT805" s="160"/>
      <c r="AU805" s="160"/>
      <c r="AV805" s="160"/>
      <c r="AW805" s="160"/>
      <c r="AX805" s="160"/>
      <c r="AY805" s="160"/>
      <c r="AZ805" s="160"/>
      <c r="BA805" s="160"/>
      <c r="BB805" s="160"/>
      <c r="BC805" s="160"/>
      <c r="BD805" s="160"/>
      <c r="BE805" s="160"/>
      <c r="BF805" s="160"/>
      <c r="BG805" s="160"/>
      <c r="BH805" s="160"/>
      <c r="BI805" s="160"/>
      <c r="BJ805" s="160"/>
      <c r="BK805" s="160"/>
      <c r="BL805" s="160"/>
      <c r="BM805" s="160"/>
      <c r="BN805" s="160"/>
      <c r="BO805" s="160"/>
      <c r="BP805" s="160"/>
      <c r="BQ805" s="160"/>
      <c r="BR805" s="160"/>
      <c r="BS805" s="160"/>
      <c r="BT805" s="160"/>
      <c r="BU805" s="160"/>
      <c r="BV805" s="160"/>
      <c r="BW805" s="160"/>
      <c r="BX805" s="160"/>
      <c r="BY805" s="160"/>
      <c r="BZ805" s="160"/>
      <c r="CA805" s="160"/>
      <c r="CB805" s="160"/>
      <c r="CC805" s="160"/>
      <c r="CD805" s="160"/>
      <c r="CE805" s="160"/>
      <c r="CF805" s="160"/>
      <c r="CG805" s="160"/>
      <c r="CH805" s="160"/>
      <c r="CI805" s="160"/>
      <c r="CJ805" s="160"/>
      <c r="CK805" s="160"/>
      <c r="CL805" s="160"/>
    </row>
    <row r="806">
      <c r="A806" s="171"/>
      <c r="F806" s="11"/>
      <c r="G806" s="11"/>
      <c r="L806" s="171"/>
      <c r="M806" s="171"/>
      <c r="O806" s="160"/>
      <c r="P806" s="160"/>
      <c r="Q806" s="160"/>
      <c r="R806" s="160"/>
      <c r="S806" s="160"/>
      <c r="T806" s="207"/>
      <c r="U806" s="160"/>
      <c r="V806" s="160"/>
      <c r="W806" s="160"/>
      <c r="X806" s="160"/>
      <c r="Y806" s="160"/>
      <c r="Z806" s="160"/>
      <c r="AA806" s="160"/>
      <c r="AB806" s="160"/>
      <c r="AC806" s="160"/>
      <c r="AD806" s="160"/>
      <c r="AE806" s="160"/>
      <c r="AF806" s="160"/>
      <c r="AG806" s="160"/>
      <c r="AH806" s="160"/>
      <c r="AI806" s="160"/>
      <c r="AJ806" s="160"/>
      <c r="AK806" s="160"/>
      <c r="AL806" s="160"/>
      <c r="AM806" s="160"/>
      <c r="AN806" s="164"/>
      <c r="AO806" s="160"/>
      <c r="AP806" s="160"/>
      <c r="AQ806" s="160"/>
      <c r="AR806" s="160"/>
      <c r="AS806" s="160"/>
      <c r="AT806" s="160"/>
      <c r="AU806" s="160"/>
      <c r="AV806" s="160"/>
      <c r="AW806" s="160"/>
      <c r="AX806" s="160"/>
      <c r="AY806" s="160"/>
      <c r="AZ806" s="160"/>
      <c r="BA806" s="160"/>
      <c r="BB806" s="160"/>
      <c r="BC806" s="160"/>
      <c r="BD806" s="160"/>
      <c r="BE806" s="160"/>
      <c r="BF806" s="160"/>
      <c r="BG806" s="160"/>
      <c r="BH806" s="160"/>
      <c r="BI806" s="160"/>
      <c r="BJ806" s="160"/>
      <c r="BK806" s="160"/>
      <c r="BL806" s="160"/>
      <c r="BM806" s="160"/>
      <c r="BN806" s="160"/>
      <c r="BO806" s="160"/>
      <c r="BP806" s="160"/>
      <c r="BQ806" s="160"/>
      <c r="BR806" s="160"/>
      <c r="BS806" s="160"/>
      <c r="BT806" s="160"/>
      <c r="BU806" s="160"/>
      <c r="BV806" s="160"/>
      <c r="BW806" s="160"/>
      <c r="BX806" s="160"/>
      <c r="BY806" s="160"/>
      <c r="BZ806" s="160"/>
      <c r="CA806" s="160"/>
      <c r="CB806" s="160"/>
      <c r="CC806" s="160"/>
      <c r="CD806" s="160"/>
      <c r="CE806" s="160"/>
      <c r="CF806" s="160"/>
      <c r="CG806" s="160"/>
      <c r="CH806" s="160"/>
      <c r="CI806" s="160"/>
      <c r="CJ806" s="160"/>
      <c r="CK806" s="160"/>
      <c r="CL806" s="160"/>
    </row>
    <row r="807">
      <c r="A807" s="171"/>
      <c r="F807" s="11"/>
      <c r="G807" s="11"/>
      <c r="L807" s="171"/>
      <c r="M807" s="171"/>
      <c r="O807" s="160"/>
      <c r="P807" s="160"/>
      <c r="Q807" s="160"/>
      <c r="R807" s="160"/>
      <c r="S807" s="160"/>
      <c r="T807" s="207"/>
      <c r="U807" s="160"/>
      <c r="V807" s="160"/>
      <c r="W807" s="160"/>
      <c r="X807" s="160"/>
      <c r="Y807" s="160"/>
      <c r="Z807" s="160"/>
      <c r="AA807" s="160"/>
      <c r="AB807" s="160"/>
      <c r="AC807" s="160"/>
      <c r="AD807" s="160"/>
      <c r="AE807" s="160"/>
      <c r="AF807" s="160"/>
      <c r="AG807" s="160"/>
      <c r="AH807" s="160"/>
      <c r="AI807" s="160"/>
      <c r="AJ807" s="160"/>
      <c r="AK807" s="160"/>
      <c r="AL807" s="160"/>
      <c r="AM807" s="160"/>
      <c r="AN807" s="164"/>
      <c r="AO807" s="160"/>
      <c r="AP807" s="160"/>
      <c r="AQ807" s="160"/>
      <c r="AR807" s="160"/>
      <c r="AS807" s="160"/>
      <c r="AT807" s="160"/>
      <c r="AU807" s="160"/>
      <c r="AV807" s="160"/>
      <c r="AW807" s="160"/>
      <c r="AX807" s="160"/>
      <c r="AY807" s="160"/>
      <c r="AZ807" s="160"/>
      <c r="BA807" s="160"/>
      <c r="BB807" s="160"/>
      <c r="BC807" s="160"/>
      <c r="BD807" s="160"/>
      <c r="BE807" s="160"/>
      <c r="BF807" s="160"/>
      <c r="BG807" s="160"/>
      <c r="BH807" s="160"/>
      <c r="BI807" s="160"/>
      <c r="BJ807" s="160"/>
      <c r="BK807" s="160"/>
      <c r="BL807" s="160"/>
      <c r="BM807" s="160"/>
      <c r="BN807" s="160"/>
      <c r="BO807" s="160"/>
      <c r="BP807" s="160"/>
      <c r="BQ807" s="160"/>
      <c r="BR807" s="160"/>
      <c r="BS807" s="160"/>
      <c r="BT807" s="160"/>
      <c r="BU807" s="160"/>
      <c r="BV807" s="160"/>
      <c r="BW807" s="160"/>
      <c r="BX807" s="160"/>
      <c r="BY807" s="160"/>
      <c r="BZ807" s="160"/>
      <c r="CA807" s="160"/>
      <c r="CB807" s="160"/>
      <c r="CC807" s="160"/>
      <c r="CD807" s="160"/>
      <c r="CE807" s="160"/>
      <c r="CF807" s="160"/>
      <c r="CG807" s="160"/>
      <c r="CH807" s="160"/>
      <c r="CI807" s="160"/>
      <c r="CJ807" s="160"/>
      <c r="CK807" s="160"/>
      <c r="CL807" s="160"/>
    </row>
    <row r="808">
      <c r="A808" s="171"/>
      <c r="F808" s="11"/>
      <c r="G808" s="11"/>
      <c r="L808" s="171"/>
      <c r="M808" s="171"/>
      <c r="O808" s="160"/>
      <c r="P808" s="160"/>
      <c r="Q808" s="160"/>
      <c r="R808" s="160"/>
      <c r="S808" s="160"/>
      <c r="T808" s="207"/>
      <c r="U808" s="160"/>
      <c r="V808" s="160"/>
      <c r="W808" s="160"/>
      <c r="X808" s="160"/>
      <c r="Y808" s="160"/>
      <c r="Z808" s="160"/>
      <c r="AA808" s="160"/>
      <c r="AB808" s="160"/>
      <c r="AC808" s="160"/>
      <c r="AD808" s="160"/>
      <c r="AE808" s="160"/>
      <c r="AF808" s="160"/>
      <c r="AG808" s="160"/>
      <c r="AH808" s="160"/>
      <c r="AI808" s="160"/>
      <c r="AJ808" s="160"/>
      <c r="AK808" s="160"/>
      <c r="AL808" s="160"/>
      <c r="AM808" s="160"/>
      <c r="AN808" s="164"/>
      <c r="AO808" s="160"/>
      <c r="AP808" s="160"/>
      <c r="AQ808" s="160"/>
      <c r="AR808" s="160"/>
      <c r="AS808" s="160"/>
      <c r="AT808" s="160"/>
      <c r="AU808" s="160"/>
      <c r="AV808" s="160"/>
      <c r="AW808" s="160"/>
      <c r="AX808" s="160"/>
      <c r="AY808" s="160"/>
      <c r="AZ808" s="160"/>
      <c r="BA808" s="160"/>
      <c r="BB808" s="160"/>
      <c r="BC808" s="160"/>
      <c r="BD808" s="160"/>
      <c r="BE808" s="160"/>
      <c r="BF808" s="160"/>
      <c r="BG808" s="160"/>
      <c r="BH808" s="160"/>
      <c r="BI808" s="160"/>
      <c r="BJ808" s="160"/>
      <c r="BK808" s="160"/>
      <c r="BL808" s="160"/>
      <c r="BM808" s="160"/>
      <c r="BN808" s="160"/>
      <c r="BO808" s="160"/>
      <c r="BP808" s="160"/>
      <c r="BQ808" s="160"/>
      <c r="BR808" s="160"/>
      <c r="BS808" s="160"/>
      <c r="BT808" s="160"/>
      <c r="BU808" s="160"/>
      <c r="BV808" s="160"/>
      <c r="BW808" s="160"/>
      <c r="BX808" s="160"/>
      <c r="BY808" s="160"/>
      <c r="BZ808" s="160"/>
      <c r="CA808" s="160"/>
      <c r="CB808" s="160"/>
      <c r="CC808" s="160"/>
      <c r="CD808" s="160"/>
      <c r="CE808" s="160"/>
      <c r="CF808" s="160"/>
      <c r="CG808" s="160"/>
      <c r="CH808" s="160"/>
      <c r="CI808" s="160"/>
      <c r="CJ808" s="160"/>
      <c r="CK808" s="160"/>
      <c r="CL808" s="160"/>
    </row>
    <row r="809">
      <c r="A809" s="171"/>
      <c r="F809" s="11"/>
      <c r="G809" s="11"/>
      <c r="L809" s="171"/>
      <c r="M809" s="171"/>
      <c r="O809" s="160"/>
      <c r="P809" s="160"/>
      <c r="Q809" s="160"/>
      <c r="R809" s="160"/>
      <c r="S809" s="160"/>
      <c r="T809" s="207"/>
      <c r="U809" s="160"/>
      <c r="V809" s="160"/>
      <c r="W809" s="160"/>
      <c r="X809" s="160"/>
      <c r="Y809" s="160"/>
      <c r="Z809" s="160"/>
      <c r="AA809" s="160"/>
      <c r="AB809" s="160"/>
      <c r="AC809" s="160"/>
      <c r="AD809" s="160"/>
      <c r="AE809" s="160"/>
      <c r="AF809" s="160"/>
      <c r="AG809" s="160"/>
      <c r="AH809" s="160"/>
      <c r="AI809" s="160"/>
      <c r="AJ809" s="160"/>
      <c r="AK809" s="160"/>
      <c r="AL809" s="160"/>
      <c r="AM809" s="160"/>
      <c r="AN809" s="164"/>
      <c r="AO809" s="160"/>
      <c r="AP809" s="160"/>
      <c r="AQ809" s="160"/>
      <c r="AR809" s="160"/>
      <c r="AS809" s="160"/>
      <c r="AT809" s="160"/>
      <c r="AU809" s="160"/>
      <c r="AV809" s="160"/>
      <c r="AW809" s="160"/>
      <c r="AX809" s="160"/>
      <c r="AY809" s="160"/>
      <c r="AZ809" s="160"/>
      <c r="BA809" s="160"/>
      <c r="BB809" s="160"/>
      <c r="BC809" s="160"/>
      <c r="BD809" s="160"/>
      <c r="BE809" s="160"/>
      <c r="BF809" s="160"/>
      <c r="BG809" s="160"/>
      <c r="BH809" s="160"/>
      <c r="BI809" s="160"/>
      <c r="BJ809" s="160"/>
      <c r="BK809" s="160"/>
      <c r="BL809" s="160"/>
      <c r="BM809" s="160"/>
      <c r="BN809" s="160"/>
      <c r="BO809" s="160"/>
      <c r="BP809" s="160"/>
      <c r="BQ809" s="160"/>
      <c r="BR809" s="160"/>
      <c r="BS809" s="160"/>
      <c r="BT809" s="160"/>
      <c r="BU809" s="160"/>
      <c r="BV809" s="160"/>
      <c r="BW809" s="160"/>
      <c r="BX809" s="160"/>
      <c r="BY809" s="160"/>
      <c r="BZ809" s="160"/>
      <c r="CA809" s="160"/>
      <c r="CB809" s="160"/>
      <c r="CC809" s="160"/>
      <c r="CD809" s="160"/>
      <c r="CE809" s="160"/>
      <c r="CF809" s="160"/>
      <c r="CG809" s="160"/>
      <c r="CH809" s="160"/>
      <c r="CI809" s="160"/>
      <c r="CJ809" s="160"/>
      <c r="CK809" s="160"/>
      <c r="CL809" s="160"/>
    </row>
    <row r="810">
      <c r="A810" s="171"/>
      <c r="F810" s="11"/>
      <c r="G810" s="11"/>
      <c r="L810" s="171"/>
      <c r="M810" s="171"/>
      <c r="O810" s="160"/>
      <c r="P810" s="160"/>
      <c r="Q810" s="160"/>
      <c r="R810" s="160"/>
      <c r="S810" s="160"/>
      <c r="T810" s="207"/>
      <c r="U810" s="160"/>
      <c r="V810" s="160"/>
      <c r="W810" s="160"/>
      <c r="X810" s="160"/>
      <c r="Y810" s="160"/>
      <c r="Z810" s="160"/>
      <c r="AA810" s="160"/>
      <c r="AB810" s="160"/>
      <c r="AC810" s="160"/>
      <c r="AD810" s="160"/>
      <c r="AE810" s="160"/>
      <c r="AF810" s="160"/>
      <c r="AG810" s="160"/>
      <c r="AH810" s="160"/>
      <c r="AI810" s="160"/>
      <c r="AJ810" s="160"/>
      <c r="AK810" s="160"/>
      <c r="AL810" s="160"/>
      <c r="AM810" s="160"/>
      <c r="AN810" s="164"/>
      <c r="AO810" s="160"/>
      <c r="AP810" s="160"/>
      <c r="AQ810" s="160"/>
      <c r="AR810" s="160"/>
      <c r="AS810" s="160"/>
      <c r="AT810" s="160"/>
      <c r="AU810" s="160"/>
      <c r="AV810" s="160"/>
      <c r="AW810" s="160"/>
      <c r="AX810" s="160"/>
      <c r="AY810" s="160"/>
      <c r="AZ810" s="160"/>
      <c r="BA810" s="160"/>
      <c r="BB810" s="160"/>
      <c r="BC810" s="160"/>
      <c r="BD810" s="160"/>
      <c r="BE810" s="160"/>
      <c r="BF810" s="160"/>
      <c r="BG810" s="160"/>
      <c r="BH810" s="160"/>
      <c r="BI810" s="160"/>
      <c r="BJ810" s="160"/>
      <c r="BK810" s="160"/>
      <c r="BL810" s="160"/>
      <c r="BM810" s="160"/>
      <c r="BN810" s="160"/>
      <c r="BO810" s="160"/>
      <c r="BP810" s="160"/>
      <c r="BQ810" s="160"/>
      <c r="BR810" s="160"/>
      <c r="BS810" s="160"/>
      <c r="BT810" s="160"/>
      <c r="BU810" s="160"/>
      <c r="BV810" s="160"/>
      <c r="BW810" s="160"/>
      <c r="BX810" s="160"/>
      <c r="BY810" s="160"/>
      <c r="BZ810" s="160"/>
      <c r="CA810" s="160"/>
      <c r="CB810" s="160"/>
      <c r="CC810" s="160"/>
      <c r="CD810" s="160"/>
      <c r="CE810" s="160"/>
      <c r="CF810" s="160"/>
      <c r="CG810" s="160"/>
      <c r="CH810" s="160"/>
      <c r="CI810" s="160"/>
      <c r="CJ810" s="160"/>
      <c r="CK810" s="160"/>
      <c r="CL810" s="160"/>
    </row>
    <row r="811">
      <c r="A811" s="171"/>
      <c r="F811" s="11"/>
      <c r="G811" s="11"/>
      <c r="L811" s="171"/>
      <c r="M811" s="171"/>
      <c r="O811" s="160"/>
      <c r="P811" s="160"/>
      <c r="Q811" s="160"/>
      <c r="R811" s="160"/>
      <c r="S811" s="160"/>
      <c r="T811" s="207"/>
      <c r="U811" s="160"/>
      <c r="V811" s="160"/>
      <c r="W811" s="160"/>
      <c r="X811" s="160"/>
      <c r="Y811" s="160"/>
      <c r="Z811" s="160"/>
      <c r="AA811" s="160"/>
      <c r="AB811" s="160"/>
      <c r="AC811" s="160"/>
      <c r="AD811" s="160"/>
      <c r="AE811" s="160"/>
      <c r="AF811" s="160"/>
      <c r="AG811" s="160"/>
      <c r="AH811" s="160"/>
      <c r="AI811" s="160"/>
      <c r="AJ811" s="160"/>
      <c r="AK811" s="160"/>
      <c r="AL811" s="160"/>
      <c r="AM811" s="160"/>
      <c r="AN811" s="164"/>
      <c r="AO811" s="160"/>
      <c r="AP811" s="160"/>
      <c r="AQ811" s="160"/>
      <c r="AR811" s="160"/>
      <c r="AS811" s="160"/>
      <c r="AT811" s="160"/>
      <c r="AU811" s="160"/>
      <c r="AV811" s="160"/>
      <c r="AW811" s="160"/>
      <c r="AX811" s="160"/>
      <c r="AY811" s="160"/>
      <c r="AZ811" s="160"/>
      <c r="BA811" s="160"/>
      <c r="BB811" s="160"/>
      <c r="BC811" s="160"/>
      <c r="BD811" s="160"/>
      <c r="BE811" s="160"/>
      <c r="BF811" s="160"/>
      <c r="BG811" s="160"/>
      <c r="BH811" s="160"/>
      <c r="BI811" s="160"/>
      <c r="BJ811" s="160"/>
      <c r="BK811" s="160"/>
      <c r="BL811" s="160"/>
      <c r="BM811" s="160"/>
      <c r="BN811" s="160"/>
      <c r="BO811" s="160"/>
      <c r="BP811" s="160"/>
      <c r="BQ811" s="160"/>
      <c r="BR811" s="160"/>
      <c r="BS811" s="160"/>
      <c r="BT811" s="160"/>
      <c r="BU811" s="160"/>
      <c r="BV811" s="160"/>
      <c r="BW811" s="160"/>
      <c r="BX811" s="160"/>
      <c r="BY811" s="160"/>
      <c r="BZ811" s="160"/>
      <c r="CA811" s="160"/>
      <c r="CB811" s="160"/>
      <c r="CC811" s="160"/>
      <c r="CD811" s="160"/>
      <c r="CE811" s="160"/>
      <c r="CF811" s="160"/>
      <c r="CG811" s="160"/>
      <c r="CH811" s="160"/>
      <c r="CI811" s="160"/>
      <c r="CJ811" s="160"/>
      <c r="CK811" s="160"/>
      <c r="CL811" s="160"/>
    </row>
    <row r="812">
      <c r="A812" s="171"/>
      <c r="F812" s="11"/>
      <c r="G812" s="11"/>
      <c r="L812" s="171"/>
      <c r="M812" s="171"/>
      <c r="O812" s="160"/>
      <c r="P812" s="160"/>
      <c r="Q812" s="160"/>
      <c r="R812" s="160"/>
      <c r="S812" s="160"/>
      <c r="T812" s="207"/>
      <c r="U812" s="160"/>
      <c r="V812" s="160"/>
      <c r="W812" s="160"/>
      <c r="X812" s="160"/>
      <c r="Y812" s="160"/>
      <c r="Z812" s="160"/>
      <c r="AA812" s="160"/>
      <c r="AB812" s="160"/>
      <c r="AC812" s="160"/>
      <c r="AD812" s="160"/>
      <c r="AE812" s="160"/>
      <c r="AF812" s="160"/>
      <c r="AG812" s="160"/>
      <c r="AH812" s="160"/>
      <c r="AI812" s="160"/>
      <c r="AJ812" s="160"/>
      <c r="AK812" s="160"/>
      <c r="AL812" s="160"/>
      <c r="AM812" s="160"/>
      <c r="AN812" s="164"/>
      <c r="AO812" s="160"/>
      <c r="AP812" s="160"/>
      <c r="AQ812" s="160"/>
      <c r="AR812" s="160"/>
      <c r="AS812" s="160"/>
      <c r="AT812" s="160"/>
      <c r="AU812" s="160"/>
      <c r="AV812" s="160"/>
      <c r="AW812" s="160"/>
      <c r="AX812" s="160"/>
      <c r="AY812" s="160"/>
      <c r="AZ812" s="160"/>
      <c r="BA812" s="160"/>
      <c r="BB812" s="160"/>
      <c r="BC812" s="160"/>
      <c r="BD812" s="160"/>
      <c r="BE812" s="160"/>
      <c r="BF812" s="160"/>
      <c r="BG812" s="160"/>
      <c r="BH812" s="160"/>
      <c r="BI812" s="160"/>
      <c r="BJ812" s="160"/>
      <c r="BK812" s="160"/>
      <c r="BL812" s="160"/>
      <c r="BM812" s="160"/>
      <c r="BN812" s="160"/>
      <c r="BO812" s="160"/>
      <c r="BP812" s="160"/>
      <c r="BQ812" s="160"/>
      <c r="BR812" s="160"/>
      <c r="BS812" s="160"/>
      <c r="BT812" s="160"/>
      <c r="BU812" s="160"/>
      <c r="BV812" s="160"/>
      <c r="BW812" s="160"/>
      <c r="BX812" s="160"/>
      <c r="BY812" s="160"/>
      <c r="BZ812" s="160"/>
      <c r="CA812" s="160"/>
      <c r="CB812" s="160"/>
      <c r="CC812" s="160"/>
      <c r="CD812" s="160"/>
      <c r="CE812" s="160"/>
      <c r="CF812" s="160"/>
      <c r="CG812" s="160"/>
      <c r="CH812" s="160"/>
      <c r="CI812" s="160"/>
      <c r="CJ812" s="160"/>
      <c r="CK812" s="160"/>
      <c r="CL812" s="160"/>
    </row>
    <row r="813">
      <c r="A813" s="171"/>
      <c r="F813" s="11"/>
      <c r="G813" s="11"/>
      <c r="L813" s="171"/>
      <c r="M813" s="171"/>
      <c r="O813" s="160"/>
      <c r="P813" s="160"/>
      <c r="Q813" s="160"/>
      <c r="R813" s="160"/>
      <c r="S813" s="160"/>
      <c r="T813" s="207"/>
      <c r="U813" s="160"/>
      <c r="V813" s="160"/>
      <c r="W813" s="160"/>
      <c r="X813" s="160"/>
      <c r="Y813" s="160"/>
      <c r="Z813" s="160"/>
      <c r="AA813" s="160"/>
      <c r="AB813" s="160"/>
      <c r="AC813" s="160"/>
      <c r="AD813" s="160"/>
      <c r="AE813" s="160"/>
      <c r="AF813" s="160"/>
      <c r="AG813" s="160"/>
      <c r="AH813" s="160"/>
      <c r="AI813" s="160"/>
      <c r="AJ813" s="160"/>
      <c r="AK813" s="160"/>
      <c r="AL813" s="160"/>
      <c r="AM813" s="160"/>
      <c r="AN813" s="164"/>
      <c r="AO813" s="160"/>
      <c r="AP813" s="160"/>
      <c r="AQ813" s="160"/>
      <c r="AR813" s="160"/>
      <c r="AS813" s="160"/>
      <c r="AT813" s="160"/>
      <c r="AU813" s="160"/>
      <c r="AV813" s="160"/>
      <c r="AW813" s="160"/>
      <c r="AX813" s="160"/>
      <c r="AY813" s="160"/>
      <c r="AZ813" s="160"/>
      <c r="BA813" s="160"/>
      <c r="BB813" s="160"/>
      <c r="BC813" s="160"/>
      <c r="BD813" s="160"/>
      <c r="BE813" s="160"/>
      <c r="BF813" s="160"/>
      <c r="BG813" s="160"/>
      <c r="BH813" s="160"/>
      <c r="BI813" s="160"/>
      <c r="BJ813" s="160"/>
      <c r="BK813" s="160"/>
      <c r="BL813" s="160"/>
      <c r="BM813" s="160"/>
      <c r="BN813" s="160"/>
      <c r="BO813" s="160"/>
      <c r="BP813" s="160"/>
      <c r="BQ813" s="160"/>
      <c r="BR813" s="160"/>
      <c r="BS813" s="160"/>
      <c r="BT813" s="160"/>
      <c r="BU813" s="160"/>
      <c r="BV813" s="160"/>
      <c r="BW813" s="160"/>
      <c r="BX813" s="160"/>
      <c r="BY813" s="160"/>
      <c r="BZ813" s="160"/>
      <c r="CA813" s="160"/>
      <c r="CB813" s="160"/>
      <c r="CC813" s="160"/>
      <c r="CD813" s="160"/>
      <c r="CE813" s="160"/>
      <c r="CF813" s="160"/>
      <c r="CG813" s="160"/>
      <c r="CH813" s="160"/>
      <c r="CI813" s="160"/>
      <c r="CJ813" s="160"/>
      <c r="CK813" s="160"/>
      <c r="CL813" s="160"/>
    </row>
    <row r="814">
      <c r="A814" s="171"/>
      <c r="F814" s="11"/>
      <c r="G814" s="11"/>
      <c r="L814" s="171"/>
      <c r="M814" s="171"/>
      <c r="O814" s="160"/>
      <c r="P814" s="160"/>
      <c r="Q814" s="160"/>
      <c r="R814" s="160"/>
      <c r="S814" s="160"/>
      <c r="T814" s="207"/>
      <c r="U814" s="160"/>
      <c r="V814" s="160"/>
      <c r="W814" s="160"/>
      <c r="X814" s="160"/>
      <c r="Y814" s="160"/>
      <c r="Z814" s="160"/>
      <c r="AA814" s="160"/>
      <c r="AB814" s="160"/>
      <c r="AC814" s="160"/>
      <c r="AD814" s="160"/>
      <c r="AE814" s="160"/>
      <c r="AF814" s="160"/>
      <c r="AG814" s="160"/>
      <c r="AH814" s="160"/>
      <c r="AI814" s="160"/>
      <c r="AJ814" s="160"/>
      <c r="AK814" s="160"/>
      <c r="AL814" s="160"/>
      <c r="AM814" s="160"/>
      <c r="AN814" s="164"/>
      <c r="AO814" s="160"/>
      <c r="AP814" s="160"/>
      <c r="AQ814" s="160"/>
      <c r="AR814" s="160"/>
      <c r="AS814" s="160"/>
      <c r="AT814" s="160"/>
      <c r="AU814" s="160"/>
      <c r="AV814" s="160"/>
      <c r="AW814" s="160"/>
      <c r="AX814" s="160"/>
      <c r="AY814" s="160"/>
      <c r="AZ814" s="160"/>
      <c r="BA814" s="160"/>
      <c r="BB814" s="160"/>
      <c r="BC814" s="160"/>
      <c r="BD814" s="160"/>
      <c r="BE814" s="160"/>
      <c r="BF814" s="160"/>
      <c r="BG814" s="160"/>
      <c r="BH814" s="160"/>
      <c r="BI814" s="160"/>
      <c r="BJ814" s="160"/>
      <c r="BK814" s="160"/>
      <c r="BL814" s="160"/>
      <c r="BM814" s="160"/>
      <c r="BN814" s="160"/>
      <c r="BO814" s="160"/>
      <c r="BP814" s="160"/>
      <c r="BQ814" s="160"/>
      <c r="BR814" s="160"/>
      <c r="BS814" s="160"/>
      <c r="BT814" s="160"/>
      <c r="BU814" s="160"/>
      <c r="BV814" s="160"/>
      <c r="BW814" s="160"/>
      <c r="BX814" s="160"/>
      <c r="BY814" s="160"/>
      <c r="BZ814" s="160"/>
      <c r="CA814" s="160"/>
      <c r="CB814" s="160"/>
      <c r="CC814" s="160"/>
      <c r="CD814" s="160"/>
      <c r="CE814" s="160"/>
      <c r="CF814" s="160"/>
      <c r="CG814" s="160"/>
      <c r="CH814" s="160"/>
      <c r="CI814" s="160"/>
      <c r="CJ814" s="160"/>
      <c r="CK814" s="160"/>
      <c r="CL814" s="160"/>
    </row>
    <row r="815">
      <c r="A815" s="171"/>
      <c r="F815" s="11"/>
      <c r="G815" s="11"/>
      <c r="L815" s="171"/>
      <c r="M815" s="171"/>
      <c r="O815" s="160"/>
      <c r="P815" s="160"/>
      <c r="Q815" s="160"/>
      <c r="R815" s="160"/>
      <c r="S815" s="160"/>
      <c r="T815" s="207"/>
      <c r="U815" s="160"/>
      <c r="V815" s="160"/>
      <c r="W815" s="160"/>
      <c r="X815" s="160"/>
      <c r="Y815" s="160"/>
      <c r="Z815" s="160"/>
      <c r="AA815" s="160"/>
      <c r="AB815" s="160"/>
      <c r="AC815" s="160"/>
      <c r="AD815" s="160"/>
      <c r="AE815" s="160"/>
      <c r="AF815" s="160"/>
      <c r="AG815" s="160"/>
      <c r="AH815" s="160"/>
      <c r="AI815" s="160"/>
      <c r="AJ815" s="160"/>
      <c r="AK815" s="160"/>
      <c r="AL815" s="160"/>
      <c r="AM815" s="160"/>
      <c r="AN815" s="164"/>
      <c r="AO815" s="160"/>
      <c r="AP815" s="160"/>
      <c r="AQ815" s="160"/>
      <c r="AR815" s="160"/>
      <c r="AS815" s="160"/>
      <c r="AT815" s="160"/>
      <c r="AU815" s="160"/>
      <c r="AV815" s="160"/>
      <c r="AW815" s="160"/>
      <c r="AX815" s="160"/>
      <c r="AY815" s="160"/>
      <c r="AZ815" s="160"/>
      <c r="BA815" s="160"/>
      <c r="BB815" s="160"/>
      <c r="BC815" s="160"/>
      <c r="BD815" s="160"/>
      <c r="BE815" s="160"/>
      <c r="BF815" s="160"/>
      <c r="BG815" s="160"/>
      <c r="BH815" s="160"/>
      <c r="BI815" s="160"/>
      <c r="BJ815" s="160"/>
      <c r="BK815" s="160"/>
      <c r="BL815" s="160"/>
      <c r="BM815" s="160"/>
      <c r="BN815" s="160"/>
      <c r="BO815" s="160"/>
      <c r="BP815" s="160"/>
      <c r="BQ815" s="160"/>
      <c r="BR815" s="160"/>
      <c r="BS815" s="160"/>
      <c r="BT815" s="160"/>
      <c r="BU815" s="160"/>
      <c r="BV815" s="160"/>
      <c r="BW815" s="160"/>
      <c r="BX815" s="160"/>
      <c r="BY815" s="160"/>
      <c r="BZ815" s="160"/>
      <c r="CA815" s="160"/>
      <c r="CB815" s="160"/>
      <c r="CC815" s="160"/>
      <c r="CD815" s="160"/>
      <c r="CE815" s="160"/>
      <c r="CF815" s="160"/>
      <c r="CG815" s="160"/>
      <c r="CH815" s="160"/>
      <c r="CI815" s="160"/>
      <c r="CJ815" s="160"/>
      <c r="CK815" s="160"/>
      <c r="CL815" s="160"/>
    </row>
    <row r="816">
      <c r="A816" s="171"/>
      <c r="F816" s="11"/>
      <c r="G816" s="11"/>
      <c r="L816" s="171"/>
      <c r="M816" s="171"/>
      <c r="O816" s="160"/>
      <c r="P816" s="160"/>
      <c r="Q816" s="160"/>
      <c r="R816" s="160"/>
      <c r="S816" s="160"/>
      <c r="T816" s="207"/>
      <c r="U816" s="160"/>
      <c r="V816" s="160"/>
      <c r="W816" s="160"/>
      <c r="X816" s="160"/>
      <c r="Y816" s="160"/>
      <c r="Z816" s="160"/>
      <c r="AA816" s="160"/>
      <c r="AB816" s="160"/>
      <c r="AC816" s="160"/>
      <c r="AD816" s="160"/>
      <c r="AE816" s="160"/>
      <c r="AF816" s="160"/>
      <c r="AG816" s="160"/>
      <c r="AH816" s="160"/>
      <c r="AI816" s="160"/>
      <c r="AJ816" s="160"/>
      <c r="AK816" s="160"/>
      <c r="AL816" s="160"/>
      <c r="AM816" s="160"/>
      <c r="AN816" s="164"/>
      <c r="AO816" s="160"/>
      <c r="AP816" s="160"/>
      <c r="AQ816" s="160"/>
      <c r="AR816" s="160"/>
      <c r="AS816" s="160"/>
      <c r="AT816" s="160"/>
      <c r="AU816" s="160"/>
      <c r="AV816" s="160"/>
      <c r="AW816" s="160"/>
      <c r="AX816" s="160"/>
      <c r="AY816" s="160"/>
      <c r="AZ816" s="160"/>
      <c r="BA816" s="160"/>
      <c r="BB816" s="160"/>
      <c r="BC816" s="160"/>
      <c r="BD816" s="160"/>
      <c r="BE816" s="160"/>
      <c r="BF816" s="160"/>
      <c r="BG816" s="160"/>
      <c r="BH816" s="160"/>
      <c r="BI816" s="160"/>
      <c r="BJ816" s="160"/>
      <c r="BK816" s="160"/>
      <c r="BL816" s="160"/>
      <c r="BM816" s="160"/>
      <c r="BN816" s="160"/>
      <c r="BO816" s="160"/>
      <c r="BP816" s="160"/>
      <c r="BQ816" s="160"/>
      <c r="BR816" s="160"/>
      <c r="BS816" s="160"/>
      <c r="BT816" s="160"/>
      <c r="BU816" s="160"/>
      <c r="BV816" s="160"/>
      <c r="BW816" s="160"/>
      <c r="BX816" s="160"/>
      <c r="BY816" s="160"/>
      <c r="BZ816" s="160"/>
      <c r="CA816" s="160"/>
      <c r="CB816" s="160"/>
      <c r="CC816" s="160"/>
      <c r="CD816" s="160"/>
      <c r="CE816" s="160"/>
      <c r="CF816" s="160"/>
      <c r="CG816" s="160"/>
      <c r="CH816" s="160"/>
      <c r="CI816" s="160"/>
      <c r="CJ816" s="160"/>
      <c r="CK816" s="160"/>
      <c r="CL816" s="160"/>
    </row>
    <row r="817">
      <c r="A817" s="171"/>
      <c r="F817" s="11"/>
      <c r="G817" s="11"/>
      <c r="L817" s="171"/>
      <c r="M817" s="171"/>
      <c r="O817" s="160"/>
      <c r="P817" s="160"/>
      <c r="Q817" s="160"/>
      <c r="R817" s="160"/>
      <c r="S817" s="160"/>
      <c r="T817" s="207"/>
      <c r="U817" s="160"/>
      <c r="V817" s="160"/>
      <c r="W817" s="160"/>
      <c r="X817" s="160"/>
      <c r="Y817" s="160"/>
      <c r="Z817" s="160"/>
      <c r="AA817" s="160"/>
      <c r="AB817" s="160"/>
      <c r="AC817" s="160"/>
      <c r="AD817" s="160"/>
      <c r="AE817" s="160"/>
      <c r="AF817" s="160"/>
      <c r="AG817" s="160"/>
      <c r="AH817" s="160"/>
      <c r="AI817" s="160"/>
      <c r="AJ817" s="160"/>
      <c r="AK817" s="160"/>
      <c r="AL817" s="160"/>
      <c r="AM817" s="160"/>
      <c r="AN817" s="164"/>
      <c r="AO817" s="160"/>
      <c r="AP817" s="160"/>
      <c r="AQ817" s="160"/>
      <c r="AR817" s="160"/>
      <c r="AS817" s="160"/>
      <c r="AT817" s="160"/>
      <c r="AU817" s="160"/>
      <c r="AV817" s="160"/>
      <c r="AW817" s="160"/>
      <c r="AX817" s="160"/>
      <c r="AY817" s="160"/>
      <c r="AZ817" s="160"/>
      <c r="BA817" s="160"/>
      <c r="BB817" s="160"/>
      <c r="BC817" s="160"/>
      <c r="BD817" s="160"/>
      <c r="BE817" s="160"/>
      <c r="BF817" s="160"/>
      <c r="BG817" s="160"/>
      <c r="BH817" s="160"/>
      <c r="BI817" s="160"/>
      <c r="BJ817" s="160"/>
      <c r="BK817" s="160"/>
      <c r="BL817" s="160"/>
      <c r="BM817" s="160"/>
      <c r="BN817" s="160"/>
      <c r="BO817" s="160"/>
      <c r="BP817" s="160"/>
      <c r="BQ817" s="160"/>
      <c r="BR817" s="160"/>
      <c r="BS817" s="160"/>
      <c r="BT817" s="160"/>
      <c r="BU817" s="160"/>
      <c r="BV817" s="160"/>
      <c r="BW817" s="160"/>
      <c r="BX817" s="160"/>
      <c r="BY817" s="160"/>
      <c r="BZ817" s="160"/>
      <c r="CA817" s="160"/>
      <c r="CB817" s="160"/>
      <c r="CC817" s="160"/>
      <c r="CD817" s="160"/>
      <c r="CE817" s="160"/>
      <c r="CF817" s="160"/>
      <c r="CG817" s="160"/>
      <c r="CH817" s="160"/>
      <c r="CI817" s="160"/>
      <c r="CJ817" s="160"/>
      <c r="CK817" s="160"/>
      <c r="CL817" s="160"/>
    </row>
    <row r="818">
      <c r="A818" s="171"/>
      <c r="F818" s="11"/>
      <c r="G818" s="11"/>
      <c r="L818" s="171"/>
      <c r="M818" s="171"/>
      <c r="O818" s="160"/>
      <c r="P818" s="160"/>
      <c r="Q818" s="160"/>
      <c r="R818" s="160"/>
      <c r="S818" s="160"/>
      <c r="T818" s="207"/>
      <c r="U818" s="160"/>
      <c r="V818" s="160"/>
      <c r="W818" s="160"/>
      <c r="X818" s="160"/>
      <c r="Y818" s="160"/>
      <c r="Z818" s="160"/>
      <c r="AA818" s="160"/>
      <c r="AB818" s="160"/>
      <c r="AC818" s="160"/>
      <c r="AD818" s="160"/>
      <c r="AE818" s="160"/>
      <c r="AF818" s="160"/>
      <c r="AG818" s="160"/>
      <c r="AH818" s="160"/>
      <c r="AI818" s="160"/>
      <c r="AJ818" s="160"/>
      <c r="AK818" s="160"/>
      <c r="AL818" s="160"/>
      <c r="AM818" s="160"/>
      <c r="AN818" s="164"/>
      <c r="AO818" s="160"/>
      <c r="AP818" s="160"/>
      <c r="AQ818" s="160"/>
      <c r="AR818" s="160"/>
      <c r="AS818" s="160"/>
      <c r="AT818" s="160"/>
      <c r="AU818" s="160"/>
      <c r="AV818" s="160"/>
      <c r="AW818" s="160"/>
      <c r="AX818" s="160"/>
      <c r="AY818" s="160"/>
      <c r="AZ818" s="160"/>
      <c r="BA818" s="160"/>
      <c r="BB818" s="160"/>
      <c r="BC818" s="160"/>
      <c r="BD818" s="160"/>
      <c r="BE818" s="160"/>
      <c r="BF818" s="160"/>
      <c r="BG818" s="160"/>
      <c r="BH818" s="160"/>
      <c r="BI818" s="160"/>
      <c r="BJ818" s="160"/>
      <c r="BK818" s="160"/>
      <c r="BL818" s="160"/>
      <c r="BM818" s="160"/>
      <c r="BN818" s="160"/>
      <c r="BO818" s="160"/>
      <c r="BP818" s="160"/>
      <c r="BQ818" s="160"/>
      <c r="BR818" s="160"/>
      <c r="BS818" s="160"/>
      <c r="BT818" s="160"/>
      <c r="BU818" s="160"/>
      <c r="BV818" s="160"/>
      <c r="BW818" s="160"/>
      <c r="BX818" s="160"/>
      <c r="BY818" s="160"/>
      <c r="BZ818" s="160"/>
      <c r="CA818" s="160"/>
      <c r="CB818" s="160"/>
      <c r="CC818" s="160"/>
      <c r="CD818" s="160"/>
      <c r="CE818" s="160"/>
      <c r="CF818" s="160"/>
      <c r="CG818" s="160"/>
      <c r="CH818" s="160"/>
      <c r="CI818" s="160"/>
      <c r="CJ818" s="160"/>
      <c r="CK818" s="160"/>
      <c r="CL818" s="160"/>
    </row>
    <row r="819">
      <c r="A819" s="171"/>
      <c r="F819" s="11"/>
      <c r="G819" s="11"/>
      <c r="L819" s="171"/>
      <c r="M819" s="171"/>
      <c r="O819" s="160"/>
      <c r="P819" s="160"/>
      <c r="Q819" s="160"/>
      <c r="R819" s="160"/>
      <c r="S819" s="160"/>
      <c r="T819" s="207"/>
      <c r="U819" s="160"/>
      <c r="V819" s="160"/>
      <c r="W819" s="160"/>
      <c r="X819" s="160"/>
      <c r="Y819" s="160"/>
      <c r="Z819" s="160"/>
      <c r="AA819" s="160"/>
      <c r="AB819" s="160"/>
      <c r="AC819" s="160"/>
      <c r="AD819" s="160"/>
      <c r="AE819" s="160"/>
      <c r="AF819" s="160"/>
      <c r="AG819" s="160"/>
      <c r="AH819" s="160"/>
      <c r="AI819" s="160"/>
      <c r="AJ819" s="160"/>
      <c r="AK819" s="160"/>
      <c r="AL819" s="160"/>
      <c r="AM819" s="160"/>
      <c r="AN819" s="164"/>
      <c r="AO819" s="160"/>
      <c r="AP819" s="160"/>
      <c r="AQ819" s="160"/>
      <c r="AR819" s="160"/>
      <c r="AS819" s="160"/>
      <c r="AT819" s="160"/>
      <c r="AU819" s="160"/>
      <c r="AV819" s="160"/>
      <c r="AW819" s="160"/>
      <c r="AX819" s="160"/>
      <c r="AY819" s="160"/>
      <c r="AZ819" s="160"/>
      <c r="BA819" s="160"/>
      <c r="BB819" s="160"/>
      <c r="BC819" s="160"/>
      <c r="BD819" s="160"/>
      <c r="BE819" s="160"/>
      <c r="BF819" s="160"/>
      <c r="BG819" s="160"/>
      <c r="BH819" s="160"/>
      <c r="BI819" s="160"/>
      <c r="BJ819" s="160"/>
      <c r="BK819" s="160"/>
      <c r="BL819" s="160"/>
      <c r="BM819" s="160"/>
      <c r="BN819" s="160"/>
      <c r="BO819" s="160"/>
      <c r="BP819" s="160"/>
      <c r="BQ819" s="160"/>
      <c r="BR819" s="160"/>
      <c r="BS819" s="160"/>
      <c r="BT819" s="160"/>
      <c r="BU819" s="160"/>
      <c r="BV819" s="160"/>
      <c r="BW819" s="160"/>
      <c r="BX819" s="160"/>
      <c r="BY819" s="160"/>
      <c r="BZ819" s="160"/>
      <c r="CA819" s="160"/>
      <c r="CB819" s="160"/>
      <c r="CC819" s="160"/>
      <c r="CD819" s="160"/>
      <c r="CE819" s="160"/>
      <c r="CF819" s="160"/>
      <c r="CG819" s="160"/>
      <c r="CH819" s="160"/>
      <c r="CI819" s="160"/>
      <c r="CJ819" s="160"/>
      <c r="CK819" s="160"/>
      <c r="CL819" s="160"/>
    </row>
    <row r="820">
      <c r="A820" s="171"/>
      <c r="F820" s="11"/>
      <c r="G820" s="11"/>
      <c r="L820" s="171"/>
      <c r="M820" s="171"/>
      <c r="O820" s="160"/>
      <c r="P820" s="160"/>
      <c r="Q820" s="160"/>
      <c r="R820" s="160"/>
      <c r="S820" s="160"/>
      <c r="T820" s="207"/>
      <c r="U820" s="160"/>
      <c r="V820" s="160"/>
      <c r="W820" s="160"/>
      <c r="X820" s="160"/>
      <c r="Y820" s="160"/>
      <c r="Z820" s="160"/>
      <c r="AA820" s="160"/>
      <c r="AB820" s="160"/>
      <c r="AC820" s="160"/>
      <c r="AD820" s="160"/>
      <c r="AE820" s="160"/>
      <c r="AF820" s="160"/>
      <c r="AG820" s="160"/>
      <c r="AH820" s="160"/>
      <c r="AI820" s="160"/>
      <c r="AJ820" s="160"/>
      <c r="AK820" s="160"/>
      <c r="AL820" s="160"/>
      <c r="AM820" s="160"/>
      <c r="AN820" s="164"/>
      <c r="AO820" s="160"/>
      <c r="AP820" s="160"/>
      <c r="AQ820" s="160"/>
      <c r="AR820" s="160"/>
      <c r="AS820" s="160"/>
      <c r="AT820" s="160"/>
      <c r="AU820" s="160"/>
      <c r="AV820" s="160"/>
      <c r="AW820" s="160"/>
      <c r="AX820" s="160"/>
      <c r="AY820" s="160"/>
      <c r="AZ820" s="160"/>
      <c r="BA820" s="160"/>
      <c r="BB820" s="160"/>
      <c r="BC820" s="160"/>
      <c r="BD820" s="160"/>
      <c r="BE820" s="160"/>
      <c r="BF820" s="160"/>
      <c r="BG820" s="160"/>
      <c r="BH820" s="160"/>
      <c r="BI820" s="160"/>
      <c r="BJ820" s="160"/>
      <c r="BK820" s="160"/>
      <c r="BL820" s="160"/>
      <c r="BM820" s="160"/>
      <c r="BN820" s="160"/>
      <c r="BO820" s="160"/>
      <c r="BP820" s="160"/>
      <c r="BQ820" s="160"/>
      <c r="BR820" s="160"/>
      <c r="BS820" s="160"/>
      <c r="BT820" s="160"/>
      <c r="BU820" s="160"/>
      <c r="BV820" s="160"/>
      <c r="BW820" s="160"/>
      <c r="BX820" s="160"/>
      <c r="BY820" s="160"/>
      <c r="BZ820" s="160"/>
      <c r="CA820" s="160"/>
      <c r="CB820" s="160"/>
      <c r="CC820" s="160"/>
      <c r="CD820" s="160"/>
      <c r="CE820" s="160"/>
      <c r="CF820" s="160"/>
      <c r="CG820" s="160"/>
      <c r="CH820" s="160"/>
      <c r="CI820" s="160"/>
      <c r="CJ820" s="160"/>
      <c r="CK820" s="160"/>
      <c r="CL820" s="160"/>
    </row>
    <row r="821">
      <c r="A821" s="171"/>
      <c r="F821" s="11"/>
      <c r="G821" s="11"/>
      <c r="L821" s="171"/>
      <c r="M821" s="171"/>
      <c r="O821" s="160"/>
      <c r="P821" s="160"/>
      <c r="Q821" s="160"/>
      <c r="R821" s="160"/>
      <c r="S821" s="160"/>
      <c r="T821" s="207"/>
      <c r="U821" s="160"/>
      <c r="V821" s="160"/>
      <c r="W821" s="160"/>
      <c r="X821" s="160"/>
      <c r="Y821" s="160"/>
      <c r="Z821" s="160"/>
      <c r="AA821" s="160"/>
      <c r="AB821" s="160"/>
      <c r="AC821" s="160"/>
      <c r="AD821" s="160"/>
      <c r="AE821" s="160"/>
      <c r="AF821" s="160"/>
      <c r="AG821" s="160"/>
      <c r="AH821" s="160"/>
      <c r="AI821" s="160"/>
      <c r="AJ821" s="160"/>
      <c r="AK821" s="160"/>
      <c r="AL821" s="160"/>
      <c r="AM821" s="160"/>
      <c r="AN821" s="164"/>
      <c r="AO821" s="160"/>
      <c r="AP821" s="160"/>
      <c r="AQ821" s="160"/>
      <c r="AR821" s="160"/>
      <c r="AS821" s="160"/>
      <c r="AT821" s="160"/>
      <c r="AU821" s="160"/>
      <c r="AV821" s="160"/>
      <c r="AW821" s="160"/>
      <c r="AX821" s="160"/>
      <c r="AY821" s="160"/>
      <c r="AZ821" s="160"/>
      <c r="BA821" s="160"/>
      <c r="BB821" s="160"/>
      <c r="BC821" s="160"/>
      <c r="BD821" s="160"/>
      <c r="BE821" s="160"/>
      <c r="BF821" s="160"/>
      <c r="BG821" s="160"/>
      <c r="BH821" s="160"/>
      <c r="BI821" s="160"/>
      <c r="BJ821" s="160"/>
      <c r="BK821" s="160"/>
      <c r="BL821" s="160"/>
      <c r="BM821" s="160"/>
      <c r="BN821" s="160"/>
      <c r="BO821" s="160"/>
      <c r="BP821" s="160"/>
      <c r="BQ821" s="160"/>
      <c r="BR821" s="160"/>
      <c r="BS821" s="160"/>
      <c r="BT821" s="160"/>
      <c r="BU821" s="160"/>
      <c r="BV821" s="160"/>
      <c r="BW821" s="160"/>
      <c r="BX821" s="160"/>
      <c r="BY821" s="160"/>
      <c r="BZ821" s="160"/>
      <c r="CA821" s="160"/>
      <c r="CB821" s="160"/>
      <c r="CC821" s="160"/>
      <c r="CD821" s="160"/>
      <c r="CE821" s="160"/>
      <c r="CF821" s="160"/>
      <c r="CG821" s="160"/>
      <c r="CH821" s="160"/>
      <c r="CI821" s="160"/>
      <c r="CJ821" s="160"/>
      <c r="CK821" s="160"/>
      <c r="CL821" s="160"/>
    </row>
    <row r="822">
      <c r="A822" s="171"/>
      <c r="F822" s="11"/>
      <c r="G822" s="11"/>
      <c r="L822" s="171"/>
      <c r="M822" s="171"/>
      <c r="O822" s="160"/>
      <c r="P822" s="160"/>
      <c r="Q822" s="160"/>
      <c r="R822" s="160"/>
      <c r="S822" s="160"/>
      <c r="T822" s="207"/>
      <c r="U822" s="160"/>
      <c r="V822" s="160"/>
      <c r="W822" s="160"/>
      <c r="X822" s="160"/>
      <c r="Y822" s="160"/>
      <c r="Z822" s="160"/>
      <c r="AA822" s="160"/>
      <c r="AB822" s="160"/>
      <c r="AC822" s="160"/>
      <c r="AD822" s="160"/>
      <c r="AE822" s="160"/>
      <c r="AF822" s="160"/>
      <c r="AG822" s="160"/>
      <c r="AH822" s="160"/>
      <c r="AI822" s="160"/>
      <c r="AJ822" s="160"/>
      <c r="AK822" s="160"/>
      <c r="AL822" s="160"/>
      <c r="AM822" s="160"/>
      <c r="AN822" s="164"/>
      <c r="AO822" s="160"/>
      <c r="AP822" s="160"/>
      <c r="AQ822" s="160"/>
      <c r="AR822" s="160"/>
      <c r="AS822" s="160"/>
      <c r="AT822" s="160"/>
      <c r="AU822" s="160"/>
      <c r="AV822" s="160"/>
      <c r="AW822" s="160"/>
      <c r="AX822" s="160"/>
      <c r="AY822" s="160"/>
      <c r="AZ822" s="160"/>
      <c r="BA822" s="160"/>
      <c r="BB822" s="160"/>
      <c r="BC822" s="160"/>
      <c r="BD822" s="160"/>
      <c r="BE822" s="160"/>
      <c r="BF822" s="160"/>
      <c r="BG822" s="160"/>
      <c r="BH822" s="160"/>
      <c r="BI822" s="160"/>
      <c r="BJ822" s="160"/>
      <c r="BK822" s="160"/>
      <c r="BL822" s="160"/>
      <c r="BM822" s="160"/>
      <c r="BN822" s="160"/>
      <c r="BO822" s="160"/>
      <c r="BP822" s="160"/>
      <c r="BQ822" s="160"/>
      <c r="BR822" s="160"/>
      <c r="BS822" s="160"/>
      <c r="BT822" s="160"/>
      <c r="BU822" s="160"/>
      <c r="BV822" s="160"/>
      <c r="BW822" s="160"/>
      <c r="BX822" s="160"/>
      <c r="BY822" s="160"/>
      <c r="BZ822" s="160"/>
      <c r="CA822" s="160"/>
      <c r="CB822" s="160"/>
      <c r="CC822" s="160"/>
      <c r="CD822" s="160"/>
      <c r="CE822" s="160"/>
      <c r="CF822" s="160"/>
      <c r="CG822" s="160"/>
      <c r="CH822" s="160"/>
      <c r="CI822" s="160"/>
      <c r="CJ822" s="160"/>
      <c r="CK822" s="160"/>
      <c r="CL822" s="160"/>
    </row>
    <row r="823">
      <c r="A823" s="171"/>
      <c r="F823" s="11"/>
      <c r="G823" s="11"/>
      <c r="L823" s="171"/>
      <c r="M823" s="171"/>
      <c r="O823" s="160"/>
      <c r="P823" s="160"/>
      <c r="Q823" s="160"/>
      <c r="R823" s="160"/>
      <c r="S823" s="160"/>
      <c r="T823" s="207"/>
      <c r="U823" s="160"/>
      <c r="V823" s="160"/>
      <c r="W823" s="160"/>
      <c r="X823" s="160"/>
      <c r="Y823" s="160"/>
      <c r="Z823" s="160"/>
      <c r="AA823" s="160"/>
      <c r="AB823" s="160"/>
      <c r="AC823" s="160"/>
      <c r="AD823" s="160"/>
      <c r="AE823" s="160"/>
      <c r="AF823" s="160"/>
      <c r="AG823" s="160"/>
      <c r="AH823" s="160"/>
      <c r="AI823" s="160"/>
      <c r="AJ823" s="160"/>
      <c r="AK823" s="160"/>
      <c r="AL823" s="160"/>
      <c r="AM823" s="160"/>
      <c r="AN823" s="164"/>
      <c r="AO823" s="160"/>
      <c r="AP823" s="160"/>
      <c r="AQ823" s="160"/>
      <c r="AR823" s="160"/>
      <c r="AS823" s="160"/>
      <c r="AT823" s="160"/>
      <c r="AU823" s="160"/>
      <c r="AV823" s="160"/>
      <c r="AW823" s="160"/>
      <c r="AX823" s="160"/>
      <c r="AY823" s="160"/>
      <c r="AZ823" s="160"/>
      <c r="BA823" s="160"/>
      <c r="BB823" s="160"/>
      <c r="BC823" s="160"/>
      <c r="BD823" s="160"/>
      <c r="BE823" s="160"/>
      <c r="BF823" s="160"/>
      <c r="BG823" s="160"/>
      <c r="BH823" s="160"/>
      <c r="BI823" s="160"/>
      <c r="BJ823" s="160"/>
      <c r="BK823" s="160"/>
      <c r="BL823" s="160"/>
      <c r="BM823" s="160"/>
      <c r="BN823" s="160"/>
      <c r="BO823" s="160"/>
      <c r="BP823" s="160"/>
      <c r="BQ823" s="160"/>
      <c r="BR823" s="160"/>
      <c r="BS823" s="160"/>
      <c r="BT823" s="160"/>
      <c r="BU823" s="160"/>
      <c r="BV823" s="160"/>
      <c r="BW823" s="160"/>
      <c r="BX823" s="160"/>
      <c r="BY823" s="160"/>
      <c r="BZ823" s="160"/>
      <c r="CA823" s="160"/>
      <c r="CB823" s="160"/>
      <c r="CC823" s="160"/>
      <c r="CD823" s="160"/>
      <c r="CE823" s="160"/>
      <c r="CF823" s="160"/>
      <c r="CG823" s="160"/>
      <c r="CH823" s="160"/>
      <c r="CI823" s="160"/>
      <c r="CJ823" s="160"/>
      <c r="CK823" s="160"/>
      <c r="CL823" s="160"/>
    </row>
    <row r="824">
      <c r="A824" s="171"/>
      <c r="F824" s="11"/>
      <c r="G824" s="11"/>
      <c r="L824" s="171"/>
      <c r="M824" s="171"/>
      <c r="O824" s="160"/>
      <c r="P824" s="160"/>
      <c r="Q824" s="160"/>
      <c r="R824" s="160"/>
      <c r="S824" s="160"/>
      <c r="T824" s="207"/>
      <c r="U824" s="160"/>
      <c r="V824" s="160"/>
      <c r="W824" s="160"/>
      <c r="X824" s="160"/>
      <c r="Y824" s="160"/>
      <c r="Z824" s="160"/>
      <c r="AA824" s="160"/>
      <c r="AB824" s="160"/>
      <c r="AC824" s="160"/>
      <c r="AD824" s="160"/>
      <c r="AE824" s="160"/>
      <c r="AF824" s="160"/>
      <c r="AG824" s="160"/>
      <c r="AH824" s="160"/>
      <c r="AI824" s="160"/>
      <c r="AJ824" s="160"/>
      <c r="AK824" s="160"/>
      <c r="AL824" s="160"/>
      <c r="AM824" s="160"/>
      <c r="AN824" s="164"/>
      <c r="AO824" s="160"/>
      <c r="AP824" s="160"/>
      <c r="AQ824" s="160"/>
      <c r="AR824" s="160"/>
      <c r="AS824" s="160"/>
      <c r="AT824" s="160"/>
      <c r="AU824" s="160"/>
      <c r="AV824" s="160"/>
      <c r="AW824" s="160"/>
      <c r="AX824" s="160"/>
      <c r="AY824" s="160"/>
      <c r="AZ824" s="160"/>
      <c r="BA824" s="160"/>
      <c r="BB824" s="160"/>
      <c r="BC824" s="160"/>
      <c r="BD824" s="160"/>
      <c r="BE824" s="160"/>
      <c r="BF824" s="160"/>
      <c r="BG824" s="160"/>
      <c r="BH824" s="160"/>
      <c r="BI824" s="160"/>
      <c r="BJ824" s="160"/>
      <c r="BK824" s="160"/>
      <c r="BL824" s="160"/>
      <c r="BM824" s="160"/>
      <c r="BN824" s="160"/>
      <c r="BO824" s="160"/>
      <c r="BP824" s="160"/>
      <c r="BQ824" s="160"/>
      <c r="BR824" s="160"/>
      <c r="BS824" s="160"/>
      <c r="BT824" s="160"/>
      <c r="BU824" s="160"/>
      <c r="BV824" s="160"/>
      <c r="BW824" s="160"/>
      <c r="BX824" s="160"/>
      <c r="BY824" s="160"/>
      <c r="BZ824" s="160"/>
      <c r="CA824" s="160"/>
      <c r="CB824" s="160"/>
      <c r="CC824" s="160"/>
      <c r="CD824" s="160"/>
      <c r="CE824" s="160"/>
      <c r="CF824" s="160"/>
      <c r="CG824" s="160"/>
      <c r="CH824" s="160"/>
      <c r="CI824" s="160"/>
      <c r="CJ824" s="160"/>
      <c r="CK824" s="160"/>
      <c r="CL824" s="160"/>
    </row>
    <row r="825">
      <c r="A825" s="171"/>
      <c r="F825" s="11"/>
      <c r="G825" s="11"/>
      <c r="L825" s="171"/>
      <c r="M825" s="171"/>
      <c r="O825" s="160"/>
      <c r="P825" s="160"/>
      <c r="Q825" s="160"/>
      <c r="R825" s="160"/>
      <c r="S825" s="160"/>
      <c r="T825" s="207"/>
      <c r="U825" s="160"/>
      <c r="V825" s="160"/>
      <c r="W825" s="160"/>
      <c r="X825" s="160"/>
      <c r="Y825" s="160"/>
      <c r="Z825" s="160"/>
      <c r="AA825" s="160"/>
      <c r="AB825" s="160"/>
      <c r="AC825" s="160"/>
      <c r="AD825" s="160"/>
      <c r="AE825" s="160"/>
      <c r="AF825" s="160"/>
      <c r="AG825" s="160"/>
      <c r="AH825" s="160"/>
      <c r="AI825" s="160"/>
      <c r="AJ825" s="160"/>
      <c r="AK825" s="160"/>
      <c r="AL825" s="160"/>
      <c r="AM825" s="160"/>
      <c r="AN825" s="164"/>
      <c r="AO825" s="160"/>
      <c r="AP825" s="160"/>
      <c r="AQ825" s="160"/>
      <c r="AR825" s="160"/>
      <c r="AS825" s="160"/>
      <c r="AT825" s="160"/>
      <c r="AU825" s="160"/>
      <c r="AV825" s="160"/>
      <c r="AW825" s="160"/>
      <c r="AX825" s="160"/>
      <c r="AY825" s="160"/>
      <c r="AZ825" s="160"/>
      <c r="BA825" s="160"/>
      <c r="BB825" s="160"/>
      <c r="BC825" s="160"/>
      <c r="BD825" s="160"/>
      <c r="BE825" s="160"/>
      <c r="BF825" s="160"/>
      <c r="BG825" s="160"/>
      <c r="BH825" s="160"/>
      <c r="BI825" s="160"/>
      <c r="BJ825" s="160"/>
      <c r="BK825" s="160"/>
      <c r="BL825" s="160"/>
      <c r="BM825" s="160"/>
      <c r="BN825" s="160"/>
      <c r="BO825" s="160"/>
      <c r="BP825" s="160"/>
      <c r="BQ825" s="160"/>
      <c r="BR825" s="160"/>
      <c r="BS825" s="160"/>
      <c r="BT825" s="160"/>
      <c r="BU825" s="160"/>
      <c r="BV825" s="160"/>
      <c r="BW825" s="160"/>
      <c r="BX825" s="160"/>
      <c r="BY825" s="160"/>
      <c r="BZ825" s="160"/>
      <c r="CA825" s="160"/>
      <c r="CB825" s="160"/>
      <c r="CC825" s="160"/>
      <c r="CD825" s="160"/>
      <c r="CE825" s="160"/>
      <c r="CF825" s="160"/>
      <c r="CG825" s="160"/>
      <c r="CH825" s="160"/>
      <c r="CI825" s="160"/>
      <c r="CJ825" s="160"/>
      <c r="CK825" s="160"/>
      <c r="CL825" s="160"/>
    </row>
    <row r="826">
      <c r="A826" s="171"/>
      <c r="F826" s="11"/>
      <c r="G826" s="11"/>
      <c r="L826" s="171"/>
      <c r="M826" s="171"/>
      <c r="O826" s="160"/>
      <c r="P826" s="160"/>
      <c r="Q826" s="160"/>
      <c r="R826" s="160"/>
      <c r="S826" s="160"/>
      <c r="T826" s="207"/>
      <c r="U826" s="160"/>
      <c r="V826" s="160"/>
      <c r="W826" s="160"/>
      <c r="X826" s="160"/>
      <c r="Y826" s="160"/>
      <c r="Z826" s="160"/>
      <c r="AA826" s="160"/>
      <c r="AB826" s="160"/>
      <c r="AC826" s="160"/>
      <c r="AD826" s="160"/>
      <c r="AE826" s="160"/>
      <c r="AF826" s="160"/>
      <c r="AG826" s="160"/>
      <c r="AH826" s="160"/>
      <c r="AI826" s="160"/>
      <c r="AJ826" s="160"/>
      <c r="AK826" s="160"/>
      <c r="AL826" s="160"/>
      <c r="AM826" s="160"/>
      <c r="AN826" s="164"/>
      <c r="AO826" s="160"/>
      <c r="AP826" s="160"/>
      <c r="AQ826" s="160"/>
      <c r="AR826" s="160"/>
      <c r="AS826" s="160"/>
      <c r="AT826" s="160"/>
      <c r="AU826" s="160"/>
      <c r="AV826" s="160"/>
      <c r="AW826" s="160"/>
      <c r="AX826" s="160"/>
      <c r="AY826" s="160"/>
      <c r="AZ826" s="160"/>
      <c r="BA826" s="160"/>
      <c r="BB826" s="160"/>
      <c r="BC826" s="160"/>
      <c r="BD826" s="160"/>
      <c r="BE826" s="160"/>
      <c r="BF826" s="160"/>
      <c r="BG826" s="160"/>
      <c r="BH826" s="160"/>
      <c r="BI826" s="160"/>
      <c r="BJ826" s="160"/>
      <c r="BK826" s="160"/>
      <c r="BL826" s="160"/>
      <c r="BM826" s="160"/>
      <c r="BN826" s="160"/>
      <c r="BO826" s="160"/>
      <c r="BP826" s="160"/>
      <c r="BQ826" s="160"/>
      <c r="BR826" s="160"/>
      <c r="BS826" s="160"/>
      <c r="BT826" s="160"/>
      <c r="BU826" s="160"/>
      <c r="BV826" s="160"/>
      <c r="BW826" s="160"/>
      <c r="BX826" s="160"/>
      <c r="BY826" s="160"/>
      <c r="BZ826" s="160"/>
      <c r="CA826" s="160"/>
      <c r="CB826" s="160"/>
      <c r="CC826" s="160"/>
      <c r="CD826" s="160"/>
      <c r="CE826" s="160"/>
      <c r="CF826" s="160"/>
      <c r="CG826" s="160"/>
      <c r="CH826" s="160"/>
      <c r="CI826" s="160"/>
      <c r="CJ826" s="160"/>
      <c r="CK826" s="160"/>
      <c r="CL826" s="160"/>
    </row>
    <row r="827">
      <c r="A827" s="171"/>
      <c r="F827" s="11"/>
      <c r="G827" s="11"/>
      <c r="L827" s="171"/>
      <c r="M827" s="171"/>
      <c r="O827" s="160"/>
      <c r="P827" s="160"/>
      <c r="Q827" s="160"/>
      <c r="R827" s="160"/>
      <c r="S827" s="160"/>
      <c r="T827" s="207"/>
      <c r="U827" s="160"/>
      <c r="V827" s="160"/>
      <c r="W827" s="160"/>
      <c r="X827" s="160"/>
      <c r="Y827" s="160"/>
      <c r="Z827" s="160"/>
      <c r="AA827" s="160"/>
      <c r="AB827" s="160"/>
      <c r="AC827" s="160"/>
      <c r="AD827" s="160"/>
      <c r="AE827" s="160"/>
      <c r="AF827" s="160"/>
      <c r="AG827" s="160"/>
      <c r="AH827" s="160"/>
      <c r="AI827" s="160"/>
      <c r="AJ827" s="160"/>
      <c r="AK827" s="160"/>
      <c r="AL827" s="160"/>
      <c r="AM827" s="160"/>
      <c r="AN827" s="164"/>
      <c r="AO827" s="160"/>
      <c r="AP827" s="160"/>
      <c r="AQ827" s="160"/>
      <c r="AR827" s="160"/>
      <c r="AS827" s="160"/>
      <c r="AT827" s="160"/>
      <c r="AU827" s="160"/>
      <c r="AV827" s="160"/>
      <c r="AW827" s="160"/>
      <c r="AX827" s="160"/>
      <c r="AY827" s="160"/>
      <c r="AZ827" s="160"/>
      <c r="BA827" s="160"/>
      <c r="BB827" s="160"/>
      <c r="BC827" s="160"/>
      <c r="BD827" s="160"/>
      <c r="BE827" s="160"/>
      <c r="BF827" s="160"/>
      <c r="BG827" s="160"/>
      <c r="BH827" s="160"/>
      <c r="BI827" s="160"/>
      <c r="BJ827" s="160"/>
      <c r="BK827" s="160"/>
      <c r="BL827" s="160"/>
      <c r="BM827" s="160"/>
      <c r="BN827" s="160"/>
      <c r="BO827" s="160"/>
      <c r="BP827" s="160"/>
      <c r="BQ827" s="160"/>
      <c r="BR827" s="160"/>
      <c r="BS827" s="160"/>
      <c r="BT827" s="160"/>
      <c r="BU827" s="160"/>
      <c r="BV827" s="160"/>
      <c r="BW827" s="160"/>
      <c r="BX827" s="160"/>
      <c r="BY827" s="160"/>
      <c r="BZ827" s="160"/>
      <c r="CA827" s="160"/>
      <c r="CB827" s="160"/>
      <c r="CC827" s="160"/>
      <c r="CD827" s="160"/>
      <c r="CE827" s="160"/>
      <c r="CF827" s="160"/>
      <c r="CG827" s="160"/>
      <c r="CH827" s="160"/>
      <c r="CI827" s="160"/>
      <c r="CJ827" s="160"/>
      <c r="CK827" s="160"/>
      <c r="CL827" s="160"/>
    </row>
    <row r="828">
      <c r="A828" s="171"/>
      <c r="F828" s="11"/>
      <c r="G828" s="11"/>
      <c r="L828" s="171"/>
      <c r="M828" s="171"/>
      <c r="O828" s="160"/>
      <c r="P828" s="160"/>
      <c r="Q828" s="160"/>
      <c r="R828" s="160"/>
      <c r="S828" s="160"/>
      <c r="T828" s="207"/>
      <c r="U828" s="160"/>
      <c r="V828" s="160"/>
      <c r="W828" s="160"/>
      <c r="X828" s="160"/>
      <c r="Y828" s="160"/>
      <c r="Z828" s="160"/>
      <c r="AA828" s="160"/>
      <c r="AB828" s="160"/>
      <c r="AC828" s="160"/>
      <c r="AD828" s="160"/>
      <c r="AE828" s="160"/>
      <c r="AF828" s="160"/>
      <c r="AG828" s="160"/>
      <c r="AH828" s="160"/>
      <c r="AI828" s="160"/>
      <c r="AJ828" s="160"/>
      <c r="AK828" s="160"/>
      <c r="AL828" s="160"/>
      <c r="AM828" s="160"/>
      <c r="AN828" s="164"/>
      <c r="AO828" s="160"/>
      <c r="AP828" s="160"/>
      <c r="AQ828" s="160"/>
      <c r="AR828" s="160"/>
      <c r="AS828" s="160"/>
      <c r="AT828" s="160"/>
      <c r="AU828" s="160"/>
      <c r="AV828" s="160"/>
      <c r="AW828" s="160"/>
      <c r="AX828" s="160"/>
      <c r="AY828" s="160"/>
      <c r="AZ828" s="160"/>
      <c r="BA828" s="160"/>
      <c r="BB828" s="160"/>
      <c r="BC828" s="160"/>
      <c r="BD828" s="160"/>
      <c r="BE828" s="160"/>
      <c r="BF828" s="160"/>
      <c r="BG828" s="160"/>
      <c r="BH828" s="160"/>
      <c r="BI828" s="160"/>
      <c r="BJ828" s="160"/>
      <c r="BK828" s="160"/>
      <c r="BL828" s="160"/>
      <c r="BM828" s="160"/>
      <c r="BN828" s="160"/>
      <c r="BO828" s="160"/>
      <c r="BP828" s="160"/>
      <c r="BQ828" s="160"/>
      <c r="BR828" s="160"/>
      <c r="BS828" s="160"/>
      <c r="BT828" s="160"/>
      <c r="BU828" s="160"/>
      <c r="BV828" s="160"/>
      <c r="BW828" s="160"/>
      <c r="BX828" s="160"/>
      <c r="BY828" s="160"/>
      <c r="BZ828" s="160"/>
      <c r="CA828" s="160"/>
      <c r="CB828" s="160"/>
      <c r="CC828" s="160"/>
      <c r="CD828" s="160"/>
      <c r="CE828" s="160"/>
      <c r="CF828" s="160"/>
      <c r="CG828" s="160"/>
      <c r="CH828" s="160"/>
      <c r="CI828" s="160"/>
      <c r="CJ828" s="160"/>
      <c r="CK828" s="160"/>
      <c r="CL828" s="160"/>
    </row>
    <row r="829">
      <c r="A829" s="171"/>
      <c r="F829" s="11"/>
      <c r="G829" s="11"/>
      <c r="L829" s="171"/>
      <c r="M829" s="171"/>
      <c r="O829" s="160"/>
      <c r="P829" s="160"/>
      <c r="Q829" s="160"/>
      <c r="R829" s="160"/>
      <c r="S829" s="160"/>
      <c r="T829" s="207"/>
      <c r="U829" s="160"/>
      <c r="V829" s="160"/>
      <c r="W829" s="160"/>
      <c r="X829" s="160"/>
      <c r="Y829" s="160"/>
      <c r="Z829" s="160"/>
      <c r="AA829" s="160"/>
      <c r="AB829" s="160"/>
      <c r="AC829" s="160"/>
      <c r="AD829" s="160"/>
      <c r="AE829" s="160"/>
      <c r="AF829" s="160"/>
      <c r="AG829" s="160"/>
      <c r="AH829" s="160"/>
      <c r="AI829" s="160"/>
      <c r="AJ829" s="160"/>
      <c r="AK829" s="160"/>
      <c r="AL829" s="160"/>
      <c r="AM829" s="160"/>
      <c r="AN829" s="164"/>
      <c r="AO829" s="160"/>
      <c r="AP829" s="160"/>
      <c r="AQ829" s="160"/>
      <c r="AR829" s="160"/>
      <c r="AS829" s="160"/>
      <c r="AT829" s="160"/>
      <c r="AU829" s="160"/>
      <c r="AV829" s="160"/>
      <c r="AW829" s="160"/>
      <c r="AX829" s="160"/>
      <c r="AY829" s="160"/>
      <c r="AZ829" s="160"/>
      <c r="BA829" s="160"/>
      <c r="BB829" s="160"/>
      <c r="BC829" s="160"/>
      <c r="BD829" s="160"/>
      <c r="BE829" s="160"/>
      <c r="BF829" s="160"/>
      <c r="BG829" s="160"/>
      <c r="BH829" s="160"/>
      <c r="BI829" s="160"/>
      <c r="BJ829" s="160"/>
      <c r="BK829" s="160"/>
      <c r="BL829" s="160"/>
      <c r="BM829" s="160"/>
      <c r="BN829" s="160"/>
      <c r="BO829" s="160"/>
      <c r="BP829" s="160"/>
      <c r="BQ829" s="160"/>
      <c r="BR829" s="160"/>
      <c r="BS829" s="160"/>
      <c r="BT829" s="160"/>
      <c r="BU829" s="160"/>
      <c r="BV829" s="160"/>
      <c r="BW829" s="160"/>
      <c r="BX829" s="160"/>
      <c r="BY829" s="160"/>
      <c r="BZ829" s="160"/>
      <c r="CA829" s="160"/>
      <c r="CB829" s="160"/>
      <c r="CC829" s="160"/>
      <c r="CD829" s="160"/>
      <c r="CE829" s="160"/>
      <c r="CF829" s="160"/>
      <c r="CG829" s="160"/>
      <c r="CH829" s="160"/>
      <c r="CI829" s="160"/>
      <c r="CJ829" s="160"/>
      <c r="CK829" s="160"/>
      <c r="CL829" s="160"/>
    </row>
    <row r="830">
      <c r="A830" s="171"/>
      <c r="F830" s="11"/>
      <c r="G830" s="11"/>
      <c r="L830" s="171"/>
      <c r="M830" s="171"/>
      <c r="O830" s="160"/>
      <c r="P830" s="160"/>
      <c r="Q830" s="160"/>
      <c r="R830" s="160"/>
      <c r="S830" s="160"/>
      <c r="T830" s="207"/>
      <c r="U830" s="160"/>
      <c r="V830" s="160"/>
      <c r="W830" s="160"/>
      <c r="X830" s="160"/>
      <c r="Y830" s="160"/>
      <c r="Z830" s="160"/>
      <c r="AA830" s="160"/>
      <c r="AB830" s="160"/>
      <c r="AC830" s="160"/>
      <c r="AD830" s="160"/>
      <c r="AE830" s="160"/>
      <c r="AF830" s="160"/>
      <c r="AG830" s="160"/>
      <c r="AH830" s="160"/>
      <c r="AI830" s="160"/>
      <c r="AJ830" s="160"/>
      <c r="AK830" s="160"/>
      <c r="AL830" s="160"/>
      <c r="AM830" s="160"/>
      <c r="AN830" s="164"/>
      <c r="AO830" s="160"/>
      <c r="AP830" s="160"/>
      <c r="AQ830" s="160"/>
      <c r="AR830" s="160"/>
      <c r="AS830" s="160"/>
      <c r="AT830" s="160"/>
      <c r="AU830" s="160"/>
      <c r="AV830" s="160"/>
      <c r="AW830" s="160"/>
      <c r="AX830" s="160"/>
      <c r="AY830" s="160"/>
      <c r="AZ830" s="160"/>
      <c r="BA830" s="160"/>
      <c r="BB830" s="160"/>
      <c r="BC830" s="160"/>
      <c r="BD830" s="160"/>
      <c r="BE830" s="160"/>
      <c r="BF830" s="160"/>
      <c r="BG830" s="160"/>
      <c r="BH830" s="160"/>
      <c r="BI830" s="160"/>
      <c r="BJ830" s="160"/>
      <c r="BK830" s="160"/>
      <c r="BL830" s="160"/>
      <c r="BM830" s="160"/>
      <c r="BN830" s="160"/>
      <c r="BO830" s="160"/>
      <c r="BP830" s="160"/>
      <c r="BQ830" s="160"/>
      <c r="BR830" s="160"/>
      <c r="BS830" s="160"/>
      <c r="BT830" s="160"/>
      <c r="BU830" s="160"/>
      <c r="BV830" s="160"/>
      <c r="BW830" s="160"/>
      <c r="BX830" s="160"/>
      <c r="BY830" s="160"/>
      <c r="BZ830" s="160"/>
      <c r="CA830" s="160"/>
      <c r="CB830" s="160"/>
      <c r="CC830" s="160"/>
      <c r="CD830" s="160"/>
      <c r="CE830" s="160"/>
      <c r="CF830" s="160"/>
      <c r="CG830" s="160"/>
      <c r="CH830" s="160"/>
      <c r="CI830" s="160"/>
      <c r="CJ830" s="160"/>
      <c r="CK830" s="160"/>
      <c r="CL830" s="160"/>
    </row>
    <row r="831">
      <c r="A831" s="171"/>
      <c r="F831" s="11"/>
      <c r="G831" s="11"/>
      <c r="L831" s="171"/>
      <c r="M831" s="171"/>
      <c r="O831" s="160"/>
      <c r="P831" s="160"/>
      <c r="Q831" s="160"/>
      <c r="R831" s="160"/>
      <c r="S831" s="160"/>
      <c r="T831" s="207"/>
      <c r="U831" s="160"/>
      <c r="V831" s="160"/>
      <c r="W831" s="160"/>
      <c r="X831" s="160"/>
      <c r="Y831" s="160"/>
      <c r="Z831" s="160"/>
      <c r="AA831" s="160"/>
      <c r="AB831" s="160"/>
      <c r="AC831" s="160"/>
      <c r="AD831" s="160"/>
      <c r="AE831" s="160"/>
      <c r="AF831" s="160"/>
      <c r="AG831" s="160"/>
      <c r="AH831" s="160"/>
      <c r="AI831" s="160"/>
      <c r="AJ831" s="160"/>
      <c r="AK831" s="160"/>
      <c r="AL831" s="160"/>
      <c r="AM831" s="160"/>
      <c r="AN831" s="164"/>
      <c r="AO831" s="160"/>
      <c r="AP831" s="160"/>
      <c r="AQ831" s="160"/>
      <c r="AR831" s="160"/>
      <c r="AS831" s="160"/>
      <c r="AT831" s="160"/>
      <c r="AU831" s="160"/>
      <c r="AV831" s="160"/>
      <c r="AW831" s="160"/>
      <c r="AX831" s="160"/>
      <c r="AY831" s="160"/>
      <c r="AZ831" s="160"/>
      <c r="BA831" s="160"/>
      <c r="BB831" s="160"/>
      <c r="BC831" s="160"/>
      <c r="BD831" s="160"/>
      <c r="BE831" s="160"/>
      <c r="BF831" s="160"/>
      <c r="BG831" s="160"/>
      <c r="BH831" s="160"/>
      <c r="BI831" s="160"/>
      <c r="BJ831" s="160"/>
      <c r="BK831" s="160"/>
      <c r="BL831" s="160"/>
      <c r="BM831" s="160"/>
      <c r="BN831" s="160"/>
      <c r="BO831" s="160"/>
      <c r="BP831" s="160"/>
      <c r="BQ831" s="160"/>
      <c r="BR831" s="160"/>
      <c r="BS831" s="160"/>
      <c r="BT831" s="160"/>
      <c r="BU831" s="160"/>
      <c r="BV831" s="160"/>
      <c r="BW831" s="160"/>
      <c r="BX831" s="160"/>
      <c r="BY831" s="160"/>
      <c r="BZ831" s="160"/>
      <c r="CA831" s="160"/>
      <c r="CB831" s="160"/>
      <c r="CC831" s="160"/>
      <c r="CD831" s="160"/>
      <c r="CE831" s="160"/>
      <c r="CF831" s="160"/>
      <c r="CG831" s="160"/>
      <c r="CH831" s="160"/>
      <c r="CI831" s="160"/>
      <c r="CJ831" s="160"/>
      <c r="CK831" s="160"/>
      <c r="CL831" s="160"/>
    </row>
    <row r="832">
      <c r="A832" s="171"/>
      <c r="F832" s="11"/>
      <c r="G832" s="11"/>
      <c r="L832" s="171"/>
      <c r="M832" s="171"/>
      <c r="O832" s="160"/>
      <c r="P832" s="160"/>
      <c r="Q832" s="160"/>
      <c r="R832" s="160"/>
      <c r="S832" s="160"/>
      <c r="T832" s="207"/>
      <c r="U832" s="160"/>
      <c r="V832" s="160"/>
      <c r="W832" s="160"/>
      <c r="X832" s="160"/>
      <c r="Y832" s="160"/>
      <c r="Z832" s="160"/>
      <c r="AA832" s="160"/>
      <c r="AB832" s="160"/>
      <c r="AC832" s="160"/>
      <c r="AD832" s="160"/>
      <c r="AE832" s="160"/>
      <c r="AF832" s="160"/>
      <c r="AG832" s="160"/>
      <c r="AH832" s="160"/>
      <c r="AI832" s="160"/>
      <c r="AJ832" s="160"/>
      <c r="AK832" s="160"/>
      <c r="AL832" s="160"/>
      <c r="AM832" s="160"/>
      <c r="AN832" s="164"/>
      <c r="AO832" s="160"/>
      <c r="AP832" s="160"/>
      <c r="AQ832" s="160"/>
      <c r="AR832" s="160"/>
      <c r="AS832" s="160"/>
      <c r="AT832" s="160"/>
      <c r="AU832" s="160"/>
      <c r="AV832" s="160"/>
      <c r="AW832" s="160"/>
      <c r="AX832" s="160"/>
      <c r="AY832" s="160"/>
      <c r="AZ832" s="160"/>
      <c r="BA832" s="160"/>
      <c r="BB832" s="160"/>
      <c r="BC832" s="160"/>
      <c r="BD832" s="160"/>
      <c r="BE832" s="160"/>
      <c r="BF832" s="160"/>
      <c r="BG832" s="160"/>
      <c r="BH832" s="160"/>
      <c r="BI832" s="160"/>
      <c r="BJ832" s="160"/>
      <c r="BK832" s="160"/>
      <c r="BL832" s="160"/>
      <c r="BM832" s="160"/>
      <c r="BN832" s="160"/>
      <c r="BO832" s="160"/>
      <c r="BP832" s="160"/>
      <c r="BQ832" s="160"/>
      <c r="BR832" s="160"/>
      <c r="BS832" s="160"/>
      <c r="BT832" s="160"/>
      <c r="BU832" s="160"/>
      <c r="BV832" s="160"/>
      <c r="BW832" s="160"/>
      <c r="BX832" s="160"/>
      <c r="BY832" s="160"/>
      <c r="BZ832" s="160"/>
      <c r="CA832" s="160"/>
      <c r="CB832" s="160"/>
      <c r="CC832" s="160"/>
      <c r="CD832" s="160"/>
      <c r="CE832" s="160"/>
      <c r="CF832" s="160"/>
      <c r="CG832" s="160"/>
      <c r="CH832" s="160"/>
      <c r="CI832" s="160"/>
      <c r="CJ832" s="160"/>
      <c r="CK832" s="160"/>
      <c r="CL832" s="160"/>
    </row>
    <row r="833">
      <c r="A833" s="171"/>
      <c r="F833" s="11"/>
      <c r="G833" s="11"/>
      <c r="L833" s="171"/>
      <c r="M833" s="171"/>
      <c r="O833" s="160"/>
      <c r="P833" s="160"/>
      <c r="Q833" s="160"/>
      <c r="R833" s="160"/>
      <c r="S833" s="160"/>
      <c r="T833" s="207"/>
      <c r="U833" s="160"/>
      <c r="V833" s="160"/>
      <c r="W833" s="160"/>
      <c r="X833" s="160"/>
      <c r="Y833" s="160"/>
      <c r="Z833" s="160"/>
      <c r="AA833" s="160"/>
      <c r="AB833" s="160"/>
      <c r="AC833" s="160"/>
      <c r="AD833" s="160"/>
      <c r="AE833" s="160"/>
      <c r="AF833" s="160"/>
      <c r="AG833" s="160"/>
      <c r="AH833" s="160"/>
      <c r="AI833" s="160"/>
      <c r="AJ833" s="160"/>
      <c r="AK833" s="160"/>
      <c r="AL833" s="160"/>
      <c r="AM833" s="160"/>
      <c r="AN833" s="164"/>
      <c r="AO833" s="160"/>
      <c r="AP833" s="160"/>
      <c r="AQ833" s="160"/>
      <c r="AR833" s="160"/>
      <c r="AS833" s="160"/>
      <c r="AT833" s="160"/>
      <c r="AU833" s="160"/>
      <c r="AV833" s="160"/>
      <c r="AW833" s="160"/>
      <c r="AX833" s="160"/>
      <c r="AY833" s="160"/>
      <c r="AZ833" s="160"/>
      <c r="BA833" s="160"/>
      <c r="BB833" s="160"/>
      <c r="BC833" s="160"/>
      <c r="BD833" s="160"/>
      <c r="BE833" s="160"/>
      <c r="BF833" s="160"/>
      <c r="BG833" s="160"/>
      <c r="BH833" s="160"/>
      <c r="BI833" s="160"/>
      <c r="BJ833" s="160"/>
      <c r="BK833" s="160"/>
      <c r="BL833" s="160"/>
      <c r="BM833" s="160"/>
      <c r="BN833" s="160"/>
      <c r="BO833" s="160"/>
      <c r="BP833" s="160"/>
      <c r="BQ833" s="160"/>
      <c r="BR833" s="160"/>
      <c r="BS833" s="160"/>
      <c r="BT833" s="160"/>
      <c r="BU833" s="160"/>
      <c r="BV833" s="160"/>
      <c r="BW833" s="160"/>
      <c r="BX833" s="160"/>
      <c r="BY833" s="160"/>
      <c r="BZ833" s="160"/>
      <c r="CA833" s="160"/>
      <c r="CB833" s="160"/>
      <c r="CC833" s="160"/>
      <c r="CD833" s="160"/>
      <c r="CE833" s="160"/>
      <c r="CF833" s="160"/>
      <c r="CG833" s="160"/>
      <c r="CH833" s="160"/>
      <c r="CI833" s="160"/>
      <c r="CJ833" s="160"/>
      <c r="CK833" s="160"/>
      <c r="CL833" s="160"/>
    </row>
    <row r="834">
      <c r="A834" s="171"/>
      <c r="F834" s="11"/>
      <c r="G834" s="11"/>
      <c r="L834" s="171"/>
      <c r="M834" s="171"/>
      <c r="O834" s="160"/>
      <c r="P834" s="160"/>
      <c r="Q834" s="160"/>
      <c r="R834" s="160"/>
      <c r="S834" s="160"/>
      <c r="T834" s="207"/>
      <c r="U834" s="160"/>
      <c r="V834" s="160"/>
      <c r="W834" s="160"/>
      <c r="X834" s="160"/>
      <c r="Y834" s="160"/>
      <c r="Z834" s="160"/>
      <c r="AA834" s="160"/>
      <c r="AB834" s="160"/>
      <c r="AC834" s="160"/>
      <c r="AD834" s="160"/>
      <c r="AE834" s="160"/>
      <c r="AF834" s="160"/>
      <c r="AG834" s="160"/>
      <c r="AH834" s="160"/>
      <c r="AI834" s="160"/>
      <c r="AJ834" s="160"/>
      <c r="AK834" s="160"/>
      <c r="AL834" s="160"/>
      <c r="AM834" s="160"/>
      <c r="AN834" s="164"/>
      <c r="AO834" s="160"/>
      <c r="AP834" s="160"/>
      <c r="AQ834" s="160"/>
      <c r="AR834" s="160"/>
      <c r="AS834" s="160"/>
      <c r="AT834" s="160"/>
      <c r="AU834" s="160"/>
      <c r="AV834" s="160"/>
      <c r="AW834" s="160"/>
      <c r="AX834" s="160"/>
      <c r="AY834" s="160"/>
      <c r="AZ834" s="160"/>
      <c r="BA834" s="160"/>
      <c r="BB834" s="160"/>
      <c r="BC834" s="160"/>
      <c r="BD834" s="160"/>
      <c r="BE834" s="160"/>
      <c r="BF834" s="160"/>
      <c r="BG834" s="160"/>
      <c r="BH834" s="160"/>
      <c r="BI834" s="160"/>
      <c r="BJ834" s="160"/>
      <c r="BK834" s="160"/>
      <c r="BL834" s="160"/>
      <c r="BM834" s="160"/>
      <c r="BN834" s="160"/>
      <c r="BO834" s="160"/>
      <c r="BP834" s="160"/>
      <c r="BQ834" s="160"/>
      <c r="BR834" s="160"/>
      <c r="BS834" s="160"/>
      <c r="BT834" s="160"/>
      <c r="BU834" s="160"/>
      <c r="BV834" s="160"/>
      <c r="BW834" s="160"/>
      <c r="BX834" s="160"/>
      <c r="BY834" s="160"/>
      <c r="BZ834" s="160"/>
      <c r="CA834" s="160"/>
      <c r="CB834" s="160"/>
      <c r="CC834" s="160"/>
      <c r="CD834" s="160"/>
      <c r="CE834" s="160"/>
      <c r="CF834" s="160"/>
      <c r="CG834" s="160"/>
      <c r="CH834" s="160"/>
      <c r="CI834" s="160"/>
      <c r="CJ834" s="160"/>
      <c r="CK834" s="160"/>
      <c r="CL834" s="160"/>
    </row>
    <row r="835">
      <c r="A835" s="171"/>
      <c r="F835" s="11"/>
      <c r="G835" s="11"/>
      <c r="L835" s="171"/>
      <c r="M835" s="171"/>
      <c r="O835" s="160"/>
      <c r="P835" s="160"/>
      <c r="Q835" s="160"/>
      <c r="R835" s="160"/>
      <c r="S835" s="160"/>
      <c r="T835" s="207"/>
      <c r="U835" s="160"/>
      <c r="V835" s="160"/>
      <c r="W835" s="160"/>
      <c r="X835" s="160"/>
      <c r="Y835" s="160"/>
      <c r="Z835" s="160"/>
      <c r="AA835" s="160"/>
      <c r="AB835" s="160"/>
      <c r="AC835" s="160"/>
      <c r="AD835" s="160"/>
      <c r="AE835" s="160"/>
      <c r="AF835" s="160"/>
      <c r="AG835" s="160"/>
      <c r="AH835" s="160"/>
      <c r="AI835" s="160"/>
      <c r="AJ835" s="160"/>
      <c r="AK835" s="160"/>
      <c r="AL835" s="160"/>
      <c r="AM835" s="160"/>
      <c r="AN835" s="164"/>
      <c r="AO835" s="160"/>
      <c r="AP835" s="160"/>
      <c r="AQ835" s="160"/>
      <c r="AR835" s="160"/>
      <c r="AS835" s="160"/>
      <c r="AT835" s="160"/>
      <c r="AU835" s="160"/>
      <c r="AV835" s="160"/>
      <c r="AW835" s="160"/>
      <c r="AX835" s="160"/>
      <c r="AY835" s="160"/>
      <c r="AZ835" s="160"/>
      <c r="BA835" s="160"/>
      <c r="BB835" s="160"/>
      <c r="BC835" s="160"/>
      <c r="BD835" s="160"/>
      <c r="BE835" s="160"/>
      <c r="BF835" s="160"/>
      <c r="BG835" s="160"/>
      <c r="BH835" s="160"/>
      <c r="BI835" s="160"/>
      <c r="BJ835" s="160"/>
      <c r="BK835" s="160"/>
      <c r="BL835" s="160"/>
      <c r="BM835" s="160"/>
      <c r="BN835" s="160"/>
      <c r="BO835" s="160"/>
      <c r="BP835" s="160"/>
      <c r="BQ835" s="160"/>
      <c r="BR835" s="160"/>
      <c r="BS835" s="160"/>
      <c r="BT835" s="160"/>
      <c r="BU835" s="160"/>
      <c r="BV835" s="160"/>
      <c r="BW835" s="160"/>
      <c r="BX835" s="160"/>
      <c r="BY835" s="160"/>
      <c r="BZ835" s="160"/>
      <c r="CA835" s="160"/>
      <c r="CB835" s="160"/>
      <c r="CC835" s="160"/>
      <c r="CD835" s="160"/>
      <c r="CE835" s="160"/>
      <c r="CF835" s="160"/>
      <c r="CG835" s="160"/>
      <c r="CH835" s="160"/>
      <c r="CI835" s="160"/>
      <c r="CJ835" s="160"/>
      <c r="CK835" s="160"/>
      <c r="CL835" s="160"/>
    </row>
    <row r="836">
      <c r="A836" s="171"/>
      <c r="F836" s="11"/>
      <c r="G836" s="11"/>
      <c r="L836" s="171"/>
      <c r="M836" s="171"/>
      <c r="O836" s="160"/>
      <c r="P836" s="160"/>
      <c r="Q836" s="160"/>
      <c r="R836" s="160"/>
      <c r="S836" s="160"/>
      <c r="T836" s="207"/>
      <c r="U836" s="160"/>
      <c r="V836" s="160"/>
      <c r="W836" s="160"/>
      <c r="X836" s="160"/>
      <c r="Y836" s="160"/>
      <c r="Z836" s="160"/>
      <c r="AA836" s="160"/>
      <c r="AB836" s="160"/>
      <c r="AC836" s="160"/>
      <c r="AD836" s="160"/>
      <c r="AE836" s="160"/>
      <c r="AF836" s="160"/>
      <c r="AG836" s="160"/>
      <c r="AH836" s="160"/>
      <c r="AI836" s="160"/>
      <c r="AJ836" s="160"/>
      <c r="AK836" s="160"/>
      <c r="AL836" s="160"/>
      <c r="AM836" s="160"/>
      <c r="AN836" s="164"/>
      <c r="AO836" s="160"/>
      <c r="AP836" s="160"/>
      <c r="AQ836" s="160"/>
      <c r="AR836" s="160"/>
      <c r="AS836" s="160"/>
      <c r="AT836" s="160"/>
      <c r="AU836" s="160"/>
      <c r="AV836" s="160"/>
      <c r="AW836" s="160"/>
      <c r="AX836" s="160"/>
      <c r="AY836" s="160"/>
      <c r="AZ836" s="160"/>
      <c r="BA836" s="160"/>
      <c r="BB836" s="160"/>
      <c r="BC836" s="160"/>
      <c r="BD836" s="160"/>
      <c r="BE836" s="160"/>
      <c r="BF836" s="160"/>
      <c r="BG836" s="160"/>
      <c r="BH836" s="160"/>
      <c r="BI836" s="160"/>
      <c r="BJ836" s="160"/>
      <c r="BK836" s="160"/>
      <c r="BL836" s="160"/>
      <c r="BM836" s="160"/>
      <c r="BN836" s="160"/>
      <c r="BO836" s="160"/>
      <c r="BP836" s="160"/>
      <c r="BQ836" s="160"/>
      <c r="BR836" s="160"/>
      <c r="BS836" s="160"/>
      <c r="BT836" s="160"/>
      <c r="BU836" s="160"/>
      <c r="BV836" s="160"/>
      <c r="BW836" s="160"/>
      <c r="BX836" s="160"/>
      <c r="BY836" s="160"/>
      <c r="BZ836" s="160"/>
      <c r="CA836" s="160"/>
      <c r="CB836" s="160"/>
      <c r="CC836" s="160"/>
      <c r="CD836" s="160"/>
      <c r="CE836" s="160"/>
      <c r="CF836" s="160"/>
      <c r="CG836" s="160"/>
      <c r="CH836" s="160"/>
      <c r="CI836" s="160"/>
      <c r="CJ836" s="160"/>
      <c r="CK836" s="160"/>
      <c r="CL836" s="160"/>
    </row>
    <row r="837">
      <c r="A837" s="171"/>
      <c r="F837" s="11"/>
      <c r="G837" s="11"/>
      <c r="L837" s="171"/>
      <c r="M837" s="171"/>
      <c r="O837" s="160"/>
      <c r="P837" s="160"/>
      <c r="Q837" s="160"/>
      <c r="R837" s="160"/>
      <c r="S837" s="160"/>
      <c r="T837" s="207"/>
      <c r="U837" s="160"/>
      <c r="V837" s="160"/>
      <c r="W837" s="160"/>
      <c r="X837" s="160"/>
      <c r="Y837" s="160"/>
      <c r="Z837" s="160"/>
      <c r="AA837" s="160"/>
      <c r="AB837" s="160"/>
      <c r="AC837" s="160"/>
      <c r="AD837" s="160"/>
      <c r="AE837" s="160"/>
      <c r="AF837" s="160"/>
      <c r="AG837" s="160"/>
      <c r="AH837" s="160"/>
      <c r="AI837" s="160"/>
      <c r="AJ837" s="160"/>
      <c r="AK837" s="160"/>
      <c r="AL837" s="160"/>
      <c r="AM837" s="160"/>
      <c r="AN837" s="164"/>
      <c r="AO837" s="160"/>
      <c r="AP837" s="160"/>
      <c r="AQ837" s="160"/>
      <c r="AR837" s="160"/>
      <c r="AS837" s="160"/>
      <c r="AT837" s="160"/>
      <c r="AU837" s="160"/>
      <c r="AV837" s="160"/>
      <c r="AW837" s="160"/>
      <c r="AX837" s="160"/>
      <c r="AY837" s="160"/>
      <c r="AZ837" s="160"/>
      <c r="BA837" s="160"/>
      <c r="BB837" s="160"/>
      <c r="BC837" s="160"/>
      <c r="BD837" s="160"/>
      <c r="BE837" s="160"/>
      <c r="BF837" s="160"/>
      <c r="BG837" s="160"/>
      <c r="BH837" s="160"/>
      <c r="BI837" s="160"/>
      <c r="BJ837" s="160"/>
      <c r="BK837" s="160"/>
      <c r="BL837" s="160"/>
      <c r="BM837" s="160"/>
      <c r="BN837" s="160"/>
      <c r="BO837" s="160"/>
      <c r="BP837" s="160"/>
      <c r="BQ837" s="160"/>
      <c r="BR837" s="160"/>
      <c r="BS837" s="160"/>
      <c r="BT837" s="160"/>
      <c r="BU837" s="160"/>
      <c r="BV837" s="160"/>
      <c r="BW837" s="160"/>
      <c r="BX837" s="160"/>
      <c r="BY837" s="160"/>
      <c r="BZ837" s="160"/>
      <c r="CA837" s="160"/>
      <c r="CB837" s="160"/>
      <c r="CC837" s="160"/>
      <c r="CD837" s="160"/>
      <c r="CE837" s="160"/>
      <c r="CF837" s="160"/>
      <c r="CG837" s="160"/>
      <c r="CH837" s="160"/>
      <c r="CI837" s="160"/>
      <c r="CJ837" s="160"/>
      <c r="CK837" s="160"/>
      <c r="CL837" s="160"/>
    </row>
    <row r="838">
      <c r="A838" s="171"/>
      <c r="F838" s="11"/>
      <c r="G838" s="11"/>
      <c r="L838" s="171"/>
      <c r="M838" s="171"/>
      <c r="O838" s="160"/>
      <c r="P838" s="160"/>
      <c r="Q838" s="160"/>
      <c r="R838" s="160"/>
      <c r="S838" s="160"/>
      <c r="T838" s="207"/>
      <c r="U838" s="160"/>
      <c r="V838" s="160"/>
      <c r="W838" s="160"/>
      <c r="X838" s="160"/>
      <c r="Y838" s="160"/>
      <c r="Z838" s="160"/>
      <c r="AA838" s="160"/>
      <c r="AB838" s="160"/>
      <c r="AC838" s="160"/>
      <c r="AD838" s="160"/>
      <c r="AE838" s="160"/>
      <c r="AF838" s="160"/>
      <c r="AG838" s="160"/>
      <c r="AH838" s="160"/>
      <c r="AI838" s="160"/>
      <c r="AJ838" s="160"/>
      <c r="AK838" s="160"/>
      <c r="AL838" s="160"/>
      <c r="AM838" s="160"/>
      <c r="AN838" s="164"/>
      <c r="AO838" s="160"/>
      <c r="AP838" s="160"/>
      <c r="AQ838" s="160"/>
      <c r="AR838" s="160"/>
      <c r="AS838" s="160"/>
      <c r="AT838" s="160"/>
      <c r="AU838" s="160"/>
      <c r="AV838" s="160"/>
      <c r="AW838" s="160"/>
      <c r="AX838" s="160"/>
      <c r="AY838" s="160"/>
      <c r="AZ838" s="160"/>
      <c r="BA838" s="160"/>
      <c r="BB838" s="160"/>
      <c r="BC838" s="160"/>
      <c r="BD838" s="160"/>
      <c r="BE838" s="160"/>
      <c r="BF838" s="160"/>
      <c r="BG838" s="160"/>
      <c r="BH838" s="160"/>
      <c r="BI838" s="160"/>
      <c r="BJ838" s="160"/>
      <c r="BK838" s="160"/>
      <c r="BL838" s="160"/>
      <c r="BM838" s="160"/>
      <c r="BN838" s="160"/>
      <c r="BO838" s="160"/>
      <c r="BP838" s="160"/>
      <c r="BQ838" s="160"/>
      <c r="BR838" s="160"/>
      <c r="BS838" s="160"/>
      <c r="BT838" s="160"/>
      <c r="BU838" s="160"/>
      <c r="BV838" s="160"/>
      <c r="BW838" s="160"/>
      <c r="BX838" s="160"/>
      <c r="BY838" s="160"/>
      <c r="BZ838" s="160"/>
      <c r="CA838" s="160"/>
      <c r="CB838" s="160"/>
      <c r="CC838" s="160"/>
      <c r="CD838" s="160"/>
      <c r="CE838" s="160"/>
      <c r="CF838" s="160"/>
      <c r="CG838" s="160"/>
      <c r="CH838" s="160"/>
      <c r="CI838" s="160"/>
      <c r="CJ838" s="160"/>
      <c r="CK838" s="160"/>
      <c r="CL838" s="160"/>
    </row>
    <row r="839">
      <c r="A839" s="171"/>
      <c r="F839" s="11"/>
      <c r="G839" s="11"/>
      <c r="L839" s="171"/>
      <c r="M839" s="171"/>
      <c r="O839" s="160"/>
      <c r="P839" s="160"/>
      <c r="Q839" s="160"/>
      <c r="R839" s="160"/>
      <c r="S839" s="160"/>
      <c r="T839" s="207"/>
      <c r="U839" s="160"/>
      <c r="V839" s="160"/>
      <c r="W839" s="160"/>
      <c r="X839" s="160"/>
      <c r="Y839" s="160"/>
      <c r="Z839" s="160"/>
      <c r="AA839" s="160"/>
      <c r="AB839" s="160"/>
      <c r="AC839" s="160"/>
      <c r="AD839" s="160"/>
      <c r="AE839" s="160"/>
      <c r="AF839" s="160"/>
      <c r="AG839" s="160"/>
      <c r="AH839" s="160"/>
      <c r="AI839" s="160"/>
      <c r="AJ839" s="160"/>
      <c r="AK839" s="160"/>
      <c r="AL839" s="160"/>
      <c r="AM839" s="160"/>
      <c r="AN839" s="164"/>
      <c r="AO839" s="160"/>
      <c r="AP839" s="160"/>
      <c r="AQ839" s="160"/>
      <c r="AR839" s="160"/>
      <c r="AS839" s="160"/>
      <c r="AT839" s="160"/>
      <c r="AU839" s="160"/>
      <c r="AV839" s="160"/>
      <c r="AW839" s="160"/>
      <c r="AX839" s="160"/>
      <c r="AY839" s="160"/>
      <c r="AZ839" s="160"/>
      <c r="BA839" s="160"/>
      <c r="BB839" s="160"/>
      <c r="BC839" s="160"/>
      <c r="BD839" s="160"/>
      <c r="BE839" s="160"/>
      <c r="BF839" s="160"/>
      <c r="BG839" s="160"/>
      <c r="BH839" s="160"/>
      <c r="BI839" s="160"/>
      <c r="BJ839" s="160"/>
      <c r="BK839" s="160"/>
      <c r="BL839" s="160"/>
      <c r="BM839" s="160"/>
      <c r="BN839" s="160"/>
      <c r="BO839" s="160"/>
      <c r="BP839" s="160"/>
      <c r="BQ839" s="160"/>
      <c r="BR839" s="160"/>
      <c r="BS839" s="160"/>
      <c r="BT839" s="160"/>
      <c r="BU839" s="160"/>
      <c r="BV839" s="160"/>
      <c r="BW839" s="160"/>
      <c r="BX839" s="160"/>
      <c r="BY839" s="160"/>
      <c r="BZ839" s="160"/>
      <c r="CA839" s="160"/>
      <c r="CB839" s="160"/>
      <c r="CC839" s="160"/>
      <c r="CD839" s="160"/>
      <c r="CE839" s="160"/>
      <c r="CF839" s="160"/>
      <c r="CG839" s="160"/>
      <c r="CH839" s="160"/>
      <c r="CI839" s="160"/>
      <c r="CJ839" s="160"/>
      <c r="CK839" s="160"/>
      <c r="CL839" s="160"/>
    </row>
    <row r="840">
      <c r="A840" s="171"/>
      <c r="F840" s="11"/>
      <c r="G840" s="11"/>
      <c r="L840" s="171"/>
      <c r="M840" s="171"/>
      <c r="O840" s="160"/>
      <c r="P840" s="160"/>
      <c r="Q840" s="160"/>
      <c r="R840" s="160"/>
      <c r="S840" s="160"/>
      <c r="T840" s="207"/>
      <c r="U840" s="160"/>
      <c r="V840" s="160"/>
      <c r="W840" s="160"/>
      <c r="X840" s="160"/>
      <c r="Y840" s="160"/>
      <c r="Z840" s="160"/>
      <c r="AA840" s="160"/>
      <c r="AB840" s="160"/>
      <c r="AC840" s="160"/>
      <c r="AD840" s="160"/>
      <c r="AE840" s="160"/>
      <c r="AF840" s="160"/>
      <c r="AG840" s="160"/>
      <c r="AH840" s="160"/>
      <c r="AI840" s="160"/>
      <c r="AJ840" s="160"/>
      <c r="AK840" s="160"/>
      <c r="AL840" s="160"/>
      <c r="AM840" s="160"/>
      <c r="AN840" s="164"/>
      <c r="AO840" s="160"/>
      <c r="AP840" s="160"/>
      <c r="AQ840" s="160"/>
      <c r="AR840" s="160"/>
      <c r="AS840" s="160"/>
      <c r="AT840" s="160"/>
      <c r="AU840" s="160"/>
      <c r="AV840" s="160"/>
      <c r="AW840" s="160"/>
      <c r="AX840" s="160"/>
      <c r="AY840" s="160"/>
      <c r="AZ840" s="160"/>
      <c r="BA840" s="160"/>
      <c r="BB840" s="160"/>
      <c r="BC840" s="160"/>
      <c r="BD840" s="160"/>
      <c r="BE840" s="160"/>
      <c r="BF840" s="160"/>
      <c r="BG840" s="160"/>
      <c r="BH840" s="160"/>
      <c r="BI840" s="160"/>
      <c r="BJ840" s="160"/>
      <c r="BK840" s="160"/>
      <c r="BL840" s="160"/>
      <c r="BM840" s="160"/>
      <c r="BN840" s="160"/>
      <c r="BO840" s="160"/>
      <c r="BP840" s="160"/>
      <c r="BQ840" s="160"/>
      <c r="BR840" s="160"/>
      <c r="BS840" s="160"/>
      <c r="BT840" s="160"/>
      <c r="BU840" s="160"/>
      <c r="BV840" s="160"/>
      <c r="BW840" s="160"/>
      <c r="BX840" s="160"/>
      <c r="BY840" s="160"/>
      <c r="BZ840" s="160"/>
      <c r="CA840" s="160"/>
      <c r="CB840" s="160"/>
      <c r="CC840" s="160"/>
      <c r="CD840" s="160"/>
      <c r="CE840" s="160"/>
      <c r="CF840" s="160"/>
      <c r="CG840" s="160"/>
      <c r="CH840" s="160"/>
      <c r="CI840" s="160"/>
      <c r="CJ840" s="160"/>
      <c r="CK840" s="160"/>
      <c r="CL840" s="160"/>
    </row>
    <row r="841">
      <c r="A841" s="171"/>
      <c r="F841" s="11"/>
      <c r="G841" s="11"/>
      <c r="L841" s="171"/>
      <c r="M841" s="171"/>
      <c r="O841" s="160"/>
      <c r="P841" s="160"/>
      <c r="Q841" s="160"/>
      <c r="R841" s="160"/>
      <c r="S841" s="160"/>
      <c r="T841" s="207"/>
      <c r="U841" s="160"/>
      <c r="V841" s="160"/>
      <c r="W841" s="160"/>
      <c r="X841" s="160"/>
      <c r="Y841" s="160"/>
      <c r="Z841" s="160"/>
      <c r="AA841" s="160"/>
      <c r="AB841" s="160"/>
      <c r="AC841" s="160"/>
      <c r="AD841" s="160"/>
      <c r="AE841" s="160"/>
      <c r="AF841" s="160"/>
      <c r="AG841" s="160"/>
      <c r="AH841" s="160"/>
      <c r="AI841" s="160"/>
      <c r="AJ841" s="160"/>
      <c r="AK841" s="160"/>
      <c r="AL841" s="160"/>
      <c r="AM841" s="160"/>
      <c r="AN841" s="164"/>
      <c r="AO841" s="160"/>
      <c r="AP841" s="160"/>
      <c r="AQ841" s="160"/>
      <c r="AR841" s="160"/>
      <c r="AS841" s="160"/>
      <c r="AT841" s="160"/>
      <c r="AU841" s="160"/>
      <c r="AV841" s="160"/>
      <c r="AW841" s="160"/>
      <c r="AX841" s="160"/>
      <c r="AY841" s="160"/>
      <c r="AZ841" s="160"/>
      <c r="BA841" s="160"/>
      <c r="BB841" s="160"/>
      <c r="BC841" s="160"/>
      <c r="BD841" s="160"/>
      <c r="BE841" s="160"/>
      <c r="BF841" s="160"/>
      <c r="BG841" s="160"/>
      <c r="BH841" s="160"/>
      <c r="BI841" s="160"/>
      <c r="BJ841" s="160"/>
      <c r="BK841" s="160"/>
      <c r="BL841" s="160"/>
      <c r="BM841" s="160"/>
      <c r="BN841" s="160"/>
      <c r="BO841" s="160"/>
      <c r="BP841" s="160"/>
      <c r="BQ841" s="160"/>
      <c r="BR841" s="160"/>
      <c r="BS841" s="160"/>
      <c r="BT841" s="160"/>
      <c r="BU841" s="160"/>
      <c r="BV841" s="160"/>
      <c r="BW841" s="160"/>
      <c r="BX841" s="160"/>
      <c r="BY841" s="160"/>
      <c r="BZ841" s="160"/>
      <c r="CA841" s="160"/>
      <c r="CB841" s="160"/>
      <c r="CC841" s="160"/>
      <c r="CD841" s="160"/>
      <c r="CE841" s="160"/>
      <c r="CF841" s="160"/>
      <c r="CG841" s="160"/>
      <c r="CH841" s="160"/>
      <c r="CI841" s="160"/>
      <c r="CJ841" s="160"/>
      <c r="CK841" s="160"/>
      <c r="CL841" s="160"/>
    </row>
    <row r="842">
      <c r="A842" s="171"/>
      <c r="F842" s="11"/>
      <c r="G842" s="11"/>
      <c r="L842" s="171"/>
      <c r="M842" s="171"/>
      <c r="O842" s="160"/>
      <c r="P842" s="160"/>
      <c r="Q842" s="160"/>
      <c r="R842" s="160"/>
      <c r="S842" s="160"/>
      <c r="T842" s="207"/>
      <c r="U842" s="160"/>
      <c r="V842" s="160"/>
      <c r="W842" s="160"/>
      <c r="X842" s="160"/>
      <c r="Y842" s="160"/>
      <c r="Z842" s="160"/>
      <c r="AA842" s="160"/>
      <c r="AB842" s="160"/>
      <c r="AC842" s="160"/>
      <c r="AD842" s="160"/>
      <c r="AE842" s="160"/>
      <c r="AF842" s="160"/>
      <c r="AG842" s="160"/>
      <c r="AH842" s="160"/>
      <c r="AI842" s="160"/>
      <c r="AJ842" s="160"/>
      <c r="AK842" s="160"/>
      <c r="AL842" s="160"/>
      <c r="AM842" s="160"/>
      <c r="AN842" s="164"/>
      <c r="AO842" s="160"/>
      <c r="AP842" s="160"/>
      <c r="AQ842" s="160"/>
      <c r="AR842" s="160"/>
      <c r="AS842" s="160"/>
      <c r="AT842" s="160"/>
      <c r="AU842" s="160"/>
      <c r="AV842" s="160"/>
      <c r="AW842" s="160"/>
      <c r="AX842" s="160"/>
      <c r="AY842" s="160"/>
      <c r="AZ842" s="160"/>
      <c r="BA842" s="160"/>
      <c r="BB842" s="160"/>
      <c r="BC842" s="160"/>
      <c r="BD842" s="160"/>
      <c r="BE842" s="160"/>
      <c r="BF842" s="160"/>
      <c r="BG842" s="160"/>
      <c r="BH842" s="160"/>
      <c r="BI842" s="160"/>
      <c r="BJ842" s="160"/>
      <c r="BK842" s="160"/>
      <c r="BL842" s="160"/>
      <c r="BM842" s="160"/>
      <c r="BN842" s="160"/>
      <c r="BO842" s="160"/>
      <c r="BP842" s="160"/>
      <c r="BQ842" s="160"/>
      <c r="BR842" s="160"/>
      <c r="BS842" s="160"/>
      <c r="BT842" s="160"/>
      <c r="BU842" s="160"/>
      <c r="BV842" s="160"/>
      <c r="BW842" s="160"/>
      <c r="BX842" s="160"/>
      <c r="BY842" s="160"/>
      <c r="BZ842" s="160"/>
      <c r="CA842" s="160"/>
      <c r="CB842" s="160"/>
      <c r="CC842" s="160"/>
      <c r="CD842" s="160"/>
      <c r="CE842" s="160"/>
      <c r="CF842" s="160"/>
      <c r="CG842" s="160"/>
      <c r="CH842" s="160"/>
      <c r="CI842" s="160"/>
      <c r="CJ842" s="160"/>
      <c r="CK842" s="160"/>
      <c r="CL842" s="160"/>
    </row>
    <row r="843">
      <c r="A843" s="171"/>
      <c r="F843" s="11"/>
      <c r="G843" s="11"/>
      <c r="L843" s="171"/>
      <c r="M843" s="171"/>
      <c r="O843" s="160"/>
      <c r="P843" s="160"/>
      <c r="Q843" s="160"/>
      <c r="R843" s="160"/>
      <c r="S843" s="160"/>
      <c r="T843" s="207"/>
      <c r="U843" s="160"/>
      <c r="V843" s="160"/>
      <c r="W843" s="160"/>
      <c r="X843" s="160"/>
      <c r="Y843" s="160"/>
      <c r="Z843" s="160"/>
      <c r="AA843" s="160"/>
      <c r="AB843" s="160"/>
      <c r="AC843" s="160"/>
      <c r="AD843" s="160"/>
      <c r="AE843" s="160"/>
      <c r="AF843" s="160"/>
      <c r="AG843" s="160"/>
      <c r="AH843" s="160"/>
      <c r="AI843" s="160"/>
      <c r="AJ843" s="160"/>
      <c r="AK843" s="160"/>
      <c r="AL843" s="160"/>
      <c r="AM843" s="160"/>
      <c r="AN843" s="164"/>
      <c r="AO843" s="160"/>
      <c r="AP843" s="160"/>
      <c r="AQ843" s="160"/>
      <c r="AR843" s="160"/>
      <c r="AS843" s="160"/>
      <c r="AT843" s="160"/>
      <c r="AU843" s="160"/>
      <c r="AV843" s="160"/>
      <c r="AW843" s="160"/>
      <c r="AX843" s="160"/>
      <c r="AY843" s="160"/>
      <c r="AZ843" s="160"/>
      <c r="BA843" s="160"/>
      <c r="BB843" s="160"/>
      <c r="BC843" s="160"/>
      <c r="BD843" s="160"/>
      <c r="BE843" s="160"/>
      <c r="BF843" s="160"/>
      <c r="BG843" s="160"/>
      <c r="BH843" s="160"/>
      <c r="BI843" s="160"/>
      <c r="BJ843" s="160"/>
      <c r="BK843" s="160"/>
      <c r="BL843" s="160"/>
      <c r="BM843" s="160"/>
      <c r="BN843" s="160"/>
      <c r="BO843" s="160"/>
      <c r="BP843" s="160"/>
      <c r="BQ843" s="160"/>
      <c r="BR843" s="160"/>
      <c r="BS843" s="160"/>
      <c r="BT843" s="160"/>
      <c r="BU843" s="160"/>
      <c r="BV843" s="160"/>
      <c r="BW843" s="160"/>
      <c r="BX843" s="160"/>
      <c r="BY843" s="160"/>
      <c r="BZ843" s="160"/>
      <c r="CA843" s="160"/>
      <c r="CB843" s="160"/>
      <c r="CC843" s="160"/>
      <c r="CD843" s="160"/>
      <c r="CE843" s="160"/>
      <c r="CF843" s="160"/>
      <c r="CG843" s="160"/>
      <c r="CH843" s="160"/>
      <c r="CI843" s="160"/>
      <c r="CJ843" s="160"/>
      <c r="CK843" s="160"/>
      <c r="CL843" s="160"/>
    </row>
    <row r="844">
      <c r="A844" s="171"/>
      <c r="F844" s="11"/>
      <c r="G844" s="11"/>
      <c r="L844" s="171"/>
      <c r="M844" s="171"/>
      <c r="O844" s="160"/>
      <c r="P844" s="160"/>
      <c r="Q844" s="160"/>
      <c r="R844" s="160"/>
      <c r="S844" s="160"/>
      <c r="T844" s="207"/>
      <c r="U844" s="160"/>
      <c r="V844" s="160"/>
      <c r="W844" s="160"/>
      <c r="X844" s="160"/>
      <c r="Y844" s="160"/>
      <c r="Z844" s="160"/>
      <c r="AA844" s="160"/>
      <c r="AB844" s="160"/>
      <c r="AC844" s="160"/>
      <c r="AD844" s="160"/>
      <c r="AE844" s="160"/>
      <c r="AF844" s="160"/>
      <c r="AG844" s="160"/>
      <c r="AH844" s="160"/>
      <c r="AI844" s="160"/>
      <c r="AJ844" s="160"/>
      <c r="AK844" s="160"/>
      <c r="AL844" s="160"/>
      <c r="AM844" s="160"/>
      <c r="AN844" s="164"/>
      <c r="AO844" s="160"/>
      <c r="AP844" s="160"/>
      <c r="AQ844" s="160"/>
      <c r="AR844" s="160"/>
      <c r="AS844" s="160"/>
      <c r="AT844" s="160"/>
      <c r="AU844" s="160"/>
      <c r="AV844" s="160"/>
      <c r="AW844" s="160"/>
      <c r="AX844" s="160"/>
      <c r="AY844" s="160"/>
      <c r="AZ844" s="160"/>
      <c r="BA844" s="160"/>
      <c r="BB844" s="160"/>
      <c r="BC844" s="160"/>
      <c r="BD844" s="160"/>
      <c r="BE844" s="160"/>
      <c r="BF844" s="160"/>
      <c r="BG844" s="160"/>
      <c r="BH844" s="160"/>
      <c r="BI844" s="160"/>
      <c r="BJ844" s="160"/>
      <c r="BK844" s="160"/>
      <c r="BL844" s="160"/>
      <c r="BM844" s="160"/>
      <c r="BN844" s="160"/>
      <c r="BO844" s="160"/>
      <c r="BP844" s="160"/>
      <c r="BQ844" s="160"/>
      <c r="BR844" s="160"/>
      <c r="BS844" s="160"/>
      <c r="BT844" s="160"/>
      <c r="BU844" s="160"/>
      <c r="BV844" s="160"/>
      <c r="BW844" s="160"/>
      <c r="BX844" s="160"/>
      <c r="BY844" s="160"/>
      <c r="BZ844" s="160"/>
      <c r="CA844" s="160"/>
      <c r="CB844" s="160"/>
      <c r="CC844" s="160"/>
      <c r="CD844" s="160"/>
      <c r="CE844" s="160"/>
      <c r="CF844" s="160"/>
      <c r="CG844" s="160"/>
      <c r="CH844" s="160"/>
      <c r="CI844" s="160"/>
      <c r="CJ844" s="160"/>
      <c r="CK844" s="160"/>
      <c r="CL844" s="160"/>
    </row>
    <row r="845">
      <c r="A845" s="171"/>
      <c r="F845" s="11"/>
      <c r="G845" s="11"/>
      <c r="L845" s="171"/>
      <c r="M845" s="171"/>
      <c r="O845" s="160"/>
      <c r="P845" s="160"/>
      <c r="Q845" s="160"/>
      <c r="R845" s="160"/>
      <c r="S845" s="160"/>
      <c r="T845" s="207"/>
      <c r="U845" s="160"/>
      <c r="V845" s="160"/>
      <c r="W845" s="160"/>
      <c r="X845" s="160"/>
      <c r="Y845" s="160"/>
      <c r="Z845" s="160"/>
      <c r="AA845" s="160"/>
      <c r="AB845" s="160"/>
      <c r="AC845" s="160"/>
      <c r="AD845" s="160"/>
      <c r="AE845" s="160"/>
      <c r="AF845" s="160"/>
      <c r="AG845" s="160"/>
      <c r="AH845" s="160"/>
      <c r="AI845" s="160"/>
      <c r="AJ845" s="160"/>
      <c r="AK845" s="160"/>
      <c r="AL845" s="160"/>
      <c r="AM845" s="160"/>
      <c r="AN845" s="164"/>
      <c r="AO845" s="160"/>
      <c r="AP845" s="160"/>
      <c r="AQ845" s="160"/>
      <c r="AR845" s="160"/>
      <c r="AS845" s="160"/>
      <c r="AT845" s="160"/>
      <c r="AU845" s="160"/>
      <c r="AV845" s="160"/>
      <c r="AW845" s="160"/>
      <c r="AX845" s="160"/>
      <c r="AY845" s="160"/>
      <c r="AZ845" s="160"/>
      <c r="BA845" s="160"/>
      <c r="BB845" s="160"/>
      <c r="BC845" s="160"/>
      <c r="BD845" s="160"/>
      <c r="BE845" s="160"/>
      <c r="BF845" s="160"/>
      <c r="BG845" s="160"/>
      <c r="BH845" s="160"/>
      <c r="BI845" s="160"/>
      <c r="BJ845" s="160"/>
      <c r="BK845" s="160"/>
      <c r="BL845" s="160"/>
      <c r="BM845" s="160"/>
      <c r="BN845" s="160"/>
      <c r="BO845" s="160"/>
      <c r="BP845" s="160"/>
      <c r="BQ845" s="160"/>
      <c r="BR845" s="160"/>
      <c r="BS845" s="160"/>
      <c r="BT845" s="160"/>
      <c r="BU845" s="160"/>
      <c r="BV845" s="160"/>
      <c r="BW845" s="160"/>
      <c r="BX845" s="160"/>
      <c r="BY845" s="160"/>
      <c r="BZ845" s="160"/>
      <c r="CA845" s="160"/>
      <c r="CB845" s="160"/>
      <c r="CC845" s="160"/>
      <c r="CD845" s="160"/>
      <c r="CE845" s="160"/>
      <c r="CF845" s="160"/>
      <c r="CG845" s="160"/>
      <c r="CH845" s="160"/>
      <c r="CI845" s="160"/>
      <c r="CJ845" s="160"/>
      <c r="CK845" s="160"/>
      <c r="CL845" s="160"/>
    </row>
    <row r="846">
      <c r="A846" s="171"/>
      <c r="F846" s="11"/>
      <c r="G846" s="11"/>
      <c r="L846" s="171"/>
      <c r="M846" s="171"/>
      <c r="O846" s="160"/>
      <c r="P846" s="160"/>
      <c r="Q846" s="160"/>
      <c r="R846" s="160"/>
      <c r="S846" s="160"/>
      <c r="T846" s="207"/>
      <c r="U846" s="160"/>
      <c r="V846" s="160"/>
      <c r="W846" s="160"/>
      <c r="X846" s="160"/>
      <c r="Y846" s="160"/>
      <c r="Z846" s="160"/>
      <c r="AA846" s="160"/>
      <c r="AB846" s="160"/>
      <c r="AC846" s="160"/>
      <c r="AD846" s="160"/>
      <c r="AE846" s="160"/>
      <c r="AF846" s="160"/>
      <c r="AG846" s="160"/>
      <c r="AH846" s="160"/>
      <c r="AI846" s="160"/>
      <c r="AJ846" s="160"/>
      <c r="AK846" s="160"/>
      <c r="AL846" s="160"/>
      <c r="AM846" s="160"/>
      <c r="AN846" s="164"/>
      <c r="AO846" s="160"/>
      <c r="AP846" s="160"/>
      <c r="AQ846" s="160"/>
      <c r="AR846" s="160"/>
      <c r="AS846" s="160"/>
      <c r="AT846" s="160"/>
      <c r="AU846" s="160"/>
      <c r="AV846" s="160"/>
      <c r="AW846" s="160"/>
      <c r="AX846" s="160"/>
      <c r="AY846" s="160"/>
      <c r="AZ846" s="160"/>
      <c r="BA846" s="160"/>
      <c r="BB846" s="160"/>
      <c r="BC846" s="160"/>
      <c r="BD846" s="160"/>
      <c r="BE846" s="160"/>
      <c r="BF846" s="160"/>
      <c r="BG846" s="160"/>
      <c r="BH846" s="160"/>
      <c r="BI846" s="160"/>
      <c r="BJ846" s="160"/>
      <c r="BK846" s="160"/>
      <c r="BL846" s="160"/>
      <c r="BM846" s="160"/>
      <c r="BN846" s="160"/>
      <c r="BO846" s="160"/>
      <c r="BP846" s="160"/>
      <c r="BQ846" s="160"/>
      <c r="BR846" s="160"/>
      <c r="BS846" s="160"/>
      <c r="BT846" s="160"/>
      <c r="BU846" s="160"/>
      <c r="BV846" s="160"/>
      <c r="BW846" s="160"/>
      <c r="BX846" s="160"/>
      <c r="BY846" s="160"/>
      <c r="BZ846" s="160"/>
      <c r="CA846" s="160"/>
      <c r="CB846" s="160"/>
      <c r="CC846" s="160"/>
      <c r="CD846" s="160"/>
      <c r="CE846" s="160"/>
      <c r="CF846" s="160"/>
      <c r="CG846" s="160"/>
      <c r="CH846" s="160"/>
      <c r="CI846" s="160"/>
      <c r="CJ846" s="160"/>
      <c r="CK846" s="160"/>
      <c r="CL846" s="160"/>
    </row>
    <row r="847">
      <c r="A847" s="171"/>
      <c r="F847" s="11"/>
      <c r="G847" s="11"/>
      <c r="L847" s="171"/>
      <c r="M847" s="171"/>
      <c r="O847" s="160"/>
      <c r="P847" s="160"/>
      <c r="Q847" s="160"/>
      <c r="R847" s="160"/>
      <c r="S847" s="160"/>
      <c r="T847" s="207"/>
      <c r="U847" s="160"/>
      <c r="V847" s="160"/>
      <c r="W847" s="160"/>
      <c r="X847" s="160"/>
      <c r="Y847" s="160"/>
      <c r="Z847" s="160"/>
      <c r="AA847" s="160"/>
      <c r="AB847" s="160"/>
      <c r="AC847" s="160"/>
      <c r="AD847" s="160"/>
      <c r="AE847" s="160"/>
      <c r="AF847" s="160"/>
      <c r="AG847" s="160"/>
      <c r="AH847" s="160"/>
      <c r="AI847" s="160"/>
      <c r="AJ847" s="160"/>
      <c r="AK847" s="160"/>
      <c r="AL847" s="160"/>
      <c r="AM847" s="160"/>
      <c r="AN847" s="164"/>
      <c r="AO847" s="160"/>
      <c r="AP847" s="160"/>
      <c r="AQ847" s="160"/>
      <c r="AR847" s="160"/>
      <c r="AS847" s="160"/>
      <c r="AT847" s="160"/>
      <c r="AU847" s="160"/>
      <c r="AV847" s="160"/>
      <c r="AW847" s="160"/>
      <c r="AX847" s="160"/>
      <c r="AY847" s="160"/>
      <c r="AZ847" s="160"/>
      <c r="BA847" s="160"/>
      <c r="BB847" s="160"/>
      <c r="BC847" s="160"/>
      <c r="BD847" s="160"/>
      <c r="BE847" s="160"/>
      <c r="BF847" s="160"/>
      <c r="BG847" s="160"/>
      <c r="BH847" s="160"/>
      <c r="BI847" s="160"/>
      <c r="BJ847" s="160"/>
      <c r="BK847" s="160"/>
      <c r="BL847" s="160"/>
      <c r="BM847" s="160"/>
      <c r="BN847" s="160"/>
      <c r="BO847" s="160"/>
      <c r="BP847" s="160"/>
      <c r="BQ847" s="160"/>
      <c r="BR847" s="160"/>
      <c r="BS847" s="160"/>
      <c r="BT847" s="160"/>
      <c r="BU847" s="160"/>
      <c r="BV847" s="160"/>
      <c r="BW847" s="160"/>
      <c r="BX847" s="160"/>
      <c r="BY847" s="160"/>
      <c r="BZ847" s="160"/>
      <c r="CA847" s="160"/>
      <c r="CB847" s="160"/>
      <c r="CC847" s="160"/>
      <c r="CD847" s="160"/>
      <c r="CE847" s="160"/>
      <c r="CF847" s="160"/>
      <c r="CG847" s="160"/>
      <c r="CH847" s="160"/>
      <c r="CI847" s="160"/>
      <c r="CJ847" s="160"/>
      <c r="CK847" s="160"/>
      <c r="CL847" s="160"/>
    </row>
    <row r="848">
      <c r="A848" s="171"/>
      <c r="F848" s="11"/>
      <c r="G848" s="11"/>
      <c r="L848" s="171"/>
      <c r="M848" s="171"/>
      <c r="O848" s="160"/>
      <c r="P848" s="160"/>
      <c r="Q848" s="160"/>
      <c r="R848" s="160"/>
      <c r="S848" s="160"/>
      <c r="T848" s="207"/>
      <c r="U848" s="160"/>
      <c r="V848" s="160"/>
      <c r="W848" s="160"/>
      <c r="X848" s="160"/>
      <c r="Y848" s="160"/>
      <c r="Z848" s="160"/>
      <c r="AA848" s="160"/>
      <c r="AB848" s="160"/>
      <c r="AC848" s="160"/>
      <c r="AD848" s="160"/>
      <c r="AE848" s="160"/>
      <c r="AF848" s="160"/>
      <c r="AG848" s="160"/>
      <c r="AH848" s="160"/>
      <c r="AI848" s="160"/>
      <c r="AJ848" s="160"/>
      <c r="AK848" s="160"/>
      <c r="AL848" s="160"/>
      <c r="AM848" s="160"/>
      <c r="AN848" s="164"/>
      <c r="AO848" s="160"/>
      <c r="AP848" s="160"/>
      <c r="AQ848" s="160"/>
      <c r="AR848" s="160"/>
      <c r="AS848" s="160"/>
      <c r="AT848" s="160"/>
      <c r="AU848" s="160"/>
      <c r="AV848" s="160"/>
      <c r="AW848" s="160"/>
      <c r="AX848" s="160"/>
      <c r="AY848" s="160"/>
      <c r="AZ848" s="160"/>
      <c r="BA848" s="160"/>
      <c r="BB848" s="160"/>
      <c r="BC848" s="160"/>
      <c r="BD848" s="160"/>
      <c r="BE848" s="160"/>
      <c r="BF848" s="160"/>
      <c r="BG848" s="160"/>
      <c r="BH848" s="160"/>
      <c r="BI848" s="160"/>
      <c r="BJ848" s="160"/>
      <c r="BK848" s="160"/>
      <c r="BL848" s="160"/>
      <c r="BM848" s="160"/>
      <c r="BN848" s="160"/>
      <c r="BO848" s="160"/>
      <c r="BP848" s="160"/>
      <c r="BQ848" s="160"/>
      <c r="BR848" s="160"/>
      <c r="BS848" s="160"/>
      <c r="BT848" s="160"/>
      <c r="BU848" s="160"/>
      <c r="BV848" s="160"/>
      <c r="BW848" s="160"/>
      <c r="BX848" s="160"/>
      <c r="BY848" s="160"/>
      <c r="BZ848" s="160"/>
      <c r="CA848" s="160"/>
      <c r="CB848" s="160"/>
      <c r="CC848" s="160"/>
      <c r="CD848" s="160"/>
      <c r="CE848" s="160"/>
      <c r="CF848" s="160"/>
      <c r="CG848" s="160"/>
      <c r="CH848" s="160"/>
      <c r="CI848" s="160"/>
      <c r="CJ848" s="160"/>
      <c r="CK848" s="160"/>
      <c r="CL848" s="160"/>
    </row>
    <row r="849">
      <c r="A849" s="171"/>
      <c r="F849" s="11"/>
      <c r="G849" s="11"/>
      <c r="L849" s="171"/>
      <c r="M849" s="171"/>
      <c r="O849" s="160"/>
      <c r="P849" s="160"/>
      <c r="Q849" s="160"/>
      <c r="R849" s="160"/>
      <c r="S849" s="160"/>
      <c r="T849" s="207"/>
      <c r="U849" s="160"/>
      <c r="V849" s="160"/>
      <c r="W849" s="160"/>
      <c r="X849" s="160"/>
      <c r="Y849" s="160"/>
      <c r="Z849" s="160"/>
      <c r="AA849" s="160"/>
      <c r="AB849" s="160"/>
      <c r="AC849" s="160"/>
      <c r="AD849" s="160"/>
      <c r="AE849" s="160"/>
      <c r="AF849" s="160"/>
      <c r="AG849" s="160"/>
      <c r="AH849" s="160"/>
      <c r="AI849" s="160"/>
      <c r="AJ849" s="160"/>
      <c r="AK849" s="160"/>
      <c r="AL849" s="160"/>
      <c r="AM849" s="160"/>
      <c r="AN849" s="164"/>
      <c r="AO849" s="160"/>
      <c r="AP849" s="160"/>
      <c r="AQ849" s="160"/>
      <c r="AR849" s="160"/>
      <c r="AS849" s="160"/>
      <c r="AT849" s="160"/>
      <c r="AU849" s="160"/>
      <c r="AV849" s="160"/>
      <c r="AW849" s="160"/>
      <c r="AX849" s="160"/>
      <c r="AY849" s="160"/>
      <c r="AZ849" s="160"/>
      <c r="BA849" s="160"/>
      <c r="BB849" s="160"/>
      <c r="BC849" s="160"/>
      <c r="BD849" s="160"/>
      <c r="BE849" s="160"/>
      <c r="BF849" s="160"/>
      <c r="BG849" s="160"/>
      <c r="BH849" s="160"/>
      <c r="BI849" s="160"/>
      <c r="BJ849" s="160"/>
      <c r="BK849" s="160"/>
      <c r="BL849" s="160"/>
      <c r="BM849" s="160"/>
      <c r="BN849" s="160"/>
      <c r="BO849" s="160"/>
      <c r="BP849" s="160"/>
      <c r="BQ849" s="160"/>
      <c r="BR849" s="160"/>
      <c r="BS849" s="160"/>
      <c r="BT849" s="160"/>
      <c r="BU849" s="160"/>
      <c r="BV849" s="160"/>
      <c r="BW849" s="160"/>
      <c r="BX849" s="160"/>
      <c r="BY849" s="160"/>
      <c r="BZ849" s="160"/>
      <c r="CA849" s="160"/>
      <c r="CB849" s="160"/>
      <c r="CC849" s="160"/>
      <c r="CD849" s="160"/>
      <c r="CE849" s="160"/>
      <c r="CF849" s="160"/>
      <c r="CG849" s="160"/>
      <c r="CH849" s="160"/>
      <c r="CI849" s="160"/>
      <c r="CJ849" s="160"/>
      <c r="CK849" s="160"/>
      <c r="CL849" s="160"/>
    </row>
    <row r="850">
      <c r="A850" s="171"/>
      <c r="F850" s="11"/>
      <c r="G850" s="11"/>
      <c r="L850" s="171"/>
      <c r="M850" s="171"/>
      <c r="O850" s="160"/>
      <c r="P850" s="160"/>
      <c r="Q850" s="160"/>
      <c r="R850" s="160"/>
      <c r="S850" s="160"/>
      <c r="T850" s="207"/>
      <c r="U850" s="160"/>
      <c r="V850" s="160"/>
      <c r="W850" s="160"/>
      <c r="X850" s="160"/>
      <c r="Y850" s="160"/>
      <c r="Z850" s="160"/>
      <c r="AA850" s="160"/>
      <c r="AB850" s="160"/>
      <c r="AC850" s="160"/>
      <c r="AD850" s="160"/>
      <c r="AE850" s="160"/>
      <c r="AF850" s="160"/>
      <c r="AG850" s="160"/>
      <c r="AH850" s="160"/>
      <c r="AI850" s="160"/>
      <c r="AJ850" s="160"/>
      <c r="AK850" s="160"/>
      <c r="AL850" s="160"/>
      <c r="AM850" s="160"/>
      <c r="AN850" s="164"/>
      <c r="AO850" s="160"/>
      <c r="AP850" s="160"/>
      <c r="AQ850" s="160"/>
      <c r="AR850" s="160"/>
      <c r="AS850" s="160"/>
      <c r="AT850" s="160"/>
      <c r="AU850" s="160"/>
      <c r="AV850" s="160"/>
      <c r="AW850" s="160"/>
      <c r="AX850" s="160"/>
      <c r="AY850" s="160"/>
      <c r="AZ850" s="160"/>
      <c r="BA850" s="160"/>
      <c r="BB850" s="160"/>
      <c r="BC850" s="160"/>
      <c r="BD850" s="160"/>
      <c r="BE850" s="160"/>
      <c r="BF850" s="160"/>
      <c r="BG850" s="160"/>
      <c r="BH850" s="160"/>
      <c r="BI850" s="160"/>
      <c r="BJ850" s="160"/>
      <c r="BK850" s="160"/>
      <c r="BL850" s="160"/>
      <c r="BM850" s="160"/>
      <c r="BN850" s="160"/>
      <c r="BO850" s="160"/>
      <c r="BP850" s="160"/>
      <c r="BQ850" s="160"/>
      <c r="BR850" s="160"/>
      <c r="BS850" s="160"/>
      <c r="BT850" s="160"/>
      <c r="BU850" s="160"/>
      <c r="BV850" s="160"/>
      <c r="BW850" s="160"/>
      <c r="BX850" s="160"/>
      <c r="BY850" s="160"/>
      <c r="BZ850" s="160"/>
      <c r="CA850" s="160"/>
      <c r="CB850" s="160"/>
      <c r="CC850" s="160"/>
      <c r="CD850" s="160"/>
      <c r="CE850" s="160"/>
      <c r="CF850" s="160"/>
      <c r="CG850" s="160"/>
      <c r="CH850" s="160"/>
      <c r="CI850" s="160"/>
      <c r="CJ850" s="160"/>
      <c r="CK850" s="160"/>
      <c r="CL850" s="160"/>
    </row>
    <row r="851">
      <c r="A851" s="171"/>
      <c r="F851" s="11"/>
      <c r="G851" s="11"/>
      <c r="L851" s="171"/>
      <c r="M851" s="171"/>
      <c r="O851" s="160"/>
      <c r="P851" s="160"/>
      <c r="Q851" s="160"/>
      <c r="R851" s="160"/>
      <c r="S851" s="160"/>
      <c r="T851" s="207"/>
      <c r="U851" s="160"/>
      <c r="V851" s="160"/>
      <c r="W851" s="160"/>
      <c r="X851" s="160"/>
      <c r="Y851" s="160"/>
      <c r="Z851" s="160"/>
      <c r="AA851" s="160"/>
      <c r="AB851" s="160"/>
      <c r="AC851" s="160"/>
      <c r="AD851" s="160"/>
      <c r="AE851" s="160"/>
      <c r="AF851" s="160"/>
      <c r="AG851" s="160"/>
      <c r="AH851" s="160"/>
      <c r="AI851" s="160"/>
      <c r="AJ851" s="160"/>
      <c r="AK851" s="160"/>
      <c r="AL851" s="160"/>
      <c r="AM851" s="160"/>
      <c r="AN851" s="164"/>
      <c r="AO851" s="160"/>
      <c r="AP851" s="160"/>
      <c r="AQ851" s="160"/>
      <c r="AR851" s="160"/>
      <c r="AS851" s="160"/>
      <c r="AT851" s="160"/>
      <c r="AU851" s="160"/>
      <c r="AV851" s="160"/>
      <c r="AW851" s="160"/>
      <c r="AX851" s="160"/>
      <c r="AY851" s="160"/>
      <c r="AZ851" s="160"/>
      <c r="BA851" s="160"/>
      <c r="BB851" s="160"/>
      <c r="BC851" s="160"/>
      <c r="BD851" s="160"/>
      <c r="BE851" s="160"/>
      <c r="BF851" s="160"/>
      <c r="BG851" s="160"/>
      <c r="BH851" s="160"/>
      <c r="BI851" s="160"/>
      <c r="BJ851" s="160"/>
      <c r="BK851" s="160"/>
      <c r="BL851" s="160"/>
      <c r="BM851" s="160"/>
      <c r="BN851" s="160"/>
      <c r="BO851" s="160"/>
      <c r="BP851" s="160"/>
      <c r="BQ851" s="160"/>
      <c r="BR851" s="160"/>
      <c r="BS851" s="160"/>
      <c r="BT851" s="160"/>
      <c r="BU851" s="160"/>
      <c r="BV851" s="160"/>
      <c r="BW851" s="160"/>
      <c r="BX851" s="160"/>
      <c r="BY851" s="160"/>
      <c r="BZ851" s="160"/>
      <c r="CA851" s="160"/>
      <c r="CB851" s="160"/>
      <c r="CC851" s="160"/>
      <c r="CD851" s="160"/>
      <c r="CE851" s="160"/>
      <c r="CF851" s="160"/>
      <c r="CG851" s="160"/>
      <c r="CH851" s="160"/>
      <c r="CI851" s="160"/>
      <c r="CJ851" s="160"/>
      <c r="CK851" s="160"/>
      <c r="CL851" s="160"/>
    </row>
    <row r="852">
      <c r="A852" s="171"/>
      <c r="F852" s="11"/>
      <c r="G852" s="11"/>
      <c r="L852" s="171"/>
      <c r="M852" s="171"/>
      <c r="O852" s="160"/>
      <c r="P852" s="160"/>
      <c r="Q852" s="160"/>
      <c r="R852" s="160"/>
      <c r="S852" s="160"/>
      <c r="T852" s="207"/>
      <c r="U852" s="160"/>
      <c r="V852" s="160"/>
      <c r="W852" s="160"/>
      <c r="X852" s="160"/>
      <c r="Y852" s="160"/>
      <c r="Z852" s="160"/>
      <c r="AA852" s="160"/>
      <c r="AB852" s="160"/>
      <c r="AC852" s="160"/>
      <c r="AD852" s="160"/>
      <c r="AE852" s="160"/>
      <c r="AF852" s="160"/>
      <c r="AG852" s="160"/>
      <c r="AH852" s="160"/>
      <c r="AI852" s="160"/>
      <c r="AJ852" s="160"/>
      <c r="AK852" s="160"/>
      <c r="AL852" s="160"/>
      <c r="AM852" s="160"/>
      <c r="AN852" s="164"/>
      <c r="AO852" s="160"/>
      <c r="AP852" s="160"/>
      <c r="AQ852" s="160"/>
      <c r="AR852" s="160"/>
      <c r="AS852" s="160"/>
      <c r="AT852" s="160"/>
      <c r="AU852" s="160"/>
      <c r="AV852" s="160"/>
      <c r="AW852" s="160"/>
      <c r="AX852" s="160"/>
      <c r="AY852" s="160"/>
      <c r="AZ852" s="160"/>
      <c r="BA852" s="160"/>
      <c r="BB852" s="160"/>
      <c r="BC852" s="160"/>
      <c r="BD852" s="160"/>
      <c r="BE852" s="160"/>
      <c r="BF852" s="160"/>
      <c r="BG852" s="160"/>
      <c r="BH852" s="160"/>
      <c r="BI852" s="160"/>
      <c r="BJ852" s="160"/>
      <c r="BK852" s="160"/>
      <c r="BL852" s="160"/>
      <c r="BM852" s="160"/>
      <c r="BN852" s="160"/>
      <c r="BO852" s="160"/>
      <c r="BP852" s="160"/>
      <c r="BQ852" s="160"/>
      <c r="BR852" s="160"/>
      <c r="BS852" s="160"/>
      <c r="BT852" s="160"/>
      <c r="BU852" s="160"/>
      <c r="BV852" s="160"/>
      <c r="BW852" s="160"/>
      <c r="BX852" s="160"/>
      <c r="BY852" s="160"/>
      <c r="BZ852" s="160"/>
      <c r="CA852" s="160"/>
      <c r="CB852" s="160"/>
      <c r="CC852" s="160"/>
      <c r="CD852" s="160"/>
      <c r="CE852" s="160"/>
      <c r="CF852" s="160"/>
      <c r="CG852" s="160"/>
      <c r="CH852" s="160"/>
      <c r="CI852" s="160"/>
      <c r="CJ852" s="160"/>
      <c r="CK852" s="160"/>
      <c r="CL852" s="160"/>
    </row>
    <row r="853">
      <c r="A853" s="171"/>
      <c r="F853" s="11"/>
      <c r="G853" s="11"/>
      <c r="L853" s="171"/>
      <c r="M853" s="171"/>
      <c r="O853" s="160"/>
      <c r="P853" s="160"/>
      <c r="Q853" s="160"/>
      <c r="R853" s="160"/>
      <c r="S853" s="160"/>
      <c r="T853" s="207"/>
      <c r="U853" s="160"/>
      <c r="V853" s="160"/>
      <c r="W853" s="160"/>
      <c r="X853" s="160"/>
      <c r="Y853" s="160"/>
      <c r="Z853" s="160"/>
      <c r="AA853" s="160"/>
      <c r="AB853" s="160"/>
      <c r="AC853" s="160"/>
      <c r="AD853" s="160"/>
      <c r="AE853" s="160"/>
      <c r="AF853" s="160"/>
      <c r="AG853" s="160"/>
      <c r="AH853" s="160"/>
      <c r="AI853" s="160"/>
      <c r="AJ853" s="160"/>
      <c r="AK853" s="160"/>
      <c r="AL853" s="160"/>
      <c r="AM853" s="160"/>
      <c r="AN853" s="164"/>
      <c r="AO853" s="160"/>
      <c r="AP853" s="160"/>
      <c r="AQ853" s="160"/>
      <c r="AR853" s="160"/>
      <c r="AS853" s="160"/>
      <c r="AT853" s="160"/>
      <c r="AU853" s="160"/>
      <c r="AV853" s="160"/>
      <c r="AW853" s="160"/>
      <c r="AX853" s="160"/>
      <c r="AY853" s="160"/>
      <c r="AZ853" s="160"/>
      <c r="BA853" s="160"/>
      <c r="BB853" s="160"/>
      <c r="BC853" s="160"/>
      <c r="BD853" s="160"/>
      <c r="BE853" s="160"/>
      <c r="BF853" s="160"/>
      <c r="BG853" s="160"/>
      <c r="BH853" s="160"/>
      <c r="BI853" s="160"/>
      <c r="BJ853" s="160"/>
      <c r="BK853" s="160"/>
      <c r="BL853" s="160"/>
      <c r="BM853" s="160"/>
      <c r="BN853" s="160"/>
      <c r="BO853" s="160"/>
      <c r="BP853" s="160"/>
      <c r="BQ853" s="160"/>
      <c r="BR853" s="160"/>
      <c r="BS853" s="160"/>
      <c r="BT853" s="160"/>
      <c r="BU853" s="160"/>
      <c r="BV853" s="160"/>
      <c r="BW853" s="160"/>
      <c r="BX853" s="160"/>
      <c r="BY853" s="160"/>
      <c r="BZ853" s="160"/>
      <c r="CA853" s="160"/>
      <c r="CB853" s="160"/>
      <c r="CC853" s="160"/>
      <c r="CD853" s="160"/>
      <c r="CE853" s="160"/>
      <c r="CF853" s="160"/>
      <c r="CG853" s="160"/>
      <c r="CH853" s="160"/>
      <c r="CI853" s="160"/>
      <c r="CJ853" s="160"/>
      <c r="CK853" s="160"/>
      <c r="CL853" s="160"/>
    </row>
    <row r="854">
      <c r="A854" s="171"/>
      <c r="F854" s="11"/>
      <c r="G854" s="11"/>
      <c r="L854" s="171"/>
      <c r="M854" s="171"/>
      <c r="O854" s="160"/>
      <c r="P854" s="160"/>
      <c r="Q854" s="160"/>
      <c r="R854" s="160"/>
      <c r="S854" s="160"/>
      <c r="T854" s="207"/>
      <c r="U854" s="160"/>
      <c r="V854" s="160"/>
      <c r="W854" s="160"/>
      <c r="X854" s="160"/>
      <c r="Y854" s="160"/>
      <c r="Z854" s="160"/>
      <c r="AA854" s="160"/>
      <c r="AB854" s="160"/>
      <c r="AC854" s="160"/>
      <c r="AD854" s="160"/>
      <c r="AE854" s="160"/>
      <c r="AF854" s="160"/>
      <c r="AG854" s="160"/>
      <c r="AH854" s="160"/>
      <c r="AI854" s="160"/>
      <c r="AJ854" s="160"/>
      <c r="AK854" s="160"/>
      <c r="AL854" s="160"/>
      <c r="AM854" s="160"/>
      <c r="AN854" s="164"/>
      <c r="AO854" s="160"/>
      <c r="AP854" s="160"/>
      <c r="AQ854" s="160"/>
      <c r="AR854" s="160"/>
      <c r="AS854" s="160"/>
      <c r="AT854" s="160"/>
      <c r="AU854" s="160"/>
      <c r="AV854" s="160"/>
      <c r="AW854" s="160"/>
      <c r="AX854" s="160"/>
      <c r="AY854" s="160"/>
      <c r="AZ854" s="160"/>
      <c r="BA854" s="160"/>
      <c r="BB854" s="160"/>
      <c r="BC854" s="160"/>
      <c r="BD854" s="160"/>
      <c r="BE854" s="160"/>
      <c r="BF854" s="160"/>
      <c r="BG854" s="160"/>
      <c r="BH854" s="160"/>
      <c r="BI854" s="160"/>
      <c r="BJ854" s="160"/>
      <c r="BK854" s="160"/>
      <c r="BL854" s="160"/>
      <c r="BM854" s="160"/>
      <c r="BN854" s="160"/>
      <c r="BO854" s="160"/>
      <c r="BP854" s="160"/>
      <c r="BQ854" s="160"/>
      <c r="BR854" s="160"/>
      <c r="BS854" s="160"/>
      <c r="BT854" s="160"/>
      <c r="BU854" s="160"/>
      <c r="BV854" s="160"/>
      <c r="BW854" s="160"/>
      <c r="BX854" s="160"/>
      <c r="BY854" s="160"/>
      <c r="BZ854" s="160"/>
      <c r="CA854" s="160"/>
      <c r="CB854" s="160"/>
      <c r="CC854" s="160"/>
      <c r="CD854" s="160"/>
      <c r="CE854" s="160"/>
      <c r="CF854" s="160"/>
      <c r="CG854" s="160"/>
      <c r="CH854" s="160"/>
      <c r="CI854" s="160"/>
      <c r="CJ854" s="160"/>
      <c r="CK854" s="160"/>
      <c r="CL854" s="160"/>
    </row>
    <row r="855">
      <c r="A855" s="171"/>
      <c r="F855" s="11"/>
      <c r="G855" s="11"/>
      <c r="L855" s="171"/>
      <c r="M855" s="171"/>
      <c r="O855" s="160"/>
      <c r="P855" s="160"/>
      <c r="Q855" s="160"/>
      <c r="R855" s="160"/>
      <c r="S855" s="160"/>
      <c r="T855" s="207"/>
      <c r="U855" s="160"/>
      <c r="V855" s="160"/>
      <c r="W855" s="160"/>
      <c r="X855" s="160"/>
      <c r="Y855" s="160"/>
      <c r="Z855" s="160"/>
      <c r="AA855" s="160"/>
      <c r="AB855" s="160"/>
      <c r="AC855" s="160"/>
      <c r="AD855" s="160"/>
      <c r="AE855" s="160"/>
      <c r="AF855" s="160"/>
      <c r="AG855" s="160"/>
      <c r="AH855" s="160"/>
      <c r="AI855" s="160"/>
      <c r="AJ855" s="160"/>
      <c r="AK855" s="160"/>
      <c r="AL855" s="160"/>
      <c r="AM855" s="160"/>
      <c r="AN855" s="164"/>
      <c r="AO855" s="160"/>
      <c r="AP855" s="160"/>
      <c r="AQ855" s="160"/>
      <c r="AR855" s="160"/>
      <c r="AS855" s="160"/>
      <c r="AT855" s="160"/>
      <c r="AU855" s="160"/>
      <c r="AV855" s="160"/>
      <c r="AW855" s="160"/>
      <c r="AX855" s="160"/>
      <c r="AY855" s="160"/>
      <c r="AZ855" s="160"/>
      <c r="BA855" s="160"/>
      <c r="BB855" s="160"/>
      <c r="BC855" s="160"/>
      <c r="BD855" s="160"/>
      <c r="BE855" s="160"/>
      <c r="BF855" s="160"/>
      <c r="BG855" s="160"/>
      <c r="BH855" s="160"/>
      <c r="BI855" s="160"/>
      <c r="BJ855" s="160"/>
      <c r="BK855" s="160"/>
      <c r="BL855" s="160"/>
      <c r="BM855" s="160"/>
      <c r="BN855" s="160"/>
      <c r="BO855" s="160"/>
      <c r="BP855" s="160"/>
      <c r="BQ855" s="160"/>
      <c r="BR855" s="160"/>
      <c r="BS855" s="160"/>
      <c r="BT855" s="160"/>
      <c r="BU855" s="160"/>
      <c r="BV855" s="160"/>
      <c r="BW855" s="160"/>
      <c r="BX855" s="160"/>
      <c r="BY855" s="160"/>
      <c r="BZ855" s="160"/>
      <c r="CA855" s="160"/>
      <c r="CB855" s="160"/>
      <c r="CC855" s="160"/>
      <c r="CD855" s="160"/>
      <c r="CE855" s="160"/>
      <c r="CF855" s="160"/>
      <c r="CG855" s="160"/>
      <c r="CH855" s="160"/>
      <c r="CI855" s="160"/>
      <c r="CJ855" s="160"/>
      <c r="CK855" s="160"/>
      <c r="CL855" s="160"/>
    </row>
    <row r="856">
      <c r="A856" s="171"/>
      <c r="F856" s="11"/>
      <c r="G856" s="11"/>
      <c r="L856" s="171"/>
      <c r="M856" s="171"/>
      <c r="O856" s="160"/>
      <c r="P856" s="160"/>
      <c r="Q856" s="160"/>
      <c r="R856" s="160"/>
      <c r="S856" s="160"/>
      <c r="T856" s="207"/>
      <c r="U856" s="160"/>
      <c r="V856" s="160"/>
      <c r="W856" s="160"/>
      <c r="X856" s="160"/>
      <c r="Y856" s="160"/>
      <c r="Z856" s="160"/>
      <c r="AA856" s="160"/>
      <c r="AB856" s="160"/>
      <c r="AC856" s="160"/>
      <c r="AD856" s="160"/>
      <c r="AE856" s="160"/>
      <c r="AF856" s="160"/>
      <c r="AG856" s="160"/>
      <c r="AH856" s="160"/>
      <c r="AI856" s="160"/>
      <c r="AJ856" s="160"/>
      <c r="AK856" s="160"/>
      <c r="AL856" s="160"/>
      <c r="AM856" s="160"/>
      <c r="AN856" s="164"/>
      <c r="AO856" s="160"/>
      <c r="AP856" s="160"/>
      <c r="AQ856" s="160"/>
      <c r="AR856" s="160"/>
      <c r="AS856" s="160"/>
      <c r="AT856" s="160"/>
      <c r="AU856" s="160"/>
      <c r="AV856" s="160"/>
      <c r="AW856" s="160"/>
      <c r="AX856" s="160"/>
      <c r="AY856" s="160"/>
      <c r="AZ856" s="160"/>
      <c r="BA856" s="160"/>
      <c r="BB856" s="160"/>
      <c r="BC856" s="160"/>
      <c r="BD856" s="160"/>
      <c r="BE856" s="160"/>
      <c r="BF856" s="160"/>
      <c r="BG856" s="160"/>
      <c r="BH856" s="160"/>
      <c r="BI856" s="160"/>
      <c r="BJ856" s="160"/>
      <c r="BK856" s="160"/>
      <c r="BL856" s="160"/>
      <c r="BM856" s="160"/>
      <c r="BN856" s="160"/>
      <c r="BO856" s="160"/>
      <c r="BP856" s="160"/>
      <c r="BQ856" s="160"/>
      <c r="BR856" s="160"/>
      <c r="BS856" s="160"/>
      <c r="BT856" s="160"/>
      <c r="BU856" s="160"/>
      <c r="BV856" s="160"/>
      <c r="BW856" s="160"/>
      <c r="BX856" s="160"/>
      <c r="BY856" s="160"/>
      <c r="BZ856" s="160"/>
      <c r="CA856" s="160"/>
      <c r="CB856" s="160"/>
      <c r="CC856" s="160"/>
      <c r="CD856" s="160"/>
      <c r="CE856" s="160"/>
      <c r="CF856" s="160"/>
      <c r="CG856" s="160"/>
      <c r="CH856" s="160"/>
      <c r="CI856" s="160"/>
      <c r="CJ856" s="160"/>
      <c r="CK856" s="160"/>
      <c r="CL856" s="160"/>
    </row>
    <row r="857">
      <c r="A857" s="171"/>
      <c r="F857" s="11"/>
      <c r="G857" s="11"/>
      <c r="L857" s="171"/>
      <c r="M857" s="171"/>
      <c r="O857" s="160"/>
      <c r="P857" s="160"/>
      <c r="Q857" s="160"/>
      <c r="R857" s="160"/>
      <c r="S857" s="160"/>
      <c r="T857" s="207"/>
      <c r="U857" s="160"/>
      <c r="V857" s="160"/>
      <c r="W857" s="160"/>
      <c r="X857" s="160"/>
      <c r="Y857" s="160"/>
      <c r="Z857" s="160"/>
      <c r="AA857" s="160"/>
      <c r="AB857" s="160"/>
      <c r="AC857" s="160"/>
      <c r="AD857" s="160"/>
      <c r="AE857" s="160"/>
      <c r="AF857" s="160"/>
      <c r="AG857" s="160"/>
      <c r="AH857" s="160"/>
      <c r="AI857" s="160"/>
      <c r="AJ857" s="160"/>
      <c r="AK857" s="160"/>
      <c r="AL857" s="160"/>
      <c r="AM857" s="160"/>
      <c r="AN857" s="164"/>
      <c r="AO857" s="160"/>
      <c r="AP857" s="160"/>
      <c r="AQ857" s="160"/>
      <c r="AR857" s="160"/>
      <c r="AS857" s="160"/>
      <c r="AT857" s="160"/>
      <c r="AU857" s="160"/>
      <c r="AV857" s="160"/>
      <c r="AW857" s="160"/>
      <c r="AX857" s="160"/>
      <c r="AY857" s="160"/>
      <c r="AZ857" s="160"/>
      <c r="BA857" s="160"/>
      <c r="BB857" s="160"/>
      <c r="BC857" s="160"/>
      <c r="BD857" s="160"/>
      <c r="BE857" s="160"/>
      <c r="BF857" s="160"/>
      <c r="BG857" s="160"/>
      <c r="BH857" s="160"/>
      <c r="BI857" s="160"/>
      <c r="BJ857" s="160"/>
      <c r="BK857" s="160"/>
      <c r="BL857" s="160"/>
      <c r="BM857" s="160"/>
      <c r="BN857" s="160"/>
      <c r="BO857" s="160"/>
      <c r="BP857" s="160"/>
      <c r="BQ857" s="160"/>
      <c r="BR857" s="160"/>
      <c r="BS857" s="160"/>
      <c r="BT857" s="160"/>
      <c r="BU857" s="160"/>
      <c r="BV857" s="160"/>
      <c r="BW857" s="160"/>
      <c r="BX857" s="160"/>
      <c r="BY857" s="160"/>
      <c r="BZ857" s="160"/>
      <c r="CA857" s="160"/>
      <c r="CB857" s="160"/>
      <c r="CC857" s="160"/>
      <c r="CD857" s="160"/>
      <c r="CE857" s="160"/>
      <c r="CF857" s="160"/>
      <c r="CG857" s="160"/>
      <c r="CH857" s="160"/>
      <c r="CI857" s="160"/>
      <c r="CJ857" s="160"/>
      <c r="CK857" s="160"/>
      <c r="CL857" s="160"/>
    </row>
    <row r="858">
      <c r="A858" s="171"/>
      <c r="F858" s="11"/>
      <c r="G858" s="11"/>
      <c r="L858" s="171"/>
      <c r="M858" s="171"/>
      <c r="O858" s="160"/>
      <c r="P858" s="160"/>
      <c r="Q858" s="160"/>
      <c r="R858" s="160"/>
      <c r="S858" s="160"/>
      <c r="T858" s="207"/>
      <c r="U858" s="160"/>
      <c r="V858" s="160"/>
      <c r="W858" s="160"/>
      <c r="X858" s="160"/>
      <c r="Y858" s="160"/>
      <c r="Z858" s="160"/>
      <c r="AA858" s="160"/>
      <c r="AB858" s="160"/>
      <c r="AC858" s="160"/>
      <c r="AD858" s="160"/>
      <c r="AE858" s="160"/>
      <c r="AF858" s="160"/>
      <c r="AG858" s="160"/>
      <c r="AH858" s="160"/>
      <c r="AI858" s="160"/>
      <c r="AJ858" s="160"/>
      <c r="AK858" s="160"/>
      <c r="AL858" s="160"/>
      <c r="AM858" s="160"/>
      <c r="AN858" s="164"/>
      <c r="AO858" s="160"/>
      <c r="AP858" s="160"/>
      <c r="AQ858" s="160"/>
      <c r="AR858" s="160"/>
      <c r="AS858" s="160"/>
      <c r="AT858" s="160"/>
      <c r="AU858" s="160"/>
      <c r="AV858" s="160"/>
      <c r="AW858" s="160"/>
      <c r="AX858" s="160"/>
      <c r="AY858" s="160"/>
      <c r="AZ858" s="160"/>
      <c r="BA858" s="160"/>
      <c r="BB858" s="160"/>
      <c r="BC858" s="160"/>
      <c r="BD858" s="160"/>
      <c r="BE858" s="160"/>
      <c r="BF858" s="160"/>
      <c r="BG858" s="160"/>
      <c r="BH858" s="160"/>
      <c r="BI858" s="160"/>
      <c r="BJ858" s="160"/>
      <c r="BK858" s="160"/>
      <c r="BL858" s="160"/>
      <c r="BM858" s="160"/>
      <c r="BN858" s="160"/>
      <c r="BO858" s="160"/>
      <c r="BP858" s="160"/>
      <c r="BQ858" s="160"/>
      <c r="BR858" s="160"/>
      <c r="BS858" s="160"/>
      <c r="BT858" s="160"/>
      <c r="BU858" s="160"/>
      <c r="BV858" s="160"/>
      <c r="BW858" s="160"/>
      <c r="BX858" s="160"/>
      <c r="BY858" s="160"/>
      <c r="BZ858" s="160"/>
      <c r="CA858" s="160"/>
      <c r="CB858" s="160"/>
      <c r="CC858" s="160"/>
      <c r="CD858" s="160"/>
      <c r="CE858" s="160"/>
      <c r="CF858" s="160"/>
      <c r="CG858" s="160"/>
      <c r="CH858" s="160"/>
      <c r="CI858" s="160"/>
      <c r="CJ858" s="160"/>
      <c r="CK858" s="160"/>
      <c r="CL858" s="160"/>
    </row>
    <row r="859">
      <c r="A859" s="171"/>
      <c r="F859" s="11"/>
      <c r="G859" s="11"/>
      <c r="L859" s="171"/>
      <c r="M859" s="171"/>
      <c r="O859" s="160"/>
      <c r="P859" s="160"/>
      <c r="Q859" s="160"/>
      <c r="R859" s="160"/>
      <c r="S859" s="160"/>
      <c r="T859" s="207"/>
      <c r="U859" s="160"/>
      <c r="V859" s="160"/>
      <c r="W859" s="160"/>
      <c r="X859" s="160"/>
      <c r="Y859" s="160"/>
      <c r="Z859" s="160"/>
      <c r="AA859" s="160"/>
      <c r="AB859" s="160"/>
      <c r="AC859" s="160"/>
      <c r="AD859" s="160"/>
      <c r="AE859" s="160"/>
      <c r="AF859" s="160"/>
      <c r="AG859" s="160"/>
      <c r="AH859" s="160"/>
      <c r="AI859" s="160"/>
      <c r="AJ859" s="160"/>
      <c r="AK859" s="160"/>
      <c r="AL859" s="160"/>
      <c r="AM859" s="160"/>
      <c r="AN859" s="164"/>
      <c r="AO859" s="160"/>
      <c r="AP859" s="160"/>
      <c r="AQ859" s="160"/>
      <c r="AR859" s="160"/>
      <c r="AS859" s="160"/>
      <c r="AT859" s="160"/>
      <c r="AU859" s="160"/>
      <c r="AV859" s="160"/>
      <c r="AW859" s="160"/>
      <c r="AX859" s="160"/>
      <c r="AY859" s="160"/>
      <c r="AZ859" s="160"/>
      <c r="BA859" s="160"/>
      <c r="BB859" s="160"/>
      <c r="BC859" s="160"/>
      <c r="BD859" s="160"/>
      <c r="BE859" s="160"/>
      <c r="BF859" s="160"/>
      <c r="BG859" s="160"/>
      <c r="BH859" s="160"/>
      <c r="BI859" s="160"/>
      <c r="BJ859" s="160"/>
      <c r="BK859" s="160"/>
      <c r="BL859" s="160"/>
      <c r="BM859" s="160"/>
      <c r="BN859" s="160"/>
      <c r="BO859" s="160"/>
      <c r="BP859" s="160"/>
      <c r="BQ859" s="160"/>
      <c r="BR859" s="160"/>
      <c r="BS859" s="160"/>
      <c r="BT859" s="160"/>
      <c r="BU859" s="160"/>
      <c r="BV859" s="160"/>
      <c r="BW859" s="160"/>
      <c r="BX859" s="160"/>
      <c r="BY859" s="160"/>
      <c r="BZ859" s="160"/>
      <c r="CA859" s="160"/>
      <c r="CB859" s="160"/>
      <c r="CC859" s="160"/>
      <c r="CD859" s="160"/>
      <c r="CE859" s="160"/>
      <c r="CF859" s="160"/>
      <c r="CG859" s="160"/>
      <c r="CH859" s="160"/>
      <c r="CI859" s="160"/>
      <c r="CJ859" s="160"/>
      <c r="CK859" s="160"/>
      <c r="CL859" s="160"/>
    </row>
    <row r="860">
      <c r="A860" s="171"/>
      <c r="F860" s="11"/>
      <c r="G860" s="11"/>
      <c r="L860" s="171"/>
      <c r="M860" s="171"/>
      <c r="O860" s="160"/>
      <c r="P860" s="160"/>
      <c r="Q860" s="160"/>
      <c r="R860" s="160"/>
      <c r="S860" s="160"/>
      <c r="T860" s="207"/>
      <c r="U860" s="160"/>
      <c r="V860" s="160"/>
      <c r="W860" s="160"/>
      <c r="X860" s="160"/>
      <c r="Y860" s="160"/>
      <c r="Z860" s="160"/>
      <c r="AA860" s="160"/>
      <c r="AB860" s="160"/>
      <c r="AC860" s="160"/>
      <c r="AD860" s="160"/>
      <c r="AE860" s="160"/>
      <c r="AF860" s="160"/>
      <c r="AG860" s="160"/>
      <c r="AH860" s="160"/>
      <c r="AI860" s="160"/>
      <c r="AJ860" s="160"/>
      <c r="AK860" s="160"/>
      <c r="AL860" s="160"/>
      <c r="AM860" s="160"/>
      <c r="AN860" s="164"/>
      <c r="AO860" s="160"/>
      <c r="AP860" s="160"/>
      <c r="AQ860" s="160"/>
      <c r="AR860" s="160"/>
      <c r="AS860" s="160"/>
      <c r="AT860" s="160"/>
      <c r="AU860" s="160"/>
      <c r="AV860" s="160"/>
      <c r="AW860" s="160"/>
      <c r="AX860" s="160"/>
      <c r="AY860" s="160"/>
      <c r="AZ860" s="160"/>
      <c r="BA860" s="160"/>
      <c r="BB860" s="160"/>
      <c r="BC860" s="160"/>
      <c r="BD860" s="160"/>
      <c r="BE860" s="160"/>
      <c r="BF860" s="160"/>
      <c r="BG860" s="160"/>
      <c r="BH860" s="160"/>
      <c r="BI860" s="160"/>
      <c r="BJ860" s="160"/>
      <c r="BK860" s="160"/>
      <c r="BL860" s="160"/>
      <c r="BM860" s="160"/>
      <c r="BN860" s="160"/>
      <c r="BO860" s="160"/>
      <c r="BP860" s="160"/>
      <c r="BQ860" s="160"/>
      <c r="BR860" s="160"/>
      <c r="BS860" s="160"/>
      <c r="BT860" s="160"/>
      <c r="BU860" s="160"/>
      <c r="BV860" s="160"/>
      <c r="BW860" s="160"/>
      <c r="BX860" s="160"/>
      <c r="BY860" s="160"/>
      <c r="BZ860" s="160"/>
      <c r="CA860" s="160"/>
      <c r="CB860" s="160"/>
      <c r="CC860" s="160"/>
      <c r="CD860" s="160"/>
      <c r="CE860" s="160"/>
      <c r="CF860" s="160"/>
      <c r="CG860" s="160"/>
      <c r="CH860" s="160"/>
      <c r="CI860" s="160"/>
      <c r="CJ860" s="160"/>
      <c r="CK860" s="160"/>
      <c r="CL860" s="160"/>
    </row>
    <row r="861">
      <c r="A861" s="171"/>
      <c r="F861" s="11"/>
      <c r="G861" s="11"/>
      <c r="L861" s="171"/>
      <c r="M861" s="171"/>
      <c r="O861" s="160"/>
      <c r="P861" s="160"/>
      <c r="Q861" s="160"/>
      <c r="R861" s="160"/>
      <c r="S861" s="160"/>
      <c r="T861" s="207"/>
      <c r="U861" s="160"/>
      <c r="V861" s="160"/>
      <c r="W861" s="160"/>
      <c r="X861" s="160"/>
      <c r="Y861" s="160"/>
      <c r="Z861" s="160"/>
      <c r="AA861" s="160"/>
      <c r="AB861" s="160"/>
      <c r="AC861" s="160"/>
      <c r="AD861" s="160"/>
      <c r="AE861" s="160"/>
      <c r="AF861" s="160"/>
      <c r="AG861" s="160"/>
      <c r="AH861" s="160"/>
      <c r="AI861" s="160"/>
      <c r="AJ861" s="160"/>
      <c r="AK861" s="160"/>
      <c r="AL861" s="160"/>
      <c r="AM861" s="160"/>
      <c r="AN861" s="164"/>
      <c r="AO861" s="160"/>
      <c r="AP861" s="160"/>
      <c r="AQ861" s="160"/>
      <c r="AR861" s="160"/>
      <c r="AS861" s="160"/>
      <c r="AT861" s="160"/>
      <c r="AU861" s="160"/>
      <c r="AV861" s="160"/>
      <c r="AW861" s="160"/>
      <c r="AX861" s="160"/>
      <c r="AY861" s="160"/>
      <c r="AZ861" s="160"/>
      <c r="BA861" s="160"/>
      <c r="BB861" s="160"/>
      <c r="BC861" s="160"/>
      <c r="BD861" s="160"/>
      <c r="BE861" s="160"/>
      <c r="BF861" s="160"/>
      <c r="BG861" s="160"/>
      <c r="BH861" s="160"/>
      <c r="BI861" s="160"/>
      <c r="BJ861" s="160"/>
      <c r="BK861" s="160"/>
      <c r="BL861" s="160"/>
      <c r="BM861" s="160"/>
      <c r="BN861" s="160"/>
      <c r="BO861" s="160"/>
      <c r="BP861" s="160"/>
      <c r="BQ861" s="160"/>
      <c r="BR861" s="160"/>
      <c r="BS861" s="160"/>
      <c r="BT861" s="160"/>
      <c r="BU861" s="160"/>
      <c r="BV861" s="160"/>
      <c r="BW861" s="160"/>
      <c r="BX861" s="160"/>
      <c r="BY861" s="160"/>
      <c r="BZ861" s="160"/>
      <c r="CA861" s="160"/>
      <c r="CB861" s="160"/>
      <c r="CC861" s="160"/>
      <c r="CD861" s="160"/>
      <c r="CE861" s="160"/>
      <c r="CF861" s="160"/>
      <c r="CG861" s="160"/>
      <c r="CH861" s="160"/>
      <c r="CI861" s="160"/>
      <c r="CJ861" s="160"/>
      <c r="CK861" s="160"/>
      <c r="CL861" s="160"/>
    </row>
    <row r="862">
      <c r="A862" s="171"/>
      <c r="F862" s="11"/>
      <c r="G862" s="11"/>
      <c r="L862" s="171"/>
      <c r="M862" s="171"/>
      <c r="O862" s="160"/>
      <c r="P862" s="160"/>
      <c r="Q862" s="160"/>
      <c r="R862" s="160"/>
      <c r="S862" s="160"/>
      <c r="T862" s="207"/>
      <c r="U862" s="160"/>
      <c r="V862" s="160"/>
      <c r="W862" s="160"/>
      <c r="X862" s="160"/>
      <c r="Y862" s="160"/>
      <c r="Z862" s="160"/>
      <c r="AA862" s="160"/>
      <c r="AB862" s="160"/>
      <c r="AC862" s="160"/>
      <c r="AD862" s="160"/>
      <c r="AE862" s="160"/>
      <c r="AF862" s="160"/>
      <c r="AG862" s="160"/>
      <c r="AH862" s="160"/>
      <c r="AI862" s="160"/>
      <c r="AJ862" s="160"/>
      <c r="AK862" s="160"/>
      <c r="AL862" s="160"/>
      <c r="AM862" s="160"/>
      <c r="AN862" s="164"/>
      <c r="AO862" s="160"/>
      <c r="AP862" s="160"/>
      <c r="AQ862" s="160"/>
      <c r="AR862" s="160"/>
      <c r="AS862" s="160"/>
      <c r="AT862" s="160"/>
      <c r="AU862" s="160"/>
      <c r="AV862" s="160"/>
      <c r="AW862" s="160"/>
      <c r="AX862" s="160"/>
      <c r="AY862" s="160"/>
      <c r="AZ862" s="160"/>
      <c r="BA862" s="160"/>
      <c r="BB862" s="160"/>
      <c r="BC862" s="160"/>
      <c r="BD862" s="160"/>
      <c r="BE862" s="160"/>
      <c r="BF862" s="160"/>
      <c r="BG862" s="160"/>
      <c r="BH862" s="160"/>
      <c r="BI862" s="160"/>
      <c r="BJ862" s="160"/>
      <c r="BK862" s="160"/>
      <c r="BL862" s="160"/>
      <c r="BM862" s="160"/>
      <c r="BN862" s="160"/>
      <c r="BO862" s="160"/>
      <c r="BP862" s="160"/>
      <c r="BQ862" s="160"/>
      <c r="BR862" s="160"/>
      <c r="BS862" s="160"/>
      <c r="BT862" s="160"/>
      <c r="BU862" s="160"/>
      <c r="BV862" s="160"/>
      <c r="BW862" s="160"/>
      <c r="BX862" s="160"/>
      <c r="BY862" s="160"/>
      <c r="BZ862" s="160"/>
      <c r="CA862" s="160"/>
      <c r="CB862" s="160"/>
      <c r="CC862" s="160"/>
      <c r="CD862" s="160"/>
      <c r="CE862" s="160"/>
      <c r="CF862" s="160"/>
      <c r="CG862" s="160"/>
      <c r="CH862" s="160"/>
      <c r="CI862" s="160"/>
      <c r="CJ862" s="160"/>
      <c r="CK862" s="160"/>
      <c r="CL862" s="160"/>
    </row>
    <row r="863">
      <c r="A863" s="171"/>
      <c r="F863" s="11"/>
      <c r="G863" s="11"/>
      <c r="L863" s="171"/>
      <c r="M863" s="171"/>
      <c r="O863" s="160"/>
      <c r="P863" s="160"/>
      <c r="Q863" s="160"/>
      <c r="R863" s="160"/>
      <c r="S863" s="160"/>
      <c r="T863" s="207"/>
      <c r="U863" s="160"/>
      <c r="V863" s="160"/>
      <c r="W863" s="160"/>
      <c r="X863" s="160"/>
      <c r="Y863" s="160"/>
      <c r="Z863" s="160"/>
      <c r="AA863" s="160"/>
      <c r="AB863" s="160"/>
      <c r="AC863" s="160"/>
      <c r="AD863" s="160"/>
      <c r="AE863" s="160"/>
      <c r="AF863" s="160"/>
      <c r="AG863" s="160"/>
      <c r="AH863" s="160"/>
      <c r="AI863" s="160"/>
      <c r="AJ863" s="160"/>
      <c r="AK863" s="160"/>
      <c r="AL863" s="160"/>
      <c r="AM863" s="160"/>
      <c r="AN863" s="164"/>
      <c r="AO863" s="160"/>
      <c r="AP863" s="160"/>
      <c r="AQ863" s="160"/>
      <c r="AR863" s="160"/>
      <c r="AS863" s="160"/>
      <c r="AT863" s="160"/>
      <c r="AU863" s="160"/>
      <c r="AV863" s="160"/>
      <c r="AW863" s="160"/>
      <c r="AX863" s="160"/>
      <c r="AY863" s="160"/>
      <c r="AZ863" s="160"/>
      <c r="BA863" s="160"/>
      <c r="BB863" s="160"/>
      <c r="BC863" s="160"/>
      <c r="BD863" s="160"/>
      <c r="BE863" s="160"/>
      <c r="BF863" s="160"/>
      <c r="BG863" s="160"/>
      <c r="BH863" s="160"/>
      <c r="BI863" s="160"/>
      <c r="BJ863" s="160"/>
      <c r="BK863" s="160"/>
      <c r="BL863" s="160"/>
      <c r="BM863" s="160"/>
      <c r="BN863" s="160"/>
      <c r="BO863" s="160"/>
      <c r="BP863" s="160"/>
      <c r="BQ863" s="160"/>
      <c r="BR863" s="160"/>
      <c r="BS863" s="160"/>
      <c r="BT863" s="160"/>
      <c r="BU863" s="160"/>
      <c r="BV863" s="160"/>
      <c r="BW863" s="160"/>
      <c r="BX863" s="160"/>
      <c r="BY863" s="160"/>
      <c r="BZ863" s="160"/>
      <c r="CA863" s="160"/>
      <c r="CB863" s="160"/>
      <c r="CC863" s="160"/>
      <c r="CD863" s="160"/>
      <c r="CE863" s="160"/>
      <c r="CF863" s="160"/>
      <c r="CG863" s="160"/>
      <c r="CH863" s="160"/>
      <c r="CI863" s="160"/>
      <c r="CJ863" s="160"/>
      <c r="CK863" s="160"/>
      <c r="CL863" s="160"/>
    </row>
    <row r="864">
      <c r="A864" s="171"/>
      <c r="F864" s="11"/>
      <c r="G864" s="11"/>
      <c r="L864" s="171"/>
      <c r="M864" s="171"/>
      <c r="O864" s="160"/>
      <c r="P864" s="160"/>
      <c r="Q864" s="160"/>
      <c r="R864" s="160"/>
      <c r="S864" s="160"/>
      <c r="T864" s="207"/>
      <c r="U864" s="160"/>
      <c r="V864" s="160"/>
      <c r="W864" s="160"/>
      <c r="X864" s="160"/>
      <c r="Y864" s="160"/>
      <c r="Z864" s="160"/>
      <c r="AA864" s="160"/>
      <c r="AB864" s="160"/>
      <c r="AC864" s="160"/>
      <c r="AD864" s="160"/>
      <c r="AE864" s="160"/>
      <c r="AF864" s="160"/>
      <c r="AG864" s="160"/>
      <c r="AH864" s="160"/>
      <c r="AI864" s="160"/>
      <c r="AJ864" s="160"/>
      <c r="AK864" s="160"/>
      <c r="AL864" s="160"/>
      <c r="AM864" s="160"/>
      <c r="AN864" s="164"/>
      <c r="AO864" s="160"/>
      <c r="AP864" s="160"/>
      <c r="AQ864" s="160"/>
      <c r="AR864" s="160"/>
      <c r="AS864" s="160"/>
      <c r="AT864" s="160"/>
      <c r="AU864" s="160"/>
      <c r="AV864" s="160"/>
      <c r="AW864" s="160"/>
      <c r="AX864" s="160"/>
      <c r="AY864" s="160"/>
      <c r="AZ864" s="160"/>
      <c r="BA864" s="160"/>
      <c r="BB864" s="160"/>
      <c r="BC864" s="160"/>
      <c r="BD864" s="160"/>
      <c r="BE864" s="160"/>
      <c r="BF864" s="160"/>
      <c r="BG864" s="160"/>
      <c r="BH864" s="160"/>
      <c r="BI864" s="160"/>
      <c r="BJ864" s="160"/>
      <c r="BK864" s="160"/>
      <c r="BL864" s="160"/>
      <c r="BM864" s="160"/>
      <c r="BN864" s="160"/>
      <c r="BO864" s="160"/>
      <c r="BP864" s="160"/>
      <c r="BQ864" s="160"/>
      <c r="BR864" s="160"/>
      <c r="BS864" s="160"/>
      <c r="BT864" s="160"/>
      <c r="BU864" s="160"/>
      <c r="BV864" s="160"/>
      <c r="BW864" s="160"/>
      <c r="BX864" s="160"/>
      <c r="BY864" s="160"/>
      <c r="BZ864" s="160"/>
      <c r="CA864" s="160"/>
      <c r="CB864" s="160"/>
      <c r="CC864" s="160"/>
      <c r="CD864" s="160"/>
      <c r="CE864" s="160"/>
      <c r="CF864" s="160"/>
      <c r="CG864" s="160"/>
      <c r="CH864" s="160"/>
      <c r="CI864" s="160"/>
      <c r="CJ864" s="160"/>
      <c r="CK864" s="160"/>
      <c r="CL864" s="160"/>
    </row>
    <row r="865">
      <c r="A865" s="171"/>
      <c r="F865" s="11"/>
      <c r="G865" s="11"/>
      <c r="L865" s="171"/>
      <c r="M865" s="171"/>
      <c r="O865" s="160"/>
      <c r="P865" s="160"/>
      <c r="Q865" s="160"/>
      <c r="R865" s="160"/>
      <c r="S865" s="160"/>
      <c r="T865" s="207"/>
      <c r="U865" s="160"/>
      <c r="V865" s="160"/>
      <c r="W865" s="160"/>
      <c r="X865" s="160"/>
      <c r="Y865" s="160"/>
      <c r="Z865" s="160"/>
      <c r="AA865" s="160"/>
      <c r="AB865" s="160"/>
      <c r="AC865" s="160"/>
      <c r="AD865" s="160"/>
      <c r="AE865" s="160"/>
      <c r="AF865" s="160"/>
      <c r="AG865" s="160"/>
      <c r="AH865" s="160"/>
      <c r="AI865" s="160"/>
      <c r="AJ865" s="160"/>
      <c r="AK865" s="160"/>
      <c r="AL865" s="160"/>
      <c r="AM865" s="160"/>
      <c r="AN865" s="164"/>
      <c r="AO865" s="160"/>
      <c r="AP865" s="160"/>
      <c r="AQ865" s="160"/>
      <c r="AR865" s="160"/>
      <c r="AS865" s="160"/>
      <c r="AT865" s="160"/>
      <c r="AU865" s="160"/>
      <c r="AV865" s="160"/>
      <c r="AW865" s="160"/>
      <c r="AX865" s="160"/>
      <c r="AY865" s="160"/>
      <c r="AZ865" s="160"/>
      <c r="BA865" s="160"/>
      <c r="BB865" s="160"/>
      <c r="BC865" s="160"/>
      <c r="BD865" s="160"/>
      <c r="BE865" s="160"/>
      <c r="BF865" s="160"/>
      <c r="BG865" s="160"/>
      <c r="BH865" s="160"/>
      <c r="BI865" s="160"/>
      <c r="BJ865" s="160"/>
      <c r="BK865" s="160"/>
      <c r="BL865" s="160"/>
      <c r="BM865" s="160"/>
      <c r="BN865" s="160"/>
      <c r="BO865" s="160"/>
      <c r="BP865" s="160"/>
      <c r="BQ865" s="160"/>
      <c r="BR865" s="160"/>
      <c r="BS865" s="160"/>
      <c r="BT865" s="160"/>
      <c r="BU865" s="160"/>
      <c r="BV865" s="160"/>
      <c r="BW865" s="160"/>
      <c r="BX865" s="160"/>
      <c r="BY865" s="160"/>
      <c r="BZ865" s="160"/>
      <c r="CA865" s="160"/>
      <c r="CB865" s="160"/>
      <c r="CC865" s="160"/>
      <c r="CD865" s="160"/>
      <c r="CE865" s="160"/>
      <c r="CF865" s="160"/>
      <c r="CG865" s="160"/>
      <c r="CH865" s="160"/>
      <c r="CI865" s="160"/>
      <c r="CJ865" s="160"/>
      <c r="CK865" s="160"/>
      <c r="CL865" s="160"/>
    </row>
    <row r="866">
      <c r="A866" s="171"/>
      <c r="F866" s="11"/>
      <c r="G866" s="11"/>
      <c r="L866" s="171"/>
      <c r="M866" s="171"/>
      <c r="O866" s="160"/>
      <c r="P866" s="160"/>
      <c r="Q866" s="160"/>
      <c r="R866" s="160"/>
      <c r="S866" s="160"/>
      <c r="T866" s="207"/>
      <c r="U866" s="160"/>
      <c r="V866" s="160"/>
      <c r="W866" s="160"/>
      <c r="X866" s="160"/>
      <c r="Y866" s="160"/>
      <c r="Z866" s="160"/>
      <c r="AA866" s="160"/>
      <c r="AB866" s="160"/>
      <c r="AC866" s="160"/>
      <c r="AD866" s="160"/>
      <c r="AE866" s="160"/>
      <c r="AF866" s="160"/>
      <c r="AG866" s="160"/>
      <c r="AH866" s="160"/>
      <c r="AI866" s="160"/>
      <c r="AJ866" s="160"/>
      <c r="AK866" s="160"/>
      <c r="AL866" s="160"/>
      <c r="AM866" s="160"/>
      <c r="AN866" s="164"/>
      <c r="AO866" s="160"/>
      <c r="AP866" s="160"/>
      <c r="AQ866" s="160"/>
      <c r="AR866" s="160"/>
      <c r="AS866" s="160"/>
      <c r="AT866" s="160"/>
      <c r="AU866" s="160"/>
      <c r="AV866" s="160"/>
      <c r="AW866" s="160"/>
      <c r="AX866" s="160"/>
      <c r="AY866" s="160"/>
      <c r="AZ866" s="160"/>
      <c r="BA866" s="160"/>
      <c r="BB866" s="160"/>
      <c r="BC866" s="160"/>
      <c r="BD866" s="160"/>
      <c r="BE866" s="160"/>
      <c r="BF866" s="160"/>
      <c r="BG866" s="160"/>
      <c r="BH866" s="160"/>
      <c r="BI866" s="160"/>
      <c r="BJ866" s="160"/>
      <c r="BK866" s="160"/>
      <c r="BL866" s="160"/>
      <c r="BM866" s="160"/>
      <c r="BN866" s="160"/>
      <c r="BO866" s="160"/>
      <c r="BP866" s="160"/>
      <c r="BQ866" s="160"/>
      <c r="BR866" s="160"/>
      <c r="BS866" s="160"/>
      <c r="BT866" s="160"/>
      <c r="BU866" s="160"/>
      <c r="BV866" s="160"/>
      <c r="BW866" s="160"/>
      <c r="BX866" s="160"/>
      <c r="BY866" s="160"/>
      <c r="BZ866" s="160"/>
      <c r="CA866" s="160"/>
      <c r="CB866" s="160"/>
      <c r="CC866" s="160"/>
      <c r="CD866" s="160"/>
      <c r="CE866" s="160"/>
      <c r="CF866" s="160"/>
      <c r="CG866" s="160"/>
      <c r="CH866" s="160"/>
      <c r="CI866" s="160"/>
      <c r="CJ866" s="160"/>
      <c r="CK866" s="160"/>
      <c r="CL866" s="160"/>
    </row>
    <row r="867">
      <c r="A867" s="171"/>
      <c r="F867" s="11"/>
      <c r="G867" s="11"/>
      <c r="L867" s="171"/>
      <c r="M867" s="171"/>
      <c r="O867" s="160"/>
      <c r="P867" s="160"/>
      <c r="Q867" s="160"/>
      <c r="R867" s="160"/>
      <c r="S867" s="160"/>
      <c r="T867" s="207"/>
      <c r="U867" s="160"/>
      <c r="V867" s="160"/>
      <c r="W867" s="160"/>
      <c r="X867" s="160"/>
      <c r="Y867" s="160"/>
      <c r="Z867" s="160"/>
      <c r="AA867" s="160"/>
      <c r="AB867" s="160"/>
      <c r="AC867" s="160"/>
      <c r="AD867" s="160"/>
      <c r="AE867" s="160"/>
      <c r="AF867" s="160"/>
      <c r="AG867" s="160"/>
      <c r="AH867" s="160"/>
      <c r="AI867" s="160"/>
      <c r="AJ867" s="160"/>
      <c r="AK867" s="160"/>
      <c r="AL867" s="160"/>
      <c r="AM867" s="160"/>
      <c r="AN867" s="164"/>
      <c r="AO867" s="160"/>
      <c r="AP867" s="160"/>
      <c r="AQ867" s="160"/>
      <c r="AR867" s="160"/>
      <c r="AS867" s="160"/>
      <c r="AT867" s="160"/>
      <c r="AU867" s="160"/>
      <c r="AV867" s="160"/>
      <c r="AW867" s="160"/>
      <c r="AX867" s="160"/>
      <c r="AY867" s="160"/>
      <c r="AZ867" s="160"/>
      <c r="BA867" s="160"/>
      <c r="BB867" s="160"/>
      <c r="BC867" s="160"/>
      <c r="BD867" s="160"/>
      <c r="BE867" s="160"/>
      <c r="BF867" s="160"/>
      <c r="BG867" s="160"/>
      <c r="BH867" s="160"/>
      <c r="BI867" s="160"/>
      <c r="BJ867" s="160"/>
      <c r="BK867" s="160"/>
      <c r="BL867" s="160"/>
      <c r="BM867" s="160"/>
      <c r="BN867" s="160"/>
      <c r="BO867" s="160"/>
      <c r="BP867" s="160"/>
      <c r="BQ867" s="160"/>
      <c r="BR867" s="160"/>
      <c r="BS867" s="160"/>
      <c r="BT867" s="160"/>
      <c r="BU867" s="160"/>
      <c r="BV867" s="160"/>
      <c r="BW867" s="160"/>
      <c r="BX867" s="160"/>
      <c r="BY867" s="160"/>
      <c r="BZ867" s="160"/>
      <c r="CA867" s="160"/>
      <c r="CB867" s="160"/>
      <c r="CC867" s="160"/>
      <c r="CD867" s="160"/>
      <c r="CE867" s="160"/>
      <c r="CF867" s="160"/>
      <c r="CG867" s="160"/>
      <c r="CH867" s="160"/>
      <c r="CI867" s="160"/>
      <c r="CJ867" s="160"/>
      <c r="CK867" s="160"/>
      <c r="CL867" s="160"/>
    </row>
    <row r="868">
      <c r="A868" s="171"/>
      <c r="F868" s="11"/>
      <c r="G868" s="11"/>
      <c r="L868" s="171"/>
      <c r="M868" s="171"/>
      <c r="O868" s="160"/>
      <c r="P868" s="160"/>
      <c r="Q868" s="160"/>
      <c r="R868" s="160"/>
      <c r="S868" s="160"/>
      <c r="T868" s="207"/>
      <c r="U868" s="160"/>
      <c r="V868" s="160"/>
      <c r="W868" s="160"/>
      <c r="X868" s="160"/>
      <c r="Y868" s="160"/>
      <c r="Z868" s="160"/>
      <c r="AA868" s="160"/>
      <c r="AB868" s="160"/>
      <c r="AC868" s="160"/>
      <c r="AD868" s="160"/>
      <c r="AE868" s="160"/>
      <c r="AF868" s="160"/>
      <c r="AG868" s="160"/>
      <c r="AH868" s="160"/>
      <c r="AI868" s="160"/>
      <c r="AJ868" s="160"/>
      <c r="AK868" s="160"/>
      <c r="AL868" s="160"/>
      <c r="AM868" s="160"/>
      <c r="AN868" s="164"/>
      <c r="AO868" s="160"/>
      <c r="AP868" s="160"/>
      <c r="AQ868" s="160"/>
      <c r="AR868" s="160"/>
      <c r="AS868" s="160"/>
      <c r="AT868" s="160"/>
      <c r="AU868" s="160"/>
      <c r="AV868" s="160"/>
      <c r="AW868" s="160"/>
      <c r="AX868" s="160"/>
      <c r="AY868" s="160"/>
      <c r="AZ868" s="160"/>
      <c r="BA868" s="160"/>
      <c r="BB868" s="160"/>
      <c r="BC868" s="160"/>
      <c r="BD868" s="160"/>
      <c r="BE868" s="160"/>
      <c r="BF868" s="160"/>
      <c r="BG868" s="160"/>
      <c r="BH868" s="160"/>
      <c r="BI868" s="160"/>
      <c r="BJ868" s="160"/>
      <c r="BK868" s="160"/>
      <c r="BL868" s="160"/>
      <c r="BM868" s="160"/>
      <c r="BN868" s="160"/>
      <c r="BO868" s="160"/>
      <c r="BP868" s="160"/>
      <c r="BQ868" s="160"/>
      <c r="BR868" s="160"/>
      <c r="BS868" s="160"/>
      <c r="BT868" s="160"/>
      <c r="BU868" s="160"/>
      <c r="BV868" s="160"/>
      <c r="BW868" s="160"/>
      <c r="BX868" s="160"/>
      <c r="BY868" s="160"/>
      <c r="BZ868" s="160"/>
      <c r="CA868" s="160"/>
      <c r="CB868" s="160"/>
      <c r="CC868" s="160"/>
      <c r="CD868" s="160"/>
      <c r="CE868" s="160"/>
      <c r="CF868" s="160"/>
      <c r="CG868" s="160"/>
      <c r="CH868" s="160"/>
      <c r="CI868" s="160"/>
      <c r="CJ868" s="160"/>
      <c r="CK868" s="160"/>
      <c r="CL868" s="160"/>
    </row>
    <row r="869">
      <c r="A869" s="171"/>
      <c r="F869" s="11"/>
      <c r="G869" s="11"/>
      <c r="L869" s="171"/>
      <c r="M869" s="171"/>
      <c r="O869" s="160"/>
      <c r="P869" s="160"/>
      <c r="Q869" s="160"/>
      <c r="R869" s="160"/>
      <c r="S869" s="160"/>
      <c r="T869" s="207"/>
      <c r="U869" s="160"/>
      <c r="V869" s="160"/>
      <c r="W869" s="160"/>
      <c r="X869" s="160"/>
      <c r="Y869" s="160"/>
      <c r="Z869" s="160"/>
      <c r="AA869" s="160"/>
      <c r="AB869" s="160"/>
      <c r="AC869" s="160"/>
      <c r="AD869" s="160"/>
      <c r="AE869" s="160"/>
      <c r="AF869" s="160"/>
      <c r="AG869" s="160"/>
      <c r="AH869" s="160"/>
      <c r="AI869" s="160"/>
      <c r="AJ869" s="160"/>
      <c r="AK869" s="160"/>
      <c r="AL869" s="160"/>
      <c r="AM869" s="160"/>
      <c r="AN869" s="164"/>
      <c r="AO869" s="160"/>
      <c r="AP869" s="160"/>
      <c r="AQ869" s="160"/>
      <c r="AR869" s="160"/>
      <c r="AS869" s="160"/>
      <c r="AT869" s="160"/>
      <c r="AU869" s="160"/>
      <c r="AV869" s="160"/>
      <c r="AW869" s="160"/>
      <c r="AX869" s="160"/>
      <c r="AY869" s="160"/>
      <c r="AZ869" s="160"/>
      <c r="BA869" s="160"/>
      <c r="BB869" s="160"/>
      <c r="BC869" s="160"/>
      <c r="BD869" s="160"/>
      <c r="BE869" s="160"/>
      <c r="BF869" s="160"/>
      <c r="BG869" s="160"/>
      <c r="BH869" s="160"/>
      <c r="BI869" s="160"/>
      <c r="BJ869" s="160"/>
      <c r="BK869" s="160"/>
      <c r="BL869" s="160"/>
      <c r="BM869" s="160"/>
      <c r="BN869" s="160"/>
      <c r="BO869" s="160"/>
      <c r="BP869" s="160"/>
      <c r="BQ869" s="160"/>
      <c r="BR869" s="160"/>
      <c r="BS869" s="160"/>
      <c r="BT869" s="160"/>
      <c r="BU869" s="160"/>
      <c r="BV869" s="160"/>
      <c r="BW869" s="160"/>
      <c r="BX869" s="160"/>
      <c r="BY869" s="160"/>
      <c r="BZ869" s="160"/>
      <c r="CA869" s="160"/>
      <c r="CB869" s="160"/>
      <c r="CC869" s="160"/>
      <c r="CD869" s="160"/>
      <c r="CE869" s="160"/>
      <c r="CF869" s="160"/>
      <c r="CG869" s="160"/>
      <c r="CH869" s="160"/>
      <c r="CI869" s="160"/>
      <c r="CJ869" s="160"/>
      <c r="CK869" s="160"/>
      <c r="CL869" s="160"/>
    </row>
    <row r="870">
      <c r="A870" s="171"/>
      <c r="F870" s="11"/>
      <c r="G870" s="11"/>
      <c r="L870" s="171"/>
      <c r="M870" s="171"/>
      <c r="O870" s="160"/>
      <c r="P870" s="160"/>
      <c r="Q870" s="160"/>
      <c r="R870" s="160"/>
      <c r="S870" s="160"/>
      <c r="T870" s="207"/>
      <c r="U870" s="160"/>
      <c r="V870" s="160"/>
      <c r="W870" s="160"/>
      <c r="X870" s="160"/>
      <c r="Y870" s="160"/>
      <c r="Z870" s="160"/>
      <c r="AA870" s="160"/>
      <c r="AB870" s="160"/>
      <c r="AC870" s="160"/>
      <c r="AD870" s="160"/>
      <c r="AE870" s="160"/>
      <c r="AF870" s="160"/>
      <c r="AG870" s="160"/>
      <c r="AH870" s="160"/>
      <c r="AI870" s="160"/>
      <c r="AJ870" s="160"/>
      <c r="AK870" s="160"/>
      <c r="AL870" s="160"/>
      <c r="AM870" s="160"/>
      <c r="AN870" s="164"/>
      <c r="AO870" s="160"/>
      <c r="AP870" s="160"/>
      <c r="AQ870" s="160"/>
      <c r="AR870" s="160"/>
      <c r="AS870" s="160"/>
      <c r="AT870" s="160"/>
      <c r="AU870" s="160"/>
      <c r="AV870" s="160"/>
      <c r="AW870" s="160"/>
      <c r="AX870" s="160"/>
      <c r="AY870" s="160"/>
      <c r="AZ870" s="160"/>
      <c r="BA870" s="160"/>
      <c r="BB870" s="160"/>
      <c r="BC870" s="160"/>
      <c r="BD870" s="160"/>
      <c r="BE870" s="160"/>
      <c r="BF870" s="160"/>
      <c r="BG870" s="160"/>
      <c r="BH870" s="160"/>
      <c r="BI870" s="160"/>
      <c r="BJ870" s="160"/>
      <c r="BK870" s="160"/>
      <c r="BL870" s="160"/>
      <c r="BM870" s="160"/>
      <c r="BN870" s="160"/>
      <c r="BO870" s="160"/>
      <c r="BP870" s="160"/>
      <c r="BQ870" s="160"/>
      <c r="BR870" s="160"/>
      <c r="BS870" s="160"/>
      <c r="BT870" s="160"/>
      <c r="BU870" s="160"/>
      <c r="BV870" s="160"/>
      <c r="BW870" s="160"/>
      <c r="BX870" s="160"/>
      <c r="BY870" s="160"/>
      <c r="BZ870" s="160"/>
      <c r="CA870" s="160"/>
      <c r="CB870" s="160"/>
      <c r="CC870" s="160"/>
      <c r="CD870" s="160"/>
      <c r="CE870" s="160"/>
      <c r="CF870" s="160"/>
      <c r="CG870" s="160"/>
      <c r="CH870" s="160"/>
      <c r="CI870" s="160"/>
      <c r="CJ870" s="160"/>
      <c r="CK870" s="160"/>
      <c r="CL870" s="160"/>
    </row>
    <row r="871">
      <c r="A871" s="171"/>
      <c r="F871" s="11"/>
      <c r="G871" s="11"/>
      <c r="L871" s="171"/>
      <c r="M871" s="171"/>
      <c r="O871" s="160"/>
      <c r="P871" s="160"/>
      <c r="Q871" s="160"/>
      <c r="R871" s="160"/>
      <c r="S871" s="160"/>
      <c r="T871" s="207"/>
      <c r="U871" s="160"/>
      <c r="V871" s="160"/>
      <c r="W871" s="160"/>
      <c r="X871" s="160"/>
      <c r="Y871" s="160"/>
      <c r="Z871" s="160"/>
      <c r="AA871" s="160"/>
      <c r="AB871" s="160"/>
      <c r="AC871" s="160"/>
      <c r="AD871" s="160"/>
      <c r="AE871" s="160"/>
      <c r="AF871" s="160"/>
      <c r="AG871" s="160"/>
      <c r="AH871" s="160"/>
      <c r="AI871" s="160"/>
      <c r="AJ871" s="160"/>
      <c r="AK871" s="160"/>
      <c r="AL871" s="160"/>
      <c r="AM871" s="160"/>
      <c r="AN871" s="164"/>
      <c r="AO871" s="160"/>
      <c r="AP871" s="160"/>
      <c r="AQ871" s="160"/>
      <c r="AR871" s="160"/>
      <c r="AS871" s="160"/>
      <c r="AT871" s="160"/>
      <c r="AU871" s="160"/>
      <c r="AV871" s="160"/>
      <c r="AW871" s="160"/>
      <c r="AX871" s="160"/>
      <c r="AY871" s="160"/>
      <c r="AZ871" s="160"/>
      <c r="BA871" s="160"/>
      <c r="BB871" s="160"/>
      <c r="BC871" s="160"/>
      <c r="BD871" s="160"/>
      <c r="BE871" s="160"/>
      <c r="BF871" s="160"/>
      <c r="BG871" s="160"/>
      <c r="BH871" s="160"/>
      <c r="BI871" s="160"/>
      <c r="BJ871" s="160"/>
      <c r="BK871" s="160"/>
      <c r="BL871" s="160"/>
      <c r="BM871" s="160"/>
      <c r="BN871" s="160"/>
      <c r="BO871" s="160"/>
      <c r="BP871" s="160"/>
      <c r="BQ871" s="160"/>
      <c r="BR871" s="160"/>
      <c r="BS871" s="160"/>
      <c r="BT871" s="160"/>
      <c r="BU871" s="160"/>
      <c r="BV871" s="160"/>
      <c r="BW871" s="160"/>
      <c r="BX871" s="160"/>
      <c r="BY871" s="160"/>
      <c r="BZ871" s="160"/>
      <c r="CA871" s="160"/>
      <c r="CB871" s="160"/>
      <c r="CC871" s="160"/>
      <c r="CD871" s="160"/>
      <c r="CE871" s="160"/>
      <c r="CF871" s="160"/>
      <c r="CG871" s="160"/>
      <c r="CH871" s="160"/>
      <c r="CI871" s="160"/>
      <c r="CJ871" s="160"/>
      <c r="CK871" s="160"/>
      <c r="CL871" s="160"/>
    </row>
    <row r="872">
      <c r="A872" s="171"/>
      <c r="F872" s="11"/>
      <c r="G872" s="11"/>
      <c r="L872" s="171"/>
      <c r="M872" s="171"/>
      <c r="O872" s="160"/>
      <c r="P872" s="160"/>
      <c r="Q872" s="160"/>
      <c r="R872" s="160"/>
      <c r="S872" s="160"/>
      <c r="T872" s="207"/>
      <c r="U872" s="160"/>
      <c r="V872" s="160"/>
      <c r="W872" s="160"/>
      <c r="X872" s="160"/>
      <c r="Y872" s="160"/>
      <c r="Z872" s="160"/>
      <c r="AA872" s="160"/>
      <c r="AB872" s="160"/>
      <c r="AC872" s="160"/>
      <c r="AD872" s="160"/>
      <c r="AE872" s="160"/>
      <c r="AF872" s="160"/>
      <c r="AG872" s="160"/>
      <c r="AH872" s="160"/>
      <c r="AI872" s="160"/>
      <c r="AJ872" s="160"/>
      <c r="AK872" s="160"/>
      <c r="AL872" s="160"/>
      <c r="AM872" s="160"/>
      <c r="AN872" s="164"/>
      <c r="AO872" s="160"/>
      <c r="AP872" s="160"/>
      <c r="AQ872" s="160"/>
      <c r="AR872" s="160"/>
      <c r="AS872" s="160"/>
      <c r="AT872" s="160"/>
      <c r="AU872" s="160"/>
      <c r="AV872" s="160"/>
      <c r="AW872" s="160"/>
      <c r="AX872" s="160"/>
      <c r="AY872" s="160"/>
      <c r="AZ872" s="160"/>
      <c r="BA872" s="160"/>
      <c r="BB872" s="160"/>
      <c r="BC872" s="160"/>
      <c r="BD872" s="160"/>
      <c r="BE872" s="160"/>
      <c r="BF872" s="160"/>
      <c r="BG872" s="160"/>
      <c r="BH872" s="160"/>
      <c r="BI872" s="160"/>
      <c r="BJ872" s="160"/>
      <c r="BK872" s="160"/>
      <c r="BL872" s="160"/>
      <c r="BM872" s="160"/>
      <c r="BN872" s="160"/>
      <c r="BO872" s="160"/>
      <c r="BP872" s="160"/>
      <c r="BQ872" s="160"/>
      <c r="BR872" s="160"/>
      <c r="BS872" s="160"/>
      <c r="BT872" s="160"/>
      <c r="BU872" s="160"/>
      <c r="BV872" s="160"/>
      <c r="BW872" s="160"/>
      <c r="BX872" s="160"/>
      <c r="BY872" s="160"/>
      <c r="BZ872" s="160"/>
      <c r="CA872" s="160"/>
      <c r="CB872" s="160"/>
      <c r="CC872" s="160"/>
      <c r="CD872" s="160"/>
      <c r="CE872" s="160"/>
      <c r="CF872" s="160"/>
      <c r="CG872" s="160"/>
      <c r="CH872" s="160"/>
      <c r="CI872" s="160"/>
      <c r="CJ872" s="160"/>
      <c r="CK872" s="160"/>
      <c r="CL872" s="160"/>
    </row>
    <row r="873">
      <c r="A873" s="171"/>
      <c r="F873" s="11"/>
      <c r="G873" s="11"/>
      <c r="L873" s="171"/>
      <c r="M873" s="171"/>
      <c r="O873" s="160"/>
      <c r="P873" s="160"/>
      <c r="Q873" s="160"/>
      <c r="R873" s="160"/>
      <c r="S873" s="160"/>
      <c r="T873" s="207"/>
      <c r="U873" s="160"/>
      <c r="V873" s="160"/>
      <c r="W873" s="160"/>
      <c r="X873" s="160"/>
      <c r="Y873" s="160"/>
      <c r="Z873" s="160"/>
      <c r="AA873" s="160"/>
      <c r="AB873" s="160"/>
      <c r="AC873" s="160"/>
      <c r="AD873" s="160"/>
      <c r="AE873" s="160"/>
      <c r="AF873" s="160"/>
      <c r="AG873" s="160"/>
      <c r="AH873" s="160"/>
      <c r="AI873" s="160"/>
      <c r="AJ873" s="160"/>
      <c r="AK873" s="160"/>
      <c r="AL873" s="160"/>
      <c r="AM873" s="160"/>
      <c r="AN873" s="164"/>
      <c r="AO873" s="160"/>
      <c r="AP873" s="160"/>
      <c r="AQ873" s="160"/>
      <c r="AR873" s="160"/>
      <c r="AS873" s="160"/>
      <c r="AT873" s="160"/>
      <c r="AU873" s="160"/>
      <c r="AV873" s="160"/>
      <c r="AW873" s="160"/>
      <c r="AX873" s="160"/>
      <c r="AY873" s="160"/>
      <c r="AZ873" s="160"/>
      <c r="BA873" s="160"/>
      <c r="BB873" s="160"/>
      <c r="BC873" s="160"/>
      <c r="BD873" s="160"/>
      <c r="BE873" s="160"/>
      <c r="BF873" s="160"/>
      <c r="BG873" s="160"/>
      <c r="BH873" s="160"/>
      <c r="BI873" s="160"/>
      <c r="BJ873" s="160"/>
      <c r="BK873" s="160"/>
      <c r="BL873" s="160"/>
      <c r="BM873" s="160"/>
      <c r="BN873" s="160"/>
      <c r="BO873" s="160"/>
      <c r="BP873" s="160"/>
      <c r="BQ873" s="160"/>
      <c r="BR873" s="160"/>
      <c r="BS873" s="160"/>
      <c r="BT873" s="160"/>
      <c r="BU873" s="160"/>
      <c r="BV873" s="160"/>
      <c r="BW873" s="160"/>
      <c r="BX873" s="160"/>
      <c r="BY873" s="160"/>
      <c r="BZ873" s="160"/>
      <c r="CA873" s="160"/>
      <c r="CB873" s="160"/>
      <c r="CC873" s="160"/>
      <c r="CD873" s="160"/>
      <c r="CE873" s="160"/>
      <c r="CF873" s="160"/>
      <c r="CG873" s="160"/>
      <c r="CH873" s="160"/>
      <c r="CI873" s="160"/>
      <c r="CJ873" s="160"/>
      <c r="CK873" s="160"/>
      <c r="CL873" s="160"/>
    </row>
    <row r="874">
      <c r="A874" s="171"/>
      <c r="F874" s="11"/>
      <c r="G874" s="11"/>
      <c r="L874" s="171"/>
      <c r="M874" s="171"/>
      <c r="O874" s="160"/>
      <c r="P874" s="160"/>
      <c r="Q874" s="160"/>
      <c r="R874" s="160"/>
      <c r="S874" s="160"/>
      <c r="T874" s="207"/>
      <c r="U874" s="160"/>
      <c r="V874" s="160"/>
      <c r="W874" s="160"/>
      <c r="X874" s="160"/>
      <c r="Y874" s="160"/>
      <c r="Z874" s="160"/>
      <c r="AA874" s="160"/>
      <c r="AB874" s="160"/>
      <c r="AC874" s="160"/>
      <c r="AD874" s="160"/>
      <c r="AE874" s="160"/>
      <c r="AF874" s="160"/>
      <c r="AG874" s="160"/>
      <c r="AH874" s="160"/>
      <c r="AI874" s="160"/>
      <c r="AJ874" s="160"/>
      <c r="AK874" s="160"/>
      <c r="AL874" s="160"/>
      <c r="AM874" s="160"/>
      <c r="AN874" s="164"/>
      <c r="AO874" s="160"/>
      <c r="AP874" s="160"/>
      <c r="AQ874" s="160"/>
      <c r="AR874" s="160"/>
      <c r="AS874" s="160"/>
      <c r="AT874" s="160"/>
      <c r="AU874" s="160"/>
      <c r="AV874" s="160"/>
      <c r="AW874" s="160"/>
      <c r="AX874" s="160"/>
      <c r="AY874" s="160"/>
      <c r="AZ874" s="160"/>
      <c r="BA874" s="160"/>
      <c r="BB874" s="160"/>
      <c r="BC874" s="160"/>
      <c r="BD874" s="160"/>
      <c r="BE874" s="160"/>
      <c r="BF874" s="160"/>
      <c r="BG874" s="160"/>
      <c r="BH874" s="160"/>
      <c r="BI874" s="160"/>
      <c r="BJ874" s="160"/>
      <c r="BK874" s="160"/>
      <c r="BL874" s="160"/>
      <c r="BM874" s="160"/>
      <c r="BN874" s="160"/>
      <c r="BO874" s="160"/>
      <c r="BP874" s="160"/>
      <c r="BQ874" s="160"/>
      <c r="BR874" s="160"/>
      <c r="BS874" s="160"/>
      <c r="BT874" s="160"/>
      <c r="BU874" s="160"/>
      <c r="BV874" s="160"/>
      <c r="BW874" s="160"/>
      <c r="BX874" s="160"/>
      <c r="BY874" s="160"/>
      <c r="BZ874" s="160"/>
      <c r="CA874" s="160"/>
      <c r="CB874" s="160"/>
      <c r="CC874" s="160"/>
      <c r="CD874" s="160"/>
      <c r="CE874" s="160"/>
      <c r="CF874" s="160"/>
      <c r="CG874" s="160"/>
      <c r="CH874" s="160"/>
      <c r="CI874" s="160"/>
      <c r="CJ874" s="160"/>
      <c r="CK874" s="160"/>
      <c r="CL874" s="160"/>
    </row>
    <row r="875">
      <c r="A875" s="171"/>
      <c r="F875" s="11"/>
      <c r="G875" s="11"/>
      <c r="L875" s="171"/>
      <c r="M875" s="171"/>
      <c r="O875" s="160"/>
      <c r="P875" s="160"/>
      <c r="Q875" s="160"/>
      <c r="R875" s="160"/>
      <c r="S875" s="160"/>
      <c r="T875" s="207"/>
      <c r="U875" s="160"/>
      <c r="V875" s="160"/>
      <c r="W875" s="160"/>
      <c r="X875" s="160"/>
      <c r="Y875" s="160"/>
      <c r="Z875" s="160"/>
      <c r="AA875" s="160"/>
      <c r="AB875" s="160"/>
      <c r="AC875" s="160"/>
      <c r="AD875" s="160"/>
      <c r="AE875" s="160"/>
      <c r="AF875" s="160"/>
      <c r="AG875" s="160"/>
      <c r="AH875" s="160"/>
      <c r="AI875" s="160"/>
      <c r="AJ875" s="160"/>
      <c r="AK875" s="160"/>
      <c r="AL875" s="160"/>
      <c r="AM875" s="160"/>
      <c r="AN875" s="164"/>
      <c r="AO875" s="160"/>
      <c r="AP875" s="160"/>
      <c r="AQ875" s="160"/>
      <c r="AR875" s="160"/>
      <c r="AS875" s="160"/>
      <c r="AT875" s="160"/>
      <c r="AU875" s="160"/>
      <c r="AV875" s="160"/>
      <c r="AW875" s="160"/>
      <c r="AX875" s="160"/>
      <c r="AY875" s="160"/>
      <c r="AZ875" s="160"/>
      <c r="BA875" s="160"/>
      <c r="BB875" s="160"/>
      <c r="BC875" s="160"/>
      <c r="BD875" s="160"/>
      <c r="BE875" s="160"/>
      <c r="BF875" s="160"/>
      <c r="BG875" s="160"/>
      <c r="BH875" s="160"/>
      <c r="BI875" s="160"/>
      <c r="BJ875" s="160"/>
      <c r="BK875" s="160"/>
      <c r="BL875" s="160"/>
      <c r="BM875" s="160"/>
      <c r="BN875" s="160"/>
      <c r="BO875" s="160"/>
      <c r="BP875" s="160"/>
      <c r="BQ875" s="160"/>
      <c r="BR875" s="160"/>
      <c r="BS875" s="160"/>
      <c r="BT875" s="160"/>
      <c r="BU875" s="160"/>
      <c r="BV875" s="160"/>
      <c r="BW875" s="160"/>
      <c r="BX875" s="160"/>
      <c r="BY875" s="160"/>
      <c r="BZ875" s="160"/>
      <c r="CA875" s="160"/>
      <c r="CB875" s="160"/>
      <c r="CC875" s="160"/>
      <c r="CD875" s="160"/>
      <c r="CE875" s="160"/>
      <c r="CF875" s="160"/>
      <c r="CG875" s="160"/>
      <c r="CH875" s="160"/>
      <c r="CI875" s="160"/>
      <c r="CJ875" s="160"/>
      <c r="CK875" s="160"/>
      <c r="CL875" s="160"/>
    </row>
    <row r="876">
      <c r="A876" s="171"/>
      <c r="F876" s="11"/>
      <c r="G876" s="11"/>
      <c r="L876" s="171"/>
      <c r="M876" s="171"/>
      <c r="O876" s="160"/>
      <c r="P876" s="160"/>
      <c r="Q876" s="160"/>
      <c r="R876" s="160"/>
      <c r="S876" s="160"/>
      <c r="T876" s="207"/>
      <c r="U876" s="160"/>
      <c r="V876" s="160"/>
      <c r="W876" s="160"/>
      <c r="X876" s="160"/>
      <c r="Y876" s="160"/>
      <c r="Z876" s="160"/>
      <c r="AA876" s="160"/>
      <c r="AB876" s="160"/>
      <c r="AC876" s="160"/>
      <c r="AD876" s="160"/>
      <c r="AE876" s="160"/>
      <c r="AF876" s="160"/>
      <c r="AG876" s="160"/>
      <c r="AH876" s="160"/>
      <c r="AI876" s="160"/>
      <c r="AJ876" s="160"/>
      <c r="AK876" s="160"/>
      <c r="AL876" s="160"/>
      <c r="AM876" s="160"/>
      <c r="AN876" s="164"/>
      <c r="AO876" s="160"/>
      <c r="AP876" s="160"/>
      <c r="AQ876" s="160"/>
      <c r="AR876" s="160"/>
      <c r="AS876" s="160"/>
      <c r="AT876" s="160"/>
      <c r="AU876" s="160"/>
      <c r="AV876" s="160"/>
      <c r="AW876" s="160"/>
      <c r="AX876" s="160"/>
      <c r="AY876" s="160"/>
      <c r="AZ876" s="160"/>
      <c r="BA876" s="160"/>
      <c r="BB876" s="160"/>
      <c r="BC876" s="160"/>
      <c r="BD876" s="160"/>
      <c r="BE876" s="160"/>
      <c r="BF876" s="160"/>
      <c r="BG876" s="160"/>
      <c r="BH876" s="160"/>
      <c r="BI876" s="160"/>
      <c r="BJ876" s="160"/>
      <c r="BK876" s="160"/>
      <c r="BL876" s="160"/>
      <c r="BM876" s="160"/>
      <c r="BN876" s="160"/>
      <c r="BO876" s="160"/>
      <c r="BP876" s="160"/>
      <c r="BQ876" s="160"/>
      <c r="BR876" s="160"/>
      <c r="BS876" s="160"/>
      <c r="BT876" s="160"/>
      <c r="BU876" s="160"/>
      <c r="BV876" s="160"/>
      <c r="BW876" s="160"/>
      <c r="BX876" s="160"/>
      <c r="BY876" s="160"/>
      <c r="BZ876" s="160"/>
      <c r="CA876" s="160"/>
      <c r="CB876" s="160"/>
      <c r="CC876" s="160"/>
      <c r="CD876" s="160"/>
      <c r="CE876" s="160"/>
      <c r="CF876" s="160"/>
      <c r="CG876" s="160"/>
      <c r="CH876" s="160"/>
      <c r="CI876" s="160"/>
      <c r="CJ876" s="160"/>
      <c r="CK876" s="160"/>
      <c r="CL876" s="160"/>
    </row>
    <row r="877">
      <c r="A877" s="171"/>
      <c r="F877" s="11"/>
      <c r="G877" s="11"/>
      <c r="L877" s="171"/>
      <c r="M877" s="171"/>
      <c r="O877" s="160"/>
      <c r="P877" s="160"/>
      <c r="Q877" s="160"/>
      <c r="R877" s="160"/>
      <c r="S877" s="160"/>
      <c r="T877" s="207"/>
      <c r="U877" s="160"/>
      <c r="V877" s="160"/>
      <c r="W877" s="160"/>
      <c r="X877" s="160"/>
      <c r="Y877" s="160"/>
      <c r="Z877" s="160"/>
      <c r="AA877" s="160"/>
      <c r="AB877" s="160"/>
      <c r="AC877" s="160"/>
      <c r="AD877" s="160"/>
      <c r="AE877" s="160"/>
      <c r="AF877" s="160"/>
      <c r="AG877" s="160"/>
      <c r="AH877" s="160"/>
      <c r="AI877" s="160"/>
      <c r="AJ877" s="160"/>
      <c r="AK877" s="160"/>
      <c r="AL877" s="160"/>
      <c r="AM877" s="160"/>
      <c r="AN877" s="164"/>
      <c r="AO877" s="160"/>
      <c r="AP877" s="160"/>
      <c r="AQ877" s="160"/>
      <c r="AR877" s="160"/>
      <c r="AS877" s="160"/>
      <c r="AT877" s="160"/>
      <c r="AU877" s="160"/>
      <c r="AV877" s="160"/>
      <c r="AW877" s="160"/>
      <c r="AX877" s="160"/>
      <c r="AY877" s="160"/>
      <c r="AZ877" s="160"/>
      <c r="BA877" s="160"/>
      <c r="BB877" s="160"/>
      <c r="BC877" s="160"/>
      <c r="BD877" s="160"/>
      <c r="BE877" s="160"/>
      <c r="BF877" s="160"/>
      <c r="BG877" s="160"/>
      <c r="BH877" s="160"/>
      <c r="BI877" s="160"/>
      <c r="BJ877" s="160"/>
      <c r="BK877" s="160"/>
      <c r="BL877" s="160"/>
      <c r="BM877" s="160"/>
      <c r="BN877" s="160"/>
      <c r="BO877" s="160"/>
      <c r="BP877" s="160"/>
      <c r="BQ877" s="160"/>
      <c r="BR877" s="160"/>
      <c r="BS877" s="160"/>
      <c r="BT877" s="160"/>
      <c r="BU877" s="160"/>
      <c r="BV877" s="160"/>
      <c r="BW877" s="160"/>
      <c r="BX877" s="160"/>
      <c r="BY877" s="160"/>
      <c r="BZ877" s="160"/>
      <c r="CA877" s="160"/>
      <c r="CB877" s="160"/>
      <c r="CC877" s="160"/>
      <c r="CD877" s="160"/>
      <c r="CE877" s="160"/>
      <c r="CF877" s="160"/>
      <c r="CG877" s="160"/>
      <c r="CH877" s="160"/>
      <c r="CI877" s="160"/>
      <c r="CJ877" s="160"/>
      <c r="CK877" s="160"/>
      <c r="CL877" s="160"/>
    </row>
    <row r="878">
      <c r="A878" s="171"/>
      <c r="F878" s="11"/>
      <c r="G878" s="11"/>
      <c r="L878" s="171"/>
      <c r="M878" s="171"/>
      <c r="O878" s="160"/>
      <c r="P878" s="160"/>
      <c r="Q878" s="160"/>
      <c r="R878" s="160"/>
      <c r="S878" s="160"/>
      <c r="T878" s="207"/>
      <c r="U878" s="160"/>
      <c r="V878" s="160"/>
      <c r="W878" s="160"/>
      <c r="X878" s="160"/>
      <c r="Y878" s="160"/>
      <c r="Z878" s="160"/>
      <c r="AA878" s="160"/>
      <c r="AB878" s="160"/>
      <c r="AC878" s="160"/>
      <c r="AD878" s="160"/>
      <c r="AE878" s="160"/>
      <c r="AF878" s="160"/>
      <c r="AG878" s="160"/>
      <c r="AH878" s="160"/>
      <c r="AI878" s="160"/>
      <c r="AJ878" s="160"/>
      <c r="AK878" s="160"/>
      <c r="AL878" s="160"/>
      <c r="AM878" s="160"/>
      <c r="AN878" s="164"/>
      <c r="AO878" s="160"/>
      <c r="AP878" s="160"/>
      <c r="AQ878" s="160"/>
      <c r="AR878" s="160"/>
      <c r="AS878" s="160"/>
      <c r="AT878" s="160"/>
      <c r="AU878" s="160"/>
      <c r="AV878" s="160"/>
      <c r="AW878" s="160"/>
      <c r="AX878" s="160"/>
      <c r="AY878" s="160"/>
      <c r="AZ878" s="160"/>
      <c r="BA878" s="160"/>
      <c r="BB878" s="160"/>
      <c r="BC878" s="160"/>
      <c r="BD878" s="160"/>
      <c r="BE878" s="160"/>
      <c r="BF878" s="160"/>
      <c r="BG878" s="160"/>
      <c r="BH878" s="160"/>
      <c r="BI878" s="160"/>
      <c r="BJ878" s="160"/>
      <c r="BK878" s="160"/>
      <c r="BL878" s="160"/>
      <c r="BM878" s="160"/>
      <c r="BN878" s="160"/>
      <c r="BO878" s="160"/>
      <c r="BP878" s="160"/>
      <c r="BQ878" s="160"/>
      <c r="BR878" s="160"/>
      <c r="BS878" s="160"/>
      <c r="BT878" s="160"/>
      <c r="BU878" s="160"/>
      <c r="BV878" s="160"/>
      <c r="BW878" s="160"/>
      <c r="BX878" s="160"/>
      <c r="BY878" s="160"/>
      <c r="BZ878" s="160"/>
      <c r="CA878" s="160"/>
      <c r="CB878" s="160"/>
      <c r="CC878" s="160"/>
      <c r="CD878" s="160"/>
      <c r="CE878" s="160"/>
      <c r="CF878" s="160"/>
      <c r="CG878" s="160"/>
      <c r="CH878" s="160"/>
      <c r="CI878" s="160"/>
      <c r="CJ878" s="160"/>
      <c r="CK878" s="160"/>
      <c r="CL878" s="160"/>
    </row>
    <row r="879">
      <c r="A879" s="171"/>
      <c r="F879" s="11"/>
      <c r="G879" s="11"/>
      <c r="L879" s="171"/>
      <c r="M879" s="171"/>
      <c r="O879" s="160"/>
      <c r="P879" s="160"/>
      <c r="Q879" s="160"/>
      <c r="R879" s="160"/>
      <c r="S879" s="160"/>
      <c r="T879" s="207"/>
      <c r="U879" s="160"/>
      <c r="V879" s="160"/>
      <c r="W879" s="160"/>
      <c r="X879" s="160"/>
      <c r="Y879" s="160"/>
      <c r="Z879" s="160"/>
      <c r="AA879" s="160"/>
      <c r="AB879" s="160"/>
      <c r="AC879" s="160"/>
      <c r="AD879" s="160"/>
      <c r="AE879" s="160"/>
      <c r="AF879" s="160"/>
      <c r="AG879" s="160"/>
      <c r="AH879" s="160"/>
      <c r="AI879" s="160"/>
      <c r="AJ879" s="160"/>
      <c r="AK879" s="160"/>
      <c r="AL879" s="160"/>
      <c r="AM879" s="160"/>
      <c r="AN879" s="164"/>
      <c r="AO879" s="160"/>
      <c r="AP879" s="160"/>
      <c r="AQ879" s="160"/>
      <c r="AR879" s="160"/>
      <c r="AS879" s="160"/>
      <c r="AT879" s="160"/>
      <c r="AU879" s="160"/>
      <c r="AV879" s="160"/>
      <c r="AW879" s="160"/>
      <c r="AX879" s="160"/>
      <c r="AY879" s="160"/>
      <c r="AZ879" s="160"/>
      <c r="BA879" s="160"/>
      <c r="BB879" s="160"/>
      <c r="BC879" s="160"/>
      <c r="BD879" s="160"/>
      <c r="BE879" s="160"/>
      <c r="BF879" s="160"/>
      <c r="BG879" s="160"/>
      <c r="BH879" s="160"/>
      <c r="BI879" s="160"/>
      <c r="BJ879" s="160"/>
      <c r="BK879" s="160"/>
      <c r="BL879" s="160"/>
      <c r="BM879" s="160"/>
      <c r="BN879" s="160"/>
      <c r="BO879" s="160"/>
      <c r="BP879" s="160"/>
      <c r="BQ879" s="160"/>
      <c r="BR879" s="160"/>
      <c r="BS879" s="160"/>
      <c r="BT879" s="160"/>
      <c r="BU879" s="160"/>
      <c r="BV879" s="160"/>
      <c r="BW879" s="160"/>
      <c r="BX879" s="160"/>
      <c r="BY879" s="160"/>
      <c r="BZ879" s="160"/>
      <c r="CA879" s="160"/>
      <c r="CB879" s="160"/>
      <c r="CC879" s="160"/>
      <c r="CD879" s="160"/>
      <c r="CE879" s="160"/>
      <c r="CF879" s="160"/>
      <c r="CG879" s="160"/>
      <c r="CH879" s="160"/>
      <c r="CI879" s="160"/>
      <c r="CJ879" s="160"/>
      <c r="CK879" s="160"/>
      <c r="CL879" s="160"/>
    </row>
    <row r="880">
      <c r="A880" s="171"/>
      <c r="F880" s="11"/>
      <c r="G880" s="11"/>
      <c r="L880" s="171"/>
      <c r="M880" s="171"/>
      <c r="O880" s="160"/>
      <c r="P880" s="160"/>
      <c r="Q880" s="160"/>
      <c r="R880" s="160"/>
      <c r="S880" s="160"/>
      <c r="T880" s="207"/>
      <c r="U880" s="160"/>
      <c r="V880" s="160"/>
      <c r="W880" s="160"/>
      <c r="X880" s="160"/>
      <c r="Y880" s="160"/>
      <c r="Z880" s="160"/>
      <c r="AA880" s="160"/>
      <c r="AB880" s="160"/>
      <c r="AC880" s="160"/>
      <c r="AD880" s="160"/>
      <c r="AE880" s="160"/>
      <c r="AF880" s="160"/>
      <c r="AG880" s="160"/>
      <c r="AH880" s="160"/>
      <c r="AI880" s="160"/>
      <c r="AJ880" s="160"/>
      <c r="AK880" s="160"/>
      <c r="AL880" s="160"/>
      <c r="AM880" s="160"/>
      <c r="AN880" s="164"/>
      <c r="AO880" s="160"/>
      <c r="AP880" s="160"/>
      <c r="AQ880" s="160"/>
      <c r="AR880" s="160"/>
      <c r="AS880" s="160"/>
      <c r="AT880" s="160"/>
      <c r="AU880" s="160"/>
      <c r="AV880" s="160"/>
      <c r="AW880" s="160"/>
      <c r="AX880" s="160"/>
      <c r="AY880" s="160"/>
      <c r="AZ880" s="160"/>
      <c r="BA880" s="160"/>
      <c r="BB880" s="160"/>
      <c r="BC880" s="160"/>
      <c r="BD880" s="160"/>
      <c r="BE880" s="160"/>
      <c r="BF880" s="160"/>
      <c r="BG880" s="160"/>
      <c r="BH880" s="160"/>
      <c r="BI880" s="160"/>
      <c r="BJ880" s="160"/>
      <c r="BK880" s="160"/>
      <c r="BL880" s="160"/>
      <c r="BM880" s="160"/>
      <c r="BN880" s="160"/>
      <c r="BO880" s="160"/>
      <c r="BP880" s="160"/>
      <c r="BQ880" s="160"/>
      <c r="BR880" s="160"/>
      <c r="BS880" s="160"/>
      <c r="BT880" s="160"/>
      <c r="BU880" s="160"/>
      <c r="BV880" s="160"/>
      <c r="BW880" s="160"/>
      <c r="BX880" s="160"/>
      <c r="BY880" s="160"/>
      <c r="BZ880" s="160"/>
      <c r="CA880" s="160"/>
      <c r="CB880" s="160"/>
      <c r="CC880" s="160"/>
      <c r="CD880" s="160"/>
      <c r="CE880" s="160"/>
      <c r="CF880" s="160"/>
      <c r="CG880" s="160"/>
      <c r="CH880" s="160"/>
      <c r="CI880" s="160"/>
      <c r="CJ880" s="160"/>
      <c r="CK880" s="160"/>
      <c r="CL880" s="160"/>
    </row>
    <row r="881">
      <c r="A881" s="171"/>
      <c r="F881" s="11"/>
      <c r="G881" s="11"/>
      <c r="L881" s="171"/>
      <c r="M881" s="171"/>
      <c r="O881" s="160"/>
      <c r="P881" s="160"/>
      <c r="Q881" s="160"/>
      <c r="R881" s="160"/>
      <c r="S881" s="160"/>
      <c r="T881" s="207"/>
      <c r="U881" s="160"/>
      <c r="V881" s="160"/>
      <c r="W881" s="160"/>
      <c r="X881" s="160"/>
      <c r="Y881" s="160"/>
      <c r="Z881" s="160"/>
      <c r="AA881" s="160"/>
      <c r="AB881" s="160"/>
      <c r="AC881" s="160"/>
      <c r="AD881" s="160"/>
      <c r="AE881" s="160"/>
      <c r="AF881" s="160"/>
      <c r="AG881" s="160"/>
      <c r="AH881" s="160"/>
      <c r="AI881" s="160"/>
      <c r="AJ881" s="160"/>
      <c r="AK881" s="160"/>
      <c r="AL881" s="160"/>
      <c r="AM881" s="160"/>
      <c r="AN881" s="164"/>
      <c r="AO881" s="160"/>
      <c r="AP881" s="160"/>
      <c r="AQ881" s="160"/>
      <c r="AR881" s="160"/>
      <c r="AS881" s="160"/>
      <c r="AT881" s="160"/>
      <c r="AU881" s="160"/>
      <c r="AV881" s="160"/>
      <c r="AW881" s="160"/>
      <c r="AX881" s="160"/>
      <c r="AY881" s="160"/>
      <c r="AZ881" s="160"/>
      <c r="BA881" s="160"/>
      <c r="BB881" s="160"/>
      <c r="BC881" s="160"/>
      <c r="BD881" s="160"/>
      <c r="BE881" s="160"/>
      <c r="BF881" s="160"/>
      <c r="BG881" s="160"/>
      <c r="BH881" s="160"/>
      <c r="BI881" s="160"/>
      <c r="BJ881" s="160"/>
      <c r="BK881" s="160"/>
      <c r="BL881" s="160"/>
      <c r="BM881" s="160"/>
      <c r="BN881" s="160"/>
      <c r="BO881" s="160"/>
      <c r="BP881" s="160"/>
      <c r="BQ881" s="160"/>
      <c r="BR881" s="160"/>
      <c r="BS881" s="160"/>
      <c r="BT881" s="160"/>
      <c r="BU881" s="160"/>
      <c r="BV881" s="160"/>
      <c r="BW881" s="160"/>
      <c r="BX881" s="160"/>
      <c r="BY881" s="160"/>
      <c r="BZ881" s="160"/>
      <c r="CA881" s="160"/>
      <c r="CB881" s="160"/>
      <c r="CC881" s="160"/>
      <c r="CD881" s="160"/>
      <c r="CE881" s="160"/>
      <c r="CF881" s="160"/>
      <c r="CG881" s="160"/>
      <c r="CH881" s="160"/>
      <c r="CI881" s="160"/>
      <c r="CJ881" s="160"/>
      <c r="CK881" s="160"/>
      <c r="CL881" s="160"/>
    </row>
    <row r="882">
      <c r="A882" s="171"/>
      <c r="F882" s="11"/>
      <c r="G882" s="11"/>
      <c r="L882" s="171"/>
      <c r="M882" s="171"/>
      <c r="O882" s="160"/>
      <c r="P882" s="160"/>
      <c r="Q882" s="160"/>
      <c r="R882" s="160"/>
      <c r="S882" s="160"/>
      <c r="T882" s="207"/>
      <c r="U882" s="160"/>
      <c r="V882" s="160"/>
      <c r="W882" s="160"/>
      <c r="X882" s="160"/>
      <c r="Y882" s="160"/>
      <c r="Z882" s="160"/>
      <c r="AA882" s="160"/>
      <c r="AB882" s="160"/>
      <c r="AC882" s="160"/>
      <c r="AD882" s="160"/>
      <c r="AE882" s="160"/>
      <c r="AF882" s="160"/>
      <c r="AG882" s="160"/>
      <c r="AH882" s="160"/>
      <c r="AI882" s="160"/>
      <c r="AJ882" s="160"/>
      <c r="AK882" s="160"/>
      <c r="AL882" s="160"/>
      <c r="AM882" s="160"/>
      <c r="AN882" s="164"/>
      <c r="AO882" s="160"/>
      <c r="AP882" s="160"/>
      <c r="AQ882" s="160"/>
      <c r="AR882" s="160"/>
      <c r="AS882" s="160"/>
      <c r="AT882" s="160"/>
      <c r="AU882" s="160"/>
      <c r="AV882" s="160"/>
      <c r="AW882" s="160"/>
      <c r="AX882" s="160"/>
      <c r="AY882" s="160"/>
      <c r="AZ882" s="160"/>
      <c r="BA882" s="160"/>
      <c r="BB882" s="160"/>
      <c r="BC882" s="160"/>
      <c r="BD882" s="160"/>
      <c r="BE882" s="160"/>
      <c r="BF882" s="160"/>
      <c r="BG882" s="160"/>
      <c r="BH882" s="160"/>
      <c r="BI882" s="160"/>
      <c r="BJ882" s="160"/>
      <c r="BK882" s="160"/>
      <c r="BL882" s="160"/>
      <c r="BM882" s="160"/>
      <c r="BN882" s="160"/>
      <c r="BO882" s="160"/>
      <c r="BP882" s="160"/>
      <c r="BQ882" s="160"/>
      <c r="BR882" s="160"/>
      <c r="BS882" s="160"/>
      <c r="BT882" s="160"/>
      <c r="BU882" s="160"/>
      <c r="BV882" s="160"/>
      <c r="BW882" s="160"/>
      <c r="BX882" s="160"/>
      <c r="BY882" s="160"/>
      <c r="BZ882" s="160"/>
      <c r="CA882" s="160"/>
      <c r="CB882" s="160"/>
      <c r="CC882" s="160"/>
      <c r="CD882" s="160"/>
      <c r="CE882" s="160"/>
      <c r="CF882" s="160"/>
      <c r="CG882" s="160"/>
      <c r="CH882" s="160"/>
      <c r="CI882" s="160"/>
      <c r="CJ882" s="160"/>
      <c r="CK882" s="160"/>
      <c r="CL882" s="160"/>
    </row>
    <row r="883">
      <c r="A883" s="171"/>
      <c r="F883" s="11"/>
      <c r="G883" s="11"/>
      <c r="L883" s="171"/>
      <c r="M883" s="171"/>
      <c r="O883" s="160"/>
      <c r="P883" s="160"/>
      <c r="Q883" s="160"/>
      <c r="R883" s="160"/>
      <c r="S883" s="160"/>
      <c r="T883" s="207"/>
      <c r="U883" s="160"/>
      <c r="V883" s="160"/>
      <c r="W883" s="160"/>
      <c r="X883" s="160"/>
      <c r="Y883" s="160"/>
      <c r="Z883" s="160"/>
      <c r="AA883" s="160"/>
      <c r="AB883" s="160"/>
      <c r="AC883" s="160"/>
      <c r="AD883" s="160"/>
      <c r="AE883" s="160"/>
      <c r="AF883" s="160"/>
      <c r="AG883" s="160"/>
      <c r="AH883" s="160"/>
      <c r="AI883" s="160"/>
      <c r="AJ883" s="160"/>
      <c r="AK883" s="160"/>
      <c r="AL883" s="160"/>
      <c r="AM883" s="160"/>
      <c r="AN883" s="164"/>
      <c r="AO883" s="160"/>
      <c r="AP883" s="160"/>
      <c r="AQ883" s="160"/>
      <c r="AR883" s="160"/>
      <c r="AS883" s="160"/>
      <c r="AT883" s="160"/>
      <c r="AU883" s="160"/>
      <c r="AV883" s="160"/>
      <c r="AW883" s="160"/>
      <c r="AX883" s="160"/>
      <c r="AY883" s="160"/>
      <c r="AZ883" s="160"/>
      <c r="BA883" s="160"/>
      <c r="BB883" s="160"/>
      <c r="BC883" s="160"/>
      <c r="BD883" s="160"/>
      <c r="BE883" s="160"/>
      <c r="BF883" s="160"/>
      <c r="BG883" s="160"/>
      <c r="BH883" s="160"/>
      <c r="BI883" s="160"/>
      <c r="BJ883" s="160"/>
      <c r="BK883" s="160"/>
      <c r="BL883" s="160"/>
      <c r="BM883" s="160"/>
      <c r="BN883" s="160"/>
      <c r="BO883" s="160"/>
      <c r="BP883" s="160"/>
      <c r="BQ883" s="160"/>
      <c r="BR883" s="160"/>
      <c r="BS883" s="160"/>
      <c r="BT883" s="160"/>
      <c r="BU883" s="160"/>
      <c r="BV883" s="160"/>
      <c r="BW883" s="160"/>
      <c r="BX883" s="160"/>
      <c r="BY883" s="160"/>
      <c r="BZ883" s="160"/>
      <c r="CA883" s="160"/>
      <c r="CB883" s="160"/>
      <c r="CC883" s="160"/>
      <c r="CD883" s="160"/>
      <c r="CE883" s="160"/>
      <c r="CF883" s="160"/>
      <c r="CG883" s="160"/>
      <c r="CH883" s="160"/>
      <c r="CI883" s="160"/>
      <c r="CJ883" s="160"/>
      <c r="CK883" s="160"/>
      <c r="CL883" s="160"/>
    </row>
    <row r="884">
      <c r="A884" s="171"/>
      <c r="F884" s="11"/>
      <c r="G884" s="11"/>
      <c r="L884" s="171"/>
      <c r="M884" s="171"/>
      <c r="O884" s="160"/>
      <c r="P884" s="160"/>
      <c r="Q884" s="160"/>
      <c r="R884" s="160"/>
      <c r="S884" s="160"/>
      <c r="T884" s="207"/>
      <c r="U884" s="160"/>
      <c r="V884" s="160"/>
      <c r="W884" s="160"/>
      <c r="X884" s="160"/>
      <c r="Y884" s="160"/>
      <c r="Z884" s="160"/>
      <c r="AA884" s="160"/>
      <c r="AB884" s="160"/>
      <c r="AC884" s="160"/>
      <c r="AD884" s="160"/>
      <c r="AE884" s="160"/>
      <c r="AF884" s="160"/>
      <c r="AG884" s="160"/>
      <c r="AH884" s="160"/>
      <c r="AI884" s="160"/>
      <c r="AJ884" s="160"/>
      <c r="AK884" s="160"/>
      <c r="AL884" s="160"/>
      <c r="AM884" s="160"/>
      <c r="AN884" s="164"/>
      <c r="AO884" s="160"/>
      <c r="AP884" s="160"/>
      <c r="AQ884" s="160"/>
      <c r="AR884" s="160"/>
      <c r="AS884" s="160"/>
      <c r="AT884" s="160"/>
      <c r="AU884" s="160"/>
      <c r="AV884" s="160"/>
      <c r="AW884" s="160"/>
      <c r="AX884" s="160"/>
      <c r="AY884" s="160"/>
      <c r="AZ884" s="160"/>
      <c r="BA884" s="160"/>
      <c r="BB884" s="160"/>
      <c r="BC884" s="160"/>
      <c r="BD884" s="160"/>
      <c r="BE884" s="160"/>
      <c r="BF884" s="160"/>
      <c r="BG884" s="160"/>
      <c r="BH884" s="160"/>
      <c r="BI884" s="160"/>
      <c r="BJ884" s="160"/>
      <c r="BK884" s="160"/>
      <c r="BL884" s="160"/>
      <c r="BM884" s="160"/>
      <c r="BN884" s="160"/>
      <c r="BO884" s="160"/>
      <c r="BP884" s="160"/>
      <c r="BQ884" s="160"/>
      <c r="BR884" s="160"/>
      <c r="BS884" s="160"/>
      <c r="BT884" s="160"/>
      <c r="BU884" s="160"/>
      <c r="BV884" s="160"/>
      <c r="BW884" s="160"/>
      <c r="BX884" s="160"/>
      <c r="BY884" s="160"/>
      <c r="BZ884" s="160"/>
      <c r="CA884" s="160"/>
      <c r="CB884" s="160"/>
      <c r="CC884" s="160"/>
      <c r="CD884" s="160"/>
      <c r="CE884" s="160"/>
      <c r="CF884" s="160"/>
      <c r="CG884" s="160"/>
      <c r="CH884" s="160"/>
      <c r="CI884" s="160"/>
      <c r="CJ884" s="160"/>
      <c r="CK884" s="160"/>
      <c r="CL884" s="160"/>
    </row>
    <row r="885">
      <c r="A885" s="171"/>
      <c r="F885" s="11"/>
      <c r="G885" s="11"/>
      <c r="L885" s="171"/>
      <c r="M885" s="171"/>
      <c r="O885" s="160"/>
      <c r="P885" s="160"/>
      <c r="Q885" s="160"/>
      <c r="R885" s="160"/>
      <c r="S885" s="160"/>
      <c r="T885" s="207"/>
      <c r="U885" s="160"/>
      <c r="V885" s="160"/>
      <c r="W885" s="160"/>
      <c r="X885" s="160"/>
      <c r="Y885" s="160"/>
      <c r="Z885" s="160"/>
      <c r="AA885" s="160"/>
      <c r="AB885" s="160"/>
      <c r="AC885" s="160"/>
      <c r="AD885" s="160"/>
      <c r="AE885" s="160"/>
      <c r="AF885" s="160"/>
      <c r="AG885" s="160"/>
      <c r="AH885" s="160"/>
      <c r="AI885" s="160"/>
      <c r="AJ885" s="160"/>
      <c r="AK885" s="160"/>
      <c r="AL885" s="160"/>
      <c r="AM885" s="160"/>
      <c r="AN885" s="164"/>
      <c r="AO885" s="160"/>
      <c r="AP885" s="160"/>
      <c r="AQ885" s="160"/>
      <c r="AR885" s="160"/>
      <c r="AS885" s="160"/>
      <c r="AT885" s="160"/>
      <c r="AU885" s="160"/>
      <c r="AV885" s="160"/>
      <c r="AW885" s="160"/>
      <c r="AX885" s="160"/>
      <c r="AY885" s="160"/>
      <c r="AZ885" s="160"/>
      <c r="BA885" s="160"/>
      <c r="BB885" s="160"/>
      <c r="BC885" s="160"/>
      <c r="BD885" s="160"/>
      <c r="BE885" s="160"/>
      <c r="BF885" s="160"/>
      <c r="BG885" s="160"/>
      <c r="BH885" s="160"/>
      <c r="BI885" s="160"/>
      <c r="BJ885" s="160"/>
      <c r="BK885" s="160"/>
      <c r="BL885" s="160"/>
      <c r="BM885" s="160"/>
      <c r="BN885" s="160"/>
      <c r="BO885" s="160"/>
      <c r="BP885" s="160"/>
      <c r="BQ885" s="160"/>
      <c r="BR885" s="160"/>
      <c r="BS885" s="160"/>
      <c r="BT885" s="160"/>
      <c r="BU885" s="160"/>
      <c r="BV885" s="160"/>
      <c r="BW885" s="160"/>
      <c r="BX885" s="160"/>
      <c r="BY885" s="160"/>
      <c r="BZ885" s="160"/>
      <c r="CA885" s="160"/>
      <c r="CB885" s="160"/>
      <c r="CC885" s="160"/>
      <c r="CD885" s="160"/>
      <c r="CE885" s="160"/>
      <c r="CF885" s="160"/>
      <c r="CG885" s="160"/>
      <c r="CH885" s="160"/>
      <c r="CI885" s="160"/>
      <c r="CJ885" s="160"/>
      <c r="CK885" s="160"/>
      <c r="CL885" s="160"/>
    </row>
    <row r="886">
      <c r="A886" s="171"/>
      <c r="F886" s="11"/>
      <c r="G886" s="11"/>
      <c r="L886" s="171"/>
      <c r="M886" s="171"/>
      <c r="O886" s="160"/>
      <c r="P886" s="160"/>
      <c r="Q886" s="160"/>
      <c r="R886" s="160"/>
      <c r="S886" s="160"/>
      <c r="T886" s="207"/>
      <c r="U886" s="160"/>
      <c r="V886" s="160"/>
      <c r="W886" s="160"/>
      <c r="X886" s="160"/>
      <c r="Y886" s="160"/>
      <c r="Z886" s="160"/>
      <c r="AA886" s="160"/>
      <c r="AB886" s="160"/>
      <c r="AC886" s="160"/>
      <c r="AD886" s="160"/>
      <c r="AE886" s="160"/>
      <c r="AF886" s="160"/>
      <c r="AG886" s="160"/>
      <c r="AH886" s="160"/>
      <c r="AI886" s="160"/>
      <c r="AJ886" s="160"/>
      <c r="AK886" s="160"/>
      <c r="AL886" s="160"/>
      <c r="AM886" s="160"/>
      <c r="AN886" s="164"/>
      <c r="AO886" s="160"/>
      <c r="AP886" s="160"/>
      <c r="AQ886" s="160"/>
      <c r="AR886" s="160"/>
      <c r="AS886" s="160"/>
      <c r="AT886" s="160"/>
      <c r="AU886" s="160"/>
      <c r="AV886" s="160"/>
      <c r="AW886" s="160"/>
      <c r="AX886" s="160"/>
      <c r="AY886" s="160"/>
      <c r="AZ886" s="160"/>
      <c r="BA886" s="160"/>
      <c r="BB886" s="160"/>
      <c r="BC886" s="160"/>
      <c r="BD886" s="160"/>
      <c r="BE886" s="160"/>
      <c r="BF886" s="160"/>
      <c r="BG886" s="160"/>
      <c r="BH886" s="160"/>
      <c r="BI886" s="160"/>
      <c r="BJ886" s="160"/>
      <c r="BK886" s="160"/>
      <c r="BL886" s="160"/>
      <c r="BM886" s="160"/>
      <c r="BN886" s="160"/>
      <c r="BO886" s="160"/>
      <c r="BP886" s="160"/>
      <c r="BQ886" s="160"/>
      <c r="BR886" s="160"/>
      <c r="BS886" s="160"/>
      <c r="BT886" s="160"/>
      <c r="BU886" s="160"/>
      <c r="BV886" s="160"/>
      <c r="BW886" s="160"/>
      <c r="BX886" s="160"/>
      <c r="BY886" s="160"/>
      <c r="BZ886" s="160"/>
      <c r="CA886" s="160"/>
      <c r="CB886" s="160"/>
      <c r="CC886" s="160"/>
      <c r="CD886" s="160"/>
      <c r="CE886" s="160"/>
      <c r="CF886" s="160"/>
      <c r="CG886" s="160"/>
      <c r="CH886" s="160"/>
      <c r="CI886" s="160"/>
      <c r="CJ886" s="160"/>
      <c r="CK886" s="160"/>
      <c r="CL886" s="160"/>
    </row>
    <row r="887">
      <c r="A887" s="171"/>
      <c r="F887" s="11"/>
      <c r="G887" s="11"/>
      <c r="L887" s="171"/>
      <c r="M887" s="171"/>
      <c r="O887" s="160"/>
      <c r="P887" s="160"/>
      <c r="Q887" s="160"/>
      <c r="R887" s="160"/>
      <c r="S887" s="160"/>
      <c r="T887" s="207"/>
      <c r="U887" s="160"/>
      <c r="V887" s="160"/>
      <c r="W887" s="160"/>
      <c r="X887" s="160"/>
      <c r="Y887" s="160"/>
      <c r="Z887" s="160"/>
      <c r="AA887" s="160"/>
      <c r="AB887" s="160"/>
      <c r="AC887" s="160"/>
      <c r="AD887" s="160"/>
      <c r="AE887" s="160"/>
      <c r="AF887" s="160"/>
      <c r="AG887" s="160"/>
      <c r="AH887" s="160"/>
      <c r="AI887" s="160"/>
      <c r="AJ887" s="160"/>
      <c r="AK887" s="160"/>
      <c r="AL887" s="160"/>
      <c r="AM887" s="160"/>
      <c r="AN887" s="164"/>
      <c r="AO887" s="160"/>
      <c r="AP887" s="160"/>
      <c r="AQ887" s="160"/>
      <c r="AR887" s="160"/>
      <c r="AS887" s="160"/>
      <c r="AT887" s="160"/>
      <c r="AU887" s="160"/>
      <c r="AV887" s="160"/>
      <c r="AW887" s="160"/>
      <c r="AX887" s="160"/>
      <c r="AY887" s="160"/>
      <c r="AZ887" s="160"/>
      <c r="BA887" s="160"/>
      <c r="BB887" s="160"/>
      <c r="BC887" s="160"/>
      <c r="BD887" s="160"/>
      <c r="BE887" s="160"/>
      <c r="BF887" s="160"/>
      <c r="BG887" s="160"/>
      <c r="BH887" s="160"/>
      <c r="BI887" s="160"/>
      <c r="BJ887" s="160"/>
      <c r="BK887" s="160"/>
      <c r="BL887" s="160"/>
      <c r="BM887" s="160"/>
      <c r="BN887" s="160"/>
      <c r="BO887" s="160"/>
      <c r="BP887" s="160"/>
      <c r="BQ887" s="160"/>
      <c r="BR887" s="160"/>
      <c r="BS887" s="160"/>
      <c r="BT887" s="160"/>
      <c r="BU887" s="160"/>
      <c r="BV887" s="160"/>
      <c r="BW887" s="160"/>
      <c r="BX887" s="160"/>
      <c r="BY887" s="160"/>
      <c r="BZ887" s="160"/>
      <c r="CA887" s="160"/>
      <c r="CB887" s="160"/>
      <c r="CC887" s="160"/>
      <c r="CD887" s="160"/>
      <c r="CE887" s="160"/>
      <c r="CF887" s="160"/>
      <c r="CG887" s="160"/>
      <c r="CH887" s="160"/>
      <c r="CI887" s="160"/>
      <c r="CJ887" s="160"/>
      <c r="CK887" s="160"/>
      <c r="CL887" s="160"/>
    </row>
    <row r="888">
      <c r="A888" s="171"/>
      <c r="F888" s="11"/>
      <c r="G888" s="11"/>
      <c r="L888" s="171"/>
      <c r="M888" s="171"/>
      <c r="O888" s="160"/>
      <c r="P888" s="160"/>
      <c r="Q888" s="160"/>
      <c r="R888" s="160"/>
      <c r="S888" s="160"/>
      <c r="T888" s="207"/>
      <c r="U888" s="160"/>
      <c r="V888" s="160"/>
      <c r="W888" s="160"/>
      <c r="X888" s="160"/>
      <c r="Y888" s="160"/>
      <c r="Z888" s="160"/>
      <c r="AA888" s="160"/>
      <c r="AB888" s="160"/>
      <c r="AC888" s="160"/>
      <c r="AD888" s="160"/>
      <c r="AE888" s="160"/>
      <c r="AF888" s="160"/>
      <c r="AG888" s="160"/>
      <c r="AH888" s="160"/>
      <c r="AI888" s="160"/>
      <c r="AJ888" s="160"/>
      <c r="AK888" s="160"/>
      <c r="AL888" s="160"/>
      <c r="AM888" s="160"/>
      <c r="AN888" s="164"/>
      <c r="AO888" s="160"/>
      <c r="AP888" s="160"/>
      <c r="AQ888" s="160"/>
      <c r="AR888" s="160"/>
      <c r="AS888" s="160"/>
      <c r="AT888" s="160"/>
      <c r="AU888" s="160"/>
      <c r="AV888" s="160"/>
      <c r="AW888" s="160"/>
      <c r="AX888" s="160"/>
      <c r="AY888" s="160"/>
      <c r="AZ888" s="160"/>
      <c r="BA888" s="160"/>
      <c r="BB888" s="160"/>
      <c r="BC888" s="160"/>
      <c r="BD888" s="160"/>
      <c r="BE888" s="160"/>
      <c r="BF888" s="160"/>
      <c r="BG888" s="160"/>
      <c r="BH888" s="160"/>
      <c r="BI888" s="160"/>
      <c r="BJ888" s="160"/>
      <c r="BK888" s="160"/>
      <c r="BL888" s="160"/>
      <c r="BM888" s="160"/>
      <c r="BN888" s="160"/>
      <c r="BO888" s="160"/>
      <c r="BP888" s="160"/>
      <c r="BQ888" s="160"/>
      <c r="BR888" s="160"/>
      <c r="BS888" s="160"/>
      <c r="BT888" s="160"/>
      <c r="BU888" s="160"/>
      <c r="BV888" s="160"/>
      <c r="BW888" s="160"/>
      <c r="BX888" s="160"/>
      <c r="BY888" s="160"/>
      <c r="BZ888" s="160"/>
      <c r="CA888" s="160"/>
      <c r="CB888" s="160"/>
      <c r="CC888" s="160"/>
      <c r="CD888" s="160"/>
      <c r="CE888" s="160"/>
      <c r="CF888" s="160"/>
      <c r="CG888" s="160"/>
      <c r="CH888" s="160"/>
      <c r="CI888" s="160"/>
      <c r="CJ888" s="160"/>
      <c r="CK888" s="160"/>
      <c r="CL888" s="160"/>
    </row>
    <row r="889">
      <c r="A889" s="171"/>
      <c r="F889" s="11"/>
      <c r="G889" s="11"/>
      <c r="L889" s="171"/>
      <c r="M889" s="171"/>
      <c r="O889" s="160"/>
      <c r="P889" s="160"/>
      <c r="Q889" s="160"/>
      <c r="R889" s="160"/>
      <c r="S889" s="160"/>
      <c r="T889" s="207"/>
      <c r="U889" s="160"/>
      <c r="V889" s="160"/>
      <c r="W889" s="160"/>
      <c r="X889" s="160"/>
      <c r="Y889" s="160"/>
      <c r="Z889" s="160"/>
      <c r="AA889" s="160"/>
      <c r="AB889" s="160"/>
      <c r="AC889" s="160"/>
      <c r="AD889" s="160"/>
      <c r="AE889" s="160"/>
      <c r="AF889" s="160"/>
      <c r="AG889" s="160"/>
      <c r="AH889" s="160"/>
      <c r="AI889" s="160"/>
      <c r="AJ889" s="160"/>
      <c r="AK889" s="160"/>
      <c r="AL889" s="160"/>
      <c r="AM889" s="160"/>
      <c r="AN889" s="164"/>
      <c r="AO889" s="160"/>
      <c r="AP889" s="160"/>
      <c r="AQ889" s="160"/>
      <c r="AR889" s="160"/>
      <c r="AS889" s="160"/>
      <c r="AT889" s="160"/>
      <c r="AU889" s="160"/>
      <c r="AV889" s="160"/>
      <c r="AW889" s="160"/>
      <c r="AX889" s="160"/>
      <c r="AY889" s="160"/>
      <c r="AZ889" s="160"/>
      <c r="BA889" s="160"/>
      <c r="BB889" s="160"/>
      <c r="BC889" s="160"/>
      <c r="BD889" s="160"/>
      <c r="BE889" s="160"/>
      <c r="BF889" s="160"/>
      <c r="BG889" s="160"/>
      <c r="BH889" s="160"/>
      <c r="BI889" s="160"/>
      <c r="BJ889" s="160"/>
      <c r="BK889" s="160"/>
      <c r="BL889" s="160"/>
      <c r="BM889" s="160"/>
      <c r="BN889" s="160"/>
      <c r="BO889" s="160"/>
      <c r="BP889" s="160"/>
      <c r="BQ889" s="160"/>
      <c r="BR889" s="160"/>
      <c r="BS889" s="160"/>
      <c r="BT889" s="160"/>
      <c r="BU889" s="160"/>
      <c r="BV889" s="160"/>
      <c r="BW889" s="160"/>
      <c r="BX889" s="160"/>
      <c r="BY889" s="160"/>
      <c r="BZ889" s="160"/>
      <c r="CA889" s="160"/>
      <c r="CB889" s="160"/>
      <c r="CC889" s="160"/>
      <c r="CD889" s="160"/>
      <c r="CE889" s="160"/>
      <c r="CF889" s="160"/>
      <c r="CG889" s="160"/>
      <c r="CH889" s="160"/>
      <c r="CI889" s="160"/>
      <c r="CJ889" s="160"/>
      <c r="CK889" s="160"/>
      <c r="CL889" s="160"/>
    </row>
    <row r="890">
      <c r="A890" s="171"/>
      <c r="F890" s="11"/>
      <c r="G890" s="11"/>
      <c r="L890" s="171"/>
      <c r="M890" s="171"/>
      <c r="O890" s="160"/>
      <c r="P890" s="160"/>
      <c r="Q890" s="160"/>
      <c r="R890" s="160"/>
      <c r="S890" s="160"/>
      <c r="T890" s="207"/>
      <c r="U890" s="160"/>
      <c r="V890" s="160"/>
      <c r="W890" s="160"/>
      <c r="X890" s="160"/>
      <c r="Y890" s="160"/>
      <c r="Z890" s="160"/>
      <c r="AA890" s="160"/>
      <c r="AB890" s="160"/>
      <c r="AC890" s="160"/>
      <c r="AD890" s="160"/>
      <c r="AE890" s="160"/>
      <c r="AF890" s="160"/>
      <c r="AG890" s="160"/>
      <c r="AH890" s="160"/>
      <c r="AI890" s="160"/>
      <c r="AJ890" s="160"/>
      <c r="AK890" s="160"/>
      <c r="AL890" s="160"/>
      <c r="AM890" s="160"/>
      <c r="AN890" s="164"/>
      <c r="AO890" s="160"/>
      <c r="AP890" s="160"/>
      <c r="AQ890" s="160"/>
      <c r="AR890" s="160"/>
      <c r="AS890" s="160"/>
      <c r="AT890" s="160"/>
      <c r="AU890" s="160"/>
      <c r="AV890" s="160"/>
      <c r="AW890" s="160"/>
      <c r="AX890" s="160"/>
      <c r="AY890" s="160"/>
      <c r="AZ890" s="160"/>
      <c r="BA890" s="160"/>
      <c r="BB890" s="160"/>
      <c r="BC890" s="160"/>
      <c r="BD890" s="160"/>
      <c r="BE890" s="160"/>
      <c r="BF890" s="160"/>
      <c r="BG890" s="160"/>
      <c r="BH890" s="160"/>
      <c r="BI890" s="160"/>
      <c r="BJ890" s="160"/>
      <c r="BK890" s="160"/>
      <c r="BL890" s="160"/>
      <c r="BM890" s="160"/>
      <c r="BN890" s="160"/>
      <c r="BO890" s="160"/>
      <c r="BP890" s="160"/>
      <c r="BQ890" s="160"/>
      <c r="BR890" s="160"/>
      <c r="BS890" s="160"/>
      <c r="BT890" s="160"/>
      <c r="BU890" s="160"/>
      <c r="BV890" s="160"/>
      <c r="BW890" s="160"/>
      <c r="BX890" s="160"/>
      <c r="BY890" s="160"/>
      <c r="BZ890" s="160"/>
      <c r="CA890" s="160"/>
      <c r="CB890" s="160"/>
      <c r="CC890" s="160"/>
      <c r="CD890" s="160"/>
      <c r="CE890" s="160"/>
      <c r="CF890" s="160"/>
      <c r="CG890" s="160"/>
      <c r="CH890" s="160"/>
      <c r="CI890" s="160"/>
      <c r="CJ890" s="160"/>
      <c r="CK890" s="160"/>
      <c r="CL890" s="160"/>
    </row>
    <row r="891">
      <c r="A891" s="171"/>
      <c r="F891" s="11"/>
      <c r="G891" s="11"/>
      <c r="L891" s="171"/>
      <c r="M891" s="171"/>
      <c r="O891" s="160"/>
      <c r="P891" s="160"/>
      <c r="Q891" s="160"/>
      <c r="R891" s="160"/>
      <c r="S891" s="160"/>
      <c r="T891" s="207"/>
      <c r="U891" s="160"/>
      <c r="V891" s="160"/>
      <c r="W891" s="160"/>
      <c r="X891" s="160"/>
      <c r="Y891" s="160"/>
      <c r="Z891" s="160"/>
      <c r="AA891" s="160"/>
      <c r="AB891" s="160"/>
      <c r="AC891" s="160"/>
      <c r="AD891" s="160"/>
      <c r="AE891" s="160"/>
      <c r="AF891" s="160"/>
      <c r="AG891" s="160"/>
      <c r="AH891" s="160"/>
      <c r="AI891" s="160"/>
      <c r="AJ891" s="160"/>
      <c r="AK891" s="160"/>
      <c r="AL891" s="160"/>
      <c r="AM891" s="160"/>
      <c r="AN891" s="164"/>
      <c r="AO891" s="160"/>
      <c r="AP891" s="160"/>
      <c r="AQ891" s="160"/>
      <c r="AR891" s="160"/>
      <c r="AS891" s="160"/>
      <c r="AT891" s="160"/>
      <c r="AU891" s="160"/>
      <c r="AV891" s="160"/>
      <c r="AW891" s="160"/>
      <c r="AX891" s="160"/>
      <c r="AY891" s="160"/>
      <c r="AZ891" s="160"/>
      <c r="BA891" s="160"/>
      <c r="BB891" s="160"/>
      <c r="BC891" s="160"/>
      <c r="BD891" s="160"/>
      <c r="BE891" s="160"/>
      <c r="BF891" s="160"/>
      <c r="BG891" s="160"/>
      <c r="BH891" s="160"/>
      <c r="BI891" s="160"/>
      <c r="BJ891" s="160"/>
      <c r="BK891" s="160"/>
      <c r="BL891" s="160"/>
      <c r="BM891" s="160"/>
      <c r="BN891" s="160"/>
      <c r="BO891" s="160"/>
      <c r="BP891" s="160"/>
      <c r="BQ891" s="160"/>
      <c r="BR891" s="160"/>
      <c r="BS891" s="160"/>
      <c r="BT891" s="160"/>
      <c r="BU891" s="160"/>
      <c r="BV891" s="160"/>
      <c r="BW891" s="160"/>
      <c r="BX891" s="160"/>
      <c r="BY891" s="160"/>
      <c r="BZ891" s="160"/>
      <c r="CA891" s="160"/>
      <c r="CB891" s="160"/>
      <c r="CC891" s="160"/>
      <c r="CD891" s="160"/>
      <c r="CE891" s="160"/>
      <c r="CF891" s="160"/>
      <c r="CG891" s="160"/>
      <c r="CH891" s="160"/>
      <c r="CI891" s="160"/>
      <c r="CJ891" s="160"/>
      <c r="CK891" s="160"/>
      <c r="CL891" s="160"/>
    </row>
    <row r="892">
      <c r="A892" s="171"/>
      <c r="F892" s="11"/>
      <c r="G892" s="11"/>
      <c r="L892" s="171"/>
      <c r="M892" s="171"/>
      <c r="O892" s="160"/>
      <c r="P892" s="160"/>
      <c r="Q892" s="160"/>
      <c r="R892" s="160"/>
      <c r="S892" s="160"/>
      <c r="T892" s="207"/>
      <c r="U892" s="160"/>
      <c r="V892" s="160"/>
      <c r="W892" s="160"/>
      <c r="X892" s="160"/>
      <c r="Y892" s="160"/>
      <c r="Z892" s="160"/>
      <c r="AA892" s="160"/>
      <c r="AB892" s="160"/>
      <c r="AC892" s="160"/>
      <c r="AD892" s="160"/>
      <c r="AE892" s="160"/>
      <c r="AF892" s="160"/>
      <c r="AG892" s="160"/>
      <c r="AH892" s="160"/>
      <c r="AI892" s="160"/>
      <c r="AJ892" s="160"/>
      <c r="AK892" s="160"/>
      <c r="AL892" s="160"/>
      <c r="AM892" s="160"/>
      <c r="AN892" s="164"/>
      <c r="AO892" s="160"/>
      <c r="AP892" s="160"/>
      <c r="AQ892" s="160"/>
      <c r="AR892" s="160"/>
      <c r="AS892" s="160"/>
      <c r="AT892" s="160"/>
      <c r="AU892" s="160"/>
      <c r="AV892" s="160"/>
      <c r="AW892" s="160"/>
      <c r="AX892" s="160"/>
      <c r="AY892" s="160"/>
      <c r="AZ892" s="160"/>
      <c r="BA892" s="160"/>
      <c r="BB892" s="160"/>
      <c r="BC892" s="160"/>
      <c r="BD892" s="160"/>
      <c r="BE892" s="160"/>
      <c r="BF892" s="160"/>
      <c r="BG892" s="160"/>
      <c r="BH892" s="160"/>
      <c r="BI892" s="160"/>
      <c r="BJ892" s="160"/>
      <c r="BK892" s="160"/>
      <c r="BL892" s="160"/>
      <c r="BM892" s="160"/>
      <c r="BN892" s="160"/>
      <c r="BO892" s="160"/>
      <c r="BP892" s="160"/>
      <c r="BQ892" s="160"/>
      <c r="BR892" s="160"/>
      <c r="BS892" s="160"/>
      <c r="BT892" s="160"/>
      <c r="BU892" s="160"/>
      <c r="BV892" s="160"/>
      <c r="BW892" s="160"/>
      <c r="BX892" s="160"/>
      <c r="BY892" s="160"/>
      <c r="BZ892" s="160"/>
      <c r="CA892" s="160"/>
      <c r="CB892" s="160"/>
      <c r="CC892" s="160"/>
      <c r="CD892" s="160"/>
      <c r="CE892" s="160"/>
      <c r="CF892" s="160"/>
      <c r="CG892" s="160"/>
      <c r="CH892" s="160"/>
      <c r="CI892" s="160"/>
      <c r="CJ892" s="160"/>
      <c r="CK892" s="160"/>
      <c r="CL892" s="160"/>
    </row>
    <row r="893">
      <c r="A893" s="171"/>
      <c r="F893" s="11"/>
      <c r="G893" s="11"/>
      <c r="L893" s="171"/>
      <c r="M893" s="171"/>
      <c r="O893" s="160"/>
      <c r="P893" s="160"/>
      <c r="Q893" s="160"/>
      <c r="R893" s="160"/>
      <c r="S893" s="160"/>
      <c r="T893" s="207"/>
      <c r="U893" s="160"/>
      <c r="V893" s="160"/>
      <c r="W893" s="160"/>
      <c r="X893" s="160"/>
      <c r="Y893" s="160"/>
      <c r="Z893" s="160"/>
      <c r="AA893" s="160"/>
      <c r="AB893" s="160"/>
      <c r="AC893" s="160"/>
      <c r="AD893" s="160"/>
      <c r="AE893" s="160"/>
      <c r="AF893" s="160"/>
      <c r="AG893" s="160"/>
      <c r="AH893" s="160"/>
      <c r="AI893" s="160"/>
      <c r="AJ893" s="160"/>
      <c r="AK893" s="160"/>
      <c r="AL893" s="160"/>
      <c r="AM893" s="160"/>
      <c r="AN893" s="164"/>
      <c r="AO893" s="160"/>
      <c r="AP893" s="160"/>
      <c r="AQ893" s="160"/>
      <c r="AR893" s="160"/>
      <c r="AS893" s="160"/>
      <c r="AT893" s="160"/>
      <c r="AU893" s="160"/>
      <c r="AV893" s="160"/>
      <c r="AW893" s="160"/>
      <c r="AX893" s="160"/>
      <c r="AY893" s="160"/>
      <c r="AZ893" s="160"/>
      <c r="BA893" s="160"/>
      <c r="BB893" s="160"/>
      <c r="BC893" s="160"/>
      <c r="BD893" s="160"/>
      <c r="BE893" s="160"/>
      <c r="BF893" s="160"/>
      <c r="BG893" s="160"/>
      <c r="BH893" s="160"/>
      <c r="BI893" s="160"/>
      <c r="BJ893" s="160"/>
      <c r="BK893" s="160"/>
      <c r="BL893" s="160"/>
      <c r="BM893" s="160"/>
      <c r="BN893" s="160"/>
      <c r="BO893" s="160"/>
      <c r="BP893" s="160"/>
      <c r="BQ893" s="160"/>
      <c r="BR893" s="160"/>
      <c r="BS893" s="160"/>
      <c r="BT893" s="160"/>
      <c r="BU893" s="160"/>
      <c r="BV893" s="160"/>
      <c r="BW893" s="160"/>
      <c r="BX893" s="160"/>
      <c r="BY893" s="160"/>
      <c r="BZ893" s="160"/>
      <c r="CA893" s="160"/>
      <c r="CB893" s="160"/>
      <c r="CC893" s="160"/>
      <c r="CD893" s="160"/>
      <c r="CE893" s="160"/>
      <c r="CF893" s="160"/>
      <c r="CG893" s="160"/>
      <c r="CH893" s="160"/>
      <c r="CI893" s="160"/>
      <c r="CJ893" s="160"/>
      <c r="CK893" s="160"/>
      <c r="CL893" s="160"/>
    </row>
    <row r="894">
      <c r="A894" s="171"/>
      <c r="F894" s="11"/>
      <c r="G894" s="11"/>
      <c r="L894" s="171"/>
      <c r="M894" s="171"/>
      <c r="O894" s="160"/>
      <c r="P894" s="160"/>
      <c r="Q894" s="160"/>
      <c r="R894" s="160"/>
      <c r="S894" s="160"/>
      <c r="T894" s="207"/>
      <c r="U894" s="160"/>
      <c r="V894" s="160"/>
      <c r="W894" s="160"/>
      <c r="X894" s="160"/>
      <c r="Y894" s="160"/>
      <c r="Z894" s="160"/>
      <c r="AA894" s="160"/>
      <c r="AB894" s="160"/>
      <c r="AC894" s="160"/>
      <c r="AD894" s="160"/>
      <c r="AE894" s="160"/>
      <c r="AF894" s="160"/>
      <c r="AG894" s="160"/>
      <c r="AH894" s="160"/>
      <c r="AI894" s="160"/>
      <c r="AJ894" s="160"/>
      <c r="AK894" s="160"/>
      <c r="AL894" s="160"/>
      <c r="AM894" s="160"/>
      <c r="AN894" s="164"/>
      <c r="AO894" s="160"/>
      <c r="AP894" s="160"/>
      <c r="AQ894" s="160"/>
      <c r="AR894" s="160"/>
      <c r="AS894" s="160"/>
      <c r="AT894" s="160"/>
      <c r="AU894" s="160"/>
      <c r="AV894" s="160"/>
      <c r="AW894" s="160"/>
      <c r="AX894" s="160"/>
      <c r="AY894" s="160"/>
      <c r="AZ894" s="160"/>
      <c r="BA894" s="160"/>
      <c r="BB894" s="160"/>
      <c r="BC894" s="160"/>
      <c r="BD894" s="160"/>
      <c r="BE894" s="160"/>
      <c r="BF894" s="160"/>
      <c r="BG894" s="160"/>
      <c r="BH894" s="160"/>
      <c r="BI894" s="160"/>
      <c r="BJ894" s="160"/>
      <c r="BK894" s="160"/>
      <c r="BL894" s="160"/>
      <c r="BM894" s="160"/>
      <c r="BN894" s="160"/>
      <c r="BO894" s="160"/>
      <c r="BP894" s="160"/>
      <c r="BQ894" s="160"/>
      <c r="BR894" s="160"/>
      <c r="BS894" s="160"/>
      <c r="BT894" s="160"/>
      <c r="BU894" s="160"/>
      <c r="BV894" s="160"/>
      <c r="BW894" s="160"/>
      <c r="BX894" s="160"/>
      <c r="BY894" s="160"/>
      <c r="BZ894" s="160"/>
      <c r="CA894" s="160"/>
      <c r="CB894" s="160"/>
      <c r="CC894" s="160"/>
      <c r="CD894" s="160"/>
      <c r="CE894" s="160"/>
      <c r="CF894" s="160"/>
      <c r="CG894" s="160"/>
      <c r="CH894" s="160"/>
      <c r="CI894" s="160"/>
      <c r="CJ894" s="160"/>
      <c r="CK894" s="160"/>
      <c r="CL894" s="160"/>
    </row>
    <row r="895">
      <c r="A895" s="171"/>
      <c r="F895" s="11"/>
      <c r="G895" s="11"/>
      <c r="L895" s="171"/>
      <c r="M895" s="171"/>
      <c r="O895" s="160"/>
      <c r="P895" s="160"/>
      <c r="Q895" s="160"/>
      <c r="R895" s="160"/>
      <c r="S895" s="160"/>
      <c r="T895" s="207"/>
      <c r="U895" s="160"/>
      <c r="V895" s="160"/>
      <c r="W895" s="160"/>
      <c r="X895" s="160"/>
      <c r="Y895" s="160"/>
      <c r="Z895" s="160"/>
      <c r="AA895" s="160"/>
      <c r="AB895" s="160"/>
      <c r="AC895" s="160"/>
      <c r="AD895" s="160"/>
      <c r="AE895" s="160"/>
      <c r="AF895" s="160"/>
      <c r="AG895" s="160"/>
      <c r="AH895" s="160"/>
      <c r="AI895" s="160"/>
      <c r="AJ895" s="160"/>
      <c r="AK895" s="160"/>
      <c r="AL895" s="160"/>
      <c r="AM895" s="160"/>
      <c r="AN895" s="164"/>
      <c r="AO895" s="160"/>
      <c r="AP895" s="160"/>
      <c r="AQ895" s="160"/>
      <c r="AR895" s="160"/>
      <c r="AS895" s="160"/>
      <c r="AT895" s="160"/>
      <c r="AU895" s="160"/>
      <c r="AV895" s="160"/>
      <c r="AW895" s="160"/>
      <c r="AX895" s="160"/>
      <c r="AY895" s="160"/>
      <c r="AZ895" s="160"/>
      <c r="BA895" s="160"/>
      <c r="BB895" s="160"/>
      <c r="BC895" s="160"/>
      <c r="BD895" s="160"/>
      <c r="BE895" s="160"/>
      <c r="BF895" s="160"/>
      <c r="BG895" s="160"/>
      <c r="BH895" s="160"/>
      <c r="BI895" s="160"/>
      <c r="BJ895" s="160"/>
      <c r="BK895" s="160"/>
      <c r="BL895" s="160"/>
      <c r="BM895" s="160"/>
      <c r="BN895" s="160"/>
      <c r="BO895" s="160"/>
      <c r="BP895" s="160"/>
      <c r="BQ895" s="160"/>
      <c r="BR895" s="160"/>
      <c r="BS895" s="160"/>
      <c r="BT895" s="160"/>
      <c r="BU895" s="160"/>
      <c r="BV895" s="160"/>
      <c r="BW895" s="160"/>
      <c r="BX895" s="160"/>
      <c r="BY895" s="160"/>
      <c r="BZ895" s="160"/>
      <c r="CA895" s="160"/>
      <c r="CB895" s="160"/>
      <c r="CC895" s="160"/>
      <c r="CD895" s="160"/>
      <c r="CE895" s="160"/>
      <c r="CF895" s="160"/>
      <c r="CG895" s="160"/>
      <c r="CH895" s="160"/>
      <c r="CI895" s="160"/>
      <c r="CJ895" s="160"/>
      <c r="CK895" s="160"/>
      <c r="CL895" s="160"/>
    </row>
    <row r="896">
      <c r="A896" s="171"/>
      <c r="F896" s="11"/>
      <c r="G896" s="11"/>
      <c r="L896" s="171"/>
      <c r="M896" s="171"/>
      <c r="O896" s="160"/>
      <c r="P896" s="160"/>
      <c r="Q896" s="160"/>
      <c r="R896" s="160"/>
      <c r="S896" s="160"/>
      <c r="T896" s="207"/>
      <c r="U896" s="160"/>
      <c r="V896" s="160"/>
      <c r="W896" s="160"/>
      <c r="X896" s="160"/>
      <c r="Y896" s="160"/>
      <c r="Z896" s="160"/>
      <c r="AA896" s="160"/>
      <c r="AB896" s="160"/>
      <c r="AC896" s="160"/>
      <c r="AD896" s="160"/>
      <c r="AE896" s="160"/>
      <c r="AF896" s="160"/>
      <c r="AG896" s="160"/>
      <c r="AH896" s="160"/>
      <c r="AI896" s="160"/>
      <c r="AJ896" s="160"/>
      <c r="AK896" s="160"/>
      <c r="AL896" s="160"/>
      <c r="AM896" s="160"/>
      <c r="AN896" s="164"/>
      <c r="AO896" s="160"/>
      <c r="AP896" s="160"/>
      <c r="AQ896" s="160"/>
      <c r="AR896" s="160"/>
      <c r="AS896" s="160"/>
      <c r="AT896" s="160"/>
      <c r="AU896" s="160"/>
      <c r="AV896" s="160"/>
      <c r="AW896" s="160"/>
      <c r="AX896" s="160"/>
      <c r="AY896" s="160"/>
      <c r="AZ896" s="160"/>
      <c r="BA896" s="160"/>
      <c r="BB896" s="160"/>
      <c r="BC896" s="160"/>
      <c r="BD896" s="160"/>
      <c r="BE896" s="160"/>
      <c r="BF896" s="160"/>
      <c r="BG896" s="160"/>
      <c r="BH896" s="160"/>
      <c r="BI896" s="160"/>
      <c r="BJ896" s="160"/>
      <c r="BK896" s="160"/>
      <c r="BL896" s="160"/>
      <c r="BM896" s="160"/>
      <c r="BN896" s="160"/>
      <c r="BO896" s="160"/>
      <c r="BP896" s="160"/>
      <c r="BQ896" s="160"/>
      <c r="BR896" s="160"/>
      <c r="BS896" s="160"/>
      <c r="BT896" s="160"/>
      <c r="BU896" s="160"/>
      <c r="BV896" s="160"/>
      <c r="BW896" s="160"/>
      <c r="BX896" s="160"/>
      <c r="BY896" s="160"/>
      <c r="BZ896" s="160"/>
      <c r="CA896" s="160"/>
      <c r="CB896" s="160"/>
      <c r="CC896" s="160"/>
      <c r="CD896" s="160"/>
      <c r="CE896" s="160"/>
      <c r="CF896" s="160"/>
      <c r="CG896" s="160"/>
      <c r="CH896" s="160"/>
      <c r="CI896" s="160"/>
      <c r="CJ896" s="160"/>
      <c r="CK896" s="160"/>
      <c r="CL896" s="160"/>
    </row>
    <row r="897">
      <c r="A897" s="171"/>
      <c r="F897" s="11"/>
      <c r="G897" s="11"/>
      <c r="L897" s="171"/>
      <c r="M897" s="171"/>
      <c r="O897" s="160"/>
      <c r="P897" s="160"/>
      <c r="Q897" s="160"/>
      <c r="R897" s="160"/>
      <c r="S897" s="160"/>
      <c r="T897" s="207"/>
      <c r="U897" s="160"/>
      <c r="V897" s="160"/>
      <c r="W897" s="160"/>
      <c r="X897" s="160"/>
      <c r="Y897" s="160"/>
      <c r="Z897" s="160"/>
      <c r="AA897" s="160"/>
      <c r="AB897" s="160"/>
      <c r="AC897" s="160"/>
      <c r="AD897" s="160"/>
      <c r="AE897" s="160"/>
      <c r="AF897" s="160"/>
      <c r="AG897" s="160"/>
      <c r="AH897" s="160"/>
      <c r="AI897" s="160"/>
      <c r="AJ897" s="160"/>
      <c r="AK897" s="160"/>
      <c r="AL897" s="160"/>
      <c r="AM897" s="160"/>
      <c r="AN897" s="164"/>
      <c r="AO897" s="160"/>
      <c r="AP897" s="160"/>
      <c r="AQ897" s="160"/>
      <c r="AR897" s="160"/>
      <c r="AS897" s="160"/>
      <c r="AT897" s="160"/>
      <c r="AU897" s="160"/>
      <c r="AV897" s="160"/>
      <c r="AW897" s="160"/>
      <c r="AX897" s="160"/>
      <c r="AY897" s="160"/>
      <c r="AZ897" s="160"/>
      <c r="BA897" s="160"/>
      <c r="BB897" s="160"/>
      <c r="BC897" s="160"/>
      <c r="BD897" s="160"/>
      <c r="BE897" s="160"/>
      <c r="BF897" s="160"/>
      <c r="BG897" s="160"/>
      <c r="BH897" s="160"/>
      <c r="BI897" s="160"/>
      <c r="BJ897" s="160"/>
      <c r="BK897" s="160"/>
      <c r="BL897" s="160"/>
      <c r="BM897" s="160"/>
      <c r="BN897" s="160"/>
      <c r="BO897" s="160"/>
      <c r="BP897" s="160"/>
      <c r="BQ897" s="160"/>
      <c r="BR897" s="160"/>
      <c r="BS897" s="160"/>
      <c r="BT897" s="160"/>
      <c r="BU897" s="160"/>
      <c r="BV897" s="160"/>
      <c r="BW897" s="160"/>
      <c r="BX897" s="160"/>
      <c r="BY897" s="160"/>
      <c r="BZ897" s="160"/>
      <c r="CA897" s="160"/>
      <c r="CB897" s="160"/>
      <c r="CC897" s="160"/>
      <c r="CD897" s="160"/>
      <c r="CE897" s="160"/>
      <c r="CF897" s="160"/>
      <c r="CG897" s="160"/>
      <c r="CH897" s="160"/>
      <c r="CI897" s="160"/>
      <c r="CJ897" s="160"/>
      <c r="CK897" s="160"/>
      <c r="CL897" s="160"/>
    </row>
    <row r="898">
      <c r="A898" s="171"/>
      <c r="F898" s="11"/>
      <c r="G898" s="11"/>
      <c r="L898" s="171"/>
      <c r="M898" s="171"/>
      <c r="O898" s="160"/>
      <c r="P898" s="160"/>
      <c r="Q898" s="160"/>
      <c r="R898" s="160"/>
      <c r="S898" s="160"/>
      <c r="T898" s="207"/>
      <c r="U898" s="160"/>
      <c r="V898" s="160"/>
      <c r="W898" s="160"/>
      <c r="X898" s="160"/>
      <c r="Y898" s="160"/>
      <c r="Z898" s="160"/>
      <c r="AA898" s="160"/>
      <c r="AB898" s="160"/>
      <c r="AC898" s="160"/>
      <c r="AD898" s="160"/>
      <c r="AE898" s="160"/>
      <c r="AF898" s="160"/>
      <c r="AG898" s="160"/>
      <c r="AH898" s="160"/>
      <c r="AI898" s="160"/>
      <c r="AJ898" s="160"/>
      <c r="AK898" s="160"/>
      <c r="AL898" s="160"/>
      <c r="AM898" s="160"/>
      <c r="AN898" s="164"/>
      <c r="AO898" s="160"/>
      <c r="AP898" s="160"/>
      <c r="AQ898" s="160"/>
      <c r="AR898" s="160"/>
      <c r="AS898" s="160"/>
      <c r="AT898" s="160"/>
      <c r="AU898" s="160"/>
      <c r="AV898" s="160"/>
      <c r="AW898" s="160"/>
      <c r="AX898" s="160"/>
      <c r="AY898" s="160"/>
      <c r="AZ898" s="160"/>
      <c r="BA898" s="160"/>
      <c r="BB898" s="160"/>
      <c r="BC898" s="160"/>
      <c r="BD898" s="160"/>
      <c r="BE898" s="160"/>
      <c r="BF898" s="160"/>
      <c r="BG898" s="160"/>
      <c r="BH898" s="160"/>
      <c r="BI898" s="160"/>
      <c r="BJ898" s="160"/>
      <c r="BK898" s="160"/>
      <c r="BL898" s="160"/>
      <c r="BM898" s="160"/>
      <c r="BN898" s="160"/>
      <c r="BO898" s="160"/>
      <c r="BP898" s="160"/>
      <c r="BQ898" s="160"/>
      <c r="BR898" s="160"/>
      <c r="BS898" s="160"/>
      <c r="BT898" s="160"/>
      <c r="BU898" s="160"/>
      <c r="BV898" s="160"/>
      <c r="BW898" s="160"/>
      <c r="BX898" s="160"/>
      <c r="BY898" s="160"/>
      <c r="BZ898" s="160"/>
      <c r="CA898" s="160"/>
      <c r="CB898" s="160"/>
      <c r="CC898" s="160"/>
      <c r="CD898" s="160"/>
      <c r="CE898" s="160"/>
      <c r="CF898" s="160"/>
      <c r="CG898" s="160"/>
      <c r="CH898" s="160"/>
      <c r="CI898" s="160"/>
      <c r="CJ898" s="160"/>
      <c r="CK898" s="160"/>
      <c r="CL898" s="160"/>
    </row>
    <row r="899">
      <c r="A899" s="171"/>
      <c r="F899" s="11"/>
      <c r="G899" s="11"/>
      <c r="L899" s="171"/>
      <c r="M899" s="171"/>
      <c r="O899" s="160"/>
      <c r="P899" s="160"/>
      <c r="Q899" s="160"/>
      <c r="R899" s="160"/>
      <c r="S899" s="160"/>
      <c r="T899" s="207"/>
      <c r="U899" s="160"/>
      <c r="V899" s="160"/>
      <c r="W899" s="160"/>
      <c r="X899" s="160"/>
      <c r="Y899" s="160"/>
      <c r="Z899" s="160"/>
      <c r="AA899" s="160"/>
      <c r="AB899" s="160"/>
      <c r="AC899" s="160"/>
      <c r="AD899" s="160"/>
      <c r="AE899" s="160"/>
      <c r="AF899" s="160"/>
      <c r="AG899" s="160"/>
      <c r="AH899" s="160"/>
      <c r="AI899" s="160"/>
      <c r="AJ899" s="160"/>
      <c r="AK899" s="160"/>
      <c r="AL899" s="160"/>
      <c r="AM899" s="160"/>
      <c r="AN899" s="164"/>
      <c r="AO899" s="160"/>
      <c r="AP899" s="160"/>
      <c r="AQ899" s="160"/>
      <c r="AR899" s="160"/>
      <c r="AS899" s="160"/>
      <c r="AT899" s="160"/>
      <c r="AU899" s="160"/>
      <c r="AV899" s="160"/>
      <c r="AW899" s="160"/>
      <c r="AX899" s="160"/>
      <c r="AY899" s="160"/>
      <c r="AZ899" s="160"/>
      <c r="BA899" s="160"/>
      <c r="BB899" s="160"/>
      <c r="BC899" s="160"/>
      <c r="BD899" s="160"/>
      <c r="BE899" s="160"/>
      <c r="BF899" s="160"/>
      <c r="BG899" s="160"/>
      <c r="BH899" s="160"/>
      <c r="BI899" s="160"/>
      <c r="BJ899" s="160"/>
      <c r="BK899" s="160"/>
      <c r="BL899" s="160"/>
      <c r="BM899" s="160"/>
      <c r="BN899" s="160"/>
      <c r="BO899" s="160"/>
      <c r="BP899" s="160"/>
      <c r="BQ899" s="160"/>
      <c r="BR899" s="160"/>
      <c r="BS899" s="160"/>
      <c r="BT899" s="160"/>
      <c r="BU899" s="160"/>
      <c r="BV899" s="160"/>
      <c r="BW899" s="160"/>
      <c r="BX899" s="160"/>
      <c r="BY899" s="160"/>
      <c r="BZ899" s="160"/>
      <c r="CA899" s="160"/>
      <c r="CB899" s="160"/>
      <c r="CC899" s="160"/>
      <c r="CD899" s="160"/>
      <c r="CE899" s="160"/>
      <c r="CF899" s="160"/>
      <c r="CG899" s="160"/>
      <c r="CH899" s="160"/>
      <c r="CI899" s="160"/>
      <c r="CJ899" s="160"/>
      <c r="CK899" s="160"/>
      <c r="CL899" s="160"/>
    </row>
    <row r="900">
      <c r="A900" s="171"/>
      <c r="F900" s="11"/>
      <c r="G900" s="11"/>
      <c r="L900" s="171"/>
      <c r="M900" s="171"/>
      <c r="O900" s="160"/>
      <c r="P900" s="160"/>
      <c r="Q900" s="160"/>
      <c r="R900" s="160"/>
      <c r="S900" s="160"/>
      <c r="T900" s="207"/>
      <c r="U900" s="160"/>
      <c r="V900" s="160"/>
      <c r="W900" s="160"/>
      <c r="X900" s="160"/>
      <c r="Y900" s="160"/>
      <c r="Z900" s="160"/>
      <c r="AA900" s="160"/>
      <c r="AB900" s="160"/>
      <c r="AC900" s="160"/>
      <c r="AD900" s="160"/>
      <c r="AE900" s="160"/>
      <c r="AF900" s="160"/>
      <c r="AG900" s="160"/>
      <c r="AH900" s="160"/>
      <c r="AI900" s="160"/>
      <c r="AJ900" s="160"/>
      <c r="AK900" s="160"/>
      <c r="AL900" s="160"/>
      <c r="AM900" s="160"/>
      <c r="AN900" s="164"/>
      <c r="AO900" s="160"/>
      <c r="AP900" s="160"/>
      <c r="AQ900" s="160"/>
      <c r="AR900" s="160"/>
      <c r="AS900" s="160"/>
      <c r="AT900" s="160"/>
      <c r="AU900" s="160"/>
      <c r="AV900" s="160"/>
      <c r="AW900" s="160"/>
      <c r="AX900" s="160"/>
      <c r="AY900" s="160"/>
      <c r="AZ900" s="160"/>
      <c r="BA900" s="160"/>
      <c r="BB900" s="160"/>
      <c r="BC900" s="160"/>
      <c r="BD900" s="160"/>
      <c r="BE900" s="160"/>
      <c r="BF900" s="160"/>
      <c r="BG900" s="160"/>
      <c r="BH900" s="160"/>
      <c r="BI900" s="160"/>
      <c r="BJ900" s="160"/>
      <c r="BK900" s="160"/>
      <c r="BL900" s="160"/>
      <c r="BM900" s="160"/>
      <c r="BN900" s="160"/>
      <c r="BO900" s="160"/>
      <c r="BP900" s="160"/>
      <c r="BQ900" s="160"/>
      <c r="BR900" s="160"/>
      <c r="BS900" s="160"/>
      <c r="BT900" s="160"/>
      <c r="BU900" s="160"/>
      <c r="BV900" s="160"/>
      <c r="BW900" s="160"/>
      <c r="BX900" s="160"/>
      <c r="BY900" s="160"/>
      <c r="BZ900" s="160"/>
      <c r="CA900" s="160"/>
      <c r="CB900" s="160"/>
      <c r="CC900" s="160"/>
      <c r="CD900" s="160"/>
      <c r="CE900" s="160"/>
      <c r="CF900" s="160"/>
      <c r="CG900" s="160"/>
      <c r="CH900" s="160"/>
      <c r="CI900" s="160"/>
      <c r="CJ900" s="160"/>
      <c r="CK900" s="160"/>
      <c r="CL900" s="160"/>
    </row>
    <row r="901">
      <c r="A901" s="171"/>
      <c r="F901" s="11"/>
      <c r="G901" s="11"/>
      <c r="L901" s="171"/>
      <c r="M901" s="171"/>
      <c r="O901" s="160"/>
      <c r="P901" s="160"/>
      <c r="Q901" s="160"/>
      <c r="R901" s="160"/>
      <c r="S901" s="160"/>
      <c r="T901" s="207"/>
      <c r="U901" s="160"/>
      <c r="V901" s="160"/>
      <c r="W901" s="160"/>
      <c r="X901" s="160"/>
      <c r="Y901" s="160"/>
      <c r="Z901" s="160"/>
      <c r="AA901" s="160"/>
      <c r="AB901" s="160"/>
      <c r="AC901" s="160"/>
      <c r="AD901" s="160"/>
      <c r="AE901" s="160"/>
      <c r="AF901" s="160"/>
      <c r="AG901" s="160"/>
      <c r="AH901" s="160"/>
      <c r="AI901" s="160"/>
      <c r="AJ901" s="160"/>
      <c r="AK901" s="160"/>
      <c r="AL901" s="160"/>
      <c r="AM901" s="160"/>
      <c r="AN901" s="164"/>
      <c r="AO901" s="160"/>
      <c r="AP901" s="160"/>
      <c r="AQ901" s="160"/>
      <c r="AR901" s="160"/>
      <c r="AS901" s="160"/>
      <c r="AT901" s="160"/>
      <c r="AU901" s="160"/>
      <c r="AV901" s="160"/>
      <c r="AW901" s="160"/>
      <c r="AX901" s="160"/>
      <c r="AY901" s="160"/>
      <c r="AZ901" s="160"/>
      <c r="BA901" s="160"/>
      <c r="BB901" s="160"/>
      <c r="BC901" s="160"/>
      <c r="BD901" s="160"/>
      <c r="BE901" s="160"/>
      <c r="BF901" s="160"/>
      <c r="BG901" s="160"/>
      <c r="BH901" s="160"/>
      <c r="BI901" s="160"/>
      <c r="BJ901" s="160"/>
      <c r="BK901" s="160"/>
      <c r="BL901" s="160"/>
      <c r="BM901" s="160"/>
      <c r="BN901" s="160"/>
      <c r="BO901" s="160"/>
      <c r="BP901" s="160"/>
      <c r="BQ901" s="160"/>
      <c r="BR901" s="160"/>
      <c r="BS901" s="160"/>
      <c r="BT901" s="160"/>
      <c r="BU901" s="160"/>
      <c r="BV901" s="160"/>
      <c r="BW901" s="160"/>
      <c r="BX901" s="160"/>
      <c r="BY901" s="160"/>
      <c r="BZ901" s="160"/>
      <c r="CA901" s="160"/>
      <c r="CB901" s="160"/>
      <c r="CC901" s="160"/>
      <c r="CD901" s="160"/>
      <c r="CE901" s="160"/>
      <c r="CF901" s="160"/>
      <c r="CG901" s="160"/>
      <c r="CH901" s="160"/>
      <c r="CI901" s="160"/>
      <c r="CJ901" s="160"/>
      <c r="CK901" s="160"/>
      <c r="CL901" s="160"/>
    </row>
    <row r="902">
      <c r="A902" s="171"/>
      <c r="F902" s="11"/>
      <c r="G902" s="11"/>
      <c r="L902" s="171"/>
      <c r="M902" s="171"/>
      <c r="O902" s="160"/>
      <c r="P902" s="160"/>
      <c r="Q902" s="160"/>
      <c r="R902" s="160"/>
      <c r="S902" s="160"/>
      <c r="T902" s="207"/>
      <c r="U902" s="160"/>
      <c r="V902" s="160"/>
      <c r="W902" s="160"/>
      <c r="X902" s="160"/>
      <c r="Y902" s="160"/>
      <c r="Z902" s="160"/>
      <c r="AA902" s="160"/>
      <c r="AB902" s="160"/>
      <c r="AC902" s="160"/>
      <c r="AD902" s="160"/>
      <c r="AE902" s="160"/>
      <c r="AF902" s="160"/>
      <c r="AG902" s="160"/>
      <c r="AH902" s="160"/>
      <c r="AI902" s="160"/>
      <c r="AJ902" s="160"/>
      <c r="AK902" s="160"/>
      <c r="AL902" s="160"/>
      <c r="AM902" s="160"/>
      <c r="AN902" s="164"/>
      <c r="AO902" s="160"/>
      <c r="AP902" s="160"/>
      <c r="AQ902" s="160"/>
      <c r="AR902" s="160"/>
      <c r="AS902" s="160"/>
      <c r="AT902" s="160"/>
      <c r="AU902" s="160"/>
      <c r="AV902" s="160"/>
      <c r="AW902" s="160"/>
      <c r="AX902" s="160"/>
      <c r="AY902" s="160"/>
      <c r="AZ902" s="160"/>
      <c r="BA902" s="160"/>
      <c r="BB902" s="160"/>
      <c r="BC902" s="160"/>
      <c r="BD902" s="160"/>
      <c r="BE902" s="160"/>
      <c r="BF902" s="160"/>
      <c r="BG902" s="160"/>
      <c r="BH902" s="160"/>
      <c r="BI902" s="160"/>
      <c r="BJ902" s="160"/>
      <c r="BK902" s="160"/>
      <c r="BL902" s="160"/>
      <c r="BM902" s="160"/>
      <c r="BN902" s="160"/>
      <c r="BO902" s="160"/>
      <c r="BP902" s="160"/>
      <c r="BQ902" s="160"/>
      <c r="BR902" s="160"/>
      <c r="BS902" s="160"/>
      <c r="BT902" s="160"/>
      <c r="BU902" s="160"/>
      <c r="BV902" s="160"/>
      <c r="BW902" s="160"/>
      <c r="BX902" s="160"/>
      <c r="BY902" s="160"/>
      <c r="BZ902" s="160"/>
      <c r="CA902" s="160"/>
      <c r="CB902" s="160"/>
      <c r="CC902" s="160"/>
      <c r="CD902" s="160"/>
      <c r="CE902" s="160"/>
      <c r="CF902" s="160"/>
      <c r="CG902" s="160"/>
      <c r="CH902" s="160"/>
      <c r="CI902" s="160"/>
      <c r="CJ902" s="160"/>
      <c r="CK902" s="160"/>
      <c r="CL902" s="160"/>
    </row>
    <row r="903">
      <c r="A903" s="171"/>
      <c r="F903" s="11"/>
      <c r="G903" s="11"/>
      <c r="L903" s="171"/>
      <c r="M903" s="171"/>
      <c r="O903" s="160"/>
      <c r="P903" s="160"/>
      <c r="Q903" s="160"/>
      <c r="R903" s="160"/>
      <c r="S903" s="160"/>
      <c r="T903" s="207"/>
      <c r="U903" s="160"/>
      <c r="V903" s="160"/>
      <c r="W903" s="160"/>
      <c r="X903" s="160"/>
      <c r="Y903" s="160"/>
      <c r="Z903" s="160"/>
      <c r="AA903" s="160"/>
      <c r="AB903" s="160"/>
      <c r="AC903" s="160"/>
      <c r="AD903" s="160"/>
      <c r="AE903" s="160"/>
      <c r="AF903" s="160"/>
      <c r="AG903" s="160"/>
      <c r="AH903" s="160"/>
      <c r="AI903" s="160"/>
      <c r="AJ903" s="160"/>
      <c r="AK903" s="160"/>
      <c r="AL903" s="160"/>
      <c r="AM903" s="160"/>
      <c r="AN903" s="164"/>
      <c r="AO903" s="160"/>
      <c r="AP903" s="160"/>
      <c r="AQ903" s="160"/>
      <c r="AR903" s="160"/>
      <c r="AS903" s="160"/>
      <c r="AT903" s="160"/>
      <c r="AU903" s="160"/>
      <c r="AV903" s="160"/>
      <c r="AW903" s="160"/>
      <c r="AX903" s="160"/>
      <c r="AY903" s="160"/>
      <c r="AZ903" s="160"/>
      <c r="BA903" s="160"/>
      <c r="BB903" s="160"/>
      <c r="BC903" s="160"/>
      <c r="BD903" s="160"/>
      <c r="BE903" s="160"/>
      <c r="BF903" s="160"/>
      <c r="BG903" s="160"/>
      <c r="BH903" s="160"/>
      <c r="BI903" s="160"/>
      <c r="BJ903" s="160"/>
      <c r="BK903" s="160"/>
      <c r="BL903" s="160"/>
      <c r="BM903" s="160"/>
      <c r="BN903" s="160"/>
      <c r="BO903" s="160"/>
      <c r="BP903" s="160"/>
      <c r="BQ903" s="160"/>
      <c r="BR903" s="160"/>
      <c r="BS903" s="160"/>
      <c r="BT903" s="160"/>
      <c r="BU903" s="160"/>
      <c r="BV903" s="160"/>
      <c r="BW903" s="160"/>
      <c r="BX903" s="160"/>
      <c r="BY903" s="160"/>
      <c r="BZ903" s="160"/>
      <c r="CA903" s="160"/>
      <c r="CB903" s="160"/>
      <c r="CC903" s="160"/>
      <c r="CD903" s="160"/>
      <c r="CE903" s="160"/>
      <c r="CF903" s="160"/>
      <c r="CG903" s="160"/>
      <c r="CH903" s="160"/>
      <c r="CI903" s="160"/>
      <c r="CJ903" s="160"/>
      <c r="CK903" s="160"/>
      <c r="CL903" s="160"/>
    </row>
    <row r="904">
      <c r="A904" s="171"/>
      <c r="F904" s="11"/>
      <c r="G904" s="11"/>
      <c r="L904" s="171"/>
      <c r="M904" s="171"/>
      <c r="O904" s="160"/>
      <c r="P904" s="160"/>
      <c r="Q904" s="160"/>
      <c r="R904" s="160"/>
      <c r="S904" s="160"/>
      <c r="T904" s="207"/>
      <c r="U904" s="160"/>
      <c r="V904" s="160"/>
      <c r="W904" s="160"/>
      <c r="X904" s="160"/>
      <c r="Y904" s="160"/>
      <c r="Z904" s="160"/>
      <c r="AA904" s="160"/>
      <c r="AB904" s="160"/>
      <c r="AC904" s="160"/>
      <c r="AD904" s="160"/>
      <c r="AE904" s="160"/>
      <c r="AF904" s="160"/>
      <c r="AG904" s="160"/>
      <c r="AH904" s="160"/>
      <c r="AI904" s="160"/>
      <c r="AJ904" s="160"/>
      <c r="AK904" s="160"/>
      <c r="AL904" s="160"/>
      <c r="AM904" s="160"/>
      <c r="AN904" s="164"/>
      <c r="AO904" s="160"/>
      <c r="AP904" s="160"/>
      <c r="AQ904" s="160"/>
      <c r="AR904" s="160"/>
      <c r="AS904" s="160"/>
      <c r="AT904" s="160"/>
      <c r="AU904" s="160"/>
      <c r="AV904" s="160"/>
      <c r="AW904" s="160"/>
      <c r="AX904" s="160"/>
      <c r="AY904" s="160"/>
      <c r="AZ904" s="160"/>
      <c r="BA904" s="160"/>
      <c r="BB904" s="160"/>
      <c r="BC904" s="160"/>
      <c r="BD904" s="160"/>
      <c r="BE904" s="160"/>
      <c r="BF904" s="160"/>
      <c r="BG904" s="160"/>
      <c r="BH904" s="160"/>
      <c r="BI904" s="160"/>
      <c r="BJ904" s="160"/>
      <c r="BK904" s="160"/>
      <c r="BL904" s="160"/>
      <c r="BM904" s="160"/>
      <c r="BN904" s="160"/>
      <c r="BO904" s="160"/>
      <c r="BP904" s="160"/>
      <c r="BQ904" s="160"/>
      <c r="BR904" s="160"/>
      <c r="BS904" s="160"/>
      <c r="BT904" s="160"/>
      <c r="BU904" s="160"/>
      <c r="BV904" s="160"/>
      <c r="BW904" s="160"/>
      <c r="BX904" s="160"/>
      <c r="BY904" s="160"/>
      <c r="BZ904" s="160"/>
      <c r="CA904" s="160"/>
      <c r="CB904" s="160"/>
      <c r="CC904" s="160"/>
      <c r="CD904" s="160"/>
      <c r="CE904" s="160"/>
      <c r="CF904" s="160"/>
      <c r="CG904" s="160"/>
      <c r="CH904" s="160"/>
      <c r="CI904" s="160"/>
      <c r="CJ904" s="160"/>
      <c r="CK904" s="160"/>
      <c r="CL904" s="160"/>
    </row>
    <row r="905">
      <c r="A905" s="171"/>
      <c r="F905" s="11"/>
      <c r="G905" s="11"/>
      <c r="L905" s="171"/>
      <c r="M905" s="171"/>
      <c r="O905" s="160"/>
      <c r="P905" s="160"/>
      <c r="Q905" s="160"/>
      <c r="R905" s="160"/>
      <c r="S905" s="160"/>
      <c r="T905" s="207"/>
      <c r="U905" s="160"/>
      <c r="V905" s="160"/>
      <c r="W905" s="160"/>
      <c r="X905" s="160"/>
      <c r="Y905" s="160"/>
      <c r="Z905" s="160"/>
      <c r="AA905" s="160"/>
      <c r="AB905" s="160"/>
      <c r="AC905" s="160"/>
      <c r="AD905" s="160"/>
      <c r="AE905" s="160"/>
      <c r="AF905" s="160"/>
      <c r="AG905" s="160"/>
      <c r="AH905" s="160"/>
      <c r="AI905" s="160"/>
      <c r="AJ905" s="160"/>
      <c r="AK905" s="160"/>
      <c r="AL905" s="160"/>
      <c r="AM905" s="160"/>
      <c r="AN905" s="164"/>
      <c r="AO905" s="160"/>
      <c r="AP905" s="160"/>
      <c r="AQ905" s="160"/>
      <c r="AR905" s="160"/>
      <c r="AS905" s="160"/>
      <c r="AT905" s="160"/>
      <c r="AU905" s="160"/>
      <c r="AV905" s="160"/>
      <c r="AW905" s="160"/>
      <c r="AX905" s="160"/>
      <c r="AY905" s="160"/>
      <c r="AZ905" s="160"/>
      <c r="BA905" s="160"/>
      <c r="BB905" s="160"/>
      <c r="BC905" s="160"/>
      <c r="BD905" s="160"/>
      <c r="BE905" s="160"/>
      <c r="BF905" s="160"/>
      <c r="BG905" s="160"/>
      <c r="BH905" s="160"/>
      <c r="BI905" s="160"/>
      <c r="BJ905" s="160"/>
      <c r="BK905" s="160"/>
      <c r="BL905" s="160"/>
      <c r="BM905" s="160"/>
      <c r="BN905" s="160"/>
      <c r="BO905" s="160"/>
      <c r="BP905" s="160"/>
      <c r="BQ905" s="160"/>
      <c r="BR905" s="160"/>
      <c r="BS905" s="160"/>
      <c r="BT905" s="160"/>
      <c r="BU905" s="160"/>
      <c r="BV905" s="160"/>
      <c r="BW905" s="160"/>
      <c r="BX905" s="160"/>
      <c r="BY905" s="160"/>
      <c r="BZ905" s="160"/>
      <c r="CA905" s="160"/>
      <c r="CB905" s="160"/>
      <c r="CC905" s="160"/>
      <c r="CD905" s="160"/>
      <c r="CE905" s="160"/>
      <c r="CF905" s="160"/>
      <c r="CG905" s="160"/>
      <c r="CH905" s="160"/>
      <c r="CI905" s="160"/>
      <c r="CJ905" s="160"/>
      <c r="CK905" s="160"/>
      <c r="CL905" s="160"/>
    </row>
    <row r="906">
      <c r="A906" s="171"/>
      <c r="F906" s="11"/>
      <c r="G906" s="11"/>
      <c r="L906" s="171"/>
      <c r="M906" s="171"/>
      <c r="O906" s="160"/>
      <c r="P906" s="160"/>
      <c r="Q906" s="160"/>
      <c r="R906" s="160"/>
      <c r="S906" s="160"/>
      <c r="T906" s="207"/>
      <c r="U906" s="160"/>
      <c r="V906" s="160"/>
      <c r="W906" s="160"/>
      <c r="X906" s="160"/>
      <c r="Y906" s="160"/>
      <c r="Z906" s="160"/>
      <c r="AA906" s="160"/>
      <c r="AB906" s="160"/>
      <c r="AC906" s="160"/>
      <c r="AD906" s="160"/>
      <c r="AE906" s="160"/>
      <c r="AF906" s="160"/>
      <c r="AG906" s="160"/>
      <c r="AH906" s="160"/>
      <c r="AI906" s="160"/>
      <c r="AJ906" s="160"/>
      <c r="AK906" s="160"/>
      <c r="AL906" s="160"/>
      <c r="AM906" s="160"/>
      <c r="AN906" s="164"/>
      <c r="AO906" s="160"/>
      <c r="AP906" s="160"/>
      <c r="AQ906" s="160"/>
      <c r="AR906" s="160"/>
      <c r="AS906" s="160"/>
      <c r="AT906" s="160"/>
      <c r="AU906" s="160"/>
      <c r="AV906" s="160"/>
      <c r="AW906" s="160"/>
      <c r="AX906" s="160"/>
      <c r="AY906" s="160"/>
      <c r="AZ906" s="160"/>
      <c r="BA906" s="160"/>
      <c r="BB906" s="160"/>
      <c r="BC906" s="160"/>
      <c r="BD906" s="160"/>
      <c r="BE906" s="160"/>
      <c r="BF906" s="160"/>
      <c r="BG906" s="160"/>
      <c r="BH906" s="160"/>
      <c r="BI906" s="160"/>
      <c r="BJ906" s="160"/>
      <c r="BK906" s="160"/>
      <c r="BL906" s="160"/>
      <c r="BM906" s="160"/>
      <c r="BN906" s="160"/>
      <c r="BO906" s="160"/>
      <c r="BP906" s="160"/>
      <c r="BQ906" s="160"/>
      <c r="BR906" s="160"/>
      <c r="BS906" s="160"/>
      <c r="BT906" s="160"/>
      <c r="BU906" s="160"/>
      <c r="BV906" s="160"/>
      <c r="BW906" s="160"/>
      <c r="BX906" s="160"/>
      <c r="BY906" s="160"/>
      <c r="BZ906" s="160"/>
      <c r="CA906" s="160"/>
      <c r="CB906" s="160"/>
      <c r="CC906" s="160"/>
      <c r="CD906" s="160"/>
      <c r="CE906" s="160"/>
      <c r="CF906" s="160"/>
      <c r="CG906" s="160"/>
      <c r="CH906" s="160"/>
      <c r="CI906" s="160"/>
      <c r="CJ906" s="160"/>
      <c r="CK906" s="160"/>
      <c r="CL906" s="160"/>
    </row>
    <row r="907">
      <c r="A907" s="171"/>
      <c r="F907" s="11"/>
      <c r="G907" s="11"/>
      <c r="L907" s="171"/>
      <c r="M907" s="171"/>
      <c r="O907" s="160"/>
      <c r="P907" s="160"/>
      <c r="Q907" s="160"/>
      <c r="R907" s="160"/>
      <c r="S907" s="160"/>
      <c r="T907" s="207"/>
      <c r="U907" s="160"/>
      <c r="V907" s="160"/>
      <c r="W907" s="160"/>
      <c r="X907" s="160"/>
      <c r="Y907" s="160"/>
      <c r="Z907" s="160"/>
      <c r="AA907" s="160"/>
      <c r="AB907" s="160"/>
      <c r="AC907" s="160"/>
      <c r="AD907" s="160"/>
      <c r="AE907" s="160"/>
      <c r="AF907" s="160"/>
      <c r="AG907" s="160"/>
      <c r="AH907" s="160"/>
      <c r="AI907" s="160"/>
      <c r="AJ907" s="160"/>
      <c r="AK907" s="160"/>
      <c r="AL907" s="160"/>
      <c r="AM907" s="160"/>
      <c r="AN907" s="164"/>
      <c r="AO907" s="160"/>
      <c r="AP907" s="160"/>
      <c r="AQ907" s="160"/>
      <c r="AR907" s="160"/>
      <c r="AS907" s="160"/>
      <c r="AT907" s="160"/>
      <c r="AU907" s="160"/>
      <c r="AV907" s="160"/>
      <c r="AW907" s="160"/>
      <c r="AX907" s="160"/>
      <c r="AY907" s="160"/>
      <c r="AZ907" s="160"/>
      <c r="BA907" s="160"/>
      <c r="BB907" s="160"/>
      <c r="BC907" s="160"/>
      <c r="BD907" s="160"/>
      <c r="BE907" s="160"/>
      <c r="BF907" s="160"/>
      <c r="BG907" s="160"/>
      <c r="BH907" s="160"/>
      <c r="BI907" s="160"/>
      <c r="BJ907" s="160"/>
      <c r="BK907" s="160"/>
      <c r="BL907" s="160"/>
      <c r="BM907" s="160"/>
      <c r="BN907" s="160"/>
      <c r="BO907" s="160"/>
      <c r="BP907" s="160"/>
      <c r="BQ907" s="160"/>
      <c r="BR907" s="160"/>
      <c r="BS907" s="160"/>
      <c r="BT907" s="160"/>
      <c r="BU907" s="160"/>
      <c r="BV907" s="160"/>
      <c r="BW907" s="160"/>
      <c r="BX907" s="160"/>
      <c r="BY907" s="160"/>
      <c r="BZ907" s="160"/>
      <c r="CA907" s="160"/>
      <c r="CB907" s="160"/>
      <c r="CC907" s="160"/>
      <c r="CD907" s="160"/>
      <c r="CE907" s="160"/>
      <c r="CF907" s="160"/>
      <c r="CG907" s="160"/>
      <c r="CH907" s="160"/>
      <c r="CI907" s="160"/>
      <c r="CJ907" s="160"/>
      <c r="CK907" s="160"/>
      <c r="CL907" s="160"/>
    </row>
    <row r="908">
      <c r="A908" s="171"/>
      <c r="F908" s="11"/>
      <c r="G908" s="11"/>
      <c r="L908" s="171"/>
      <c r="M908" s="171"/>
      <c r="O908" s="160"/>
      <c r="P908" s="160"/>
      <c r="Q908" s="160"/>
      <c r="R908" s="160"/>
      <c r="S908" s="160"/>
      <c r="T908" s="207"/>
      <c r="U908" s="160"/>
      <c r="V908" s="160"/>
      <c r="W908" s="160"/>
      <c r="X908" s="160"/>
      <c r="Y908" s="160"/>
      <c r="Z908" s="160"/>
      <c r="AA908" s="160"/>
      <c r="AB908" s="160"/>
      <c r="AC908" s="160"/>
      <c r="AD908" s="160"/>
      <c r="AE908" s="160"/>
      <c r="AF908" s="160"/>
      <c r="AG908" s="160"/>
      <c r="AH908" s="160"/>
      <c r="AI908" s="160"/>
      <c r="AJ908" s="160"/>
      <c r="AK908" s="160"/>
      <c r="AL908" s="160"/>
      <c r="AM908" s="160"/>
      <c r="AN908" s="164"/>
      <c r="AO908" s="160"/>
      <c r="AP908" s="160"/>
      <c r="AQ908" s="160"/>
      <c r="AR908" s="160"/>
      <c r="AS908" s="160"/>
      <c r="AT908" s="160"/>
      <c r="AU908" s="160"/>
      <c r="AV908" s="160"/>
      <c r="AW908" s="160"/>
      <c r="AX908" s="160"/>
      <c r="AY908" s="160"/>
      <c r="AZ908" s="160"/>
      <c r="BA908" s="160"/>
      <c r="BB908" s="160"/>
      <c r="BC908" s="160"/>
      <c r="BD908" s="160"/>
      <c r="BE908" s="160"/>
      <c r="BF908" s="160"/>
      <c r="BG908" s="160"/>
      <c r="BH908" s="160"/>
      <c r="BI908" s="160"/>
      <c r="BJ908" s="160"/>
      <c r="BK908" s="160"/>
      <c r="BL908" s="160"/>
      <c r="BM908" s="160"/>
      <c r="BN908" s="160"/>
      <c r="BO908" s="160"/>
      <c r="BP908" s="160"/>
      <c r="BQ908" s="160"/>
      <c r="BR908" s="160"/>
      <c r="BS908" s="160"/>
      <c r="BT908" s="160"/>
      <c r="BU908" s="160"/>
      <c r="BV908" s="160"/>
      <c r="BW908" s="160"/>
      <c r="BX908" s="160"/>
      <c r="BY908" s="160"/>
      <c r="BZ908" s="160"/>
      <c r="CA908" s="160"/>
      <c r="CB908" s="160"/>
      <c r="CC908" s="160"/>
      <c r="CD908" s="160"/>
      <c r="CE908" s="160"/>
      <c r="CF908" s="160"/>
      <c r="CG908" s="160"/>
      <c r="CH908" s="160"/>
      <c r="CI908" s="160"/>
      <c r="CJ908" s="160"/>
      <c r="CK908" s="160"/>
      <c r="CL908" s="160"/>
    </row>
    <row r="909">
      <c r="A909" s="171"/>
      <c r="F909" s="11"/>
      <c r="G909" s="11"/>
      <c r="L909" s="171"/>
      <c r="M909" s="171"/>
      <c r="O909" s="160"/>
      <c r="P909" s="160"/>
      <c r="Q909" s="160"/>
      <c r="R909" s="160"/>
      <c r="S909" s="160"/>
      <c r="T909" s="207"/>
      <c r="U909" s="160"/>
      <c r="V909" s="160"/>
      <c r="W909" s="160"/>
      <c r="X909" s="160"/>
      <c r="Y909" s="160"/>
      <c r="Z909" s="160"/>
      <c r="AA909" s="160"/>
      <c r="AB909" s="160"/>
      <c r="AC909" s="160"/>
      <c r="AD909" s="160"/>
      <c r="AE909" s="160"/>
      <c r="AF909" s="160"/>
      <c r="AG909" s="160"/>
      <c r="AH909" s="160"/>
      <c r="AI909" s="160"/>
      <c r="AJ909" s="160"/>
      <c r="AK909" s="160"/>
      <c r="AL909" s="160"/>
      <c r="AM909" s="160"/>
      <c r="AN909" s="164"/>
      <c r="AO909" s="160"/>
      <c r="AP909" s="160"/>
      <c r="AQ909" s="160"/>
      <c r="AR909" s="160"/>
      <c r="AS909" s="160"/>
      <c r="AT909" s="160"/>
      <c r="AU909" s="160"/>
      <c r="AV909" s="160"/>
      <c r="AW909" s="160"/>
      <c r="AX909" s="160"/>
      <c r="AY909" s="160"/>
      <c r="AZ909" s="160"/>
      <c r="BA909" s="160"/>
      <c r="BB909" s="160"/>
      <c r="BC909" s="160"/>
      <c r="BD909" s="160"/>
      <c r="BE909" s="160"/>
      <c r="BF909" s="160"/>
      <c r="BG909" s="160"/>
      <c r="BH909" s="160"/>
      <c r="BI909" s="160"/>
      <c r="BJ909" s="160"/>
      <c r="BK909" s="160"/>
      <c r="BL909" s="160"/>
      <c r="BM909" s="160"/>
      <c r="BN909" s="160"/>
      <c r="BO909" s="160"/>
      <c r="BP909" s="160"/>
      <c r="BQ909" s="160"/>
      <c r="BR909" s="160"/>
      <c r="BS909" s="160"/>
      <c r="BT909" s="160"/>
      <c r="BU909" s="160"/>
      <c r="BV909" s="160"/>
      <c r="BW909" s="160"/>
      <c r="BX909" s="160"/>
      <c r="BY909" s="160"/>
      <c r="BZ909" s="160"/>
      <c r="CA909" s="160"/>
      <c r="CB909" s="160"/>
      <c r="CC909" s="160"/>
      <c r="CD909" s="160"/>
      <c r="CE909" s="160"/>
      <c r="CF909" s="160"/>
      <c r="CG909" s="160"/>
      <c r="CH909" s="160"/>
      <c r="CI909" s="160"/>
      <c r="CJ909" s="160"/>
      <c r="CK909" s="160"/>
      <c r="CL909" s="160"/>
    </row>
    <row r="910">
      <c r="A910" s="171"/>
      <c r="F910" s="11"/>
      <c r="G910" s="11"/>
      <c r="L910" s="171"/>
      <c r="M910" s="171"/>
      <c r="O910" s="160"/>
      <c r="P910" s="160"/>
      <c r="Q910" s="160"/>
      <c r="R910" s="160"/>
      <c r="S910" s="160"/>
      <c r="T910" s="207"/>
      <c r="U910" s="160"/>
      <c r="V910" s="160"/>
      <c r="W910" s="160"/>
      <c r="X910" s="160"/>
      <c r="Y910" s="160"/>
      <c r="Z910" s="160"/>
      <c r="AA910" s="160"/>
      <c r="AB910" s="160"/>
      <c r="AC910" s="160"/>
      <c r="AD910" s="160"/>
      <c r="AE910" s="160"/>
      <c r="AF910" s="160"/>
      <c r="AG910" s="160"/>
      <c r="AH910" s="160"/>
      <c r="AI910" s="160"/>
      <c r="AJ910" s="160"/>
      <c r="AK910" s="160"/>
      <c r="AL910" s="160"/>
      <c r="AM910" s="160"/>
      <c r="AN910" s="164"/>
      <c r="AO910" s="160"/>
      <c r="AP910" s="160"/>
      <c r="AQ910" s="160"/>
      <c r="AR910" s="160"/>
      <c r="AS910" s="160"/>
      <c r="AT910" s="160"/>
      <c r="AU910" s="160"/>
      <c r="AV910" s="160"/>
      <c r="AW910" s="160"/>
      <c r="AX910" s="160"/>
      <c r="AY910" s="160"/>
      <c r="AZ910" s="160"/>
      <c r="BA910" s="160"/>
      <c r="BB910" s="160"/>
      <c r="BC910" s="160"/>
      <c r="BD910" s="160"/>
      <c r="BE910" s="160"/>
      <c r="BF910" s="160"/>
      <c r="BG910" s="160"/>
      <c r="BH910" s="160"/>
      <c r="BI910" s="160"/>
      <c r="BJ910" s="160"/>
      <c r="BK910" s="160"/>
      <c r="BL910" s="160"/>
      <c r="BM910" s="160"/>
      <c r="BN910" s="160"/>
      <c r="BO910" s="160"/>
      <c r="BP910" s="160"/>
      <c r="BQ910" s="160"/>
      <c r="BR910" s="160"/>
      <c r="BS910" s="160"/>
      <c r="BT910" s="160"/>
      <c r="BU910" s="160"/>
      <c r="BV910" s="160"/>
      <c r="BW910" s="160"/>
      <c r="BX910" s="160"/>
      <c r="BY910" s="160"/>
      <c r="BZ910" s="160"/>
      <c r="CA910" s="160"/>
      <c r="CB910" s="160"/>
      <c r="CC910" s="160"/>
      <c r="CD910" s="160"/>
      <c r="CE910" s="160"/>
      <c r="CF910" s="160"/>
      <c r="CG910" s="160"/>
      <c r="CH910" s="160"/>
      <c r="CI910" s="160"/>
      <c r="CJ910" s="160"/>
      <c r="CK910" s="160"/>
      <c r="CL910" s="160"/>
    </row>
    <row r="911">
      <c r="A911" s="171"/>
      <c r="F911" s="11"/>
      <c r="G911" s="11"/>
      <c r="L911" s="171"/>
      <c r="M911" s="171"/>
      <c r="O911" s="160"/>
      <c r="P911" s="160"/>
      <c r="Q911" s="160"/>
      <c r="R911" s="160"/>
      <c r="S911" s="160"/>
      <c r="T911" s="207"/>
      <c r="U911" s="160"/>
      <c r="V911" s="160"/>
      <c r="W911" s="160"/>
      <c r="X911" s="160"/>
      <c r="Y911" s="160"/>
      <c r="Z911" s="160"/>
      <c r="AA911" s="160"/>
      <c r="AB911" s="160"/>
      <c r="AC911" s="160"/>
      <c r="AD911" s="160"/>
      <c r="AE911" s="160"/>
      <c r="AF911" s="160"/>
      <c r="AG911" s="160"/>
      <c r="AH911" s="160"/>
      <c r="AI911" s="160"/>
      <c r="AJ911" s="160"/>
      <c r="AK911" s="160"/>
      <c r="AL911" s="160"/>
      <c r="AM911" s="160"/>
      <c r="AN911" s="164"/>
      <c r="AO911" s="160"/>
      <c r="AP911" s="160"/>
      <c r="AQ911" s="160"/>
      <c r="AR911" s="160"/>
      <c r="AS911" s="160"/>
      <c r="AT911" s="160"/>
      <c r="AU911" s="160"/>
      <c r="AV911" s="160"/>
      <c r="AW911" s="160"/>
      <c r="AX911" s="160"/>
      <c r="AY911" s="160"/>
      <c r="AZ911" s="160"/>
      <c r="BA911" s="160"/>
      <c r="BB911" s="160"/>
      <c r="BC911" s="160"/>
      <c r="BD911" s="160"/>
      <c r="BE911" s="160"/>
      <c r="BF911" s="160"/>
      <c r="BG911" s="160"/>
      <c r="BH911" s="160"/>
      <c r="BI911" s="160"/>
      <c r="BJ911" s="160"/>
      <c r="BK911" s="160"/>
      <c r="BL911" s="160"/>
      <c r="BM911" s="160"/>
      <c r="BN911" s="160"/>
      <c r="BO911" s="160"/>
      <c r="BP911" s="160"/>
      <c r="BQ911" s="160"/>
      <c r="BR911" s="160"/>
      <c r="BS911" s="160"/>
      <c r="BT911" s="160"/>
      <c r="BU911" s="160"/>
      <c r="BV911" s="160"/>
      <c r="BW911" s="160"/>
      <c r="BX911" s="160"/>
      <c r="BY911" s="160"/>
      <c r="BZ911" s="160"/>
      <c r="CA911" s="160"/>
      <c r="CB911" s="160"/>
      <c r="CC911" s="160"/>
      <c r="CD911" s="160"/>
      <c r="CE911" s="160"/>
      <c r="CF911" s="160"/>
      <c r="CG911" s="160"/>
      <c r="CH911" s="160"/>
      <c r="CI911" s="160"/>
      <c r="CJ911" s="160"/>
      <c r="CK911" s="160"/>
      <c r="CL911" s="160"/>
    </row>
    <row r="912">
      <c r="A912" s="171"/>
      <c r="F912" s="11"/>
      <c r="G912" s="11"/>
      <c r="L912" s="171"/>
      <c r="M912" s="171"/>
      <c r="O912" s="160"/>
      <c r="P912" s="160"/>
      <c r="Q912" s="160"/>
      <c r="R912" s="160"/>
      <c r="S912" s="160"/>
      <c r="T912" s="207"/>
      <c r="U912" s="160"/>
      <c r="V912" s="160"/>
      <c r="W912" s="160"/>
      <c r="X912" s="160"/>
      <c r="Y912" s="160"/>
      <c r="Z912" s="160"/>
      <c r="AA912" s="160"/>
      <c r="AB912" s="160"/>
      <c r="AC912" s="160"/>
      <c r="AD912" s="160"/>
      <c r="AE912" s="160"/>
      <c r="AF912" s="160"/>
      <c r="AG912" s="160"/>
      <c r="AH912" s="160"/>
      <c r="AI912" s="160"/>
      <c r="AJ912" s="160"/>
      <c r="AK912" s="160"/>
      <c r="AL912" s="160"/>
      <c r="AM912" s="160"/>
      <c r="AN912" s="164"/>
      <c r="AO912" s="160"/>
      <c r="AP912" s="160"/>
      <c r="AQ912" s="160"/>
      <c r="AR912" s="160"/>
      <c r="AS912" s="160"/>
      <c r="AT912" s="160"/>
      <c r="AU912" s="160"/>
      <c r="AV912" s="160"/>
      <c r="AW912" s="160"/>
      <c r="AX912" s="160"/>
      <c r="AY912" s="160"/>
      <c r="AZ912" s="160"/>
      <c r="BA912" s="160"/>
      <c r="BB912" s="160"/>
      <c r="BC912" s="160"/>
      <c r="BD912" s="160"/>
      <c r="BE912" s="160"/>
      <c r="BF912" s="160"/>
      <c r="BG912" s="160"/>
      <c r="BH912" s="160"/>
      <c r="BI912" s="160"/>
      <c r="BJ912" s="160"/>
      <c r="BK912" s="160"/>
      <c r="BL912" s="160"/>
      <c r="BM912" s="160"/>
      <c r="BN912" s="160"/>
      <c r="BO912" s="160"/>
      <c r="BP912" s="160"/>
      <c r="BQ912" s="160"/>
      <c r="BR912" s="160"/>
      <c r="BS912" s="160"/>
      <c r="BT912" s="160"/>
      <c r="BU912" s="160"/>
      <c r="BV912" s="160"/>
      <c r="BW912" s="160"/>
      <c r="BX912" s="160"/>
      <c r="BY912" s="160"/>
      <c r="BZ912" s="160"/>
      <c r="CA912" s="160"/>
      <c r="CB912" s="160"/>
      <c r="CC912" s="160"/>
      <c r="CD912" s="160"/>
      <c r="CE912" s="160"/>
      <c r="CF912" s="160"/>
      <c r="CG912" s="160"/>
      <c r="CH912" s="160"/>
      <c r="CI912" s="160"/>
      <c r="CJ912" s="160"/>
      <c r="CK912" s="160"/>
      <c r="CL912" s="160"/>
    </row>
    <row r="913">
      <c r="A913" s="171"/>
      <c r="F913" s="11"/>
      <c r="G913" s="11"/>
      <c r="L913" s="171"/>
      <c r="M913" s="171"/>
      <c r="O913" s="160"/>
      <c r="P913" s="160"/>
      <c r="Q913" s="160"/>
      <c r="R913" s="160"/>
      <c r="S913" s="160"/>
      <c r="T913" s="207"/>
      <c r="U913" s="160"/>
      <c r="V913" s="160"/>
      <c r="W913" s="160"/>
      <c r="X913" s="160"/>
      <c r="Y913" s="160"/>
      <c r="Z913" s="160"/>
      <c r="AA913" s="160"/>
      <c r="AB913" s="160"/>
      <c r="AC913" s="160"/>
      <c r="AD913" s="160"/>
      <c r="AE913" s="160"/>
      <c r="AF913" s="160"/>
      <c r="AG913" s="160"/>
      <c r="AH913" s="160"/>
      <c r="AI913" s="160"/>
      <c r="AJ913" s="160"/>
      <c r="AK913" s="160"/>
      <c r="AL913" s="160"/>
      <c r="AM913" s="160"/>
      <c r="AN913" s="164"/>
      <c r="AO913" s="160"/>
      <c r="AP913" s="160"/>
      <c r="AQ913" s="160"/>
      <c r="AR913" s="160"/>
      <c r="AS913" s="160"/>
      <c r="AT913" s="160"/>
      <c r="AU913" s="160"/>
      <c r="AV913" s="160"/>
      <c r="AW913" s="160"/>
      <c r="AX913" s="160"/>
      <c r="AY913" s="160"/>
      <c r="AZ913" s="160"/>
      <c r="BA913" s="160"/>
      <c r="BB913" s="160"/>
      <c r="BC913" s="160"/>
      <c r="BD913" s="160"/>
      <c r="BE913" s="160"/>
      <c r="BF913" s="160"/>
      <c r="BG913" s="160"/>
      <c r="BH913" s="160"/>
      <c r="BI913" s="160"/>
      <c r="BJ913" s="160"/>
      <c r="BK913" s="160"/>
      <c r="BL913" s="160"/>
      <c r="BM913" s="160"/>
      <c r="BN913" s="160"/>
      <c r="BO913" s="160"/>
      <c r="BP913" s="160"/>
      <c r="BQ913" s="160"/>
      <c r="BR913" s="160"/>
      <c r="BS913" s="160"/>
      <c r="BT913" s="160"/>
      <c r="BU913" s="160"/>
      <c r="BV913" s="160"/>
      <c r="BW913" s="160"/>
      <c r="BX913" s="160"/>
      <c r="BY913" s="160"/>
      <c r="BZ913" s="160"/>
      <c r="CA913" s="160"/>
      <c r="CB913" s="160"/>
      <c r="CC913" s="160"/>
      <c r="CD913" s="160"/>
      <c r="CE913" s="160"/>
      <c r="CF913" s="160"/>
      <c r="CG913" s="160"/>
      <c r="CH913" s="160"/>
      <c r="CI913" s="160"/>
      <c r="CJ913" s="160"/>
      <c r="CK913" s="160"/>
      <c r="CL913" s="160"/>
    </row>
    <row r="914">
      <c r="A914" s="171"/>
      <c r="F914" s="11"/>
      <c r="G914" s="11"/>
      <c r="L914" s="171"/>
      <c r="M914" s="171"/>
      <c r="O914" s="160"/>
      <c r="P914" s="160"/>
      <c r="Q914" s="160"/>
      <c r="R914" s="160"/>
      <c r="S914" s="160"/>
      <c r="T914" s="207"/>
      <c r="U914" s="160"/>
      <c r="V914" s="160"/>
      <c r="W914" s="160"/>
      <c r="X914" s="160"/>
      <c r="Y914" s="160"/>
      <c r="Z914" s="160"/>
      <c r="AA914" s="160"/>
      <c r="AB914" s="160"/>
      <c r="AC914" s="160"/>
      <c r="AD914" s="160"/>
      <c r="AE914" s="160"/>
      <c r="AF914" s="160"/>
      <c r="AG914" s="160"/>
      <c r="AH914" s="160"/>
      <c r="AI914" s="160"/>
      <c r="AJ914" s="160"/>
      <c r="AK914" s="160"/>
      <c r="AL914" s="160"/>
      <c r="AM914" s="160"/>
      <c r="AN914" s="164"/>
      <c r="AO914" s="160"/>
      <c r="AP914" s="160"/>
      <c r="AQ914" s="160"/>
      <c r="AR914" s="160"/>
      <c r="AS914" s="160"/>
      <c r="AT914" s="160"/>
      <c r="AU914" s="160"/>
      <c r="AV914" s="160"/>
      <c r="AW914" s="160"/>
      <c r="AX914" s="160"/>
      <c r="AY914" s="160"/>
      <c r="AZ914" s="160"/>
      <c r="BA914" s="160"/>
      <c r="BB914" s="160"/>
      <c r="BC914" s="160"/>
      <c r="BD914" s="160"/>
      <c r="BE914" s="160"/>
      <c r="BF914" s="160"/>
      <c r="BG914" s="160"/>
      <c r="BH914" s="160"/>
      <c r="BI914" s="160"/>
      <c r="BJ914" s="160"/>
      <c r="BK914" s="160"/>
      <c r="BL914" s="160"/>
      <c r="BM914" s="160"/>
      <c r="BN914" s="160"/>
      <c r="BO914" s="160"/>
      <c r="BP914" s="160"/>
      <c r="BQ914" s="160"/>
      <c r="BR914" s="160"/>
      <c r="BS914" s="160"/>
      <c r="BT914" s="160"/>
      <c r="BU914" s="160"/>
      <c r="BV914" s="160"/>
      <c r="BW914" s="160"/>
      <c r="BX914" s="160"/>
      <c r="BY914" s="160"/>
      <c r="BZ914" s="160"/>
      <c r="CA914" s="160"/>
      <c r="CB914" s="160"/>
      <c r="CC914" s="160"/>
      <c r="CD914" s="160"/>
      <c r="CE914" s="160"/>
      <c r="CF914" s="160"/>
      <c r="CG914" s="160"/>
      <c r="CH914" s="160"/>
      <c r="CI914" s="160"/>
      <c r="CJ914" s="160"/>
      <c r="CK914" s="160"/>
      <c r="CL914" s="160"/>
    </row>
    <row r="915">
      <c r="A915" s="171"/>
      <c r="F915" s="11"/>
      <c r="G915" s="11"/>
      <c r="L915" s="171"/>
      <c r="M915" s="171"/>
      <c r="O915" s="160"/>
      <c r="P915" s="160"/>
      <c r="Q915" s="160"/>
      <c r="R915" s="160"/>
      <c r="S915" s="160"/>
      <c r="T915" s="207"/>
      <c r="U915" s="160"/>
      <c r="V915" s="160"/>
      <c r="W915" s="160"/>
      <c r="X915" s="160"/>
      <c r="Y915" s="160"/>
      <c r="Z915" s="160"/>
      <c r="AA915" s="160"/>
      <c r="AB915" s="160"/>
      <c r="AC915" s="160"/>
      <c r="AD915" s="160"/>
      <c r="AE915" s="160"/>
      <c r="AF915" s="160"/>
      <c r="AG915" s="160"/>
      <c r="AH915" s="160"/>
      <c r="AI915" s="160"/>
      <c r="AJ915" s="160"/>
      <c r="AK915" s="160"/>
      <c r="AL915" s="160"/>
      <c r="AM915" s="160"/>
      <c r="AN915" s="164"/>
      <c r="AO915" s="160"/>
      <c r="AP915" s="160"/>
      <c r="AQ915" s="160"/>
      <c r="AR915" s="160"/>
      <c r="AS915" s="160"/>
      <c r="AT915" s="160"/>
      <c r="AU915" s="160"/>
      <c r="AV915" s="160"/>
      <c r="AW915" s="160"/>
      <c r="AX915" s="160"/>
      <c r="AY915" s="160"/>
      <c r="AZ915" s="160"/>
      <c r="BA915" s="160"/>
      <c r="BB915" s="160"/>
      <c r="BC915" s="160"/>
      <c r="BD915" s="160"/>
      <c r="BE915" s="160"/>
      <c r="BF915" s="160"/>
      <c r="BG915" s="160"/>
      <c r="BH915" s="160"/>
      <c r="BI915" s="160"/>
      <c r="BJ915" s="160"/>
      <c r="BK915" s="160"/>
      <c r="BL915" s="160"/>
      <c r="BM915" s="160"/>
      <c r="BN915" s="160"/>
      <c r="BO915" s="160"/>
      <c r="BP915" s="160"/>
      <c r="BQ915" s="160"/>
      <c r="BR915" s="160"/>
      <c r="BS915" s="160"/>
      <c r="BT915" s="160"/>
      <c r="BU915" s="160"/>
      <c r="BV915" s="160"/>
      <c r="BW915" s="160"/>
      <c r="BX915" s="160"/>
      <c r="BY915" s="160"/>
      <c r="BZ915" s="160"/>
      <c r="CA915" s="160"/>
      <c r="CB915" s="160"/>
      <c r="CC915" s="160"/>
      <c r="CD915" s="160"/>
      <c r="CE915" s="160"/>
      <c r="CF915" s="160"/>
      <c r="CG915" s="160"/>
      <c r="CH915" s="160"/>
      <c r="CI915" s="160"/>
      <c r="CJ915" s="160"/>
      <c r="CK915" s="160"/>
      <c r="CL915" s="160"/>
    </row>
    <row r="916">
      <c r="A916" s="171"/>
      <c r="F916" s="11"/>
      <c r="G916" s="11"/>
      <c r="L916" s="171"/>
      <c r="M916" s="171"/>
      <c r="O916" s="160"/>
      <c r="P916" s="160"/>
      <c r="Q916" s="160"/>
      <c r="R916" s="160"/>
      <c r="S916" s="160"/>
      <c r="T916" s="207"/>
      <c r="U916" s="160"/>
      <c r="V916" s="160"/>
      <c r="W916" s="160"/>
      <c r="X916" s="160"/>
      <c r="Y916" s="160"/>
      <c r="Z916" s="160"/>
      <c r="AA916" s="160"/>
      <c r="AB916" s="160"/>
      <c r="AC916" s="160"/>
      <c r="AD916" s="160"/>
      <c r="AE916" s="160"/>
      <c r="AF916" s="160"/>
      <c r="AG916" s="160"/>
      <c r="AH916" s="160"/>
      <c r="AI916" s="160"/>
      <c r="AJ916" s="160"/>
      <c r="AK916" s="160"/>
      <c r="AL916" s="160"/>
      <c r="AM916" s="160"/>
      <c r="AN916" s="164"/>
      <c r="AO916" s="160"/>
      <c r="AP916" s="160"/>
      <c r="AQ916" s="160"/>
      <c r="AR916" s="160"/>
      <c r="AS916" s="160"/>
      <c r="AT916" s="160"/>
      <c r="AU916" s="160"/>
      <c r="AV916" s="160"/>
      <c r="AW916" s="160"/>
      <c r="AX916" s="160"/>
      <c r="AY916" s="160"/>
      <c r="AZ916" s="160"/>
      <c r="BA916" s="160"/>
      <c r="BB916" s="160"/>
      <c r="BC916" s="160"/>
      <c r="BD916" s="160"/>
      <c r="BE916" s="160"/>
      <c r="BF916" s="160"/>
      <c r="BG916" s="160"/>
      <c r="BH916" s="160"/>
      <c r="BI916" s="160"/>
      <c r="BJ916" s="160"/>
      <c r="BK916" s="160"/>
      <c r="BL916" s="160"/>
      <c r="BM916" s="160"/>
      <c r="BN916" s="160"/>
      <c r="BO916" s="160"/>
      <c r="BP916" s="160"/>
      <c r="BQ916" s="160"/>
      <c r="BR916" s="160"/>
      <c r="BS916" s="160"/>
      <c r="BT916" s="160"/>
      <c r="BU916" s="160"/>
      <c r="BV916" s="160"/>
      <c r="BW916" s="160"/>
      <c r="BX916" s="160"/>
      <c r="BY916" s="160"/>
      <c r="BZ916" s="160"/>
      <c r="CA916" s="160"/>
      <c r="CB916" s="160"/>
      <c r="CC916" s="160"/>
      <c r="CD916" s="160"/>
      <c r="CE916" s="160"/>
      <c r="CF916" s="160"/>
      <c r="CG916" s="160"/>
      <c r="CH916" s="160"/>
      <c r="CI916" s="160"/>
      <c r="CJ916" s="160"/>
      <c r="CK916" s="160"/>
      <c r="CL916" s="160"/>
    </row>
    <row r="917">
      <c r="A917" s="171"/>
      <c r="F917" s="11"/>
      <c r="G917" s="11"/>
      <c r="L917" s="171"/>
      <c r="M917" s="171"/>
      <c r="O917" s="160"/>
      <c r="P917" s="160"/>
      <c r="Q917" s="160"/>
      <c r="R917" s="160"/>
      <c r="S917" s="160"/>
      <c r="T917" s="207"/>
      <c r="U917" s="160"/>
      <c r="V917" s="160"/>
      <c r="W917" s="160"/>
      <c r="X917" s="160"/>
      <c r="Y917" s="160"/>
      <c r="Z917" s="160"/>
      <c r="AA917" s="160"/>
      <c r="AB917" s="160"/>
      <c r="AC917" s="160"/>
      <c r="AD917" s="160"/>
      <c r="AE917" s="160"/>
      <c r="AF917" s="160"/>
      <c r="AG917" s="160"/>
      <c r="AH917" s="160"/>
      <c r="AI917" s="160"/>
      <c r="AJ917" s="160"/>
      <c r="AK917" s="160"/>
      <c r="AL917" s="160"/>
      <c r="AM917" s="160"/>
      <c r="AN917" s="164"/>
      <c r="AO917" s="160"/>
      <c r="AP917" s="160"/>
      <c r="AQ917" s="160"/>
      <c r="AR917" s="160"/>
      <c r="AS917" s="160"/>
      <c r="AT917" s="160"/>
      <c r="AU917" s="160"/>
      <c r="AV917" s="160"/>
      <c r="AW917" s="160"/>
      <c r="AX917" s="160"/>
      <c r="AY917" s="160"/>
      <c r="AZ917" s="160"/>
      <c r="BA917" s="160"/>
      <c r="BB917" s="160"/>
      <c r="BC917" s="160"/>
      <c r="BD917" s="160"/>
      <c r="BE917" s="160"/>
      <c r="BF917" s="160"/>
      <c r="BG917" s="160"/>
      <c r="BH917" s="160"/>
      <c r="BI917" s="160"/>
      <c r="BJ917" s="160"/>
      <c r="BK917" s="160"/>
      <c r="BL917" s="160"/>
      <c r="BM917" s="160"/>
      <c r="BN917" s="160"/>
      <c r="BO917" s="160"/>
      <c r="BP917" s="160"/>
      <c r="BQ917" s="160"/>
      <c r="BR917" s="160"/>
      <c r="BS917" s="160"/>
      <c r="BT917" s="160"/>
      <c r="BU917" s="160"/>
      <c r="BV917" s="160"/>
      <c r="BW917" s="160"/>
      <c r="BX917" s="160"/>
      <c r="BY917" s="160"/>
      <c r="BZ917" s="160"/>
      <c r="CA917" s="160"/>
      <c r="CB917" s="160"/>
      <c r="CC917" s="160"/>
      <c r="CD917" s="160"/>
      <c r="CE917" s="160"/>
      <c r="CF917" s="160"/>
      <c r="CG917" s="160"/>
      <c r="CH917" s="160"/>
      <c r="CI917" s="160"/>
      <c r="CJ917" s="160"/>
      <c r="CK917" s="160"/>
      <c r="CL917" s="160"/>
    </row>
    <row r="918">
      <c r="A918" s="171"/>
      <c r="F918" s="11"/>
      <c r="G918" s="11"/>
      <c r="L918" s="171"/>
      <c r="M918" s="171"/>
      <c r="O918" s="160"/>
      <c r="P918" s="160"/>
      <c r="Q918" s="160"/>
      <c r="R918" s="160"/>
      <c r="S918" s="160"/>
      <c r="T918" s="207"/>
      <c r="U918" s="160"/>
      <c r="V918" s="160"/>
      <c r="W918" s="160"/>
      <c r="X918" s="160"/>
      <c r="Y918" s="160"/>
      <c r="Z918" s="160"/>
      <c r="AA918" s="160"/>
      <c r="AB918" s="160"/>
      <c r="AC918" s="160"/>
      <c r="AD918" s="160"/>
      <c r="AE918" s="160"/>
      <c r="AF918" s="160"/>
      <c r="AG918" s="160"/>
      <c r="AH918" s="160"/>
      <c r="AI918" s="160"/>
      <c r="AJ918" s="160"/>
      <c r="AK918" s="160"/>
      <c r="AL918" s="160"/>
      <c r="AM918" s="160"/>
      <c r="AN918" s="164"/>
      <c r="AO918" s="160"/>
      <c r="AP918" s="160"/>
      <c r="AQ918" s="160"/>
      <c r="AR918" s="160"/>
      <c r="AS918" s="160"/>
      <c r="AT918" s="160"/>
      <c r="AU918" s="160"/>
      <c r="AV918" s="160"/>
      <c r="AW918" s="160"/>
      <c r="AX918" s="160"/>
      <c r="AY918" s="160"/>
      <c r="AZ918" s="160"/>
      <c r="BA918" s="160"/>
      <c r="BB918" s="160"/>
      <c r="BC918" s="160"/>
      <c r="BD918" s="160"/>
      <c r="BE918" s="160"/>
      <c r="BF918" s="160"/>
      <c r="BG918" s="160"/>
      <c r="BH918" s="160"/>
      <c r="BI918" s="160"/>
      <c r="BJ918" s="160"/>
      <c r="BK918" s="160"/>
      <c r="BL918" s="160"/>
      <c r="BM918" s="160"/>
      <c r="BN918" s="160"/>
      <c r="BO918" s="160"/>
      <c r="BP918" s="160"/>
      <c r="BQ918" s="160"/>
      <c r="BR918" s="160"/>
      <c r="BS918" s="160"/>
      <c r="BT918" s="160"/>
      <c r="BU918" s="160"/>
      <c r="BV918" s="160"/>
      <c r="BW918" s="160"/>
      <c r="BX918" s="160"/>
      <c r="BY918" s="160"/>
      <c r="BZ918" s="160"/>
      <c r="CA918" s="160"/>
      <c r="CB918" s="160"/>
      <c r="CC918" s="160"/>
      <c r="CD918" s="160"/>
      <c r="CE918" s="160"/>
      <c r="CF918" s="160"/>
      <c r="CG918" s="160"/>
      <c r="CH918" s="160"/>
      <c r="CI918" s="160"/>
      <c r="CJ918" s="160"/>
      <c r="CK918" s="160"/>
      <c r="CL918" s="160"/>
    </row>
    <row r="919">
      <c r="A919" s="171"/>
      <c r="F919" s="11"/>
      <c r="G919" s="11"/>
      <c r="L919" s="171"/>
      <c r="M919" s="171"/>
      <c r="O919" s="160"/>
      <c r="P919" s="160"/>
      <c r="Q919" s="160"/>
      <c r="R919" s="160"/>
      <c r="S919" s="160"/>
      <c r="T919" s="207"/>
      <c r="U919" s="160"/>
      <c r="V919" s="160"/>
      <c r="W919" s="160"/>
      <c r="X919" s="160"/>
      <c r="Y919" s="160"/>
      <c r="Z919" s="160"/>
      <c r="AA919" s="160"/>
      <c r="AB919" s="160"/>
      <c r="AC919" s="160"/>
      <c r="AD919" s="160"/>
      <c r="AE919" s="160"/>
      <c r="AF919" s="160"/>
      <c r="AG919" s="160"/>
      <c r="AH919" s="160"/>
      <c r="AI919" s="160"/>
      <c r="AJ919" s="160"/>
      <c r="AK919" s="160"/>
      <c r="AL919" s="160"/>
      <c r="AM919" s="160"/>
      <c r="AN919" s="164"/>
      <c r="AO919" s="160"/>
      <c r="AP919" s="160"/>
      <c r="AQ919" s="160"/>
      <c r="AR919" s="160"/>
      <c r="AS919" s="160"/>
      <c r="AT919" s="160"/>
      <c r="AU919" s="160"/>
      <c r="AV919" s="160"/>
      <c r="AW919" s="160"/>
      <c r="AX919" s="160"/>
      <c r="AY919" s="160"/>
      <c r="AZ919" s="160"/>
      <c r="BA919" s="160"/>
      <c r="BB919" s="160"/>
      <c r="BC919" s="160"/>
      <c r="BD919" s="160"/>
      <c r="BE919" s="160"/>
      <c r="BF919" s="160"/>
      <c r="BG919" s="160"/>
      <c r="BH919" s="160"/>
      <c r="BI919" s="160"/>
      <c r="BJ919" s="160"/>
      <c r="BK919" s="160"/>
      <c r="BL919" s="160"/>
      <c r="BM919" s="160"/>
      <c r="BN919" s="160"/>
      <c r="BO919" s="160"/>
      <c r="BP919" s="160"/>
      <c r="BQ919" s="160"/>
      <c r="BR919" s="160"/>
      <c r="BS919" s="160"/>
      <c r="BT919" s="160"/>
      <c r="BU919" s="160"/>
      <c r="BV919" s="160"/>
      <c r="BW919" s="160"/>
      <c r="BX919" s="160"/>
      <c r="BY919" s="160"/>
      <c r="BZ919" s="160"/>
      <c r="CA919" s="160"/>
      <c r="CB919" s="160"/>
      <c r="CC919" s="160"/>
      <c r="CD919" s="160"/>
      <c r="CE919" s="160"/>
      <c r="CF919" s="160"/>
      <c r="CG919" s="160"/>
      <c r="CH919" s="160"/>
      <c r="CI919" s="160"/>
      <c r="CJ919" s="160"/>
      <c r="CK919" s="160"/>
      <c r="CL919" s="160"/>
    </row>
    <row r="920">
      <c r="A920" s="171"/>
      <c r="F920" s="11"/>
      <c r="G920" s="11"/>
      <c r="L920" s="171"/>
      <c r="M920" s="171"/>
      <c r="O920" s="160"/>
      <c r="P920" s="160"/>
      <c r="Q920" s="160"/>
      <c r="R920" s="160"/>
      <c r="S920" s="160"/>
      <c r="T920" s="207"/>
      <c r="U920" s="160"/>
      <c r="V920" s="160"/>
      <c r="W920" s="160"/>
      <c r="X920" s="160"/>
      <c r="Y920" s="160"/>
      <c r="Z920" s="160"/>
      <c r="AA920" s="160"/>
      <c r="AB920" s="160"/>
      <c r="AC920" s="160"/>
      <c r="AD920" s="160"/>
      <c r="AE920" s="160"/>
      <c r="AF920" s="160"/>
      <c r="AG920" s="160"/>
      <c r="AH920" s="160"/>
      <c r="AI920" s="160"/>
      <c r="AJ920" s="160"/>
      <c r="AK920" s="160"/>
      <c r="AL920" s="160"/>
      <c r="AM920" s="160"/>
      <c r="AN920" s="164"/>
      <c r="AO920" s="160"/>
      <c r="AP920" s="160"/>
      <c r="AQ920" s="160"/>
      <c r="AR920" s="160"/>
      <c r="AS920" s="160"/>
      <c r="AT920" s="160"/>
      <c r="AU920" s="160"/>
      <c r="AV920" s="160"/>
      <c r="AW920" s="160"/>
      <c r="AX920" s="160"/>
      <c r="AY920" s="160"/>
      <c r="AZ920" s="160"/>
      <c r="BA920" s="160"/>
      <c r="BB920" s="160"/>
      <c r="BC920" s="160"/>
      <c r="BD920" s="160"/>
      <c r="BE920" s="160"/>
      <c r="BF920" s="160"/>
      <c r="BG920" s="160"/>
      <c r="BH920" s="160"/>
      <c r="BI920" s="160"/>
      <c r="BJ920" s="160"/>
      <c r="BK920" s="160"/>
      <c r="BL920" s="160"/>
      <c r="BM920" s="160"/>
      <c r="BN920" s="160"/>
      <c r="BO920" s="160"/>
      <c r="BP920" s="160"/>
      <c r="BQ920" s="160"/>
      <c r="BR920" s="160"/>
      <c r="BS920" s="160"/>
      <c r="BT920" s="160"/>
      <c r="BU920" s="160"/>
      <c r="BV920" s="160"/>
      <c r="BW920" s="160"/>
      <c r="BX920" s="160"/>
      <c r="BY920" s="160"/>
      <c r="BZ920" s="160"/>
      <c r="CA920" s="160"/>
      <c r="CB920" s="160"/>
      <c r="CC920" s="160"/>
      <c r="CD920" s="160"/>
      <c r="CE920" s="160"/>
      <c r="CF920" s="160"/>
      <c r="CG920" s="160"/>
      <c r="CH920" s="160"/>
      <c r="CI920" s="160"/>
      <c r="CJ920" s="160"/>
      <c r="CK920" s="160"/>
      <c r="CL920" s="160"/>
    </row>
    <row r="921">
      <c r="A921" s="171"/>
      <c r="F921" s="11"/>
      <c r="G921" s="11"/>
      <c r="L921" s="171"/>
      <c r="M921" s="171"/>
      <c r="O921" s="160"/>
      <c r="P921" s="160"/>
      <c r="Q921" s="160"/>
      <c r="R921" s="160"/>
      <c r="S921" s="160"/>
      <c r="T921" s="207"/>
      <c r="U921" s="160"/>
      <c r="V921" s="160"/>
      <c r="W921" s="160"/>
      <c r="X921" s="160"/>
      <c r="Y921" s="160"/>
      <c r="Z921" s="160"/>
      <c r="AA921" s="160"/>
      <c r="AB921" s="160"/>
      <c r="AC921" s="160"/>
      <c r="AD921" s="160"/>
      <c r="AE921" s="160"/>
      <c r="AF921" s="160"/>
      <c r="AG921" s="160"/>
      <c r="AH921" s="160"/>
      <c r="AI921" s="160"/>
      <c r="AJ921" s="160"/>
      <c r="AK921" s="160"/>
      <c r="AL921" s="160"/>
      <c r="AM921" s="160"/>
      <c r="AN921" s="164"/>
      <c r="AO921" s="160"/>
      <c r="AP921" s="160"/>
      <c r="AQ921" s="160"/>
      <c r="AR921" s="160"/>
      <c r="AS921" s="160"/>
      <c r="AT921" s="160"/>
      <c r="AU921" s="160"/>
      <c r="AV921" s="160"/>
      <c r="AW921" s="160"/>
      <c r="AX921" s="160"/>
      <c r="AY921" s="160"/>
      <c r="AZ921" s="160"/>
      <c r="BA921" s="160"/>
      <c r="BB921" s="160"/>
      <c r="BC921" s="160"/>
      <c r="BD921" s="160"/>
      <c r="BE921" s="160"/>
      <c r="BF921" s="160"/>
      <c r="BG921" s="160"/>
      <c r="BH921" s="160"/>
      <c r="BI921" s="160"/>
      <c r="BJ921" s="160"/>
      <c r="BK921" s="160"/>
      <c r="BL921" s="160"/>
      <c r="BM921" s="160"/>
      <c r="BN921" s="160"/>
      <c r="BO921" s="160"/>
      <c r="BP921" s="160"/>
      <c r="BQ921" s="160"/>
      <c r="BR921" s="160"/>
      <c r="BS921" s="160"/>
      <c r="BT921" s="160"/>
      <c r="BU921" s="160"/>
      <c r="BV921" s="160"/>
      <c r="BW921" s="160"/>
      <c r="BX921" s="160"/>
      <c r="BY921" s="160"/>
      <c r="BZ921" s="160"/>
      <c r="CA921" s="160"/>
      <c r="CB921" s="160"/>
      <c r="CC921" s="160"/>
      <c r="CD921" s="160"/>
      <c r="CE921" s="160"/>
      <c r="CF921" s="160"/>
      <c r="CG921" s="160"/>
      <c r="CH921" s="160"/>
      <c r="CI921" s="160"/>
      <c r="CJ921" s="160"/>
      <c r="CK921" s="160"/>
      <c r="CL921" s="160"/>
    </row>
    <row r="922">
      <c r="A922" s="171"/>
      <c r="F922" s="11"/>
      <c r="G922" s="11"/>
      <c r="L922" s="171"/>
      <c r="M922" s="171"/>
      <c r="O922" s="160"/>
      <c r="P922" s="160"/>
      <c r="Q922" s="160"/>
      <c r="R922" s="160"/>
      <c r="S922" s="160"/>
      <c r="T922" s="207"/>
      <c r="U922" s="160"/>
      <c r="V922" s="160"/>
      <c r="W922" s="160"/>
      <c r="X922" s="160"/>
      <c r="Y922" s="160"/>
      <c r="Z922" s="160"/>
      <c r="AA922" s="160"/>
      <c r="AB922" s="160"/>
      <c r="AC922" s="160"/>
      <c r="AD922" s="160"/>
      <c r="AE922" s="160"/>
      <c r="AF922" s="160"/>
      <c r="AG922" s="160"/>
      <c r="AH922" s="160"/>
      <c r="AI922" s="160"/>
      <c r="AJ922" s="160"/>
      <c r="AK922" s="160"/>
      <c r="AL922" s="160"/>
      <c r="AM922" s="160"/>
      <c r="AN922" s="164"/>
      <c r="AO922" s="160"/>
      <c r="AP922" s="160"/>
      <c r="AQ922" s="160"/>
      <c r="AR922" s="160"/>
      <c r="AS922" s="160"/>
      <c r="AT922" s="160"/>
      <c r="AU922" s="160"/>
      <c r="AV922" s="160"/>
      <c r="AW922" s="160"/>
      <c r="AX922" s="160"/>
      <c r="AY922" s="160"/>
      <c r="AZ922" s="160"/>
      <c r="BA922" s="160"/>
      <c r="BB922" s="160"/>
      <c r="BC922" s="160"/>
      <c r="BD922" s="160"/>
      <c r="BE922" s="160"/>
      <c r="BF922" s="160"/>
      <c r="BG922" s="160"/>
      <c r="BH922" s="160"/>
      <c r="BI922" s="160"/>
      <c r="BJ922" s="160"/>
      <c r="BK922" s="160"/>
      <c r="BL922" s="160"/>
      <c r="BM922" s="160"/>
      <c r="BN922" s="160"/>
      <c r="BO922" s="160"/>
      <c r="BP922" s="160"/>
      <c r="BQ922" s="160"/>
      <c r="BR922" s="160"/>
      <c r="BS922" s="160"/>
      <c r="BT922" s="160"/>
      <c r="BU922" s="160"/>
      <c r="BV922" s="160"/>
      <c r="BW922" s="160"/>
      <c r="BX922" s="160"/>
      <c r="BY922" s="160"/>
      <c r="BZ922" s="160"/>
      <c r="CA922" s="160"/>
      <c r="CB922" s="160"/>
      <c r="CC922" s="160"/>
      <c r="CD922" s="160"/>
      <c r="CE922" s="160"/>
      <c r="CF922" s="160"/>
      <c r="CG922" s="160"/>
      <c r="CH922" s="160"/>
      <c r="CI922" s="160"/>
      <c r="CJ922" s="160"/>
      <c r="CK922" s="160"/>
      <c r="CL922" s="160"/>
    </row>
    <row r="923">
      <c r="A923" s="171"/>
      <c r="F923" s="11"/>
      <c r="G923" s="11"/>
      <c r="L923" s="171"/>
      <c r="M923" s="171"/>
      <c r="O923" s="160"/>
      <c r="P923" s="160"/>
      <c r="Q923" s="160"/>
      <c r="R923" s="160"/>
      <c r="S923" s="160"/>
      <c r="T923" s="207"/>
      <c r="U923" s="160"/>
      <c r="V923" s="160"/>
      <c r="W923" s="160"/>
      <c r="X923" s="160"/>
      <c r="Y923" s="160"/>
      <c r="Z923" s="160"/>
      <c r="AA923" s="160"/>
      <c r="AB923" s="160"/>
      <c r="AC923" s="160"/>
      <c r="AD923" s="160"/>
      <c r="AE923" s="160"/>
      <c r="AF923" s="160"/>
      <c r="AG923" s="160"/>
      <c r="AH923" s="160"/>
      <c r="AI923" s="160"/>
      <c r="AJ923" s="160"/>
      <c r="AK923" s="160"/>
      <c r="AL923" s="160"/>
      <c r="AM923" s="160"/>
      <c r="AN923" s="164"/>
      <c r="AO923" s="160"/>
      <c r="AP923" s="160"/>
      <c r="AQ923" s="160"/>
      <c r="AR923" s="160"/>
      <c r="AS923" s="160"/>
      <c r="AT923" s="160"/>
      <c r="AU923" s="160"/>
      <c r="AV923" s="160"/>
      <c r="AW923" s="160"/>
      <c r="AX923" s="160"/>
      <c r="AY923" s="160"/>
      <c r="AZ923" s="160"/>
      <c r="BA923" s="160"/>
      <c r="BB923" s="160"/>
      <c r="BC923" s="160"/>
      <c r="BD923" s="160"/>
      <c r="BE923" s="160"/>
      <c r="BF923" s="160"/>
      <c r="BG923" s="160"/>
      <c r="BH923" s="160"/>
      <c r="BI923" s="160"/>
      <c r="BJ923" s="160"/>
      <c r="BK923" s="160"/>
      <c r="BL923" s="160"/>
      <c r="BM923" s="160"/>
      <c r="BN923" s="160"/>
      <c r="BO923" s="160"/>
      <c r="BP923" s="160"/>
      <c r="BQ923" s="160"/>
      <c r="BR923" s="160"/>
      <c r="BS923" s="160"/>
      <c r="BT923" s="160"/>
      <c r="BU923" s="160"/>
      <c r="BV923" s="160"/>
      <c r="BW923" s="160"/>
      <c r="BX923" s="160"/>
      <c r="BY923" s="160"/>
      <c r="BZ923" s="160"/>
      <c r="CA923" s="160"/>
      <c r="CB923" s="160"/>
      <c r="CC923" s="160"/>
      <c r="CD923" s="160"/>
      <c r="CE923" s="160"/>
      <c r="CF923" s="160"/>
      <c r="CG923" s="160"/>
      <c r="CH923" s="160"/>
      <c r="CI923" s="160"/>
      <c r="CJ923" s="160"/>
      <c r="CK923" s="160"/>
      <c r="CL923" s="160"/>
    </row>
    <row r="924">
      <c r="A924" s="171"/>
      <c r="F924" s="11"/>
      <c r="G924" s="11"/>
      <c r="L924" s="171"/>
      <c r="M924" s="171"/>
      <c r="O924" s="160"/>
      <c r="P924" s="160"/>
      <c r="Q924" s="160"/>
      <c r="R924" s="160"/>
      <c r="S924" s="160"/>
      <c r="T924" s="207"/>
      <c r="U924" s="160"/>
      <c r="V924" s="160"/>
      <c r="W924" s="160"/>
      <c r="X924" s="160"/>
      <c r="Y924" s="160"/>
      <c r="Z924" s="160"/>
      <c r="AA924" s="160"/>
      <c r="AB924" s="160"/>
      <c r="AC924" s="160"/>
      <c r="AD924" s="160"/>
      <c r="AE924" s="160"/>
      <c r="AF924" s="160"/>
      <c r="AG924" s="160"/>
      <c r="AH924" s="160"/>
      <c r="AI924" s="160"/>
      <c r="AJ924" s="160"/>
      <c r="AK924" s="160"/>
      <c r="AL924" s="160"/>
      <c r="AM924" s="160"/>
      <c r="AN924" s="164"/>
      <c r="AO924" s="160"/>
      <c r="AP924" s="160"/>
      <c r="AQ924" s="160"/>
      <c r="AR924" s="160"/>
      <c r="AS924" s="160"/>
      <c r="AT924" s="160"/>
      <c r="AU924" s="160"/>
      <c r="AV924" s="160"/>
      <c r="AW924" s="160"/>
      <c r="AX924" s="160"/>
      <c r="AY924" s="160"/>
      <c r="AZ924" s="160"/>
      <c r="BA924" s="160"/>
      <c r="BB924" s="160"/>
      <c r="BC924" s="160"/>
      <c r="BD924" s="160"/>
      <c r="BE924" s="160"/>
      <c r="BF924" s="160"/>
      <c r="BG924" s="160"/>
      <c r="BH924" s="160"/>
      <c r="BI924" s="160"/>
      <c r="BJ924" s="160"/>
      <c r="BK924" s="160"/>
      <c r="BL924" s="160"/>
      <c r="BM924" s="160"/>
      <c r="BN924" s="160"/>
      <c r="BO924" s="160"/>
      <c r="BP924" s="160"/>
      <c r="BQ924" s="160"/>
      <c r="BR924" s="160"/>
      <c r="BS924" s="160"/>
      <c r="BT924" s="160"/>
      <c r="BU924" s="160"/>
      <c r="BV924" s="160"/>
      <c r="BW924" s="160"/>
      <c r="BX924" s="160"/>
      <c r="BY924" s="160"/>
      <c r="BZ924" s="160"/>
      <c r="CA924" s="160"/>
      <c r="CB924" s="160"/>
      <c r="CC924" s="160"/>
      <c r="CD924" s="160"/>
      <c r="CE924" s="160"/>
      <c r="CF924" s="160"/>
      <c r="CG924" s="160"/>
      <c r="CH924" s="160"/>
      <c r="CI924" s="160"/>
      <c r="CJ924" s="160"/>
      <c r="CK924" s="160"/>
      <c r="CL924" s="160"/>
    </row>
    <row r="925">
      <c r="A925" s="171"/>
      <c r="F925" s="11"/>
      <c r="G925" s="11"/>
      <c r="L925" s="171"/>
      <c r="M925" s="171"/>
      <c r="O925" s="160"/>
      <c r="P925" s="160"/>
      <c r="Q925" s="160"/>
      <c r="R925" s="160"/>
      <c r="S925" s="160"/>
      <c r="T925" s="207"/>
      <c r="U925" s="160"/>
      <c r="V925" s="160"/>
      <c r="W925" s="160"/>
      <c r="X925" s="160"/>
      <c r="Y925" s="160"/>
      <c r="Z925" s="160"/>
      <c r="AA925" s="160"/>
      <c r="AB925" s="160"/>
      <c r="AC925" s="160"/>
      <c r="AD925" s="160"/>
      <c r="AE925" s="160"/>
      <c r="AF925" s="160"/>
      <c r="AG925" s="160"/>
      <c r="AH925" s="160"/>
      <c r="AI925" s="160"/>
      <c r="AJ925" s="160"/>
      <c r="AK925" s="160"/>
      <c r="AL925" s="160"/>
      <c r="AM925" s="160"/>
      <c r="AN925" s="164"/>
      <c r="AO925" s="160"/>
      <c r="AP925" s="160"/>
      <c r="AQ925" s="160"/>
      <c r="AR925" s="160"/>
      <c r="AS925" s="160"/>
      <c r="AT925" s="160"/>
      <c r="AU925" s="160"/>
      <c r="AV925" s="160"/>
      <c r="AW925" s="160"/>
      <c r="AX925" s="160"/>
      <c r="AY925" s="160"/>
      <c r="AZ925" s="160"/>
      <c r="BA925" s="160"/>
      <c r="BB925" s="160"/>
      <c r="BC925" s="160"/>
      <c r="BD925" s="160"/>
      <c r="BE925" s="160"/>
      <c r="BF925" s="160"/>
      <c r="BG925" s="160"/>
      <c r="BH925" s="160"/>
      <c r="BI925" s="160"/>
      <c r="BJ925" s="160"/>
      <c r="BK925" s="160"/>
      <c r="BL925" s="160"/>
      <c r="BM925" s="160"/>
      <c r="BN925" s="160"/>
      <c r="BO925" s="160"/>
      <c r="BP925" s="160"/>
      <c r="BQ925" s="160"/>
      <c r="BR925" s="160"/>
      <c r="BS925" s="160"/>
      <c r="BT925" s="160"/>
      <c r="BU925" s="160"/>
      <c r="BV925" s="160"/>
      <c r="BW925" s="160"/>
      <c r="BX925" s="160"/>
      <c r="BY925" s="160"/>
      <c r="BZ925" s="160"/>
      <c r="CA925" s="160"/>
      <c r="CB925" s="160"/>
      <c r="CC925" s="160"/>
      <c r="CD925" s="160"/>
      <c r="CE925" s="160"/>
      <c r="CF925" s="160"/>
      <c r="CG925" s="160"/>
      <c r="CH925" s="160"/>
      <c r="CI925" s="160"/>
      <c r="CJ925" s="160"/>
      <c r="CK925" s="160"/>
      <c r="CL925" s="160"/>
    </row>
    <row r="926">
      <c r="A926" s="171"/>
      <c r="F926" s="11"/>
      <c r="G926" s="11"/>
      <c r="L926" s="171"/>
      <c r="M926" s="171"/>
      <c r="O926" s="160"/>
      <c r="P926" s="160"/>
      <c r="Q926" s="160"/>
      <c r="R926" s="160"/>
      <c r="S926" s="160"/>
      <c r="T926" s="207"/>
      <c r="U926" s="160"/>
      <c r="V926" s="160"/>
      <c r="W926" s="160"/>
      <c r="X926" s="160"/>
      <c r="Y926" s="160"/>
      <c r="Z926" s="160"/>
      <c r="AA926" s="160"/>
      <c r="AB926" s="160"/>
      <c r="AC926" s="160"/>
      <c r="AD926" s="160"/>
      <c r="AE926" s="160"/>
      <c r="AF926" s="160"/>
      <c r="AG926" s="160"/>
      <c r="AH926" s="160"/>
      <c r="AI926" s="160"/>
      <c r="AJ926" s="160"/>
      <c r="AK926" s="160"/>
      <c r="AL926" s="160"/>
      <c r="AM926" s="160"/>
      <c r="AN926" s="164"/>
      <c r="AO926" s="160"/>
      <c r="AP926" s="160"/>
      <c r="AQ926" s="160"/>
      <c r="AR926" s="160"/>
      <c r="AS926" s="160"/>
      <c r="AT926" s="160"/>
      <c r="AU926" s="160"/>
      <c r="AV926" s="160"/>
      <c r="AW926" s="160"/>
      <c r="AX926" s="160"/>
      <c r="AY926" s="160"/>
      <c r="AZ926" s="160"/>
      <c r="BA926" s="160"/>
      <c r="BB926" s="160"/>
      <c r="BC926" s="160"/>
      <c r="BD926" s="160"/>
      <c r="BE926" s="160"/>
      <c r="BF926" s="160"/>
      <c r="BG926" s="160"/>
      <c r="BH926" s="160"/>
      <c r="BI926" s="160"/>
      <c r="BJ926" s="160"/>
      <c r="BK926" s="160"/>
      <c r="BL926" s="160"/>
      <c r="BM926" s="160"/>
      <c r="BN926" s="160"/>
      <c r="BO926" s="160"/>
      <c r="BP926" s="160"/>
      <c r="BQ926" s="160"/>
      <c r="BR926" s="160"/>
      <c r="BS926" s="160"/>
      <c r="BT926" s="160"/>
      <c r="BU926" s="160"/>
      <c r="BV926" s="160"/>
      <c r="BW926" s="160"/>
      <c r="BX926" s="160"/>
      <c r="BY926" s="160"/>
      <c r="BZ926" s="160"/>
      <c r="CA926" s="160"/>
      <c r="CB926" s="160"/>
      <c r="CC926" s="160"/>
      <c r="CD926" s="160"/>
      <c r="CE926" s="160"/>
      <c r="CF926" s="160"/>
      <c r="CG926" s="160"/>
      <c r="CH926" s="160"/>
      <c r="CI926" s="160"/>
      <c r="CJ926" s="160"/>
      <c r="CK926" s="160"/>
      <c r="CL926" s="160"/>
    </row>
    <row r="927">
      <c r="A927" s="171"/>
      <c r="F927" s="11"/>
      <c r="G927" s="11"/>
      <c r="L927" s="171"/>
      <c r="M927" s="171"/>
      <c r="O927" s="160"/>
      <c r="P927" s="160"/>
      <c r="Q927" s="160"/>
      <c r="R927" s="160"/>
      <c r="S927" s="160"/>
      <c r="T927" s="207"/>
      <c r="U927" s="160"/>
      <c r="V927" s="160"/>
      <c r="W927" s="160"/>
      <c r="X927" s="160"/>
      <c r="Y927" s="160"/>
      <c r="Z927" s="160"/>
      <c r="AA927" s="160"/>
      <c r="AB927" s="160"/>
      <c r="AC927" s="160"/>
      <c r="AD927" s="160"/>
      <c r="AE927" s="160"/>
      <c r="AF927" s="160"/>
      <c r="AG927" s="160"/>
      <c r="AH927" s="160"/>
      <c r="AI927" s="160"/>
      <c r="AJ927" s="160"/>
      <c r="AK927" s="160"/>
      <c r="AL927" s="160"/>
      <c r="AM927" s="160"/>
      <c r="AN927" s="164"/>
      <c r="AO927" s="160"/>
      <c r="AP927" s="160"/>
      <c r="AQ927" s="160"/>
      <c r="AR927" s="160"/>
      <c r="AS927" s="160"/>
      <c r="AT927" s="160"/>
      <c r="AU927" s="160"/>
      <c r="AV927" s="160"/>
      <c r="AW927" s="160"/>
      <c r="AX927" s="160"/>
      <c r="AY927" s="160"/>
      <c r="AZ927" s="160"/>
      <c r="BA927" s="160"/>
      <c r="BB927" s="160"/>
      <c r="BC927" s="160"/>
      <c r="BD927" s="160"/>
      <c r="BE927" s="160"/>
      <c r="BF927" s="160"/>
      <c r="BG927" s="160"/>
      <c r="BH927" s="160"/>
      <c r="BI927" s="160"/>
      <c r="BJ927" s="160"/>
      <c r="BK927" s="160"/>
      <c r="BL927" s="160"/>
      <c r="BM927" s="160"/>
      <c r="BN927" s="160"/>
      <c r="BO927" s="160"/>
      <c r="BP927" s="160"/>
      <c r="BQ927" s="160"/>
      <c r="BR927" s="160"/>
      <c r="BS927" s="160"/>
      <c r="BT927" s="160"/>
      <c r="BU927" s="160"/>
      <c r="BV927" s="160"/>
      <c r="BW927" s="160"/>
      <c r="BX927" s="160"/>
      <c r="BY927" s="160"/>
      <c r="BZ927" s="160"/>
      <c r="CA927" s="160"/>
      <c r="CB927" s="160"/>
      <c r="CC927" s="160"/>
      <c r="CD927" s="160"/>
      <c r="CE927" s="160"/>
      <c r="CF927" s="160"/>
      <c r="CG927" s="160"/>
      <c r="CH927" s="160"/>
      <c r="CI927" s="160"/>
      <c r="CJ927" s="160"/>
      <c r="CK927" s="160"/>
      <c r="CL927" s="160"/>
    </row>
    <row r="928">
      <c r="A928" s="171"/>
      <c r="F928" s="11"/>
      <c r="G928" s="11"/>
      <c r="L928" s="171"/>
      <c r="M928" s="171"/>
      <c r="O928" s="160"/>
      <c r="P928" s="160"/>
      <c r="Q928" s="160"/>
      <c r="R928" s="160"/>
      <c r="S928" s="160"/>
      <c r="T928" s="207"/>
      <c r="U928" s="160"/>
      <c r="V928" s="160"/>
      <c r="W928" s="160"/>
      <c r="X928" s="160"/>
      <c r="Y928" s="160"/>
      <c r="Z928" s="160"/>
      <c r="AA928" s="160"/>
      <c r="AB928" s="160"/>
      <c r="AC928" s="160"/>
      <c r="AD928" s="160"/>
      <c r="AE928" s="160"/>
      <c r="AF928" s="160"/>
      <c r="AG928" s="160"/>
      <c r="AH928" s="160"/>
      <c r="AI928" s="160"/>
      <c r="AJ928" s="160"/>
      <c r="AK928" s="160"/>
      <c r="AL928" s="160"/>
      <c r="AM928" s="160"/>
      <c r="AN928" s="164"/>
      <c r="AO928" s="160"/>
      <c r="AP928" s="160"/>
      <c r="AQ928" s="160"/>
      <c r="AR928" s="160"/>
      <c r="AS928" s="160"/>
      <c r="AT928" s="160"/>
      <c r="AU928" s="160"/>
      <c r="AV928" s="160"/>
      <c r="AW928" s="160"/>
      <c r="AX928" s="160"/>
      <c r="AY928" s="160"/>
      <c r="AZ928" s="160"/>
      <c r="BA928" s="160"/>
      <c r="BB928" s="160"/>
      <c r="BC928" s="160"/>
      <c r="BD928" s="160"/>
      <c r="BE928" s="160"/>
      <c r="BF928" s="160"/>
      <c r="BG928" s="160"/>
      <c r="BH928" s="160"/>
      <c r="BI928" s="160"/>
      <c r="BJ928" s="160"/>
      <c r="BK928" s="160"/>
      <c r="BL928" s="160"/>
      <c r="BM928" s="160"/>
      <c r="BN928" s="160"/>
      <c r="BO928" s="160"/>
      <c r="BP928" s="160"/>
      <c r="BQ928" s="160"/>
      <c r="BR928" s="160"/>
      <c r="BS928" s="160"/>
      <c r="BT928" s="160"/>
      <c r="BU928" s="160"/>
      <c r="BV928" s="160"/>
      <c r="BW928" s="160"/>
      <c r="BX928" s="160"/>
      <c r="BY928" s="160"/>
      <c r="BZ928" s="160"/>
      <c r="CA928" s="160"/>
      <c r="CB928" s="160"/>
      <c r="CC928" s="160"/>
      <c r="CD928" s="160"/>
      <c r="CE928" s="160"/>
      <c r="CF928" s="160"/>
      <c r="CG928" s="160"/>
      <c r="CH928" s="160"/>
      <c r="CI928" s="160"/>
      <c r="CJ928" s="160"/>
      <c r="CK928" s="160"/>
      <c r="CL928" s="160"/>
    </row>
    <row r="929">
      <c r="A929" s="171"/>
      <c r="F929" s="11"/>
      <c r="G929" s="11"/>
      <c r="L929" s="171"/>
      <c r="M929" s="171"/>
      <c r="O929" s="160"/>
      <c r="P929" s="160"/>
      <c r="Q929" s="160"/>
      <c r="R929" s="160"/>
      <c r="S929" s="160"/>
      <c r="T929" s="207"/>
      <c r="U929" s="160"/>
      <c r="V929" s="160"/>
      <c r="W929" s="160"/>
      <c r="X929" s="160"/>
      <c r="Y929" s="160"/>
      <c r="Z929" s="160"/>
      <c r="AA929" s="160"/>
      <c r="AB929" s="160"/>
      <c r="AC929" s="160"/>
      <c r="AD929" s="160"/>
      <c r="AE929" s="160"/>
      <c r="AF929" s="160"/>
      <c r="AG929" s="160"/>
      <c r="AH929" s="160"/>
      <c r="AI929" s="160"/>
      <c r="AJ929" s="160"/>
      <c r="AK929" s="160"/>
      <c r="AL929" s="160"/>
      <c r="AM929" s="160"/>
      <c r="AN929" s="164"/>
      <c r="AO929" s="160"/>
      <c r="AP929" s="160"/>
      <c r="AQ929" s="160"/>
      <c r="AR929" s="160"/>
      <c r="AS929" s="160"/>
      <c r="AT929" s="160"/>
      <c r="AU929" s="160"/>
      <c r="AV929" s="160"/>
      <c r="AW929" s="160"/>
      <c r="AX929" s="160"/>
      <c r="AY929" s="160"/>
      <c r="AZ929" s="160"/>
      <c r="BA929" s="160"/>
      <c r="BB929" s="160"/>
      <c r="BC929" s="160"/>
      <c r="BD929" s="160"/>
      <c r="BE929" s="160"/>
      <c r="BF929" s="160"/>
      <c r="BG929" s="160"/>
      <c r="BH929" s="160"/>
      <c r="BI929" s="160"/>
      <c r="BJ929" s="160"/>
      <c r="BK929" s="160"/>
      <c r="BL929" s="160"/>
      <c r="BM929" s="160"/>
      <c r="BN929" s="160"/>
      <c r="BO929" s="160"/>
      <c r="BP929" s="160"/>
      <c r="BQ929" s="160"/>
      <c r="BR929" s="160"/>
      <c r="BS929" s="160"/>
      <c r="BT929" s="160"/>
      <c r="BU929" s="160"/>
      <c r="BV929" s="160"/>
      <c r="BW929" s="160"/>
      <c r="BX929" s="160"/>
      <c r="BY929" s="160"/>
      <c r="BZ929" s="160"/>
      <c r="CA929" s="160"/>
      <c r="CB929" s="160"/>
      <c r="CC929" s="160"/>
      <c r="CD929" s="160"/>
      <c r="CE929" s="160"/>
      <c r="CF929" s="160"/>
      <c r="CG929" s="160"/>
      <c r="CH929" s="160"/>
      <c r="CI929" s="160"/>
      <c r="CJ929" s="160"/>
      <c r="CK929" s="160"/>
      <c r="CL929" s="160"/>
    </row>
    <row r="930">
      <c r="A930" s="171"/>
      <c r="F930" s="11"/>
      <c r="G930" s="11"/>
      <c r="L930" s="171"/>
      <c r="M930" s="171"/>
      <c r="O930" s="160"/>
      <c r="P930" s="160"/>
      <c r="Q930" s="160"/>
      <c r="R930" s="160"/>
      <c r="S930" s="160"/>
      <c r="T930" s="207"/>
      <c r="U930" s="160"/>
      <c r="V930" s="160"/>
      <c r="W930" s="160"/>
      <c r="X930" s="160"/>
      <c r="Y930" s="160"/>
      <c r="Z930" s="160"/>
      <c r="AA930" s="160"/>
      <c r="AB930" s="160"/>
      <c r="AC930" s="160"/>
      <c r="AD930" s="160"/>
      <c r="AE930" s="160"/>
      <c r="AF930" s="160"/>
      <c r="AG930" s="160"/>
      <c r="AH930" s="160"/>
      <c r="AI930" s="160"/>
      <c r="AJ930" s="160"/>
      <c r="AK930" s="160"/>
      <c r="AL930" s="160"/>
      <c r="AM930" s="160"/>
      <c r="AN930" s="164"/>
      <c r="AO930" s="160"/>
      <c r="AP930" s="160"/>
      <c r="AQ930" s="160"/>
      <c r="AR930" s="160"/>
      <c r="AS930" s="160"/>
      <c r="AT930" s="160"/>
      <c r="AU930" s="160"/>
      <c r="AV930" s="160"/>
      <c r="AW930" s="160"/>
      <c r="AX930" s="160"/>
      <c r="AY930" s="160"/>
      <c r="AZ930" s="160"/>
      <c r="BA930" s="160"/>
      <c r="BB930" s="160"/>
      <c r="BC930" s="160"/>
      <c r="BD930" s="160"/>
      <c r="BE930" s="160"/>
      <c r="BF930" s="160"/>
      <c r="BG930" s="160"/>
      <c r="BH930" s="160"/>
      <c r="BI930" s="160"/>
      <c r="BJ930" s="160"/>
      <c r="BK930" s="160"/>
      <c r="BL930" s="160"/>
      <c r="BM930" s="160"/>
      <c r="BN930" s="160"/>
      <c r="BO930" s="160"/>
      <c r="BP930" s="160"/>
      <c r="BQ930" s="160"/>
      <c r="BR930" s="160"/>
      <c r="BS930" s="160"/>
      <c r="BT930" s="160"/>
      <c r="BU930" s="160"/>
      <c r="BV930" s="160"/>
      <c r="BW930" s="160"/>
      <c r="BX930" s="160"/>
      <c r="BY930" s="160"/>
      <c r="BZ930" s="160"/>
      <c r="CA930" s="160"/>
      <c r="CB930" s="160"/>
      <c r="CC930" s="160"/>
      <c r="CD930" s="160"/>
      <c r="CE930" s="160"/>
      <c r="CF930" s="160"/>
      <c r="CG930" s="160"/>
      <c r="CH930" s="160"/>
      <c r="CI930" s="160"/>
      <c r="CJ930" s="160"/>
      <c r="CK930" s="160"/>
      <c r="CL930" s="160"/>
    </row>
    <row r="931">
      <c r="A931" s="171"/>
      <c r="F931" s="11"/>
      <c r="G931" s="11"/>
      <c r="L931" s="171"/>
      <c r="M931" s="171"/>
      <c r="O931" s="160"/>
      <c r="P931" s="160"/>
      <c r="Q931" s="160"/>
      <c r="R931" s="160"/>
      <c r="S931" s="160"/>
      <c r="T931" s="207"/>
      <c r="U931" s="160"/>
      <c r="V931" s="160"/>
      <c r="W931" s="160"/>
      <c r="X931" s="160"/>
      <c r="Y931" s="160"/>
      <c r="Z931" s="160"/>
      <c r="AA931" s="160"/>
      <c r="AB931" s="160"/>
      <c r="AC931" s="160"/>
      <c r="AD931" s="160"/>
      <c r="AE931" s="160"/>
      <c r="AF931" s="160"/>
      <c r="AG931" s="160"/>
      <c r="AH931" s="160"/>
      <c r="AI931" s="160"/>
      <c r="AJ931" s="160"/>
      <c r="AK931" s="160"/>
      <c r="AL931" s="160"/>
      <c r="AM931" s="160"/>
      <c r="AN931" s="164"/>
      <c r="AO931" s="160"/>
      <c r="AP931" s="160"/>
      <c r="AQ931" s="160"/>
      <c r="AR931" s="160"/>
      <c r="AS931" s="160"/>
      <c r="AT931" s="160"/>
      <c r="AU931" s="160"/>
      <c r="AV931" s="160"/>
      <c r="AW931" s="160"/>
      <c r="AX931" s="160"/>
      <c r="AY931" s="160"/>
      <c r="AZ931" s="160"/>
      <c r="BA931" s="160"/>
      <c r="BB931" s="160"/>
      <c r="BC931" s="160"/>
      <c r="BD931" s="160"/>
      <c r="BE931" s="160"/>
      <c r="BF931" s="160"/>
      <c r="BG931" s="160"/>
      <c r="BH931" s="160"/>
      <c r="BI931" s="160"/>
      <c r="BJ931" s="160"/>
      <c r="BK931" s="160"/>
      <c r="BL931" s="160"/>
      <c r="BM931" s="160"/>
      <c r="BN931" s="160"/>
      <c r="BO931" s="160"/>
      <c r="BP931" s="160"/>
      <c r="BQ931" s="160"/>
      <c r="BR931" s="160"/>
      <c r="BS931" s="160"/>
      <c r="BT931" s="160"/>
      <c r="BU931" s="160"/>
      <c r="BV931" s="160"/>
      <c r="BW931" s="160"/>
      <c r="BX931" s="160"/>
      <c r="BY931" s="160"/>
      <c r="BZ931" s="160"/>
      <c r="CA931" s="160"/>
      <c r="CB931" s="160"/>
      <c r="CC931" s="160"/>
      <c r="CD931" s="160"/>
      <c r="CE931" s="160"/>
      <c r="CF931" s="160"/>
      <c r="CG931" s="160"/>
      <c r="CH931" s="160"/>
      <c r="CI931" s="160"/>
      <c r="CJ931" s="160"/>
      <c r="CK931" s="160"/>
      <c r="CL931" s="160"/>
    </row>
    <row r="932">
      <c r="A932" s="171"/>
      <c r="F932" s="11"/>
      <c r="G932" s="11"/>
      <c r="L932" s="171"/>
      <c r="M932" s="171"/>
      <c r="O932" s="160"/>
      <c r="P932" s="160"/>
      <c r="Q932" s="160"/>
      <c r="R932" s="160"/>
      <c r="S932" s="160"/>
      <c r="T932" s="207"/>
      <c r="U932" s="160"/>
      <c r="V932" s="160"/>
      <c r="W932" s="160"/>
      <c r="X932" s="160"/>
      <c r="Y932" s="160"/>
      <c r="Z932" s="160"/>
      <c r="AA932" s="160"/>
      <c r="AB932" s="160"/>
      <c r="AC932" s="160"/>
      <c r="AD932" s="160"/>
      <c r="AE932" s="160"/>
      <c r="AF932" s="160"/>
      <c r="AG932" s="160"/>
      <c r="AH932" s="160"/>
      <c r="AI932" s="160"/>
      <c r="AJ932" s="160"/>
      <c r="AK932" s="160"/>
      <c r="AL932" s="160"/>
      <c r="AM932" s="160"/>
      <c r="AN932" s="164"/>
      <c r="AO932" s="160"/>
      <c r="AP932" s="160"/>
      <c r="AQ932" s="160"/>
      <c r="AR932" s="160"/>
      <c r="AS932" s="160"/>
      <c r="AT932" s="160"/>
      <c r="AU932" s="160"/>
      <c r="AV932" s="160"/>
      <c r="AW932" s="160"/>
      <c r="AX932" s="160"/>
      <c r="AY932" s="160"/>
      <c r="AZ932" s="160"/>
      <c r="BA932" s="160"/>
      <c r="BB932" s="160"/>
      <c r="BC932" s="160"/>
      <c r="BD932" s="160"/>
      <c r="BE932" s="160"/>
      <c r="BF932" s="160"/>
      <c r="BG932" s="160"/>
      <c r="BH932" s="160"/>
      <c r="BI932" s="160"/>
      <c r="BJ932" s="160"/>
      <c r="BK932" s="160"/>
      <c r="BL932" s="160"/>
      <c r="BM932" s="160"/>
      <c r="BN932" s="160"/>
      <c r="BO932" s="160"/>
      <c r="BP932" s="160"/>
      <c r="BQ932" s="160"/>
      <c r="BR932" s="160"/>
      <c r="BS932" s="160"/>
      <c r="BT932" s="160"/>
      <c r="BU932" s="160"/>
      <c r="BV932" s="160"/>
      <c r="BW932" s="160"/>
      <c r="BX932" s="160"/>
      <c r="BY932" s="160"/>
      <c r="BZ932" s="160"/>
      <c r="CA932" s="160"/>
      <c r="CB932" s="160"/>
      <c r="CC932" s="160"/>
      <c r="CD932" s="160"/>
      <c r="CE932" s="160"/>
      <c r="CF932" s="160"/>
      <c r="CG932" s="160"/>
      <c r="CH932" s="160"/>
      <c r="CI932" s="160"/>
      <c r="CJ932" s="160"/>
      <c r="CK932" s="160"/>
      <c r="CL932" s="160"/>
    </row>
    <row r="933">
      <c r="A933" s="171"/>
      <c r="F933" s="11"/>
      <c r="G933" s="11"/>
      <c r="L933" s="171"/>
      <c r="M933" s="171"/>
      <c r="O933" s="160"/>
      <c r="P933" s="160"/>
      <c r="Q933" s="160"/>
      <c r="R933" s="160"/>
      <c r="S933" s="160"/>
      <c r="T933" s="207"/>
      <c r="U933" s="160"/>
      <c r="V933" s="160"/>
      <c r="W933" s="160"/>
      <c r="X933" s="160"/>
      <c r="Y933" s="160"/>
      <c r="Z933" s="160"/>
      <c r="AA933" s="160"/>
      <c r="AB933" s="160"/>
      <c r="AC933" s="160"/>
      <c r="AD933" s="160"/>
      <c r="AE933" s="160"/>
      <c r="AF933" s="160"/>
      <c r="AG933" s="160"/>
      <c r="AH933" s="160"/>
      <c r="AI933" s="160"/>
      <c r="AJ933" s="160"/>
      <c r="AK933" s="160"/>
      <c r="AL933" s="160"/>
      <c r="AM933" s="160"/>
      <c r="AN933" s="164"/>
      <c r="AO933" s="160"/>
      <c r="AP933" s="160"/>
      <c r="AQ933" s="160"/>
      <c r="AR933" s="160"/>
      <c r="AS933" s="160"/>
      <c r="AT933" s="160"/>
      <c r="AU933" s="160"/>
      <c r="AV933" s="160"/>
      <c r="AW933" s="160"/>
      <c r="AX933" s="160"/>
      <c r="AY933" s="160"/>
      <c r="AZ933" s="160"/>
      <c r="BA933" s="160"/>
      <c r="BB933" s="160"/>
      <c r="BC933" s="160"/>
      <c r="BD933" s="160"/>
      <c r="BE933" s="160"/>
      <c r="BF933" s="160"/>
      <c r="BG933" s="160"/>
      <c r="BH933" s="160"/>
      <c r="BI933" s="160"/>
      <c r="BJ933" s="160"/>
      <c r="BK933" s="160"/>
      <c r="BL933" s="160"/>
      <c r="BM933" s="160"/>
      <c r="BN933" s="160"/>
      <c r="BO933" s="160"/>
      <c r="BP933" s="160"/>
      <c r="BQ933" s="160"/>
      <c r="BR933" s="160"/>
      <c r="BS933" s="160"/>
      <c r="BT933" s="160"/>
      <c r="BU933" s="160"/>
      <c r="BV933" s="160"/>
      <c r="BW933" s="160"/>
      <c r="BX933" s="160"/>
      <c r="BY933" s="160"/>
      <c r="BZ933" s="160"/>
      <c r="CA933" s="160"/>
      <c r="CB933" s="160"/>
      <c r="CC933" s="160"/>
      <c r="CD933" s="160"/>
      <c r="CE933" s="160"/>
      <c r="CF933" s="160"/>
      <c r="CG933" s="160"/>
      <c r="CH933" s="160"/>
      <c r="CI933" s="160"/>
      <c r="CJ933" s="160"/>
      <c r="CK933" s="160"/>
      <c r="CL933" s="160"/>
    </row>
    <row r="934">
      <c r="A934" s="171"/>
      <c r="F934" s="11"/>
      <c r="G934" s="11"/>
      <c r="L934" s="171"/>
      <c r="M934" s="171"/>
      <c r="O934" s="160"/>
      <c r="P934" s="160"/>
      <c r="Q934" s="160"/>
      <c r="R934" s="160"/>
      <c r="S934" s="160"/>
      <c r="T934" s="207"/>
      <c r="U934" s="160"/>
      <c r="V934" s="160"/>
      <c r="W934" s="160"/>
      <c r="X934" s="160"/>
      <c r="Y934" s="160"/>
      <c r="Z934" s="160"/>
      <c r="AA934" s="160"/>
      <c r="AB934" s="160"/>
      <c r="AC934" s="160"/>
      <c r="AD934" s="160"/>
      <c r="AE934" s="160"/>
      <c r="AF934" s="160"/>
      <c r="AG934" s="160"/>
      <c r="AH934" s="160"/>
      <c r="AI934" s="160"/>
      <c r="AJ934" s="160"/>
      <c r="AK934" s="160"/>
      <c r="AL934" s="160"/>
      <c r="AM934" s="160"/>
      <c r="AN934" s="164"/>
      <c r="AO934" s="160"/>
      <c r="AP934" s="160"/>
      <c r="AQ934" s="160"/>
      <c r="AR934" s="160"/>
      <c r="AS934" s="160"/>
      <c r="AT934" s="160"/>
      <c r="AU934" s="160"/>
      <c r="AV934" s="160"/>
      <c r="AW934" s="160"/>
      <c r="AX934" s="160"/>
      <c r="AY934" s="160"/>
      <c r="AZ934" s="160"/>
      <c r="BA934" s="160"/>
      <c r="BB934" s="160"/>
      <c r="BC934" s="160"/>
      <c r="BD934" s="160"/>
      <c r="BE934" s="160"/>
      <c r="BF934" s="160"/>
      <c r="BG934" s="160"/>
      <c r="BH934" s="160"/>
      <c r="BI934" s="160"/>
      <c r="BJ934" s="160"/>
      <c r="BK934" s="160"/>
      <c r="BL934" s="160"/>
      <c r="BM934" s="160"/>
      <c r="BN934" s="160"/>
      <c r="BO934" s="160"/>
      <c r="BP934" s="160"/>
      <c r="BQ934" s="160"/>
      <c r="BR934" s="160"/>
      <c r="BS934" s="160"/>
      <c r="BT934" s="160"/>
      <c r="BU934" s="160"/>
      <c r="BV934" s="160"/>
      <c r="BW934" s="160"/>
      <c r="BX934" s="160"/>
      <c r="BY934" s="160"/>
      <c r="BZ934" s="160"/>
      <c r="CA934" s="160"/>
      <c r="CB934" s="160"/>
      <c r="CC934" s="160"/>
      <c r="CD934" s="160"/>
      <c r="CE934" s="160"/>
      <c r="CF934" s="160"/>
      <c r="CG934" s="160"/>
      <c r="CH934" s="160"/>
      <c r="CI934" s="160"/>
      <c r="CJ934" s="160"/>
      <c r="CK934" s="160"/>
      <c r="CL934" s="160"/>
    </row>
    <row r="935">
      <c r="A935" s="171"/>
      <c r="F935" s="11"/>
      <c r="G935" s="11"/>
      <c r="L935" s="171"/>
      <c r="M935" s="171"/>
      <c r="O935" s="160"/>
      <c r="P935" s="160"/>
      <c r="Q935" s="160"/>
      <c r="R935" s="160"/>
      <c r="S935" s="160"/>
      <c r="T935" s="207"/>
      <c r="U935" s="160"/>
      <c r="V935" s="160"/>
      <c r="W935" s="160"/>
      <c r="X935" s="160"/>
      <c r="Y935" s="160"/>
      <c r="Z935" s="160"/>
      <c r="AA935" s="160"/>
      <c r="AB935" s="160"/>
      <c r="AC935" s="160"/>
      <c r="AD935" s="160"/>
      <c r="AE935" s="160"/>
      <c r="AF935" s="160"/>
      <c r="AG935" s="160"/>
      <c r="AH935" s="160"/>
      <c r="AI935" s="160"/>
      <c r="AJ935" s="160"/>
      <c r="AK935" s="160"/>
      <c r="AL935" s="160"/>
      <c r="AM935" s="160"/>
      <c r="AN935" s="164"/>
      <c r="AO935" s="160"/>
      <c r="AP935" s="160"/>
      <c r="AQ935" s="160"/>
      <c r="AR935" s="160"/>
      <c r="AS935" s="160"/>
      <c r="AT935" s="160"/>
      <c r="AU935" s="160"/>
      <c r="AV935" s="160"/>
      <c r="AW935" s="160"/>
      <c r="AX935" s="160"/>
      <c r="AY935" s="160"/>
      <c r="AZ935" s="160"/>
      <c r="BA935" s="160"/>
      <c r="BB935" s="160"/>
      <c r="BC935" s="160"/>
      <c r="BD935" s="160"/>
      <c r="BE935" s="160"/>
      <c r="BF935" s="160"/>
      <c r="BG935" s="160"/>
      <c r="BH935" s="160"/>
      <c r="BI935" s="160"/>
      <c r="BJ935" s="160"/>
      <c r="BK935" s="160"/>
      <c r="BL935" s="160"/>
      <c r="BM935" s="160"/>
      <c r="BN935" s="160"/>
      <c r="BO935" s="160"/>
      <c r="BP935" s="160"/>
      <c r="BQ935" s="160"/>
      <c r="BR935" s="160"/>
      <c r="BS935" s="160"/>
      <c r="BT935" s="160"/>
      <c r="BU935" s="160"/>
      <c r="BV935" s="160"/>
      <c r="BW935" s="160"/>
      <c r="BX935" s="160"/>
      <c r="BY935" s="160"/>
      <c r="BZ935" s="160"/>
      <c r="CA935" s="160"/>
      <c r="CB935" s="160"/>
      <c r="CC935" s="160"/>
      <c r="CD935" s="160"/>
      <c r="CE935" s="160"/>
      <c r="CF935" s="160"/>
      <c r="CG935" s="160"/>
      <c r="CH935" s="160"/>
      <c r="CI935" s="160"/>
      <c r="CJ935" s="160"/>
      <c r="CK935" s="160"/>
      <c r="CL935" s="160"/>
    </row>
    <row r="936">
      <c r="A936" s="171"/>
      <c r="F936" s="11"/>
      <c r="G936" s="11"/>
      <c r="L936" s="171"/>
      <c r="M936" s="171"/>
      <c r="O936" s="160"/>
      <c r="P936" s="160"/>
      <c r="Q936" s="160"/>
      <c r="R936" s="160"/>
      <c r="S936" s="160"/>
      <c r="T936" s="207"/>
      <c r="U936" s="160"/>
      <c r="V936" s="160"/>
      <c r="W936" s="160"/>
      <c r="X936" s="160"/>
      <c r="Y936" s="160"/>
      <c r="Z936" s="160"/>
      <c r="AA936" s="160"/>
      <c r="AB936" s="160"/>
      <c r="AC936" s="160"/>
      <c r="AD936" s="160"/>
      <c r="AE936" s="160"/>
      <c r="AF936" s="160"/>
      <c r="AG936" s="160"/>
      <c r="AH936" s="160"/>
      <c r="AI936" s="160"/>
      <c r="AJ936" s="160"/>
      <c r="AK936" s="160"/>
      <c r="AL936" s="160"/>
      <c r="AM936" s="160"/>
      <c r="AN936" s="164"/>
      <c r="AO936" s="160"/>
      <c r="AP936" s="160"/>
      <c r="AQ936" s="160"/>
      <c r="AR936" s="160"/>
      <c r="AS936" s="160"/>
      <c r="AT936" s="160"/>
      <c r="AU936" s="160"/>
      <c r="AV936" s="160"/>
      <c r="AW936" s="160"/>
      <c r="AX936" s="160"/>
      <c r="AY936" s="160"/>
      <c r="AZ936" s="160"/>
      <c r="BA936" s="160"/>
      <c r="BB936" s="160"/>
      <c r="BC936" s="160"/>
      <c r="BD936" s="160"/>
      <c r="BE936" s="160"/>
      <c r="BF936" s="160"/>
      <c r="BG936" s="160"/>
      <c r="BH936" s="160"/>
      <c r="BI936" s="160"/>
      <c r="BJ936" s="160"/>
      <c r="BK936" s="160"/>
      <c r="BL936" s="160"/>
      <c r="BM936" s="160"/>
      <c r="BN936" s="160"/>
      <c r="BO936" s="160"/>
      <c r="BP936" s="160"/>
      <c r="BQ936" s="160"/>
      <c r="BR936" s="160"/>
      <c r="BS936" s="160"/>
      <c r="BT936" s="160"/>
      <c r="BU936" s="160"/>
      <c r="BV936" s="160"/>
      <c r="BW936" s="160"/>
      <c r="BX936" s="160"/>
      <c r="BY936" s="160"/>
      <c r="BZ936" s="160"/>
      <c r="CA936" s="160"/>
      <c r="CB936" s="160"/>
      <c r="CC936" s="160"/>
      <c r="CD936" s="160"/>
      <c r="CE936" s="160"/>
      <c r="CF936" s="160"/>
      <c r="CG936" s="160"/>
      <c r="CH936" s="160"/>
      <c r="CI936" s="160"/>
      <c r="CJ936" s="160"/>
      <c r="CK936" s="160"/>
      <c r="CL936" s="160"/>
    </row>
    <row r="937">
      <c r="A937" s="171"/>
      <c r="F937" s="11"/>
      <c r="G937" s="11"/>
      <c r="L937" s="171"/>
      <c r="M937" s="171"/>
      <c r="O937" s="160"/>
      <c r="P937" s="160"/>
      <c r="Q937" s="160"/>
      <c r="R937" s="160"/>
      <c r="S937" s="160"/>
      <c r="T937" s="207"/>
      <c r="U937" s="160"/>
      <c r="V937" s="160"/>
      <c r="W937" s="160"/>
      <c r="X937" s="160"/>
      <c r="Y937" s="160"/>
      <c r="Z937" s="160"/>
      <c r="AA937" s="160"/>
      <c r="AB937" s="160"/>
      <c r="AC937" s="160"/>
      <c r="AD937" s="160"/>
      <c r="AE937" s="160"/>
      <c r="AF937" s="160"/>
      <c r="AG937" s="160"/>
      <c r="AH937" s="160"/>
      <c r="AI937" s="160"/>
      <c r="AJ937" s="160"/>
      <c r="AK937" s="160"/>
      <c r="AL937" s="160"/>
      <c r="AM937" s="160"/>
      <c r="AN937" s="164"/>
      <c r="AO937" s="160"/>
      <c r="AP937" s="160"/>
      <c r="AQ937" s="160"/>
      <c r="AR937" s="160"/>
      <c r="AS937" s="160"/>
      <c r="AT937" s="160"/>
      <c r="AU937" s="160"/>
      <c r="AV937" s="160"/>
      <c r="AW937" s="160"/>
      <c r="AX937" s="160"/>
      <c r="AY937" s="160"/>
      <c r="AZ937" s="160"/>
      <c r="BA937" s="160"/>
      <c r="BB937" s="160"/>
      <c r="BC937" s="160"/>
      <c r="BD937" s="160"/>
      <c r="BE937" s="160"/>
      <c r="BF937" s="160"/>
      <c r="BG937" s="160"/>
      <c r="BH937" s="160"/>
      <c r="BI937" s="160"/>
      <c r="BJ937" s="160"/>
      <c r="BK937" s="160"/>
      <c r="BL937" s="160"/>
      <c r="BM937" s="160"/>
      <c r="BN937" s="160"/>
      <c r="BO937" s="160"/>
      <c r="BP937" s="160"/>
      <c r="BQ937" s="160"/>
      <c r="BR937" s="160"/>
      <c r="BS937" s="160"/>
      <c r="BT937" s="160"/>
      <c r="BU937" s="160"/>
      <c r="BV937" s="160"/>
      <c r="BW937" s="160"/>
      <c r="BX937" s="160"/>
      <c r="BY937" s="160"/>
      <c r="BZ937" s="160"/>
      <c r="CA937" s="160"/>
      <c r="CB937" s="160"/>
      <c r="CC937" s="160"/>
      <c r="CD937" s="160"/>
      <c r="CE937" s="160"/>
      <c r="CF937" s="160"/>
      <c r="CG937" s="160"/>
      <c r="CH937" s="160"/>
      <c r="CI937" s="160"/>
      <c r="CJ937" s="160"/>
      <c r="CK937" s="160"/>
      <c r="CL937" s="160"/>
    </row>
    <row r="938">
      <c r="A938" s="171"/>
      <c r="F938" s="11"/>
      <c r="G938" s="11"/>
      <c r="L938" s="171"/>
      <c r="M938" s="171"/>
      <c r="O938" s="160"/>
      <c r="P938" s="160"/>
      <c r="Q938" s="160"/>
      <c r="R938" s="160"/>
      <c r="S938" s="160"/>
      <c r="T938" s="207"/>
      <c r="U938" s="160"/>
      <c r="V938" s="160"/>
      <c r="W938" s="160"/>
      <c r="X938" s="160"/>
      <c r="Y938" s="160"/>
      <c r="Z938" s="160"/>
      <c r="AA938" s="160"/>
      <c r="AB938" s="160"/>
      <c r="AC938" s="160"/>
      <c r="AD938" s="160"/>
      <c r="AE938" s="160"/>
      <c r="AF938" s="160"/>
      <c r="AG938" s="160"/>
      <c r="AH938" s="160"/>
      <c r="AI938" s="160"/>
      <c r="AJ938" s="160"/>
      <c r="AK938" s="160"/>
      <c r="AL938" s="160"/>
      <c r="AM938" s="160"/>
      <c r="AN938" s="164"/>
      <c r="AO938" s="160"/>
      <c r="AP938" s="160"/>
      <c r="AQ938" s="160"/>
      <c r="AR938" s="160"/>
      <c r="AS938" s="160"/>
      <c r="AT938" s="160"/>
      <c r="AU938" s="160"/>
      <c r="AV938" s="160"/>
      <c r="AW938" s="160"/>
      <c r="AX938" s="160"/>
      <c r="AY938" s="160"/>
      <c r="AZ938" s="160"/>
      <c r="BA938" s="160"/>
      <c r="BB938" s="160"/>
      <c r="BC938" s="160"/>
      <c r="BD938" s="160"/>
      <c r="BE938" s="160"/>
      <c r="BF938" s="160"/>
      <c r="BG938" s="160"/>
      <c r="BH938" s="160"/>
      <c r="BI938" s="160"/>
      <c r="BJ938" s="160"/>
      <c r="BK938" s="160"/>
      <c r="BL938" s="160"/>
      <c r="BM938" s="160"/>
      <c r="BN938" s="160"/>
      <c r="BO938" s="160"/>
      <c r="BP938" s="160"/>
      <c r="BQ938" s="160"/>
      <c r="BR938" s="160"/>
      <c r="BS938" s="160"/>
      <c r="BT938" s="160"/>
      <c r="BU938" s="160"/>
      <c r="BV938" s="160"/>
      <c r="BW938" s="160"/>
      <c r="BX938" s="160"/>
      <c r="BY938" s="160"/>
      <c r="BZ938" s="160"/>
      <c r="CA938" s="160"/>
      <c r="CB938" s="160"/>
      <c r="CC938" s="160"/>
      <c r="CD938" s="160"/>
      <c r="CE938" s="160"/>
      <c r="CF938" s="160"/>
      <c r="CG938" s="160"/>
      <c r="CH938" s="160"/>
      <c r="CI938" s="160"/>
      <c r="CJ938" s="160"/>
      <c r="CK938" s="160"/>
      <c r="CL938" s="160"/>
    </row>
    <row r="939">
      <c r="A939" s="171"/>
      <c r="F939" s="11"/>
      <c r="G939" s="11"/>
      <c r="L939" s="171"/>
      <c r="M939" s="171"/>
      <c r="O939" s="160"/>
      <c r="P939" s="160"/>
      <c r="Q939" s="160"/>
      <c r="R939" s="160"/>
      <c r="S939" s="160"/>
      <c r="T939" s="207"/>
      <c r="U939" s="160"/>
      <c r="V939" s="160"/>
      <c r="W939" s="160"/>
      <c r="X939" s="160"/>
      <c r="Y939" s="160"/>
      <c r="Z939" s="160"/>
      <c r="AA939" s="160"/>
      <c r="AB939" s="160"/>
      <c r="AC939" s="160"/>
      <c r="AD939" s="160"/>
      <c r="AE939" s="160"/>
      <c r="AF939" s="160"/>
      <c r="AG939" s="160"/>
      <c r="AH939" s="160"/>
      <c r="AI939" s="160"/>
      <c r="AJ939" s="160"/>
      <c r="AK939" s="160"/>
      <c r="AL939" s="160"/>
      <c r="AM939" s="160"/>
      <c r="AN939" s="164"/>
      <c r="AO939" s="160"/>
      <c r="AP939" s="160"/>
      <c r="AQ939" s="160"/>
      <c r="AR939" s="160"/>
      <c r="AS939" s="160"/>
      <c r="AT939" s="160"/>
      <c r="AU939" s="160"/>
      <c r="AV939" s="160"/>
      <c r="AW939" s="160"/>
      <c r="AX939" s="160"/>
      <c r="AY939" s="160"/>
      <c r="AZ939" s="160"/>
      <c r="BA939" s="160"/>
      <c r="BB939" s="160"/>
      <c r="BC939" s="160"/>
      <c r="BD939" s="160"/>
      <c r="BE939" s="160"/>
      <c r="BF939" s="160"/>
      <c r="BG939" s="160"/>
      <c r="BH939" s="160"/>
      <c r="BI939" s="160"/>
      <c r="BJ939" s="160"/>
      <c r="BK939" s="160"/>
      <c r="BL939" s="160"/>
      <c r="BM939" s="160"/>
      <c r="BN939" s="160"/>
      <c r="BO939" s="160"/>
      <c r="BP939" s="160"/>
      <c r="BQ939" s="160"/>
      <c r="BR939" s="160"/>
      <c r="BS939" s="160"/>
      <c r="BT939" s="160"/>
      <c r="BU939" s="160"/>
      <c r="BV939" s="160"/>
      <c r="BW939" s="160"/>
      <c r="BX939" s="160"/>
      <c r="BY939" s="160"/>
      <c r="BZ939" s="160"/>
      <c r="CA939" s="160"/>
      <c r="CB939" s="160"/>
      <c r="CC939" s="160"/>
      <c r="CD939" s="160"/>
      <c r="CE939" s="160"/>
      <c r="CF939" s="160"/>
      <c r="CG939" s="160"/>
      <c r="CH939" s="160"/>
      <c r="CI939" s="160"/>
      <c r="CJ939" s="160"/>
      <c r="CK939" s="160"/>
      <c r="CL939" s="160"/>
    </row>
    <row r="940">
      <c r="A940" s="171"/>
      <c r="F940" s="11"/>
      <c r="G940" s="11"/>
      <c r="L940" s="171"/>
      <c r="M940" s="171"/>
      <c r="O940" s="160"/>
      <c r="P940" s="160"/>
      <c r="Q940" s="160"/>
      <c r="R940" s="160"/>
      <c r="S940" s="160"/>
      <c r="T940" s="207"/>
      <c r="U940" s="160"/>
      <c r="V940" s="160"/>
      <c r="W940" s="160"/>
      <c r="X940" s="160"/>
      <c r="Y940" s="160"/>
      <c r="Z940" s="160"/>
      <c r="AA940" s="160"/>
      <c r="AB940" s="160"/>
      <c r="AC940" s="160"/>
      <c r="AD940" s="160"/>
      <c r="AE940" s="160"/>
      <c r="AF940" s="160"/>
      <c r="AG940" s="160"/>
      <c r="AH940" s="160"/>
      <c r="AI940" s="160"/>
      <c r="AJ940" s="160"/>
      <c r="AK940" s="160"/>
      <c r="AL940" s="160"/>
      <c r="AM940" s="160"/>
      <c r="AN940" s="164"/>
      <c r="AO940" s="160"/>
      <c r="AP940" s="160"/>
      <c r="AQ940" s="160"/>
      <c r="AR940" s="160"/>
      <c r="AS940" s="160"/>
      <c r="AT940" s="160"/>
      <c r="AU940" s="160"/>
      <c r="AV940" s="160"/>
      <c r="AW940" s="160"/>
      <c r="AX940" s="160"/>
      <c r="AY940" s="160"/>
      <c r="AZ940" s="160"/>
      <c r="BA940" s="160"/>
      <c r="BB940" s="160"/>
      <c r="BC940" s="160"/>
      <c r="BD940" s="160"/>
      <c r="BE940" s="160"/>
      <c r="BF940" s="160"/>
      <c r="BG940" s="160"/>
      <c r="BH940" s="160"/>
      <c r="BI940" s="160"/>
      <c r="BJ940" s="160"/>
      <c r="BK940" s="160"/>
      <c r="BL940" s="160"/>
      <c r="BM940" s="160"/>
      <c r="BN940" s="160"/>
      <c r="BO940" s="160"/>
      <c r="BP940" s="160"/>
      <c r="BQ940" s="160"/>
      <c r="BR940" s="160"/>
      <c r="BS940" s="160"/>
      <c r="BT940" s="160"/>
      <c r="BU940" s="160"/>
      <c r="BV940" s="160"/>
      <c r="BW940" s="160"/>
      <c r="BX940" s="160"/>
      <c r="BY940" s="160"/>
      <c r="BZ940" s="160"/>
      <c r="CA940" s="160"/>
      <c r="CB940" s="160"/>
      <c r="CC940" s="160"/>
      <c r="CD940" s="160"/>
      <c r="CE940" s="160"/>
      <c r="CF940" s="160"/>
      <c r="CG940" s="160"/>
      <c r="CH940" s="160"/>
      <c r="CI940" s="160"/>
      <c r="CJ940" s="160"/>
      <c r="CK940" s="160"/>
      <c r="CL940" s="160"/>
    </row>
    <row r="941">
      <c r="A941" s="171"/>
      <c r="F941" s="11"/>
      <c r="G941" s="11"/>
      <c r="L941" s="171"/>
      <c r="M941" s="171"/>
      <c r="O941" s="160"/>
      <c r="P941" s="160"/>
      <c r="Q941" s="160"/>
      <c r="R941" s="160"/>
      <c r="S941" s="160"/>
      <c r="T941" s="207"/>
      <c r="U941" s="160"/>
      <c r="V941" s="160"/>
      <c r="W941" s="160"/>
      <c r="X941" s="160"/>
      <c r="Y941" s="160"/>
      <c r="Z941" s="160"/>
      <c r="AA941" s="160"/>
      <c r="AB941" s="160"/>
      <c r="AC941" s="160"/>
      <c r="AD941" s="160"/>
      <c r="AE941" s="160"/>
      <c r="AF941" s="160"/>
      <c r="AG941" s="160"/>
      <c r="AH941" s="160"/>
      <c r="AI941" s="160"/>
      <c r="AJ941" s="160"/>
      <c r="AK941" s="160"/>
      <c r="AL941" s="160"/>
      <c r="AM941" s="160"/>
      <c r="AN941" s="164"/>
      <c r="AO941" s="160"/>
      <c r="AP941" s="160"/>
      <c r="AQ941" s="160"/>
      <c r="AR941" s="160"/>
      <c r="AS941" s="160"/>
      <c r="AT941" s="160"/>
      <c r="AU941" s="160"/>
      <c r="AV941" s="160"/>
      <c r="AW941" s="160"/>
      <c r="AX941" s="160"/>
      <c r="AY941" s="160"/>
      <c r="AZ941" s="160"/>
      <c r="BA941" s="160"/>
      <c r="BB941" s="160"/>
      <c r="BC941" s="160"/>
      <c r="BD941" s="160"/>
      <c r="BE941" s="160"/>
      <c r="BF941" s="160"/>
      <c r="BG941" s="160"/>
      <c r="BH941" s="160"/>
      <c r="BI941" s="160"/>
      <c r="BJ941" s="160"/>
      <c r="BK941" s="160"/>
      <c r="BL941" s="160"/>
      <c r="BM941" s="160"/>
      <c r="BN941" s="160"/>
      <c r="BO941" s="160"/>
      <c r="BP941" s="160"/>
      <c r="BQ941" s="160"/>
      <c r="BR941" s="160"/>
      <c r="BS941" s="160"/>
      <c r="BT941" s="160"/>
      <c r="BU941" s="160"/>
      <c r="BV941" s="160"/>
      <c r="BW941" s="160"/>
      <c r="BX941" s="160"/>
      <c r="BY941" s="160"/>
      <c r="BZ941" s="160"/>
      <c r="CA941" s="160"/>
      <c r="CB941" s="160"/>
      <c r="CC941" s="160"/>
      <c r="CD941" s="160"/>
      <c r="CE941" s="160"/>
      <c r="CF941" s="160"/>
      <c r="CG941" s="160"/>
      <c r="CH941" s="160"/>
      <c r="CI941" s="160"/>
      <c r="CJ941" s="160"/>
      <c r="CK941" s="160"/>
      <c r="CL941" s="160"/>
    </row>
    <row r="942">
      <c r="A942" s="171"/>
      <c r="F942" s="11"/>
      <c r="G942" s="11"/>
      <c r="L942" s="171"/>
      <c r="M942" s="171"/>
      <c r="O942" s="160"/>
      <c r="P942" s="160"/>
      <c r="Q942" s="160"/>
      <c r="R942" s="160"/>
      <c r="S942" s="160"/>
      <c r="T942" s="207"/>
      <c r="U942" s="160"/>
      <c r="V942" s="160"/>
      <c r="W942" s="160"/>
      <c r="X942" s="160"/>
      <c r="Y942" s="160"/>
      <c r="Z942" s="160"/>
      <c r="AA942" s="160"/>
      <c r="AB942" s="160"/>
      <c r="AC942" s="160"/>
      <c r="AD942" s="160"/>
      <c r="AE942" s="160"/>
      <c r="AF942" s="160"/>
      <c r="AG942" s="160"/>
      <c r="AH942" s="160"/>
      <c r="AI942" s="160"/>
      <c r="AJ942" s="160"/>
      <c r="AK942" s="160"/>
      <c r="AL942" s="160"/>
      <c r="AM942" s="160"/>
      <c r="AN942" s="164"/>
      <c r="AO942" s="160"/>
      <c r="AP942" s="160"/>
      <c r="AQ942" s="160"/>
      <c r="AR942" s="160"/>
      <c r="AS942" s="160"/>
      <c r="AT942" s="160"/>
      <c r="AU942" s="160"/>
      <c r="AV942" s="160"/>
      <c r="AW942" s="160"/>
      <c r="AX942" s="160"/>
      <c r="AY942" s="160"/>
      <c r="AZ942" s="160"/>
      <c r="BA942" s="160"/>
      <c r="BB942" s="160"/>
      <c r="BC942" s="160"/>
      <c r="BD942" s="160"/>
      <c r="BE942" s="160"/>
      <c r="BF942" s="160"/>
      <c r="BG942" s="160"/>
      <c r="BH942" s="160"/>
      <c r="BI942" s="160"/>
      <c r="BJ942" s="160"/>
      <c r="BK942" s="160"/>
      <c r="BL942" s="160"/>
      <c r="BM942" s="160"/>
      <c r="BN942" s="160"/>
      <c r="BO942" s="160"/>
      <c r="BP942" s="160"/>
      <c r="BQ942" s="160"/>
      <c r="BR942" s="160"/>
      <c r="BS942" s="160"/>
      <c r="BT942" s="160"/>
      <c r="BU942" s="160"/>
      <c r="BV942" s="160"/>
      <c r="BW942" s="160"/>
      <c r="BX942" s="160"/>
      <c r="BY942" s="160"/>
      <c r="BZ942" s="160"/>
      <c r="CA942" s="160"/>
      <c r="CB942" s="160"/>
      <c r="CC942" s="160"/>
      <c r="CD942" s="160"/>
      <c r="CE942" s="160"/>
      <c r="CF942" s="160"/>
      <c r="CG942" s="160"/>
      <c r="CH942" s="160"/>
      <c r="CI942" s="160"/>
      <c r="CJ942" s="160"/>
      <c r="CK942" s="160"/>
      <c r="CL942" s="160"/>
    </row>
    <row r="943">
      <c r="A943" s="171"/>
      <c r="F943" s="11"/>
      <c r="G943" s="11"/>
      <c r="L943" s="171"/>
      <c r="M943" s="171"/>
      <c r="O943" s="160"/>
      <c r="P943" s="160"/>
      <c r="Q943" s="160"/>
      <c r="R943" s="160"/>
      <c r="S943" s="160"/>
      <c r="T943" s="207"/>
      <c r="U943" s="160"/>
      <c r="V943" s="160"/>
      <c r="W943" s="160"/>
      <c r="X943" s="160"/>
      <c r="Y943" s="160"/>
      <c r="Z943" s="160"/>
      <c r="AA943" s="160"/>
      <c r="AB943" s="160"/>
      <c r="AC943" s="160"/>
      <c r="AD943" s="160"/>
      <c r="AE943" s="160"/>
      <c r="AF943" s="160"/>
      <c r="AG943" s="160"/>
      <c r="AH943" s="160"/>
      <c r="AI943" s="160"/>
      <c r="AJ943" s="160"/>
      <c r="AK943" s="160"/>
      <c r="AL943" s="160"/>
      <c r="AM943" s="160"/>
      <c r="AN943" s="164"/>
      <c r="AO943" s="160"/>
      <c r="AP943" s="160"/>
      <c r="AQ943" s="160"/>
      <c r="AR943" s="160"/>
      <c r="AS943" s="160"/>
      <c r="AT943" s="160"/>
      <c r="AU943" s="160"/>
      <c r="AV943" s="160"/>
      <c r="AW943" s="160"/>
      <c r="AX943" s="160"/>
      <c r="AY943" s="160"/>
      <c r="AZ943" s="160"/>
      <c r="BA943" s="160"/>
      <c r="BB943" s="160"/>
      <c r="BC943" s="160"/>
      <c r="BD943" s="160"/>
      <c r="BE943" s="160"/>
      <c r="BF943" s="160"/>
      <c r="BG943" s="160"/>
      <c r="BH943" s="160"/>
      <c r="BI943" s="160"/>
      <c r="BJ943" s="160"/>
      <c r="BK943" s="160"/>
      <c r="BL943" s="160"/>
      <c r="BM943" s="160"/>
      <c r="BN943" s="160"/>
      <c r="BO943" s="160"/>
      <c r="BP943" s="160"/>
      <c r="BQ943" s="160"/>
      <c r="BR943" s="160"/>
      <c r="BS943" s="160"/>
      <c r="BT943" s="160"/>
      <c r="BU943" s="160"/>
      <c r="BV943" s="160"/>
      <c r="BW943" s="160"/>
      <c r="BX943" s="160"/>
      <c r="BY943" s="160"/>
      <c r="BZ943" s="160"/>
      <c r="CA943" s="160"/>
      <c r="CB943" s="160"/>
      <c r="CC943" s="160"/>
      <c r="CD943" s="160"/>
      <c r="CE943" s="160"/>
      <c r="CF943" s="160"/>
      <c r="CG943" s="160"/>
      <c r="CH943" s="160"/>
      <c r="CI943" s="160"/>
      <c r="CJ943" s="160"/>
      <c r="CK943" s="160"/>
      <c r="CL943" s="160"/>
    </row>
    <row r="944">
      <c r="A944" s="171"/>
      <c r="F944" s="11"/>
      <c r="G944" s="11"/>
      <c r="L944" s="171"/>
      <c r="M944" s="171"/>
      <c r="O944" s="160"/>
      <c r="P944" s="160"/>
      <c r="Q944" s="160"/>
      <c r="R944" s="160"/>
      <c r="S944" s="160"/>
      <c r="T944" s="207"/>
      <c r="U944" s="160"/>
      <c r="V944" s="160"/>
      <c r="W944" s="160"/>
      <c r="X944" s="160"/>
      <c r="Y944" s="160"/>
      <c r="Z944" s="160"/>
      <c r="AA944" s="160"/>
      <c r="AB944" s="160"/>
      <c r="AC944" s="160"/>
      <c r="AD944" s="160"/>
      <c r="AE944" s="160"/>
      <c r="AF944" s="160"/>
      <c r="AG944" s="160"/>
      <c r="AH944" s="160"/>
      <c r="AI944" s="160"/>
      <c r="AJ944" s="160"/>
      <c r="AK944" s="160"/>
      <c r="AL944" s="160"/>
      <c r="AM944" s="160"/>
      <c r="AN944" s="164"/>
      <c r="AO944" s="160"/>
      <c r="AP944" s="160"/>
      <c r="AQ944" s="160"/>
      <c r="AR944" s="160"/>
      <c r="AS944" s="160"/>
      <c r="AT944" s="160"/>
      <c r="AU944" s="160"/>
      <c r="AV944" s="160"/>
      <c r="AW944" s="160"/>
      <c r="AX944" s="160"/>
      <c r="AY944" s="160"/>
      <c r="AZ944" s="160"/>
      <c r="BA944" s="160"/>
      <c r="BB944" s="160"/>
      <c r="BC944" s="160"/>
      <c r="BD944" s="160"/>
      <c r="BE944" s="160"/>
      <c r="BF944" s="160"/>
      <c r="BG944" s="160"/>
      <c r="BH944" s="160"/>
      <c r="BI944" s="160"/>
      <c r="BJ944" s="160"/>
      <c r="BK944" s="160"/>
      <c r="BL944" s="160"/>
      <c r="BM944" s="160"/>
      <c r="BN944" s="160"/>
      <c r="BO944" s="160"/>
      <c r="BP944" s="160"/>
      <c r="BQ944" s="160"/>
      <c r="BR944" s="160"/>
      <c r="BS944" s="160"/>
      <c r="BT944" s="160"/>
      <c r="BU944" s="160"/>
      <c r="BV944" s="160"/>
      <c r="BW944" s="160"/>
      <c r="BX944" s="160"/>
      <c r="BY944" s="160"/>
      <c r="BZ944" s="160"/>
      <c r="CA944" s="160"/>
      <c r="CB944" s="160"/>
      <c r="CC944" s="160"/>
      <c r="CD944" s="160"/>
      <c r="CE944" s="160"/>
      <c r="CF944" s="160"/>
      <c r="CG944" s="160"/>
      <c r="CH944" s="160"/>
      <c r="CI944" s="160"/>
      <c r="CJ944" s="160"/>
      <c r="CK944" s="160"/>
      <c r="CL944" s="160"/>
    </row>
    <row r="945">
      <c r="A945" s="171"/>
      <c r="F945" s="11"/>
      <c r="G945" s="11"/>
      <c r="L945" s="171"/>
      <c r="M945" s="171"/>
      <c r="O945" s="160"/>
      <c r="P945" s="160"/>
      <c r="Q945" s="160"/>
      <c r="R945" s="160"/>
      <c r="S945" s="160"/>
      <c r="T945" s="207"/>
      <c r="U945" s="160"/>
      <c r="V945" s="160"/>
      <c r="W945" s="160"/>
      <c r="X945" s="160"/>
      <c r="Y945" s="160"/>
      <c r="Z945" s="160"/>
      <c r="AA945" s="160"/>
      <c r="AB945" s="160"/>
      <c r="AC945" s="160"/>
      <c r="AD945" s="160"/>
      <c r="AE945" s="160"/>
      <c r="AF945" s="160"/>
      <c r="AG945" s="160"/>
      <c r="AH945" s="160"/>
      <c r="AI945" s="160"/>
      <c r="AJ945" s="160"/>
      <c r="AK945" s="160"/>
      <c r="AL945" s="160"/>
      <c r="AM945" s="160"/>
      <c r="AN945" s="164"/>
      <c r="AO945" s="160"/>
      <c r="AP945" s="160"/>
      <c r="AQ945" s="160"/>
      <c r="AR945" s="160"/>
      <c r="AS945" s="160"/>
      <c r="AT945" s="160"/>
      <c r="AU945" s="160"/>
      <c r="AV945" s="160"/>
      <c r="AW945" s="160"/>
      <c r="AX945" s="160"/>
      <c r="AY945" s="160"/>
      <c r="AZ945" s="160"/>
      <c r="BA945" s="160"/>
      <c r="BB945" s="160"/>
      <c r="BC945" s="160"/>
      <c r="BD945" s="160"/>
      <c r="BE945" s="160"/>
      <c r="BF945" s="160"/>
      <c r="BG945" s="160"/>
      <c r="BH945" s="160"/>
      <c r="BI945" s="160"/>
      <c r="BJ945" s="160"/>
      <c r="BK945" s="160"/>
      <c r="BL945" s="160"/>
      <c r="BM945" s="160"/>
      <c r="BN945" s="160"/>
      <c r="BO945" s="160"/>
      <c r="BP945" s="160"/>
      <c r="BQ945" s="160"/>
      <c r="BR945" s="160"/>
      <c r="BS945" s="160"/>
      <c r="BT945" s="160"/>
      <c r="BU945" s="160"/>
      <c r="BV945" s="160"/>
      <c r="BW945" s="160"/>
      <c r="BX945" s="160"/>
      <c r="BY945" s="160"/>
      <c r="BZ945" s="160"/>
      <c r="CA945" s="160"/>
      <c r="CB945" s="160"/>
      <c r="CC945" s="160"/>
      <c r="CD945" s="160"/>
      <c r="CE945" s="160"/>
      <c r="CF945" s="160"/>
      <c r="CG945" s="160"/>
      <c r="CH945" s="160"/>
      <c r="CI945" s="160"/>
      <c r="CJ945" s="160"/>
      <c r="CK945" s="160"/>
      <c r="CL945" s="160"/>
    </row>
    <row r="946">
      <c r="A946" s="171"/>
      <c r="F946" s="11"/>
      <c r="G946" s="11"/>
      <c r="L946" s="171"/>
      <c r="M946" s="171"/>
      <c r="O946" s="160"/>
      <c r="P946" s="160"/>
      <c r="Q946" s="160"/>
      <c r="R946" s="160"/>
      <c r="S946" s="160"/>
      <c r="T946" s="207"/>
      <c r="U946" s="160"/>
      <c r="V946" s="160"/>
      <c r="W946" s="160"/>
      <c r="X946" s="160"/>
      <c r="Y946" s="160"/>
      <c r="Z946" s="160"/>
      <c r="AA946" s="160"/>
      <c r="AB946" s="160"/>
      <c r="AC946" s="160"/>
      <c r="AD946" s="160"/>
      <c r="AE946" s="160"/>
      <c r="AF946" s="160"/>
      <c r="AG946" s="160"/>
      <c r="AH946" s="160"/>
      <c r="AI946" s="160"/>
      <c r="AJ946" s="160"/>
      <c r="AK946" s="160"/>
      <c r="AL946" s="160"/>
      <c r="AM946" s="160"/>
      <c r="AN946" s="164"/>
      <c r="AO946" s="160"/>
      <c r="AP946" s="160"/>
      <c r="AQ946" s="160"/>
      <c r="AR946" s="160"/>
      <c r="AS946" s="160"/>
      <c r="AT946" s="160"/>
      <c r="AU946" s="160"/>
      <c r="AV946" s="160"/>
      <c r="AW946" s="160"/>
      <c r="AX946" s="160"/>
      <c r="AY946" s="160"/>
      <c r="AZ946" s="160"/>
      <c r="BA946" s="160"/>
      <c r="BB946" s="160"/>
      <c r="BC946" s="160"/>
      <c r="BD946" s="160"/>
      <c r="BE946" s="160"/>
      <c r="BF946" s="160"/>
      <c r="BG946" s="160"/>
      <c r="BH946" s="160"/>
      <c r="BI946" s="160"/>
      <c r="BJ946" s="160"/>
      <c r="BK946" s="160"/>
      <c r="BL946" s="160"/>
      <c r="BM946" s="160"/>
      <c r="BN946" s="160"/>
      <c r="BO946" s="160"/>
      <c r="BP946" s="160"/>
      <c r="BQ946" s="160"/>
      <c r="BR946" s="160"/>
      <c r="BS946" s="160"/>
      <c r="BT946" s="160"/>
      <c r="BU946" s="160"/>
      <c r="BV946" s="160"/>
      <c r="BW946" s="160"/>
      <c r="BX946" s="160"/>
      <c r="BY946" s="160"/>
      <c r="BZ946" s="160"/>
      <c r="CA946" s="160"/>
      <c r="CB946" s="160"/>
      <c r="CC946" s="160"/>
      <c r="CD946" s="160"/>
      <c r="CE946" s="160"/>
      <c r="CF946" s="160"/>
      <c r="CG946" s="160"/>
      <c r="CH946" s="160"/>
      <c r="CI946" s="160"/>
      <c r="CJ946" s="160"/>
      <c r="CK946" s="160"/>
      <c r="CL946" s="160"/>
    </row>
    <row r="947">
      <c r="A947" s="171"/>
      <c r="F947" s="11"/>
      <c r="G947" s="11"/>
      <c r="L947" s="171"/>
      <c r="M947" s="171"/>
      <c r="O947" s="160"/>
      <c r="P947" s="160"/>
      <c r="Q947" s="160"/>
      <c r="R947" s="160"/>
      <c r="S947" s="160"/>
      <c r="T947" s="207"/>
      <c r="U947" s="160"/>
      <c r="V947" s="160"/>
      <c r="W947" s="160"/>
      <c r="X947" s="160"/>
      <c r="Y947" s="160"/>
      <c r="Z947" s="160"/>
      <c r="AA947" s="160"/>
      <c r="AB947" s="160"/>
      <c r="AC947" s="160"/>
      <c r="AD947" s="160"/>
      <c r="AE947" s="160"/>
      <c r="AF947" s="160"/>
      <c r="AG947" s="160"/>
      <c r="AH947" s="160"/>
      <c r="AI947" s="160"/>
      <c r="AJ947" s="160"/>
      <c r="AK947" s="160"/>
      <c r="AL947" s="160"/>
      <c r="AM947" s="160"/>
      <c r="AN947" s="164"/>
      <c r="AO947" s="160"/>
      <c r="AP947" s="160"/>
      <c r="AQ947" s="160"/>
      <c r="AR947" s="160"/>
      <c r="AS947" s="160"/>
      <c r="AT947" s="160"/>
      <c r="AU947" s="160"/>
      <c r="AV947" s="160"/>
      <c r="AW947" s="160"/>
      <c r="AX947" s="160"/>
      <c r="AY947" s="160"/>
      <c r="AZ947" s="160"/>
      <c r="BA947" s="160"/>
      <c r="BB947" s="160"/>
      <c r="BC947" s="160"/>
      <c r="BD947" s="160"/>
      <c r="BE947" s="160"/>
      <c r="BF947" s="160"/>
      <c r="BG947" s="160"/>
      <c r="BH947" s="160"/>
      <c r="BI947" s="160"/>
      <c r="BJ947" s="160"/>
      <c r="BK947" s="160"/>
      <c r="BL947" s="160"/>
      <c r="BM947" s="160"/>
      <c r="BN947" s="160"/>
      <c r="BO947" s="160"/>
      <c r="BP947" s="160"/>
      <c r="BQ947" s="160"/>
      <c r="BR947" s="160"/>
      <c r="BS947" s="160"/>
      <c r="BT947" s="160"/>
      <c r="BU947" s="160"/>
      <c r="BV947" s="160"/>
      <c r="BW947" s="160"/>
      <c r="BX947" s="160"/>
      <c r="BY947" s="160"/>
      <c r="BZ947" s="160"/>
      <c r="CA947" s="160"/>
      <c r="CB947" s="160"/>
      <c r="CC947" s="160"/>
      <c r="CD947" s="160"/>
      <c r="CE947" s="160"/>
      <c r="CF947" s="160"/>
      <c r="CG947" s="160"/>
      <c r="CH947" s="160"/>
      <c r="CI947" s="160"/>
      <c r="CJ947" s="160"/>
      <c r="CK947" s="160"/>
      <c r="CL947" s="160"/>
    </row>
    <row r="948">
      <c r="A948" s="171"/>
      <c r="F948" s="11"/>
      <c r="G948" s="11"/>
      <c r="L948" s="171"/>
      <c r="M948" s="171"/>
      <c r="O948" s="160"/>
      <c r="P948" s="160"/>
      <c r="Q948" s="160"/>
      <c r="R948" s="160"/>
      <c r="S948" s="160"/>
      <c r="T948" s="207"/>
      <c r="U948" s="160"/>
      <c r="V948" s="160"/>
      <c r="W948" s="160"/>
      <c r="X948" s="160"/>
      <c r="Y948" s="160"/>
      <c r="Z948" s="160"/>
      <c r="AA948" s="160"/>
      <c r="AB948" s="160"/>
      <c r="AC948" s="160"/>
      <c r="AD948" s="160"/>
      <c r="AE948" s="160"/>
      <c r="AF948" s="160"/>
      <c r="AG948" s="160"/>
      <c r="AH948" s="160"/>
      <c r="AI948" s="160"/>
      <c r="AJ948" s="160"/>
      <c r="AK948" s="160"/>
      <c r="AL948" s="160"/>
      <c r="AM948" s="160"/>
      <c r="AN948" s="164"/>
      <c r="AO948" s="160"/>
      <c r="AP948" s="160"/>
      <c r="AQ948" s="160"/>
      <c r="AR948" s="160"/>
      <c r="AS948" s="160"/>
      <c r="AT948" s="160"/>
      <c r="AU948" s="160"/>
      <c r="AV948" s="160"/>
      <c r="AW948" s="160"/>
      <c r="AX948" s="160"/>
      <c r="AY948" s="160"/>
      <c r="AZ948" s="160"/>
      <c r="BA948" s="160"/>
      <c r="BB948" s="160"/>
      <c r="BC948" s="160"/>
      <c r="BD948" s="160"/>
      <c r="BE948" s="160"/>
      <c r="BF948" s="160"/>
      <c r="BG948" s="160"/>
      <c r="BH948" s="160"/>
      <c r="BI948" s="160"/>
      <c r="BJ948" s="160"/>
      <c r="BK948" s="160"/>
      <c r="BL948" s="160"/>
      <c r="BM948" s="160"/>
      <c r="BN948" s="160"/>
      <c r="BO948" s="160"/>
      <c r="BP948" s="160"/>
      <c r="BQ948" s="160"/>
      <c r="BR948" s="160"/>
      <c r="BS948" s="160"/>
      <c r="BT948" s="160"/>
      <c r="BU948" s="160"/>
      <c r="BV948" s="160"/>
      <c r="BW948" s="160"/>
      <c r="BX948" s="160"/>
      <c r="BY948" s="160"/>
      <c r="BZ948" s="160"/>
      <c r="CA948" s="160"/>
      <c r="CB948" s="160"/>
      <c r="CC948" s="160"/>
      <c r="CD948" s="160"/>
      <c r="CE948" s="160"/>
      <c r="CF948" s="160"/>
      <c r="CG948" s="160"/>
      <c r="CH948" s="160"/>
      <c r="CI948" s="160"/>
      <c r="CJ948" s="160"/>
      <c r="CK948" s="160"/>
      <c r="CL948" s="160"/>
    </row>
    <row r="949">
      <c r="A949" s="171"/>
      <c r="F949" s="11"/>
      <c r="G949" s="11"/>
      <c r="L949" s="171"/>
      <c r="M949" s="171"/>
      <c r="O949" s="160"/>
      <c r="P949" s="160"/>
      <c r="Q949" s="160"/>
      <c r="R949" s="160"/>
      <c r="S949" s="160"/>
      <c r="T949" s="207"/>
      <c r="U949" s="160"/>
      <c r="V949" s="160"/>
      <c r="W949" s="160"/>
      <c r="X949" s="160"/>
      <c r="Y949" s="160"/>
      <c r="Z949" s="160"/>
      <c r="AA949" s="160"/>
      <c r="AB949" s="160"/>
      <c r="AC949" s="160"/>
      <c r="AD949" s="160"/>
      <c r="AE949" s="160"/>
      <c r="AF949" s="160"/>
      <c r="AG949" s="160"/>
      <c r="AH949" s="160"/>
      <c r="AI949" s="160"/>
      <c r="AJ949" s="160"/>
      <c r="AK949" s="160"/>
      <c r="AL949" s="160"/>
      <c r="AM949" s="160"/>
      <c r="AN949" s="164"/>
      <c r="AO949" s="160"/>
      <c r="AP949" s="160"/>
      <c r="AQ949" s="160"/>
      <c r="AR949" s="160"/>
      <c r="AS949" s="160"/>
      <c r="AT949" s="160"/>
      <c r="AU949" s="160"/>
      <c r="AV949" s="160"/>
      <c r="AW949" s="160"/>
      <c r="AX949" s="160"/>
      <c r="AY949" s="160"/>
      <c r="AZ949" s="160"/>
      <c r="BA949" s="160"/>
      <c r="BB949" s="160"/>
      <c r="BC949" s="160"/>
      <c r="BD949" s="160"/>
      <c r="BE949" s="160"/>
      <c r="BF949" s="160"/>
      <c r="BG949" s="160"/>
      <c r="BH949" s="160"/>
      <c r="BI949" s="160"/>
      <c r="BJ949" s="160"/>
      <c r="BK949" s="160"/>
      <c r="BL949" s="160"/>
      <c r="BM949" s="160"/>
      <c r="BN949" s="160"/>
      <c r="BO949" s="160"/>
      <c r="BP949" s="160"/>
      <c r="BQ949" s="160"/>
      <c r="BR949" s="160"/>
      <c r="BS949" s="160"/>
      <c r="BT949" s="160"/>
      <c r="BU949" s="160"/>
      <c r="BV949" s="160"/>
      <c r="BW949" s="160"/>
      <c r="BX949" s="160"/>
      <c r="BY949" s="160"/>
      <c r="BZ949" s="160"/>
      <c r="CA949" s="160"/>
      <c r="CB949" s="160"/>
      <c r="CC949" s="160"/>
      <c r="CD949" s="160"/>
      <c r="CE949" s="160"/>
      <c r="CF949" s="160"/>
      <c r="CG949" s="160"/>
      <c r="CH949" s="160"/>
      <c r="CI949" s="160"/>
      <c r="CJ949" s="160"/>
      <c r="CK949" s="160"/>
      <c r="CL949" s="160"/>
    </row>
    <row r="950">
      <c r="A950" s="171"/>
      <c r="F950" s="11"/>
      <c r="G950" s="11"/>
      <c r="L950" s="171"/>
      <c r="M950" s="171"/>
      <c r="O950" s="160"/>
      <c r="P950" s="160"/>
      <c r="Q950" s="160"/>
      <c r="R950" s="160"/>
      <c r="S950" s="160"/>
      <c r="T950" s="207"/>
      <c r="U950" s="160"/>
      <c r="V950" s="160"/>
      <c r="W950" s="160"/>
      <c r="X950" s="160"/>
      <c r="Y950" s="160"/>
      <c r="Z950" s="160"/>
      <c r="AA950" s="160"/>
      <c r="AB950" s="160"/>
      <c r="AC950" s="160"/>
      <c r="AD950" s="160"/>
      <c r="AE950" s="160"/>
      <c r="AF950" s="160"/>
      <c r="AG950" s="160"/>
      <c r="AH950" s="160"/>
      <c r="AI950" s="160"/>
      <c r="AJ950" s="160"/>
      <c r="AK950" s="160"/>
      <c r="AL950" s="160"/>
      <c r="AM950" s="160"/>
      <c r="AN950" s="164"/>
      <c r="AO950" s="160"/>
      <c r="AP950" s="160"/>
      <c r="AQ950" s="160"/>
      <c r="AR950" s="160"/>
      <c r="AS950" s="160"/>
      <c r="AT950" s="160"/>
      <c r="AU950" s="160"/>
      <c r="AV950" s="160"/>
      <c r="AW950" s="160"/>
      <c r="AX950" s="160"/>
      <c r="AY950" s="160"/>
      <c r="AZ950" s="160"/>
      <c r="BA950" s="160"/>
      <c r="BB950" s="160"/>
      <c r="BC950" s="160"/>
      <c r="BD950" s="160"/>
      <c r="BE950" s="160"/>
      <c r="BF950" s="160"/>
      <c r="BG950" s="160"/>
      <c r="BH950" s="160"/>
      <c r="BI950" s="160"/>
      <c r="BJ950" s="160"/>
      <c r="BK950" s="160"/>
      <c r="BL950" s="160"/>
      <c r="BM950" s="160"/>
      <c r="BN950" s="160"/>
      <c r="BO950" s="160"/>
      <c r="BP950" s="160"/>
      <c r="BQ950" s="160"/>
      <c r="BR950" s="160"/>
      <c r="BS950" s="160"/>
      <c r="BT950" s="160"/>
      <c r="BU950" s="160"/>
      <c r="BV950" s="160"/>
      <c r="BW950" s="160"/>
      <c r="BX950" s="160"/>
      <c r="BY950" s="160"/>
      <c r="BZ950" s="160"/>
      <c r="CA950" s="160"/>
      <c r="CB950" s="160"/>
      <c r="CC950" s="160"/>
      <c r="CD950" s="160"/>
      <c r="CE950" s="160"/>
      <c r="CF950" s="160"/>
      <c r="CG950" s="160"/>
      <c r="CH950" s="160"/>
      <c r="CI950" s="160"/>
      <c r="CJ950" s="160"/>
      <c r="CK950" s="160"/>
      <c r="CL950" s="160"/>
    </row>
    <row r="951">
      <c r="A951" s="171"/>
      <c r="F951" s="11"/>
      <c r="G951" s="11"/>
      <c r="L951" s="171"/>
      <c r="M951" s="171"/>
      <c r="O951" s="160"/>
      <c r="P951" s="160"/>
      <c r="Q951" s="160"/>
      <c r="R951" s="160"/>
      <c r="S951" s="160"/>
      <c r="T951" s="207"/>
      <c r="U951" s="160"/>
      <c r="V951" s="160"/>
      <c r="W951" s="160"/>
      <c r="X951" s="160"/>
      <c r="Y951" s="160"/>
      <c r="Z951" s="160"/>
      <c r="AA951" s="160"/>
      <c r="AB951" s="160"/>
      <c r="AC951" s="160"/>
      <c r="AD951" s="160"/>
      <c r="AE951" s="160"/>
      <c r="AF951" s="160"/>
      <c r="AG951" s="160"/>
      <c r="AH951" s="160"/>
      <c r="AI951" s="160"/>
      <c r="AJ951" s="160"/>
      <c r="AK951" s="160"/>
      <c r="AL951" s="160"/>
      <c r="AM951" s="160"/>
      <c r="AN951" s="164"/>
      <c r="AO951" s="160"/>
      <c r="AP951" s="160"/>
      <c r="AQ951" s="160"/>
      <c r="AR951" s="160"/>
      <c r="AS951" s="160"/>
      <c r="AT951" s="160"/>
      <c r="AU951" s="160"/>
      <c r="AV951" s="160"/>
      <c r="AW951" s="160"/>
      <c r="AX951" s="160"/>
      <c r="AY951" s="160"/>
      <c r="AZ951" s="160"/>
      <c r="BA951" s="160"/>
      <c r="BB951" s="160"/>
      <c r="BC951" s="160"/>
      <c r="BD951" s="160"/>
      <c r="BE951" s="160"/>
      <c r="BF951" s="160"/>
      <c r="BG951" s="160"/>
      <c r="BH951" s="160"/>
      <c r="BI951" s="160"/>
      <c r="BJ951" s="160"/>
      <c r="BK951" s="160"/>
      <c r="BL951" s="160"/>
      <c r="BM951" s="160"/>
      <c r="BN951" s="160"/>
      <c r="BO951" s="160"/>
      <c r="BP951" s="160"/>
      <c r="BQ951" s="160"/>
      <c r="BR951" s="160"/>
      <c r="BS951" s="160"/>
      <c r="BT951" s="160"/>
      <c r="BU951" s="160"/>
      <c r="BV951" s="160"/>
      <c r="BW951" s="160"/>
      <c r="BX951" s="160"/>
      <c r="BY951" s="160"/>
      <c r="BZ951" s="160"/>
      <c r="CA951" s="160"/>
      <c r="CB951" s="160"/>
      <c r="CC951" s="160"/>
      <c r="CD951" s="160"/>
      <c r="CE951" s="160"/>
      <c r="CF951" s="160"/>
      <c r="CG951" s="160"/>
      <c r="CH951" s="160"/>
      <c r="CI951" s="160"/>
      <c r="CJ951" s="160"/>
      <c r="CK951" s="160"/>
      <c r="CL951" s="160"/>
    </row>
    <row r="952">
      <c r="A952" s="171"/>
      <c r="F952" s="11"/>
      <c r="G952" s="11"/>
      <c r="L952" s="171"/>
      <c r="M952" s="171"/>
      <c r="O952" s="160"/>
      <c r="P952" s="160"/>
      <c r="Q952" s="160"/>
      <c r="R952" s="160"/>
      <c r="S952" s="160"/>
      <c r="T952" s="207"/>
      <c r="U952" s="160"/>
      <c r="V952" s="160"/>
      <c r="W952" s="160"/>
      <c r="X952" s="160"/>
      <c r="Y952" s="160"/>
      <c r="Z952" s="160"/>
      <c r="AA952" s="160"/>
      <c r="AB952" s="160"/>
      <c r="AC952" s="160"/>
      <c r="AD952" s="160"/>
      <c r="AE952" s="160"/>
      <c r="AF952" s="160"/>
      <c r="AG952" s="160"/>
      <c r="AH952" s="160"/>
      <c r="AI952" s="160"/>
      <c r="AJ952" s="160"/>
      <c r="AK952" s="160"/>
      <c r="AL952" s="160"/>
      <c r="AM952" s="160"/>
      <c r="AN952" s="164"/>
      <c r="AO952" s="160"/>
      <c r="AP952" s="160"/>
      <c r="AQ952" s="160"/>
      <c r="AR952" s="160"/>
      <c r="AS952" s="160"/>
      <c r="AT952" s="160"/>
      <c r="AU952" s="160"/>
      <c r="AV952" s="160"/>
      <c r="AW952" s="160"/>
      <c r="AX952" s="160"/>
      <c r="AY952" s="160"/>
      <c r="AZ952" s="160"/>
      <c r="BA952" s="160"/>
      <c r="BB952" s="160"/>
      <c r="BC952" s="160"/>
      <c r="BD952" s="160"/>
      <c r="BE952" s="160"/>
      <c r="BF952" s="160"/>
      <c r="BG952" s="160"/>
      <c r="BH952" s="160"/>
      <c r="BI952" s="160"/>
      <c r="BJ952" s="160"/>
      <c r="BK952" s="160"/>
      <c r="BL952" s="160"/>
      <c r="BM952" s="160"/>
      <c r="BN952" s="160"/>
      <c r="BO952" s="160"/>
      <c r="BP952" s="160"/>
      <c r="BQ952" s="160"/>
      <c r="BR952" s="160"/>
      <c r="BS952" s="160"/>
      <c r="BT952" s="160"/>
      <c r="BU952" s="160"/>
      <c r="BV952" s="160"/>
      <c r="BW952" s="160"/>
      <c r="BX952" s="160"/>
      <c r="BY952" s="160"/>
      <c r="BZ952" s="160"/>
      <c r="CA952" s="160"/>
      <c r="CB952" s="160"/>
      <c r="CC952" s="160"/>
      <c r="CD952" s="160"/>
      <c r="CE952" s="160"/>
      <c r="CF952" s="160"/>
      <c r="CG952" s="160"/>
      <c r="CH952" s="160"/>
      <c r="CI952" s="160"/>
      <c r="CJ952" s="160"/>
      <c r="CK952" s="160"/>
      <c r="CL952" s="160"/>
    </row>
    <row r="953">
      <c r="A953" s="171"/>
      <c r="F953" s="11"/>
      <c r="G953" s="11"/>
      <c r="L953" s="171"/>
      <c r="M953" s="171"/>
      <c r="O953" s="160"/>
      <c r="P953" s="160"/>
      <c r="Q953" s="160"/>
      <c r="R953" s="160"/>
      <c r="S953" s="160"/>
      <c r="T953" s="207"/>
      <c r="U953" s="160"/>
      <c r="V953" s="160"/>
      <c r="W953" s="160"/>
      <c r="X953" s="160"/>
      <c r="Y953" s="160"/>
      <c r="Z953" s="160"/>
      <c r="AA953" s="160"/>
      <c r="AB953" s="160"/>
      <c r="AC953" s="160"/>
      <c r="AD953" s="160"/>
      <c r="AE953" s="160"/>
      <c r="AF953" s="160"/>
      <c r="AG953" s="160"/>
      <c r="AH953" s="160"/>
      <c r="AI953" s="160"/>
      <c r="AJ953" s="160"/>
      <c r="AK953" s="160"/>
      <c r="AL953" s="160"/>
      <c r="AM953" s="160"/>
      <c r="AN953" s="164"/>
      <c r="AO953" s="160"/>
      <c r="AP953" s="160"/>
      <c r="AQ953" s="160"/>
      <c r="AR953" s="160"/>
      <c r="AS953" s="160"/>
      <c r="AT953" s="160"/>
      <c r="AU953" s="160"/>
      <c r="AV953" s="160"/>
      <c r="AW953" s="160"/>
      <c r="AX953" s="160"/>
      <c r="AY953" s="160"/>
      <c r="AZ953" s="160"/>
      <c r="BA953" s="160"/>
      <c r="BB953" s="160"/>
      <c r="BC953" s="160"/>
      <c r="BD953" s="160"/>
      <c r="BE953" s="160"/>
      <c r="BF953" s="160"/>
      <c r="BG953" s="160"/>
      <c r="BH953" s="160"/>
      <c r="BI953" s="160"/>
      <c r="BJ953" s="160"/>
      <c r="BK953" s="160"/>
      <c r="BL953" s="160"/>
      <c r="BM953" s="160"/>
      <c r="BN953" s="160"/>
      <c r="BO953" s="160"/>
      <c r="BP953" s="160"/>
      <c r="BQ953" s="160"/>
      <c r="BR953" s="160"/>
      <c r="BS953" s="160"/>
      <c r="BT953" s="160"/>
      <c r="BU953" s="160"/>
      <c r="BV953" s="160"/>
      <c r="BW953" s="160"/>
      <c r="BX953" s="160"/>
      <c r="BY953" s="160"/>
      <c r="BZ953" s="160"/>
      <c r="CA953" s="160"/>
      <c r="CB953" s="160"/>
      <c r="CC953" s="160"/>
      <c r="CD953" s="160"/>
      <c r="CE953" s="160"/>
      <c r="CF953" s="160"/>
      <c r="CG953" s="160"/>
      <c r="CH953" s="160"/>
      <c r="CI953" s="160"/>
      <c r="CJ953" s="160"/>
      <c r="CK953" s="160"/>
      <c r="CL953" s="160"/>
    </row>
    <row r="954">
      <c r="A954" s="171"/>
      <c r="F954" s="11"/>
      <c r="G954" s="11"/>
      <c r="L954" s="171"/>
      <c r="M954" s="171"/>
      <c r="O954" s="160"/>
      <c r="P954" s="160"/>
      <c r="Q954" s="160"/>
      <c r="R954" s="160"/>
      <c r="S954" s="160"/>
      <c r="T954" s="207"/>
      <c r="U954" s="160"/>
      <c r="V954" s="160"/>
      <c r="W954" s="160"/>
      <c r="X954" s="160"/>
      <c r="Y954" s="160"/>
      <c r="Z954" s="160"/>
      <c r="AA954" s="160"/>
      <c r="AB954" s="160"/>
      <c r="AC954" s="160"/>
      <c r="AD954" s="160"/>
      <c r="AE954" s="160"/>
      <c r="AF954" s="160"/>
      <c r="AG954" s="160"/>
      <c r="AH954" s="160"/>
      <c r="AI954" s="160"/>
      <c r="AJ954" s="160"/>
      <c r="AK954" s="160"/>
      <c r="AL954" s="160"/>
      <c r="AM954" s="160"/>
      <c r="AN954" s="164"/>
      <c r="AO954" s="160"/>
      <c r="AP954" s="160"/>
      <c r="AQ954" s="160"/>
      <c r="AR954" s="160"/>
      <c r="AS954" s="160"/>
      <c r="AT954" s="160"/>
      <c r="AU954" s="160"/>
      <c r="AV954" s="160"/>
      <c r="AW954" s="160"/>
      <c r="AX954" s="160"/>
      <c r="AY954" s="160"/>
      <c r="AZ954" s="160"/>
      <c r="BA954" s="160"/>
      <c r="BB954" s="160"/>
      <c r="BC954" s="160"/>
      <c r="BD954" s="160"/>
      <c r="BE954" s="160"/>
      <c r="BF954" s="160"/>
      <c r="BG954" s="160"/>
      <c r="BH954" s="160"/>
      <c r="BI954" s="160"/>
      <c r="BJ954" s="160"/>
      <c r="BK954" s="160"/>
      <c r="BL954" s="160"/>
      <c r="BM954" s="160"/>
      <c r="BN954" s="160"/>
      <c r="BO954" s="160"/>
      <c r="BP954" s="160"/>
      <c r="BQ954" s="160"/>
      <c r="BR954" s="160"/>
      <c r="BS954" s="160"/>
      <c r="BT954" s="160"/>
      <c r="BU954" s="160"/>
      <c r="BV954" s="160"/>
      <c r="BW954" s="160"/>
      <c r="BX954" s="160"/>
      <c r="BY954" s="160"/>
      <c r="BZ954" s="160"/>
      <c r="CA954" s="160"/>
      <c r="CB954" s="160"/>
      <c r="CC954" s="160"/>
      <c r="CD954" s="160"/>
      <c r="CE954" s="160"/>
      <c r="CF954" s="160"/>
      <c r="CG954" s="160"/>
      <c r="CH954" s="160"/>
      <c r="CI954" s="160"/>
      <c r="CJ954" s="160"/>
      <c r="CK954" s="160"/>
      <c r="CL954" s="160"/>
    </row>
    <row r="955">
      <c r="A955" s="171"/>
      <c r="F955" s="11"/>
      <c r="G955" s="11"/>
      <c r="L955" s="171"/>
      <c r="M955" s="171"/>
      <c r="O955" s="160"/>
      <c r="P955" s="160"/>
      <c r="Q955" s="160"/>
      <c r="R955" s="160"/>
      <c r="S955" s="160"/>
      <c r="T955" s="207"/>
      <c r="U955" s="160"/>
      <c r="V955" s="160"/>
      <c r="W955" s="160"/>
      <c r="X955" s="160"/>
      <c r="Y955" s="160"/>
      <c r="Z955" s="160"/>
      <c r="AA955" s="160"/>
      <c r="AB955" s="160"/>
      <c r="AC955" s="160"/>
      <c r="AD955" s="160"/>
      <c r="AE955" s="160"/>
      <c r="AF955" s="160"/>
      <c r="AG955" s="160"/>
      <c r="AH955" s="160"/>
      <c r="AI955" s="160"/>
      <c r="AJ955" s="160"/>
      <c r="AK955" s="160"/>
      <c r="AL955" s="160"/>
      <c r="AM955" s="160"/>
      <c r="AN955" s="164"/>
      <c r="AO955" s="160"/>
      <c r="AP955" s="160"/>
      <c r="AQ955" s="160"/>
      <c r="AR955" s="160"/>
      <c r="AS955" s="160"/>
      <c r="AT955" s="160"/>
      <c r="AU955" s="160"/>
      <c r="AV955" s="160"/>
      <c r="AW955" s="160"/>
      <c r="AX955" s="160"/>
      <c r="AY955" s="160"/>
      <c r="AZ955" s="160"/>
      <c r="BA955" s="160"/>
      <c r="BB955" s="160"/>
      <c r="BC955" s="160"/>
      <c r="BD955" s="160"/>
      <c r="BE955" s="160"/>
      <c r="BF955" s="160"/>
      <c r="BG955" s="160"/>
      <c r="BH955" s="160"/>
      <c r="BI955" s="160"/>
      <c r="BJ955" s="160"/>
      <c r="BK955" s="160"/>
      <c r="BL955" s="160"/>
      <c r="BM955" s="160"/>
      <c r="BN955" s="160"/>
      <c r="BO955" s="160"/>
      <c r="BP955" s="160"/>
      <c r="BQ955" s="160"/>
      <c r="BR955" s="160"/>
      <c r="BS955" s="160"/>
      <c r="BT955" s="160"/>
      <c r="BU955" s="160"/>
      <c r="BV955" s="160"/>
      <c r="BW955" s="160"/>
      <c r="BX955" s="160"/>
      <c r="BY955" s="160"/>
      <c r="BZ955" s="160"/>
      <c r="CA955" s="160"/>
      <c r="CB955" s="160"/>
      <c r="CC955" s="160"/>
      <c r="CD955" s="160"/>
      <c r="CE955" s="160"/>
      <c r="CF955" s="160"/>
      <c r="CG955" s="160"/>
      <c r="CH955" s="160"/>
      <c r="CI955" s="160"/>
      <c r="CJ955" s="160"/>
      <c r="CK955" s="160"/>
      <c r="CL955" s="160"/>
    </row>
    <row r="956">
      <c r="A956" s="171"/>
      <c r="F956" s="11"/>
      <c r="G956" s="11"/>
      <c r="L956" s="171"/>
      <c r="M956" s="171"/>
      <c r="O956" s="160"/>
      <c r="P956" s="160"/>
      <c r="Q956" s="160"/>
      <c r="R956" s="160"/>
      <c r="S956" s="160"/>
      <c r="T956" s="207"/>
      <c r="U956" s="160"/>
      <c r="V956" s="160"/>
      <c r="W956" s="160"/>
      <c r="X956" s="160"/>
      <c r="Y956" s="160"/>
      <c r="Z956" s="160"/>
      <c r="AA956" s="160"/>
      <c r="AB956" s="160"/>
      <c r="AC956" s="160"/>
      <c r="AD956" s="160"/>
      <c r="AE956" s="160"/>
      <c r="AF956" s="160"/>
      <c r="AG956" s="160"/>
      <c r="AH956" s="160"/>
      <c r="AI956" s="160"/>
      <c r="AJ956" s="160"/>
      <c r="AK956" s="160"/>
      <c r="AL956" s="160"/>
      <c r="AM956" s="160"/>
      <c r="AN956" s="164"/>
      <c r="AO956" s="160"/>
      <c r="AP956" s="160"/>
      <c r="AQ956" s="160"/>
      <c r="AR956" s="160"/>
      <c r="AS956" s="160"/>
      <c r="AT956" s="160"/>
      <c r="AU956" s="160"/>
      <c r="AV956" s="160"/>
      <c r="AW956" s="160"/>
      <c r="AX956" s="160"/>
      <c r="AY956" s="160"/>
      <c r="AZ956" s="160"/>
      <c r="BA956" s="160"/>
      <c r="BB956" s="160"/>
      <c r="BC956" s="160"/>
      <c r="BD956" s="160"/>
      <c r="BE956" s="160"/>
      <c r="BF956" s="160"/>
      <c r="BG956" s="160"/>
      <c r="BH956" s="160"/>
      <c r="BI956" s="160"/>
      <c r="BJ956" s="160"/>
      <c r="BK956" s="160"/>
      <c r="BL956" s="160"/>
      <c r="BM956" s="160"/>
      <c r="BN956" s="160"/>
      <c r="BO956" s="160"/>
      <c r="BP956" s="160"/>
      <c r="BQ956" s="160"/>
      <c r="BR956" s="160"/>
      <c r="BS956" s="160"/>
      <c r="BT956" s="160"/>
      <c r="BU956" s="160"/>
      <c r="BV956" s="160"/>
      <c r="BW956" s="160"/>
      <c r="BX956" s="160"/>
      <c r="BY956" s="160"/>
      <c r="BZ956" s="160"/>
      <c r="CA956" s="160"/>
      <c r="CB956" s="160"/>
      <c r="CC956" s="160"/>
      <c r="CD956" s="160"/>
      <c r="CE956" s="160"/>
      <c r="CF956" s="160"/>
      <c r="CG956" s="160"/>
      <c r="CH956" s="160"/>
      <c r="CI956" s="160"/>
      <c r="CJ956" s="160"/>
      <c r="CK956" s="160"/>
      <c r="CL956" s="160"/>
    </row>
    <row r="957">
      <c r="A957" s="171"/>
      <c r="F957" s="11"/>
      <c r="G957" s="11"/>
      <c r="L957" s="171"/>
      <c r="M957" s="171"/>
      <c r="O957" s="160"/>
      <c r="P957" s="160"/>
      <c r="Q957" s="160"/>
      <c r="R957" s="160"/>
      <c r="S957" s="160"/>
      <c r="T957" s="207"/>
      <c r="U957" s="160"/>
      <c r="V957" s="160"/>
      <c r="W957" s="160"/>
      <c r="X957" s="160"/>
      <c r="Y957" s="160"/>
      <c r="Z957" s="160"/>
      <c r="AA957" s="160"/>
      <c r="AB957" s="160"/>
      <c r="AC957" s="160"/>
      <c r="AD957" s="160"/>
      <c r="AE957" s="160"/>
      <c r="AF957" s="160"/>
      <c r="AG957" s="160"/>
      <c r="AH957" s="160"/>
      <c r="AI957" s="160"/>
      <c r="AJ957" s="160"/>
      <c r="AK957" s="160"/>
      <c r="AL957" s="160"/>
      <c r="AM957" s="160"/>
      <c r="AN957" s="164"/>
      <c r="AO957" s="160"/>
      <c r="AP957" s="160"/>
      <c r="AQ957" s="160"/>
      <c r="AR957" s="160"/>
      <c r="AS957" s="160"/>
      <c r="AT957" s="160"/>
      <c r="AU957" s="160"/>
      <c r="AV957" s="160"/>
      <c r="AW957" s="160"/>
      <c r="AX957" s="160"/>
      <c r="AY957" s="160"/>
      <c r="AZ957" s="160"/>
      <c r="BA957" s="160"/>
      <c r="BB957" s="160"/>
      <c r="BC957" s="160"/>
      <c r="BD957" s="160"/>
      <c r="BE957" s="160"/>
      <c r="BF957" s="160"/>
      <c r="BG957" s="160"/>
      <c r="BH957" s="160"/>
      <c r="BI957" s="160"/>
      <c r="BJ957" s="160"/>
      <c r="BK957" s="160"/>
      <c r="BL957" s="160"/>
      <c r="BM957" s="160"/>
      <c r="BN957" s="160"/>
      <c r="BO957" s="160"/>
      <c r="BP957" s="160"/>
      <c r="BQ957" s="160"/>
      <c r="BR957" s="160"/>
      <c r="BS957" s="160"/>
      <c r="BT957" s="160"/>
      <c r="BU957" s="160"/>
      <c r="BV957" s="160"/>
      <c r="BW957" s="160"/>
      <c r="BX957" s="160"/>
      <c r="BY957" s="160"/>
      <c r="BZ957" s="160"/>
      <c r="CA957" s="160"/>
      <c r="CB957" s="160"/>
      <c r="CC957" s="160"/>
      <c r="CD957" s="160"/>
      <c r="CE957" s="160"/>
      <c r="CF957" s="160"/>
      <c r="CG957" s="160"/>
      <c r="CH957" s="160"/>
      <c r="CI957" s="160"/>
      <c r="CJ957" s="160"/>
      <c r="CK957" s="160"/>
      <c r="CL957" s="160"/>
    </row>
    <row r="958">
      <c r="A958" s="171"/>
      <c r="F958" s="11"/>
      <c r="G958" s="11"/>
      <c r="L958" s="171"/>
      <c r="M958" s="171"/>
      <c r="O958" s="160"/>
      <c r="P958" s="160"/>
      <c r="Q958" s="160"/>
      <c r="R958" s="160"/>
      <c r="S958" s="160"/>
      <c r="T958" s="207"/>
      <c r="U958" s="160"/>
      <c r="V958" s="160"/>
      <c r="W958" s="160"/>
      <c r="X958" s="160"/>
      <c r="Y958" s="160"/>
      <c r="Z958" s="160"/>
      <c r="AA958" s="160"/>
      <c r="AB958" s="160"/>
      <c r="AC958" s="160"/>
      <c r="AD958" s="160"/>
      <c r="AE958" s="160"/>
      <c r="AF958" s="160"/>
      <c r="AG958" s="160"/>
      <c r="AH958" s="160"/>
      <c r="AI958" s="160"/>
      <c r="AJ958" s="160"/>
      <c r="AK958" s="160"/>
      <c r="AL958" s="160"/>
      <c r="AM958" s="160"/>
      <c r="AN958" s="164"/>
      <c r="AO958" s="160"/>
      <c r="AP958" s="160"/>
      <c r="AQ958" s="160"/>
      <c r="AR958" s="160"/>
      <c r="AS958" s="160"/>
      <c r="AT958" s="160"/>
      <c r="AU958" s="160"/>
      <c r="AV958" s="160"/>
      <c r="AW958" s="160"/>
      <c r="AX958" s="160"/>
      <c r="AY958" s="160"/>
      <c r="AZ958" s="160"/>
      <c r="BA958" s="160"/>
      <c r="BB958" s="160"/>
      <c r="BC958" s="160"/>
      <c r="BD958" s="160"/>
      <c r="BE958" s="160"/>
      <c r="BF958" s="160"/>
      <c r="BG958" s="160"/>
      <c r="BH958" s="160"/>
      <c r="BI958" s="160"/>
      <c r="BJ958" s="160"/>
      <c r="BK958" s="160"/>
      <c r="BL958" s="160"/>
      <c r="BM958" s="160"/>
      <c r="BN958" s="160"/>
      <c r="BO958" s="160"/>
      <c r="BP958" s="160"/>
      <c r="BQ958" s="160"/>
      <c r="BR958" s="160"/>
      <c r="BS958" s="160"/>
      <c r="BT958" s="160"/>
      <c r="BU958" s="160"/>
      <c r="BV958" s="160"/>
      <c r="BW958" s="160"/>
      <c r="BX958" s="160"/>
      <c r="BY958" s="160"/>
      <c r="BZ958" s="160"/>
      <c r="CA958" s="160"/>
      <c r="CB958" s="160"/>
      <c r="CC958" s="160"/>
      <c r="CD958" s="160"/>
      <c r="CE958" s="160"/>
      <c r="CF958" s="160"/>
      <c r="CG958" s="160"/>
      <c r="CH958" s="160"/>
      <c r="CI958" s="160"/>
      <c r="CJ958" s="160"/>
      <c r="CK958" s="160"/>
      <c r="CL958" s="160"/>
    </row>
    <row r="959">
      <c r="A959" s="171"/>
      <c r="F959" s="11"/>
      <c r="G959" s="11"/>
      <c r="L959" s="171"/>
      <c r="M959" s="171"/>
      <c r="O959" s="160"/>
      <c r="P959" s="160"/>
      <c r="Q959" s="160"/>
      <c r="R959" s="160"/>
      <c r="S959" s="160"/>
      <c r="T959" s="207"/>
      <c r="U959" s="160"/>
      <c r="V959" s="160"/>
      <c r="W959" s="160"/>
      <c r="X959" s="160"/>
      <c r="Y959" s="160"/>
      <c r="Z959" s="160"/>
      <c r="AA959" s="160"/>
      <c r="AB959" s="160"/>
      <c r="AC959" s="160"/>
      <c r="AD959" s="160"/>
      <c r="AE959" s="160"/>
      <c r="AF959" s="160"/>
      <c r="AG959" s="160"/>
      <c r="AH959" s="160"/>
      <c r="AI959" s="160"/>
      <c r="AJ959" s="160"/>
      <c r="AK959" s="160"/>
      <c r="AL959" s="160"/>
      <c r="AM959" s="160"/>
      <c r="AN959" s="164"/>
      <c r="AO959" s="160"/>
      <c r="AP959" s="160"/>
      <c r="AQ959" s="160"/>
      <c r="AR959" s="160"/>
      <c r="AS959" s="160"/>
      <c r="AT959" s="160"/>
      <c r="AU959" s="160"/>
      <c r="AV959" s="160"/>
      <c r="AW959" s="160"/>
      <c r="AX959" s="160"/>
      <c r="AY959" s="160"/>
      <c r="AZ959" s="160"/>
      <c r="BA959" s="160"/>
      <c r="BB959" s="160"/>
      <c r="BC959" s="160"/>
      <c r="BD959" s="160"/>
      <c r="BE959" s="160"/>
      <c r="BF959" s="160"/>
      <c r="BG959" s="160"/>
      <c r="BH959" s="160"/>
      <c r="BI959" s="160"/>
      <c r="BJ959" s="160"/>
      <c r="BK959" s="160"/>
      <c r="BL959" s="160"/>
      <c r="BM959" s="160"/>
      <c r="BN959" s="160"/>
      <c r="BO959" s="160"/>
      <c r="BP959" s="160"/>
      <c r="BQ959" s="160"/>
      <c r="BR959" s="160"/>
      <c r="BS959" s="160"/>
      <c r="BT959" s="160"/>
      <c r="BU959" s="160"/>
      <c r="BV959" s="160"/>
      <c r="BW959" s="160"/>
      <c r="BX959" s="160"/>
      <c r="BY959" s="160"/>
      <c r="BZ959" s="160"/>
      <c r="CA959" s="160"/>
      <c r="CB959" s="160"/>
      <c r="CC959" s="160"/>
      <c r="CD959" s="160"/>
      <c r="CE959" s="160"/>
      <c r="CF959" s="160"/>
      <c r="CG959" s="160"/>
      <c r="CH959" s="160"/>
      <c r="CI959" s="160"/>
      <c r="CJ959" s="160"/>
      <c r="CK959" s="160"/>
      <c r="CL959" s="160"/>
    </row>
    <row r="960">
      <c r="A960" s="171"/>
      <c r="F960" s="11"/>
      <c r="G960" s="11"/>
      <c r="L960" s="171"/>
      <c r="M960" s="171"/>
      <c r="O960" s="160"/>
      <c r="P960" s="160"/>
      <c r="Q960" s="160"/>
      <c r="R960" s="160"/>
      <c r="S960" s="160"/>
      <c r="T960" s="207"/>
      <c r="U960" s="160"/>
      <c r="V960" s="160"/>
      <c r="W960" s="160"/>
      <c r="X960" s="160"/>
      <c r="Y960" s="160"/>
      <c r="Z960" s="160"/>
      <c r="AA960" s="160"/>
      <c r="AB960" s="160"/>
      <c r="AC960" s="160"/>
      <c r="AD960" s="160"/>
      <c r="AE960" s="160"/>
      <c r="AF960" s="160"/>
      <c r="AG960" s="160"/>
      <c r="AH960" s="160"/>
      <c r="AI960" s="160"/>
      <c r="AJ960" s="160"/>
      <c r="AK960" s="160"/>
      <c r="AL960" s="160"/>
      <c r="AM960" s="160"/>
      <c r="AN960" s="164"/>
      <c r="AO960" s="160"/>
      <c r="AP960" s="160"/>
      <c r="AQ960" s="160"/>
      <c r="AR960" s="160"/>
      <c r="AS960" s="160"/>
      <c r="AT960" s="160"/>
      <c r="AU960" s="160"/>
      <c r="AV960" s="160"/>
      <c r="AW960" s="160"/>
      <c r="AX960" s="160"/>
      <c r="AY960" s="160"/>
      <c r="AZ960" s="160"/>
      <c r="BA960" s="160"/>
      <c r="BB960" s="160"/>
      <c r="BC960" s="160"/>
      <c r="BD960" s="160"/>
      <c r="BE960" s="160"/>
      <c r="BF960" s="160"/>
      <c r="BG960" s="160"/>
      <c r="BH960" s="160"/>
      <c r="BI960" s="160"/>
      <c r="BJ960" s="160"/>
      <c r="BK960" s="160"/>
      <c r="BL960" s="160"/>
      <c r="BM960" s="160"/>
      <c r="BN960" s="160"/>
      <c r="BO960" s="160"/>
      <c r="BP960" s="160"/>
      <c r="BQ960" s="160"/>
      <c r="BR960" s="160"/>
      <c r="BS960" s="160"/>
      <c r="BT960" s="160"/>
      <c r="BU960" s="160"/>
      <c r="BV960" s="160"/>
      <c r="BW960" s="160"/>
      <c r="BX960" s="160"/>
      <c r="BY960" s="160"/>
      <c r="BZ960" s="160"/>
      <c r="CA960" s="160"/>
      <c r="CB960" s="160"/>
      <c r="CC960" s="160"/>
      <c r="CD960" s="160"/>
      <c r="CE960" s="160"/>
      <c r="CF960" s="160"/>
      <c r="CG960" s="160"/>
      <c r="CH960" s="160"/>
      <c r="CI960" s="160"/>
      <c r="CJ960" s="160"/>
      <c r="CK960" s="160"/>
      <c r="CL960" s="160"/>
    </row>
    <row r="961">
      <c r="A961" s="171"/>
      <c r="F961" s="11"/>
      <c r="G961" s="11"/>
      <c r="L961" s="171"/>
      <c r="M961" s="171"/>
      <c r="O961" s="160"/>
      <c r="P961" s="160"/>
      <c r="Q961" s="160"/>
      <c r="R961" s="160"/>
      <c r="S961" s="160"/>
      <c r="T961" s="207"/>
      <c r="U961" s="160"/>
      <c r="V961" s="160"/>
      <c r="W961" s="160"/>
      <c r="X961" s="160"/>
      <c r="Y961" s="160"/>
      <c r="Z961" s="160"/>
      <c r="AA961" s="160"/>
      <c r="AB961" s="160"/>
      <c r="AC961" s="160"/>
      <c r="AD961" s="160"/>
      <c r="AE961" s="160"/>
      <c r="AF961" s="160"/>
      <c r="AG961" s="160"/>
      <c r="AH961" s="160"/>
      <c r="AI961" s="160"/>
      <c r="AJ961" s="160"/>
      <c r="AK961" s="160"/>
      <c r="AL961" s="160"/>
      <c r="AM961" s="160"/>
      <c r="AN961" s="164"/>
      <c r="AO961" s="160"/>
      <c r="AP961" s="160"/>
      <c r="AQ961" s="160"/>
      <c r="AR961" s="160"/>
      <c r="AS961" s="160"/>
      <c r="AT961" s="160"/>
      <c r="AU961" s="160"/>
      <c r="AV961" s="160"/>
      <c r="AW961" s="160"/>
      <c r="AX961" s="160"/>
      <c r="AY961" s="160"/>
      <c r="AZ961" s="160"/>
      <c r="BA961" s="160"/>
      <c r="BB961" s="160"/>
      <c r="BC961" s="160"/>
      <c r="BD961" s="160"/>
      <c r="BE961" s="160"/>
      <c r="BF961" s="160"/>
      <c r="BG961" s="160"/>
      <c r="BH961" s="160"/>
      <c r="BI961" s="160"/>
      <c r="BJ961" s="160"/>
      <c r="BK961" s="160"/>
      <c r="BL961" s="160"/>
      <c r="BM961" s="160"/>
      <c r="BN961" s="160"/>
      <c r="BO961" s="160"/>
      <c r="BP961" s="160"/>
      <c r="BQ961" s="160"/>
      <c r="BR961" s="160"/>
      <c r="BS961" s="160"/>
      <c r="BT961" s="160"/>
      <c r="BU961" s="160"/>
      <c r="BV961" s="160"/>
      <c r="BW961" s="160"/>
      <c r="BX961" s="160"/>
      <c r="BY961" s="160"/>
      <c r="BZ961" s="160"/>
      <c r="CA961" s="160"/>
      <c r="CB961" s="160"/>
      <c r="CC961" s="160"/>
      <c r="CD961" s="160"/>
      <c r="CE961" s="160"/>
      <c r="CF961" s="160"/>
      <c r="CG961" s="160"/>
      <c r="CH961" s="160"/>
      <c r="CI961" s="160"/>
      <c r="CJ961" s="160"/>
      <c r="CK961" s="160"/>
      <c r="CL961" s="160"/>
    </row>
    <row r="962">
      <c r="A962" s="171"/>
      <c r="F962" s="11"/>
      <c r="G962" s="11"/>
      <c r="L962" s="171"/>
      <c r="M962" s="171"/>
      <c r="O962" s="160"/>
      <c r="P962" s="160"/>
      <c r="Q962" s="160"/>
      <c r="R962" s="160"/>
      <c r="S962" s="160"/>
      <c r="T962" s="207"/>
      <c r="U962" s="160"/>
      <c r="V962" s="160"/>
      <c r="W962" s="160"/>
      <c r="X962" s="160"/>
      <c r="Y962" s="160"/>
      <c r="Z962" s="160"/>
      <c r="AA962" s="160"/>
      <c r="AB962" s="160"/>
      <c r="AC962" s="160"/>
      <c r="AD962" s="160"/>
      <c r="AE962" s="160"/>
      <c r="AF962" s="160"/>
      <c r="AG962" s="160"/>
      <c r="AH962" s="160"/>
      <c r="AI962" s="160"/>
      <c r="AJ962" s="160"/>
      <c r="AK962" s="160"/>
      <c r="AL962" s="160"/>
      <c r="AM962" s="160"/>
      <c r="AN962" s="164"/>
      <c r="AO962" s="160"/>
      <c r="AP962" s="160"/>
      <c r="AQ962" s="160"/>
      <c r="AR962" s="160"/>
      <c r="AS962" s="160"/>
      <c r="AT962" s="160"/>
      <c r="AU962" s="160"/>
      <c r="AV962" s="160"/>
      <c r="AW962" s="160"/>
      <c r="AX962" s="160"/>
      <c r="AY962" s="160"/>
      <c r="AZ962" s="160"/>
      <c r="BA962" s="160"/>
      <c r="BB962" s="160"/>
      <c r="BC962" s="160"/>
      <c r="BD962" s="160"/>
      <c r="BE962" s="160"/>
      <c r="BF962" s="160"/>
      <c r="BG962" s="160"/>
      <c r="BH962" s="160"/>
      <c r="BI962" s="160"/>
      <c r="BJ962" s="160"/>
      <c r="BK962" s="160"/>
      <c r="BL962" s="160"/>
      <c r="BM962" s="160"/>
      <c r="BN962" s="160"/>
      <c r="BO962" s="160"/>
      <c r="BP962" s="160"/>
      <c r="BQ962" s="160"/>
      <c r="BR962" s="160"/>
      <c r="BS962" s="160"/>
      <c r="BT962" s="160"/>
      <c r="BU962" s="160"/>
      <c r="BV962" s="160"/>
      <c r="BW962" s="160"/>
      <c r="BX962" s="160"/>
      <c r="BY962" s="160"/>
      <c r="BZ962" s="160"/>
      <c r="CA962" s="160"/>
      <c r="CB962" s="160"/>
      <c r="CC962" s="160"/>
      <c r="CD962" s="160"/>
      <c r="CE962" s="160"/>
      <c r="CF962" s="160"/>
      <c r="CG962" s="160"/>
      <c r="CH962" s="160"/>
      <c r="CI962" s="160"/>
      <c r="CJ962" s="160"/>
      <c r="CK962" s="160"/>
      <c r="CL962" s="160"/>
    </row>
    <row r="963">
      <c r="A963" s="171"/>
      <c r="F963" s="11"/>
      <c r="G963" s="11"/>
      <c r="L963" s="171"/>
      <c r="M963" s="171"/>
      <c r="O963" s="160"/>
      <c r="P963" s="160"/>
      <c r="Q963" s="160"/>
      <c r="R963" s="160"/>
      <c r="S963" s="160"/>
      <c r="T963" s="207"/>
      <c r="U963" s="160"/>
      <c r="V963" s="160"/>
      <c r="W963" s="160"/>
      <c r="X963" s="160"/>
      <c r="Y963" s="160"/>
      <c r="Z963" s="160"/>
      <c r="AA963" s="160"/>
      <c r="AB963" s="160"/>
      <c r="AC963" s="160"/>
      <c r="AD963" s="160"/>
      <c r="AE963" s="160"/>
      <c r="AF963" s="160"/>
      <c r="AG963" s="160"/>
      <c r="AH963" s="160"/>
      <c r="AI963" s="160"/>
      <c r="AJ963" s="160"/>
      <c r="AK963" s="160"/>
      <c r="AL963" s="160"/>
      <c r="AM963" s="160"/>
      <c r="AN963" s="164"/>
      <c r="AO963" s="160"/>
      <c r="AP963" s="160"/>
      <c r="AQ963" s="160"/>
      <c r="AR963" s="160"/>
      <c r="AS963" s="160"/>
      <c r="AT963" s="160"/>
      <c r="AU963" s="160"/>
      <c r="AV963" s="160"/>
      <c r="AW963" s="160"/>
      <c r="AX963" s="160"/>
      <c r="AY963" s="160"/>
      <c r="AZ963" s="160"/>
      <c r="BA963" s="160"/>
      <c r="BB963" s="160"/>
      <c r="BC963" s="160"/>
      <c r="BD963" s="160"/>
      <c r="BE963" s="160"/>
      <c r="BF963" s="160"/>
      <c r="BG963" s="160"/>
      <c r="BH963" s="160"/>
      <c r="BI963" s="160"/>
      <c r="BJ963" s="160"/>
      <c r="BK963" s="160"/>
      <c r="BL963" s="160"/>
      <c r="BM963" s="160"/>
      <c r="BN963" s="160"/>
      <c r="BO963" s="160"/>
      <c r="BP963" s="160"/>
      <c r="BQ963" s="160"/>
      <c r="BR963" s="160"/>
      <c r="BS963" s="160"/>
      <c r="BT963" s="160"/>
      <c r="BU963" s="160"/>
      <c r="BV963" s="160"/>
      <c r="BW963" s="160"/>
      <c r="BX963" s="160"/>
      <c r="BY963" s="160"/>
      <c r="BZ963" s="160"/>
      <c r="CA963" s="160"/>
      <c r="CB963" s="160"/>
      <c r="CC963" s="160"/>
      <c r="CD963" s="160"/>
      <c r="CE963" s="160"/>
      <c r="CF963" s="160"/>
      <c r="CG963" s="160"/>
      <c r="CH963" s="160"/>
      <c r="CI963" s="160"/>
      <c r="CJ963" s="160"/>
      <c r="CK963" s="160"/>
      <c r="CL963" s="160"/>
    </row>
    <row r="964">
      <c r="A964" s="171"/>
      <c r="F964" s="11"/>
      <c r="G964" s="11"/>
      <c r="L964" s="171"/>
      <c r="M964" s="171"/>
      <c r="O964" s="160"/>
      <c r="P964" s="160"/>
      <c r="Q964" s="160"/>
      <c r="R964" s="160"/>
      <c r="S964" s="160"/>
      <c r="T964" s="207"/>
      <c r="U964" s="160"/>
      <c r="V964" s="160"/>
      <c r="W964" s="160"/>
      <c r="X964" s="160"/>
      <c r="Y964" s="160"/>
      <c r="Z964" s="160"/>
      <c r="AA964" s="160"/>
      <c r="AB964" s="160"/>
      <c r="AC964" s="160"/>
      <c r="AD964" s="160"/>
      <c r="AE964" s="160"/>
      <c r="AF964" s="160"/>
      <c r="AG964" s="160"/>
      <c r="AH964" s="160"/>
      <c r="AI964" s="160"/>
      <c r="AJ964" s="160"/>
      <c r="AK964" s="160"/>
      <c r="AL964" s="160"/>
      <c r="AM964" s="160"/>
      <c r="AN964" s="164"/>
      <c r="AO964" s="160"/>
      <c r="AP964" s="160"/>
      <c r="AQ964" s="160"/>
      <c r="AR964" s="160"/>
      <c r="AS964" s="160"/>
      <c r="AT964" s="160"/>
      <c r="AU964" s="160"/>
      <c r="AV964" s="160"/>
      <c r="AW964" s="160"/>
      <c r="AX964" s="160"/>
      <c r="AY964" s="160"/>
      <c r="AZ964" s="160"/>
      <c r="BA964" s="160"/>
      <c r="BB964" s="160"/>
      <c r="BC964" s="160"/>
      <c r="BD964" s="160"/>
      <c r="BE964" s="160"/>
      <c r="BF964" s="160"/>
      <c r="BG964" s="160"/>
      <c r="BH964" s="160"/>
      <c r="BI964" s="160"/>
      <c r="BJ964" s="160"/>
      <c r="BK964" s="160"/>
      <c r="BL964" s="160"/>
      <c r="BM964" s="160"/>
      <c r="BN964" s="160"/>
      <c r="BO964" s="160"/>
      <c r="BP964" s="160"/>
      <c r="BQ964" s="160"/>
      <c r="BR964" s="160"/>
      <c r="BS964" s="160"/>
      <c r="BT964" s="160"/>
      <c r="BU964" s="160"/>
      <c r="BV964" s="160"/>
      <c r="BW964" s="160"/>
      <c r="BX964" s="160"/>
      <c r="BY964" s="160"/>
      <c r="BZ964" s="160"/>
      <c r="CA964" s="160"/>
      <c r="CB964" s="160"/>
      <c r="CC964" s="160"/>
      <c r="CD964" s="160"/>
      <c r="CE964" s="160"/>
      <c r="CF964" s="160"/>
      <c r="CG964" s="160"/>
      <c r="CH964" s="160"/>
      <c r="CI964" s="160"/>
      <c r="CJ964" s="160"/>
      <c r="CK964" s="160"/>
      <c r="CL964" s="160"/>
    </row>
    <row r="965">
      <c r="A965" s="171"/>
      <c r="F965" s="11"/>
      <c r="G965" s="11"/>
      <c r="L965" s="171"/>
      <c r="M965" s="171"/>
      <c r="O965" s="160"/>
      <c r="P965" s="160"/>
      <c r="Q965" s="160"/>
      <c r="R965" s="160"/>
      <c r="S965" s="160"/>
      <c r="T965" s="207"/>
      <c r="U965" s="160"/>
      <c r="V965" s="160"/>
      <c r="W965" s="160"/>
      <c r="X965" s="160"/>
      <c r="Y965" s="160"/>
      <c r="Z965" s="160"/>
      <c r="AA965" s="160"/>
      <c r="AB965" s="160"/>
      <c r="AC965" s="160"/>
      <c r="AD965" s="160"/>
      <c r="AE965" s="160"/>
      <c r="AF965" s="160"/>
      <c r="AG965" s="160"/>
      <c r="AH965" s="160"/>
      <c r="AI965" s="160"/>
      <c r="AJ965" s="160"/>
      <c r="AK965" s="160"/>
      <c r="AL965" s="160"/>
      <c r="AM965" s="160"/>
      <c r="AN965" s="164"/>
      <c r="AO965" s="160"/>
      <c r="AP965" s="160"/>
      <c r="AQ965" s="160"/>
      <c r="AR965" s="160"/>
      <c r="AS965" s="160"/>
      <c r="AT965" s="160"/>
      <c r="AU965" s="160"/>
      <c r="AV965" s="160"/>
      <c r="AW965" s="160"/>
      <c r="AX965" s="160"/>
      <c r="AY965" s="160"/>
      <c r="AZ965" s="160"/>
      <c r="BA965" s="160"/>
      <c r="BB965" s="160"/>
      <c r="BC965" s="160"/>
      <c r="BD965" s="160"/>
      <c r="BE965" s="160"/>
      <c r="BF965" s="160"/>
      <c r="BG965" s="160"/>
      <c r="BH965" s="160"/>
      <c r="BI965" s="160"/>
      <c r="BJ965" s="160"/>
      <c r="BK965" s="160"/>
      <c r="BL965" s="160"/>
      <c r="BM965" s="160"/>
      <c r="BN965" s="160"/>
      <c r="BO965" s="160"/>
      <c r="BP965" s="160"/>
      <c r="BQ965" s="160"/>
      <c r="BR965" s="160"/>
      <c r="BS965" s="160"/>
      <c r="BT965" s="160"/>
      <c r="BU965" s="160"/>
      <c r="BV965" s="160"/>
      <c r="BW965" s="160"/>
      <c r="BX965" s="160"/>
      <c r="BY965" s="160"/>
      <c r="BZ965" s="160"/>
      <c r="CA965" s="160"/>
      <c r="CB965" s="160"/>
      <c r="CC965" s="160"/>
      <c r="CD965" s="160"/>
      <c r="CE965" s="160"/>
      <c r="CF965" s="160"/>
      <c r="CG965" s="160"/>
      <c r="CH965" s="160"/>
      <c r="CI965" s="160"/>
      <c r="CJ965" s="160"/>
      <c r="CK965" s="160"/>
      <c r="CL965" s="160"/>
    </row>
    <row r="966">
      <c r="A966" s="171"/>
      <c r="F966" s="11"/>
      <c r="G966" s="11"/>
      <c r="L966" s="171"/>
      <c r="M966" s="171"/>
      <c r="O966" s="160"/>
      <c r="P966" s="160"/>
      <c r="Q966" s="160"/>
      <c r="R966" s="160"/>
      <c r="S966" s="160"/>
      <c r="T966" s="207"/>
      <c r="U966" s="160"/>
      <c r="V966" s="160"/>
      <c r="W966" s="160"/>
      <c r="X966" s="160"/>
      <c r="Y966" s="160"/>
      <c r="Z966" s="160"/>
      <c r="AA966" s="160"/>
      <c r="AB966" s="160"/>
      <c r="AC966" s="160"/>
      <c r="AD966" s="160"/>
      <c r="AE966" s="160"/>
      <c r="AF966" s="160"/>
      <c r="AG966" s="160"/>
      <c r="AH966" s="160"/>
      <c r="AI966" s="160"/>
      <c r="AJ966" s="160"/>
      <c r="AK966" s="160"/>
      <c r="AL966" s="160"/>
      <c r="AM966" s="160"/>
      <c r="AN966" s="164"/>
      <c r="AO966" s="160"/>
      <c r="AP966" s="160"/>
      <c r="AQ966" s="160"/>
      <c r="AR966" s="160"/>
      <c r="AS966" s="160"/>
      <c r="AT966" s="160"/>
      <c r="AU966" s="160"/>
      <c r="AV966" s="160"/>
      <c r="AW966" s="160"/>
      <c r="AX966" s="160"/>
      <c r="AY966" s="160"/>
      <c r="AZ966" s="160"/>
      <c r="BA966" s="160"/>
      <c r="BB966" s="160"/>
      <c r="BC966" s="160"/>
      <c r="BD966" s="160"/>
      <c r="BE966" s="160"/>
      <c r="BF966" s="160"/>
      <c r="BG966" s="160"/>
      <c r="BH966" s="160"/>
      <c r="BI966" s="160"/>
      <c r="BJ966" s="160"/>
      <c r="BK966" s="160"/>
      <c r="BL966" s="160"/>
      <c r="BM966" s="160"/>
      <c r="BN966" s="160"/>
      <c r="BO966" s="160"/>
      <c r="BP966" s="160"/>
      <c r="BQ966" s="160"/>
      <c r="BR966" s="160"/>
      <c r="BS966" s="160"/>
      <c r="BT966" s="160"/>
      <c r="BU966" s="160"/>
      <c r="BV966" s="160"/>
      <c r="BW966" s="160"/>
      <c r="BX966" s="160"/>
      <c r="BY966" s="160"/>
      <c r="BZ966" s="160"/>
      <c r="CA966" s="160"/>
      <c r="CB966" s="160"/>
      <c r="CC966" s="160"/>
      <c r="CD966" s="160"/>
      <c r="CE966" s="160"/>
      <c r="CF966" s="160"/>
      <c r="CG966" s="160"/>
      <c r="CH966" s="160"/>
      <c r="CI966" s="160"/>
      <c r="CJ966" s="160"/>
      <c r="CK966" s="160"/>
      <c r="CL966" s="160"/>
    </row>
    <row r="967">
      <c r="A967" s="171"/>
      <c r="F967" s="11"/>
      <c r="G967" s="11"/>
      <c r="L967" s="171"/>
      <c r="M967" s="171"/>
      <c r="O967" s="160"/>
      <c r="P967" s="160"/>
      <c r="Q967" s="160"/>
      <c r="R967" s="160"/>
      <c r="S967" s="160"/>
      <c r="T967" s="207"/>
      <c r="U967" s="160"/>
      <c r="V967" s="160"/>
      <c r="W967" s="160"/>
      <c r="X967" s="160"/>
      <c r="Y967" s="160"/>
      <c r="Z967" s="160"/>
      <c r="AA967" s="160"/>
      <c r="AB967" s="160"/>
      <c r="AC967" s="160"/>
      <c r="AD967" s="160"/>
      <c r="AE967" s="160"/>
      <c r="AF967" s="160"/>
      <c r="AG967" s="160"/>
      <c r="AH967" s="160"/>
      <c r="AI967" s="160"/>
      <c r="AJ967" s="160"/>
      <c r="AK967" s="160"/>
      <c r="AL967" s="160"/>
      <c r="AM967" s="160"/>
      <c r="AN967" s="164"/>
      <c r="AO967" s="160"/>
      <c r="AP967" s="160"/>
      <c r="AQ967" s="160"/>
      <c r="AR967" s="160"/>
      <c r="AS967" s="160"/>
      <c r="AT967" s="160"/>
      <c r="AU967" s="160"/>
      <c r="AV967" s="160"/>
      <c r="AW967" s="160"/>
      <c r="AX967" s="160"/>
      <c r="AY967" s="160"/>
      <c r="AZ967" s="160"/>
      <c r="BA967" s="160"/>
      <c r="BB967" s="160"/>
      <c r="BC967" s="160"/>
      <c r="BD967" s="160"/>
      <c r="BE967" s="160"/>
      <c r="BF967" s="160"/>
      <c r="BG967" s="160"/>
      <c r="BH967" s="160"/>
      <c r="BI967" s="160"/>
      <c r="BJ967" s="160"/>
      <c r="BK967" s="160"/>
      <c r="BL967" s="160"/>
      <c r="BM967" s="160"/>
      <c r="BN967" s="160"/>
      <c r="BO967" s="160"/>
      <c r="BP967" s="160"/>
      <c r="BQ967" s="160"/>
      <c r="BR967" s="160"/>
      <c r="BS967" s="160"/>
      <c r="BT967" s="160"/>
      <c r="BU967" s="160"/>
      <c r="BV967" s="160"/>
      <c r="BW967" s="160"/>
      <c r="BX967" s="160"/>
      <c r="BY967" s="160"/>
      <c r="BZ967" s="160"/>
      <c r="CA967" s="160"/>
      <c r="CB967" s="160"/>
      <c r="CC967" s="160"/>
      <c r="CD967" s="160"/>
      <c r="CE967" s="160"/>
      <c r="CF967" s="160"/>
      <c r="CG967" s="160"/>
      <c r="CH967" s="160"/>
      <c r="CI967" s="160"/>
      <c r="CJ967" s="160"/>
      <c r="CK967" s="160"/>
      <c r="CL967" s="160"/>
    </row>
    <row r="968">
      <c r="A968" s="171"/>
      <c r="F968" s="11"/>
      <c r="G968" s="11"/>
      <c r="L968" s="171"/>
      <c r="M968" s="171"/>
      <c r="O968" s="160"/>
      <c r="P968" s="160"/>
      <c r="Q968" s="160"/>
      <c r="R968" s="160"/>
      <c r="S968" s="160"/>
      <c r="T968" s="207"/>
      <c r="U968" s="160"/>
      <c r="V968" s="160"/>
      <c r="W968" s="160"/>
      <c r="X968" s="160"/>
      <c r="Y968" s="160"/>
      <c r="Z968" s="160"/>
      <c r="AA968" s="160"/>
      <c r="AB968" s="160"/>
      <c r="AC968" s="160"/>
      <c r="AD968" s="160"/>
      <c r="AE968" s="160"/>
      <c r="AF968" s="160"/>
      <c r="AG968" s="160"/>
      <c r="AH968" s="160"/>
      <c r="AI968" s="160"/>
      <c r="AJ968" s="160"/>
      <c r="AK968" s="160"/>
      <c r="AL968" s="160"/>
      <c r="AM968" s="160"/>
      <c r="AN968" s="164"/>
      <c r="AO968" s="160"/>
      <c r="AP968" s="160"/>
      <c r="AQ968" s="160"/>
      <c r="AR968" s="160"/>
      <c r="AS968" s="160"/>
      <c r="AT968" s="160"/>
      <c r="AU968" s="160"/>
      <c r="AV968" s="160"/>
      <c r="AW968" s="160"/>
      <c r="AX968" s="160"/>
      <c r="AY968" s="160"/>
      <c r="AZ968" s="160"/>
      <c r="BA968" s="160"/>
      <c r="BB968" s="160"/>
      <c r="BC968" s="160"/>
      <c r="BD968" s="160"/>
      <c r="BE968" s="160"/>
      <c r="BF968" s="160"/>
      <c r="BG968" s="160"/>
      <c r="BH968" s="160"/>
      <c r="BI968" s="160"/>
      <c r="BJ968" s="160"/>
      <c r="BK968" s="160"/>
      <c r="BL968" s="160"/>
      <c r="BM968" s="160"/>
      <c r="BN968" s="160"/>
      <c r="BO968" s="160"/>
      <c r="BP968" s="160"/>
      <c r="BQ968" s="160"/>
      <c r="BR968" s="160"/>
      <c r="BS968" s="160"/>
      <c r="BT968" s="160"/>
      <c r="BU968" s="160"/>
      <c r="BV968" s="160"/>
      <c r="BW968" s="160"/>
      <c r="BX968" s="160"/>
      <c r="BY968" s="160"/>
      <c r="BZ968" s="160"/>
      <c r="CA968" s="160"/>
      <c r="CB968" s="160"/>
      <c r="CC968" s="160"/>
      <c r="CD968" s="160"/>
      <c r="CE968" s="160"/>
      <c r="CF968" s="160"/>
      <c r="CG968" s="160"/>
      <c r="CH968" s="160"/>
      <c r="CI968" s="160"/>
      <c r="CJ968" s="160"/>
      <c r="CK968" s="160"/>
      <c r="CL968" s="160"/>
    </row>
    <row r="969">
      <c r="A969" s="171"/>
      <c r="F969" s="11"/>
      <c r="G969" s="11"/>
      <c r="L969" s="171"/>
      <c r="M969" s="171"/>
      <c r="O969" s="160"/>
      <c r="P969" s="160"/>
      <c r="Q969" s="160"/>
      <c r="R969" s="160"/>
      <c r="S969" s="160"/>
      <c r="T969" s="207"/>
      <c r="U969" s="160"/>
      <c r="V969" s="160"/>
      <c r="W969" s="160"/>
      <c r="X969" s="160"/>
      <c r="Y969" s="160"/>
      <c r="Z969" s="160"/>
      <c r="AA969" s="160"/>
      <c r="AB969" s="160"/>
      <c r="AC969" s="160"/>
      <c r="AD969" s="160"/>
      <c r="AE969" s="160"/>
      <c r="AF969" s="160"/>
      <c r="AG969" s="160"/>
      <c r="AH969" s="160"/>
      <c r="AI969" s="160"/>
      <c r="AJ969" s="160"/>
      <c r="AK969" s="160"/>
      <c r="AL969" s="160"/>
      <c r="AM969" s="160"/>
      <c r="AN969" s="164"/>
      <c r="AO969" s="160"/>
      <c r="AP969" s="160"/>
      <c r="AQ969" s="160"/>
      <c r="AR969" s="160"/>
      <c r="AS969" s="160"/>
      <c r="AT969" s="160"/>
      <c r="AU969" s="160"/>
      <c r="AV969" s="160"/>
      <c r="AW969" s="160"/>
      <c r="AX969" s="160"/>
      <c r="AY969" s="160"/>
      <c r="AZ969" s="160"/>
      <c r="BA969" s="160"/>
      <c r="BB969" s="160"/>
      <c r="BC969" s="160"/>
      <c r="BD969" s="160"/>
      <c r="BE969" s="160"/>
      <c r="BF969" s="160"/>
      <c r="BG969" s="160"/>
      <c r="BH969" s="160"/>
      <c r="BI969" s="160"/>
      <c r="BJ969" s="160"/>
      <c r="BK969" s="160"/>
      <c r="BL969" s="160"/>
      <c r="BM969" s="160"/>
      <c r="BN969" s="160"/>
      <c r="BO969" s="160"/>
      <c r="BP969" s="160"/>
      <c r="BQ969" s="160"/>
      <c r="BR969" s="160"/>
      <c r="BS969" s="160"/>
      <c r="BT969" s="160"/>
      <c r="BU969" s="160"/>
      <c r="BV969" s="160"/>
      <c r="BW969" s="160"/>
      <c r="BX969" s="160"/>
      <c r="BY969" s="160"/>
      <c r="BZ969" s="160"/>
      <c r="CA969" s="160"/>
      <c r="CB969" s="160"/>
      <c r="CC969" s="160"/>
      <c r="CD969" s="160"/>
      <c r="CE969" s="160"/>
      <c r="CF969" s="160"/>
      <c r="CG969" s="160"/>
      <c r="CH969" s="160"/>
      <c r="CI969" s="160"/>
      <c r="CJ969" s="160"/>
      <c r="CK969" s="160"/>
      <c r="CL969" s="160"/>
    </row>
    <row r="970">
      <c r="A970" s="171"/>
      <c r="F970" s="11"/>
      <c r="G970" s="11"/>
      <c r="L970" s="171"/>
      <c r="M970" s="171"/>
      <c r="O970" s="160"/>
      <c r="P970" s="160"/>
      <c r="Q970" s="160"/>
      <c r="R970" s="160"/>
      <c r="S970" s="160"/>
      <c r="T970" s="207"/>
      <c r="U970" s="160"/>
      <c r="V970" s="160"/>
      <c r="W970" s="160"/>
      <c r="X970" s="160"/>
      <c r="Y970" s="160"/>
      <c r="Z970" s="160"/>
      <c r="AA970" s="160"/>
      <c r="AB970" s="160"/>
      <c r="AC970" s="160"/>
      <c r="AD970" s="160"/>
      <c r="AE970" s="160"/>
      <c r="AF970" s="160"/>
      <c r="AG970" s="160"/>
      <c r="AH970" s="160"/>
      <c r="AI970" s="160"/>
      <c r="AJ970" s="160"/>
      <c r="AK970" s="160"/>
      <c r="AL970" s="160"/>
      <c r="AM970" s="160"/>
      <c r="AN970" s="164"/>
      <c r="AO970" s="160"/>
      <c r="AP970" s="160"/>
      <c r="AQ970" s="160"/>
      <c r="AR970" s="160"/>
      <c r="AS970" s="160"/>
      <c r="AT970" s="160"/>
      <c r="AU970" s="160"/>
      <c r="AV970" s="160"/>
      <c r="AW970" s="160"/>
      <c r="AX970" s="160"/>
      <c r="AY970" s="160"/>
      <c r="AZ970" s="160"/>
      <c r="BA970" s="160"/>
      <c r="BB970" s="160"/>
      <c r="BC970" s="160"/>
      <c r="BD970" s="160"/>
      <c r="BE970" s="160"/>
      <c r="BF970" s="160"/>
      <c r="BG970" s="160"/>
      <c r="BH970" s="160"/>
      <c r="BI970" s="160"/>
      <c r="BJ970" s="160"/>
      <c r="BK970" s="160"/>
      <c r="BL970" s="160"/>
      <c r="BM970" s="160"/>
      <c r="BN970" s="160"/>
      <c r="BO970" s="160"/>
      <c r="BP970" s="160"/>
      <c r="BQ970" s="160"/>
      <c r="BR970" s="160"/>
      <c r="BS970" s="160"/>
      <c r="BT970" s="160"/>
      <c r="BU970" s="160"/>
      <c r="BV970" s="160"/>
      <c r="BW970" s="160"/>
      <c r="BX970" s="160"/>
      <c r="BY970" s="160"/>
      <c r="BZ970" s="160"/>
      <c r="CA970" s="160"/>
      <c r="CB970" s="160"/>
      <c r="CC970" s="160"/>
      <c r="CD970" s="160"/>
      <c r="CE970" s="160"/>
      <c r="CF970" s="160"/>
      <c r="CG970" s="160"/>
      <c r="CH970" s="160"/>
      <c r="CI970" s="160"/>
      <c r="CJ970" s="160"/>
      <c r="CK970" s="160"/>
      <c r="CL970" s="160"/>
    </row>
    <row r="971">
      <c r="A971" s="171"/>
      <c r="F971" s="11"/>
      <c r="G971" s="11"/>
      <c r="L971" s="171"/>
      <c r="M971" s="171"/>
      <c r="O971" s="160"/>
      <c r="P971" s="160"/>
      <c r="Q971" s="160"/>
      <c r="R971" s="160"/>
      <c r="S971" s="160"/>
      <c r="T971" s="207"/>
      <c r="U971" s="160"/>
      <c r="V971" s="160"/>
      <c r="W971" s="160"/>
      <c r="X971" s="160"/>
      <c r="Y971" s="160"/>
      <c r="Z971" s="160"/>
      <c r="AA971" s="160"/>
      <c r="AB971" s="160"/>
      <c r="AC971" s="160"/>
      <c r="AD971" s="160"/>
      <c r="AE971" s="160"/>
      <c r="AF971" s="160"/>
      <c r="AG971" s="160"/>
      <c r="AH971" s="160"/>
      <c r="AI971" s="160"/>
      <c r="AJ971" s="160"/>
      <c r="AK971" s="160"/>
      <c r="AL971" s="160"/>
      <c r="AM971" s="160"/>
      <c r="AN971" s="164"/>
      <c r="AO971" s="160"/>
      <c r="AP971" s="160"/>
      <c r="AQ971" s="160"/>
      <c r="AR971" s="160"/>
      <c r="AS971" s="160"/>
      <c r="AT971" s="160"/>
      <c r="AU971" s="160"/>
      <c r="AV971" s="160"/>
      <c r="AW971" s="160"/>
      <c r="AX971" s="160"/>
      <c r="AY971" s="160"/>
      <c r="AZ971" s="160"/>
      <c r="BA971" s="160"/>
      <c r="BB971" s="160"/>
      <c r="BC971" s="160"/>
      <c r="BD971" s="160"/>
      <c r="BE971" s="160"/>
      <c r="BF971" s="160"/>
      <c r="BG971" s="160"/>
      <c r="BH971" s="160"/>
      <c r="BI971" s="160"/>
      <c r="BJ971" s="160"/>
      <c r="BK971" s="160"/>
      <c r="BL971" s="160"/>
      <c r="BM971" s="160"/>
      <c r="BN971" s="160"/>
      <c r="BO971" s="160"/>
      <c r="BP971" s="160"/>
      <c r="BQ971" s="160"/>
      <c r="BR971" s="160"/>
      <c r="BS971" s="160"/>
      <c r="BT971" s="160"/>
      <c r="BU971" s="160"/>
      <c r="BV971" s="160"/>
      <c r="BW971" s="160"/>
      <c r="BX971" s="160"/>
      <c r="BY971" s="160"/>
      <c r="BZ971" s="160"/>
      <c r="CA971" s="160"/>
      <c r="CB971" s="160"/>
      <c r="CC971" s="160"/>
      <c r="CD971" s="160"/>
      <c r="CE971" s="160"/>
      <c r="CF971" s="160"/>
      <c r="CG971" s="160"/>
      <c r="CH971" s="160"/>
      <c r="CI971" s="160"/>
      <c r="CJ971" s="160"/>
      <c r="CK971" s="160"/>
      <c r="CL971" s="160"/>
    </row>
    <row r="972">
      <c r="A972" s="171"/>
      <c r="F972" s="11"/>
      <c r="G972" s="11"/>
      <c r="L972" s="171"/>
      <c r="M972" s="171"/>
      <c r="O972" s="160"/>
      <c r="P972" s="160"/>
      <c r="Q972" s="160"/>
      <c r="R972" s="160"/>
      <c r="S972" s="160"/>
      <c r="T972" s="207"/>
      <c r="U972" s="160"/>
      <c r="V972" s="160"/>
      <c r="W972" s="160"/>
      <c r="X972" s="160"/>
      <c r="Y972" s="160"/>
      <c r="Z972" s="160"/>
      <c r="AA972" s="160"/>
      <c r="AB972" s="160"/>
      <c r="AC972" s="160"/>
      <c r="AD972" s="160"/>
      <c r="AE972" s="160"/>
      <c r="AF972" s="160"/>
      <c r="AG972" s="160"/>
      <c r="AH972" s="160"/>
      <c r="AI972" s="160"/>
      <c r="AJ972" s="160"/>
      <c r="AK972" s="160"/>
      <c r="AL972" s="160"/>
      <c r="AM972" s="160"/>
      <c r="AN972" s="164"/>
      <c r="AO972" s="160"/>
      <c r="AP972" s="160"/>
      <c r="AQ972" s="160"/>
      <c r="AR972" s="160"/>
      <c r="AS972" s="160"/>
      <c r="AT972" s="160"/>
      <c r="AU972" s="160"/>
      <c r="AV972" s="160"/>
      <c r="AW972" s="160"/>
      <c r="AX972" s="160"/>
      <c r="AY972" s="160"/>
      <c r="AZ972" s="160"/>
      <c r="BA972" s="160"/>
      <c r="BB972" s="160"/>
      <c r="BC972" s="160"/>
      <c r="BD972" s="160"/>
      <c r="BE972" s="160"/>
      <c r="BF972" s="160"/>
      <c r="BG972" s="160"/>
      <c r="BH972" s="160"/>
      <c r="BI972" s="160"/>
      <c r="BJ972" s="160"/>
      <c r="BK972" s="160"/>
      <c r="BL972" s="160"/>
      <c r="BM972" s="160"/>
      <c r="BN972" s="160"/>
      <c r="BO972" s="160"/>
      <c r="BP972" s="160"/>
      <c r="BQ972" s="160"/>
      <c r="BR972" s="160"/>
      <c r="BS972" s="160"/>
      <c r="BT972" s="160"/>
      <c r="BU972" s="160"/>
      <c r="BV972" s="160"/>
      <c r="BW972" s="160"/>
      <c r="BX972" s="160"/>
      <c r="BY972" s="160"/>
      <c r="BZ972" s="160"/>
      <c r="CA972" s="160"/>
      <c r="CB972" s="160"/>
      <c r="CC972" s="160"/>
      <c r="CD972" s="160"/>
      <c r="CE972" s="160"/>
      <c r="CF972" s="160"/>
      <c r="CG972" s="160"/>
      <c r="CH972" s="160"/>
      <c r="CI972" s="160"/>
      <c r="CJ972" s="160"/>
      <c r="CK972" s="160"/>
      <c r="CL972" s="160"/>
    </row>
    <row r="973">
      <c r="A973" s="171"/>
      <c r="F973" s="11"/>
      <c r="G973" s="11"/>
      <c r="L973" s="171"/>
      <c r="M973" s="171"/>
      <c r="O973" s="160"/>
      <c r="P973" s="160"/>
      <c r="Q973" s="160"/>
      <c r="R973" s="160"/>
      <c r="S973" s="160"/>
      <c r="T973" s="207"/>
      <c r="U973" s="160"/>
      <c r="V973" s="160"/>
      <c r="W973" s="160"/>
      <c r="X973" s="160"/>
      <c r="Y973" s="160"/>
      <c r="Z973" s="160"/>
      <c r="AA973" s="160"/>
      <c r="AB973" s="160"/>
      <c r="AC973" s="160"/>
      <c r="AD973" s="160"/>
      <c r="AE973" s="160"/>
      <c r="AF973" s="160"/>
      <c r="AG973" s="160"/>
      <c r="AH973" s="160"/>
      <c r="AI973" s="160"/>
      <c r="AJ973" s="160"/>
      <c r="AK973" s="160"/>
      <c r="AL973" s="160"/>
      <c r="AM973" s="160"/>
      <c r="AN973" s="164"/>
      <c r="AO973" s="160"/>
      <c r="AP973" s="160"/>
      <c r="AQ973" s="160"/>
      <c r="AR973" s="160"/>
      <c r="AS973" s="160"/>
      <c r="AT973" s="160"/>
      <c r="AU973" s="160"/>
      <c r="AV973" s="160"/>
      <c r="AW973" s="160"/>
      <c r="AX973" s="160"/>
      <c r="AY973" s="160"/>
      <c r="AZ973" s="160"/>
      <c r="BA973" s="160"/>
      <c r="BB973" s="160"/>
      <c r="BC973" s="160"/>
      <c r="BD973" s="160"/>
      <c r="BE973" s="160"/>
      <c r="BF973" s="160"/>
      <c r="BG973" s="160"/>
      <c r="BH973" s="160"/>
      <c r="BI973" s="160"/>
      <c r="BJ973" s="160"/>
      <c r="BK973" s="160"/>
      <c r="BL973" s="160"/>
      <c r="BM973" s="160"/>
      <c r="BN973" s="160"/>
      <c r="BO973" s="160"/>
      <c r="BP973" s="160"/>
      <c r="BQ973" s="160"/>
      <c r="BR973" s="160"/>
      <c r="BS973" s="160"/>
      <c r="BT973" s="160"/>
      <c r="BU973" s="160"/>
      <c r="BV973" s="160"/>
      <c r="BW973" s="160"/>
      <c r="BX973" s="160"/>
      <c r="BY973" s="160"/>
      <c r="BZ973" s="160"/>
      <c r="CA973" s="160"/>
      <c r="CB973" s="160"/>
      <c r="CC973" s="160"/>
      <c r="CD973" s="160"/>
      <c r="CE973" s="160"/>
      <c r="CF973" s="160"/>
      <c r="CG973" s="160"/>
      <c r="CH973" s="160"/>
      <c r="CI973" s="160"/>
      <c r="CJ973" s="160"/>
      <c r="CK973" s="160"/>
      <c r="CL973" s="160"/>
    </row>
    <row r="974">
      <c r="A974" s="171"/>
      <c r="F974" s="11"/>
      <c r="G974" s="11"/>
      <c r="L974" s="171"/>
      <c r="M974" s="171"/>
      <c r="O974" s="160"/>
      <c r="P974" s="160"/>
      <c r="Q974" s="160"/>
      <c r="R974" s="160"/>
      <c r="S974" s="160"/>
      <c r="T974" s="207"/>
      <c r="U974" s="160"/>
      <c r="V974" s="160"/>
      <c r="W974" s="160"/>
      <c r="X974" s="160"/>
      <c r="Y974" s="160"/>
      <c r="Z974" s="160"/>
      <c r="AA974" s="160"/>
      <c r="AB974" s="160"/>
      <c r="AC974" s="160"/>
      <c r="AD974" s="160"/>
      <c r="AE974" s="160"/>
      <c r="AF974" s="160"/>
      <c r="AG974" s="160"/>
      <c r="AH974" s="160"/>
      <c r="AI974" s="160"/>
      <c r="AJ974" s="160"/>
      <c r="AK974" s="160"/>
      <c r="AL974" s="160"/>
      <c r="AM974" s="160"/>
      <c r="AN974" s="164"/>
      <c r="AO974" s="160"/>
      <c r="AP974" s="160"/>
      <c r="AQ974" s="160"/>
      <c r="AR974" s="160"/>
      <c r="AS974" s="160"/>
      <c r="AT974" s="160"/>
      <c r="AU974" s="160"/>
      <c r="AV974" s="160"/>
      <c r="AW974" s="160"/>
      <c r="AX974" s="160"/>
      <c r="AY974" s="160"/>
      <c r="AZ974" s="160"/>
      <c r="BA974" s="160"/>
      <c r="BB974" s="160"/>
      <c r="BC974" s="160"/>
      <c r="BD974" s="160"/>
      <c r="BE974" s="160"/>
      <c r="BF974" s="160"/>
      <c r="BG974" s="160"/>
      <c r="BH974" s="160"/>
      <c r="BI974" s="160"/>
      <c r="BJ974" s="160"/>
      <c r="BK974" s="160"/>
      <c r="BL974" s="160"/>
      <c r="BM974" s="160"/>
      <c r="BN974" s="160"/>
      <c r="BO974" s="160"/>
      <c r="BP974" s="160"/>
      <c r="BQ974" s="160"/>
      <c r="BR974" s="160"/>
      <c r="BS974" s="160"/>
      <c r="BT974" s="160"/>
      <c r="BU974" s="160"/>
      <c r="BV974" s="160"/>
      <c r="BW974" s="160"/>
      <c r="BX974" s="160"/>
      <c r="BY974" s="160"/>
      <c r="BZ974" s="160"/>
      <c r="CA974" s="160"/>
      <c r="CB974" s="160"/>
      <c r="CC974" s="160"/>
      <c r="CD974" s="160"/>
      <c r="CE974" s="160"/>
      <c r="CF974" s="160"/>
      <c r="CG974" s="160"/>
      <c r="CH974" s="160"/>
      <c r="CI974" s="160"/>
      <c r="CJ974" s="160"/>
      <c r="CK974" s="160"/>
      <c r="CL974" s="160"/>
    </row>
    <row r="975">
      <c r="A975" s="171"/>
      <c r="F975" s="11"/>
      <c r="G975" s="11"/>
      <c r="L975" s="171"/>
      <c r="M975" s="171"/>
      <c r="O975" s="160"/>
      <c r="P975" s="160"/>
      <c r="Q975" s="160"/>
      <c r="R975" s="160"/>
      <c r="S975" s="160"/>
      <c r="T975" s="207"/>
      <c r="U975" s="160"/>
      <c r="V975" s="160"/>
      <c r="W975" s="160"/>
      <c r="X975" s="160"/>
      <c r="Y975" s="160"/>
      <c r="Z975" s="160"/>
      <c r="AA975" s="160"/>
      <c r="AB975" s="160"/>
      <c r="AC975" s="160"/>
      <c r="AD975" s="160"/>
      <c r="AE975" s="160"/>
      <c r="AF975" s="160"/>
      <c r="AG975" s="160"/>
      <c r="AH975" s="160"/>
      <c r="AI975" s="160"/>
      <c r="AJ975" s="160"/>
      <c r="AK975" s="160"/>
      <c r="AL975" s="160"/>
      <c r="AM975" s="160"/>
      <c r="AN975" s="164"/>
      <c r="AO975" s="160"/>
      <c r="AP975" s="160"/>
      <c r="AQ975" s="160"/>
      <c r="AR975" s="160"/>
      <c r="AS975" s="160"/>
      <c r="AT975" s="160"/>
      <c r="AU975" s="160"/>
      <c r="AV975" s="160"/>
      <c r="AW975" s="160"/>
      <c r="AX975" s="160"/>
      <c r="AY975" s="160"/>
      <c r="AZ975" s="160"/>
      <c r="BA975" s="160"/>
      <c r="BB975" s="160"/>
      <c r="BC975" s="160"/>
      <c r="BD975" s="160"/>
      <c r="BE975" s="160"/>
      <c r="BF975" s="160"/>
      <c r="BG975" s="160"/>
      <c r="BH975" s="160"/>
      <c r="BI975" s="160"/>
      <c r="BJ975" s="160"/>
      <c r="BK975" s="160"/>
      <c r="BL975" s="160"/>
      <c r="BM975" s="160"/>
      <c r="BN975" s="160"/>
      <c r="BO975" s="160"/>
      <c r="BP975" s="160"/>
      <c r="BQ975" s="160"/>
      <c r="BR975" s="160"/>
      <c r="BS975" s="160"/>
      <c r="BT975" s="160"/>
      <c r="BU975" s="160"/>
      <c r="BV975" s="160"/>
      <c r="BW975" s="160"/>
      <c r="BX975" s="160"/>
      <c r="BY975" s="160"/>
      <c r="BZ975" s="160"/>
      <c r="CA975" s="160"/>
      <c r="CB975" s="160"/>
      <c r="CC975" s="160"/>
      <c r="CD975" s="160"/>
      <c r="CE975" s="160"/>
      <c r="CF975" s="160"/>
      <c r="CG975" s="160"/>
      <c r="CH975" s="160"/>
      <c r="CI975" s="160"/>
      <c r="CJ975" s="160"/>
      <c r="CK975" s="160"/>
      <c r="CL975" s="160"/>
    </row>
    <row r="976">
      <c r="A976" s="171"/>
      <c r="F976" s="11"/>
      <c r="G976" s="11"/>
      <c r="L976" s="171"/>
      <c r="M976" s="171"/>
      <c r="O976" s="160"/>
      <c r="P976" s="160"/>
      <c r="Q976" s="160"/>
      <c r="R976" s="160"/>
      <c r="S976" s="160"/>
      <c r="T976" s="207"/>
      <c r="U976" s="160"/>
      <c r="V976" s="160"/>
      <c r="W976" s="160"/>
      <c r="X976" s="160"/>
      <c r="Y976" s="160"/>
      <c r="Z976" s="160"/>
      <c r="AA976" s="160"/>
      <c r="AB976" s="160"/>
      <c r="AC976" s="160"/>
      <c r="AD976" s="160"/>
      <c r="AE976" s="160"/>
      <c r="AF976" s="160"/>
      <c r="AG976" s="160"/>
      <c r="AH976" s="160"/>
      <c r="AI976" s="160"/>
      <c r="AJ976" s="160"/>
      <c r="AK976" s="160"/>
      <c r="AL976" s="160"/>
      <c r="AM976" s="160"/>
      <c r="AN976" s="164"/>
      <c r="AO976" s="160"/>
      <c r="AP976" s="160"/>
      <c r="AQ976" s="160"/>
      <c r="AR976" s="160"/>
      <c r="AS976" s="160"/>
      <c r="AT976" s="160"/>
      <c r="AU976" s="160"/>
      <c r="AV976" s="160"/>
      <c r="AW976" s="160"/>
      <c r="AX976" s="160"/>
      <c r="AY976" s="160"/>
      <c r="AZ976" s="160"/>
      <c r="BA976" s="160"/>
      <c r="BB976" s="160"/>
      <c r="BC976" s="160"/>
      <c r="BD976" s="160"/>
      <c r="BE976" s="160"/>
      <c r="BF976" s="160"/>
      <c r="BG976" s="160"/>
      <c r="BH976" s="160"/>
      <c r="BI976" s="160"/>
      <c r="BJ976" s="160"/>
      <c r="BK976" s="160"/>
      <c r="BL976" s="160"/>
      <c r="BM976" s="160"/>
      <c r="BN976" s="160"/>
      <c r="BO976" s="160"/>
      <c r="BP976" s="160"/>
      <c r="BQ976" s="160"/>
      <c r="BR976" s="160"/>
      <c r="BS976" s="160"/>
      <c r="BT976" s="160"/>
      <c r="BU976" s="160"/>
      <c r="BV976" s="160"/>
      <c r="BW976" s="160"/>
      <c r="BX976" s="160"/>
      <c r="BY976" s="160"/>
      <c r="BZ976" s="160"/>
      <c r="CA976" s="160"/>
      <c r="CB976" s="160"/>
      <c r="CC976" s="160"/>
      <c r="CD976" s="160"/>
      <c r="CE976" s="160"/>
      <c r="CF976" s="160"/>
      <c r="CG976" s="160"/>
      <c r="CH976" s="160"/>
      <c r="CI976" s="160"/>
      <c r="CJ976" s="160"/>
      <c r="CK976" s="160"/>
      <c r="CL976" s="160"/>
    </row>
    <row r="977">
      <c r="A977" s="171"/>
      <c r="F977" s="11"/>
      <c r="G977" s="11"/>
      <c r="L977" s="171"/>
      <c r="M977" s="171"/>
      <c r="O977" s="160"/>
      <c r="P977" s="160"/>
      <c r="Q977" s="160"/>
      <c r="R977" s="160"/>
      <c r="S977" s="160"/>
      <c r="T977" s="207"/>
      <c r="U977" s="160"/>
      <c r="V977" s="160"/>
      <c r="W977" s="160"/>
      <c r="X977" s="160"/>
      <c r="Y977" s="160"/>
      <c r="Z977" s="160"/>
      <c r="AA977" s="160"/>
      <c r="AB977" s="160"/>
      <c r="AC977" s="160"/>
      <c r="AD977" s="160"/>
      <c r="AE977" s="160"/>
      <c r="AF977" s="160"/>
      <c r="AG977" s="160"/>
      <c r="AH977" s="160"/>
      <c r="AI977" s="160"/>
      <c r="AJ977" s="160"/>
      <c r="AK977" s="160"/>
      <c r="AL977" s="160"/>
      <c r="AM977" s="160"/>
      <c r="AN977" s="164"/>
      <c r="AO977" s="160"/>
      <c r="AP977" s="160"/>
      <c r="AQ977" s="160"/>
      <c r="AR977" s="160"/>
      <c r="AS977" s="160"/>
      <c r="AT977" s="160"/>
      <c r="AU977" s="160"/>
      <c r="AV977" s="160"/>
      <c r="AW977" s="160"/>
      <c r="AX977" s="160"/>
      <c r="AY977" s="160"/>
      <c r="AZ977" s="160"/>
      <c r="BA977" s="160"/>
      <c r="BB977" s="160"/>
      <c r="BC977" s="160"/>
      <c r="BD977" s="160"/>
      <c r="BE977" s="160"/>
      <c r="BF977" s="160"/>
      <c r="BG977" s="160"/>
      <c r="BH977" s="160"/>
      <c r="BI977" s="160"/>
      <c r="BJ977" s="160"/>
      <c r="BK977" s="160"/>
      <c r="BL977" s="160"/>
      <c r="BM977" s="160"/>
      <c r="BN977" s="160"/>
      <c r="BO977" s="160"/>
      <c r="BP977" s="160"/>
      <c r="BQ977" s="160"/>
      <c r="BR977" s="160"/>
      <c r="BS977" s="160"/>
      <c r="BT977" s="160"/>
      <c r="BU977" s="160"/>
      <c r="BV977" s="160"/>
      <c r="BW977" s="160"/>
      <c r="BX977" s="160"/>
      <c r="BY977" s="160"/>
      <c r="BZ977" s="160"/>
      <c r="CA977" s="160"/>
      <c r="CB977" s="160"/>
      <c r="CC977" s="160"/>
      <c r="CD977" s="160"/>
      <c r="CE977" s="160"/>
      <c r="CF977" s="160"/>
      <c r="CG977" s="160"/>
      <c r="CH977" s="160"/>
      <c r="CI977" s="160"/>
      <c r="CJ977" s="160"/>
      <c r="CK977" s="160"/>
      <c r="CL977" s="160"/>
    </row>
    <row r="978">
      <c r="A978" s="171"/>
      <c r="F978" s="11"/>
      <c r="G978" s="11"/>
      <c r="L978" s="171"/>
      <c r="M978" s="171"/>
      <c r="O978" s="160"/>
      <c r="P978" s="160"/>
      <c r="Q978" s="160"/>
      <c r="R978" s="160"/>
      <c r="S978" s="160"/>
      <c r="T978" s="207"/>
      <c r="U978" s="160"/>
      <c r="V978" s="160"/>
      <c r="W978" s="160"/>
      <c r="X978" s="160"/>
      <c r="Y978" s="160"/>
      <c r="Z978" s="160"/>
      <c r="AA978" s="160"/>
      <c r="AB978" s="160"/>
      <c r="AC978" s="160"/>
      <c r="AD978" s="160"/>
      <c r="AE978" s="160"/>
      <c r="AF978" s="160"/>
      <c r="AG978" s="160"/>
      <c r="AH978" s="160"/>
      <c r="AI978" s="160"/>
      <c r="AJ978" s="160"/>
      <c r="AK978" s="160"/>
      <c r="AL978" s="160"/>
      <c r="AM978" s="160"/>
      <c r="AN978" s="164"/>
      <c r="AO978" s="160"/>
      <c r="AP978" s="160"/>
      <c r="AQ978" s="160"/>
      <c r="AR978" s="160"/>
      <c r="AS978" s="160"/>
      <c r="AT978" s="160"/>
      <c r="AU978" s="160"/>
      <c r="AV978" s="160"/>
      <c r="AW978" s="160"/>
      <c r="AX978" s="160"/>
      <c r="AY978" s="160"/>
      <c r="AZ978" s="160"/>
      <c r="BA978" s="160"/>
      <c r="BB978" s="160"/>
      <c r="BC978" s="160"/>
      <c r="BD978" s="160"/>
      <c r="BE978" s="160"/>
      <c r="BF978" s="160"/>
      <c r="BG978" s="160"/>
      <c r="BH978" s="160"/>
      <c r="BI978" s="160"/>
      <c r="BJ978" s="160"/>
      <c r="BK978" s="160"/>
      <c r="BL978" s="160"/>
      <c r="BM978" s="160"/>
      <c r="BN978" s="160"/>
      <c r="BO978" s="160"/>
      <c r="BP978" s="160"/>
      <c r="BQ978" s="160"/>
      <c r="BR978" s="160"/>
      <c r="BS978" s="160"/>
      <c r="BT978" s="160"/>
      <c r="BU978" s="160"/>
      <c r="BV978" s="160"/>
      <c r="BW978" s="160"/>
      <c r="BX978" s="160"/>
      <c r="BY978" s="160"/>
      <c r="BZ978" s="160"/>
      <c r="CA978" s="160"/>
      <c r="CB978" s="160"/>
      <c r="CC978" s="160"/>
      <c r="CD978" s="160"/>
      <c r="CE978" s="160"/>
      <c r="CF978" s="160"/>
      <c r="CG978" s="160"/>
      <c r="CH978" s="160"/>
      <c r="CI978" s="160"/>
      <c r="CJ978" s="160"/>
      <c r="CK978" s="160"/>
      <c r="CL978" s="160"/>
    </row>
    <row r="979">
      <c r="A979" s="171"/>
      <c r="F979" s="11"/>
      <c r="G979" s="11"/>
      <c r="L979" s="171"/>
      <c r="M979" s="171"/>
      <c r="O979" s="160"/>
      <c r="P979" s="160"/>
      <c r="Q979" s="160"/>
      <c r="R979" s="160"/>
      <c r="S979" s="160"/>
      <c r="T979" s="207"/>
      <c r="U979" s="160"/>
      <c r="V979" s="160"/>
      <c r="W979" s="160"/>
      <c r="X979" s="160"/>
      <c r="Y979" s="160"/>
      <c r="Z979" s="160"/>
      <c r="AA979" s="160"/>
      <c r="AB979" s="160"/>
      <c r="AC979" s="160"/>
      <c r="AD979" s="160"/>
      <c r="AE979" s="160"/>
      <c r="AF979" s="160"/>
      <c r="AG979" s="160"/>
      <c r="AH979" s="160"/>
      <c r="AI979" s="160"/>
      <c r="AJ979" s="160"/>
      <c r="AK979" s="160"/>
      <c r="AL979" s="160"/>
      <c r="AM979" s="160"/>
      <c r="AN979" s="164"/>
      <c r="AO979" s="160"/>
      <c r="AP979" s="160"/>
      <c r="AQ979" s="160"/>
      <c r="AR979" s="160"/>
      <c r="AS979" s="160"/>
      <c r="AT979" s="160"/>
      <c r="AU979" s="160"/>
      <c r="AV979" s="160"/>
      <c r="AW979" s="160"/>
      <c r="AX979" s="160"/>
      <c r="AY979" s="160"/>
      <c r="AZ979" s="160"/>
      <c r="BA979" s="160"/>
      <c r="BB979" s="160"/>
      <c r="BC979" s="160"/>
      <c r="BD979" s="160"/>
      <c r="BE979" s="160"/>
      <c r="BF979" s="160"/>
      <c r="BG979" s="160"/>
      <c r="BH979" s="160"/>
      <c r="BI979" s="160"/>
      <c r="BJ979" s="160"/>
      <c r="BK979" s="160"/>
      <c r="BL979" s="160"/>
      <c r="BM979" s="160"/>
      <c r="BN979" s="160"/>
      <c r="BO979" s="160"/>
      <c r="BP979" s="160"/>
      <c r="BQ979" s="160"/>
      <c r="BR979" s="160"/>
      <c r="BS979" s="160"/>
      <c r="BT979" s="160"/>
      <c r="BU979" s="160"/>
      <c r="BV979" s="160"/>
      <c r="BW979" s="160"/>
      <c r="BX979" s="160"/>
      <c r="BY979" s="160"/>
      <c r="BZ979" s="160"/>
      <c r="CA979" s="160"/>
      <c r="CB979" s="160"/>
      <c r="CC979" s="160"/>
      <c r="CD979" s="160"/>
      <c r="CE979" s="160"/>
      <c r="CF979" s="160"/>
      <c r="CG979" s="160"/>
      <c r="CH979" s="160"/>
      <c r="CI979" s="160"/>
      <c r="CJ979" s="160"/>
      <c r="CK979" s="160"/>
      <c r="CL979" s="160"/>
    </row>
    <row r="980">
      <c r="A980" s="171"/>
      <c r="F980" s="11"/>
      <c r="G980" s="11"/>
      <c r="L980" s="171"/>
      <c r="M980" s="171"/>
      <c r="O980" s="160"/>
      <c r="P980" s="160"/>
      <c r="Q980" s="160"/>
      <c r="R980" s="160"/>
      <c r="S980" s="160"/>
      <c r="T980" s="207"/>
      <c r="U980" s="160"/>
      <c r="V980" s="160"/>
      <c r="W980" s="160"/>
      <c r="X980" s="160"/>
      <c r="Y980" s="160"/>
      <c r="Z980" s="160"/>
      <c r="AA980" s="160"/>
      <c r="AB980" s="160"/>
      <c r="AC980" s="160"/>
      <c r="AD980" s="160"/>
      <c r="AE980" s="160"/>
      <c r="AF980" s="160"/>
      <c r="AG980" s="160"/>
      <c r="AH980" s="160"/>
      <c r="AI980" s="160"/>
      <c r="AJ980" s="160"/>
      <c r="AK980" s="160"/>
      <c r="AL980" s="160"/>
      <c r="AM980" s="160"/>
      <c r="AN980" s="164"/>
      <c r="AO980" s="160"/>
      <c r="AP980" s="160"/>
      <c r="AQ980" s="160"/>
      <c r="AR980" s="160"/>
      <c r="AS980" s="160"/>
      <c r="AT980" s="160"/>
      <c r="AU980" s="160"/>
      <c r="AV980" s="160"/>
      <c r="AW980" s="160"/>
      <c r="AX980" s="160"/>
      <c r="AY980" s="160"/>
      <c r="AZ980" s="160"/>
      <c r="BA980" s="160"/>
      <c r="BB980" s="160"/>
      <c r="BC980" s="160"/>
      <c r="BD980" s="160"/>
      <c r="BE980" s="160"/>
      <c r="BF980" s="160"/>
      <c r="BG980" s="160"/>
      <c r="BH980" s="160"/>
      <c r="BI980" s="160"/>
      <c r="BJ980" s="160"/>
      <c r="BK980" s="160"/>
      <c r="BL980" s="160"/>
      <c r="BM980" s="160"/>
      <c r="BN980" s="160"/>
      <c r="BO980" s="160"/>
      <c r="BP980" s="160"/>
      <c r="BQ980" s="160"/>
      <c r="BR980" s="160"/>
      <c r="BS980" s="160"/>
      <c r="BT980" s="160"/>
      <c r="BU980" s="160"/>
      <c r="BV980" s="160"/>
      <c r="BW980" s="160"/>
      <c r="BX980" s="160"/>
      <c r="BY980" s="160"/>
      <c r="BZ980" s="160"/>
      <c r="CA980" s="160"/>
      <c r="CB980" s="160"/>
      <c r="CC980" s="160"/>
      <c r="CD980" s="160"/>
      <c r="CE980" s="160"/>
      <c r="CF980" s="160"/>
      <c r="CG980" s="160"/>
      <c r="CH980" s="160"/>
      <c r="CI980" s="160"/>
      <c r="CJ980" s="160"/>
      <c r="CK980" s="160"/>
      <c r="CL980" s="160"/>
    </row>
    <row r="981">
      <c r="A981" s="171"/>
      <c r="F981" s="11"/>
      <c r="G981" s="11"/>
      <c r="L981" s="171"/>
      <c r="M981" s="171"/>
      <c r="O981" s="160"/>
      <c r="P981" s="160"/>
      <c r="Q981" s="160"/>
      <c r="R981" s="160"/>
      <c r="S981" s="160"/>
      <c r="T981" s="207"/>
      <c r="U981" s="160"/>
      <c r="V981" s="160"/>
      <c r="W981" s="160"/>
      <c r="X981" s="160"/>
      <c r="Y981" s="160"/>
      <c r="Z981" s="160"/>
      <c r="AA981" s="160"/>
      <c r="AB981" s="160"/>
      <c r="AC981" s="160"/>
      <c r="AD981" s="160"/>
      <c r="AE981" s="160"/>
      <c r="AF981" s="160"/>
      <c r="AG981" s="160"/>
      <c r="AH981" s="160"/>
      <c r="AI981" s="160"/>
      <c r="AJ981" s="160"/>
      <c r="AK981" s="160"/>
      <c r="AL981" s="160"/>
      <c r="AM981" s="160"/>
      <c r="AN981" s="164"/>
      <c r="AO981" s="160"/>
      <c r="AP981" s="160"/>
      <c r="AQ981" s="160"/>
      <c r="AR981" s="160"/>
      <c r="AS981" s="160"/>
      <c r="AT981" s="160"/>
      <c r="AU981" s="160"/>
      <c r="AV981" s="160"/>
      <c r="AW981" s="160"/>
      <c r="AX981" s="160"/>
      <c r="AY981" s="160"/>
      <c r="AZ981" s="160"/>
      <c r="BA981" s="160"/>
      <c r="BB981" s="160"/>
      <c r="BC981" s="160"/>
      <c r="BD981" s="160"/>
      <c r="BE981" s="160"/>
      <c r="BF981" s="160"/>
      <c r="BG981" s="160"/>
      <c r="BH981" s="160"/>
      <c r="BI981" s="160"/>
      <c r="BJ981" s="160"/>
      <c r="BK981" s="160"/>
      <c r="BL981" s="160"/>
      <c r="BM981" s="160"/>
      <c r="BN981" s="160"/>
      <c r="BO981" s="160"/>
      <c r="BP981" s="160"/>
      <c r="BQ981" s="160"/>
      <c r="BR981" s="160"/>
      <c r="BS981" s="160"/>
      <c r="BT981" s="160"/>
      <c r="BU981" s="160"/>
      <c r="BV981" s="160"/>
      <c r="BW981" s="160"/>
      <c r="BX981" s="160"/>
      <c r="BY981" s="160"/>
      <c r="BZ981" s="160"/>
      <c r="CA981" s="160"/>
      <c r="CB981" s="160"/>
      <c r="CC981" s="160"/>
      <c r="CD981" s="160"/>
      <c r="CE981" s="160"/>
      <c r="CF981" s="160"/>
      <c r="CG981" s="160"/>
      <c r="CH981" s="160"/>
      <c r="CI981" s="160"/>
      <c r="CJ981" s="160"/>
      <c r="CK981" s="160"/>
      <c r="CL981" s="160"/>
    </row>
    <row r="982">
      <c r="A982" s="171"/>
      <c r="F982" s="11"/>
      <c r="G982" s="11"/>
      <c r="L982" s="171"/>
      <c r="M982" s="171"/>
      <c r="O982" s="160"/>
      <c r="P982" s="160"/>
      <c r="Q982" s="160"/>
      <c r="R982" s="160"/>
      <c r="S982" s="160"/>
      <c r="T982" s="207"/>
      <c r="U982" s="160"/>
      <c r="V982" s="160"/>
      <c r="W982" s="160"/>
      <c r="X982" s="160"/>
      <c r="Y982" s="160"/>
      <c r="Z982" s="160"/>
      <c r="AA982" s="160"/>
      <c r="AB982" s="160"/>
      <c r="AC982" s="160"/>
      <c r="AD982" s="160"/>
      <c r="AE982" s="160"/>
      <c r="AF982" s="160"/>
      <c r="AG982" s="160"/>
      <c r="AH982" s="160"/>
      <c r="AI982" s="160"/>
      <c r="AJ982" s="160"/>
      <c r="AK982" s="160"/>
      <c r="AL982" s="160"/>
      <c r="AM982" s="160"/>
      <c r="AN982" s="164"/>
      <c r="AO982" s="160"/>
      <c r="AP982" s="160"/>
      <c r="AQ982" s="160"/>
      <c r="AR982" s="160"/>
      <c r="AS982" s="160"/>
      <c r="AT982" s="160"/>
      <c r="AU982" s="160"/>
      <c r="AV982" s="160"/>
      <c r="AW982" s="160"/>
      <c r="AX982" s="160"/>
      <c r="AY982" s="160"/>
      <c r="AZ982" s="160"/>
      <c r="BA982" s="160"/>
      <c r="BB982" s="160"/>
      <c r="BC982" s="160"/>
      <c r="BD982" s="160"/>
      <c r="BE982" s="160"/>
      <c r="BF982" s="160"/>
      <c r="BG982" s="160"/>
      <c r="BH982" s="160"/>
      <c r="BI982" s="160"/>
      <c r="BJ982" s="160"/>
      <c r="BK982" s="160"/>
      <c r="BL982" s="160"/>
      <c r="BM982" s="160"/>
      <c r="BN982" s="160"/>
      <c r="BO982" s="160"/>
      <c r="BP982" s="160"/>
      <c r="BQ982" s="160"/>
      <c r="BR982" s="160"/>
      <c r="BS982" s="160"/>
      <c r="BT982" s="160"/>
      <c r="BU982" s="160"/>
      <c r="BV982" s="160"/>
      <c r="BW982" s="160"/>
      <c r="BX982" s="160"/>
      <c r="BY982" s="160"/>
      <c r="BZ982" s="160"/>
      <c r="CA982" s="160"/>
      <c r="CB982" s="160"/>
      <c r="CC982" s="160"/>
      <c r="CD982" s="160"/>
      <c r="CE982" s="160"/>
      <c r="CF982" s="160"/>
      <c r="CG982" s="160"/>
      <c r="CH982" s="160"/>
      <c r="CI982" s="160"/>
      <c r="CJ982" s="160"/>
      <c r="CK982" s="160"/>
      <c r="CL982" s="160"/>
    </row>
    <row r="983">
      <c r="A983" s="171"/>
      <c r="F983" s="11"/>
      <c r="G983" s="11"/>
      <c r="L983" s="171"/>
      <c r="M983" s="171"/>
      <c r="O983" s="160"/>
      <c r="P983" s="160"/>
      <c r="Q983" s="160"/>
      <c r="R983" s="160"/>
      <c r="S983" s="160"/>
      <c r="T983" s="207"/>
      <c r="U983" s="160"/>
      <c r="V983" s="160"/>
      <c r="W983" s="160"/>
      <c r="X983" s="160"/>
      <c r="Y983" s="160"/>
      <c r="Z983" s="160"/>
      <c r="AA983" s="160"/>
      <c r="AB983" s="160"/>
      <c r="AC983" s="160"/>
      <c r="AD983" s="160"/>
      <c r="AE983" s="160"/>
      <c r="AF983" s="160"/>
      <c r="AG983" s="160"/>
      <c r="AH983" s="160"/>
      <c r="AI983" s="160"/>
      <c r="AJ983" s="160"/>
      <c r="AK983" s="160"/>
      <c r="AL983" s="160"/>
      <c r="AM983" s="160"/>
      <c r="AN983" s="164"/>
      <c r="AO983" s="160"/>
      <c r="AP983" s="160"/>
      <c r="AQ983" s="160"/>
      <c r="AR983" s="160"/>
      <c r="AS983" s="160"/>
      <c r="AT983" s="160"/>
      <c r="AU983" s="160"/>
      <c r="AV983" s="160"/>
      <c r="AW983" s="160"/>
      <c r="AX983" s="160"/>
      <c r="AY983" s="160"/>
      <c r="AZ983" s="160"/>
      <c r="BA983" s="160"/>
      <c r="BB983" s="160"/>
      <c r="BC983" s="160"/>
      <c r="BD983" s="160"/>
      <c r="BE983" s="160"/>
      <c r="BF983" s="160"/>
      <c r="BG983" s="160"/>
      <c r="BH983" s="160"/>
      <c r="BI983" s="160"/>
      <c r="BJ983" s="160"/>
      <c r="BK983" s="160"/>
      <c r="BL983" s="160"/>
      <c r="BM983" s="160"/>
      <c r="BN983" s="160"/>
      <c r="BO983" s="160"/>
      <c r="BP983" s="160"/>
      <c r="BQ983" s="160"/>
      <c r="BR983" s="160"/>
      <c r="BS983" s="160"/>
      <c r="BT983" s="160"/>
      <c r="BU983" s="160"/>
      <c r="BV983" s="160"/>
      <c r="BW983" s="160"/>
      <c r="BX983" s="160"/>
      <c r="BY983" s="160"/>
      <c r="BZ983" s="160"/>
      <c r="CA983" s="160"/>
      <c r="CB983" s="160"/>
      <c r="CC983" s="160"/>
      <c r="CD983" s="160"/>
      <c r="CE983" s="160"/>
      <c r="CF983" s="160"/>
      <c r="CG983" s="160"/>
      <c r="CH983" s="160"/>
      <c r="CI983" s="160"/>
      <c r="CJ983" s="160"/>
      <c r="CK983" s="160"/>
      <c r="CL983" s="160"/>
    </row>
    <row r="984">
      <c r="A984" s="171"/>
      <c r="F984" s="11"/>
      <c r="G984" s="11"/>
      <c r="L984" s="171"/>
      <c r="M984" s="171"/>
      <c r="O984" s="160"/>
      <c r="P984" s="160"/>
      <c r="Q984" s="160"/>
      <c r="R984" s="160"/>
      <c r="S984" s="160"/>
      <c r="T984" s="207"/>
      <c r="U984" s="160"/>
      <c r="V984" s="160"/>
      <c r="W984" s="160"/>
      <c r="X984" s="160"/>
      <c r="Y984" s="160"/>
      <c r="Z984" s="160"/>
      <c r="AA984" s="160"/>
      <c r="AB984" s="160"/>
      <c r="AC984" s="160"/>
      <c r="AD984" s="160"/>
      <c r="AE984" s="160"/>
      <c r="AF984" s="160"/>
      <c r="AG984" s="160"/>
      <c r="AH984" s="160"/>
      <c r="AI984" s="160"/>
      <c r="AJ984" s="160"/>
      <c r="AK984" s="160"/>
      <c r="AL984" s="160"/>
      <c r="AM984" s="160"/>
      <c r="AN984" s="164"/>
      <c r="AO984" s="160"/>
      <c r="AP984" s="160"/>
      <c r="AQ984" s="160"/>
      <c r="AR984" s="160"/>
      <c r="AS984" s="160"/>
      <c r="AT984" s="160"/>
      <c r="AU984" s="160"/>
      <c r="AV984" s="160"/>
      <c r="AW984" s="160"/>
      <c r="AX984" s="160"/>
      <c r="AY984" s="160"/>
      <c r="AZ984" s="160"/>
      <c r="BA984" s="160"/>
      <c r="BB984" s="160"/>
      <c r="BC984" s="160"/>
      <c r="BD984" s="160"/>
      <c r="BE984" s="160"/>
      <c r="BF984" s="160"/>
      <c r="BG984" s="160"/>
      <c r="BH984" s="160"/>
      <c r="BI984" s="160"/>
      <c r="BJ984" s="160"/>
      <c r="BK984" s="160"/>
      <c r="BL984" s="160"/>
      <c r="BM984" s="160"/>
      <c r="BN984" s="160"/>
      <c r="BO984" s="160"/>
      <c r="BP984" s="160"/>
      <c r="BQ984" s="160"/>
      <c r="BR984" s="160"/>
      <c r="BS984" s="160"/>
      <c r="BT984" s="160"/>
      <c r="BU984" s="160"/>
      <c r="BV984" s="160"/>
      <c r="BW984" s="160"/>
      <c r="BX984" s="160"/>
      <c r="BY984" s="160"/>
      <c r="BZ984" s="160"/>
      <c r="CA984" s="160"/>
      <c r="CB984" s="160"/>
      <c r="CC984" s="160"/>
      <c r="CD984" s="160"/>
      <c r="CE984" s="160"/>
      <c r="CF984" s="160"/>
      <c r="CG984" s="160"/>
      <c r="CH984" s="160"/>
      <c r="CI984" s="160"/>
      <c r="CJ984" s="160"/>
      <c r="CK984" s="160"/>
      <c r="CL984" s="160"/>
    </row>
    <row r="985">
      <c r="A985" s="171"/>
      <c r="F985" s="11"/>
      <c r="G985" s="11"/>
      <c r="L985" s="171"/>
      <c r="M985" s="171"/>
      <c r="O985" s="160"/>
      <c r="P985" s="160"/>
      <c r="Q985" s="160"/>
      <c r="R985" s="160"/>
      <c r="S985" s="160"/>
      <c r="T985" s="207"/>
      <c r="U985" s="160"/>
      <c r="V985" s="160"/>
      <c r="W985" s="160"/>
      <c r="X985" s="160"/>
      <c r="Y985" s="160"/>
      <c r="Z985" s="160"/>
      <c r="AA985" s="160"/>
      <c r="AB985" s="160"/>
      <c r="AC985" s="160"/>
      <c r="AD985" s="160"/>
      <c r="AE985" s="160"/>
      <c r="AF985" s="160"/>
      <c r="AG985" s="160"/>
      <c r="AH985" s="160"/>
      <c r="AI985" s="160"/>
      <c r="AJ985" s="160"/>
      <c r="AK985" s="160"/>
      <c r="AL985" s="160"/>
      <c r="AM985" s="160"/>
      <c r="AN985" s="164"/>
      <c r="AO985" s="160"/>
      <c r="AP985" s="160"/>
      <c r="AQ985" s="160"/>
      <c r="AR985" s="160"/>
      <c r="AS985" s="160"/>
      <c r="AT985" s="160"/>
      <c r="AU985" s="160"/>
      <c r="AV985" s="160"/>
      <c r="AW985" s="160"/>
      <c r="AX985" s="160"/>
      <c r="AY985" s="160"/>
      <c r="AZ985" s="160"/>
      <c r="BA985" s="160"/>
      <c r="BB985" s="160"/>
      <c r="BC985" s="160"/>
      <c r="BD985" s="160"/>
      <c r="BE985" s="160"/>
      <c r="BF985" s="160"/>
      <c r="BG985" s="160"/>
      <c r="BH985" s="160"/>
      <c r="BI985" s="160"/>
      <c r="BJ985" s="160"/>
      <c r="BK985" s="160"/>
      <c r="BL985" s="160"/>
      <c r="BM985" s="160"/>
      <c r="BN985" s="160"/>
      <c r="BO985" s="160"/>
      <c r="BP985" s="160"/>
      <c r="BQ985" s="160"/>
      <c r="BR985" s="160"/>
      <c r="BS985" s="160"/>
      <c r="BT985" s="160"/>
      <c r="BU985" s="160"/>
      <c r="BV985" s="160"/>
      <c r="BW985" s="160"/>
      <c r="BX985" s="160"/>
      <c r="BY985" s="160"/>
      <c r="BZ985" s="160"/>
      <c r="CA985" s="160"/>
      <c r="CB985" s="160"/>
      <c r="CC985" s="160"/>
      <c r="CD985" s="160"/>
      <c r="CE985" s="160"/>
      <c r="CF985" s="160"/>
      <c r="CG985" s="160"/>
      <c r="CH985" s="160"/>
      <c r="CI985" s="160"/>
      <c r="CJ985" s="160"/>
      <c r="CK985" s="160"/>
      <c r="CL985" s="160"/>
    </row>
    <row r="986">
      <c r="A986" s="171"/>
      <c r="F986" s="11"/>
      <c r="G986" s="11"/>
      <c r="L986" s="171"/>
      <c r="M986" s="171"/>
      <c r="O986" s="160"/>
      <c r="P986" s="160"/>
      <c r="Q986" s="160"/>
      <c r="R986" s="160"/>
      <c r="S986" s="160"/>
      <c r="T986" s="207"/>
      <c r="U986" s="160"/>
      <c r="V986" s="160"/>
      <c r="W986" s="160"/>
      <c r="X986" s="160"/>
      <c r="Y986" s="160"/>
      <c r="Z986" s="160"/>
      <c r="AA986" s="160"/>
      <c r="AB986" s="160"/>
      <c r="AC986" s="160"/>
      <c r="AD986" s="160"/>
      <c r="AE986" s="160"/>
      <c r="AF986" s="160"/>
      <c r="AG986" s="160"/>
      <c r="AH986" s="160"/>
      <c r="AI986" s="160"/>
      <c r="AJ986" s="160"/>
      <c r="AK986" s="160"/>
      <c r="AL986" s="160"/>
      <c r="AM986" s="160"/>
      <c r="AN986" s="164"/>
      <c r="AO986" s="160"/>
      <c r="AP986" s="160"/>
      <c r="AQ986" s="160"/>
      <c r="AR986" s="160"/>
      <c r="AS986" s="160"/>
      <c r="AT986" s="160"/>
      <c r="AU986" s="160"/>
      <c r="AV986" s="160"/>
      <c r="AW986" s="160"/>
      <c r="AX986" s="160"/>
      <c r="AY986" s="160"/>
      <c r="AZ986" s="160"/>
      <c r="BA986" s="160"/>
      <c r="BB986" s="160"/>
      <c r="BC986" s="160"/>
      <c r="BD986" s="160"/>
      <c r="BE986" s="160"/>
      <c r="BF986" s="160"/>
      <c r="BG986" s="160"/>
      <c r="BH986" s="160"/>
      <c r="BI986" s="160"/>
      <c r="BJ986" s="160"/>
      <c r="BK986" s="160"/>
      <c r="BL986" s="160"/>
      <c r="BM986" s="160"/>
      <c r="BN986" s="160"/>
      <c r="BO986" s="160"/>
      <c r="BP986" s="160"/>
      <c r="BQ986" s="160"/>
      <c r="BR986" s="160"/>
      <c r="BS986" s="160"/>
      <c r="BT986" s="160"/>
      <c r="BU986" s="160"/>
      <c r="BV986" s="160"/>
      <c r="BW986" s="160"/>
      <c r="BX986" s="160"/>
      <c r="BY986" s="160"/>
      <c r="BZ986" s="160"/>
      <c r="CA986" s="160"/>
      <c r="CB986" s="160"/>
      <c r="CC986" s="160"/>
      <c r="CD986" s="160"/>
      <c r="CE986" s="160"/>
      <c r="CF986" s="160"/>
      <c r="CG986" s="160"/>
      <c r="CH986" s="160"/>
      <c r="CI986" s="160"/>
      <c r="CJ986" s="160"/>
      <c r="CK986" s="160"/>
      <c r="CL986" s="160"/>
    </row>
    <row r="987">
      <c r="A987" s="171"/>
      <c r="F987" s="11"/>
      <c r="G987" s="11"/>
      <c r="L987" s="171"/>
      <c r="M987" s="171"/>
      <c r="O987" s="160"/>
      <c r="P987" s="160"/>
      <c r="Q987" s="160"/>
      <c r="R987" s="160"/>
      <c r="S987" s="160"/>
      <c r="T987" s="207"/>
      <c r="U987" s="160"/>
      <c r="V987" s="160"/>
      <c r="W987" s="160"/>
      <c r="X987" s="160"/>
      <c r="Y987" s="160"/>
      <c r="Z987" s="160"/>
      <c r="AA987" s="160"/>
      <c r="AB987" s="160"/>
      <c r="AC987" s="160"/>
      <c r="AD987" s="160"/>
      <c r="AE987" s="160"/>
      <c r="AF987" s="160"/>
      <c r="AG987" s="160"/>
      <c r="AH987" s="160"/>
      <c r="AI987" s="160"/>
      <c r="AJ987" s="160"/>
      <c r="AK987" s="160"/>
      <c r="AL987" s="160"/>
      <c r="AM987" s="160"/>
      <c r="AN987" s="164"/>
      <c r="AO987" s="160"/>
      <c r="AP987" s="160"/>
      <c r="AQ987" s="160"/>
      <c r="AR987" s="160"/>
      <c r="AS987" s="160"/>
      <c r="AT987" s="160"/>
      <c r="AU987" s="160"/>
      <c r="AV987" s="160"/>
      <c r="AW987" s="160"/>
      <c r="AX987" s="160"/>
      <c r="AY987" s="160"/>
      <c r="AZ987" s="160"/>
      <c r="BA987" s="160"/>
      <c r="BB987" s="160"/>
      <c r="BC987" s="160"/>
      <c r="BD987" s="160"/>
      <c r="BE987" s="160"/>
      <c r="BF987" s="160"/>
      <c r="BG987" s="160"/>
      <c r="BH987" s="160"/>
      <c r="BI987" s="160"/>
      <c r="BJ987" s="160"/>
      <c r="BK987" s="160"/>
      <c r="BL987" s="160"/>
      <c r="BM987" s="160"/>
      <c r="BN987" s="160"/>
      <c r="BO987" s="160"/>
      <c r="BP987" s="160"/>
      <c r="BQ987" s="160"/>
      <c r="BR987" s="160"/>
      <c r="BS987" s="160"/>
      <c r="BT987" s="160"/>
      <c r="BU987" s="160"/>
      <c r="BV987" s="160"/>
      <c r="BW987" s="160"/>
      <c r="BX987" s="160"/>
      <c r="BY987" s="160"/>
      <c r="BZ987" s="160"/>
      <c r="CA987" s="160"/>
      <c r="CB987" s="160"/>
      <c r="CC987" s="160"/>
      <c r="CD987" s="160"/>
      <c r="CE987" s="160"/>
      <c r="CF987" s="160"/>
      <c r="CG987" s="160"/>
      <c r="CH987" s="160"/>
      <c r="CI987" s="160"/>
      <c r="CJ987" s="160"/>
      <c r="CK987" s="160"/>
      <c r="CL987" s="160"/>
    </row>
    <row r="988">
      <c r="A988" s="171"/>
      <c r="F988" s="11"/>
      <c r="G988" s="11"/>
      <c r="L988" s="171"/>
      <c r="M988" s="171"/>
      <c r="O988" s="160"/>
      <c r="P988" s="160"/>
      <c r="Q988" s="160"/>
      <c r="R988" s="160"/>
      <c r="S988" s="160"/>
      <c r="T988" s="207"/>
      <c r="U988" s="160"/>
      <c r="V988" s="160"/>
      <c r="W988" s="160"/>
      <c r="X988" s="160"/>
      <c r="Y988" s="160"/>
      <c r="Z988" s="160"/>
      <c r="AA988" s="160"/>
      <c r="AB988" s="160"/>
      <c r="AC988" s="160"/>
      <c r="AD988" s="160"/>
      <c r="AE988" s="160"/>
      <c r="AF988" s="160"/>
      <c r="AG988" s="160"/>
      <c r="AH988" s="160"/>
      <c r="AI988" s="160"/>
      <c r="AJ988" s="160"/>
      <c r="AK988" s="160"/>
      <c r="AL988" s="160"/>
      <c r="AM988" s="160"/>
      <c r="AN988" s="164"/>
      <c r="AO988" s="160"/>
      <c r="AP988" s="160"/>
      <c r="AQ988" s="160"/>
      <c r="AR988" s="160"/>
      <c r="AS988" s="160"/>
      <c r="AT988" s="160"/>
      <c r="AU988" s="160"/>
      <c r="AV988" s="160"/>
      <c r="AW988" s="160"/>
      <c r="AX988" s="160"/>
      <c r="AY988" s="160"/>
      <c r="AZ988" s="160"/>
      <c r="BA988" s="160"/>
      <c r="BB988" s="160"/>
      <c r="BC988" s="160"/>
      <c r="BD988" s="160"/>
      <c r="BE988" s="160"/>
      <c r="BF988" s="160"/>
      <c r="BG988" s="160"/>
      <c r="BH988" s="160"/>
      <c r="BI988" s="160"/>
      <c r="BJ988" s="160"/>
      <c r="BK988" s="160"/>
      <c r="BL988" s="160"/>
      <c r="BM988" s="160"/>
      <c r="BN988" s="160"/>
      <c r="BO988" s="160"/>
      <c r="BP988" s="160"/>
      <c r="BQ988" s="160"/>
      <c r="BR988" s="160"/>
      <c r="BS988" s="160"/>
      <c r="BT988" s="160"/>
      <c r="BU988" s="160"/>
      <c r="BV988" s="160"/>
      <c r="BW988" s="160"/>
      <c r="BX988" s="160"/>
      <c r="BY988" s="160"/>
      <c r="BZ988" s="160"/>
      <c r="CA988" s="160"/>
      <c r="CB988" s="160"/>
      <c r="CC988" s="160"/>
      <c r="CD988" s="160"/>
      <c r="CE988" s="160"/>
      <c r="CF988" s="160"/>
      <c r="CG988" s="160"/>
      <c r="CH988" s="160"/>
      <c r="CI988" s="160"/>
      <c r="CJ988" s="160"/>
      <c r="CK988" s="160"/>
      <c r="CL988" s="160"/>
    </row>
    <row r="989">
      <c r="A989" s="171"/>
      <c r="F989" s="11"/>
      <c r="G989" s="11"/>
      <c r="L989" s="171"/>
      <c r="M989" s="171"/>
      <c r="O989" s="160"/>
      <c r="P989" s="160"/>
      <c r="Q989" s="160"/>
      <c r="R989" s="160"/>
      <c r="S989" s="160"/>
      <c r="T989" s="207"/>
      <c r="U989" s="160"/>
      <c r="V989" s="160"/>
      <c r="W989" s="160"/>
      <c r="X989" s="160"/>
      <c r="Y989" s="160"/>
      <c r="Z989" s="160"/>
      <c r="AA989" s="160"/>
      <c r="AB989" s="160"/>
      <c r="AC989" s="160"/>
      <c r="AD989" s="160"/>
      <c r="AE989" s="160"/>
      <c r="AF989" s="160"/>
      <c r="AG989" s="160"/>
      <c r="AH989" s="160"/>
      <c r="AI989" s="160"/>
      <c r="AJ989" s="160"/>
      <c r="AK989" s="160"/>
      <c r="AL989" s="160"/>
      <c r="AM989" s="160"/>
      <c r="AN989" s="164"/>
      <c r="AO989" s="160"/>
      <c r="AP989" s="160"/>
      <c r="AQ989" s="160"/>
      <c r="AR989" s="160"/>
      <c r="AS989" s="160"/>
      <c r="AT989" s="160"/>
      <c r="AU989" s="160"/>
      <c r="AV989" s="160"/>
      <c r="AW989" s="160"/>
      <c r="AX989" s="160"/>
      <c r="AY989" s="160"/>
      <c r="AZ989" s="160"/>
      <c r="BA989" s="160"/>
      <c r="BB989" s="160"/>
      <c r="BC989" s="160"/>
      <c r="BD989" s="160"/>
      <c r="BE989" s="160"/>
      <c r="BF989" s="160"/>
      <c r="BG989" s="160"/>
      <c r="BH989" s="160"/>
      <c r="BI989" s="160"/>
      <c r="BJ989" s="160"/>
      <c r="BK989" s="160"/>
      <c r="BL989" s="160"/>
      <c r="BM989" s="160"/>
      <c r="BN989" s="160"/>
      <c r="BO989" s="160"/>
      <c r="BP989" s="160"/>
      <c r="BQ989" s="160"/>
      <c r="BR989" s="160"/>
      <c r="BS989" s="160"/>
      <c r="BT989" s="160"/>
      <c r="BU989" s="160"/>
      <c r="BV989" s="160"/>
      <c r="BW989" s="160"/>
      <c r="BX989" s="160"/>
      <c r="BY989" s="160"/>
      <c r="BZ989" s="160"/>
      <c r="CA989" s="160"/>
      <c r="CB989" s="160"/>
      <c r="CC989" s="160"/>
      <c r="CD989" s="160"/>
      <c r="CE989" s="160"/>
      <c r="CF989" s="160"/>
      <c r="CG989" s="160"/>
      <c r="CH989" s="160"/>
      <c r="CI989" s="160"/>
      <c r="CJ989" s="160"/>
      <c r="CK989" s="160"/>
      <c r="CL989" s="160"/>
    </row>
    <row r="990">
      <c r="A990" s="171"/>
      <c r="F990" s="11"/>
      <c r="G990" s="11"/>
      <c r="L990" s="171"/>
      <c r="M990" s="171"/>
      <c r="O990" s="160"/>
      <c r="P990" s="160"/>
      <c r="Q990" s="160"/>
      <c r="R990" s="160"/>
      <c r="S990" s="160"/>
      <c r="T990" s="207"/>
      <c r="U990" s="160"/>
      <c r="V990" s="160"/>
      <c r="W990" s="160"/>
      <c r="X990" s="160"/>
      <c r="Y990" s="160"/>
      <c r="Z990" s="160"/>
      <c r="AA990" s="160"/>
      <c r="AB990" s="160"/>
      <c r="AC990" s="160"/>
      <c r="AD990" s="160"/>
      <c r="AE990" s="160"/>
      <c r="AF990" s="160"/>
      <c r="AG990" s="160"/>
      <c r="AH990" s="160"/>
      <c r="AI990" s="160"/>
      <c r="AJ990" s="160"/>
      <c r="AK990" s="160"/>
      <c r="AL990" s="160"/>
      <c r="AM990" s="160"/>
      <c r="AN990" s="164"/>
      <c r="AO990" s="160"/>
      <c r="AP990" s="160"/>
      <c r="AQ990" s="160"/>
      <c r="AR990" s="160"/>
      <c r="AS990" s="160"/>
      <c r="AT990" s="160"/>
      <c r="AU990" s="160"/>
      <c r="AV990" s="160"/>
      <c r="AW990" s="160"/>
      <c r="AX990" s="160"/>
      <c r="AY990" s="160"/>
      <c r="AZ990" s="160"/>
      <c r="BA990" s="160"/>
      <c r="BB990" s="160"/>
      <c r="BC990" s="160"/>
      <c r="BD990" s="160"/>
      <c r="BE990" s="160"/>
      <c r="BF990" s="160"/>
      <c r="BG990" s="160"/>
      <c r="BH990" s="160"/>
      <c r="BI990" s="160"/>
      <c r="BJ990" s="160"/>
      <c r="BK990" s="160"/>
      <c r="BL990" s="160"/>
      <c r="BM990" s="160"/>
      <c r="BN990" s="160"/>
      <c r="BO990" s="160"/>
      <c r="BP990" s="160"/>
      <c r="BQ990" s="160"/>
      <c r="BR990" s="160"/>
      <c r="BS990" s="160"/>
      <c r="BT990" s="160"/>
      <c r="BU990" s="160"/>
      <c r="BV990" s="160"/>
      <c r="BW990" s="160"/>
      <c r="BX990" s="160"/>
      <c r="BY990" s="160"/>
      <c r="BZ990" s="160"/>
      <c r="CA990" s="160"/>
      <c r="CB990" s="160"/>
      <c r="CC990" s="160"/>
      <c r="CD990" s="160"/>
      <c r="CE990" s="160"/>
      <c r="CF990" s="160"/>
      <c r="CG990" s="160"/>
      <c r="CH990" s="160"/>
      <c r="CI990" s="160"/>
      <c r="CJ990" s="160"/>
      <c r="CK990" s="160"/>
      <c r="CL990" s="160"/>
    </row>
    <row r="991">
      <c r="A991" s="171"/>
      <c r="F991" s="11"/>
      <c r="G991" s="11"/>
      <c r="L991" s="171"/>
      <c r="M991" s="171"/>
      <c r="O991" s="160"/>
      <c r="P991" s="160"/>
      <c r="Q991" s="160"/>
      <c r="R991" s="160"/>
      <c r="S991" s="160"/>
      <c r="T991" s="207"/>
      <c r="U991" s="160"/>
      <c r="V991" s="160"/>
      <c r="W991" s="160"/>
      <c r="X991" s="160"/>
      <c r="Y991" s="160"/>
      <c r="Z991" s="160"/>
      <c r="AA991" s="160"/>
      <c r="AB991" s="160"/>
      <c r="AC991" s="160"/>
      <c r="AD991" s="160"/>
      <c r="AE991" s="160"/>
      <c r="AF991" s="160"/>
      <c r="AG991" s="160"/>
      <c r="AH991" s="160"/>
      <c r="AI991" s="160"/>
      <c r="AJ991" s="160"/>
      <c r="AK991" s="160"/>
      <c r="AL991" s="160"/>
      <c r="AM991" s="160"/>
      <c r="AN991" s="164"/>
      <c r="AO991" s="160"/>
      <c r="AP991" s="160"/>
      <c r="AQ991" s="160"/>
      <c r="AR991" s="160"/>
      <c r="AS991" s="160"/>
      <c r="AT991" s="160"/>
      <c r="AU991" s="160"/>
      <c r="AV991" s="160"/>
      <c r="AW991" s="160"/>
      <c r="AX991" s="160"/>
      <c r="AY991" s="160"/>
      <c r="AZ991" s="160"/>
      <c r="BA991" s="160"/>
      <c r="BB991" s="160"/>
      <c r="BC991" s="160"/>
      <c r="BD991" s="160"/>
      <c r="BE991" s="160"/>
      <c r="BF991" s="160"/>
      <c r="BG991" s="160"/>
      <c r="BH991" s="160"/>
      <c r="BI991" s="160"/>
      <c r="BJ991" s="160"/>
      <c r="BK991" s="160"/>
      <c r="BL991" s="160"/>
      <c r="BM991" s="160"/>
      <c r="BN991" s="160"/>
      <c r="BO991" s="160"/>
      <c r="BP991" s="160"/>
      <c r="BQ991" s="160"/>
      <c r="BR991" s="160"/>
      <c r="BS991" s="160"/>
      <c r="BT991" s="160"/>
      <c r="BU991" s="160"/>
      <c r="BV991" s="160"/>
      <c r="BW991" s="160"/>
      <c r="BX991" s="160"/>
      <c r="BY991" s="160"/>
      <c r="BZ991" s="160"/>
      <c r="CA991" s="160"/>
      <c r="CB991" s="160"/>
      <c r="CC991" s="160"/>
      <c r="CD991" s="160"/>
      <c r="CE991" s="160"/>
      <c r="CF991" s="160"/>
      <c r="CG991" s="160"/>
      <c r="CH991" s="160"/>
      <c r="CI991" s="160"/>
      <c r="CJ991" s="160"/>
      <c r="CK991" s="160"/>
      <c r="CL991" s="160"/>
    </row>
    <row r="992">
      <c r="A992" s="171"/>
      <c r="F992" s="11"/>
      <c r="G992" s="11"/>
      <c r="L992" s="171"/>
      <c r="M992" s="171"/>
      <c r="O992" s="160"/>
      <c r="P992" s="160"/>
      <c r="Q992" s="160"/>
      <c r="R992" s="160"/>
      <c r="S992" s="160"/>
      <c r="T992" s="207"/>
      <c r="U992" s="160"/>
      <c r="V992" s="160"/>
      <c r="W992" s="160"/>
      <c r="X992" s="160"/>
      <c r="Y992" s="160"/>
      <c r="Z992" s="160"/>
      <c r="AA992" s="160"/>
      <c r="AB992" s="160"/>
      <c r="AC992" s="160"/>
      <c r="AD992" s="160"/>
      <c r="AE992" s="160"/>
      <c r="AF992" s="160"/>
      <c r="AG992" s="160"/>
      <c r="AH992" s="160"/>
      <c r="AI992" s="160"/>
      <c r="AJ992" s="160"/>
      <c r="AK992" s="160"/>
      <c r="AL992" s="160"/>
      <c r="AM992" s="160"/>
      <c r="AN992" s="164"/>
      <c r="AO992" s="160"/>
      <c r="AP992" s="160"/>
      <c r="AQ992" s="160"/>
      <c r="AR992" s="160"/>
      <c r="AS992" s="160"/>
      <c r="AT992" s="160"/>
      <c r="AU992" s="160"/>
      <c r="AV992" s="160"/>
      <c r="AW992" s="160"/>
      <c r="AX992" s="160"/>
      <c r="AY992" s="160"/>
      <c r="AZ992" s="160"/>
      <c r="BA992" s="160"/>
      <c r="BB992" s="160"/>
      <c r="BC992" s="160"/>
      <c r="BD992" s="160"/>
      <c r="BE992" s="160"/>
      <c r="BF992" s="160"/>
      <c r="BG992" s="160"/>
      <c r="BH992" s="160"/>
      <c r="BI992" s="160"/>
      <c r="BJ992" s="160"/>
      <c r="BK992" s="160"/>
      <c r="BL992" s="160"/>
      <c r="BM992" s="160"/>
      <c r="BN992" s="160"/>
      <c r="BO992" s="160"/>
      <c r="BP992" s="160"/>
      <c r="BQ992" s="160"/>
      <c r="BR992" s="160"/>
      <c r="BS992" s="160"/>
      <c r="BT992" s="160"/>
      <c r="BU992" s="160"/>
      <c r="BV992" s="160"/>
      <c r="BW992" s="160"/>
      <c r="BX992" s="160"/>
      <c r="BY992" s="160"/>
      <c r="BZ992" s="160"/>
      <c r="CA992" s="160"/>
      <c r="CB992" s="160"/>
      <c r="CC992" s="160"/>
      <c r="CD992" s="160"/>
      <c r="CE992" s="160"/>
      <c r="CF992" s="160"/>
      <c r="CG992" s="160"/>
      <c r="CH992" s="160"/>
      <c r="CI992" s="160"/>
      <c r="CJ992" s="160"/>
      <c r="CK992" s="160"/>
      <c r="CL992" s="160"/>
    </row>
    <row r="993">
      <c r="A993" s="171"/>
      <c r="F993" s="11"/>
      <c r="G993" s="11"/>
      <c r="L993" s="171"/>
      <c r="M993" s="171"/>
      <c r="O993" s="160"/>
      <c r="P993" s="160"/>
      <c r="Q993" s="160"/>
      <c r="R993" s="160"/>
      <c r="S993" s="160"/>
      <c r="T993" s="207"/>
      <c r="U993" s="160"/>
      <c r="V993" s="160"/>
      <c r="W993" s="160"/>
      <c r="X993" s="160"/>
      <c r="Y993" s="160"/>
      <c r="Z993" s="160"/>
      <c r="AA993" s="160"/>
      <c r="AB993" s="160"/>
      <c r="AC993" s="160"/>
      <c r="AD993" s="160"/>
      <c r="AE993" s="160"/>
      <c r="AF993" s="160"/>
      <c r="AG993" s="160"/>
      <c r="AH993" s="160"/>
      <c r="AI993" s="160"/>
      <c r="AJ993" s="160"/>
      <c r="AK993" s="160"/>
      <c r="AL993" s="160"/>
      <c r="AM993" s="160"/>
      <c r="AN993" s="164"/>
      <c r="AO993" s="160"/>
      <c r="AP993" s="160"/>
      <c r="AQ993" s="160"/>
      <c r="AR993" s="160"/>
      <c r="AS993" s="160"/>
      <c r="AT993" s="160"/>
      <c r="AU993" s="160"/>
      <c r="AV993" s="160"/>
      <c r="AW993" s="160"/>
      <c r="AX993" s="160"/>
      <c r="AY993" s="160"/>
      <c r="AZ993" s="160"/>
      <c r="BA993" s="160"/>
      <c r="BB993" s="160"/>
      <c r="BC993" s="160"/>
      <c r="BD993" s="160"/>
      <c r="BE993" s="160"/>
      <c r="BF993" s="160"/>
      <c r="BG993" s="160"/>
      <c r="BH993" s="160"/>
      <c r="BI993" s="160"/>
      <c r="BJ993" s="160"/>
      <c r="BK993" s="160"/>
      <c r="BL993" s="160"/>
      <c r="BM993" s="160"/>
      <c r="BN993" s="160"/>
      <c r="BO993" s="160"/>
      <c r="BP993" s="160"/>
      <c r="BQ993" s="160"/>
      <c r="BR993" s="160"/>
      <c r="BS993" s="160"/>
      <c r="BT993" s="160"/>
      <c r="BU993" s="160"/>
      <c r="BV993" s="160"/>
      <c r="BW993" s="160"/>
      <c r="BX993" s="160"/>
      <c r="BY993" s="160"/>
      <c r="BZ993" s="160"/>
      <c r="CA993" s="160"/>
      <c r="CB993" s="160"/>
      <c r="CC993" s="160"/>
      <c r="CD993" s="160"/>
      <c r="CE993" s="160"/>
      <c r="CF993" s="160"/>
      <c r="CG993" s="160"/>
      <c r="CH993" s="160"/>
      <c r="CI993" s="160"/>
      <c r="CJ993" s="160"/>
      <c r="CK993" s="160"/>
      <c r="CL993" s="160"/>
    </row>
    <row r="994">
      <c r="A994" s="171"/>
      <c r="F994" s="11"/>
      <c r="G994" s="11"/>
      <c r="L994" s="171"/>
      <c r="M994" s="171"/>
      <c r="O994" s="160"/>
      <c r="P994" s="160"/>
      <c r="Q994" s="160"/>
      <c r="R994" s="160"/>
      <c r="S994" s="160"/>
      <c r="T994" s="207"/>
      <c r="U994" s="160"/>
      <c r="V994" s="160"/>
      <c r="W994" s="160"/>
      <c r="X994" s="160"/>
      <c r="Y994" s="160"/>
      <c r="Z994" s="160"/>
      <c r="AA994" s="160"/>
      <c r="AB994" s="160"/>
      <c r="AC994" s="160"/>
      <c r="AD994" s="160"/>
      <c r="AE994" s="160"/>
      <c r="AF994" s="160"/>
      <c r="AG994" s="160"/>
      <c r="AH994" s="160"/>
      <c r="AI994" s="160"/>
      <c r="AJ994" s="160"/>
      <c r="AK994" s="160"/>
      <c r="AL994" s="160"/>
      <c r="AM994" s="160"/>
      <c r="AN994" s="164"/>
      <c r="AO994" s="160"/>
      <c r="AP994" s="160"/>
      <c r="AQ994" s="160"/>
      <c r="AR994" s="160"/>
      <c r="AS994" s="160"/>
      <c r="AT994" s="160"/>
      <c r="AU994" s="160"/>
      <c r="AV994" s="160"/>
      <c r="AW994" s="160"/>
      <c r="AX994" s="160"/>
      <c r="AY994" s="160"/>
      <c r="AZ994" s="160"/>
      <c r="BA994" s="160"/>
      <c r="BB994" s="160"/>
      <c r="BC994" s="160"/>
      <c r="BD994" s="160"/>
      <c r="BE994" s="160"/>
      <c r="BF994" s="160"/>
      <c r="BG994" s="160"/>
      <c r="BH994" s="160"/>
      <c r="BI994" s="160"/>
      <c r="BJ994" s="160"/>
      <c r="BK994" s="160"/>
      <c r="BL994" s="160"/>
      <c r="BM994" s="160"/>
      <c r="BN994" s="160"/>
      <c r="BO994" s="160"/>
      <c r="BP994" s="160"/>
      <c r="BQ994" s="160"/>
      <c r="BR994" s="160"/>
      <c r="BS994" s="160"/>
      <c r="BT994" s="160"/>
      <c r="BU994" s="160"/>
      <c r="BV994" s="160"/>
      <c r="BW994" s="160"/>
      <c r="BX994" s="160"/>
      <c r="BY994" s="160"/>
      <c r="BZ994" s="160"/>
      <c r="CA994" s="160"/>
      <c r="CB994" s="160"/>
      <c r="CC994" s="160"/>
      <c r="CD994" s="160"/>
      <c r="CE994" s="160"/>
      <c r="CF994" s="160"/>
      <c r="CG994" s="160"/>
      <c r="CH994" s="160"/>
      <c r="CI994" s="160"/>
      <c r="CJ994" s="160"/>
      <c r="CK994" s="160"/>
      <c r="CL994" s="160"/>
    </row>
    <row r="995">
      <c r="A995" s="171"/>
      <c r="F995" s="11"/>
      <c r="G995" s="11"/>
      <c r="L995" s="171"/>
      <c r="M995" s="171"/>
      <c r="O995" s="160"/>
      <c r="P995" s="160"/>
      <c r="Q995" s="160"/>
      <c r="R995" s="160"/>
      <c r="S995" s="160"/>
      <c r="T995" s="207"/>
      <c r="U995" s="160"/>
      <c r="V995" s="160"/>
      <c r="W995" s="160"/>
      <c r="X995" s="160"/>
      <c r="Y995" s="160"/>
      <c r="Z995" s="160"/>
      <c r="AA995" s="160"/>
      <c r="AB995" s="160"/>
      <c r="AC995" s="160"/>
      <c r="AD995" s="160"/>
      <c r="AE995" s="160"/>
      <c r="AF995" s="160"/>
      <c r="AG995" s="160"/>
      <c r="AH995" s="160"/>
      <c r="AI995" s="160"/>
      <c r="AJ995" s="160"/>
      <c r="AK995" s="160"/>
      <c r="AL995" s="160"/>
      <c r="AM995" s="160"/>
      <c r="AN995" s="164"/>
      <c r="AO995" s="160"/>
      <c r="AP995" s="160"/>
      <c r="AQ995" s="160"/>
      <c r="AR995" s="160"/>
      <c r="AS995" s="160"/>
      <c r="AT995" s="160"/>
      <c r="AU995" s="160"/>
      <c r="AV995" s="160"/>
      <c r="AW995" s="160"/>
      <c r="AX995" s="160"/>
      <c r="AY995" s="160"/>
      <c r="AZ995" s="160"/>
      <c r="BA995" s="160"/>
      <c r="BB995" s="160"/>
      <c r="BC995" s="160"/>
      <c r="BD995" s="160"/>
      <c r="BE995" s="160"/>
      <c r="BF995" s="160"/>
      <c r="BG995" s="160"/>
      <c r="BH995" s="160"/>
      <c r="BI995" s="160"/>
      <c r="BJ995" s="160"/>
      <c r="BK995" s="160"/>
      <c r="BL995" s="160"/>
      <c r="BM995" s="160"/>
      <c r="BN995" s="160"/>
      <c r="BO995" s="160"/>
      <c r="BP995" s="160"/>
      <c r="BQ995" s="160"/>
      <c r="BR995" s="160"/>
      <c r="BS995" s="160"/>
      <c r="BT995" s="160"/>
      <c r="BU995" s="160"/>
      <c r="BV995" s="160"/>
      <c r="BW995" s="160"/>
      <c r="BX995" s="160"/>
      <c r="BY995" s="160"/>
      <c r="BZ995" s="160"/>
      <c r="CA995" s="160"/>
      <c r="CB995" s="160"/>
      <c r="CC995" s="160"/>
      <c r="CD995" s="160"/>
      <c r="CE995" s="160"/>
      <c r="CF995" s="160"/>
      <c r="CG995" s="160"/>
      <c r="CH995" s="160"/>
      <c r="CI995" s="160"/>
      <c r="CJ995" s="160"/>
      <c r="CK995" s="160"/>
      <c r="CL995" s="160"/>
    </row>
    <row r="996">
      <c r="A996" s="171"/>
      <c r="F996" s="11"/>
      <c r="G996" s="11"/>
      <c r="L996" s="171"/>
      <c r="M996" s="171"/>
      <c r="O996" s="160"/>
      <c r="P996" s="160"/>
      <c r="Q996" s="160"/>
      <c r="R996" s="160"/>
      <c r="S996" s="160"/>
      <c r="T996" s="207"/>
      <c r="U996" s="160"/>
      <c r="V996" s="160"/>
      <c r="W996" s="160"/>
      <c r="X996" s="160"/>
      <c r="Y996" s="160"/>
      <c r="Z996" s="160"/>
      <c r="AA996" s="160"/>
      <c r="AB996" s="160"/>
      <c r="AC996" s="160"/>
      <c r="AD996" s="160"/>
      <c r="AE996" s="160"/>
      <c r="AF996" s="160"/>
      <c r="AG996" s="160"/>
      <c r="AH996" s="160"/>
      <c r="AI996" s="160"/>
      <c r="AJ996" s="160"/>
      <c r="AK996" s="160"/>
      <c r="AL996" s="160"/>
      <c r="AM996" s="160"/>
      <c r="AN996" s="164"/>
      <c r="AO996" s="160"/>
      <c r="AP996" s="160"/>
      <c r="AQ996" s="160"/>
      <c r="AR996" s="160"/>
      <c r="AS996" s="160"/>
      <c r="AT996" s="160"/>
      <c r="AU996" s="160"/>
      <c r="AV996" s="160"/>
      <c r="AW996" s="160"/>
      <c r="AX996" s="160"/>
      <c r="AY996" s="160"/>
      <c r="AZ996" s="160"/>
      <c r="BA996" s="160"/>
      <c r="BB996" s="160"/>
      <c r="BC996" s="160"/>
      <c r="BD996" s="160"/>
      <c r="BE996" s="160"/>
      <c r="BF996" s="160"/>
      <c r="BG996" s="160"/>
      <c r="BH996" s="160"/>
      <c r="BI996" s="160"/>
      <c r="BJ996" s="160"/>
      <c r="BK996" s="160"/>
      <c r="BL996" s="160"/>
      <c r="BM996" s="160"/>
      <c r="BN996" s="160"/>
      <c r="BO996" s="160"/>
      <c r="BP996" s="160"/>
      <c r="BQ996" s="160"/>
      <c r="BR996" s="160"/>
      <c r="BS996" s="160"/>
      <c r="BT996" s="160"/>
      <c r="BU996" s="160"/>
      <c r="BV996" s="160"/>
      <c r="BW996" s="160"/>
      <c r="BX996" s="160"/>
      <c r="BY996" s="160"/>
      <c r="BZ996" s="160"/>
      <c r="CA996" s="160"/>
      <c r="CB996" s="160"/>
      <c r="CC996" s="160"/>
      <c r="CD996" s="160"/>
      <c r="CE996" s="160"/>
      <c r="CF996" s="160"/>
      <c r="CG996" s="160"/>
      <c r="CH996" s="160"/>
      <c r="CI996" s="160"/>
      <c r="CJ996" s="160"/>
      <c r="CK996" s="160"/>
      <c r="CL996" s="160"/>
    </row>
    <row r="997">
      <c r="A997" s="171"/>
      <c r="F997" s="11"/>
      <c r="G997" s="11"/>
      <c r="L997" s="171"/>
      <c r="M997" s="171"/>
      <c r="O997" s="160"/>
      <c r="P997" s="160"/>
      <c r="Q997" s="160"/>
      <c r="R997" s="160"/>
      <c r="S997" s="160"/>
      <c r="T997" s="207"/>
      <c r="U997" s="160"/>
      <c r="V997" s="160"/>
      <c r="W997" s="160"/>
      <c r="X997" s="160"/>
      <c r="Y997" s="160"/>
      <c r="Z997" s="160"/>
      <c r="AA997" s="160"/>
      <c r="AB997" s="160"/>
      <c r="AC997" s="160"/>
      <c r="AD997" s="160"/>
      <c r="AE997" s="160"/>
      <c r="AF997" s="160"/>
      <c r="AG997" s="160"/>
      <c r="AH997" s="160"/>
      <c r="AI997" s="160"/>
      <c r="AJ997" s="160"/>
      <c r="AK997" s="160"/>
      <c r="AL997" s="160"/>
      <c r="AM997" s="160"/>
      <c r="AN997" s="164"/>
      <c r="AO997" s="160"/>
      <c r="AP997" s="160"/>
      <c r="AQ997" s="160"/>
      <c r="AR997" s="160"/>
      <c r="AS997" s="160"/>
      <c r="AT997" s="160"/>
      <c r="AU997" s="160"/>
      <c r="AV997" s="160"/>
      <c r="AW997" s="160"/>
      <c r="AX997" s="160"/>
      <c r="AY997" s="160"/>
      <c r="AZ997" s="160"/>
      <c r="BA997" s="160"/>
      <c r="BB997" s="160"/>
      <c r="BC997" s="160"/>
      <c r="BD997" s="160"/>
      <c r="BE997" s="160"/>
      <c r="BF997" s="160"/>
      <c r="BG997" s="160"/>
      <c r="BH997" s="160"/>
      <c r="BI997" s="160"/>
      <c r="BJ997" s="160"/>
      <c r="BK997" s="160"/>
      <c r="BL997" s="160"/>
      <c r="BM997" s="160"/>
      <c r="BN997" s="160"/>
      <c r="BO997" s="160"/>
      <c r="BP997" s="160"/>
      <c r="BQ997" s="160"/>
      <c r="BR997" s="160"/>
      <c r="BS997" s="160"/>
      <c r="BT997" s="160"/>
      <c r="BU997" s="160"/>
      <c r="BV997" s="160"/>
      <c r="BW997" s="160"/>
      <c r="BX997" s="160"/>
      <c r="BY997" s="160"/>
      <c r="BZ997" s="160"/>
      <c r="CA997" s="160"/>
      <c r="CB997" s="160"/>
      <c r="CC997" s="160"/>
      <c r="CD997" s="160"/>
      <c r="CE997" s="160"/>
      <c r="CF997" s="160"/>
      <c r="CG997" s="160"/>
      <c r="CH997" s="160"/>
      <c r="CI997" s="160"/>
      <c r="CJ997" s="160"/>
      <c r="CK997" s="160"/>
      <c r="CL997" s="160"/>
    </row>
    <row r="998">
      <c r="A998" s="171"/>
      <c r="F998" s="11"/>
      <c r="G998" s="11"/>
      <c r="L998" s="171"/>
      <c r="M998" s="171"/>
      <c r="O998" s="160"/>
      <c r="P998" s="160"/>
      <c r="Q998" s="160"/>
      <c r="R998" s="160"/>
      <c r="S998" s="160"/>
      <c r="T998" s="207"/>
      <c r="U998" s="160"/>
      <c r="V998" s="160"/>
      <c r="W998" s="160"/>
      <c r="X998" s="160"/>
      <c r="Y998" s="160"/>
      <c r="Z998" s="160"/>
      <c r="AA998" s="160"/>
      <c r="AB998" s="160"/>
      <c r="AC998" s="160"/>
      <c r="AD998" s="160"/>
      <c r="AE998" s="160"/>
      <c r="AF998" s="160"/>
      <c r="AG998" s="160"/>
      <c r="AH998" s="160"/>
      <c r="AI998" s="160"/>
      <c r="AJ998" s="160"/>
      <c r="AK998" s="160"/>
      <c r="AL998" s="160"/>
      <c r="AM998" s="160"/>
      <c r="AN998" s="164"/>
      <c r="AO998" s="160"/>
      <c r="AP998" s="160"/>
      <c r="AQ998" s="160"/>
      <c r="AR998" s="160"/>
      <c r="AS998" s="160"/>
      <c r="AT998" s="160"/>
      <c r="AU998" s="160"/>
      <c r="AV998" s="160"/>
      <c r="AW998" s="160"/>
      <c r="AX998" s="160"/>
      <c r="AY998" s="160"/>
      <c r="AZ998" s="160"/>
      <c r="BA998" s="160"/>
      <c r="BB998" s="160"/>
      <c r="BC998" s="160"/>
      <c r="BD998" s="160"/>
      <c r="BE998" s="160"/>
      <c r="BF998" s="160"/>
      <c r="BG998" s="160"/>
      <c r="BH998" s="160"/>
      <c r="BI998" s="160"/>
      <c r="BJ998" s="160"/>
      <c r="BK998" s="160"/>
      <c r="BL998" s="160"/>
      <c r="BM998" s="160"/>
      <c r="BN998" s="160"/>
      <c r="BO998" s="160"/>
      <c r="BP998" s="160"/>
      <c r="BQ998" s="160"/>
      <c r="BR998" s="160"/>
      <c r="BS998" s="160"/>
      <c r="BT998" s="160"/>
      <c r="BU998" s="160"/>
      <c r="BV998" s="160"/>
      <c r="BW998" s="160"/>
      <c r="BX998" s="160"/>
      <c r="BY998" s="160"/>
      <c r="BZ998" s="160"/>
      <c r="CA998" s="160"/>
      <c r="CB998" s="160"/>
      <c r="CC998" s="160"/>
      <c r="CD998" s="160"/>
      <c r="CE998" s="160"/>
      <c r="CF998" s="160"/>
      <c r="CG998" s="160"/>
      <c r="CH998" s="160"/>
      <c r="CI998" s="160"/>
      <c r="CJ998" s="160"/>
      <c r="CK998" s="160"/>
      <c r="CL998" s="160"/>
    </row>
    <row r="999">
      <c r="A999" s="171"/>
      <c r="F999" s="11"/>
      <c r="G999" s="11"/>
      <c r="L999" s="171"/>
      <c r="M999" s="171"/>
      <c r="O999" s="160"/>
      <c r="P999" s="160"/>
      <c r="Q999" s="160"/>
      <c r="R999" s="160"/>
      <c r="S999" s="160"/>
      <c r="T999" s="207"/>
      <c r="U999" s="160"/>
      <c r="V999" s="160"/>
      <c r="W999" s="160"/>
      <c r="X999" s="160"/>
      <c r="Y999" s="160"/>
      <c r="Z999" s="160"/>
      <c r="AA999" s="160"/>
      <c r="AB999" s="160"/>
      <c r="AC999" s="160"/>
      <c r="AD999" s="160"/>
      <c r="AE999" s="160"/>
      <c r="AF999" s="160"/>
      <c r="AG999" s="160"/>
      <c r="AH999" s="160"/>
      <c r="AI999" s="160"/>
      <c r="AJ999" s="160"/>
      <c r="AK999" s="160"/>
      <c r="AL999" s="160"/>
      <c r="AM999" s="160"/>
      <c r="AN999" s="164"/>
      <c r="AO999" s="160"/>
      <c r="AP999" s="160"/>
      <c r="AQ999" s="160"/>
      <c r="AR999" s="160"/>
      <c r="AS999" s="160"/>
      <c r="AT999" s="160"/>
      <c r="AU999" s="160"/>
      <c r="AV999" s="160"/>
      <c r="AW999" s="160"/>
      <c r="AX999" s="160"/>
      <c r="AY999" s="160"/>
      <c r="AZ999" s="160"/>
      <c r="BA999" s="160"/>
      <c r="BB999" s="160"/>
      <c r="BC999" s="160"/>
      <c r="BD999" s="160"/>
      <c r="BE999" s="160"/>
      <c r="BF999" s="160"/>
      <c r="BG999" s="160"/>
      <c r="BH999" s="160"/>
      <c r="BI999" s="160"/>
      <c r="BJ999" s="160"/>
      <c r="BK999" s="160"/>
      <c r="BL999" s="160"/>
      <c r="BM999" s="160"/>
      <c r="BN999" s="160"/>
      <c r="BO999" s="160"/>
      <c r="BP999" s="160"/>
      <c r="BQ999" s="160"/>
      <c r="BR999" s="160"/>
      <c r="BS999" s="160"/>
      <c r="BT999" s="160"/>
      <c r="BU999" s="160"/>
      <c r="BV999" s="160"/>
      <c r="BW999" s="160"/>
      <c r="BX999" s="160"/>
      <c r="BY999" s="160"/>
      <c r="BZ999" s="160"/>
      <c r="CA999" s="160"/>
      <c r="CB999" s="160"/>
      <c r="CC999" s="160"/>
      <c r="CD999" s="160"/>
      <c r="CE999" s="160"/>
      <c r="CF999" s="160"/>
      <c r="CG999" s="160"/>
      <c r="CH999" s="160"/>
      <c r="CI999" s="160"/>
      <c r="CJ999" s="160"/>
      <c r="CK999" s="160"/>
      <c r="CL999" s="160"/>
    </row>
    <row r="1000">
      <c r="A1000" s="171"/>
      <c r="F1000" s="11"/>
      <c r="G1000" s="11"/>
      <c r="L1000" s="171"/>
      <c r="M1000" s="171"/>
      <c r="O1000" s="160"/>
      <c r="P1000" s="160"/>
      <c r="Q1000" s="160"/>
      <c r="R1000" s="160"/>
      <c r="S1000" s="160"/>
      <c r="T1000" s="207"/>
      <c r="U1000" s="160"/>
      <c r="V1000" s="160"/>
      <c r="W1000" s="160"/>
      <c r="X1000" s="160"/>
      <c r="Y1000" s="160"/>
      <c r="Z1000" s="160"/>
      <c r="AA1000" s="160"/>
      <c r="AB1000" s="160"/>
      <c r="AC1000" s="160"/>
      <c r="AD1000" s="160"/>
      <c r="AE1000" s="160"/>
      <c r="AF1000" s="160"/>
      <c r="AG1000" s="160"/>
      <c r="AH1000" s="160"/>
      <c r="AI1000" s="160"/>
      <c r="AJ1000" s="160"/>
      <c r="AK1000" s="160"/>
      <c r="AL1000" s="160"/>
      <c r="AM1000" s="160"/>
      <c r="AN1000" s="164"/>
      <c r="AO1000" s="160"/>
      <c r="AP1000" s="160"/>
      <c r="AQ1000" s="160"/>
      <c r="AR1000" s="160"/>
      <c r="AS1000" s="160"/>
      <c r="AT1000" s="160"/>
      <c r="AU1000" s="160"/>
      <c r="AV1000" s="160"/>
      <c r="AW1000" s="160"/>
      <c r="AX1000" s="160"/>
      <c r="AY1000" s="160"/>
      <c r="AZ1000" s="160"/>
      <c r="BA1000" s="160"/>
      <c r="BB1000" s="160"/>
      <c r="BC1000" s="160"/>
      <c r="BD1000" s="160"/>
      <c r="BE1000" s="160"/>
      <c r="BF1000" s="160"/>
      <c r="BG1000" s="160"/>
      <c r="BH1000" s="160"/>
      <c r="BI1000" s="160"/>
      <c r="BJ1000" s="160"/>
      <c r="BK1000" s="160"/>
      <c r="BL1000" s="160"/>
      <c r="BM1000" s="160"/>
      <c r="BN1000" s="160"/>
      <c r="BO1000" s="160"/>
      <c r="BP1000" s="160"/>
      <c r="BQ1000" s="160"/>
      <c r="BR1000" s="160"/>
      <c r="BS1000" s="160"/>
      <c r="BT1000" s="160"/>
      <c r="BU1000" s="160"/>
      <c r="BV1000" s="160"/>
      <c r="BW1000" s="160"/>
      <c r="BX1000" s="160"/>
      <c r="BY1000" s="160"/>
      <c r="BZ1000" s="160"/>
      <c r="CA1000" s="160"/>
      <c r="CB1000" s="160"/>
      <c r="CC1000" s="160"/>
      <c r="CD1000" s="160"/>
      <c r="CE1000" s="160"/>
      <c r="CF1000" s="160"/>
      <c r="CG1000" s="160"/>
      <c r="CH1000" s="160"/>
      <c r="CI1000" s="160"/>
      <c r="CJ1000" s="160"/>
      <c r="CK1000" s="160"/>
      <c r="CL1000" s="160"/>
    </row>
    <row r="1001">
      <c r="A1001" s="171"/>
      <c r="F1001" s="11"/>
      <c r="G1001" s="11"/>
      <c r="L1001" s="171"/>
      <c r="M1001" s="171"/>
      <c r="O1001" s="160"/>
      <c r="P1001" s="160"/>
      <c r="Q1001" s="160"/>
      <c r="R1001" s="160"/>
      <c r="S1001" s="160"/>
      <c r="T1001" s="207"/>
      <c r="U1001" s="160"/>
      <c r="V1001" s="160"/>
      <c r="W1001" s="160"/>
      <c r="X1001" s="160"/>
      <c r="Y1001" s="160"/>
      <c r="Z1001" s="160"/>
      <c r="AA1001" s="160"/>
      <c r="AB1001" s="160"/>
      <c r="AC1001" s="160"/>
      <c r="AD1001" s="160"/>
      <c r="AE1001" s="160"/>
      <c r="AF1001" s="160"/>
      <c r="AG1001" s="160"/>
      <c r="AH1001" s="160"/>
      <c r="AI1001" s="160"/>
      <c r="AJ1001" s="160"/>
      <c r="AK1001" s="160"/>
      <c r="AL1001" s="160"/>
      <c r="AM1001" s="160"/>
      <c r="AN1001" s="164"/>
      <c r="AO1001" s="160"/>
      <c r="AP1001" s="160"/>
      <c r="AQ1001" s="160"/>
      <c r="AR1001" s="160"/>
      <c r="AS1001" s="160"/>
      <c r="AT1001" s="160"/>
      <c r="AU1001" s="160"/>
      <c r="AV1001" s="160"/>
      <c r="AW1001" s="160"/>
      <c r="AX1001" s="160"/>
      <c r="AY1001" s="160"/>
      <c r="AZ1001" s="160"/>
      <c r="BA1001" s="160"/>
      <c r="BB1001" s="160"/>
      <c r="BC1001" s="160"/>
      <c r="BD1001" s="160"/>
      <c r="BE1001" s="160"/>
      <c r="BF1001" s="160"/>
      <c r="BG1001" s="160"/>
      <c r="BH1001" s="160"/>
      <c r="BI1001" s="160"/>
      <c r="BJ1001" s="160"/>
      <c r="BK1001" s="160"/>
      <c r="BL1001" s="160"/>
      <c r="BM1001" s="160"/>
      <c r="BN1001" s="160"/>
      <c r="BO1001" s="160"/>
      <c r="BP1001" s="160"/>
      <c r="BQ1001" s="160"/>
      <c r="BR1001" s="160"/>
      <c r="BS1001" s="160"/>
      <c r="BT1001" s="160"/>
      <c r="BU1001" s="160"/>
      <c r="BV1001" s="160"/>
      <c r="BW1001" s="160"/>
      <c r="BX1001" s="160"/>
      <c r="BY1001" s="160"/>
      <c r="BZ1001" s="160"/>
      <c r="CA1001" s="160"/>
      <c r="CB1001" s="160"/>
      <c r="CC1001" s="160"/>
      <c r="CD1001" s="160"/>
      <c r="CE1001" s="160"/>
      <c r="CF1001" s="160"/>
      <c r="CG1001" s="160"/>
      <c r="CH1001" s="160"/>
      <c r="CI1001" s="160"/>
      <c r="CJ1001" s="160"/>
      <c r="CK1001" s="160"/>
      <c r="CL1001" s="160"/>
    </row>
    <row r="1002">
      <c r="A1002" s="171"/>
      <c r="F1002" s="11"/>
      <c r="G1002" s="11"/>
      <c r="L1002" s="171"/>
      <c r="M1002" s="171"/>
      <c r="O1002" s="160"/>
      <c r="P1002" s="160"/>
      <c r="Q1002" s="160"/>
      <c r="R1002" s="160"/>
      <c r="S1002" s="160"/>
      <c r="T1002" s="207"/>
      <c r="U1002" s="160"/>
      <c r="V1002" s="160"/>
      <c r="W1002" s="160"/>
      <c r="X1002" s="160"/>
      <c r="Y1002" s="160"/>
      <c r="Z1002" s="160"/>
      <c r="AA1002" s="160"/>
      <c r="AB1002" s="160"/>
      <c r="AC1002" s="160"/>
      <c r="AD1002" s="160"/>
      <c r="AE1002" s="160"/>
      <c r="AF1002" s="160"/>
      <c r="AG1002" s="160"/>
      <c r="AH1002" s="160"/>
      <c r="AI1002" s="160"/>
      <c r="AJ1002" s="160"/>
      <c r="AK1002" s="160"/>
      <c r="AL1002" s="160"/>
      <c r="AM1002" s="160"/>
      <c r="AN1002" s="164"/>
      <c r="AO1002" s="160"/>
      <c r="AP1002" s="160"/>
      <c r="AQ1002" s="160"/>
      <c r="AR1002" s="160"/>
      <c r="AS1002" s="160"/>
      <c r="AT1002" s="160"/>
      <c r="AU1002" s="160"/>
      <c r="AV1002" s="160"/>
      <c r="AW1002" s="160"/>
      <c r="AX1002" s="160"/>
      <c r="AY1002" s="160"/>
      <c r="AZ1002" s="160"/>
      <c r="BA1002" s="160"/>
      <c r="BB1002" s="160"/>
      <c r="BC1002" s="160"/>
      <c r="BD1002" s="160"/>
      <c r="BE1002" s="160"/>
      <c r="BF1002" s="160"/>
      <c r="BG1002" s="160"/>
      <c r="BH1002" s="160"/>
      <c r="BI1002" s="160"/>
      <c r="BJ1002" s="160"/>
      <c r="BK1002" s="160"/>
      <c r="BL1002" s="160"/>
      <c r="BM1002" s="160"/>
      <c r="BN1002" s="160"/>
      <c r="BO1002" s="160"/>
      <c r="BP1002" s="160"/>
      <c r="BQ1002" s="160"/>
      <c r="BR1002" s="160"/>
      <c r="BS1002" s="160"/>
      <c r="BT1002" s="160"/>
      <c r="BU1002" s="160"/>
      <c r="BV1002" s="160"/>
      <c r="BW1002" s="160"/>
      <c r="BX1002" s="160"/>
      <c r="BY1002" s="160"/>
      <c r="BZ1002" s="160"/>
      <c r="CA1002" s="160"/>
      <c r="CB1002" s="160"/>
      <c r="CC1002" s="160"/>
      <c r="CD1002" s="160"/>
      <c r="CE1002" s="160"/>
      <c r="CF1002" s="160"/>
      <c r="CG1002" s="160"/>
      <c r="CH1002" s="160"/>
      <c r="CI1002" s="160"/>
      <c r="CJ1002" s="160"/>
      <c r="CK1002" s="160"/>
      <c r="CL1002" s="160"/>
    </row>
    <row r="1003">
      <c r="A1003" s="171"/>
      <c r="F1003" s="11"/>
      <c r="G1003" s="11"/>
      <c r="L1003" s="171"/>
      <c r="M1003" s="171"/>
      <c r="O1003" s="160"/>
      <c r="P1003" s="160"/>
      <c r="Q1003" s="160"/>
      <c r="R1003" s="160"/>
      <c r="S1003" s="160"/>
      <c r="T1003" s="207"/>
      <c r="U1003" s="160"/>
      <c r="V1003" s="160"/>
      <c r="W1003" s="160"/>
      <c r="X1003" s="160"/>
      <c r="Y1003" s="160"/>
      <c r="Z1003" s="160"/>
      <c r="AA1003" s="160"/>
      <c r="AB1003" s="160"/>
      <c r="AC1003" s="160"/>
      <c r="AD1003" s="160"/>
      <c r="AE1003" s="160"/>
      <c r="AF1003" s="160"/>
      <c r="AG1003" s="160"/>
      <c r="AH1003" s="160"/>
      <c r="AI1003" s="160"/>
      <c r="AJ1003" s="160"/>
      <c r="AK1003" s="160"/>
      <c r="AL1003" s="160"/>
      <c r="AM1003" s="160"/>
      <c r="AN1003" s="164"/>
      <c r="AO1003" s="160"/>
      <c r="AP1003" s="160"/>
      <c r="AQ1003" s="160"/>
      <c r="AR1003" s="160"/>
      <c r="AS1003" s="160"/>
      <c r="AT1003" s="160"/>
      <c r="AU1003" s="160"/>
      <c r="AV1003" s="160"/>
      <c r="AW1003" s="160"/>
      <c r="AX1003" s="160"/>
      <c r="AY1003" s="160"/>
      <c r="AZ1003" s="160"/>
      <c r="BA1003" s="160"/>
      <c r="BB1003" s="160"/>
      <c r="BC1003" s="160"/>
      <c r="BD1003" s="160"/>
      <c r="BE1003" s="160"/>
      <c r="BF1003" s="160"/>
      <c r="BG1003" s="160"/>
      <c r="BH1003" s="160"/>
      <c r="BI1003" s="160"/>
      <c r="BJ1003" s="160"/>
      <c r="BK1003" s="160"/>
      <c r="BL1003" s="160"/>
      <c r="BM1003" s="160"/>
      <c r="BN1003" s="160"/>
      <c r="BO1003" s="160"/>
      <c r="BP1003" s="160"/>
      <c r="BQ1003" s="160"/>
      <c r="BR1003" s="160"/>
      <c r="BS1003" s="160"/>
      <c r="BT1003" s="160"/>
      <c r="BU1003" s="160"/>
      <c r="BV1003" s="160"/>
      <c r="BW1003" s="160"/>
      <c r="BX1003" s="160"/>
      <c r="BY1003" s="160"/>
      <c r="BZ1003" s="160"/>
      <c r="CA1003" s="160"/>
      <c r="CB1003" s="160"/>
      <c r="CC1003" s="160"/>
      <c r="CD1003" s="160"/>
      <c r="CE1003" s="160"/>
      <c r="CF1003" s="160"/>
      <c r="CG1003" s="160"/>
      <c r="CH1003" s="160"/>
      <c r="CI1003" s="160"/>
      <c r="CJ1003" s="160"/>
      <c r="CK1003" s="160"/>
      <c r="CL1003" s="160"/>
    </row>
    <row r="1004">
      <c r="A1004" s="171"/>
      <c r="F1004" s="11"/>
      <c r="G1004" s="11"/>
      <c r="L1004" s="171"/>
      <c r="M1004" s="171"/>
      <c r="O1004" s="160"/>
      <c r="P1004" s="160"/>
      <c r="Q1004" s="160"/>
      <c r="R1004" s="160"/>
      <c r="S1004" s="160"/>
      <c r="T1004" s="207"/>
      <c r="U1004" s="160"/>
      <c r="V1004" s="160"/>
      <c r="W1004" s="160"/>
      <c r="X1004" s="160"/>
      <c r="Y1004" s="160"/>
      <c r="Z1004" s="160"/>
      <c r="AA1004" s="160"/>
      <c r="AB1004" s="160"/>
      <c r="AC1004" s="160"/>
      <c r="AD1004" s="160"/>
      <c r="AE1004" s="160"/>
      <c r="AF1004" s="160"/>
      <c r="AG1004" s="160"/>
      <c r="AH1004" s="160"/>
      <c r="AI1004" s="160"/>
      <c r="AJ1004" s="160"/>
      <c r="AK1004" s="160"/>
      <c r="AL1004" s="160"/>
      <c r="AM1004" s="160"/>
      <c r="AN1004" s="164"/>
      <c r="AO1004" s="160"/>
      <c r="AP1004" s="160"/>
      <c r="AQ1004" s="160"/>
      <c r="AR1004" s="160"/>
      <c r="AS1004" s="160"/>
      <c r="AT1004" s="160"/>
      <c r="AU1004" s="160"/>
      <c r="AV1004" s="160"/>
      <c r="AW1004" s="160"/>
      <c r="AX1004" s="160"/>
      <c r="AY1004" s="160"/>
      <c r="AZ1004" s="160"/>
      <c r="BA1004" s="160"/>
      <c r="BB1004" s="160"/>
      <c r="BC1004" s="160"/>
      <c r="BD1004" s="160"/>
      <c r="BE1004" s="160"/>
      <c r="BF1004" s="160"/>
      <c r="BG1004" s="160"/>
      <c r="BH1004" s="160"/>
      <c r="BI1004" s="160"/>
      <c r="BJ1004" s="160"/>
      <c r="BK1004" s="160"/>
      <c r="BL1004" s="160"/>
      <c r="BM1004" s="160"/>
      <c r="BN1004" s="160"/>
      <c r="BO1004" s="160"/>
      <c r="BP1004" s="160"/>
      <c r="BQ1004" s="160"/>
      <c r="BR1004" s="160"/>
      <c r="BS1004" s="160"/>
      <c r="BT1004" s="160"/>
      <c r="BU1004" s="160"/>
      <c r="BV1004" s="160"/>
      <c r="BW1004" s="160"/>
      <c r="BX1004" s="160"/>
      <c r="BY1004" s="160"/>
      <c r="BZ1004" s="160"/>
      <c r="CA1004" s="160"/>
      <c r="CB1004" s="160"/>
      <c r="CC1004" s="160"/>
      <c r="CD1004" s="160"/>
      <c r="CE1004" s="160"/>
      <c r="CF1004" s="160"/>
      <c r="CG1004" s="160"/>
      <c r="CH1004" s="160"/>
      <c r="CI1004" s="160"/>
      <c r="CJ1004" s="160"/>
      <c r="CK1004" s="160"/>
      <c r="CL1004" s="160"/>
    </row>
    <row r="1005">
      <c r="A1005" s="171"/>
      <c r="F1005" s="11"/>
      <c r="G1005" s="11"/>
      <c r="L1005" s="171"/>
      <c r="M1005" s="171"/>
      <c r="O1005" s="160"/>
      <c r="P1005" s="160"/>
      <c r="Q1005" s="160"/>
      <c r="R1005" s="160"/>
      <c r="S1005" s="160"/>
      <c r="T1005" s="207"/>
      <c r="U1005" s="160"/>
      <c r="V1005" s="160"/>
      <c r="W1005" s="160"/>
      <c r="X1005" s="160"/>
      <c r="Y1005" s="160"/>
      <c r="Z1005" s="160"/>
      <c r="AA1005" s="160"/>
      <c r="AB1005" s="160"/>
      <c r="AC1005" s="160"/>
      <c r="AD1005" s="160"/>
      <c r="AE1005" s="160"/>
      <c r="AF1005" s="160"/>
      <c r="AG1005" s="160"/>
      <c r="AH1005" s="160"/>
      <c r="AI1005" s="160"/>
      <c r="AJ1005" s="160"/>
      <c r="AK1005" s="160"/>
      <c r="AL1005" s="160"/>
      <c r="AM1005" s="160"/>
      <c r="AN1005" s="164"/>
      <c r="AO1005" s="160"/>
      <c r="AP1005" s="160"/>
      <c r="AQ1005" s="160"/>
      <c r="AR1005" s="160"/>
      <c r="AS1005" s="160"/>
      <c r="AT1005" s="160"/>
      <c r="AU1005" s="160"/>
      <c r="AV1005" s="160"/>
      <c r="AW1005" s="160"/>
      <c r="AX1005" s="160"/>
      <c r="AY1005" s="160"/>
      <c r="AZ1005" s="160"/>
      <c r="BA1005" s="160"/>
      <c r="BB1005" s="160"/>
      <c r="BC1005" s="160"/>
      <c r="BD1005" s="160"/>
      <c r="BE1005" s="160"/>
      <c r="BF1005" s="160"/>
      <c r="BG1005" s="160"/>
      <c r="BH1005" s="160"/>
      <c r="BI1005" s="160"/>
      <c r="BJ1005" s="160"/>
      <c r="BK1005" s="160"/>
      <c r="BL1005" s="160"/>
      <c r="BM1005" s="160"/>
      <c r="BN1005" s="160"/>
      <c r="BO1005" s="160"/>
      <c r="BP1005" s="160"/>
      <c r="BQ1005" s="160"/>
      <c r="BR1005" s="160"/>
      <c r="BS1005" s="160"/>
      <c r="BT1005" s="160"/>
      <c r="BU1005" s="160"/>
      <c r="BV1005" s="160"/>
      <c r="BW1005" s="160"/>
      <c r="BX1005" s="160"/>
      <c r="BY1005" s="160"/>
      <c r="BZ1005" s="160"/>
      <c r="CA1005" s="160"/>
      <c r="CB1005" s="160"/>
      <c r="CC1005" s="160"/>
      <c r="CD1005" s="160"/>
      <c r="CE1005" s="160"/>
      <c r="CF1005" s="160"/>
      <c r="CG1005" s="160"/>
      <c r="CH1005" s="160"/>
      <c r="CI1005" s="160"/>
      <c r="CJ1005" s="160"/>
      <c r="CK1005" s="160"/>
      <c r="CL1005" s="160"/>
    </row>
    <row r="1006">
      <c r="A1006" s="171"/>
      <c r="F1006" s="11"/>
      <c r="G1006" s="11"/>
      <c r="L1006" s="171"/>
      <c r="M1006" s="171"/>
      <c r="O1006" s="160"/>
      <c r="P1006" s="160"/>
      <c r="Q1006" s="160"/>
      <c r="R1006" s="160"/>
      <c r="S1006" s="160"/>
      <c r="T1006" s="207"/>
      <c r="U1006" s="160"/>
      <c r="V1006" s="160"/>
      <c r="W1006" s="160"/>
      <c r="X1006" s="160"/>
      <c r="Y1006" s="160"/>
      <c r="Z1006" s="160"/>
      <c r="AA1006" s="160"/>
      <c r="AB1006" s="160"/>
      <c r="AC1006" s="160"/>
      <c r="AD1006" s="160"/>
      <c r="AE1006" s="160"/>
      <c r="AF1006" s="160"/>
      <c r="AG1006" s="160"/>
      <c r="AH1006" s="160"/>
      <c r="AI1006" s="160"/>
      <c r="AJ1006" s="160"/>
      <c r="AK1006" s="160"/>
      <c r="AL1006" s="160"/>
      <c r="AM1006" s="160"/>
      <c r="AN1006" s="164"/>
      <c r="AO1006" s="160"/>
      <c r="AP1006" s="160"/>
      <c r="AQ1006" s="160"/>
      <c r="AR1006" s="160"/>
      <c r="AS1006" s="160"/>
      <c r="AT1006" s="160"/>
      <c r="AU1006" s="160"/>
      <c r="AV1006" s="160"/>
      <c r="AW1006" s="160"/>
      <c r="AX1006" s="160"/>
      <c r="AY1006" s="160"/>
      <c r="AZ1006" s="160"/>
      <c r="BA1006" s="160"/>
      <c r="BB1006" s="160"/>
      <c r="BC1006" s="160"/>
      <c r="BD1006" s="160"/>
      <c r="BE1006" s="160"/>
      <c r="BF1006" s="160"/>
      <c r="BG1006" s="160"/>
      <c r="BH1006" s="160"/>
      <c r="BI1006" s="160"/>
      <c r="BJ1006" s="160"/>
      <c r="BK1006" s="160"/>
      <c r="BL1006" s="160"/>
      <c r="BM1006" s="160"/>
      <c r="BN1006" s="160"/>
      <c r="BO1006" s="160"/>
      <c r="BP1006" s="160"/>
      <c r="BQ1006" s="160"/>
      <c r="BR1006" s="160"/>
      <c r="BS1006" s="160"/>
      <c r="BT1006" s="160"/>
      <c r="BU1006" s="160"/>
      <c r="BV1006" s="160"/>
      <c r="BW1006" s="160"/>
      <c r="BX1006" s="160"/>
      <c r="BY1006" s="160"/>
      <c r="BZ1006" s="160"/>
      <c r="CA1006" s="160"/>
      <c r="CB1006" s="160"/>
      <c r="CC1006" s="160"/>
      <c r="CD1006" s="160"/>
      <c r="CE1006" s="160"/>
      <c r="CF1006" s="160"/>
      <c r="CG1006" s="160"/>
      <c r="CH1006" s="160"/>
      <c r="CI1006" s="160"/>
      <c r="CJ1006" s="160"/>
      <c r="CK1006" s="160"/>
      <c r="CL1006" s="160"/>
    </row>
    <row r="1007">
      <c r="A1007" s="171"/>
      <c r="F1007" s="11"/>
      <c r="G1007" s="11"/>
      <c r="L1007" s="171"/>
      <c r="M1007" s="171"/>
      <c r="O1007" s="160"/>
      <c r="P1007" s="160"/>
      <c r="Q1007" s="160"/>
      <c r="R1007" s="160"/>
      <c r="S1007" s="160"/>
      <c r="T1007" s="207"/>
      <c r="U1007" s="160"/>
      <c r="V1007" s="160"/>
      <c r="W1007" s="160"/>
      <c r="X1007" s="160"/>
      <c r="Y1007" s="160"/>
      <c r="Z1007" s="160"/>
      <c r="AA1007" s="160"/>
      <c r="AB1007" s="160"/>
      <c r="AC1007" s="160"/>
      <c r="AD1007" s="160"/>
      <c r="AE1007" s="160"/>
      <c r="AF1007" s="160"/>
      <c r="AG1007" s="160"/>
      <c r="AH1007" s="160"/>
      <c r="AI1007" s="160"/>
      <c r="AJ1007" s="160"/>
      <c r="AK1007" s="160"/>
      <c r="AL1007" s="160"/>
      <c r="AM1007" s="160"/>
      <c r="AN1007" s="164"/>
      <c r="AO1007" s="160"/>
      <c r="AP1007" s="160"/>
      <c r="AQ1007" s="160"/>
      <c r="AR1007" s="160"/>
      <c r="AS1007" s="160"/>
      <c r="AT1007" s="160"/>
      <c r="AU1007" s="160"/>
      <c r="AV1007" s="160"/>
      <c r="AW1007" s="160"/>
      <c r="AX1007" s="160"/>
      <c r="AY1007" s="160"/>
      <c r="AZ1007" s="160"/>
      <c r="BA1007" s="160"/>
      <c r="BB1007" s="160"/>
      <c r="BC1007" s="160"/>
      <c r="BD1007" s="160"/>
      <c r="BE1007" s="160"/>
      <c r="BF1007" s="160"/>
      <c r="BG1007" s="160"/>
      <c r="BH1007" s="160"/>
      <c r="BI1007" s="160"/>
      <c r="BJ1007" s="160"/>
      <c r="BK1007" s="160"/>
      <c r="BL1007" s="160"/>
      <c r="BM1007" s="160"/>
      <c r="BN1007" s="160"/>
      <c r="BO1007" s="160"/>
      <c r="BP1007" s="160"/>
      <c r="BQ1007" s="160"/>
      <c r="BR1007" s="160"/>
      <c r="BS1007" s="160"/>
      <c r="BT1007" s="160"/>
      <c r="BU1007" s="160"/>
      <c r="BV1007" s="160"/>
      <c r="BW1007" s="160"/>
      <c r="BX1007" s="160"/>
      <c r="BY1007" s="160"/>
      <c r="BZ1007" s="160"/>
      <c r="CA1007" s="160"/>
      <c r="CB1007" s="160"/>
      <c r="CC1007" s="160"/>
      <c r="CD1007" s="160"/>
      <c r="CE1007" s="160"/>
      <c r="CF1007" s="160"/>
      <c r="CG1007" s="160"/>
      <c r="CH1007" s="160"/>
      <c r="CI1007" s="160"/>
      <c r="CJ1007" s="160"/>
      <c r="CK1007" s="160"/>
      <c r="CL1007" s="160"/>
    </row>
    <row r="1008">
      <c r="A1008" s="171"/>
      <c r="F1008" s="11"/>
      <c r="G1008" s="11"/>
      <c r="L1008" s="171"/>
      <c r="M1008" s="171"/>
      <c r="O1008" s="160"/>
      <c r="P1008" s="160"/>
      <c r="Q1008" s="160"/>
      <c r="R1008" s="160"/>
      <c r="S1008" s="160"/>
      <c r="T1008" s="207"/>
      <c r="U1008" s="160"/>
      <c r="V1008" s="160"/>
      <c r="W1008" s="160"/>
      <c r="X1008" s="160"/>
      <c r="Y1008" s="160"/>
      <c r="Z1008" s="160"/>
      <c r="AA1008" s="160"/>
      <c r="AB1008" s="160"/>
      <c r="AC1008" s="160"/>
      <c r="AD1008" s="160"/>
      <c r="AE1008" s="160"/>
      <c r="AF1008" s="160"/>
      <c r="AG1008" s="160"/>
      <c r="AH1008" s="160"/>
      <c r="AI1008" s="160"/>
      <c r="AJ1008" s="160"/>
      <c r="AK1008" s="160"/>
      <c r="AL1008" s="160"/>
      <c r="AM1008" s="160"/>
      <c r="AN1008" s="164"/>
      <c r="AO1008" s="160"/>
      <c r="AP1008" s="160"/>
      <c r="AQ1008" s="160"/>
      <c r="AR1008" s="160"/>
      <c r="AS1008" s="160"/>
      <c r="AT1008" s="160"/>
      <c r="AU1008" s="160"/>
      <c r="AV1008" s="160"/>
      <c r="AW1008" s="160"/>
      <c r="AX1008" s="160"/>
      <c r="AY1008" s="160"/>
      <c r="AZ1008" s="160"/>
      <c r="BA1008" s="160"/>
      <c r="BB1008" s="160"/>
      <c r="BC1008" s="160"/>
      <c r="BD1008" s="160"/>
      <c r="BE1008" s="160"/>
      <c r="BF1008" s="160"/>
      <c r="BG1008" s="160"/>
      <c r="BH1008" s="160"/>
      <c r="BI1008" s="160"/>
      <c r="BJ1008" s="160"/>
      <c r="BK1008" s="160"/>
      <c r="BL1008" s="160"/>
      <c r="BM1008" s="160"/>
      <c r="BN1008" s="160"/>
      <c r="BO1008" s="160"/>
      <c r="BP1008" s="160"/>
      <c r="BQ1008" s="160"/>
      <c r="BR1008" s="160"/>
      <c r="BS1008" s="160"/>
      <c r="BT1008" s="160"/>
      <c r="BU1008" s="160"/>
      <c r="BV1008" s="160"/>
      <c r="BW1008" s="160"/>
      <c r="BX1008" s="160"/>
      <c r="BY1008" s="160"/>
      <c r="BZ1008" s="160"/>
      <c r="CA1008" s="160"/>
      <c r="CB1008" s="160"/>
      <c r="CC1008" s="160"/>
      <c r="CD1008" s="160"/>
      <c r="CE1008" s="160"/>
      <c r="CF1008" s="160"/>
      <c r="CG1008" s="160"/>
      <c r="CH1008" s="160"/>
      <c r="CI1008" s="160"/>
      <c r="CJ1008" s="160"/>
      <c r="CK1008" s="160"/>
      <c r="CL1008" s="160"/>
    </row>
    <row r="1009">
      <c r="A1009" s="171"/>
      <c r="F1009" s="11"/>
      <c r="G1009" s="11"/>
      <c r="L1009" s="171"/>
      <c r="M1009" s="171"/>
      <c r="O1009" s="160"/>
      <c r="P1009" s="160"/>
      <c r="Q1009" s="160"/>
      <c r="R1009" s="160"/>
      <c r="S1009" s="160"/>
      <c r="T1009" s="207"/>
      <c r="U1009" s="160"/>
      <c r="V1009" s="160"/>
      <c r="W1009" s="160"/>
      <c r="X1009" s="160"/>
      <c r="Y1009" s="160"/>
      <c r="Z1009" s="160"/>
      <c r="AA1009" s="160"/>
      <c r="AB1009" s="160"/>
      <c r="AC1009" s="160"/>
      <c r="AD1009" s="160"/>
      <c r="AE1009" s="160"/>
      <c r="AF1009" s="160"/>
      <c r="AG1009" s="160"/>
      <c r="AH1009" s="160"/>
      <c r="AI1009" s="160"/>
      <c r="AJ1009" s="160"/>
      <c r="AK1009" s="160"/>
      <c r="AL1009" s="160"/>
      <c r="AM1009" s="160"/>
      <c r="AN1009" s="164"/>
      <c r="AO1009" s="160"/>
      <c r="AP1009" s="160"/>
      <c r="AQ1009" s="160"/>
      <c r="AR1009" s="160"/>
      <c r="AS1009" s="160"/>
      <c r="AT1009" s="160"/>
      <c r="AU1009" s="160"/>
      <c r="AV1009" s="160"/>
      <c r="AW1009" s="160"/>
      <c r="AX1009" s="160"/>
      <c r="AY1009" s="160"/>
      <c r="AZ1009" s="160"/>
      <c r="BA1009" s="160"/>
      <c r="BB1009" s="160"/>
      <c r="BC1009" s="160"/>
      <c r="BD1009" s="160"/>
      <c r="BE1009" s="160"/>
      <c r="BF1009" s="160"/>
      <c r="BG1009" s="160"/>
      <c r="BH1009" s="160"/>
      <c r="BI1009" s="160"/>
      <c r="BJ1009" s="160"/>
      <c r="BK1009" s="160"/>
      <c r="BL1009" s="160"/>
      <c r="BM1009" s="160"/>
      <c r="BN1009" s="160"/>
      <c r="BO1009" s="160"/>
      <c r="BP1009" s="160"/>
      <c r="BQ1009" s="160"/>
      <c r="BR1009" s="160"/>
      <c r="BS1009" s="160"/>
      <c r="BT1009" s="160"/>
      <c r="BU1009" s="160"/>
      <c r="BV1009" s="160"/>
      <c r="BW1009" s="160"/>
      <c r="BX1009" s="160"/>
      <c r="BY1009" s="160"/>
      <c r="BZ1009" s="160"/>
      <c r="CA1009" s="160"/>
      <c r="CB1009" s="160"/>
      <c r="CC1009" s="160"/>
      <c r="CD1009" s="160"/>
      <c r="CE1009" s="160"/>
      <c r="CF1009" s="160"/>
      <c r="CG1009" s="160"/>
      <c r="CH1009" s="160"/>
      <c r="CI1009" s="160"/>
      <c r="CJ1009" s="160"/>
      <c r="CK1009" s="160"/>
      <c r="CL1009" s="160"/>
    </row>
    <row r="1010">
      <c r="A1010" s="171"/>
      <c r="F1010" s="11"/>
      <c r="G1010" s="11"/>
      <c r="L1010" s="171"/>
      <c r="M1010" s="171"/>
      <c r="O1010" s="160"/>
      <c r="P1010" s="160"/>
      <c r="Q1010" s="160"/>
      <c r="R1010" s="160"/>
      <c r="S1010" s="160"/>
      <c r="T1010" s="207"/>
      <c r="U1010" s="160"/>
      <c r="V1010" s="160"/>
      <c r="W1010" s="160"/>
      <c r="X1010" s="160"/>
      <c r="Y1010" s="160"/>
      <c r="Z1010" s="160"/>
      <c r="AA1010" s="160"/>
      <c r="AB1010" s="160"/>
      <c r="AC1010" s="160"/>
      <c r="AD1010" s="160"/>
      <c r="AE1010" s="160"/>
      <c r="AF1010" s="160"/>
      <c r="AG1010" s="160"/>
      <c r="AH1010" s="160"/>
      <c r="AI1010" s="160"/>
      <c r="AJ1010" s="160"/>
      <c r="AK1010" s="160"/>
      <c r="AL1010" s="160"/>
      <c r="AM1010" s="160"/>
      <c r="AN1010" s="164"/>
      <c r="AO1010" s="160"/>
      <c r="AP1010" s="160"/>
      <c r="AQ1010" s="160"/>
      <c r="AR1010" s="160"/>
      <c r="AS1010" s="160"/>
      <c r="AT1010" s="160"/>
      <c r="AU1010" s="160"/>
      <c r="AV1010" s="160"/>
      <c r="AW1010" s="160"/>
      <c r="AX1010" s="160"/>
      <c r="AY1010" s="160"/>
      <c r="AZ1010" s="160"/>
      <c r="BA1010" s="160"/>
      <c r="BB1010" s="160"/>
      <c r="BC1010" s="160"/>
      <c r="BD1010" s="160"/>
      <c r="BE1010" s="160"/>
      <c r="BF1010" s="160"/>
      <c r="BG1010" s="160"/>
      <c r="BH1010" s="160"/>
      <c r="BI1010" s="160"/>
      <c r="BJ1010" s="160"/>
      <c r="BK1010" s="160"/>
      <c r="BL1010" s="160"/>
      <c r="BM1010" s="160"/>
      <c r="BN1010" s="160"/>
      <c r="BO1010" s="160"/>
      <c r="BP1010" s="160"/>
      <c r="BQ1010" s="160"/>
      <c r="BR1010" s="160"/>
      <c r="BS1010" s="160"/>
      <c r="BT1010" s="160"/>
      <c r="BU1010" s="160"/>
      <c r="BV1010" s="160"/>
      <c r="BW1010" s="160"/>
      <c r="BX1010" s="160"/>
      <c r="BY1010" s="160"/>
      <c r="BZ1010" s="160"/>
      <c r="CA1010" s="160"/>
      <c r="CB1010" s="160"/>
      <c r="CC1010" s="160"/>
      <c r="CD1010" s="160"/>
      <c r="CE1010" s="160"/>
      <c r="CF1010" s="160"/>
      <c r="CG1010" s="160"/>
      <c r="CH1010" s="160"/>
      <c r="CI1010" s="160"/>
      <c r="CJ1010" s="160"/>
      <c r="CK1010" s="160"/>
      <c r="CL1010" s="160"/>
    </row>
    <row r="1011">
      <c r="A1011" s="171"/>
      <c r="F1011" s="11"/>
      <c r="G1011" s="11"/>
      <c r="L1011" s="171"/>
      <c r="M1011" s="171"/>
      <c r="O1011" s="160"/>
      <c r="P1011" s="160"/>
      <c r="Q1011" s="160"/>
      <c r="R1011" s="160"/>
      <c r="S1011" s="160"/>
      <c r="T1011" s="207"/>
      <c r="U1011" s="160"/>
      <c r="V1011" s="160"/>
      <c r="W1011" s="160"/>
      <c r="X1011" s="160"/>
      <c r="Y1011" s="160"/>
      <c r="Z1011" s="160"/>
      <c r="AA1011" s="160"/>
      <c r="AB1011" s="160"/>
      <c r="AC1011" s="160"/>
      <c r="AD1011" s="160"/>
      <c r="AE1011" s="160"/>
      <c r="AF1011" s="160"/>
      <c r="AG1011" s="160"/>
      <c r="AH1011" s="160"/>
      <c r="AI1011" s="160"/>
      <c r="AJ1011" s="160"/>
      <c r="AK1011" s="160"/>
      <c r="AL1011" s="160"/>
      <c r="AM1011" s="160"/>
      <c r="AN1011" s="164"/>
      <c r="AO1011" s="160"/>
      <c r="AP1011" s="160"/>
      <c r="AQ1011" s="160"/>
      <c r="AR1011" s="160"/>
      <c r="AS1011" s="160"/>
      <c r="AT1011" s="160"/>
      <c r="AU1011" s="160"/>
      <c r="AV1011" s="160"/>
      <c r="AW1011" s="160"/>
      <c r="AX1011" s="160"/>
      <c r="AY1011" s="160"/>
      <c r="AZ1011" s="160"/>
      <c r="BA1011" s="160"/>
      <c r="BB1011" s="160"/>
      <c r="BC1011" s="160"/>
      <c r="BD1011" s="160"/>
      <c r="BE1011" s="160"/>
      <c r="BF1011" s="160"/>
      <c r="BG1011" s="160"/>
      <c r="BH1011" s="160"/>
      <c r="BI1011" s="160"/>
      <c r="BJ1011" s="160"/>
      <c r="BK1011" s="160"/>
      <c r="BL1011" s="160"/>
      <c r="BM1011" s="160"/>
      <c r="BN1011" s="160"/>
      <c r="BO1011" s="160"/>
      <c r="BP1011" s="160"/>
      <c r="BQ1011" s="160"/>
      <c r="BR1011" s="160"/>
      <c r="BS1011" s="160"/>
      <c r="BT1011" s="160"/>
      <c r="BU1011" s="160"/>
      <c r="BV1011" s="160"/>
      <c r="BW1011" s="160"/>
      <c r="BX1011" s="160"/>
      <c r="BY1011" s="160"/>
      <c r="BZ1011" s="160"/>
      <c r="CA1011" s="160"/>
      <c r="CB1011" s="160"/>
      <c r="CC1011" s="160"/>
      <c r="CD1011" s="160"/>
      <c r="CE1011" s="160"/>
      <c r="CF1011" s="160"/>
      <c r="CG1011" s="160"/>
      <c r="CH1011" s="160"/>
      <c r="CI1011" s="160"/>
      <c r="CJ1011" s="160"/>
      <c r="CK1011" s="160"/>
      <c r="CL1011" s="160"/>
    </row>
    <row r="1012">
      <c r="A1012" s="171"/>
      <c r="F1012" s="11"/>
      <c r="G1012" s="11"/>
      <c r="L1012" s="171"/>
      <c r="M1012" s="171"/>
      <c r="O1012" s="160"/>
      <c r="P1012" s="160"/>
      <c r="Q1012" s="160"/>
      <c r="R1012" s="160"/>
      <c r="S1012" s="160"/>
      <c r="T1012" s="207"/>
      <c r="U1012" s="160"/>
      <c r="V1012" s="160"/>
      <c r="W1012" s="160"/>
      <c r="X1012" s="160"/>
      <c r="Y1012" s="160"/>
      <c r="Z1012" s="160"/>
      <c r="AA1012" s="160"/>
      <c r="AB1012" s="160"/>
      <c r="AC1012" s="160"/>
      <c r="AD1012" s="160"/>
      <c r="AE1012" s="160"/>
      <c r="AF1012" s="160"/>
      <c r="AG1012" s="160"/>
      <c r="AH1012" s="160"/>
      <c r="AI1012" s="160"/>
      <c r="AJ1012" s="160"/>
      <c r="AK1012" s="160"/>
      <c r="AL1012" s="160"/>
      <c r="AM1012" s="160"/>
      <c r="AN1012" s="164"/>
      <c r="AO1012" s="160"/>
      <c r="AP1012" s="160"/>
      <c r="AQ1012" s="160"/>
      <c r="AR1012" s="160"/>
      <c r="AS1012" s="160"/>
      <c r="AT1012" s="160"/>
      <c r="AU1012" s="160"/>
      <c r="AV1012" s="160"/>
      <c r="AW1012" s="160"/>
      <c r="AX1012" s="160"/>
      <c r="AY1012" s="160"/>
      <c r="AZ1012" s="160"/>
      <c r="BA1012" s="160"/>
      <c r="BB1012" s="160"/>
      <c r="BC1012" s="160"/>
      <c r="BD1012" s="160"/>
      <c r="BE1012" s="160"/>
      <c r="BF1012" s="160"/>
      <c r="BG1012" s="160"/>
      <c r="BH1012" s="160"/>
      <c r="BI1012" s="160"/>
      <c r="BJ1012" s="160"/>
      <c r="BK1012" s="160"/>
      <c r="BL1012" s="160"/>
      <c r="BM1012" s="160"/>
      <c r="BN1012" s="160"/>
      <c r="BO1012" s="160"/>
      <c r="BP1012" s="160"/>
      <c r="BQ1012" s="160"/>
      <c r="BR1012" s="160"/>
      <c r="BS1012" s="160"/>
      <c r="BT1012" s="160"/>
      <c r="BU1012" s="160"/>
      <c r="BV1012" s="160"/>
      <c r="BW1012" s="160"/>
      <c r="BX1012" s="160"/>
      <c r="BY1012" s="160"/>
      <c r="BZ1012" s="160"/>
      <c r="CA1012" s="160"/>
      <c r="CB1012" s="160"/>
      <c r="CC1012" s="160"/>
      <c r="CD1012" s="160"/>
      <c r="CE1012" s="160"/>
      <c r="CF1012" s="160"/>
      <c r="CG1012" s="160"/>
      <c r="CH1012" s="160"/>
      <c r="CI1012" s="160"/>
      <c r="CJ1012" s="160"/>
      <c r="CK1012" s="160"/>
      <c r="CL1012" s="160"/>
    </row>
    <row r="1013">
      <c r="A1013" s="171"/>
      <c r="F1013" s="11"/>
      <c r="G1013" s="11"/>
      <c r="L1013" s="171"/>
      <c r="M1013" s="171"/>
      <c r="O1013" s="160"/>
      <c r="P1013" s="160"/>
      <c r="Q1013" s="160"/>
      <c r="R1013" s="160"/>
      <c r="S1013" s="160"/>
      <c r="T1013" s="207"/>
      <c r="U1013" s="160"/>
      <c r="V1013" s="160"/>
      <c r="W1013" s="160"/>
      <c r="X1013" s="160"/>
      <c r="Y1013" s="160"/>
      <c r="Z1013" s="160"/>
      <c r="AA1013" s="160"/>
      <c r="AB1013" s="160"/>
      <c r="AC1013" s="160"/>
      <c r="AD1013" s="160"/>
      <c r="AE1013" s="160"/>
      <c r="AF1013" s="160"/>
      <c r="AG1013" s="160"/>
      <c r="AH1013" s="160"/>
      <c r="AI1013" s="160"/>
      <c r="AJ1013" s="160"/>
      <c r="AK1013" s="160"/>
      <c r="AL1013" s="160"/>
      <c r="AM1013" s="160"/>
      <c r="AN1013" s="164"/>
      <c r="AO1013" s="160"/>
      <c r="AP1013" s="160"/>
      <c r="AQ1013" s="160"/>
      <c r="AR1013" s="160"/>
      <c r="AS1013" s="160"/>
      <c r="AT1013" s="160"/>
      <c r="AU1013" s="160"/>
      <c r="AV1013" s="160"/>
      <c r="AW1013" s="160"/>
      <c r="AX1013" s="160"/>
      <c r="AY1013" s="160"/>
      <c r="AZ1013" s="160"/>
      <c r="BA1013" s="160"/>
      <c r="BB1013" s="160"/>
      <c r="BC1013" s="160"/>
      <c r="BD1013" s="160"/>
      <c r="BE1013" s="160"/>
      <c r="BF1013" s="160"/>
      <c r="BG1013" s="160"/>
      <c r="BH1013" s="160"/>
      <c r="BI1013" s="160"/>
      <c r="BJ1013" s="160"/>
      <c r="BK1013" s="160"/>
      <c r="BL1013" s="160"/>
      <c r="BM1013" s="160"/>
      <c r="BN1013" s="160"/>
      <c r="BO1013" s="160"/>
      <c r="BP1013" s="160"/>
      <c r="BQ1013" s="160"/>
      <c r="BR1013" s="160"/>
      <c r="BS1013" s="160"/>
      <c r="BT1013" s="160"/>
      <c r="BU1013" s="160"/>
      <c r="BV1013" s="160"/>
      <c r="BW1013" s="160"/>
      <c r="BX1013" s="160"/>
      <c r="BY1013" s="160"/>
      <c r="BZ1013" s="160"/>
      <c r="CA1013" s="160"/>
      <c r="CB1013" s="160"/>
      <c r="CC1013" s="160"/>
      <c r="CD1013" s="160"/>
      <c r="CE1013" s="160"/>
      <c r="CF1013" s="160"/>
      <c r="CG1013" s="160"/>
      <c r="CH1013" s="160"/>
      <c r="CI1013" s="160"/>
      <c r="CJ1013" s="160"/>
      <c r="CK1013" s="160"/>
      <c r="CL1013" s="160"/>
    </row>
    <row r="1014">
      <c r="A1014" s="171"/>
      <c r="F1014" s="11"/>
      <c r="G1014" s="11"/>
      <c r="L1014" s="171"/>
      <c r="M1014" s="171"/>
      <c r="O1014" s="160"/>
      <c r="P1014" s="160"/>
      <c r="Q1014" s="160"/>
      <c r="R1014" s="160"/>
      <c r="S1014" s="160"/>
      <c r="T1014" s="207"/>
      <c r="U1014" s="160"/>
      <c r="V1014" s="160"/>
      <c r="W1014" s="160"/>
      <c r="X1014" s="160"/>
      <c r="Y1014" s="160"/>
      <c r="Z1014" s="160"/>
      <c r="AA1014" s="160"/>
      <c r="AB1014" s="160"/>
      <c r="AC1014" s="160"/>
      <c r="AD1014" s="160"/>
      <c r="AE1014" s="160"/>
      <c r="AF1014" s="160"/>
      <c r="AG1014" s="160"/>
      <c r="AH1014" s="160"/>
      <c r="AI1014" s="160"/>
      <c r="AJ1014" s="160"/>
      <c r="AK1014" s="160"/>
      <c r="AL1014" s="160"/>
      <c r="AM1014" s="160"/>
      <c r="AN1014" s="164"/>
      <c r="AO1014" s="160"/>
      <c r="AP1014" s="160"/>
      <c r="AQ1014" s="160"/>
      <c r="AR1014" s="160"/>
      <c r="AS1014" s="160"/>
      <c r="AT1014" s="160"/>
      <c r="AU1014" s="160"/>
      <c r="AV1014" s="160"/>
      <c r="AW1014" s="160"/>
      <c r="AX1014" s="160"/>
      <c r="AY1014" s="160"/>
      <c r="AZ1014" s="160"/>
      <c r="BA1014" s="160"/>
      <c r="BB1014" s="160"/>
      <c r="BC1014" s="160"/>
      <c r="BD1014" s="160"/>
      <c r="BE1014" s="160"/>
      <c r="BF1014" s="160"/>
      <c r="BG1014" s="160"/>
      <c r="BH1014" s="160"/>
      <c r="BI1014" s="160"/>
      <c r="BJ1014" s="160"/>
      <c r="BK1014" s="160"/>
      <c r="BL1014" s="160"/>
      <c r="BM1014" s="160"/>
      <c r="BN1014" s="160"/>
      <c r="BO1014" s="160"/>
      <c r="BP1014" s="160"/>
      <c r="BQ1014" s="160"/>
      <c r="BR1014" s="160"/>
      <c r="BS1014" s="160"/>
      <c r="BT1014" s="160"/>
      <c r="BU1014" s="160"/>
      <c r="BV1014" s="160"/>
      <c r="BW1014" s="160"/>
      <c r="BX1014" s="160"/>
      <c r="BY1014" s="160"/>
      <c r="BZ1014" s="160"/>
      <c r="CA1014" s="160"/>
      <c r="CB1014" s="160"/>
      <c r="CC1014" s="160"/>
      <c r="CD1014" s="160"/>
      <c r="CE1014" s="160"/>
      <c r="CF1014" s="160"/>
      <c r="CG1014" s="160"/>
      <c r="CH1014" s="160"/>
      <c r="CI1014" s="160"/>
      <c r="CJ1014" s="160"/>
      <c r="CK1014" s="160"/>
      <c r="CL1014" s="160"/>
    </row>
    <row r="1015">
      <c r="A1015" s="171"/>
      <c r="F1015" s="11"/>
      <c r="G1015" s="11"/>
      <c r="L1015" s="171"/>
      <c r="M1015" s="171"/>
      <c r="O1015" s="160"/>
      <c r="P1015" s="160"/>
      <c r="Q1015" s="160"/>
      <c r="R1015" s="160"/>
      <c r="S1015" s="160"/>
      <c r="T1015" s="207"/>
      <c r="U1015" s="160"/>
      <c r="V1015" s="160"/>
      <c r="W1015" s="160"/>
      <c r="X1015" s="160"/>
      <c r="Y1015" s="160"/>
      <c r="Z1015" s="160"/>
      <c r="AA1015" s="160"/>
      <c r="AB1015" s="160"/>
      <c r="AC1015" s="160"/>
      <c r="AD1015" s="160"/>
      <c r="AE1015" s="160"/>
      <c r="AF1015" s="160"/>
      <c r="AG1015" s="160"/>
      <c r="AH1015" s="160"/>
      <c r="AI1015" s="160"/>
      <c r="AJ1015" s="160"/>
      <c r="AK1015" s="160"/>
      <c r="AL1015" s="160"/>
      <c r="AM1015" s="160"/>
      <c r="AN1015" s="164"/>
      <c r="AO1015" s="160"/>
      <c r="AP1015" s="160"/>
      <c r="AQ1015" s="160"/>
      <c r="AR1015" s="160"/>
      <c r="AS1015" s="160"/>
      <c r="AT1015" s="160"/>
      <c r="AU1015" s="160"/>
      <c r="AV1015" s="160"/>
      <c r="AW1015" s="160"/>
      <c r="AX1015" s="160"/>
      <c r="AY1015" s="160"/>
      <c r="AZ1015" s="160"/>
      <c r="BA1015" s="160"/>
      <c r="BB1015" s="160"/>
      <c r="BC1015" s="160"/>
      <c r="BD1015" s="160"/>
      <c r="BE1015" s="160"/>
      <c r="BF1015" s="160"/>
      <c r="BG1015" s="160"/>
      <c r="BH1015" s="160"/>
      <c r="BI1015" s="160"/>
      <c r="BJ1015" s="160"/>
      <c r="BK1015" s="160"/>
      <c r="BL1015" s="160"/>
      <c r="BM1015" s="160"/>
      <c r="BN1015" s="160"/>
      <c r="BO1015" s="160"/>
      <c r="BP1015" s="160"/>
      <c r="BQ1015" s="160"/>
      <c r="BR1015" s="160"/>
      <c r="BS1015" s="160"/>
      <c r="BT1015" s="160"/>
      <c r="BU1015" s="160"/>
      <c r="BV1015" s="160"/>
      <c r="BW1015" s="160"/>
      <c r="BX1015" s="160"/>
      <c r="BY1015" s="160"/>
      <c r="BZ1015" s="160"/>
      <c r="CA1015" s="160"/>
      <c r="CB1015" s="160"/>
      <c r="CC1015" s="160"/>
      <c r="CD1015" s="160"/>
      <c r="CE1015" s="160"/>
      <c r="CF1015" s="160"/>
      <c r="CG1015" s="160"/>
      <c r="CH1015" s="160"/>
      <c r="CI1015" s="160"/>
      <c r="CJ1015" s="160"/>
      <c r="CK1015" s="160"/>
      <c r="CL1015" s="160"/>
    </row>
    <row r="1016">
      <c r="A1016" s="171"/>
      <c r="F1016" s="11"/>
      <c r="G1016" s="11"/>
      <c r="L1016" s="171"/>
      <c r="M1016" s="171"/>
      <c r="O1016" s="160"/>
      <c r="P1016" s="160"/>
      <c r="Q1016" s="160"/>
      <c r="R1016" s="160"/>
      <c r="S1016" s="160"/>
      <c r="T1016" s="207"/>
      <c r="U1016" s="160"/>
      <c r="V1016" s="160"/>
      <c r="W1016" s="160"/>
      <c r="X1016" s="160"/>
      <c r="Y1016" s="160"/>
      <c r="Z1016" s="160"/>
      <c r="AA1016" s="160"/>
      <c r="AB1016" s="160"/>
      <c r="AC1016" s="160"/>
      <c r="AD1016" s="160"/>
      <c r="AE1016" s="160"/>
      <c r="AF1016" s="160"/>
      <c r="AG1016" s="160"/>
      <c r="AH1016" s="160"/>
      <c r="AI1016" s="160"/>
      <c r="AJ1016" s="160"/>
      <c r="AK1016" s="160"/>
      <c r="AL1016" s="160"/>
      <c r="AM1016" s="160"/>
      <c r="AN1016" s="164"/>
      <c r="AO1016" s="160"/>
      <c r="AP1016" s="160"/>
      <c r="AQ1016" s="160"/>
      <c r="AR1016" s="160"/>
      <c r="AS1016" s="160"/>
      <c r="AT1016" s="160"/>
      <c r="AU1016" s="160"/>
      <c r="AV1016" s="160"/>
      <c r="AW1016" s="160"/>
      <c r="AX1016" s="160"/>
      <c r="AY1016" s="160"/>
      <c r="AZ1016" s="160"/>
      <c r="BA1016" s="160"/>
      <c r="BB1016" s="160"/>
      <c r="BC1016" s="160"/>
      <c r="BD1016" s="160"/>
      <c r="BE1016" s="160"/>
      <c r="BF1016" s="160"/>
      <c r="BG1016" s="160"/>
      <c r="BH1016" s="160"/>
      <c r="BI1016" s="160"/>
      <c r="BJ1016" s="160"/>
      <c r="BK1016" s="160"/>
      <c r="BL1016" s="160"/>
      <c r="BM1016" s="160"/>
      <c r="BN1016" s="160"/>
      <c r="BO1016" s="160"/>
      <c r="BP1016" s="160"/>
      <c r="BQ1016" s="160"/>
      <c r="BR1016" s="160"/>
      <c r="BS1016" s="160"/>
      <c r="BT1016" s="160"/>
      <c r="BU1016" s="160"/>
      <c r="BV1016" s="160"/>
      <c r="BW1016" s="160"/>
      <c r="BX1016" s="160"/>
      <c r="BY1016" s="160"/>
      <c r="BZ1016" s="160"/>
      <c r="CA1016" s="160"/>
      <c r="CB1016" s="160"/>
      <c r="CC1016" s="160"/>
      <c r="CD1016" s="160"/>
      <c r="CE1016" s="160"/>
      <c r="CF1016" s="160"/>
      <c r="CG1016" s="160"/>
      <c r="CH1016" s="160"/>
      <c r="CI1016" s="160"/>
      <c r="CJ1016" s="160"/>
      <c r="CK1016" s="160"/>
      <c r="CL1016" s="160"/>
    </row>
    <row r="1017">
      <c r="A1017" s="171"/>
      <c r="F1017" s="11"/>
      <c r="G1017" s="11"/>
      <c r="L1017" s="171"/>
      <c r="M1017" s="171"/>
      <c r="O1017" s="160"/>
      <c r="P1017" s="160"/>
      <c r="Q1017" s="160"/>
      <c r="R1017" s="160"/>
      <c r="S1017" s="160"/>
      <c r="T1017" s="207"/>
      <c r="U1017" s="160"/>
      <c r="V1017" s="160"/>
      <c r="W1017" s="160"/>
      <c r="X1017" s="160"/>
      <c r="Y1017" s="160"/>
      <c r="Z1017" s="160"/>
      <c r="AA1017" s="160"/>
      <c r="AB1017" s="160"/>
      <c r="AC1017" s="160"/>
      <c r="AD1017" s="160"/>
      <c r="AE1017" s="160"/>
      <c r="AF1017" s="160"/>
      <c r="AG1017" s="160"/>
      <c r="AH1017" s="160"/>
      <c r="AI1017" s="160"/>
      <c r="AJ1017" s="160"/>
      <c r="AK1017" s="160"/>
      <c r="AL1017" s="160"/>
      <c r="AM1017" s="160"/>
      <c r="AN1017" s="164"/>
      <c r="AO1017" s="160"/>
      <c r="AP1017" s="160"/>
      <c r="AQ1017" s="160"/>
      <c r="AR1017" s="160"/>
      <c r="AS1017" s="160"/>
      <c r="AT1017" s="160"/>
      <c r="AU1017" s="160"/>
      <c r="AV1017" s="160"/>
      <c r="AW1017" s="160"/>
      <c r="AX1017" s="160"/>
      <c r="AY1017" s="160"/>
      <c r="AZ1017" s="160"/>
      <c r="BA1017" s="160"/>
      <c r="BB1017" s="160"/>
      <c r="BC1017" s="160"/>
      <c r="BD1017" s="160"/>
      <c r="BE1017" s="160"/>
      <c r="BF1017" s="160"/>
      <c r="BG1017" s="160"/>
      <c r="BH1017" s="160"/>
      <c r="BI1017" s="160"/>
      <c r="BJ1017" s="160"/>
      <c r="BK1017" s="160"/>
      <c r="BL1017" s="160"/>
      <c r="BM1017" s="160"/>
      <c r="BN1017" s="160"/>
      <c r="BO1017" s="160"/>
      <c r="BP1017" s="160"/>
      <c r="BQ1017" s="160"/>
      <c r="BR1017" s="160"/>
      <c r="BS1017" s="160"/>
      <c r="BT1017" s="160"/>
      <c r="BU1017" s="160"/>
      <c r="BV1017" s="160"/>
      <c r="BW1017" s="160"/>
      <c r="BX1017" s="160"/>
      <c r="BY1017" s="160"/>
      <c r="BZ1017" s="160"/>
      <c r="CA1017" s="160"/>
      <c r="CB1017" s="160"/>
      <c r="CC1017" s="160"/>
      <c r="CD1017" s="160"/>
      <c r="CE1017" s="160"/>
      <c r="CF1017" s="160"/>
      <c r="CG1017" s="160"/>
      <c r="CH1017" s="160"/>
      <c r="CI1017" s="160"/>
      <c r="CJ1017" s="160"/>
      <c r="CK1017" s="160"/>
      <c r="CL1017" s="160"/>
    </row>
    <row r="1018">
      <c r="A1018" s="171"/>
      <c r="F1018" s="11"/>
      <c r="G1018" s="11"/>
      <c r="L1018" s="171"/>
      <c r="M1018" s="171"/>
      <c r="O1018" s="160"/>
      <c r="P1018" s="160"/>
      <c r="Q1018" s="160"/>
      <c r="R1018" s="160"/>
      <c r="S1018" s="160"/>
      <c r="T1018" s="207"/>
      <c r="U1018" s="160"/>
      <c r="V1018" s="160"/>
      <c r="W1018" s="160"/>
      <c r="X1018" s="160"/>
      <c r="Y1018" s="160"/>
      <c r="Z1018" s="160"/>
      <c r="AA1018" s="160"/>
      <c r="AB1018" s="160"/>
      <c r="AC1018" s="160"/>
      <c r="AD1018" s="160"/>
      <c r="AE1018" s="160"/>
      <c r="AF1018" s="160"/>
      <c r="AG1018" s="160"/>
      <c r="AH1018" s="160"/>
      <c r="AI1018" s="160"/>
      <c r="AJ1018" s="160"/>
      <c r="AK1018" s="160"/>
      <c r="AL1018" s="160"/>
      <c r="AM1018" s="160"/>
      <c r="AN1018" s="164"/>
      <c r="AO1018" s="160"/>
      <c r="AP1018" s="160"/>
      <c r="AQ1018" s="160"/>
      <c r="AR1018" s="160"/>
      <c r="AS1018" s="160"/>
      <c r="AT1018" s="160"/>
      <c r="AU1018" s="160"/>
      <c r="AV1018" s="160"/>
      <c r="AW1018" s="160"/>
      <c r="AX1018" s="160"/>
      <c r="AY1018" s="160"/>
      <c r="AZ1018" s="160"/>
      <c r="BA1018" s="160"/>
      <c r="BB1018" s="160"/>
      <c r="BC1018" s="160"/>
      <c r="BD1018" s="160"/>
      <c r="BE1018" s="160"/>
      <c r="BF1018" s="160"/>
      <c r="BG1018" s="160"/>
      <c r="BH1018" s="160"/>
      <c r="BI1018" s="160"/>
      <c r="BJ1018" s="160"/>
      <c r="BK1018" s="160"/>
      <c r="BL1018" s="160"/>
      <c r="BM1018" s="160"/>
      <c r="BN1018" s="160"/>
      <c r="BO1018" s="160"/>
      <c r="BP1018" s="160"/>
      <c r="BQ1018" s="160"/>
      <c r="BR1018" s="160"/>
      <c r="BS1018" s="160"/>
      <c r="BT1018" s="160"/>
      <c r="BU1018" s="160"/>
      <c r="BV1018" s="160"/>
      <c r="BW1018" s="160"/>
      <c r="BX1018" s="160"/>
      <c r="BY1018" s="160"/>
      <c r="BZ1018" s="160"/>
      <c r="CA1018" s="160"/>
      <c r="CB1018" s="160"/>
      <c r="CC1018" s="160"/>
      <c r="CD1018" s="160"/>
      <c r="CE1018" s="160"/>
      <c r="CF1018" s="160"/>
      <c r="CG1018" s="160"/>
      <c r="CH1018" s="160"/>
      <c r="CI1018" s="160"/>
      <c r="CJ1018" s="160"/>
      <c r="CK1018" s="160"/>
      <c r="CL1018" s="160"/>
    </row>
    <row r="1019">
      <c r="A1019" s="171"/>
      <c r="F1019" s="11"/>
      <c r="G1019" s="11"/>
      <c r="L1019" s="171"/>
      <c r="M1019" s="171"/>
      <c r="O1019" s="160"/>
      <c r="P1019" s="160"/>
      <c r="Q1019" s="160"/>
      <c r="R1019" s="160"/>
      <c r="S1019" s="160"/>
      <c r="T1019" s="207"/>
      <c r="U1019" s="160"/>
      <c r="V1019" s="160"/>
      <c r="W1019" s="160"/>
      <c r="X1019" s="160"/>
      <c r="Y1019" s="160"/>
      <c r="Z1019" s="160"/>
      <c r="AA1019" s="160"/>
      <c r="AB1019" s="160"/>
      <c r="AC1019" s="160"/>
      <c r="AD1019" s="160"/>
      <c r="AE1019" s="160"/>
      <c r="AF1019" s="160"/>
      <c r="AG1019" s="160"/>
      <c r="AH1019" s="160"/>
      <c r="AI1019" s="160"/>
      <c r="AJ1019" s="160"/>
      <c r="AK1019" s="160"/>
      <c r="AL1019" s="160"/>
      <c r="AM1019" s="160"/>
      <c r="AN1019" s="164"/>
      <c r="AO1019" s="160"/>
      <c r="AP1019" s="160"/>
      <c r="AQ1019" s="160"/>
      <c r="AR1019" s="160"/>
      <c r="AS1019" s="160"/>
      <c r="AT1019" s="160"/>
      <c r="AU1019" s="160"/>
      <c r="AV1019" s="160"/>
      <c r="AW1019" s="160"/>
      <c r="AX1019" s="160"/>
      <c r="AY1019" s="160"/>
      <c r="AZ1019" s="160"/>
      <c r="BA1019" s="160"/>
      <c r="BB1019" s="160"/>
      <c r="BC1019" s="160"/>
      <c r="BD1019" s="160"/>
      <c r="BE1019" s="160"/>
      <c r="BF1019" s="160"/>
      <c r="BG1019" s="160"/>
      <c r="BH1019" s="160"/>
      <c r="BI1019" s="160"/>
      <c r="BJ1019" s="160"/>
      <c r="BK1019" s="160"/>
      <c r="BL1019" s="160"/>
      <c r="BM1019" s="160"/>
      <c r="BN1019" s="160"/>
      <c r="BO1019" s="160"/>
      <c r="BP1019" s="160"/>
      <c r="BQ1019" s="160"/>
      <c r="BR1019" s="160"/>
      <c r="BS1019" s="160"/>
      <c r="BT1019" s="160"/>
      <c r="BU1019" s="160"/>
      <c r="BV1019" s="160"/>
      <c r="BW1019" s="160"/>
      <c r="BX1019" s="160"/>
      <c r="BY1019" s="160"/>
      <c r="BZ1019" s="160"/>
      <c r="CA1019" s="160"/>
      <c r="CB1019" s="160"/>
      <c r="CC1019" s="160"/>
      <c r="CD1019" s="160"/>
      <c r="CE1019" s="160"/>
      <c r="CF1019" s="160"/>
      <c r="CG1019" s="160"/>
      <c r="CH1019" s="160"/>
      <c r="CI1019" s="160"/>
      <c r="CJ1019" s="160"/>
      <c r="CK1019" s="160"/>
      <c r="CL1019" s="160"/>
    </row>
    <row r="1020">
      <c r="A1020" s="171"/>
      <c r="F1020" s="11"/>
      <c r="G1020" s="11"/>
      <c r="L1020" s="171"/>
      <c r="M1020" s="171"/>
      <c r="O1020" s="160"/>
      <c r="P1020" s="160"/>
      <c r="Q1020" s="160"/>
      <c r="R1020" s="160"/>
      <c r="S1020" s="160"/>
      <c r="T1020" s="207"/>
      <c r="U1020" s="160"/>
      <c r="V1020" s="160"/>
      <c r="W1020" s="160"/>
      <c r="X1020" s="160"/>
      <c r="Y1020" s="160"/>
      <c r="Z1020" s="160"/>
      <c r="AA1020" s="160"/>
      <c r="AB1020" s="160"/>
      <c r="AC1020" s="160"/>
      <c r="AD1020" s="160"/>
      <c r="AE1020" s="160"/>
      <c r="AF1020" s="160"/>
      <c r="AG1020" s="160"/>
      <c r="AH1020" s="160"/>
      <c r="AI1020" s="160"/>
      <c r="AJ1020" s="160"/>
      <c r="AK1020" s="160"/>
      <c r="AL1020" s="160"/>
      <c r="AM1020" s="160"/>
      <c r="AN1020" s="164"/>
      <c r="AO1020" s="160"/>
      <c r="AP1020" s="160"/>
      <c r="AQ1020" s="160"/>
      <c r="AR1020" s="160"/>
      <c r="AS1020" s="160"/>
      <c r="AT1020" s="160"/>
      <c r="AU1020" s="160"/>
      <c r="AV1020" s="160"/>
      <c r="AW1020" s="160"/>
      <c r="AX1020" s="160"/>
      <c r="AY1020" s="160"/>
      <c r="AZ1020" s="160"/>
      <c r="BA1020" s="160"/>
      <c r="BB1020" s="160"/>
      <c r="BC1020" s="160"/>
      <c r="BD1020" s="160"/>
      <c r="BE1020" s="160"/>
      <c r="BF1020" s="160"/>
      <c r="BG1020" s="160"/>
      <c r="BH1020" s="160"/>
      <c r="BI1020" s="160"/>
      <c r="BJ1020" s="160"/>
      <c r="BK1020" s="160"/>
      <c r="BL1020" s="160"/>
      <c r="BM1020" s="160"/>
      <c r="BN1020" s="160"/>
      <c r="BO1020" s="160"/>
      <c r="BP1020" s="160"/>
      <c r="BQ1020" s="160"/>
      <c r="BR1020" s="160"/>
      <c r="BS1020" s="160"/>
      <c r="BT1020" s="160"/>
      <c r="BU1020" s="160"/>
      <c r="BV1020" s="160"/>
      <c r="BW1020" s="160"/>
      <c r="BX1020" s="160"/>
      <c r="BY1020" s="160"/>
      <c r="BZ1020" s="160"/>
      <c r="CA1020" s="160"/>
      <c r="CB1020" s="160"/>
      <c r="CC1020" s="160"/>
      <c r="CD1020" s="160"/>
      <c r="CE1020" s="160"/>
      <c r="CF1020" s="160"/>
      <c r="CG1020" s="160"/>
      <c r="CH1020" s="160"/>
      <c r="CI1020" s="160"/>
      <c r="CJ1020" s="160"/>
      <c r="CK1020" s="160"/>
      <c r="CL1020" s="160"/>
    </row>
    <row r="1021">
      <c r="A1021" s="171"/>
      <c r="F1021" s="11"/>
      <c r="G1021" s="11"/>
      <c r="L1021" s="171"/>
      <c r="M1021" s="171"/>
      <c r="O1021" s="160"/>
      <c r="P1021" s="160"/>
      <c r="Q1021" s="160"/>
      <c r="R1021" s="160"/>
      <c r="S1021" s="160"/>
      <c r="T1021" s="207"/>
      <c r="U1021" s="160"/>
      <c r="V1021" s="160"/>
      <c r="W1021" s="160"/>
      <c r="X1021" s="160"/>
      <c r="Y1021" s="160"/>
      <c r="Z1021" s="160"/>
      <c r="AA1021" s="160"/>
      <c r="AB1021" s="160"/>
      <c r="AC1021" s="160"/>
      <c r="AD1021" s="160"/>
      <c r="AE1021" s="160"/>
      <c r="AF1021" s="160"/>
      <c r="AG1021" s="160"/>
      <c r="AH1021" s="160"/>
      <c r="AI1021" s="160"/>
      <c r="AJ1021" s="160"/>
      <c r="AK1021" s="160"/>
      <c r="AL1021" s="160"/>
      <c r="AM1021" s="160"/>
      <c r="AN1021" s="164"/>
      <c r="AO1021" s="160"/>
      <c r="AP1021" s="160"/>
      <c r="AQ1021" s="160"/>
      <c r="AR1021" s="160"/>
      <c r="AS1021" s="160"/>
      <c r="AT1021" s="160"/>
      <c r="AU1021" s="160"/>
      <c r="AV1021" s="160"/>
      <c r="AW1021" s="160"/>
      <c r="AX1021" s="160"/>
      <c r="AY1021" s="160"/>
      <c r="AZ1021" s="160"/>
      <c r="BA1021" s="160"/>
      <c r="BB1021" s="160"/>
      <c r="BC1021" s="160"/>
      <c r="BD1021" s="160"/>
      <c r="BE1021" s="160"/>
      <c r="BF1021" s="160"/>
      <c r="BG1021" s="160"/>
      <c r="BH1021" s="160"/>
      <c r="BI1021" s="160"/>
      <c r="BJ1021" s="160"/>
      <c r="BK1021" s="160"/>
      <c r="BL1021" s="160"/>
      <c r="BM1021" s="160"/>
      <c r="BN1021" s="160"/>
      <c r="BO1021" s="160"/>
      <c r="BP1021" s="160"/>
      <c r="BQ1021" s="160"/>
      <c r="BR1021" s="160"/>
      <c r="BS1021" s="160"/>
      <c r="BT1021" s="160"/>
      <c r="BU1021" s="160"/>
      <c r="BV1021" s="160"/>
      <c r="BW1021" s="160"/>
      <c r="BX1021" s="160"/>
      <c r="BY1021" s="160"/>
      <c r="BZ1021" s="160"/>
      <c r="CA1021" s="160"/>
      <c r="CB1021" s="160"/>
      <c r="CC1021" s="160"/>
      <c r="CD1021" s="160"/>
      <c r="CE1021" s="160"/>
      <c r="CF1021" s="160"/>
      <c r="CG1021" s="160"/>
      <c r="CH1021" s="160"/>
      <c r="CI1021" s="160"/>
      <c r="CJ1021" s="160"/>
      <c r="CK1021" s="160"/>
      <c r="CL1021" s="160"/>
    </row>
    <row r="1022">
      <c r="A1022" s="171"/>
      <c r="F1022" s="11"/>
      <c r="G1022" s="11"/>
      <c r="L1022" s="171"/>
      <c r="M1022" s="171"/>
      <c r="O1022" s="160"/>
      <c r="P1022" s="160"/>
      <c r="Q1022" s="160"/>
      <c r="R1022" s="160"/>
      <c r="S1022" s="160"/>
      <c r="T1022" s="207"/>
      <c r="U1022" s="160"/>
      <c r="V1022" s="160"/>
      <c r="W1022" s="160"/>
      <c r="X1022" s="160"/>
      <c r="Y1022" s="160"/>
      <c r="Z1022" s="160"/>
      <c r="AA1022" s="160"/>
      <c r="AB1022" s="160"/>
      <c r="AC1022" s="160"/>
      <c r="AD1022" s="160"/>
      <c r="AE1022" s="160"/>
      <c r="AF1022" s="160"/>
      <c r="AG1022" s="160"/>
      <c r="AH1022" s="160"/>
      <c r="AI1022" s="160"/>
      <c r="AJ1022" s="160"/>
      <c r="AK1022" s="160"/>
      <c r="AL1022" s="160"/>
      <c r="AM1022" s="160"/>
      <c r="AN1022" s="164"/>
      <c r="AO1022" s="160"/>
      <c r="AP1022" s="160"/>
      <c r="AQ1022" s="160"/>
      <c r="AR1022" s="160"/>
      <c r="AS1022" s="160"/>
      <c r="AT1022" s="160"/>
      <c r="AU1022" s="160"/>
      <c r="AV1022" s="160"/>
      <c r="AW1022" s="160"/>
      <c r="AX1022" s="160"/>
      <c r="AY1022" s="160"/>
      <c r="AZ1022" s="160"/>
      <c r="BA1022" s="160"/>
      <c r="BB1022" s="160"/>
      <c r="BC1022" s="160"/>
      <c r="BD1022" s="160"/>
      <c r="BE1022" s="160"/>
      <c r="BF1022" s="160"/>
      <c r="BG1022" s="160"/>
      <c r="BH1022" s="160"/>
      <c r="BI1022" s="160"/>
      <c r="BJ1022" s="160"/>
      <c r="BK1022" s="160"/>
      <c r="BL1022" s="160"/>
      <c r="BM1022" s="160"/>
      <c r="BN1022" s="160"/>
      <c r="BO1022" s="160"/>
      <c r="BP1022" s="160"/>
      <c r="BQ1022" s="160"/>
      <c r="BR1022" s="160"/>
      <c r="BS1022" s="160"/>
      <c r="BT1022" s="160"/>
      <c r="BU1022" s="160"/>
      <c r="BV1022" s="160"/>
      <c r="BW1022" s="160"/>
      <c r="BX1022" s="160"/>
      <c r="BY1022" s="160"/>
      <c r="BZ1022" s="160"/>
      <c r="CA1022" s="160"/>
      <c r="CB1022" s="160"/>
      <c r="CC1022" s="160"/>
      <c r="CD1022" s="160"/>
      <c r="CE1022" s="160"/>
      <c r="CF1022" s="160"/>
      <c r="CG1022" s="160"/>
      <c r="CH1022" s="160"/>
      <c r="CI1022" s="160"/>
      <c r="CJ1022" s="160"/>
      <c r="CK1022" s="160"/>
      <c r="CL1022" s="160"/>
    </row>
    <row r="1023">
      <c r="A1023" s="171"/>
      <c r="F1023" s="11"/>
      <c r="G1023" s="11"/>
      <c r="L1023" s="171"/>
      <c r="M1023" s="171"/>
      <c r="O1023" s="160"/>
      <c r="P1023" s="160"/>
      <c r="Q1023" s="160"/>
      <c r="R1023" s="160"/>
      <c r="S1023" s="160"/>
      <c r="T1023" s="207"/>
      <c r="U1023" s="160"/>
      <c r="V1023" s="160"/>
      <c r="W1023" s="160"/>
      <c r="X1023" s="160"/>
      <c r="Y1023" s="160"/>
      <c r="Z1023" s="160"/>
      <c r="AA1023" s="160"/>
      <c r="AB1023" s="160"/>
      <c r="AC1023" s="160"/>
      <c r="AD1023" s="160"/>
      <c r="AE1023" s="160"/>
      <c r="AF1023" s="160"/>
      <c r="AG1023" s="160"/>
      <c r="AH1023" s="160"/>
      <c r="AI1023" s="160"/>
      <c r="AJ1023" s="160"/>
      <c r="AK1023" s="160"/>
      <c r="AL1023" s="160"/>
      <c r="AM1023" s="160"/>
      <c r="AN1023" s="164"/>
      <c r="AO1023" s="160"/>
      <c r="AP1023" s="160"/>
      <c r="AQ1023" s="160"/>
      <c r="AR1023" s="160"/>
      <c r="AS1023" s="160"/>
      <c r="AT1023" s="160"/>
      <c r="AU1023" s="160"/>
      <c r="AV1023" s="160"/>
      <c r="AW1023" s="160"/>
      <c r="AX1023" s="160"/>
      <c r="AY1023" s="160"/>
      <c r="AZ1023" s="160"/>
      <c r="BA1023" s="160"/>
      <c r="BB1023" s="160"/>
      <c r="BC1023" s="160"/>
      <c r="BD1023" s="160"/>
      <c r="BE1023" s="160"/>
      <c r="BF1023" s="160"/>
      <c r="BG1023" s="160"/>
      <c r="BH1023" s="160"/>
      <c r="BI1023" s="160"/>
      <c r="BJ1023" s="160"/>
      <c r="BK1023" s="160"/>
      <c r="BL1023" s="160"/>
      <c r="BM1023" s="160"/>
      <c r="BN1023" s="160"/>
      <c r="BO1023" s="160"/>
      <c r="BP1023" s="160"/>
      <c r="BQ1023" s="160"/>
      <c r="BR1023" s="160"/>
      <c r="BS1023" s="160"/>
      <c r="BT1023" s="160"/>
      <c r="BU1023" s="160"/>
      <c r="BV1023" s="160"/>
      <c r="BW1023" s="160"/>
      <c r="BX1023" s="160"/>
      <c r="BY1023" s="160"/>
      <c r="BZ1023" s="160"/>
      <c r="CA1023" s="160"/>
      <c r="CB1023" s="160"/>
      <c r="CC1023" s="160"/>
      <c r="CD1023" s="160"/>
      <c r="CE1023" s="160"/>
      <c r="CF1023" s="160"/>
      <c r="CG1023" s="160"/>
      <c r="CH1023" s="160"/>
      <c r="CI1023" s="160"/>
      <c r="CJ1023" s="160"/>
      <c r="CK1023" s="160"/>
      <c r="CL1023" s="160"/>
    </row>
    <row r="1024">
      <c r="A1024" s="171"/>
      <c r="F1024" s="11"/>
      <c r="G1024" s="11"/>
      <c r="L1024" s="171"/>
      <c r="M1024" s="171"/>
      <c r="O1024" s="160"/>
      <c r="P1024" s="160"/>
      <c r="Q1024" s="160"/>
      <c r="R1024" s="160"/>
      <c r="S1024" s="160"/>
      <c r="T1024" s="207"/>
      <c r="U1024" s="160"/>
      <c r="V1024" s="160"/>
      <c r="W1024" s="160"/>
      <c r="X1024" s="160"/>
      <c r="Y1024" s="160"/>
      <c r="Z1024" s="160"/>
      <c r="AA1024" s="160"/>
      <c r="AB1024" s="160"/>
      <c r="AC1024" s="160"/>
      <c r="AD1024" s="160"/>
      <c r="AE1024" s="160"/>
      <c r="AF1024" s="160"/>
      <c r="AG1024" s="160"/>
      <c r="AH1024" s="160"/>
      <c r="AI1024" s="160"/>
      <c r="AJ1024" s="160"/>
      <c r="AK1024" s="160"/>
      <c r="AL1024" s="160"/>
      <c r="AM1024" s="160"/>
      <c r="AN1024" s="164"/>
      <c r="AO1024" s="160"/>
      <c r="AP1024" s="160"/>
      <c r="AQ1024" s="160"/>
      <c r="AR1024" s="160"/>
      <c r="AS1024" s="160"/>
      <c r="AT1024" s="160"/>
      <c r="AU1024" s="160"/>
      <c r="AV1024" s="160"/>
      <c r="AW1024" s="160"/>
      <c r="AX1024" s="160"/>
      <c r="AY1024" s="160"/>
      <c r="AZ1024" s="160"/>
      <c r="BA1024" s="160"/>
      <c r="BB1024" s="160"/>
      <c r="BC1024" s="160"/>
      <c r="BD1024" s="160"/>
      <c r="BE1024" s="160"/>
      <c r="BF1024" s="160"/>
      <c r="BG1024" s="160"/>
      <c r="BH1024" s="160"/>
      <c r="BI1024" s="160"/>
      <c r="BJ1024" s="160"/>
      <c r="BK1024" s="160"/>
      <c r="BL1024" s="160"/>
      <c r="BM1024" s="160"/>
      <c r="BN1024" s="160"/>
      <c r="BO1024" s="160"/>
      <c r="BP1024" s="160"/>
      <c r="BQ1024" s="160"/>
      <c r="BR1024" s="160"/>
      <c r="BS1024" s="160"/>
      <c r="BT1024" s="160"/>
      <c r="BU1024" s="160"/>
      <c r="BV1024" s="160"/>
      <c r="BW1024" s="160"/>
      <c r="BX1024" s="160"/>
      <c r="BY1024" s="160"/>
      <c r="BZ1024" s="160"/>
      <c r="CA1024" s="160"/>
      <c r="CB1024" s="160"/>
      <c r="CC1024" s="160"/>
      <c r="CD1024" s="160"/>
      <c r="CE1024" s="160"/>
      <c r="CF1024" s="160"/>
      <c r="CG1024" s="160"/>
      <c r="CH1024" s="160"/>
      <c r="CI1024" s="160"/>
      <c r="CJ1024" s="160"/>
      <c r="CK1024" s="160"/>
      <c r="CL1024" s="160"/>
    </row>
    <row r="1025">
      <c r="A1025" s="171"/>
      <c r="F1025" s="11"/>
      <c r="G1025" s="11"/>
      <c r="L1025" s="171"/>
      <c r="M1025" s="171"/>
      <c r="O1025" s="160"/>
      <c r="P1025" s="160"/>
      <c r="Q1025" s="160"/>
      <c r="R1025" s="160"/>
      <c r="S1025" s="160"/>
      <c r="T1025" s="207"/>
      <c r="U1025" s="160"/>
      <c r="V1025" s="160"/>
      <c r="W1025" s="160"/>
      <c r="X1025" s="160"/>
      <c r="Y1025" s="160"/>
      <c r="Z1025" s="160"/>
      <c r="AA1025" s="160"/>
      <c r="AB1025" s="160"/>
      <c r="AC1025" s="160"/>
      <c r="AD1025" s="160"/>
      <c r="AE1025" s="160"/>
      <c r="AF1025" s="160"/>
      <c r="AG1025" s="160"/>
      <c r="AH1025" s="160"/>
      <c r="AI1025" s="160"/>
      <c r="AJ1025" s="160"/>
      <c r="AK1025" s="160"/>
      <c r="AL1025" s="160"/>
      <c r="AM1025" s="160"/>
      <c r="AN1025" s="164"/>
      <c r="AO1025" s="160"/>
      <c r="AP1025" s="160"/>
      <c r="AQ1025" s="160"/>
      <c r="AR1025" s="160"/>
      <c r="AS1025" s="160"/>
      <c r="AT1025" s="160"/>
      <c r="AU1025" s="160"/>
      <c r="AV1025" s="160"/>
      <c r="AW1025" s="160"/>
      <c r="AX1025" s="160"/>
      <c r="AY1025" s="160"/>
      <c r="AZ1025" s="160"/>
      <c r="BA1025" s="160"/>
      <c r="BB1025" s="160"/>
      <c r="BC1025" s="160"/>
      <c r="BD1025" s="160"/>
      <c r="BE1025" s="160"/>
      <c r="BF1025" s="160"/>
      <c r="BG1025" s="160"/>
      <c r="BH1025" s="160"/>
      <c r="BI1025" s="160"/>
      <c r="BJ1025" s="160"/>
      <c r="BK1025" s="160"/>
      <c r="BL1025" s="160"/>
      <c r="BM1025" s="160"/>
      <c r="BN1025" s="160"/>
      <c r="BO1025" s="160"/>
      <c r="BP1025" s="160"/>
      <c r="BQ1025" s="160"/>
      <c r="BR1025" s="160"/>
      <c r="BS1025" s="160"/>
      <c r="BT1025" s="160"/>
      <c r="BU1025" s="160"/>
      <c r="BV1025" s="160"/>
      <c r="BW1025" s="160"/>
      <c r="BX1025" s="160"/>
      <c r="BY1025" s="160"/>
      <c r="BZ1025" s="160"/>
      <c r="CA1025" s="160"/>
      <c r="CB1025" s="160"/>
      <c r="CC1025" s="160"/>
      <c r="CD1025" s="160"/>
      <c r="CE1025" s="160"/>
      <c r="CF1025" s="160"/>
      <c r="CG1025" s="160"/>
      <c r="CH1025" s="160"/>
      <c r="CI1025" s="160"/>
      <c r="CJ1025" s="160"/>
      <c r="CK1025" s="160"/>
      <c r="CL1025" s="160"/>
    </row>
    <row r="1026">
      <c r="A1026" s="171"/>
      <c r="F1026" s="11"/>
      <c r="G1026" s="11"/>
      <c r="L1026" s="171"/>
      <c r="M1026" s="171"/>
      <c r="O1026" s="160"/>
      <c r="P1026" s="160"/>
      <c r="Q1026" s="160"/>
      <c r="R1026" s="160"/>
      <c r="S1026" s="160"/>
      <c r="T1026" s="207"/>
      <c r="U1026" s="160"/>
      <c r="V1026" s="160"/>
      <c r="W1026" s="160"/>
      <c r="X1026" s="160"/>
      <c r="Y1026" s="160"/>
      <c r="Z1026" s="160"/>
      <c r="AA1026" s="160"/>
      <c r="AB1026" s="160"/>
      <c r="AC1026" s="160"/>
      <c r="AD1026" s="160"/>
      <c r="AE1026" s="160"/>
      <c r="AF1026" s="160"/>
      <c r="AG1026" s="160"/>
      <c r="AH1026" s="160"/>
      <c r="AI1026" s="160"/>
      <c r="AJ1026" s="160"/>
      <c r="AK1026" s="160"/>
      <c r="AL1026" s="160"/>
      <c r="AM1026" s="160"/>
      <c r="AN1026" s="164"/>
      <c r="AO1026" s="160"/>
      <c r="AP1026" s="160"/>
      <c r="AQ1026" s="160"/>
      <c r="AR1026" s="160"/>
      <c r="AS1026" s="160"/>
      <c r="AT1026" s="160"/>
      <c r="AU1026" s="160"/>
      <c r="AV1026" s="160"/>
      <c r="AW1026" s="160"/>
      <c r="AX1026" s="160"/>
      <c r="AY1026" s="160"/>
      <c r="AZ1026" s="160"/>
      <c r="BA1026" s="160"/>
      <c r="BB1026" s="160"/>
      <c r="BC1026" s="160"/>
      <c r="BD1026" s="160"/>
      <c r="BE1026" s="160"/>
      <c r="BF1026" s="160"/>
      <c r="BG1026" s="160"/>
      <c r="BH1026" s="160"/>
      <c r="BI1026" s="160"/>
      <c r="BJ1026" s="160"/>
      <c r="BK1026" s="160"/>
      <c r="BL1026" s="160"/>
      <c r="BM1026" s="160"/>
      <c r="BN1026" s="160"/>
      <c r="BO1026" s="160"/>
      <c r="BP1026" s="160"/>
      <c r="BQ1026" s="160"/>
      <c r="BR1026" s="160"/>
      <c r="BS1026" s="160"/>
      <c r="BT1026" s="160"/>
      <c r="BU1026" s="160"/>
      <c r="BV1026" s="160"/>
      <c r="BW1026" s="160"/>
      <c r="BX1026" s="160"/>
      <c r="BY1026" s="160"/>
      <c r="BZ1026" s="160"/>
      <c r="CA1026" s="160"/>
      <c r="CB1026" s="160"/>
      <c r="CC1026" s="160"/>
      <c r="CD1026" s="160"/>
      <c r="CE1026" s="160"/>
      <c r="CF1026" s="160"/>
      <c r="CG1026" s="160"/>
      <c r="CH1026" s="160"/>
      <c r="CI1026" s="160"/>
      <c r="CJ1026" s="160"/>
      <c r="CK1026" s="160"/>
      <c r="CL1026" s="160"/>
    </row>
    <row r="1027">
      <c r="A1027" s="171"/>
      <c r="F1027" s="11"/>
      <c r="G1027" s="11"/>
      <c r="L1027" s="171"/>
      <c r="M1027" s="171"/>
      <c r="O1027" s="160"/>
      <c r="P1027" s="160"/>
      <c r="Q1027" s="160"/>
      <c r="R1027" s="160"/>
      <c r="S1027" s="160"/>
      <c r="T1027" s="207"/>
      <c r="U1027" s="160"/>
      <c r="V1027" s="160"/>
      <c r="W1027" s="160"/>
      <c r="X1027" s="160"/>
      <c r="Y1027" s="160"/>
      <c r="Z1027" s="160"/>
      <c r="AA1027" s="160"/>
      <c r="AB1027" s="160"/>
      <c r="AC1027" s="160"/>
      <c r="AD1027" s="160"/>
      <c r="AE1027" s="160"/>
      <c r="AF1027" s="160"/>
      <c r="AG1027" s="160"/>
      <c r="AH1027" s="160"/>
      <c r="AI1027" s="160"/>
      <c r="AJ1027" s="160"/>
      <c r="AK1027" s="160"/>
      <c r="AL1027" s="160"/>
      <c r="AM1027" s="160"/>
      <c r="AN1027" s="164"/>
      <c r="AO1027" s="160"/>
      <c r="AP1027" s="160"/>
      <c r="AQ1027" s="160"/>
      <c r="AR1027" s="160"/>
      <c r="AS1027" s="160"/>
      <c r="AT1027" s="160"/>
      <c r="AU1027" s="160"/>
      <c r="AV1027" s="160"/>
      <c r="AW1027" s="160"/>
      <c r="AX1027" s="160"/>
      <c r="AY1027" s="160"/>
      <c r="AZ1027" s="160"/>
      <c r="BA1027" s="160"/>
      <c r="BB1027" s="160"/>
      <c r="BC1027" s="160"/>
      <c r="BD1027" s="160"/>
      <c r="BE1027" s="160"/>
      <c r="BF1027" s="160"/>
      <c r="BG1027" s="160"/>
      <c r="BH1027" s="160"/>
      <c r="BI1027" s="160"/>
      <c r="BJ1027" s="160"/>
      <c r="BK1027" s="160"/>
      <c r="BL1027" s="160"/>
      <c r="BM1027" s="160"/>
      <c r="BN1027" s="160"/>
      <c r="BO1027" s="160"/>
      <c r="BP1027" s="160"/>
      <c r="BQ1027" s="160"/>
      <c r="BR1027" s="160"/>
      <c r="BS1027" s="160"/>
      <c r="BT1027" s="160"/>
      <c r="BU1027" s="160"/>
      <c r="BV1027" s="160"/>
      <c r="BW1027" s="160"/>
      <c r="BX1027" s="160"/>
      <c r="BY1027" s="160"/>
      <c r="BZ1027" s="160"/>
      <c r="CA1027" s="160"/>
      <c r="CB1027" s="160"/>
      <c r="CC1027" s="160"/>
      <c r="CD1027" s="160"/>
      <c r="CE1027" s="160"/>
      <c r="CF1027" s="160"/>
      <c r="CG1027" s="160"/>
      <c r="CH1027" s="160"/>
      <c r="CI1027" s="160"/>
      <c r="CJ1027" s="160"/>
      <c r="CK1027" s="160"/>
      <c r="CL1027" s="160"/>
    </row>
    <row r="1028">
      <c r="A1028" s="171"/>
      <c r="F1028" s="11"/>
      <c r="G1028" s="11"/>
      <c r="L1028" s="171"/>
      <c r="M1028" s="171"/>
      <c r="O1028" s="160"/>
      <c r="P1028" s="160"/>
      <c r="Q1028" s="160"/>
      <c r="R1028" s="160"/>
      <c r="S1028" s="160"/>
      <c r="T1028" s="207"/>
      <c r="U1028" s="160"/>
      <c r="V1028" s="160"/>
      <c r="W1028" s="160"/>
      <c r="X1028" s="160"/>
      <c r="Y1028" s="160"/>
      <c r="Z1028" s="160"/>
      <c r="AA1028" s="160"/>
      <c r="AB1028" s="160"/>
      <c r="AC1028" s="160"/>
      <c r="AD1028" s="160"/>
      <c r="AE1028" s="160"/>
      <c r="AF1028" s="160"/>
      <c r="AG1028" s="160"/>
      <c r="AH1028" s="160"/>
      <c r="AI1028" s="160"/>
      <c r="AJ1028" s="160"/>
      <c r="AK1028" s="160"/>
      <c r="AL1028" s="160"/>
      <c r="AM1028" s="160"/>
      <c r="AN1028" s="164"/>
      <c r="AO1028" s="160"/>
      <c r="AP1028" s="160"/>
      <c r="AQ1028" s="160"/>
      <c r="AR1028" s="160"/>
      <c r="AS1028" s="160"/>
      <c r="AT1028" s="160"/>
      <c r="AU1028" s="160"/>
      <c r="AV1028" s="160"/>
      <c r="AW1028" s="160"/>
      <c r="AX1028" s="160"/>
      <c r="AY1028" s="160"/>
      <c r="AZ1028" s="160"/>
      <c r="BA1028" s="160"/>
      <c r="BB1028" s="160"/>
      <c r="BC1028" s="160"/>
      <c r="BD1028" s="160"/>
      <c r="BE1028" s="160"/>
      <c r="BF1028" s="160"/>
      <c r="BG1028" s="160"/>
      <c r="BH1028" s="160"/>
      <c r="BI1028" s="160"/>
      <c r="BJ1028" s="160"/>
      <c r="BK1028" s="160"/>
      <c r="BL1028" s="160"/>
      <c r="BM1028" s="160"/>
      <c r="BN1028" s="160"/>
      <c r="BO1028" s="160"/>
      <c r="BP1028" s="160"/>
      <c r="BQ1028" s="160"/>
      <c r="BR1028" s="160"/>
      <c r="BS1028" s="160"/>
      <c r="BT1028" s="160"/>
      <c r="BU1028" s="160"/>
      <c r="BV1028" s="160"/>
      <c r="BW1028" s="160"/>
      <c r="BX1028" s="160"/>
      <c r="BY1028" s="160"/>
      <c r="BZ1028" s="160"/>
      <c r="CA1028" s="160"/>
      <c r="CB1028" s="160"/>
      <c r="CC1028" s="160"/>
      <c r="CD1028" s="160"/>
      <c r="CE1028" s="160"/>
      <c r="CF1028" s="160"/>
      <c r="CG1028" s="160"/>
      <c r="CH1028" s="160"/>
      <c r="CI1028" s="160"/>
      <c r="CJ1028" s="160"/>
      <c r="CK1028" s="160"/>
      <c r="CL1028" s="160"/>
    </row>
    <row r="1029">
      <c r="A1029" s="171"/>
      <c r="F1029" s="11"/>
      <c r="G1029" s="11"/>
      <c r="L1029" s="171"/>
      <c r="M1029" s="171"/>
      <c r="O1029" s="160"/>
      <c r="P1029" s="160"/>
      <c r="Q1029" s="160"/>
      <c r="R1029" s="160"/>
      <c r="S1029" s="160"/>
      <c r="T1029" s="207"/>
      <c r="U1029" s="160"/>
      <c r="V1029" s="160"/>
      <c r="W1029" s="160"/>
      <c r="X1029" s="160"/>
      <c r="Y1029" s="160"/>
      <c r="Z1029" s="160"/>
      <c r="AA1029" s="160"/>
      <c r="AB1029" s="160"/>
      <c r="AC1029" s="160"/>
      <c r="AD1029" s="160"/>
      <c r="AE1029" s="160"/>
      <c r="AF1029" s="160"/>
      <c r="AG1029" s="160"/>
      <c r="AH1029" s="160"/>
      <c r="AI1029" s="160"/>
      <c r="AJ1029" s="160"/>
      <c r="AK1029" s="160"/>
      <c r="AL1029" s="160"/>
      <c r="AM1029" s="160"/>
      <c r="AN1029" s="164"/>
      <c r="AO1029" s="160"/>
      <c r="AP1029" s="160"/>
      <c r="AQ1029" s="160"/>
      <c r="AR1029" s="160"/>
      <c r="AS1029" s="160"/>
      <c r="AT1029" s="160"/>
      <c r="AU1029" s="160"/>
      <c r="AV1029" s="160"/>
      <c r="AW1029" s="160"/>
      <c r="AX1029" s="160"/>
      <c r="AY1029" s="160"/>
      <c r="AZ1029" s="160"/>
      <c r="BA1029" s="160"/>
      <c r="BB1029" s="160"/>
      <c r="BC1029" s="160"/>
      <c r="BD1029" s="160"/>
      <c r="BE1029" s="160"/>
      <c r="BF1029" s="160"/>
      <c r="BG1029" s="160"/>
      <c r="BH1029" s="160"/>
      <c r="BI1029" s="160"/>
      <c r="BJ1029" s="160"/>
      <c r="BK1029" s="160"/>
      <c r="BL1029" s="160"/>
      <c r="BM1029" s="160"/>
      <c r="BN1029" s="160"/>
      <c r="BO1029" s="160"/>
      <c r="BP1029" s="160"/>
      <c r="BQ1029" s="160"/>
      <c r="BR1029" s="160"/>
      <c r="BS1029" s="160"/>
      <c r="BT1029" s="160"/>
      <c r="BU1029" s="160"/>
      <c r="BV1029" s="160"/>
      <c r="BW1029" s="160"/>
      <c r="BX1029" s="160"/>
      <c r="BY1029" s="160"/>
      <c r="BZ1029" s="160"/>
      <c r="CA1029" s="160"/>
      <c r="CB1029" s="160"/>
      <c r="CC1029" s="160"/>
      <c r="CD1029" s="160"/>
      <c r="CE1029" s="160"/>
      <c r="CF1029" s="160"/>
      <c r="CG1029" s="160"/>
      <c r="CH1029" s="160"/>
      <c r="CI1029" s="160"/>
      <c r="CJ1029" s="160"/>
      <c r="CK1029" s="160"/>
      <c r="CL1029" s="160"/>
    </row>
    <row r="1030">
      <c r="A1030" s="171"/>
      <c r="F1030" s="11"/>
      <c r="G1030" s="11"/>
      <c r="L1030" s="171"/>
      <c r="M1030" s="171"/>
      <c r="O1030" s="160"/>
      <c r="P1030" s="160"/>
      <c r="Q1030" s="160"/>
      <c r="R1030" s="160"/>
      <c r="S1030" s="160"/>
      <c r="T1030" s="207"/>
      <c r="U1030" s="160"/>
      <c r="V1030" s="160"/>
      <c r="W1030" s="160"/>
      <c r="X1030" s="160"/>
      <c r="Y1030" s="160"/>
      <c r="Z1030" s="160"/>
      <c r="AA1030" s="160"/>
      <c r="AB1030" s="160"/>
      <c r="AC1030" s="160"/>
      <c r="AD1030" s="160"/>
      <c r="AE1030" s="160"/>
      <c r="AF1030" s="160"/>
      <c r="AG1030" s="160"/>
      <c r="AH1030" s="160"/>
      <c r="AI1030" s="160"/>
      <c r="AJ1030" s="160"/>
      <c r="AK1030" s="160"/>
      <c r="AL1030" s="160"/>
      <c r="AM1030" s="160"/>
      <c r="AN1030" s="164"/>
      <c r="AO1030" s="160"/>
      <c r="AP1030" s="160"/>
      <c r="AQ1030" s="160"/>
      <c r="AR1030" s="160"/>
      <c r="AS1030" s="160"/>
      <c r="AT1030" s="160"/>
      <c r="AU1030" s="160"/>
      <c r="AV1030" s="160"/>
      <c r="AW1030" s="160"/>
      <c r="AX1030" s="160"/>
      <c r="AY1030" s="160"/>
      <c r="AZ1030" s="160"/>
      <c r="BA1030" s="160"/>
      <c r="BB1030" s="160"/>
      <c r="BC1030" s="160"/>
      <c r="BD1030" s="160"/>
      <c r="BE1030" s="160"/>
      <c r="BF1030" s="160"/>
      <c r="BG1030" s="160"/>
      <c r="BH1030" s="160"/>
      <c r="BI1030" s="160"/>
      <c r="BJ1030" s="160"/>
      <c r="BK1030" s="160"/>
      <c r="BL1030" s="160"/>
      <c r="BM1030" s="160"/>
      <c r="BN1030" s="160"/>
      <c r="BO1030" s="160"/>
      <c r="BP1030" s="160"/>
      <c r="BQ1030" s="160"/>
      <c r="BR1030" s="160"/>
      <c r="BS1030" s="160"/>
      <c r="BT1030" s="160"/>
      <c r="BU1030" s="160"/>
      <c r="BV1030" s="160"/>
      <c r="BW1030" s="160"/>
      <c r="BX1030" s="160"/>
      <c r="BY1030" s="160"/>
      <c r="BZ1030" s="160"/>
      <c r="CA1030" s="160"/>
      <c r="CB1030" s="160"/>
      <c r="CC1030" s="160"/>
      <c r="CD1030" s="160"/>
      <c r="CE1030" s="160"/>
      <c r="CF1030" s="160"/>
      <c r="CG1030" s="160"/>
      <c r="CH1030" s="160"/>
      <c r="CI1030" s="160"/>
      <c r="CJ1030" s="160"/>
      <c r="CK1030" s="160"/>
      <c r="CL1030" s="160"/>
    </row>
    <row r="1031">
      <c r="A1031" s="171"/>
      <c r="F1031" s="11"/>
      <c r="G1031" s="11"/>
      <c r="L1031" s="171"/>
      <c r="M1031" s="171"/>
      <c r="O1031" s="160"/>
      <c r="P1031" s="160"/>
      <c r="Q1031" s="160"/>
      <c r="R1031" s="160"/>
      <c r="S1031" s="160"/>
      <c r="T1031" s="207"/>
      <c r="U1031" s="160"/>
      <c r="V1031" s="160"/>
      <c r="W1031" s="160"/>
      <c r="X1031" s="160"/>
      <c r="Y1031" s="160"/>
      <c r="Z1031" s="160"/>
      <c r="AA1031" s="160"/>
      <c r="AB1031" s="160"/>
      <c r="AC1031" s="160"/>
      <c r="AD1031" s="160"/>
      <c r="AE1031" s="160"/>
      <c r="AF1031" s="160"/>
      <c r="AG1031" s="160"/>
      <c r="AH1031" s="160"/>
      <c r="AI1031" s="160"/>
      <c r="AJ1031" s="160"/>
      <c r="AK1031" s="160"/>
      <c r="AL1031" s="160"/>
      <c r="AM1031" s="160"/>
      <c r="AN1031" s="164"/>
      <c r="AO1031" s="160"/>
      <c r="AP1031" s="160"/>
      <c r="AQ1031" s="160"/>
      <c r="AR1031" s="160"/>
      <c r="AS1031" s="160"/>
      <c r="AT1031" s="160"/>
      <c r="AU1031" s="160"/>
      <c r="AV1031" s="160"/>
      <c r="AW1031" s="160"/>
      <c r="AX1031" s="160"/>
      <c r="AY1031" s="160"/>
      <c r="AZ1031" s="160"/>
      <c r="BA1031" s="160"/>
      <c r="BB1031" s="160"/>
      <c r="BC1031" s="160"/>
      <c r="BD1031" s="160"/>
      <c r="BE1031" s="160"/>
      <c r="BF1031" s="160"/>
      <c r="BG1031" s="160"/>
      <c r="BH1031" s="160"/>
      <c r="BI1031" s="160"/>
      <c r="BJ1031" s="160"/>
      <c r="BK1031" s="160"/>
      <c r="BL1031" s="160"/>
      <c r="BM1031" s="160"/>
      <c r="BN1031" s="160"/>
      <c r="BO1031" s="160"/>
      <c r="BP1031" s="160"/>
      <c r="BQ1031" s="160"/>
      <c r="BR1031" s="160"/>
      <c r="BS1031" s="160"/>
      <c r="BT1031" s="160"/>
      <c r="BU1031" s="160"/>
      <c r="BV1031" s="160"/>
      <c r="BW1031" s="160"/>
      <c r="BX1031" s="160"/>
      <c r="BY1031" s="160"/>
      <c r="BZ1031" s="160"/>
      <c r="CA1031" s="160"/>
      <c r="CB1031" s="160"/>
      <c r="CC1031" s="160"/>
      <c r="CD1031" s="160"/>
      <c r="CE1031" s="160"/>
      <c r="CF1031" s="160"/>
      <c r="CG1031" s="160"/>
      <c r="CH1031" s="160"/>
      <c r="CI1031" s="160"/>
      <c r="CJ1031" s="160"/>
      <c r="CK1031" s="160"/>
      <c r="CL1031" s="160"/>
    </row>
    <row r="1032">
      <c r="A1032" s="171"/>
      <c r="F1032" s="11"/>
      <c r="G1032" s="11"/>
      <c r="L1032" s="171"/>
      <c r="M1032" s="171"/>
      <c r="O1032" s="160"/>
      <c r="P1032" s="160"/>
      <c r="Q1032" s="160"/>
      <c r="R1032" s="160"/>
      <c r="S1032" s="160"/>
      <c r="T1032" s="207"/>
      <c r="U1032" s="160"/>
      <c r="V1032" s="160"/>
      <c r="W1032" s="160"/>
      <c r="X1032" s="160"/>
      <c r="Y1032" s="160"/>
      <c r="Z1032" s="160"/>
      <c r="AA1032" s="160"/>
      <c r="AB1032" s="160"/>
      <c r="AC1032" s="160"/>
      <c r="AD1032" s="160"/>
      <c r="AE1032" s="160"/>
      <c r="AF1032" s="160"/>
      <c r="AG1032" s="160"/>
      <c r="AH1032" s="160"/>
      <c r="AI1032" s="160"/>
      <c r="AJ1032" s="160"/>
      <c r="AK1032" s="160"/>
      <c r="AL1032" s="160"/>
      <c r="AM1032" s="160"/>
      <c r="AN1032" s="164"/>
      <c r="AO1032" s="160"/>
      <c r="AP1032" s="160"/>
      <c r="AQ1032" s="160"/>
      <c r="AR1032" s="160"/>
      <c r="AS1032" s="160"/>
      <c r="AT1032" s="160"/>
      <c r="AU1032" s="160"/>
      <c r="AV1032" s="160"/>
      <c r="AW1032" s="160"/>
      <c r="AX1032" s="160"/>
      <c r="AY1032" s="160"/>
      <c r="AZ1032" s="160"/>
      <c r="BA1032" s="160"/>
      <c r="BB1032" s="160"/>
      <c r="BC1032" s="160"/>
      <c r="BD1032" s="160"/>
      <c r="BE1032" s="160"/>
      <c r="BF1032" s="160"/>
      <c r="BG1032" s="160"/>
      <c r="BH1032" s="160"/>
      <c r="BI1032" s="160"/>
      <c r="BJ1032" s="160"/>
      <c r="BK1032" s="160"/>
      <c r="BL1032" s="160"/>
      <c r="BM1032" s="160"/>
      <c r="BN1032" s="160"/>
      <c r="BO1032" s="160"/>
      <c r="BP1032" s="160"/>
      <c r="BQ1032" s="160"/>
      <c r="BR1032" s="160"/>
      <c r="BS1032" s="160"/>
      <c r="BT1032" s="160"/>
      <c r="BU1032" s="160"/>
      <c r="BV1032" s="160"/>
      <c r="BW1032" s="160"/>
      <c r="BX1032" s="160"/>
      <c r="BY1032" s="160"/>
      <c r="BZ1032" s="160"/>
      <c r="CA1032" s="160"/>
      <c r="CB1032" s="160"/>
      <c r="CC1032" s="160"/>
      <c r="CD1032" s="160"/>
      <c r="CE1032" s="160"/>
      <c r="CF1032" s="160"/>
      <c r="CG1032" s="160"/>
      <c r="CH1032" s="160"/>
      <c r="CI1032" s="160"/>
      <c r="CJ1032" s="160"/>
      <c r="CK1032" s="160"/>
      <c r="CL1032" s="160"/>
    </row>
    <row r="1033">
      <c r="A1033" s="171"/>
      <c r="F1033" s="11"/>
      <c r="G1033" s="11"/>
      <c r="L1033" s="171"/>
      <c r="M1033" s="171"/>
      <c r="O1033" s="160"/>
      <c r="P1033" s="160"/>
      <c r="Q1033" s="160"/>
      <c r="R1033" s="160"/>
      <c r="S1033" s="160"/>
      <c r="T1033" s="207"/>
      <c r="U1033" s="160"/>
      <c r="V1033" s="160"/>
      <c r="W1033" s="160"/>
      <c r="X1033" s="160"/>
      <c r="Y1033" s="160"/>
      <c r="Z1033" s="160"/>
      <c r="AA1033" s="160"/>
      <c r="AB1033" s="160"/>
      <c r="AC1033" s="160"/>
      <c r="AD1033" s="160"/>
      <c r="AE1033" s="160"/>
      <c r="AF1033" s="160"/>
      <c r="AG1033" s="160"/>
      <c r="AH1033" s="160"/>
      <c r="AI1033" s="160"/>
      <c r="AJ1033" s="160"/>
      <c r="AK1033" s="160"/>
      <c r="AL1033" s="160"/>
      <c r="AM1033" s="160"/>
      <c r="AN1033" s="164"/>
      <c r="AO1033" s="160"/>
      <c r="AP1033" s="160"/>
      <c r="AQ1033" s="160"/>
      <c r="AR1033" s="160"/>
      <c r="AS1033" s="160"/>
      <c r="AT1033" s="160"/>
      <c r="AU1033" s="160"/>
      <c r="AV1033" s="160"/>
      <c r="AW1033" s="160"/>
      <c r="AX1033" s="160"/>
      <c r="AY1033" s="160"/>
      <c r="AZ1033" s="160"/>
      <c r="BA1033" s="160"/>
      <c r="BB1033" s="160"/>
      <c r="BC1033" s="160"/>
      <c r="BD1033" s="160"/>
      <c r="BE1033" s="160"/>
      <c r="BF1033" s="160"/>
      <c r="BG1033" s="160"/>
      <c r="BH1033" s="160"/>
      <c r="BI1033" s="160"/>
      <c r="BJ1033" s="160"/>
      <c r="BK1033" s="160"/>
      <c r="BL1033" s="160"/>
      <c r="BM1033" s="160"/>
      <c r="BN1033" s="160"/>
      <c r="BO1033" s="160"/>
      <c r="BP1033" s="160"/>
      <c r="BQ1033" s="160"/>
      <c r="BR1033" s="160"/>
      <c r="BS1033" s="160"/>
      <c r="BT1033" s="160"/>
      <c r="BU1033" s="160"/>
      <c r="BV1033" s="160"/>
      <c r="BW1033" s="160"/>
      <c r="BX1033" s="160"/>
      <c r="BY1033" s="160"/>
      <c r="BZ1033" s="160"/>
      <c r="CA1033" s="160"/>
      <c r="CB1033" s="160"/>
      <c r="CC1033" s="160"/>
      <c r="CD1033" s="160"/>
      <c r="CE1033" s="160"/>
      <c r="CF1033" s="160"/>
      <c r="CG1033" s="160"/>
      <c r="CH1033" s="160"/>
      <c r="CI1033" s="160"/>
      <c r="CJ1033" s="160"/>
      <c r="CK1033" s="160"/>
      <c r="CL1033" s="160"/>
    </row>
    <row r="1034">
      <c r="A1034" s="171"/>
      <c r="F1034" s="11"/>
      <c r="G1034" s="11"/>
      <c r="L1034" s="171"/>
      <c r="M1034" s="171"/>
      <c r="O1034" s="160"/>
      <c r="P1034" s="160"/>
      <c r="Q1034" s="160"/>
      <c r="R1034" s="160"/>
      <c r="S1034" s="160"/>
      <c r="T1034" s="207"/>
      <c r="U1034" s="160"/>
      <c r="V1034" s="160"/>
      <c r="W1034" s="160"/>
      <c r="X1034" s="160"/>
      <c r="Y1034" s="160"/>
      <c r="Z1034" s="160"/>
      <c r="AA1034" s="160"/>
      <c r="AB1034" s="160"/>
      <c r="AC1034" s="160"/>
      <c r="AD1034" s="160"/>
      <c r="AE1034" s="160"/>
      <c r="AF1034" s="160"/>
      <c r="AG1034" s="160"/>
      <c r="AH1034" s="160"/>
      <c r="AI1034" s="160"/>
      <c r="AJ1034" s="160"/>
      <c r="AK1034" s="160"/>
      <c r="AL1034" s="160"/>
      <c r="AM1034" s="160"/>
      <c r="AN1034" s="164"/>
      <c r="AO1034" s="160"/>
      <c r="AP1034" s="160"/>
      <c r="AQ1034" s="160"/>
      <c r="AR1034" s="160"/>
      <c r="AS1034" s="160"/>
      <c r="AT1034" s="160"/>
      <c r="AU1034" s="160"/>
      <c r="AV1034" s="160"/>
      <c r="AW1034" s="160"/>
      <c r="AX1034" s="160"/>
      <c r="AY1034" s="160"/>
      <c r="AZ1034" s="160"/>
      <c r="BA1034" s="160"/>
      <c r="BB1034" s="160"/>
      <c r="BC1034" s="160"/>
      <c r="BD1034" s="160"/>
      <c r="BE1034" s="160"/>
      <c r="BF1034" s="160"/>
      <c r="BG1034" s="160"/>
      <c r="BH1034" s="160"/>
      <c r="BI1034" s="160"/>
      <c r="BJ1034" s="160"/>
      <c r="BK1034" s="160"/>
      <c r="BL1034" s="160"/>
      <c r="BM1034" s="160"/>
      <c r="BN1034" s="160"/>
      <c r="BO1034" s="160"/>
      <c r="BP1034" s="160"/>
      <c r="BQ1034" s="160"/>
      <c r="BR1034" s="160"/>
      <c r="BS1034" s="160"/>
      <c r="BT1034" s="160"/>
      <c r="BU1034" s="160"/>
      <c r="BV1034" s="160"/>
      <c r="BW1034" s="160"/>
      <c r="BX1034" s="160"/>
      <c r="BY1034" s="160"/>
      <c r="BZ1034" s="160"/>
      <c r="CA1034" s="160"/>
      <c r="CB1034" s="160"/>
      <c r="CC1034" s="160"/>
      <c r="CD1034" s="160"/>
      <c r="CE1034" s="160"/>
      <c r="CF1034" s="160"/>
      <c r="CG1034" s="160"/>
      <c r="CH1034" s="160"/>
      <c r="CI1034" s="160"/>
      <c r="CJ1034" s="160"/>
      <c r="CK1034" s="160"/>
      <c r="CL1034" s="160"/>
    </row>
    <row r="1035">
      <c r="A1035" s="171"/>
      <c r="F1035" s="11"/>
      <c r="G1035" s="11"/>
      <c r="L1035" s="171"/>
      <c r="M1035" s="171"/>
      <c r="O1035" s="160"/>
      <c r="P1035" s="160"/>
      <c r="Q1035" s="160"/>
      <c r="R1035" s="160"/>
      <c r="S1035" s="160"/>
      <c r="T1035" s="207"/>
      <c r="U1035" s="160"/>
      <c r="V1035" s="160"/>
      <c r="W1035" s="160"/>
      <c r="X1035" s="160"/>
      <c r="Y1035" s="160"/>
      <c r="Z1035" s="160"/>
      <c r="AA1035" s="160"/>
      <c r="AB1035" s="160"/>
      <c r="AC1035" s="160"/>
      <c r="AD1035" s="160"/>
      <c r="AE1035" s="160"/>
      <c r="AF1035" s="160"/>
      <c r="AG1035" s="160"/>
      <c r="AH1035" s="160"/>
      <c r="AI1035" s="160"/>
      <c r="AJ1035" s="160"/>
      <c r="AK1035" s="160"/>
      <c r="AL1035" s="160"/>
      <c r="AM1035" s="160"/>
      <c r="AN1035" s="164"/>
      <c r="AO1035" s="160"/>
      <c r="AP1035" s="160"/>
      <c r="AQ1035" s="160"/>
      <c r="AR1035" s="160"/>
      <c r="AS1035" s="160"/>
      <c r="AT1035" s="160"/>
      <c r="AU1035" s="160"/>
      <c r="AV1035" s="160"/>
      <c r="AW1035" s="160"/>
      <c r="AX1035" s="160"/>
      <c r="AY1035" s="160"/>
      <c r="AZ1035" s="160"/>
      <c r="BA1035" s="160"/>
      <c r="BB1035" s="160"/>
      <c r="BC1035" s="160"/>
      <c r="BD1035" s="160"/>
      <c r="BE1035" s="160"/>
      <c r="BF1035" s="160"/>
      <c r="BG1035" s="160"/>
      <c r="BH1035" s="160"/>
      <c r="BI1035" s="160"/>
      <c r="BJ1035" s="160"/>
      <c r="BK1035" s="160"/>
      <c r="BL1035" s="160"/>
      <c r="BM1035" s="160"/>
      <c r="BN1035" s="160"/>
      <c r="BO1035" s="160"/>
      <c r="BP1035" s="160"/>
      <c r="BQ1035" s="160"/>
      <c r="BR1035" s="160"/>
      <c r="BS1035" s="160"/>
      <c r="BT1035" s="160"/>
      <c r="BU1035" s="160"/>
      <c r="BV1035" s="160"/>
      <c r="BW1035" s="160"/>
      <c r="BX1035" s="160"/>
      <c r="BY1035" s="160"/>
      <c r="BZ1035" s="160"/>
      <c r="CA1035" s="160"/>
      <c r="CB1035" s="160"/>
      <c r="CC1035" s="160"/>
      <c r="CD1035" s="160"/>
      <c r="CE1035" s="160"/>
      <c r="CF1035" s="160"/>
      <c r="CG1035" s="160"/>
      <c r="CH1035" s="160"/>
      <c r="CI1035" s="160"/>
      <c r="CJ1035" s="160"/>
      <c r="CK1035" s="160"/>
      <c r="CL1035" s="160"/>
    </row>
    <row r="1036">
      <c r="A1036" s="171"/>
      <c r="F1036" s="11"/>
      <c r="G1036" s="11"/>
      <c r="L1036" s="171"/>
      <c r="M1036" s="171"/>
      <c r="O1036" s="160"/>
      <c r="P1036" s="160"/>
      <c r="Q1036" s="160"/>
      <c r="R1036" s="160"/>
      <c r="S1036" s="160"/>
      <c r="T1036" s="207"/>
      <c r="U1036" s="160"/>
      <c r="V1036" s="160"/>
      <c r="W1036" s="160"/>
      <c r="X1036" s="160"/>
      <c r="Y1036" s="160"/>
      <c r="Z1036" s="160"/>
      <c r="AA1036" s="160"/>
      <c r="AB1036" s="160"/>
      <c r="AC1036" s="160"/>
      <c r="AD1036" s="160"/>
      <c r="AE1036" s="160"/>
      <c r="AF1036" s="160"/>
      <c r="AG1036" s="160"/>
      <c r="AH1036" s="160"/>
      <c r="AI1036" s="160"/>
      <c r="AJ1036" s="160"/>
      <c r="AK1036" s="160"/>
      <c r="AL1036" s="160"/>
      <c r="AM1036" s="160"/>
      <c r="AN1036" s="164"/>
      <c r="AO1036" s="160"/>
      <c r="AP1036" s="160"/>
      <c r="AQ1036" s="160"/>
      <c r="AR1036" s="160"/>
      <c r="AS1036" s="160"/>
      <c r="AT1036" s="160"/>
      <c r="AU1036" s="160"/>
      <c r="AV1036" s="160"/>
      <c r="AW1036" s="160"/>
      <c r="AX1036" s="160"/>
      <c r="AY1036" s="160"/>
      <c r="AZ1036" s="160"/>
      <c r="BA1036" s="160"/>
      <c r="BB1036" s="160"/>
      <c r="BC1036" s="160"/>
      <c r="BD1036" s="160"/>
      <c r="BE1036" s="160"/>
      <c r="BF1036" s="160"/>
      <c r="BG1036" s="160"/>
      <c r="BH1036" s="160"/>
      <c r="BI1036" s="160"/>
      <c r="BJ1036" s="160"/>
      <c r="BK1036" s="160"/>
      <c r="BL1036" s="160"/>
      <c r="BM1036" s="160"/>
      <c r="BN1036" s="160"/>
      <c r="BO1036" s="160"/>
      <c r="BP1036" s="160"/>
      <c r="BQ1036" s="160"/>
      <c r="BR1036" s="160"/>
      <c r="BS1036" s="160"/>
      <c r="BT1036" s="160"/>
      <c r="BU1036" s="160"/>
      <c r="BV1036" s="160"/>
      <c r="BW1036" s="160"/>
      <c r="BX1036" s="160"/>
      <c r="BY1036" s="160"/>
      <c r="BZ1036" s="160"/>
      <c r="CA1036" s="160"/>
      <c r="CB1036" s="160"/>
      <c r="CC1036" s="160"/>
      <c r="CD1036" s="160"/>
      <c r="CE1036" s="160"/>
      <c r="CF1036" s="160"/>
      <c r="CG1036" s="160"/>
      <c r="CH1036" s="160"/>
      <c r="CI1036" s="160"/>
      <c r="CJ1036" s="160"/>
      <c r="CK1036" s="160"/>
      <c r="CL1036" s="160"/>
    </row>
    <row r="1037">
      <c r="A1037" s="171"/>
      <c r="F1037" s="11"/>
      <c r="G1037" s="11"/>
      <c r="L1037" s="171"/>
      <c r="M1037" s="171"/>
      <c r="O1037" s="160"/>
      <c r="P1037" s="160"/>
      <c r="Q1037" s="160"/>
      <c r="R1037" s="160"/>
      <c r="S1037" s="160"/>
      <c r="T1037" s="207"/>
      <c r="U1037" s="160"/>
      <c r="V1037" s="160"/>
      <c r="W1037" s="160"/>
      <c r="X1037" s="160"/>
      <c r="Y1037" s="160"/>
      <c r="Z1037" s="160"/>
      <c r="AA1037" s="160"/>
      <c r="AB1037" s="160"/>
      <c r="AC1037" s="160"/>
      <c r="AD1037" s="160"/>
      <c r="AE1037" s="160"/>
      <c r="AF1037" s="160"/>
      <c r="AG1037" s="160"/>
      <c r="AH1037" s="160"/>
      <c r="AI1037" s="160"/>
      <c r="AJ1037" s="160"/>
      <c r="AK1037" s="160"/>
      <c r="AL1037" s="160"/>
      <c r="AM1037" s="160"/>
      <c r="AN1037" s="164"/>
      <c r="AO1037" s="160"/>
      <c r="AP1037" s="160"/>
      <c r="AQ1037" s="160"/>
      <c r="AR1037" s="160"/>
      <c r="AS1037" s="160"/>
      <c r="AT1037" s="160"/>
      <c r="AU1037" s="160"/>
      <c r="AV1037" s="160"/>
      <c r="AW1037" s="160"/>
      <c r="AX1037" s="160"/>
      <c r="AY1037" s="160"/>
      <c r="AZ1037" s="160"/>
      <c r="BA1037" s="160"/>
      <c r="BB1037" s="160"/>
      <c r="BC1037" s="160"/>
      <c r="BD1037" s="160"/>
      <c r="BE1037" s="160"/>
      <c r="BF1037" s="160"/>
      <c r="BG1037" s="160"/>
      <c r="BH1037" s="160"/>
      <c r="BI1037" s="160"/>
      <c r="BJ1037" s="160"/>
      <c r="BK1037" s="160"/>
      <c r="BL1037" s="160"/>
      <c r="BM1037" s="160"/>
      <c r="BN1037" s="160"/>
      <c r="BO1037" s="160"/>
      <c r="BP1037" s="160"/>
      <c r="BQ1037" s="160"/>
      <c r="BR1037" s="160"/>
      <c r="BS1037" s="160"/>
      <c r="BT1037" s="160"/>
      <c r="BU1037" s="160"/>
      <c r="BV1037" s="160"/>
      <c r="BW1037" s="160"/>
      <c r="BX1037" s="160"/>
      <c r="BY1037" s="160"/>
      <c r="BZ1037" s="160"/>
      <c r="CA1037" s="160"/>
      <c r="CB1037" s="160"/>
      <c r="CC1037" s="160"/>
      <c r="CD1037" s="160"/>
      <c r="CE1037" s="160"/>
      <c r="CF1037" s="160"/>
      <c r="CG1037" s="160"/>
      <c r="CH1037" s="160"/>
      <c r="CI1037" s="160"/>
      <c r="CJ1037" s="160"/>
      <c r="CK1037" s="160"/>
      <c r="CL1037" s="160"/>
    </row>
    <row r="1038">
      <c r="A1038" s="171"/>
      <c r="F1038" s="11"/>
      <c r="G1038" s="11"/>
      <c r="L1038" s="171"/>
      <c r="M1038" s="171"/>
      <c r="O1038" s="160"/>
      <c r="P1038" s="160"/>
      <c r="Q1038" s="160"/>
      <c r="R1038" s="160"/>
      <c r="S1038" s="160"/>
      <c r="T1038" s="207"/>
      <c r="U1038" s="160"/>
      <c r="V1038" s="160"/>
      <c r="W1038" s="160"/>
      <c r="X1038" s="160"/>
      <c r="Y1038" s="160"/>
      <c r="Z1038" s="160"/>
      <c r="AA1038" s="160"/>
      <c r="AB1038" s="160"/>
      <c r="AC1038" s="160"/>
      <c r="AD1038" s="160"/>
      <c r="AE1038" s="160"/>
      <c r="AF1038" s="160"/>
      <c r="AG1038" s="160"/>
      <c r="AH1038" s="160"/>
      <c r="AI1038" s="160"/>
      <c r="AJ1038" s="160"/>
      <c r="AK1038" s="160"/>
      <c r="AL1038" s="160"/>
      <c r="AM1038" s="160"/>
      <c r="AN1038" s="164"/>
      <c r="AO1038" s="160"/>
      <c r="AP1038" s="160"/>
      <c r="AQ1038" s="160"/>
      <c r="AR1038" s="160"/>
      <c r="AS1038" s="160"/>
      <c r="AT1038" s="160"/>
      <c r="AU1038" s="160"/>
      <c r="AV1038" s="160"/>
      <c r="AW1038" s="160"/>
      <c r="AX1038" s="160"/>
      <c r="AY1038" s="160"/>
      <c r="AZ1038" s="160"/>
      <c r="BA1038" s="160"/>
      <c r="BB1038" s="160"/>
      <c r="BC1038" s="160"/>
      <c r="BD1038" s="160"/>
      <c r="BE1038" s="160"/>
      <c r="BF1038" s="160"/>
      <c r="BG1038" s="160"/>
      <c r="BH1038" s="160"/>
      <c r="BI1038" s="160"/>
      <c r="BJ1038" s="160"/>
      <c r="BK1038" s="160"/>
      <c r="BL1038" s="160"/>
      <c r="BM1038" s="160"/>
      <c r="BN1038" s="160"/>
      <c r="BO1038" s="160"/>
      <c r="BP1038" s="160"/>
      <c r="BQ1038" s="160"/>
      <c r="BR1038" s="160"/>
      <c r="BS1038" s="160"/>
      <c r="BT1038" s="160"/>
      <c r="BU1038" s="160"/>
      <c r="BV1038" s="160"/>
      <c r="BW1038" s="160"/>
      <c r="BX1038" s="160"/>
      <c r="BY1038" s="160"/>
      <c r="BZ1038" s="160"/>
      <c r="CA1038" s="160"/>
      <c r="CB1038" s="160"/>
      <c r="CC1038" s="160"/>
      <c r="CD1038" s="160"/>
      <c r="CE1038" s="160"/>
      <c r="CF1038" s="160"/>
      <c r="CG1038" s="160"/>
      <c r="CH1038" s="160"/>
      <c r="CI1038" s="160"/>
      <c r="CJ1038" s="160"/>
      <c r="CK1038" s="160"/>
      <c r="CL1038" s="160"/>
    </row>
    <row r="1039">
      <c r="A1039" s="171"/>
      <c r="F1039" s="11"/>
      <c r="G1039" s="11"/>
      <c r="L1039" s="171"/>
      <c r="M1039" s="171"/>
      <c r="O1039" s="160"/>
      <c r="P1039" s="160"/>
      <c r="Q1039" s="160"/>
      <c r="R1039" s="160"/>
      <c r="S1039" s="160"/>
      <c r="T1039" s="207"/>
      <c r="U1039" s="160"/>
      <c r="V1039" s="160"/>
      <c r="W1039" s="160"/>
      <c r="X1039" s="160"/>
      <c r="Y1039" s="160"/>
      <c r="Z1039" s="160"/>
      <c r="AA1039" s="160"/>
      <c r="AB1039" s="160"/>
      <c r="AC1039" s="160"/>
      <c r="AD1039" s="160"/>
      <c r="AE1039" s="160"/>
      <c r="AF1039" s="160"/>
      <c r="AG1039" s="160"/>
      <c r="AH1039" s="160"/>
      <c r="AI1039" s="160"/>
      <c r="AJ1039" s="160"/>
      <c r="AK1039" s="160"/>
      <c r="AL1039" s="160"/>
      <c r="AM1039" s="160"/>
      <c r="AN1039" s="164"/>
      <c r="AO1039" s="160"/>
      <c r="AP1039" s="160"/>
      <c r="AQ1039" s="160"/>
      <c r="AR1039" s="160"/>
      <c r="AS1039" s="160"/>
      <c r="AT1039" s="160"/>
      <c r="AU1039" s="160"/>
      <c r="AV1039" s="160"/>
      <c r="AW1039" s="160"/>
      <c r="AX1039" s="160"/>
      <c r="AY1039" s="160"/>
      <c r="AZ1039" s="160"/>
      <c r="BA1039" s="160"/>
      <c r="BB1039" s="160"/>
      <c r="BC1039" s="160"/>
      <c r="BD1039" s="160"/>
      <c r="BE1039" s="160"/>
      <c r="BF1039" s="160"/>
      <c r="BG1039" s="160"/>
      <c r="BH1039" s="160"/>
      <c r="BI1039" s="160"/>
      <c r="BJ1039" s="160"/>
      <c r="BK1039" s="160"/>
      <c r="BL1039" s="160"/>
      <c r="BM1039" s="160"/>
      <c r="BN1039" s="160"/>
      <c r="BO1039" s="160"/>
      <c r="BP1039" s="160"/>
      <c r="BQ1039" s="160"/>
      <c r="BR1039" s="160"/>
      <c r="BS1039" s="160"/>
      <c r="BT1039" s="160"/>
      <c r="BU1039" s="160"/>
      <c r="BV1039" s="160"/>
      <c r="BW1039" s="160"/>
      <c r="BX1039" s="160"/>
      <c r="BY1039" s="160"/>
      <c r="BZ1039" s="160"/>
      <c r="CA1039" s="160"/>
      <c r="CB1039" s="160"/>
      <c r="CC1039" s="160"/>
      <c r="CD1039" s="160"/>
      <c r="CE1039" s="160"/>
      <c r="CF1039" s="160"/>
      <c r="CG1039" s="160"/>
      <c r="CH1039" s="160"/>
      <c r="CI1039" s="160"/>
      <c r="CJ1039" s="160"/>
      <c r="CK1039" s="160"/>
      <c r="CL1039" s="160"/>
    </row>
    <row r="1040">
      <c r="A1040" s="171"/>
      <c r="F1040" s="11"/>
      <c r="G1040" s="11"/>
      <c r="L1040" s="171"/>
      <c r="M1040" s="171"/>
      <c r="O1040" s="160"/>
      <c r="P1040" s="160"/>
      <c r="Q1040" s="160"/>
      <c r="R1040" s="160"/>
      <c r="S1040" s="160"/>
      <c r="T1040" s="207"/>
      <c r="U1040" s="160"/>
      <c r="V1040" s="160"/>
      <c r="W1040" s="160"/>
      <c r="X1040" s="160"/>
      <c r="Y1040" s="160"/>
      <c r="Z1040" s="160"/>
      <c r="AA1040" s="160"/>
      <c r="AB1040" s="160"/>
      <c r="AC1040" s="160"/>
      <c r="AD1040" s="160"/>
      <c r="AE1040" s="160"/>
      <c r="AF1040" s="160"/>
      <c r="AG1040" s="160"/>
      <c r="AH1040" s="160"/>
      <c r="AI1040" s="160"/>
      <c r="AJ1040" s="160"/>
      <c r="AK1040" s="160"/>
      <c r="AL1040" s="160"/>
      <c r="AM1040" s="160"/>
      <c r="AN1040" s="164"/>
      <c r="AO1040" s="160"/>
      <c r="AP1040" s="160"/>
      <c r="AQ1040" s="160"/>
      <c r="AR1040" s="160"/>
      <c r="AS1040" s="160"/>
      <c r="AT1040" s="160"/>
      <c r="AU1040" s="160"/>
      <c r="AV1040" s="160"/>
      <c r="AW1040" s="160"/>
      <c r="AX1040" s="160"/>
      <c r="AY1040" s="160"/>
      <c r="AZ1040" s="160"/>
      <c r="BA1040" s="160"/>
      <c r="BB1040" s="160"/>
      <c r="BC1040" s="160"/>
      <c r="BD1040" s="160"/>
      <c r="BE1040" s="160"/>
      <c r="BF1040" s="160"/>
      <c r="BG1040" s="160"/>
      <c r="BH1040" s="160"/>
      <c r="BI1040" s="160"/>
      <c r="BJ1040" s="160"/>
      <c r="BK1040" s="160"/>
      <c r="BL1040" s="160"/>
      <c r="BM1040" s="160"/>
      <c r="BN1040" s="160"/>
      <c r="BO1040" s="160"/>
      <c r="BP1040" s="160"/>
      <c r="BQ1040" s="160"/>
      <c r="BR1040" s="160"/>
      <c r="BS1040" s="160"/>
      <c r="BT1040" s="160"/>
      <c r="BU1040" s="160"/>
      <c r="BV1040" s="160"/>
      <c r="BW1040" s="160"/>
      <c r="BX1040" s="160"/>
      <c r="BY1040" s="160"/>
      <c r="BZ1040" s="160"/>
      <c r="CA1040" s="160"/>
      <c r="CB1040" s="160"/>
      <c r="CC1040" s="160"/>
      <c r="CD1040" s="160"/>
      <c r="CE1040" s="160"/>
      <c r="CF1040" s="160"/>
      <c r="CG1040" s="160"/>
      <c r="CH1040" s="160"/>
      <c r="CI1040" s="160"/>
      <c r="CJ1040" s="160"/>
      <c r="CK1040" s="160"/>
      <c r="CL1040" s="160"/>
    </row>
    <row r="1041">
      <c r="A1041" s="171"/>
      <c r="F1041" s="11"/>
      <c r="G1041" s="11"/>
      <c r="L1041" s="171"/>
      <c r="M1041" s="171"/>
      <c r="O1041" s="160"/>
      <c r="P1041" s="160"/>
      <c r="Q1041" s="160"/>
      <c r="R1041" s="160"/>
      <c r="S1041" s="160"/>
      <c r="T1041" s="207"/>
      <c r="U1041" s="160"/>
      <c r="V1041" s="160"/>
      <c r="W1041" s="160"/>
      <c r="X1041" s="160"/>
      <c r="Y1041" s="160"/>
      <c r="Z1041" s="160"/>
      <c r="AA1041" s="160"/>
      <c r="AB1041" s="160"/>
      <c r="AC1041" s="160"/>
      <c r="AD1041" s="160"/>
      <c r="AE1041" s="160"/>
      <c r="AF1041" s="160"/>
      <c r="AG1041" s="160"/>
      <c r="AH1041" s="160"/>
      <c r="AI1041" s="160"/>
      <c r="AJ1041" s="160"/>
      <c r="AK1041" s="160"/>
      <c r="AL1041" s="160"/>
      <c r="AM1041" s="160"/>
      <c r="AN1041" s="164"/>
      <c r="AO1041" s="160"/>
      <c r="AP1041" s="160"/>
      <c r="AQ1041" s="160"/>
      <c r="AR1041" s="160"/>
      <c r="AS1041" s="160"/>
      <c r="AT1041" s="160"/>
      <c r="AU1041" s="160"/>
      <c r="AV1041" s="160"/>
      <c r="AW1041" s="160"/>
      <c r="AX1041" s="160"/>
      <c r="AY1041" s="160"/>
      <c r="AZ1041" s="160"/>
      <c r="BA1041" s="160"/>
      <c r="BB1041" s="160"/>
      <c r="BC1041" s="160"/>
      <c r="BD1041" s="160"/>
      <c r="BE1041" s="160"/>
      <c r="BF1041" s="160"/>
      <c r="BG1041" s="160"/>
      <c r="BH1041" s="160"/>
      <c r="BI1041" s="160"/>
      <c r="BJ1041" s="160"/>
      <c r="BK1041" s="160"/>
      <c r="BL1041" s="160"/>
      <c r="BM1041" s="160"/>
      <c r="BN1041" s="160"/>
      <c r="BO1041" s="160"/>
      <c r="BP1041" s="160"/>
      <c r="BQ1041" s="160"/>
      <c r="BR1041" s="160"/>
      <c r="BS1041" s="160"/>
      <c r="BT1041" s="160"/>
      <c r="BU1041" s="160"/>
      <c r="BV1041" s="160"/>
      <c r="BW1041" s="160"/>
      <c r="BX1041" s="160"/>
      <c r="BY1041" s="160"/>
      <c r="BZ1041" s="160"/>
      <c r="CA1041" s="160"/>
      <c r="CB1041" s="160"/>
      <c r="CC1041" s="160"/>
      <c r="CD1041" s="160"/>
      <c r="CE1041" s="160"/>
      <c r="CF1041" s="160"/>
      <c r="CG1041" s="160"/>
      <c r="CH1041" s="160"/>
      <c r="CI1041" s="160"/>
      <c r="CJ1041" s="160"/>
      <c r="CK1041" s="160"/>
      <c r="CL1041" s="160"/>
    </row>
    <row r="1042">
      <c r="A1042" s="171"/>
      <c r="F1042" s="11"/>
      <c r="G1042" s="11"/>
      <c r="L1042" s="171"/>
      <c r="M1042" s="171"/>
      <c r="O1042" s="160"/>
      <c r="P1042" s="160"/>
      <c r="Q1042" s="160"/>
      <c r="R1042" s="160"/>
      <c r="S1042" s="160"/>
      <c r="T1042" s="207"/>
      <c r="U1042" s="160"/>
      <c r="V1042" s="160"/>
      <c r="W1042" s="160"/>
      <c r="X1042" s="160"/>
      <c r="Y1042" s="160"/>
      <c r="Z1042" s="160"/>
      <c r="AA1042" s="160"/>
      <c r="AB1042" s="160"/>
      <c r="AC1042" s="160"/>
      <c r="AD1042" s="160"/>
      <c r="AE1042" s="160"/>
      <c r="AF1042" s="160"/>
      <c r="AG1042" s="160"/>
      <c r="AH1042" s="160"/>
      <c r="AI1042" s="160"/>
      <c r="AJ1042" s="160"/>
      <c r="AK1042" s="160"/>
      <c r="AL1042" s="160"/>
      <c r="AM1042" s="160"/>
      <c r="AN1042" s="164"/>
      <c r="AO1042" s="160"/>
      <c r="AP1042" s="160"/>
      <c r="AQ1042" s="160"/>
      <c r="AR1042" s="160"/>
      <c r="AS1042" s="160"/>
      <c r="AT1042" s="160"/>
      <c r="AU1042" s="160"/>
      <c r="AV1042" s="160"/>
      <c r="AW1042" s="160"/>
      <c r="AX1042" s="160"/>
      <c r="AY1042" s="160"/>
      <c r="AZ1042" s="160"/>
      <c r="BA1042" s="160"/>
      <c r="BB1042" s="160"/>
      <c r="BC1042" s="160"/>
      <c r="BD1042" s="160"/>
      <c r="BE1042" s="160"/>
      <c r="BF1042" s="160"/>
      <c r="BG1042" s="160"/>
      <c r="BH1042" s="160"/>
      <c r="BI1042" s="160"/>
      <c r="BJ1042" s="160"/>
      <c r="BK1042" s="160"/>
      <c r="BL1042" s="160"/>
      <c r="BM1042" s="160"/>
      <c r="BN1042" s="160"/>
      <c r="BO1042" s="160"/>
      <c r="BP1042" s="160"/>
      <c r="BQ1042" s="160"/>
      <c r="BR1042" s="160"/>
      <c r="BS1042" s="160"/>
      <c r="BT1042" s="160"/>
      <c r="BU1042" s="160"/>
      <c r="BV1042" s="160"/>
      <c r="BW1042" s="160"/>
      <c r="BX1042" s="160"/>
      <c r="BY1042" s="160"/>
      <c r="BZ1042" s="160"/>
      <c r="CA1042" s="160"/>
      <c r="CB1042" s="160"/>
      <c r="CC1042" s="160"/>
      <c r="CD1042" s="160"/>
      <c r="CE1042" s="160"/>
      <c r="CF1042" s="160"/>
      <c r="CG1042" s="160"/>
      <c r="CH1042" s="160"/>
      <c r="CI1042" s="160"/>
      <c r="CJ1042" s="160"/>
      <c r="CK1042" s="160"/>
      <c r="CL1042" s="160"/>
    </row>
    <row r="1043">
      <c r="A1043" s="171"/>
      <c r="F1043" s="11"/>
      <c r="G1043" s="11"/>
      <c r="L1043" s="171"/>
      <c r="M1043" s="171"/>
      <c r="O1043" s="160"/>
      <c r="P1043" s="160"/>
      <c r="Q1043" s="160"/>
      <c r="R1043" s="160"/>
      <c r="S1043" s="160"/>
      <c r="T1043" s="207"/>
      <c r="U1043" s="160"/>
      <c r="V1043" s="160"/>
      <c r="W1043" s="160"/>
      <c r="X1043" s="160"/>
      <c r="Y1043" s="160"/>
      <c r="Z1043" s="160"/>
      <c r="AA1043" s="160"/>
      <c r="AB1043" s="160"/>
      <c r="AC1043" s="160"/>
      <c r="AD1043" s="160"/>
      <c r="AE1043" s="160"/>
      <c r="AF1043" s="160"/>
      <c r="AG1043" s="160"/>
      <c r="AH1043" s="160"/>
      <c r="AI1043" s="160"/>
      <c r="AJ1043" s="160"/>
      <c r="AK1043" s="160"/>
      <c r="AL1043" s="160"/>
      <c r="AM1043" s="160"/>
      <c r="AN1043" s="164"/>
      <c r="AO1043" s="160"/>
      <c r="AP1043" s="160"/>
      <c r="AQ1043" s="160"/>
      <c r="AR1043" s="160"/>
      <c r="AS1043" s="160"/>
      <c r="AT1043" s="160"/>
      <c r="AU1043" s="160"/>
      <c r="AV1043" s="160"/>
      <c r="AW1043" s="160"/>
      <c r="AX1043" s="160"/>
      <c r="AY1043" s="160"/>
      <c r="AZ1043" s="160"/>
      <c r="BA1043" s="160"/>
      <c r="BB1043" s="160"/>
      <c r="BC1043" s="160"/>
      <c r="BD1043" s="160"/>
      <c r="BE1043" s="160"/>
      <c r="BF1043" s="160"/>
      <c r="BG1043" s="160"/>
      <c r="BH1043" s="160"/>
      <c r="BI1043" s="160"/>
      <c r="BJ1043" s="160"/>
      <c r="BK1043" s="160"/>
      <c r="BL1043" s="160"/>
      <c r="BM1043" s="160"/>
      <c r="BN1043" s="160"/>
      <c r="BO1043" s="160"/>
      <c r="BP1043" s="160"/>
      <c r="BQ1043" s="160"/>
      <c r="BR1043" s="160"/>
      <c r="BS1043" s="160"/>
      <c r="BT1043" s="160"/>
      <c r="BU1043" s="160"/>
      <c r="BV1043" s="160"/>
      <c r="BW1043" s="160"/>
      <c r="BX1043" s="160"/>
      <c r="BY1043" s="160"/>
      <c r="BZ1043" s="160"/>
      <c r="CA1043" s="160"/>
      <c r="CB1043" s="160"/>
      <c r="CC1043" s="160"/>
      <c r="CD1043" s="160"/>
      <c r="CE1043" s="160"/>
      <c r="CF1043" s="160"/>
      <c r="CG1043" s="160"/>
      <c r="CH1043" s="160"/>
      <c r="CI1043" s="160"/>
      <c r="CJ1043" s="160"/>
      <c r="CK1043" s="160"/>
      <c r="CL1043" s="160"/>
    </row>
    <row r="1044">
      <c r="A1044" s="171"/>
      <c r="F1044" s="11"/>
      <c r="G1044" s="11"/>
      <c r="L1044" s="171"/>
      <c r="M1044" s="171"/>
      <c r="O1044" s="160"/>
      <c r="P1044" s="160"/>
      <c r="Q1044" s="160"/>
      <c r="R1044" s="160"/>
      <c r="S1044" s="160"/>
      <c r="T1044" s="207"/>
      <c r="U1044" s="160"/>
      <c r="V1044" s="160"/>
      <c r="W1044" s="160"/>
      <c r="X1044" s="160"/>
      <c r="Y1044" s="160"/>
      <c r="Z1044" s="160"/>
      <c r="AA1044" s="160"/>
      <c r="AB1044" s="160"/>
      <c r="AC1044" s="160"/>
      <c r="AD1044" s="160"/>
      <c r="AE1044" s="160"/>
      <c r="AF1044" s="160"/>
      <c r="AG1044" s="160"/>
      <c r="AH1044" s="160"/>
      <c r="AI1044" s="160"/>
      <c r="AJ1044" s="160"/>
      <c r="AK1044" s="160"/>
      <c r="AL1044" s="160"/>
      <c r="AM1044" s="160"/>
      <c r="AN1044" s="164"/>
      <c r="AO1044" s="160"/>
      <c r="AP1044" s="160"/>
      <c r="AQ1044" s="160"/>
      <c r="AR1044" s="160"/>
      <c r="AS1044" s="160"/>
      <c r="AT1044" s="160"/>
      <c r="AU1044" s="160"/>
      <c r="AV1044" s="160"/>
      <c r="AW1044" s="160"/>
      <c r="AX1044" s="160"/>
      <c r="AY1044" s="160"/>
      <c r="AZ1044" s="160"/>
      <c r="BA1044" s="160"/>
      <c r="BB1044" s="160"/>
      <c r="BC1044" s="160"/>
      <c r="BD1044" s="160"/>
      <c r="BE1044" s="160"/>
      <c r="BF1044" s="160"/>
      <c r="BG1044" s="160"/>
      <c r="BH1044" s="160"/>
      <c r="BI1044" s="160"/>
      <c r="BJ1044" s="160"/>
      <c r="BK1044" s="160"/>
      <c r="BL1044" s="160"/>
      <c r="BM1044" s="160"/>
      <c r="BN1044" s="160"/>
      <c r="BO1044" s="160"/>
      <c r="BP1044" s="160"/>
      <c r="BQ1044" s="160"/>
      <c r="BR1044" s="160"/>
      <c r="BS1044" s="160"/>
      <c r="BT1044" s="160"/>
      <c r="BU1044" s="160"/>
      <c r="BV1044" s="160"/>
      <c r="BW1044" s="160"/>
      <c r="BX1044" s="160"/>
      <c r="BY1044" s="160"/>
      <c r="BZ1044" s="160"/>
      <c r="CA1044" s="160"/>
      <c r="CB1044" s="160"/>
      <c r="CC1044" s="160"/>
      <c r="CD1044" s="160"/>
      <c r="CE1044" s="160"/>
      <c r="CF1044" s="160"/>
      <c r="CG1044" s="160"/>
      <c r="CH1044" s="160"/>
      <c r="CI1044" s="160"/>
      <c r="CJ1044" s="160"/>
      <c r="CK1044" s="160"/>
      <c r="CL1044" s="160"/>
    </row>
    <row r="1045">
      <c r="A1045" s="171"/>
      <c r="F1045" s="11"/>
      <c r="G1045" s="11"/>
      <c r="L1045" s="171"/>
      <c r="M1045" s="171"/>
      <c r="O1045" s="160"/>
      <c r="P1045" s="160"/>
      <c r="Q1045" s="160"/>
      <c r="R1045" s="160"/>
      <c r="S1045" s="160"/>
      <c r="T1045" s="207"/>
      <c r="U1045" s="160"/>
      <c r="V1045" s="160"/>
      <c r="W1045" s="160"/>
      <c r="X1045" s="160"/>
      <c r="Y1045" s="160"/>
      <c r="Z1045" s="160"/>
      <c r="AA1045" s="160"/>
      <c r="AB1045" s="160"/>
      <c r="AC1045" s="160"/>
      <c r="AD1045" s="160"/>
      <c r="AE1045" s="160"/>
      <c r="AF1045" s="160"/>
      <c r="AG1045" s="160"/>
      <c r="AH1045" s="160"/>
      <c r="AI1045" s="160"/>
      <c r="AJ1045" s="160"/>
      <c r="AK1045" s="160"/>
      <c r="AL1045" s="160"/>
      <c r="AM1045" s="160"/>
      <c r="AN1045" s="164"/>
      <c r="AO1045" s="160"/>
      <c r="AP1045" s="160"/>
      <c r="AQ1045" s="160"/>
      <c r="AR1045" s="160"/>
      <c r="AS1045" s="160"/>
      <c r="AT1045" s="160"/>
      <c r="AU1045" s="160"/>
      <c r="AV1045" s="160"/>
      <c r="AW1045" s="160"/>
      <c r="AX1045" s="160"/>
      <c r="AY1045" s="160"/>
      <c r="AZ1045" s="160"/>
      <c r="BA1045" s="160"/>
      <c r="BB1045" s="160"/>
      <c r="BC1045" s="160"/>
      <c r="BD1045" s="160"/>
      <c r="BE1045" s="160"/>
      <c r="BF1045" s="160"/>
      <c r="BG1045" s="160"/>
      <c r="BH1045" s="160"/>
      <c r="BI1045" s="160"/>
      <c r="BJ1045" s="160"/>
      <c r="BK1045" s="160"/>
      <c r="BL1045" s="160"/>
      <c r="BM1045" s="160"/>
      <c r="BN1045" s="160"/>
      <c r="BO1045" s="160"/>
      <c r="BP1045" s="160"/>
      <c r="BQ1045" s="160"/>
      <c r="BR1045" s="160"/>
      <c r="BS1045" s="160"/>
      <c r="BT1045" s="160"/>
      <c r="BU1045" s="160"/>
      <c r="BV1045" s="160"/>
      <c r="BW1045" s="160"/>
      <c r="BX1045" s="160"/>
      <c r="BY1045" s="160"/>
      <c r="BZ1045" s="160"/>
      <c r="CA1045" s="160"/>
      <c r="CB1045" s="160"/>
      <c r="CC1045" s="160"/>
      <c r="CD1045" s="160"/>
      <c r="CE1045" s="160"/>
      <c r="CF1045" s="160"/>
      <c r="CG1045" s="160"/>
      <c r="CH1045" s="160"/>
      <c r="CI1045" s="160"/>
      <c r="CJ1045" s="160"/>
      <c r="CK1045" s="160"/>
      <c r="CL1045" s="160"/>
    </row>
    <row r="1046">
      <c r="A1046" s="171"/>
      <c r="F1046" s="11"/>
      <c r="G1046" s="11"/>
      <c r="L1046" s="171"/>
      <c r="M1046" s="171"/>
      <c r="O1046" s="160"/>
      <c r="P1046" s="160"/>
      <c r="Q1046" s="160"/>
      <c r="R1046" s="160"/>
      <c r="S1046" s="160"/>
      <c r="T1046" s="207"/>
      <c r="U1046" s="160"/>
      <c r="V1046" s="160"/>
      <c r="W1046" s="160"/>
      <c r="X1046" s="160"/>
      <c r="Y1046" s="160"/>
      <c r="Z1046" s="160"/>
      <c r="AA1046" s="160"/>
      <c r="AB1046" s="160"/>
      <c r="AC1046" s="160"/>
      <c r="AD1046" s="160"/>
      <c r="AE1046" s="160"/>
      <c r="AF1046" s="160"/>
      <c r="AG1046" s="160"/>
      <c r="AH1046" s="160"/>
      <c r="AI1046" s="160"/>
      <c r="AJ1046" s="160"/>
      <c r="AK1046" s="160"/>
      <c r="AL1046" s="160"/>
      <c r="AM1046" s="160"/>
      <c r="AN1046" s="164"/>
      <c r="AO1046" s="160"/>
      <c r="AP1046" s="160"/>
      <c r="AQ1046" s="160"/>
      <c r="AR1046" s="160"/>
      <c r="AS1046" s="160"/>
      <c r="AT1046" s="160"/>
      <c r="AU1046" s="160"/>
      <c r="AV1046" s="160"/>
      <c r="AW1046" s="160"/>
      <c r="AX1046" s="160"/>
      <c r="AY1046" s="160"/>
      <c r="AZ1046" s="160"/>
      <c r="BA1046" s="160"/>
      <c r="BB1046" s="160"/>
      <c r="BC1046" s="160"/>
      <c r="BD1046" s="160"/>
      <c r="BE1046" s="160"/>
      <c r="BF1046" s="160"/>
      <c r="BG1046" s="160"/>
      <c r="BH1046" s="160"/>
      <c r="BI1046" s="160"/>
      <c r="BJ1046" s="160"/>
      <c r="BK1046" s="160"/>
      <c r="BL1046" s="160"/>
      <c r="BM1046" s="160"/>
      <c r="BN1046" s="160"/>
      <c r="BO1046" s="160"/>
      <c r="BP1046" s="160"/>
      <c r="BQ1046" s="160"/>
      <c r="BR1046" s="160"/>
      <c r="BS1046" s="160"/>
      <c r="BT1046" s="160"/>
      <c r="BU1046" s="160"/>
      <c r="BV1046" s="160"/>
      <c r="BW1046" s="160"/>
      <c r="BX1046" s="160"/>
      <c r="BY1046" s="160"/>
      <c r="BZ1046" s="160"/>
      <c r="CA1046" s="160"/>
      <c r="CB1046" s="160"/>
      <c r="CC1046" s="160"/>
      <c r="CD1046" s="160"/>
      <c r="CE1046" s="160"/>
      <c r="CF1046" s="160"/>
      <c r="CG1046" s="160"/>
      <c r="CH1046" s="160"/>
      <c r="CI1046" s="160"/>
      <c r="CJ1046" s="160"/>
      <c r="CK1046" s="160"/>
      <c r="CL1046" s="160"/>
    </row>
    <row r="1047">
      <c r="A1047" s="171"/>
      <c r="F1047" s="11"/>
      <c r="G1047" s="11"/>
      <c r="L1047" s="171"/>
      <c r="M1047" s="171"/>
      <c r="O1047" s="160"/>
      <c r="P1047" s="160"/>
      <c r="Q1047" s="160"/>
      <c r="R1047" s="160"/>
      <c r="S1047" s="160"/>
      <c r="T1047" s="207"/>
      <c r="U1047" s="160"/>
      <c r="V1047" s="160"/>
      <c r="W1047" s="160"/>
      <c r="X1047" s="160"/>
      <c r="Y1047" s="160"/>
      <c r="Z1047" s="160"/>
      <c r="AA1047" s="160"/>
      <c r="AB1047" s="160"/>
      <c r="AC1047" s="160"/>
      <c r="AD1047" s="160"/>
      <c r="AE1047" s="160"/>
      <c r="AF1047" s="160"/>
      <c r="AG1047" s="160"/>
      <c r="AH1047" s="160"/>
      <c r="AI1047" s="160"/>
      <c r="AJ1047" s="160"/>
      <c r="AK1047" s="160"/>
      <c r="AL1047" s="160"/>
      <c r="AM1047" s="160"/>
      <c r="AN1047" s="164"/>
      <c r="AO1047" s="160"/>
      <c r="AP1047" s="160"/>
      <c r="AQ1047" s="160"/>
      <c r="AR1047" s="160"/>
      <c r="AS1047" s="160"/>
      <c r="AT1047" s="160"/>
      <c r="AU1047" s="160"/>
      <c r="AV1047" s="160"/>
      <c r="AW1047" s="160"/>
      <c r="AX1047" s="160"/>
      <c r="AY1047" s="160"/>
      <c r="AZ1047" s="160"/>
      <c r="BA1047" s="160"/>
      <c r="BB1047" s="160"/>
      <c r="BC1047" s="160"/>
      <c r="BD1047" s="160"/>
      <c r="BE1047" s="160"/>
      <c r="BF1047" s="160"/>
      <c r="BG1047" s="160"/>
      <c r="BH1047" s="160"/>
      <c r="BI1047" s="160"/>
      <c r="BJ1047" s="160"/>
      <c r="BK1047" s="160"/>
      <c r="BL1047" s="160"/>
      <c r="BM1047" s="160"/>
      <c r="BN1047" s="160"/>
      <c r="BO1047" s="160"/>
      <c r="BP1047" s="160"/>
      <c r="BQ1047" s="160"/>
      <c r="BR1047" s="160"/>
      <c r="BS1047" s="160"/>
      <c r="BT1047" s="160"/>
      <c r="BU1047" s="160"/>
      <c r="BV1047" s="160"/>
      <c r="BW1047" s="160"/>
      <c r="BX1047" s="160"/>
      <c r="BY1047" s="160"/>
      <c r="BZ1047" s="160"/>
      <c r="CA1047" s="160"/>
      <c r="CB1047" s="160"/>
      <c r="CC1047" s="160"/>
      <c r="CD1047" s="160"/>
      <c r="CE1047" s="160"/>
      <c r="CF1047" s="160"/>
      <c r="CG1047" s="160"/>
      <c r="CH1047" s="160"/>
      <c r="CI1047" s="160"/>
      <c r="CJ1047" s="160"/>
      <c r="CK1047" s="160"/>
      <c r="CL1047" s="160"/>
    </row>
    <row r="1048">
      <c r="A1048" s="171"/>
      <c r="F1048" s="11"/>
      <c r="G1048" s="11"/>
      <c r="L1048" s="171"/>
      <c r="M1048" s="171"/>
      <c r="O1048" s="160"/>
      <c r="P1048" s="160"/>
      <c r="Q1048" s="160"/>
      <c r="R1048" s="160"/>
      <c r="S1048" s="160"/>
      <c r="T1048" s="207"/>
      <c r="U1048" s="160"/>
      <c r="V1048" s="160"/>
      <c r="W1048" s="160"/>
      <c r="X1048" s="160"/>
      <c r="Y1048" s="160"/>
      <c r="Z1048" s="160"/>
      <c r="AA1048" s="160"/>
      <c r="AB1048" s="160"/>
      <c r="AC1048" s="160"/>
      <c r="AD1048" s="160"/>
      <c r="AE1048" s="160"/>
      <c r="AF1048" s="160"/>
      <c r="AG1048" s="160"/>
      <c r="AH1048" s="160"/>
      <c r="AI1048" s="160"/>
      <c r="AJ1048" s="160"/>
      <c r="AK1048" s="160"/>
      <c r="AL1048" s="160"/>
      <c r="AM1048" s="160"/>
      <c r="AN1048" s="164"/>
      <c r="AO1048" s="160"/>
      <c r="AP1048" s="160"/>
      <c r="AQ1048" s="160"/>
      <c r="AR1048" s="160"/>
      <c r="AS1048" s="160"/>
      <c r="AT1048" s="160"/>
      <c r="AU1048" s="160"/>
      <c r="AV1048" s="160"/>
      <c r="AW1048" s="160"/>
      <c r="AX1048" s="160"/>
      <c r="AY1048" s="160"/>
      <c r="AZ1048" s="160"/>
      <c r="BA1048" s="160"/>
      <c r="BB1048" s="160"/>
      <c r="BC1048" s="160"/>
      <c r="BD1048" s="160"/>
      <c r="BE1048" s="160"/>
      <c r="BF1048" s="160"/>
      <c r="BG1048" s="160"/>
      <c r="BH1048" s="160"/>
      <c r="BI1048" s="160"/>
      <c r="BJ1048" s="160"/>
      <c r="BK1048" s="160"/>
      <c r="BL1048" s="160"/>
      <c r="BM1048" s="160"/>
      <c r="BN1048" s="160"/>
      <c r="BO1048" s="160"/>
      <c r="BP1048" s="160"/>
      <c r="BQ1048" s="160"/>
      <c r="BR1048" s="160"/>
      <c r="BS1048" s="160"/>
      <c r="BT1048" s="160"/>
      <c r="BU1048" s="160"/>
      <c r="BV1048" s="160"/>
      <c r="BW1048" s="160"/>
      <c r="BX1048" s="160"/>
      <c r="BY1048" s="160"/>
      <c r="BZ1048" s="160"/>
      <c r="CA1048" s="160"/>
      <c r="CB1048" s="160"/>
      <c r="CC1048" s="160"/>
      <c r="CD1048" s="160"/>
      <c r="CE1048" s="160"/>
      <c r="CF1048" s="160"/>
      <c r="CG1048" s="160"/>
      <c r="CH1048" s="160"/>
      <c r="CI1048" s="160"/>
      <c r="CJ1048" s="160"/>
      <c r="CK1048" s="160"/>
      <c r="CL1048" s="160"/>
    </row>
    <row r="1049">
      <c r="A1049" s="171"/>
      <c r="F1049" s="11"/>
      <c r="G1049" s="11"/>
      <c r="L1049" s="171"/>
      <c r="M1049" s="171"/>
      <c r="O1049" s="160"/>
      <c r="P1049" s="160"/>
      <c r="Q1049" s="160"/>
      <c r="R1049" s="160"/>
      <c r="S1049" s="160"/>
      <c r="T1049" s="207"/>
      <c r="U1049" s="160"/>
      <c r="V1049" s="160"/>
      <c r="W1049" s="160"/>
      <c r="X1049" s="160"/>
      <c r="Y1049" s="160"/>
      <c r="Z1049" s="160"/>
      <c r="AA1049" s="160"/>
      <c r="AB1049" s="160"/>
      <c r="AC1049" s="160"/>
      <c r="AD1049" s="160"/>
      <c r="AE1049" s="160"/>
      <c r="AF1049" s="160"/>
      <c r="AG1049" s="160"/>
      <c r="AH1049" s="160"/>
      <c r="AI1049" s="160"/>
      <c r="AJ1049" s="160"/>
      <c r="AK1049" s="160"/>
      <c r="AL1049" s="160"/>
      <c r="AM1049" s="160"/>
      <c r="AN1049" s="164"/>
      <c r="AO1049" s="160"/>
      <c r="AP1049" s="160"/>
      <c r="AQ1049" s="160"/>
      <c r="AR1049" s="160"/>
      <c r="AS1049" s="160"/>
      <c r="AT1049" s="160"/>
      <c r="AU1049" s="160"/>
      <c r="AV1049" s="160"/>
      <c r="AW1049" s="160"/>
      <c r="AX1049" s="160"/>
      <c r="AY1049" s="160"/>
      <c r="AZ1049" s="160"/>
      <c r="BA1049" s="160"/>
      <c r="BB1049" s="160"/>
      <c r="BC1049" s="160"/>
      <c r="BD1049" s="160"/>
      <c r="BE1049" s="160"/>
      <c r="BF1049" s="160"/>
      <c r="BG1049" s="160"/>
      <c r="BH1049" s="160"/>
      <c r="BI1049" s="160"/>
      <c r="BJ1049" s="160"/>
      <c r="BK1049" s="160"/>
      <c r="BL1049" s="160"/>
      <c r="BM1049" s="160"/>
      <c r="BN1049" s="160"/>
      <c r="BO1049" s="160"/>
      <c r="BP1049" s="160"/>
      <c r="BQ1049" s="160"/>
      <c r="BR1049" s="160"/>
      <c r="BS1049" s="160"/>
      <c r="BT1049" s="160"/>
      <c r="BU1049" s="160"/>
      <c r="BV1049" s="160"/>
      <c r="BW1049" s="160"/>
      <c r="BX1049" s="160"/>
      <c r="BY1049" s="160"/>
      <c r="BZ1049" s="160"/>
      <c r="CA1049" s="160"/>
      <c r="CB1049" s="160"/>
      <c r="CC1049" s="160"/>
      <c r="CD1049" s="160"/>
      <c r="CE1049" s="160"/>
      <c r="CF1049" s="160"/>
      <c r="CG1049" s="160"/>
      <c r="CH1049" s="160"/>
      <c r="CI1049" s="160"/>
      <c r="CJ1049" s="160"/>
      <c r="CK1049" s="160"/>
      <c r="CL1049" s="160"/>
    </row>
    <row r="1050">
      <c r="A1050" s="171"/>
      <c r="F1050" s="11"/>
      <c r="G1050" s="11"/>
      <c r="L1050" s="171"/>
      <c r="M1050" s="171"/>
      <c r="O1050" s="160"/>
      <c r="P1050" s="160"/>
      <c r="Q1050" s="160"/>
      <c r="R1050" s="160"/>
      <c r="S1050" s="160"/>
      <c r="T1050" s="207"/>
      <c r="U1050" s="160"/>
      <c r="V1050" s="160"/>
      <c r="W1050" s="160"/>
      <c r="X1050" s="160"/>
      <c r="Y1050" s="160"/>
      <c r="Z1050" s="160"/>
      <c r="AA1050" s="160"/>
      <c r="AB1050" s="160"/>
      <c r="AC1050" s="160"/>
      <c r="AD1050" s="160"/>
      <c r="AE1050" s="160"/>
      <c r="AF1050" s="160"/>
      <c r="AG1050" s="160"/>
      <c r="AH1050" s="160"/>
      <c r="AI1050" s="160"/>
      <c r="AJ1050" s="160"/>
      <c r="AK1050" s="160"/>
      <c r="AL1050" s="160"/>
      <c r="AM1050" s="160"/>
      <c r="AN1050" s="164"/>
      <c r="AO1050" s="160"/>
      <c r="AP1050" s="160"/>
      <c r="AQ1050" s="160"/>
      <c r="AR1050" s="160"/>
      <c r="AS1050" s="160"/>
      <c r="AT1050" s="160"/>
      <c r="AU1050" s="160"/>
      <c r="AV1050" s="160"/>
      <c r="AW1050" s="160"/>
      <c r="AX1050" s="160"/>
      <c r="AY1050" s="160"/>
      <c r="AZ1050" s="160"/>
      <c r="BA1050" s="160"/>
      <c r="BB1050" s="160"/>
      <c r="BC1050" s="160"/>
      <c r="BD1050" s="160"/>
      <c r="BE1050" s="160"/>
      <c r="BF1050" s="160"/>
      <c r="BG1050" s="160"/>
      <c r="BH1050" s="160"/>
      <c r="BI1050" s="160"/>
      <c r="BJ1050" s="160"/>
      <c r="BK1050" s="160"/>
      <c r="BL1050" s="160"/>
      <c r="BM1050" s="160"/>
      <c r="BN1050" s="160"/>
      <c r="BO1050" s="160"/>
      <c r="BP1050" s="160"/>
      <c r="BQ1050" s="160"/>
      <c r="BR1050" s="160"/>
      <c r="BS1050" s="160"/>
      <c r="BT1050" s="160"/>
      <c r="BU1050" s="160"/>
      <c r="BV1050" s="160"/>
      <c r="BW1050" s="160"/>
      <c r="BX1050" s="160"/>
      <c r="BY1050" s="160"/>
      <c r="BZ1050" s="160"/>
      <c r="CA1050" s="160"/>
      <c r="CB1050" s="160"/>
      <c r="CC1050" s="160"/>
      <c r="CD1050" s="160"/>
      <c r="CE1050" s="160"/>
      <c r="CF1050" s="160"/>
      <c r="CG1050" s="160"/>
      <c r="CH1050" s="160"/>
      <c r="CI1050" s="160"/>
      <c r="CJ1050" s="160"/>
      <c r="CK1050" s="160"/>
      <c r="CL1050" s="160"/>
    </row>
    <row r="1051">
      <c r="A1051" s="171"/>
      <c r="F1051" s="11"/>
      <c r="G1051" s="11"/>
      <c r="L1051" s="171"/>
      <c r="M1051" s="171"/>
      <c r="O1051" s="160"/>
      <c r="P1051" s="160"/>
      <c r="Q1051" s="160"/>
      <c r="R1051" s="160"/>
      <c r="S1051" s="160"/>
      <c r="T1051" s="207"/>
      <c r="U1051" s="160"/>
      <c r="V1051" s="160"/>
      <c r="W1051" s="160"/>
      <c r="X1051" s="160"/>
      <c r="Y1051" s="160"/>
      <c r="Z1051" s="160"/>
      <c r="AA1051" s="160"/>
      <c r="AB1051" s="160"/>
      <c r="AC1051" s="160"/>
      <c r="AD1051" s="160"/>
      <c r="AE1051" s="160"/>
      <c r="AF1051" s="160"/>
      <c r="AG1051" s="160"/>
      <c r="AH1051" s="160"/>
      <c r="AI1051" s="160"/>
      <c r="AJ1051" s="160"/>
      <c r="AK1051" s="160"/>
      <c r="AL1051" s="160"/>
      <c r="AM1051" s="160"/>
      <c r="AN1051" s="164"/>
      <c r="AO1051" s="160"/>
      <c r="AP1051" s="160"/>
      <c r="AQ1051" s="160"/>
      <c r="AR1051" s="160"/>
      <c r="AS1051" s="160"/>
      <c r="AT1051" s="160"/>
      <c r="AU1051" s="160"/>
      <c r="AV1051" s="160"/>
      <c r="AW1051" s="160"/>
      <c r="AX1051" s="160"/>
      <c r="AY1051" s="160"/>
      <c r="AZ1051" s="160"/>
      <c r="BA1051" s="160"/>
      <c r="BB1051" s="160"/>
      <c r="BC1051" s="160"/>
      <c r="BD1051" s="160"/>
      <c r="BE1051" s="160"/>
      <c r="BF1051" s="160"/>
      <c r="BG1051" s="160"/>
      <c r="BH1051" s="160"/>
      <c r="BI1051" s="160"/>
      <c r="BJ1051" s="160"/>
      <c r="BK1051" s="160"/>
      <c r="BL1051" s="160"/>
      <c r="BM1051" s="160"/>
      <c r="BN1051" s="160"/>
      <c r="BO1051" s="160"/>
      <c r="BP1051" s="160"/>
      <c r="BQ1051" s="160"/>
      <c r="BR1051" s="160"/>
      <c r="BS1051" s="160"/>
      <c r="BT1051" s="160"/>
      <c r="BU1051" s="160"/>
      <c r="BV1051" s="160"/>
      <c r="BW1051" s="160"/>
      <c r="BX1051" s="160"/>
      <c r="BY1051" s="160"/>
      <c r="BZ1051" s="160"/>
      <c r="CA1051" s="160"/>
      <c r="CB1051" s="160"/>
      <c r="CC1051" s="160"/>
      <c r="CD1051" s="160"/>
      <c r="CE1051" s="160"/>
      <c r="CF1051" s="160"/>
      <c r="CG1051" s="160"/>
      <c r="CH1051" s="160"/>
      <c r="CI1051" s="160"/>
      <c r="CJ1051" s="160"/>
      <c r="CK1051" s="160"/>
      <c r="CL1051" s="160"/>
    </row>
    <row r="1052">
      <c r="A1052" s="171"/>
      <c r="F1052" s="11"/>
      <c r="G1052" s="11"/>
      <c r="L1052" s="171"/>
      <c r="M1052" s="171"/>
      <c r="O1052" s="160"/>
      <c r="P1052" s="160"/>
      <c r="Q1052" s="160"/>
      <c r="R1052" s="160"/>
      <c r="S1052" s="160"/>
      <c r="T1052" s="207"/>
      <c r="U1052" s="160"/>
      <c r="V1052" s="160"/>
      <c r="W1052" s="160"/>
      <c r="X1052" s="160"/>
      <c r="Y1052" s="160"/>
      <c r="Z1052" s="160"/>
      <c r="AA1052" s="160"/>
      <c r="AB1052" s="160"/>
      <c r="AC1052" s="160"/>
      <c r="AD1052" s="160"/>
      <c r="AE1052" s="160"/>
      <c r="AF1052" s="160"/>
      <c r="AG1052" s="160"/>
      <c r="AH1052" s="160"/>
      <c r="AI1052" s="160"/>
      <c r="AJ1052" s="160"/>
      <c r="AK1052" s="160"/>
      <c r="AL1052" s="160"/>
      <c r="AM1052" s="160"/>
      <c r="AN1052" s="164"/>
      <c r="AO1052" s="160"/>
      <c r="AP1052" s="160"/>
      <c r="AQ1052" s="160"/>
      <c r="AR1052" s="160"/>
      <c r="AS1052" s="160"/>
      <c r="AT1052" s="160"/>
      <c r="AU1052" s="160"/>
      <c r="AV1052" s="160"/>
      <c r="AW1052" s="160"/>
      <c r="AX1052" s="160"/>
      <c r="AY1052" s="160"/>
      <c r="AZ1052" s="160"/>
      <c r="BA1052" s="160"/>
      <c r="BB1052" s="160"/>
      <c r="BC1052" s="160"/>
      <c r="BD1052" s="160"/>
      <c r="BE1052" s="160"/>
      <c r="BF1052" s="160"/>
      <c r="BG1052" s="160"/>
      <c r="BH1052" s="160"/>
      <c r="BI1052" s="160"/>
      <c r="BJ1052" s="160"/>
      <c r="BK1052" s="160"/>
      <c r="BL1052" s="160"/>
      <c r="BM1052" s="160"/>
      <c r="BN1052" s="160"/>
      <c r="BO1052" s="160"/>
      <c r="BP1052" s="160"/>
      <c r="BQ1052" s="160"/>
      <c r="BR1052" s="160"/>
      <c r="BS1052" s="160"/>
      <c r="BT1052" s="160"/>
      <c r="BU1052" s="160"/>
      <c r="BV1052" s="160"/>
      <c r="BW1052" s="160"/>
      <c r="BX1052" s="160"/>
      <c r="BY1052" s="160"/>
      <c r="BZ1052" s="160"/>
      <c r="CA1052" s="160"/>
      <c r="CB1052" s="160"/>
      <c r="CC1052" s="160"/>
      <c r="CD1052" s="160"/>
      <c r="CE1052" s="160"/>
      <c r="CF1052" s="160"/>
      <c r="CG1052" s="160"/>
      <c r="CH1052" s="160"/>
      <c r="CI1052" s="160"/>
      <c r="CJ1052" s="160"/>
      <c r="CK1052" s="160"/>
      <c r="CL1052" s="160"/>
    </row>
    <row r="1053">
      <c r="A1053" s="171"/>
      <c r="F1053" s="11"/>
      <c r="G1053" s="11"/>
      <c r="L1053" s="171"/>
      <c r="M1053" s="171"/>
      <c r="O1053" s="160"/>
      <c r="P1053" s="160"/>
      <c r="Q1053" s="160"/>
      <c r="R1053" s="160"/>
      <c r="S1053" s="160"/>
      <c r="T1053" s="207"/>
      <c r="U1053" s="160"/>
      <c r="V1053" s="160"/>
      <c r="W1053" s="160"/>
      <c r="X1053" s="160"/>
      <c r="Y1053" s="160"/>
      <c r="Z1053" s="160"/>
      <c r="AA1053" s="160"/>
      <c r="AB1053" s="160"/>
      <c r="AC1053" s="160"/>
      <c r="AD1053" s="160"/>
      <c r="AE1053" s="160"/>
      <c r="AF1053" s="160"/>
      <c r="AG1053" s="160"/>
      <c r="AH1053" s="160"/>
      <c r="AI1053" s="160"/>
      <c r="AJ1053" s="160"/>
      <c r="AK1053" s="160"/>
      <c r="AL1053" s="160"/>
      <c r="AM1053" s="160"/>
      <c r="AN1053" s="164"/>
      <c r="AO1053" s="160"/>
      <c r="AP1053" s="160"/>
      <c r="AQ1053" s="160"/>
      <c r="AR1053" s="160"/>
      <c r="AS1053" s="160"/>
      <c r="AT1053" s="160"/>
      <c r="AU1053" s="160"/>
      <c r="AV1053" s="160"/>
      <c r="AW1053" s="160"/>
      <c r="AX1053" s="160"/>
      <c r="AY1053" s="160"/>
      <c r="AZ1053" s="160"/>
      <c r="BA1053" s="160"/>
      <c r="BB1053" s="160"/>
      <c r="BC1053" s="160"/>
      <c r="BD1053" s="160"/>
      <c r="BE1053" s="160"/>
      <c r="BF1053" s="160"/>
      <c r="BG1053" s="160"/>
      <c r="BH1053" s="160"/>
      <c r="BI1053" s="160"/>
      <c r="BJ1053" s="160"/>
      <c r="BK1053" s="160"/>
      <c r="BL1053" s="160"/>
      <c r="BM1053" s="160"/>
      <c r="BN1053" s="160"/>
      <c r="BO1053" s="160"/>
      <c r="BP1053" s="160"/>
      <c r="BQ1053" s="160"/>
      <c r="BR1053" s="160"/>
      <c r="BS1053" s="160"/>
      <c r="BT1053" s="160"/>
      <c r="BU1053" s="160"/>
      <c r="BV1053" s="160"/>
      <c r="BW1053" s="160"/>
      <c r="BX1053" s="160"/>
      <c r="BY1053" s="160"/>
      <c r="BZ1053" s="160"/>
      <c r="CA1053" s="160"/>
      <c r="CB1053" s="160"/>
      <c r="CC1053" s="160"/>
      <c r="CD1053" s="160"/>
      <c r="CE1053" s="160"/>
      <c r="CF1053" s="160"/>
      <c r="CG1053" s="160"/>
      <c r="CH1053" s="160"/>
      <c r="CI1053" s="160"/>
      <c r="CJ1053" s="160"/>
      <c r="CK1053" s="160"/>
      <c r="CL1053" s="160"/>
    </row>
    <row r="1054">
      <c r="A1054" s="171"/>
      <c r="F1054" s="11"/>
      <c r="G1054" s="11"/>
      <c r="L1054" s="171"/>
      <c r="M1054" s="171"/>
      <c r="O1054" s="160"/>
      <c r="P1054" s="160"/>
      <c r="Q1054" s="160"/>
      <c r="R1054" s="160"/>
      <c r="S1054" s="160"/>
      <c r="T1054" s="207"/>
      <c r="U1054" s="160"/>
      <c r="V1054" s="160"/>
      <c r="W1054" s="160"/>
      <c r="X1054" s="160"/>
      <c r="Y1054" s="160"/>
      <c r="Z1054" s="160"/>
      <c r="AA1054" s="160"/>
      <c r="AB1054" s="160"/>
      <c r="AC1054" s="160"/>
      <c r="AD1054" s="160"/>
      <c r="AE1054" s="160"/>
      <c r="AF1054" s="160"/>
      <c r="AG1054" s="160"/>
      <c r="AH1054" s="160"/>
      <c r="AI1054" s="160"/>
      <c r="AJ1054" s="160"/>
      <c r="AK1054" s="160"/>
      <c r="AL1054" s="160"/>
      <c r="AM1054" s="160"/>
      <c r="AN1054" s="164"/>
      <c r="AO1054" s="160"/>
      <c r="AP1054" s="160"/>
      <c r="AQ1054" s="160"/>
      <c r="AR1054" s="160"/>
      <c r="AS1054" s="160"/>
      <c r="AT1054" s="160"/>
      <c r="AU1054" s="160"/>
      <c r="AV1054" s="160"/>
      <c r="AW1054" s="160"/>
      <c r="AX1054" s="160"/>
      <c r="AY1054" s="160"/>
      <c r="AZ1054" s="160"/>
      <c r="BA1054" s="160"/>
      <c r="BB1054" s="160"/>
      <c r="BC1054" s="160"/>
      <c r="BD1054" s="160"/>
      <c r="BE1054" s="160"/>
      <c r="BF1054" s="160"/>
      <c r="BG1054" s="160"/>
      <c r="BH1054" s="160"/>
      <c r="BI1054" s="160"/>
      <c r="BJ1054" s="160"/>
      <c r="BK1054" s="160"/>
      <c r="BL1054" s="160"/>
      <c r="BM1054" s="160"/>
      <c r="BN1054" s="160"/>
      <c r="BO1054" s="160"/>
      <c r="BP1054" s="160"/>
      <c r="BQ1054" s="160"/>
      <c r="BR1054" s="160"/>
      <c r="BS1054" s="160"/>
      <c r="BT1054" s="160"/>
      <c r="BU1054" s="160"/>
      <c r="BV1054" s="160"/>
      <c r="BW1054" s="160"/>
      <c r="BX1054" s="160"/>
      <c r="BY1054" s="160"/>
      <c r="BZ1054" s="160"/>
      <c r="CA1054" s="160"/>
      <c r="CB1054" s="160"/>
      <c r="CC1054" s="160"/>
      <c r="CD1054" s="160"/>
      <c r="CE1054" s="160"/>
      <c r="CF1054" s="160"/>
      <c r="CG1054" s="160"/>
      <c r="CH1054" s="160"/>
      <c r="CI1054" s="160"/>
      <c r="CJ1054" s="160"/>
      <c r="CK1054" s="160"/>
      <c r="CL1054" s="160"/>
    </row>
    <row r="1055">
      <c r="A1055" s="171"/>
      <c r="F1055" s="11"/>
      <c r="G1055" s="11"/>
      <c r="L1055" s="171"/>
      <c r="M1055" s="171"/>
      <c r="O1055" s="160"/>
      <c r="P1055" s="160"/>
      <c r="Q1055" s="160"/>
      <c r="R1055" s="160"/>
      <c r="S1055" s="160"/>
      <c r="T1055" s="207"/>
      <c r="U1055" s="160"/>
      <c r="V1055" s="160"/>
      <c r="W1055" s="160"/>
      <c r="X1055" s="160"/>
      <c r="Y1055" s="160"/>
      <c r="Z1055" s="160"/>
      <c r="AA1055" s="160"/>
      <c r="AB1055" s="160"/>
      <c r="AC1055" s="160"/>
      <c r="AD1055" s="160"/>
      <c r="AE1055" s="160"/>
      <c r="AF1055" s="160"/>
      <c r="AG1055" s="160"/>
      <c r="AH1055" s="160"/>
      <c r="AI1055" s="160"/>
      <c r="AJ1055" s="160"/>
      <c r="AK1055" s="160"/>
      <c r="AL1055" s="160"/>
      <c r="AM1055" s="160"/>
      <c r="AN1055" s="164"/>
      <c r="AO1055" s="160"/>
      <c r="AP1055" s="160"/>
      <c r="AQ1055" s="160"/>
      <c r="AR1055" s="160"/>
      <c r="AS1055" s="160"/>
      <c r="AT1055" s="160"/>
      <c r="AU1055" s="160"/>
      <c r="AV1055" s="160"/>
      <c r="AW1055" s="160"/>
      <c r="AX1055" s="160"/>
      <c r="AY1055" s="160"/>
      <c r="AZ1055" s="160"/>
      <c r="BA1055" s="160"/>
      <c r="BB1055" s="160"/>
      <c r="BC1055" s="160"/>
      <c r="BD1055" s="160"/>
      <c r="BE1055" s="160"/>
      <c r="BF1055" s="160"/>
      <c r="BG1055" s="160"/>
      <c r="BH1055" s="160"/>
      <c r="BI1055" s="160"/>
      <c r="BJ1055" s="160"/>
      <c r="BK1055" s="160"/>
      <c r="BL1055" s="160"/>
      <c r="BM1055" s="160"/>
      <c r="BN1055" s="160"/>
      <c r="BO1055" s="160"/>
      <c r="BP1055" s="160"/>
      <c r="BQ1055" s="160"/>
      <c r="BR1055" s="160"/>
      <c r="BS1055" s="160"/>
      <c r="BT1055" s="160"/>
      <c r="BU1055" s="160"/>
      <c r="BV1055" s="160"/>
      <c r="BW1055" s="160"/>
      <c r="BX1055" s="160"/>
      <c r="BY1055" s="160"/>
      <c r="BZ1055" s="160"/>
      <c r="CA1055" s="160"/>
      <c r="CB1055" s="160"/>
      <c r="CC1055" s="160"/>
      <c r="CD1055" s="160"/>
      <c r="CE1055" s="160"/>
      <c r="CF1055" s="160"/>
      <c r="CG1055" s="160"/>
      <c r="CH1055" s="160"/>
      <c r="CI1055" s="160"/>
      <c r="CJ1055" s="160"/>
      <c r="CK1055" s="160"/>
      <c r="CL1055" s="160"/>
    </row>
    <row r="1056">
      <c r="A1056" s="171"/>
      <c r="F1056" s="11"/>
      <c r="G1056" s="11"/>
      <c r="L1056" s="171"/>
      <c r="M1056" s="171"/>
      <c r="O1056" s="160"/>
      <c r="P1056" s="160"/>
      <c r="Q1056" s="160"/>
      <c r="R1056" s="160"/>
      <c r="S1056" s="160"/>
      <c r="T1056" s="207"/>
      <c r="U1056" s="160"/>
      <c r="V1056" s="160"/>
      <c r="W1056" s="160"/>
      <c r="X1056" s="160"/>
      <c r="Y1056" s="160"/>
      <c r="Z1056" s="160"/>
      <c r="AA1056" s="160"/>
      <c r="AB1056" s="160"/>
      <c r="AC1056" s="160"/>
      <c r="AD1056" s="160"/>
      <c r="AE1056" s="160"/>
      <c r="AF1056" s="160"/>
      <c r="AG1056" s="160"/>
      <c r="AH1056" s="160"/>
      <c r="AI1056" s="160"/>
      <c r="AJ1056" s="160"/>
      <c r="AK1056" s="160"/>
      <c r="AL1056" s="160"/>
      <c r="AM1056" s="160"/>
      <c r="AN1056" s="164"/>
      <c r="AO1056" s="160"/>
      <c r="AP1056" s="160"/>
      <c r="AQ1056" s="160"/>
      <c r="AR1056" s="160"/>
      <c r="AS1056" s="160"/>
      <c r="AT1056" s="160"/>
      <c r="AU1056" s="160"/>
      <c r="AV1056" s="160"/>
      <c r="AW1056" s="160"/>
      <c r="AX1056" s="160"/>
      <c r="AY1056" s="160"/>
      <c r="AZ1056" s="160"/>
      <c r="BA1056" s="160"/>
      <c r="BB1056" s="160"/>
      <c r="BC1056" s="160"/>
      <c r="BD1056" s="160"/>
      <c r="BE1056" s="160"/>
      <c r="BF1056" s="160"/>
      <c r="BG1056" s="160"/>
      <c r="BH1056" s="160"/>
      <c r="BI1056" s="160"/>
      <c r="BJ1056" s="160"/>
      <c r="BK1056" s="160"/>
      <c r="BL1056" s="160"/>
      <c r="BM1056" s="160"/>
      <c r="BN1056" s="160"/>
      <c r="BO1056" s="160"/>
      <c r="BP1056" s="160"/>
      <c r="BQ1056" s="160"/>
      <c r="BR1056" s="160"/>
      <c r="BS1056" s="160"/>
      <c r="BT1056" s="160"/>
      <c r="BU1056" s="160"/>
      <c r="BV1056" s="160"/>
      <c r="BW1056" s="160"/>
      <c r="BX1056" s="160"/>
      <c r="BY1056" s="160"/>
      <c r="BZ1056" s="160"/>
      <c r="CA1056" s="160"/>
      <c r="CB1056" s="160"/>
      <c r="CC1056" s="160"/>
      <c r="CD1056" s="160"/>
      <c r="CE1056" s="160"/>
      <c r="CF1056" s="160"/>
      <c r="CG1056" s="160"/>
      <c r="CH1056" s="160"/>
      <c r="CI1056" s="160"/>
      <c r="CJ1056" s="160"/>
      <c r="CK1056" s="160"/>
      <c r="CL1056" s="160"/>
    </row>
    <row r="1057">
      <c r="A1057" s="171"/>
      <c r="F1057" s="11"/>
      <c r="G1057" s="11"/>
      <c r="L1057" s="171"/>
      <c r="M1057" s="171"/>
      <c r="O1057" s="160"/>
      <c r="P1057" s="160"/>
      <c r="Q1057" s="160"/>
      <c r="R1057" s="160"/>
      <c r="S1057" s="160"/>
      <c r="T1057" s="207"/>
      <c r="U1057" s="160"/>
      <c r="V1057" s="160"/>
      <c r="W1057" s="160"/>
      <c r="X1057" s="160"/>
      <c r="Y1057" s="160"/>
      <c r="Z1057" s="160"/>
      <c r="AA1057" s="160"/>
      <c r="AB1057" s="160"/>
      <c r="AC1057" s="160"/>
      <c r="AD1057" s="160"/>
      <c r="AE1057" s="160"/>
      <c r="AF1057" s="160"/>
      <c r="AG1057" s="160"/>
      <c r="AH1057" s="160"/>
      <c r="AI1057" s="160"/>
      <c r="AJ1057" s="160"/>
      <c r="AK1057" s="160"/>
      <c r="AL1057" s="160"/>
      <c r="AM1057" s="160"/>
      <c r="AN1057" s="164"/>
      <c r="AO1057" s="160"/>
      <c r="AP1057" s="160"/>
      <c r="AQ1057" s="160"/>
      <c r="AR1057" s="160"/>
      <c r="AS1057" s="160"/>
      <c r="AT1057" s="160"/>
      <c r="AU1057" s="160"/>
      <c r="AV1057" s="160"/>
      <c r="AW1057" s="160"/>
      <c r="AX1057" s="160"/>
      <c r="AY1057" s="160"/>
      <c r="AZ1057" s="160"/>
      <c r="BA1057" s="160"/>
      <c r="BB1057" s="160"/>
      <c r="BC1057" s="160"/>
      <c r="BD1057" s="160"/>
      <c r="BE1057" s="160"/>
      <c r="BF1057" s="160"/>
      <c r="BG1057" s="160"/>
      <c r="BH1057" s="160"/>
      <c r="BI1057" s="160"/>
      <c r="BJ1057" s="160"/>
      <c r="BK1057" s="160"/>
      <c r="BL1057" s="160"/>
      <c r="BM1057" s="160"/>
      <c r="BN1057" s="160"/>
      <c r="BO1057" s="160"/>
      <c r="BP1057" s="160"/>
      <c r="BQ1057" s="160"/>
      <c r="BR1057" s="160"/>
      <c r="BS1057" s="160"/>
      <c r="BT1057" s="160"/>
      <c r="BU1057" s="160"/>
      <c r="BV1057" s="160"/>
      <c r="BW1057" s="160"/>
      <c r="BX1057" s="160"/>
      <c r="BY1057" s="160"/>
      <c r="BZ1057" s="160"/>
      <c r="CA1057" s="160"/>
      <c r="CB1057" s="160"/>
      <c r="CC1057" s="160"/>
      <c r="CD1057" s="160"/>
      <c r="CE1057" s="160"/>
      <c r="CF1057" s="160"/>
      <c r="CG1057" s="160"/>
      <c r="CH1057" s="160"/>
      <c r="CI1057" s="160"/>
      <c r="CJ1057" s="160"/>
      <c r="CK1057" s="160"/>
      <c r="CL1057" s="160"/>
    </row>
    <row r="1058">
      <c r="A1058" s="171"/>
      <c r="F1058" s="11"/>
      <c r="G1058" s="11"/>
      <c r="L1058" s="171"/>
      <c r="M1058" s="171"/>
      <c r="O1058" s="160"/>
      <c r="P1058" s="160"/>
      <c r="Q1058" s="160"/>
      <c r="R1058" s="160"/>
      <c r="S1058" s="160"/>
      <c r="T1058" s="207"/>
      <c r="U1058" s="160"/>
      <c r="V1058" s="160"/>
      <c r="W1058" s="160"/>
      <c r="X1058" s="160"/>
      <c r="Y1058" s="160"/>
      <c r="Z1058" s="160"/>
      <c r="AA1058" s="160"/>
      <c r="AB1058" s="160"/>
      <c r="AC1058" s="160"/>
      <c r="AD1058" s="160"/>
      <c r="AE1058" s="160"/>
      <c r="AF1058" s="160"/>
      <c r="AG1058" s="160"/>
      <c r="AH1058" s="160"/>
      <c r="AI1058" s="160"/>
      <c r="AJ1058" s="160"/>
      <c r="AK1058" s="160"/>
      <c r="AL1058" s="160"/>
      <c r="AM1058" s="160"/>
      <c r="AN1058" s="164"/>
      <c r="AO1058" s="160"/>
      <c r="AP1058" s="160"/>
      <c r="AQ1058" s="160"/>
      <c r="AR1058" s="160"/>
      <c r="AS1058" s="160"/>
      <c r="AT1058" s="160"/>
      <c r="AU1058" s="160"/>
      <c r="AV1058" s="160"/>
      <c r="AW1058" s="160"/>
      <c r="AX1058" s="160"/>
      <c r="AY1058" s="160"/>
      <c r="AZ1058" s="160"/>
      <c r="BA1058" s="160"/>
      <c r="BB1058" s="160"/>
      <c r="BC1058" s="160"/>
      <c r="BD1058" s="160"/>
      <c r="BE1058" s="160"/>
      <c r="BF1058" s="160"/>
      <c r="BG1058" s="160"/>
      <c r="BH1058" s="160"/>
      <c r="BI1058" s="160"/>
      <c r="BJ1058" s="160"/>
      <c r="BK1058" s="160"/>
      <c r="BL1058" s="160"/>
      <c r="BM1058" s="160"/>
      <c r="BN1058" s="160"/>
      <c r="BO1058" s="160"/>
      <c r="BP1058" s="160"/>
      <c r="BQ1058" s="160"/>
      <c r="BR1058" s="160"/>
      <c r="BS1058" s="160"/>
      <c r="BT1058" s="160"/>
      <c r="BU1058" s="160"/>
      <c r="BV1058" s="160"/>
      <c r="BW1058" s="160"/>
      <c r="BX1058" s="160"/>
      <c r="BY1058" s="160"/>
      <c r="BZ1058" s="160"/>
      <c r="CA1058" s="160"/>
      <c r="CB1058" s="160"/>
      <c r="CC1058" s="160"/>
      <c r="CD1058" s="160"/>
      <c r="CE1058" s="160"/>
      <c r="CF1058" s="160"/>
      <c r="CG1058" s="160"/>
      <c r="CH1058" s="160"/>
      <c r="CI1058" s="160"/>
      <c r="CJ1058" s="160"/>
      <c r="CK1058" s="160"/>
      <c r="CL1058" s="160"/>
    </row>
    <row r="1059">
      <c r="A1059" s="171"/>
      <c r="F1059" s="11"/>
      <c r="G1059" s="11"/>
      <c r="L1059" s="171"/>
      <c r="M1059" s="171"/>
      <c r="O1059" s="160"/>
      <c r="P1059" s="160"/>
      <c r="Q1059" s="160"/>
      <c r="R1059" s="160"/>
      <c r="S1059" s="160"/>
      <c r="T1059" s="207"/>
      <c r="U1059" s="160"/>
      <c r="V1059" s="160"/>
      <c r="W1059" s="160"/>
      <c r="X1059" s="160"/>
      <c r="Y1059" s="160"/>
      <c r="Z1059" s="160"/>
      <c r="AA1059" s="160"/>
      <c r="AB1059" s="160"/>
      <c r="AC1059" s="160"/>
      <c r="AD1059" s="160"/>
      <c r="AE1059" s="160"/>
      <c r="AF1059" s="160"/>
      <c r="AG1059" s="160"/>
      <c r="AH1059" s="160"/>
      <c r="AI1059" s="160"/>
      <c r="AJ1059" s="160"/>
      <c r="AK1059" s="160"/>
      <c r="AL1059" s="160"/>
      <c r="AM1059" s="160"/>
      <c r="AN1059" s="164"/>
      <c r="AO1059" s="160"/>
      <c r="AP1059" s="160"/>
      <c r="AQ1059" s="160"/>
      <c r="AR1059" s="160"/>
      <c r="AS1059" s="160"/>
      <c r="AT1059" s="160"/>
      <c r="AU1059" s="160"/>
      <c r="AV1059" s="160"/>
      <c r="AW1059" s="160"/>
      <c r="AX1059" s="160"/>
      <c r="AY1059" s="160"/>
      <c r="AZ1059" s="160"/>
      <c r="BA1059" s="160"/>
      <c r="BB1059" s="160"/>
      <c r="BC1059" s="160"/>
      <c r="BD1059" s="160"/>
      <c r="BE1059" s="160"/>
      <c r="BF1059" s="160"/>
      <c r="BG1059" s="160"/>
      <c r="BH1059" s="160"/>
      <c r="BI1059" s="160"/>
      <c r="BJ1059" s="160"/>
      <c r="BK1059" s="160"/>
      <c r="BL1059" s="160"/>
      <c r="BM1059" s="160"/>
      <c r="BN1059" s="160"/>
      <c r="BO1059" s="160"/>
      <c r="BP1059" s="160"/>
      <c r="BQ1059" s="160"/>
      <c r="BR1059" s="160"/>
      <c r="BS1059" s="160"/>
      <c r="BT1059" s="160"/>
      <c r="BU1059" s="160"/>
      <c r="BV1059" s="160"/>
      <c r="BW1059" s="160"/>
      <c r="BX1059" s="160"/>
      <c r="BY1059" s="160"/>
      <c r="BZ1059" s="160"/>
      <c r="CA1059" s="160"/>
      <c r="CB1059" s="160"/>
      <c r="CC1059" s="160"/>
      <c r="CD1059" s="160"/>
      <c r="CE1059" s="160"/>
      <c r="CF1059" s="160"/>
      <c r="CG1059" s="160"/>
      <c r="CH1059" s="160"/>
      <c r="CI1059" s="160"/>
      <c r="CJ1059" s="160"/>
      <c r="CK1059" s="160"/>
      <c r="CL1059" s="160"/>
    </row>
    <row r="1060">
      <c r="A1060" s="171"/>
      <c r="F1060" s="11"/>
      <c r="G1060" s="11"/>
      <c r="L1060" s="171"/>
      <c r="M1060" s="171"/>
      <c r="O1060" s="160"/>
      <c r="P1060" s="160"/>
      <c r="Q1060" s="160"/>
      <c r="R1060" s="160"/>
      <c r="S1060" s="160"/>
      <c r="T1060" s="207"/>
      <c r="U1060" s="160"/>
      <c r="V1060" s="160"/>
      <c r="W1060" s="160"/>
      <c r="X1060" s="160"/>
      <c r="Y1060" s="160"/>
      <c r="Z1060" s="160"/>
      <c r="AA1060" s="160"/>
      <c r="AB1060" s="160"/>
      <c r="AC1060" s="160"/>
      <c r="AD1060" s="160"/>
      <c r="AE1060" s="160"/>
      <c r="AF1060" s="160"/>
      <c r="AG1060" s="160"/>
      <c r="AH1060" s="160"/>
      <c r="AI1060" s="160"/>
      <c r="AJ1060" s="160"/>
      <c r="AK1060" s="160"/>
      <c r="AL1060" s="160"/>
      <c r="AM1060" s="160"/>
      <c r="AN1060" s="164"/>
      <c r="AO1060" s="160"/>
      <c r="AP1060" s="160"/>
      <c r="AQ1060" s="160"/>
      <c r="AR1060" s="160"/>
      <c r="AS1060" s="160"/>
      <c r="AT1060" s="160"/>
      <c r="AU1060" s="160"/>
      <c r="AV1060" s="160"/>
      <c r="AW1060" s="160"/>
      <c r="AX1060" s="160"/>
      <c r="AY1060" s="160"/>
      <c r="AZ1060" s="160"/>
      <c r="BA1060" s="160"/>
      <c r="BB1060" s="160"/>
      <c r="BC1060" s="160"/>
      <c r="BD1060" s="160"/>
      <c r="BE1060" s="160"/>
      <c r="BF1060" s="160"/>
      <c r="BG1060" s="160"/>
      <c r="BH1060" s="160"/>
      <c r="BI1060" s="160"/>
      <c r="BJ1060" s="160"/>
      <c r="BK1060" s="160"/>
      <c r="BL1060" s="160"/>
      <c r="BM1060" s="160"/>
      <c r="BN1060" s="160"/>
      <c r="BO1060" s="160"/>
      <c r="BP1060" s="160"/>
      <c r="BQ1060" s="160"/>
      <c r="BR1060" s="160"/>
      <c r="BS1060" s="160"/>
      <c r="BT1060" s="160"/>
      <c r="BU1060" s="160"/>
      <c r="BV1060" s="160"/>
      <c r="BW1060" s="160"/>
      <c r="BX1060" s="160"/>
      <c r="BY1060" s="160"/>
      <c r="BZ1060" s="160"/>
      <c r="CA1060" s="160"/>
      <c r="CB1060" s="160"/>
      <c r="CC1060" s="160"/>
      <c r="CD1060" s="160"/>
      <c r="CE1060" s="160"/>
      <c r="CF1060" s="160"/>
      <c r="CG1060" s="160"/>
      <c r="CH1060" s="160"/>
      <c r="CI1060" s="160"/>
      <c r="CJ1060" s="160"/>
      <c r="CK1060" s="160"/>
      <c r="CL1060" s="160"/>
    </row>
    <row r="1061">
      <c r="A1061" s="171"/>
      <c r="F1061" s="11"/>
      <c r="G1061" s="11"/>
      <c r="L1061" s="171"/>
      <c r="M1061" s="171"/>
      <c r="O1061" s="160"/>
      <c r="P1061" s="160"/>
      <c r="Q1061" s="160"/>
      <c r="R1061" s="160"/>
      <c r="S1061" s="160"/>
      <c r="T1061" s="207"/>
      <c r="U1061" s="160"/>
      <c r="V1061" s="160"/>
      <c r="W1061" s="160"/>
      <c r="X1061" s="160"/>
      <c r="Y1061" s="160"/>
      <c r="Z1061" s="160"/>
      <c r="AA1061" s="160"/>
      <c r="AB1061" s="160"/>
      <c r="AC1061" s="160"/>
      <c r="AD1061" s="160"/>
      <c r="AE1061" s="160"/>
      <c r="AF1061" s="160"/>
      <c r="AG1061" s="160"/>
      <c r="AH1061" s="160"/>
      <c r="AI1061" s="160"/>
      <c r="AJ1061" s="160"/>
      <c r="AK1061" s="160"/>
      <c r="AL1061" s="160"/>
      <c r="AM1061" s="160"/>
      <c r="AN1061" s="164"/>
      <c r="AO1061" s="160"/>
      <c r="AP1061" s="160"/>
      <c r="AQ1061" s="160"/>
      <c r="AR1061" s="160"/>
      <c r="AS1061" s="160"/>
      <c r="AT1061" s="160"/>
      <c r="AU1061" s="160"/>
      <c r="AV1061" s="160"/>
      <c r="AW1061" s="160"/>
      <c r="AX1061" s="160"/>
      <c r="AY1061" s="160"/>
      <c r="AZ1061" s="160"/>
      <c r="BA1061" s="160"/>
      <c r="BB1061" s="160"/>
      <c r="BC1061" s="160"/>
      <c r="BD1061" s="160"/>
      <c r="BE1061" s="160"/>
      <c r="BF1061" s="160"/>
      <c r="BG1061" s="160"/>
      <c r="BH1061" s="160"/>
      <c r="BI1061" s="160"/>
      <c r="BJ1061" s="160"/>
      <c r="BK1061" s="160"/>
      <c r="BL1061" s="160"/>
      <c r="BM1061" s="160"/>
      <c r="BN1061" s="160"/>
      <c r="BO1061" s="160"/>
      <c r="BP1061" s="160"/>
      <c r="BQ1061" s="160"/>
      <c r="BR1061" s="160"/>
      <c r="BS1061" s="160"/>
      <c r="BT1061" s="160"/>
      <c r="BU1061" s="160"/>
      <c r="BV1061" s="160"/>
      <c r="BW1061" s="160"/>
      <c r="BX1061" s="160"/>
      <c r="BY1061" s="160"/>
      <c r="BZ1061" s="160"/>
      <c r="CA1061" s="160"/>
      <c r="CB1061" s="160"/>
      <c r="CC1061" s="160"/>
      <c r="CD1061" s="160"/>
      <c r="CE1061" s="160"/>
      <c r="CF1061" s="160"/>
      <c r="CG1061" s="160"/>
      <c r="CH1061" s="160"/>
      <c r="CI1061" s="160"/>
      <c r="CJ1061" s="160"/>
      <c r="CK1061" s="160"/>
      <c r="CL1061" s="160"/>
    </row>
    <row r="1062">
      <c r="A1062" s="171"/>
      <c r="F1062" s="11"/>
      <c r="G1062" s="11"/>
      <c r="L1062" s="171"/>
      <c r="M1062" s="171"/>
      <c r="O1062" s="160"/>
      <c r="P1062" s="160"/>
      <c r="Q1062" s="160"/>
      <c r="R1062" s="160"/>
      <c r="S1062" s="160"/>
      <c r="T1062" s="207"/>
      <c r="U1062" s="160"/>
      <c r="V1062" s="160"/>
      <c r="W1062" s="160"/>
      <c r="X1062" s="160"/>
      <c r="Y1062" s="160"/>
      <c r="Z1062" s="160"/>
      <c r="AA1062" s="160"/>
      <c r="AB1062" s="160"/>
      <c r="AC1062" s="160"/>
      <c r="AD1062" s="160"/>
      <c r="AE1062" s="160"/>
      <c r="AF1062" s="160"/>
      <c r="AG1062" s="160"/>
      <c r="AH1062" s="160"/>
      <c r="AI1062" s="160"/>
      <c r="AJ1062" s="160"/>
      <c r="AK1062" s="160"/>
      <c r="AL1062" s="160"/>
      <c r="AM1062" s="160"/>
      <c r="AN1062" s="164"/>
      <c r="AO1062" s="160"/>
      <c r="AP1062" s="160"/>
      <c r="AQ1062" s="160"/>
      <c r="AR1062" s="160"/>
      <c r="AS1062" s="160"/>
      <c r="AT1062" s="160"/>
      <c r="AU1062" s="160"/>
      <c r="AV1062" s="160"/>
      <c r="AW1062" s="160"/>
      <c r="AX1062" s="160"/>
      <c r="AY1062" s="160"/>
      <c r="AZ1062" s="160"/>
      <c r="BA1062" s="160"/>
      <c r="BB1062" s="160"/>
      <c r="BC1062" s="160"/>
      <c r="BD1062" s="160"/>
      <c r="BE1062" s="160"/>
      <c r="BF1062" s="160"/>
      <c r="BG1062" s="160"/>
      <c r="BH1062" s="160"/>
      <c r="BI1062" s="160"/>
      <c r="BJ1062" s="160"/>
      <c r="BK1062" s="160"/>
      <c r="BL1062" s="160"/>
      <c r="BM1062" s="160"/>
      <c r="BN1062" s="160"/>
      <c r="BO1062" s="160"/>
      <c r="BP1062" s="160"/>
      <c r="BQ1062" s="160"/>
      <c r="BR1062" s="160"/>
      <c r="BS1062" s="160"/>
      <c r="BT1062" s="160"/>
      <c r="BU1062" s="160"/>
      <c r="BV1062" s="160"/>
      <c r="BW1062" s="160"/>
      <c r="BX1062" s="160"/>
      <c r="BY1062" s="160"/>
      <c r="BZ1062" s="160"/>
      <c r="CA1062" s="160"/>
      <c r="CB1062" s="160"/>
      <c r="CC1062" s="160"/>
      <c r="CD1062" s="160"/>
      <c r="CE1062" s="160"/>
      <c r="CF1062" s="160"/>
      <c r="CG1062" s="160"/>
      <c r="CH1062" s="160"/>
      <c r="CI1062" s="160"/>
      <c r="CJ1062" s="160"/>
      <c r="CK1062" s="160"/>
      <c r="CL1062" s="160"/>
    </row>
    <row r="1063">
      <c r="A1063" s="171"/>
      <c r="F1063" s="11"/>
      <c r="G1063" s="11"/>
      <c r="L1063" s="171"/>
      <c r="M1063" s="171"/>
      <c r="O1063" s="160"/>
      <c r="P1063" s="160"/>
      <c r="Q1063" s="160"/>
      <c r="R1063" s="160"/>
      <c r="S1063" s="160"/>
      <c r="T1063" s="207"/>
      <c r="U1063" s="160"/>
      <c r="V1063" s="160"/>
      <c r="W1063" s="160"/>
      <c r="X1063" s="160"/>
      <c r="Y1063" s="160"/>
      <c r="Z1063" s="160"/>
      <c r="AA1063" s="160"/>
      <c r="AB1063" s="160"/>
      <c r="AC1063" s="160"/>
      <c r="AD1063" s="160"/>
      <c r="AE1063" s="160"/>
      <c r="AF1063" s="160"/>
      <c r="AG1063" s="160"/>
      <c r="AH1063" s="160"/>
      <c r="AI1063" s="160"/>
      <c r="AJ1063" s="160"/>
      <c r="AK1063" s="160"/>
      <c r="AL1063" s="160"/>
      <c r="AM1063" s="160"/>
      <c r="AN1063" s="164"/>
      <c r="AO1063" s="160"/>
      <c r="AP1063" s="160"/>
      <c r="AQ1063" s="160"/>
      <c r="AR1063" s="160"/>
      <c r="AS1063" s="160"/>
      <c r="AT1063" s="160"/>
      <c r="AU1063" s="160"/>
      <c r="AV1063" s="160"/>
      <c r="AW1063" s="160"/>
      <c r="AX1063" s="160"/>
      <c r="AY1063" s="160"/>
      <c r="AZ1063" s="160"/>
      <c r="BA1063" s="160"/>
      <c r="BB1063" s="160"/>
      <c r="BC1063" s="160"/>
      <c r="BD1063" s="160"/>
      <c r="BE1063" s="160"/>
      <c r="BF1063" s="160"/>
      <c r="BG1063" s="160"/>
      <c r="BH1063" s="160"/>
      <c r="BI1063" s="160"/>
      <c r="BJ1063" s="160"/>
      <c r="BK1063" s="160"/>
      <c r="BL1063" s="160"/>
      <c r="BM1063" s="160"/>
      <c r="BN1063" s="160"/>
      <c r="BO1063" s="160"/>
      <c r="BP1063" s="160"/>
      <c r="BQ1063" s="160"/>
      <c r="BR1063" s="160"/>
      <c r="BS1063" s="160"/>
      <c r="BT1063" s="160"/>
      <c r="BU1063" s="160"/>
      <c r="BV1063" s="160"/>
      <c r="BW1063" s="160"/>
      <c r="BX1063" s="160"/>
      <c r="BY1063" s="160"/>
      <c r="BZ1063" s="160"/>
      <c r="CA1063" s="160"/>
      <c r="CB1063" s="160"/>
      <c r="CC1063" s="160"/>
      <c r="CD1063" s="160"/>
      <c r="CE1063" s="160"/>
      <c r="CF1063" s="160"/>
      <c r="CG1063" s="160"/>
      <c r="CH1063" s="160"/>
      <c r="CI1063" s="160"/>
      <c r="CJ1063" s="160"/>
      <c r="CK1063" s="160"/>
      <c r="CL1063" s="160"/>
    </row>
    <row r="1064">
      <c r="A1064" s="171"/>
      <c r="F1064" s="11"/>
      <c r="G1064" s="11"/>
      <c r="L1064" s="171"/>
      <c r="M1064" s="171"/>
      <c r="O1064" s="160"/>
      <c r="P1064" s="160"/>
      <c r="Q1064" s="160"/>
      <c r="R1064" s="160"/>
      <c r="S1064" s="160"/>
      <c r="T1064" s="207"/>
      <c r="U1064" s="160"/>
      <c r="V1064" s="160"/>
      <c r="W1064" s="160"/>
      <c r="X1064" s="160"/>
      <c r="Y1064" s="160"/>
      <c r="Z1064" s="160"/>
      <c r="AA1064" s="160"/>
      <c r="AB1064" s="160"/>
      <c r="AC1064" s="160"/>
      <c r="AD1064" s="160"/>
      <c r="AE1064" s="160"/>
      <c r="AF1064" s="160"/>
      <c r="AG1064" s="160"/>
      <c r="AH1064" s="160"/>
      <c r="AI1064" s="160"/>
      <c r="AJ1064" s="160"/>
      <c r="AK1064" s="160"/>
      <c r="AL1064" s="160"/>
      <c r="AM1064" s="160"/>
      <c r="AN1064" s="164"/>
      <c r="AO1064" s="160"/>
      <c r="AP1064" s="160"/>
      <c r="AQ1064" s="160"/>
      <c r="AR1064" s="160"/>
      <c r="AS1064" s="160"/>
      <c r="AT1064" s="160"/>
      <c r="AU1064" s="160"/>
      <c r="AV1064" s="160"/>
      <c r="AW1064" s="160"/>
      <c r="AX1064" s="160"/>
      <c r="AY1064" s="160"/>
      <c r="AZ1064" s="160"/>
      <c r="BA1064" s="160"/>
      <c r="BB1064" s="160"/>
      <c r="BC1064" s="160"/>
      <c r="BD1064" s="160"/>
      <c r="BE1064" s="160"/>
      <c r="BF1064" s="160"/>
      <c r="BG1064" s="160"/>
      <c r="BH1064" s="160"/>
      <c r="BI1064" s="160"/>
      <c r="BJ1064" s="160"/>
      <c r="BK1064" s="160"/>
      <c r="BL1064" s="160"/>
      <c r="BM1064" s="160"/>
      <c r="BN1064" s="160"/>
      <c r="BO1064" s="160"/>
      <c r="BP1064" s="160"/>
      <c r="BQ1064" s="160"/>
      <c r="BR1064" s="160"/>
      <c r="BS1064" s="160"/>
      <c r="BT1064" s="160"/>
      <c r="BU1064" s="160"/>
      <c r="BV1064" s="160"/>
      <c r="BW1064" s="160"/>
      <c r="BX1064" s="160"/>
      <c r="BY1064" s="160"/>
      <c r="BZ1064" s="160"/>
      <c r="CA1064" s="160"/>
      <c r="CB1064" s="160"/>
      <c r="CC1064" s="160"/>
      <c r="CD1064" s="160"/>
      <c r="CE1064" s="160"/>
      <c r="CF1064" s="160"/>
      <c r="CG1064" s="160"/>
      <c r="CH1064" s="160"/>
      <c r="CI1064" s="160"/>
      <c r="CJ1064" s="160"/>
      <c r="CK1064" s="160"/>
      <c r="CL1064" s="160"/>
    </row>
    <row r="1065">
      <c r="A1065" s="171"/>
      <c r="F1065" s="11"/>
      <c r="G1065" s="11"/>
      <c r="L1065" s="171"/>
      <c r="M1065" s="171"/>
      <c r="O1065" s="160"/>
      <c r="P1065" s="160"/>
      <c r="Q1065" s="160"/>
      <c r="R1065" s="160"/>
      <c r="S1065" s="160"/>
      <c r="T1065" s="207"/>
      <c r="U1065" s="160"/>
      <c r="V1065" s="160"/>
      <c r="W1065" s="160"/>
      <c r="X1065" s="160"/>
      <c r="Y1065" s="160"/>
      <c r="Z1065" s="160"/>
      <c r="AA1065" s="160"/>
      <c r="AB1065" s="160"/>
      <c r="AC1065" s="160"/>
      <c r="AD1065" s="160"/>
      <c r="AE1065" s="160"/>
      <c r="AF1065" s="160"/>
      <c r="AG1065" s="160"/>
      <c r="AH1065" s="160"/>
      <c r="AI1065" s="160"/>
      <c r="AJ1065" s="160"/>
      <c r="AK1065" s="160"/>
      <c r="AL1065" s="160"/>
      <c r="AM1065" s="160"/>
      <c r="AN1065" s="164"/>
      <c r="AO1065" s="160"/>
      <c r="AP1065" s="160"/>
      <c r="AQ1065" s="160"/>
      <c r="AR1065" s="160"/>
      <c r="AS1065" s="160"/>
      <c r="AT1065" s="160"/>
      <c r="AU1065" s="160"/>
      <c r="AV1065" s="160"/>
      <c r="AW1065" s="160"/>
      <c r="AX1065" s="160"/>
      <c r="AY1065" s="160"/>
      <c r="AZ1065" s="160"/>
      <c r="BA1065" s="160"/>
      <c r="BB1065" s="160"/>
      <c r="BC1065" s="160"/>
      <c r="BD1065" s="160"/>
      <c r="BE1065" s="160"/>
      <c r="BF1065" s="160"/>
      <c r="BG1065" s="160"/>
      <c r="BH1065" s="160"/>
      <c r="BI1065" s="160"/>
      <c r="BJ1065" s="160"/>
      <c r="BK1065" s="160"/>
      <c r="BL1065" s="160"/>
      <c r="BM1065" s="160"/>
      <c r="BN1065" s="160"/>
      <c r="BO1065" s="160"/>
      <c r="BP1065" s="160"/>
      <c r="BQ1065" s="160"/>
      <c r="BR1065" s="160"/>
      <c r="BS1065" s="160"/>
      <c r="BT1065" s="160"/>
      <c r="BU1065" s="160"/>
      <c r="BV1065" s="160"/>
      <c r="BW1065" s="160"/>
      <c r="BX1065" s="160"/>
      <c r="BY1065" s="160"/>
      <c r="BZ1065" s="160"/>
      <c r="CA1065" s="160"/>
      <c r="CB1065" s="160"/>
      <c r="CC1065" s="160"/>
      <c r="CD1065" s="160"/>
      <c r="CE1065" s="160"/>
      <c r="CF1065" s="160"/>
      <c r="CG1065" s="160"/>
      <c r="CH1065" s="160"/>
      <c r="CI1065" s="160"/>
      <c r="CJ1065" s="160"/>
      <c r="CK1065" s="160"/>
      <c r="CL1065" s="160"/>
    </row>
    <row r="1066">
      <c r="A1066" s="171"/>
      <c r="F1066" s="11"/>
      <c r="G1066" s="11"/>
      <c r="L1066" s="171"/>
      <c r="M1066" s="171"/>
      <c r="O1066" s="160"/>
      <c r="P1066" s="160"/>
      <c r="Q1066" s="160"/>
      <c r="R1066" s="160"/>
      <c r="S1066" s="160"/>
      <c r="T1066" s="207"/>
      <c r="U1066" s="160"/>
      <c r="V1066" s="160"/>
      <c r="W1066" s="160"/>
      <c r="X1066" s="160"/>
      <c r="Y1066" s="160"/>
      <c r="Z1066" s="160"/>
      <c r="AA1066" s="160"/>
      <c r="AB1066" s="160"/>
      <c r="AC1066" s="160"/>
      <c r="AD1066" s="160"/>
      <c r="AE1066" s="160"/>
      <c r="AF1066" s="160"/>
      <c r="AG1066" s="160"/>
      <c r="AH1066" s="160"/>
      <c r="AI1066" s="160"/>
      <c r="AJ1066" s="160"/>
      <c r="AK1066" s="160"/>
      <c r="AL1066" s="160"/>
      <c r="AM1066" s="160"/>
      <c r="AN1066" s="164"/>
      <c r="AO1066" s="160"/>
      <c r="AP1066" s="160"/>
      <c r="AQ1066" s="160"/>
      <c r="AR1066" s="160"/>
      <c r="AS1066" s="160"/>
      <c r="AT1066" s="160"/>
      <c r="AU1066" s="160"/>
      <c r="AV1066" s="160"/>
      <c r="AW1066" s="160"/>
      <c r="AX1066" s="160"/>
      <c r="AY1066" s="160"/>
      <c r="AZ1066" s="160"/>
      <c r="BA1066" s="160"/>
      <c r="BB1066" s="160"/>
      <c r="BC1066" s="160"/>
      <c r="BD1066" s="160"/>
      <c r="BE1066" s="160"/>
      <c r="BF1066" s="160"/>
      <c r="BG1066" s="160"/>
      <c r="BH1066" s="160"/>
      <c r="BI1066" s="160"/>
      <c r="BJ1066" s="160"/>
      <c r="BK1066" s="160"/>
      <c r="BL1066" s="160"/>
      <c r="BM1066" s="160"/>
      <c r="BN1066" s="160"/>
      <c r="BO1066" s="160"/>
      <c r="BP1066" s="160"/>
      <c r="BQ1066" s="160"/>
      <c r="BR1066" s="160"/>
      <c r="BS1066" s="160"/>
      <c r="BT1066" s="160"/>
      <c r="BU1066" s="160"/>
      <c r="BV1066" s="160"/>
      <c r="BW1066" s="160"/>
      <c r="BX1066" s="160"/>
      <c r="BY1066" s="160"/>
      <c r="BZ1066" s="160"/>
      <c r="CA1066" s="160"/>
      <c r="CB1066" s="160"/>
      <c r="CC1066" s="160"/>
      <c r="CD1066" s="160"/>
      <c r="CE1066" s="160"/>
      <c r="CF1066" s="160"/>
      <c r="CG1066" s="160"/>
      <c r="CH1066" s="160"/>
      <c r="CI1066" s="160"/>
      <c r="CJ1066" s="160"/>
      <c r="CK1066" s="160"/>
      <c r="CL1066" s="160"/>
    </row>
    <row r="1067">
      <c r="A1067" s="171"/>
      <c r="F1067" s="11"/>
      <c r="G1067" s="11"/>
      <c r="L1067" s="171"/>
      <c r="M1067" s="171"/>
      <c r="O1067" s="160"/>
      <c r="P1067" s="160"/>
      <c r="Q1067" s="160"/>
      <c r="R1067" s="160"/>
      <c r="S1067" s="160"/>
      <c r="T1067" s="207"/>
      <c r="U1067" s="160"/>
      <c r="V1067" s="160"/>
      <c r="W1067" s="160"/>
      <c r="X1067" s="160"/>
      <c r="Y1067" s="160"/>
      <c r="Z1067" s="160"/>
      <c r="AA1067" s="160"/>
      <c r="AB1067" s="160"/>
      <c r="AC1067" s="160"/>
      <c r="AD1067" s="160"/>
      <c r="AE1067" s="160"/>
      <c r="AF1067" s="160"/>
      <c r="AG1067" s="160"/>
      <c r="AH1067" s="160"/>
      <c r="AI1067" s="160"/>
      <c r="AJ1067" s="160"/>
      <c r="AK1067" s="160"/>
      <c r="AL1067" s="160"/>
      <c r="AM1067" s="160"/>
      <c r="AN1067" s="164"/>
      <c r="AO1067" s="160"/>
      <c r="AP1067" s="160"/>
      <c r="AQ1067" s="160"/>
      <c r="AR1067" s="160"/>
      <c r="AS1067" s="160"/>
      <c r="AT1067" s="160"/>
      <c r="AU1067" s="160"/>
      <c r="AV1067" s="160"/>
      <c r="AW1067" s="160"/>
      <c r="AX1067" s="160"/>
      <c r="AY1067" s="160"/>
      <c r="AZ1067" s="160"/>
      <c r="BA1067" s="160"/>
      <c r="BB1067" s="160"/>
      <c r="BC1067" s="160"/>
      <c r="BD1067" s="160"/>
      <c r="BE1067" s="160"/>
      <c r="BF1067" s="160"/>
      <c r="BG1067" s="160"/>
      <c r="BH1067" s="160"/>
      <c r="BI1067" s="160"/>
      <c r="BJ1067" s="160"/>
      <c r="BK1067" s="160"/>
      <c r="BL1067" s="160"/>
      <c r="BM1067" s="160"/>
      <c r="BN1067" s="160"/>
      <c r="BO1067" s="160"/>
      <c r="BP1067" s="160"/>
      <c r="BQ1067" s="160"/>
      <c r="BR1067" s="160"/>
      <c r="BS1067" s="160"/>
      <c r="BT1067" s="160"/>
      <c r="BU1067" s="160"/>
      <c r="BV1067" s="160"/>
      <c r="BW1067" s="160"/>
      <c r="BX1067" s="160"/>
      <c r="BY1067" s="160"/>
      <c r="BZ1067" s="160"/>
      <c r="CA1067" s="160"/>
      <c r="CB1067" s="160"/>
      <c r="CC1067" s="160"/>
      <c r="CD1067" s="160"/>
      <c r="CE1067" s="160"/>
      <c r="CF1067" s="160"/>
      <c r="CG1067" s="160"/>
      <c r="CH1067" s="160"/>
      <c r="CI1067" s="160"/>
      <c r="CJ1067" s="160"/>
      <c r="CK1067" s="160"/>
      <c r="CL1067" s="160"/>
    </row>
    <row r="1068">
      <c r="A1068" s="171"/>
      <c r="F1068" s="11"/>
      <c r="G1068" s="11"/>
      <c r="L1068" s="171"/>
      <c r="M1068" s="171"/>
      <c r="O1068" s="160"/>
      <c r="P1068" s="160"/>
      <c r="Q1068" s="160"/>
      <c r="R1068" s="160"/>
      <c r="S1068" s="160"/>
      <c r="T1068" s="207"/>
      <c r="U1068" s="160"/>
      <c r="V1068" s="160"/>
      <c r="W1068" s="160"/>
      <c r="X1068" s="160"/>
      <c r="Y1068" s="160"/>
      <c r="Z1068" s="160"/>
      <c r="AA1068" s="160"/>
      <c r="AB1068" s="160"/>
      <c r="AC1068" s="160"/>
      <c r="AD1068" s="160"/>
      <c r="AE1068" s="160"/>
      <c r="AF1068" s="160"/>
      <c r="AG1068" s="160"/>
      <c r="AH1068" s="160"/>
      <c r="AI1068" s="160"/>
      <c r="AJ1068" s="160"/>
      <c r="AK1068" s="160"/>
      <c r="AL1068" s="160"/>
      <c r="AM1068" s="160"/>
      <c r="AN1068" s="164"/>
      <c r="AO1068" s="160"/>
      <c r="AP1068" s="160"/>
      <c r="AQ1068" s="160"/>
      <c r="AR1068" s="160"/>
      <c r="AS1068" s="160"/>
      <c r="AT1068" s="160"/>
      <c r="AU1068" s="160"/>
      <c r="AV1068" s="160"/>
      <c r="AW1068" s="160"/>
      <c r="AX1068" s="160"/>
      <c r="AY1068" s="160"/>
      <c r="AZ1068" s="160"/>
      <c r="BA1068" s="160"/>
      <c r="BB1068" s="160"/>
      <c r="BC1068" s="160"/>
      <c r="BD1068" s="160"/>
      <c r="BE1068" s="160"/>
      <c r="BF1068" s="160"/>
      <c r="BG1068" s="160"/>
      <c r="BH1068" s="160"/>
      <c r="BI1068" s="160"/>
      <c r="BJ1068" s="160"/>
      <c r="BK1068" s="160"/>
      <c r="BL1068" s="160"/>
      <c r="BM1068" s="160"/>
      <c r="BN1068" s="160"/>
      <c r="BO1068" s="160"/>
      <c r="BP1068" s="160"/>
      <c r="BQ1068" s="160"/>
      <c r="BR1068" s="160"/>
      <c r="BS1068" s="160"/>
      <c r="BT1068" s="160"/>
      <c r="BU1068" s="160"/>
      <c r="BV1068" s="160"/>
      <c r="BW1068" s="160"/>
      <c r="BX1068" s="160"/>
      <c r="BY1068" s="160"/>
      <c r="BZ1068" s="160"/>
      <c r="CA1068" s="160"/>
      <c r="CB1068" s="160"/>
      <c r="CC1068" s="160"/>
      <c r="CD1068" s="160"/>
      <c r="CE1068" s="160"/>
      <c r="CF1068" s="160"/>
      <c r="CG1068" s="160"/>
      <c r="CH1068" s="160"/>
      <c r="CI1068" s="160"/>
      <c r="CJ1068" s="160"/>
      <c r="CK1068" s="160"/>
      <c r="CL1068" s="160"/>
    </row>
    <row r="1069">
      <c r="A1069" s="171"/>
      <c r="F1069" s="11"/>
      <c r="G1069" s="11"/>
      <c r="L1069" s="171"/>
      <c r="M1069" s="171"/>
      <c r="O1069" s="160"/>
      <c r="P1069" s="160"/>
      <c r="Q1069" s="160"/>
      <c r="R1069" s="160"/>
      <c r="S1069" s="160"/>
      <c r="T1069" s="207"/>
      <c r="U1069" s="160"/>
      <c r="V1069" s="160"/>
      <c r="W1069" s="160"/>
      <c r="X1069" s="160"/>
      <c r="Y1069" s="160"/>
      <c r="Z1069" s="160"/>
      <c r="AA1069" s="160"/>
      <c r="AB1069" s="160"/>
      <c r="AC1069" s="160"/>
      <c r="AD1069" s="160"/>
      <c r="AE1069" s="160"/>
      <c r="AF1069" s="160"/>
      <c r="AG1069" s="160"/>
      <c r="AH1069" s="160"/>
      <c r="AI1069" s="160"/>
      <c r="AJ1069" s="160"/>
      <c r="AK1069" s="160"/>
      <c r="AL1069" s="160"/>
      <c r="AM1069" s="160"/>
      <c r="AN1069" s="164"/>
      <c r="AO1069" s="160"/>
      <c r="AP1069" s="160"/>
      <c r="AQ1069" s="160"/>
      <c r="AR1069" s="160"/>
      <c r="AS1069" s="160"/>
      <c r="AT1069" s="160"/>
      <c r="AU1069" s="160"/>
      <c r="AV1069" s="160"/>
      <c r="AW1069" s="160"/>
      <c r="AX1069" s="160"/>
      <c r="AY1069" s="160"/>
      <c r="AZ1069" s="160"/>
      <c r="BA1069" s="160"/>
      <c r="BB1069" s="160"/>
      <c r="BC1069" s="160"/>
      <c r="BD1069" s="160"/>
      <c r="BE1069" s="160"/>
      <c r="BF1069" s="160"/>
      <c r="BG1069" s="160"/>
      <c r="BH1069" s="160"/>
      <c r="BI1069" s="160"/>
      <c r="BJ1069" s="160"/>
      <c r="BK1069" s="160"/>
      <c r="BL1069" s="160"/>
      <c r="BM1069" s="160"/>
      <c r="BN1069" s="160"/>
      <c r="BO1069" s="160"/>
      <c r="BP1069" s="160"/>
      <c r="BQ1069" s="160"/>
      <c r="BR1069" s="160"/>
      <c r="BS1069" s="160"/>
      <c r="BT1069" s="160"/>
      <c r="BU1069" s="160"/>
      <c r="BV1069" s="160"/>
      <c r="BW1069" s="160"/>
      <c r="BX1069" s="160"/>
      <c r="BY1069" s="160"/>
      <c r="BZ1069" s="160"/>
      <c r="CA1069" s="160"/>
      <c r="CB1069" s="160"/>
      <c r="CC1069" s="160"/>
      <c r="CD1069" s="160"/>
      <c r="CE1069" s="160"/>
      <c r="CF1069" s="160"/>
      <c r="CG1069" s="160"/>
      <c r="CH1069" s="160"/>
      <c r="CI1069" s="160"/>
      <c r="CJ1069" s="160"/>
      <c r="CK1069" s="160"/>
      <c r="CL1069" s="160"/>
    </row>
    <row r="1070">
      <c r="A1070" s="171"/>
      <c r="F1070" s="11"/>
      <c r="G1070" s="11"/>
      <c r="L1070" s="171"/>
      <c r="M1070" s="171"/>
      <c r="O1070" s="160"/>
      <c r="P1070" s="160"/>
      <c r="Q1070" s="160"/>
      <c r="R1070" s="160"/>
      <c r="S1070" s="160"/>
      <c r="T1070" s="207"/>
      <c r="U1070" s="160"/>
      <c r="V1070" s="160"/>
      <c r="W1070" s="160"/>
      <c r="X1070" s="160"/>
      <c r="Y1070" s="160"/>
      <c r="Z1070" s="160"/>
      <c r="AA1070" s="160"/>
      <c r="AB1070" s="160"/>
      <c r="AC1070" s="160"/>
      <c r="AD1070" s="160"/>
      <c r="AE1070" s="160"/>
      <c r="AF1070" s="160"/>
      <c r="AG1070" s="160"/>
      <c r="AH1070" s="160"/>
      <c r="AI1070" s="160"/>
      <c r="AJ1070" s="160"/>
      <c r="AK1070" s="160"/>
      <c r="AL1070" s="160"/>
      <c r="AM1070" s="160"/>
      <c r="AN1070" s="164"/>
      <c r="AO1070" s="160"/>
      <c r="AP1070" s="160"/>
      <c r="AQ1070" s="160"/>
      <c r="AR1070" s="160"/>
      <c r="AS1070" s="160"/>
      <c r="AT1070" s="160"/>
      <c r="AU1070" s="160"/>
      <c r="AV1070" s="160"/>
      <c r="AW1070" s="160"/>
      <c r="AX1070" s="160"/>
      <c r="AY1070" s="160"/>
      <c r="AZ1070" s="160"/>
      <c r="BA1070" s="160"/>
      <c r="BB1070" s="160"/>
      <c r="BC1070" s="160"/>
      <c r="BD1070" s="160"/>
      <c r="BE1070" s="160"/>
      <c r="BF1070" s="160"/>
      <c r="BG1070" s="160"/>
      <c r="BH1070" s="160"/>
      <c r="BI1070" s="160"/>
      <c r="BJ1070" s="160"/>
      <c r="BK1070" s="160"/>
      <c r="BL1070" s="160"/>
      <c r="BM1070" s="160"/>
      <c r="BN1070" s="160"/>
      <c r="BO1070" s="160"/>
      <c r="BP1070" s="160"/>
      <c r="BQ1070" s="160"/>
      <c r="BR1070" s="160"/>
      <c r="BS1070" s="160"/>
      <c r="BT1070" s="160"/>
      <c r="BU1070" s="160"/>
      <c r="BV1070" s="160"/>
      <c r="BW1070" s="160"/>
      <c r="BX1070" s="160"/>
      <c r="BY1070" s="160"/>
      <c r="BZ1070" s="160"/>
      <c r="CA1070" s="160"/>
      <c r="CB1070" s="160"/>
      <c r="CC1070" s="160"/>
      <c r="CD1070" s="160"/>
      <c r="CE1070" s="160"/>
      <c r="CF1070" s="160"/>
      <c r="CG1070" s="160"/>
      <c r="CH1070" s="160"/>
      <c r="CI1070" s="160"/>
      <c r="CJ1070" s="160"/>
      <c r="CK1070" s="160"/>
      <c r="CL1070" s="160"/>
    </row>
    <row r="1071">
      <c r="A1071" s="171"/>
      <c r="F1071" s="11"/>
      <c r="G1071" s="11"/>
      <c r="L1071" s="171"/>
      <c r="M1071" s="171"/>
      <c r="O1071" s="160"/>
      <c r="P1071" s="160"/>
      <c r="Q1071" s="160"/>
      <c r="R1071" s="160"/>
      <c r="S1071" s="160"/>
      <c r="T1071" s="207"/>
      <c r="U1071" s="160"/>
      <c r="V1071" s="160"/>
      <c r="W1071" s="160"/>
      <c r="X1071" s="160"/>
      <c r="Y1071" s="160"/>
      <c r="Z1071" s="160"/>
      <c r="AA1071" s="160"/>
      <c r="AB1071" s="160"/>
      <c r="AC1071" s="160"/>
      <c r="AD1071" s="160"/>
      <c r="AE1071" s="160"/>
      <c r="AF1071" s="160"/>
      <c r="AG1071" s="160"/>
      <c r="AH1071" s="160"/>
      <c r="AI1071" s="160"/>
      <c r="AJ1071" s="160"/>
      <c r="AK1071" s="160"/>
      <c r="AL1071" s="160"/>
      <c r="AM1071" s="160"/>
      <c r="AN1071" s="164"/>
      <c r="AO1071" s="160"/>
      <c r="AP1071" s="160"/>
      <c r="AQ1071" s="160"/>
      <c r="AR1071" s="160"/>
      <c r="AS1071" s="160"/>
      <c r="AT1071" s="160"/>
      <c r="AU1071" s="160"/>
      <c r="AV1071" s="160"/>
      <c r="AW1071" s="160"/>
      <c r="AX1071" s="160"/>
      <c r="AY1071" s="160"/>
      <c r="AZ1071" s="160"/>
      <c r="BA1071" s="160"/>
      <c r="BB1071" s="160"/>
      <c r="BC1071" s="160"/>
      <c r="BD1071" s="160"/>
      <c r="BE1071" s="160"/>
      <c r="BF1071" s="160"/>
      <c r="BG1071" s="160"/>
      <c r="BH1071" s="160"/>
      <c r="BI1071" s="160"/>
      <c r="BJ1071" s="160"/>
      <c r="BK1071" s="160"/>
      <c r="BL1071" s="160"/>
      <c r="BM1071" s="160"/>
      <c r="BN1071" s="160"/>
      <c r="BO1071" s="160"/>
      <c r="BP1071" s="160"/>
      <c r="BQ1071" s="160"/>
      <c r="BR1071" s="160"/>
      <c r="BS1071" s="160"/>
      <c r="BT1071" s="160"/>
      <c r="BU1071" s="160"/>
      <c r="BV1071" s="160"/>
      <c r="BW1071" s="160"/>
      <c r="BX1071" s="160"/>
      <c r="BY1071" s="160"/>
      <c r="BZ1071" s="160"/>
      <c r="CA1071" s="160"/>
      <c r="CB1071" s="160"/>
      <c r="CC1071" s="160"/>
      <c r="CD1071" s="160"/>
      <c r="CE1071" s="160"/>
      <c r="CF1071" s="160"/>
      <c r="CG1071" s="160"/>
      <c r="CH1071" s="160"/>
      <c r="CI1071" s="160"/>
      <c r="CJ1071" s="160"/>
      <c r="CK1071" s="160"/>
      <c r="CL1071" s="160"/>
    </row>
    <row r="1072">
      <c r="A1072" s="171"/>
      <c r="F1072" s="11"/>
      <c r="G1072" s="11"/>
      <c r="L1072" s="171"/>
      <c r="M1072" s="171"/>
      <c r="O1072" s="160"/>
      <c r="P1072" s="160"/>
      <c r="Q1072" s="160"/>
      <c r="R1072" s="160"/>
      <c r="S1072" s="160"/>
      <c r="T1072" s="207"/>
      <c r="U1072" s="160"/>
      <c r="V1072" s="160"/>
      <c r="W1072" s="160"/>
      <c r="X1072" s="160"/>
      <c r="Y1072" s="160"/>
      <c r="Z1072" s="160"/>
      <c r="AA1072" s="160"/>
      <c r="AB1072" s="160"/>
      <c r="AC1072" s="160"/>
      <c r="AD1072" s="160"/>
      <c r="AE1072" s="160"/>
      <c r="AF1072" s="160"/>
      <c r="AG1072" s="160"/>
      <c r="AH1072" s="160"/>
      <c r="AI1072" s="160"/>
      <c r="AJ1072" s="160"/>
      <c r="AK1072" s="160"/>
      <c r="AL1072" s="160"/>
      <c r="AM1072" s="160"/>
      <c r="AN1072" s="164"/>
      <c r="AO1072" s="160"/>
      <c r="AP1072" s="160"/>
      <c r="AQ1072" s="160"/>
      <c r="AR1072" s="160"/>
      <c r="AS1072" s="160"/>
      <c r="AT1072" s="160"/>
      <c r="AU1072" s="160"/>
      <c r="AV1072" s="160"/>
      <c r="AW1072" s="160"/>
      <c r="AX1072" s="160"/>
      <c r="AY1072" s="160"/>
      <c r="AZ1072" s="160"/>
      <c r="BA1072" s="160"/>
      <c r="BB1072" s="160"/>
      <c r="BC1072" s="160"/>
      <c r="BD1072" s="160"/>
      <c r="BE1072" s="160"/>
      <c r="BF1072" s="160"/>
      <c r="BG1072" s="160"/>
      <c r="BH1072" s="160"/>
      <c r="BI1072" s="160"/>
      <c r="BJ1072" s="160"/>
      <c r="BK1072" s="160"/>
      <c r="BL1072" s="160"/>
      <c r="BM1072" s="160"/>
      <c r="BN1072" s="160"/>
      <c r="BO1072" s="160"/>
      <c r="BP1072" s="160"/>
      <c r="BQ1072" s="160"/>
      <c r="BR1072" s="160"/>
      <c r="BS1072" s="160"/>
      <c r="BT1072" s="160"/>
      <c r="BU1072" s="160"/>
      <c r="BV1072" s="160"/>
      <c r="BW1072" s="160"/>
      <c r="BX1072" s="160"/>
      <c r="BY1072" s="160"/>
      <c r="BZ1072" s="160"/>
      <c r="CA1072" s="160"/>
      <c r="CB1072" s="160"/>
      <c r="CC1072" s="160"/>
      <c r="CD1072" s="160"/>
      <c r="CE1072" s="160"/>
      <c r="CF1072" s="160"/>
      <c r="CG1072" s="160"/>
      <c r="CH1072" s="160"/>
      <c r="CI1072" s="160"/>
      <c r="CJ1072" s="160"/>
      <c r="CK1072" s="160"/>
      <c r="CL1072" s="160"/>
    </row>
    <row r="1073">
      <c r="A1073" s="171"/>
      <c r="F1073" s="11"/>
      <c r="G1073" s="11"/>
      <c r="L1073" s="171"/>
      <c r="M1073" s="171"/>
      <c r="O1073" s="160"/>
      <c r="P1073" s="160"/>
      <c r="Q1073" s="160"/>
      <c r="R1073" s="160"/>
      <c r="S1073" s="160"/>
      <c r="T1073" s="207"/>
      <c r="U1073" s="160"/>
      <c r="V1073" s="160"/>
      <c r="W1073" s="160"/>
      <c r="X1073" s="160"/>
      <c r="Y1073" s="160"/>
      <c r="Z1073" s="160"/>
      <c r="AA1073" s="160"/>
      <c r="AB1073" s="160"/>
      <c r="AC1073" s="160"/>
      <c r="AD1073" s="160"/>
      <c r="AE1073" s="160"/>
      <c r="AF1073" s="160"/>
      <c r="AG1073" s="160"/>
      <c r="AH1073" s="160"/>
      <c r="AI1073" s="160"/>
      <c r="AJ1073" s="160"/>
      <c r="AK1073" s="160"/>
      <c r="AL1073" s="160"/>
      <c r="AM1073" s="160"/>
      <c r="AN1073" s="164"/>
      <c r="AO1073" s="160"/>
      <c r="AP1073" s="160"/>
      <c r="AQ1073" s="160"/>
      <c r="AR1073" s="160"/>
      <c r="AS1073" s="160"/>
      <c r="AT1073" s="160"/>
      <c r="AU1073" s="160"/>
      <c r="AV1073" s="160"/>
      <c r="AW1073" s="160"/>
      <c r="AX1073" s="160"/>
      <c r="AY1073" s="160"/>
      <c r="AZ1073" s="160"/>
      <c r="BA1073" s="160"/>
      <c r="BB1073" s="160"/>
      <c r="BC1073" s="160"/>
      <c r="BD1073" s="160"/>
      <c r="BE1073" s="160"/>
      <c r="BF1073" s="160"/>
      <c r="BG1073" s="160"/>
      <c r="BH1073" s="160"/>
      <c r="BI1073" s="160"/>
      <c r="BJ1073" s="160"/>
      <c r="BK1073" s="160"/>
      <c r="BL1073" s="160"/>
      <c r="BM1073" s="160"/>
      <c r="BN1073" s="160"/>
      <c r="BO1073" s="160"/>
      <c r="BP1073" s="160"/>
      <c r="BQ1073" s="160"/>
      <c r="BR1073" s="160"/>
      <c r="BS1073" s="160"/>
      <c r="BT1073" s="160"/>
      <c r="BU1073" s="160"/>
      <c r="BV1073" s="160"/>
      <c r="BW1073" s="160"/>
      <c r="BX1073" s="160"/>
      <c r="BY1073" s="160"/>
      <c r="BZ1073" s="160"/>
      <c r="CA1073" s="160"/>
      <c r="CB1073" s="160"/>
      <c r="CC1073" s="160"/>
      <c r="CD1073" s="160"/>
      <c r="CE1073" s="160"/>
      <c r="CF1073" s="160"/>
      <c r="CG1073" s="160"/>
      <c r="CH1073" s="160"/>
      <c r="CI1073" s="160"/>
      <c r="CJ1073" s="160"/>
      <c r="CK1073" s="160"/>
      <c r="CL1073" s="160"/>
    </row>
    <row r="1074">
      <c r="A1074" s="171"/>
      <c r="F1074" s="11"/>
      <c r="G1074" s="11"/>
      <c r="L1074" s="171"/>
      <c r="M1074" s="171"/>
      <c r="O1074" s="160"/>
      <c r="P1074" s="160"/>
      <c r="Q1074" s="160"/>
      <c r="R1074" s="160"/>
      <c r="S1074" s="160"/>
      <c r="T1074" s="207"/>
      <c r="U1074" s="160"/>
      <c r="V1074" s="160"/>
      <c r="W1074" s="160"/>
      <c r="X1074" s="160"/>
      <c r="Y1074" s="160"/>
      <c r="Z1074" s="160"/>
      <c r="AA1074" s="160"/>
      <c r="AB1074" s="160"/>
      <c r="AC1074" s="160"/>
      <c r="AD1074" s="160"/>
      <c r="AE1074" s="160"/>
      <c r="AF1074" s="160"/>
      <c r="AG1074" s="160"/>
      <c r="AH1074" s="160"/>
      <c r="AI1074" s="160"/>
      <c r="AJ1074" s="160"/>
      <c r="AK1074" s="160"/>
      <c r="AL1074" s="160"/>
      <c r="AM1074" s="160"/>
      <c r="AN1074" s="164"/>
      <c r="AO1074" s="160"/>
      <c r="AP1074" s="160"/>
      <c r="AQ1074" s="160"/>
      <c r="AR1074" s="160"/>
      <c r="AS1074" s="160"/>
      <c r="AT1074" s="160"/>
      <c r="AU1074" s="160"/>
      <c r="AV1074" s="160"/>
      <c r="AW1074" s="160"/>
      <c r="AX1074" s="160"/>
      <c r="AY1074" s="160"/>
      <c r="AZ1074" s="160"/>
      <c r="BA1074" s="160"/>
      <c r="BB1074" s="160"/>
      <c r="BC1074" s="160"/>
      <c r="BD1074" s="160"/>
      <c r="BE1074" s="160"/>
      <c r="BF1074" s="160"/>
      <c r="BG1074" s="160"/>
      <c r="BH1074" s="160"/>
      <c r="BI1074" s="160"/>
      <c r="BJ1074" s="160"/>
      <c r="BK1074" s="160"/>
      <c r="BL1074" s="160"/>
      <c r="BM1074" s="160"/>
      <c r="BN1074" s="160"/>
      <c r="BO1074" s="160"/>
      <c r="BP1074" s="160"/>
      <c r="BQ1074" s="160"/>
      <c r="BR1074" s="160"/>
      <c r="BS1074" s="160"/>
      <c r="BT1074" s="160"/>
      <c r="BU1074" s="160"/>
      <c r="BV1074" s="160"/>
      <c r="BW1074" s="160"/>
      <c r="BX1074" s="160"/>
      <c r="BY1074" s="160"/>
      <c r="BZ1074" s="160"/>
      <c r="CA1074" s="160"/>
      <c r="CB1074" s="160"/>
      <c r="CC1074" s="160"/>
      <c r="CD1074" s="160"/>
      <c r="CE1074" s="160"/>
      <c r="CF1074" s="160"/>
      <c r="CG1074" s="160"/>
      <c r="CH1074" s="160"/>
      <c r="CI1074" s="160"/>
      <c r="CJ1074" s="160"/>
      <c r="CK1074" s="160"/>
      <c r="CL1074" s="160"/>
    </row>
    <row r="1075">
      <c r="A1075" s="171"/>
      <c r="F1075" s="11"/>
      <c r="G1075" s="11"/>
      <c r="L1075" s="171"/>
      <c r="M1075" s="171"/>
      <c r="O1075" s="160"/>
      <c r="P1075" s="160"/>
      <c r="Q1075" s="160"/>
      <c r="R1075" s="160"/>
      <c r="S1075" s="160"/>
      <c r="T1075" s="207"/>
      <c r="U1075" s="160"/>
      <c r="V1075" s="160"/>
      <c r="W1075" s="160"/>
      <c r="X1075" s="160"/>
      <c r="Y1075" s="160"/>
      <c r="Z1075" s="160"/>
      <c r="AA1075" s="160"/>
      <c r="AB1075" s="160"/>
      <c r="AC1075" s="160"/>
      <c r="AD1075" s="160"/>
      <c r="AE1075" s="160"/>
      <c r="AF1075" s="160"/>
      <c r="AG1075" s="160"/>
      <c r="AH1075" s="160"/>
      <c r="AI1075" s="160"/>
      <c r="AJ1075" s="160"/>
      <c r="AK1075" s="160"/>
      <c r="AL1075" s="160"/>
      <c r="AM1075" s="160"/>
      <c r="AN1075" s="164"/>
      <c r="AO1075" s="160"/>
      <c r="AP1075" s="160"/>
      <c r="AQ1075" s="160"/>
      <c r="AR1075" s="160"/>
      <c r="AS1075" s="160"/>
      <c r="AT1075" s="160"/>
      <c r="AU1075" s="160"/>
      <c r="AV1075" s="160"/>
      <c r="AW1075" s="160"/>
      <c r="AX1075" s="160"/>
      <c r="AY1075" s="160"/>
      <c r="AZ1075" s="160"/>
      <c r="BA1075" s="160"/>
      <c r="BB1075" s="160"/>
      <c r="BC1075" s="160"/>
      <c r="BD1075" s="160"/>
      <c r="BE1075" s="160"/>
      <c r="BF1075" s="160"/>
      <c r="BG1075" s="160"/>
      <c r="BH1075" s="160"/>
      <c r="BI1075" s="160"/>
      <c r="BJ1075" s="160"/>
      <c r="BK1075" s="160"/>
      <c r="BL1075" s="160"/>
      <c r="BM1075" s="160"/>
      <c r="BN1075" s="160"/>
      <c r="BO1075" s="160"/>
      <c r="BP1075" s="160"/>
      <c r="BQ1075" s="160"/>
      <c r="BR1075" s="160"/>
      <c r="BS1075" s="160"/>
      <c r="BT1075" s="160"/>
      <c r="BU1075" s="160"/>
      <c r="BV1075" s="160"/>
      <c r="BW1075" s="160"/>
      <c r="BX1075" s="160"/>
      <c r="BY1075" s="160"/>
      <c r="BZ1075" s="160"/>
      <c r="CA1075" s="160"/>
      <c r="CB1075" s="160"/>
      <c r="CC1075" s="160"/>
      <c r="CD1075" s="160"/>
      <c r="CE1075" s="160"/>
      <c r="CF1075" s="160"/>
      <c r="CG1075" s="160"/>
      <c r="CH1075" s="160"/>
      <c r="CI1075" s="160"/>
      <c r="CJ1075" s="160"/>
      <c r="CK1075" s="160"/>
      <c r="CL1075" s="160"/>
    </row>
    <row r="1076">
      <c r="A1076" s="171"/>
      <c r="F1076" s="11"/>
      <c r="G1076" s="11"/>
      <c r="L1076" s="171"/>
      <c r="M1076" s="171"/>
      <c r="O1076" s="160"/>
      <c r="P1076" s="160"/>
      <c r="Q1076" s="160"/>
      <c r="R1076" s="160"/>
      <c r="S1076" s="160"/>
      <c r="T1076" s="207"/>
      <c r="U1076" s="160"/>
      <c r="V1076" s="160"/>
      <c r="W1076" s="160"/>
      <c r="X1076" s="160"/>
      <c r="Y1076" s="160"/>
      <c r="Z1076" s="160"/>
      <c r="AA1076" s="160"/>
      <c r="AB1076" s="160"/>
      <c r="AC1076" s="160"/>
      <c r="AD1076" s="160"/>
      <c r="AE1076" s="160"/>
      <c r="AF1076" s="160"/>
      <c r="AG1076" s="160"/>
      <c r="AH1076" s="160"/>
      <c r="AI1076" s="160"/>
      <c r="AJ1076" s="160"/>
      <c r="AK1076" s="160"/>
      <c r="AL1076" s="160"/>
      <c r="AM1076" s="160"/>
      <c r="AN1076" s="164"/>
      <c r="AO1076" s="160"/>
      <c r="AP1076" s="160"/>
      <c r="AQ1076" s="160"/>
      <c r="AR1076" s="160"/>
      <c r="AS1076" s="160"/>
      <c r="AT1076" s="160"/>
      <c r="AU1076" s="160"/>
      <c r="AV1076" s="160"/>
      <c r="AW1076" s="160"/>
      <c r="AX1076" s="160"/>
      <c r="AY1076" s="160"/>
      <c r="AZ1076" s="160"/>
      <c r="BA1076" s="160"/>
      <c r="BB1076" s="160"/>
      <c r="BC1076" s="160"/>
      <c r="BD1076" s="160"/>
      <c r="BE1076" s="160"/>
      <c r="BF1076" s="160"/>
      <c r="BG1076" s="160"/>
      <c r="BH1076" s="160"/>
      <c r="BI1076" s="160"/>
      <c r="BJ1076" s="160"/>
      <c r="BK1076" s="160"/>
      <c r="BL1076" s="160"/>
      <c r="BM1076" s="160"/>
      <c r="BN1076" s="160"/>
      <c r="BO1076" s="160"/>
      <c r="BP1076" s="160"/>
      <c r="BQ1076" s="160"/>
      <c r="BR1076" s="160"/>
      <c r="BS1076" s="160"/>
      <c r="BT1076" s="160"/>
      <c r="BU1076" s="160"/>
      <c r="BV1076" s="160"/>
      <c r="BW1076" s="160"/>
      <c r="BX1076" s="160"/>
      <c r="BY1076" s="160"/>
      <c r="BZ1076" s="160"/>
      <c r="CA1076" s="160"/>
      <c r="CB1076" s="160"/>
      <c r="CC1076" s="160"/>
      <c r="CD1076" s="160"/>
      <c r="CE1076" s="160"/>
      <c r="CF1076" s="160"/>
      <c r="CG1076" s="160"/>
      <c r="CH1076" s="160"/>
      <c r="CI1076" s="160"/>
      <c r="CJ1076" s="160"/>
      <c r="CK1076" s="160"/>
      <c r="CL1076" s="160"/>
    </row>
    <row r="1077">
      <c r="A1077" s="171"/>
      <c r="F1077" s="11"/>
      <c r="G1077" s="11"/>
      <c r="L1077" s="171"/>
      <c r="M1077" s="171"/>
      <c r="O1077" s="160"/>
      <c r="P1077" s="160"/>
      <c r="Q1077" s="160"/>
      <c r="R1077" s="160"/>
      <c r="S1077" s="160"/>
      <c r="T1077" s="207"/>
      <c r="U1077" s="160"/>
      <c r="V1077" s="160"/>
      <c r="W1077" s="160"/>
      <c r="X1077" s="160"/>
      <c r="Y1077" s="160"/>
      <c r="Z1077" s="160"/>
      <c r="AA1077" s="160"/>
      <c r="AB1077" s="160"/>
      <c r="AC1077" s="160"/>
      <c r="AD1077" s="160"/>
      <c r="AE1077" s="160"/>
      <c r="AF1077" s="160"/>
      <c r="AG1077" s="160"/>
      <c r="AH1077" s="160"/>
      <c r="AI1077" s="160"/>
      <c r="AJ1077" s="160"/>
      <c r="AK1077" s="160"/>
      <c r="AL1077" s="160"/>
      <c r="AM1077" s="160"/>
      <c r="AN1077" s="164"/>
      <c r="AO1077" s="160"/>
      <c r="AP1077" s="160"/>
      <c r="AQ1077" s="160"/>
      <c r="AR1077" s="160"/>
      <c r="AS1077" s="160"/>
      <c r="AT1077" s="160"/>
      <c r="AU1077" s="160"/>
      <c r="AV1077" s="160"/>
      <c r="AW1077" s="160"/>
      <c r="AX1077" s="160"/>
      <c r="AY1077" s="160"/>
      <c r="AZ1077" s="160"/>
      <c r="BA1077" s="160"/>
      <c r="BB1077" s="160"/>
      <c r="BC1077" s="160"/>
      <c r="BD1077" s="160"/>
      <c r="BE1077" s="160"/>
      <c r="BF1077" s="160"/>
      <c r="BG1077" s="160"/>
      <c r="BH1077" s="160"/>
      <c r="BI1077" s="160"/>
      <c r="BJ1077" s="160"/>
      <c r="BK1077" s="160"/>
      <c r="BL1077" s="160"/>
      <c r="BM1077" s="160"/>
      <c r="BN1077" s="160"/>
      <c r="BO1077" s="160"/>
      <c r="BP1077" s="160"/>
      <c r="BQ1077" s="160"/>
      <c r="BR1077" s="160"/>
      <c r="BS1077" s="160"/>
      <c r="BT1077" s="160"/>
      <c r="BU1077" s="160"/>
      <c r="BV1077" s="160"/>
      <c r="BW1077" s="160"/>
      <c r="BX1077" s="160"/>
      <c r="BY1077" s="160"/>
      <c r="BZ1077" s="160"/>
      <c r="CA1077" s="160"/>
      <c r="CB1077" s="160"/>
      <c r="CC1077" s="160"/>
      <c r="CD1077" s="160"/>
      <c r="CE1077" s="160"/>
      <c r="CF1077" s="160"/>
      <c r="CG1077" s="160"/>
      <c r="CH1077" s="160"/>
      <c r="CI1077" s="160"/>
      <c r="CJ1077" s="160"/>
      <c r="CK1077" s="160"/>
      <c r="CL1077" s="160"/>
    </row>
    <row r="1078">
      <c r="A1078" s="171"/>
      <c r="F1078" s="11"/>
      <c r="G1078" s="11"/>
      <c r="L1078" s="171"/>
      <c r="M1078" s="171"/>
      <c r="O1078" s="160"/>
      <c r="P1078" s="160"/>
      <c r="Q1078" s="160"/>
      <c r="R1078" s="160"/>
      <c r="S1078" s="160"/>
      <c r="T1078" s="207"/>
      <c r="U1078" s="160"/>
      <c r="V1078" s="160"/>
      <c r="W1078" s="160"/>
      <c r="X1078" s="160"/>
      <c r="Y1078" s="160"/>
      <c r="Z1078" s="160"/>
      <c r="AA1078" s="160"/>
      <c r="AB1078" s="160"/>
      <c r="AC1078" s="160"/>
      <c r="AD1078" s="160"/>
      <c r="AE1078" s="160"/>
      <c r="AF1078" s="160"/>
      <c r="AG1078" s="160"/>
      <c r="AH1078" s="160"/>
      <c r="AI1078" s="160"/>
      <c r="AJ1078" s="160"/>
      <c r="AK1078" s="160"/>
      <c r="AL1078" s="160"/>
      <c r="AM1078" s="160"/>
      <c r="AN1078" s="164"/>
      <c r="AO1078" s="160"/>
      <c r="AP1078" s="160"/>
      <c r="AQ1078" s="160"/>
      <c r="AR1078" s="160"/>
      <c r="AS1078" s="160"/>
      <c r="AT1078" s="160"/>
      <c r="AU1078" s="160"/>
      <c r="AV1078" s="160"/>
      <c r="AW1078" s="160"/>
      <c r="AX1078" s="160"/>
      <c r="AY1078" s="160"/>
      <c r="AZ1078" s="160"/>
      <c r="BA1078" s="160"/>
      <c r="BB1078" s="160"/>
      <c r="BC1078" s="160"/>
      <c r="BD1078" s="160"/>
      <c r="BE1078" s="160"/>
      <c r="BF1078" s="160"/>
      <c r="BG1078" s="160"/>
      <c r="BH1078" s="160"/>
      <c r="BI1078" s="160"/>
      <c r="BJ1078" s="160"/>
      <c r="BK1078" s="160"/>
      <c r="BL1078" s="160"/>
      <c r="BM1078" s="160"/>
      <c r="BN1078" s="160"/>
      <c r="BO1078" s="160"/>
      <c r="BP1078" s="160"/>
      <c r="BQ1078" s="160"/>
      <c r="BR1078" s="160"/>
      <c r="BS1078" s="160"/>
      <c r="BT1078" s="160"/>
      <c r="BU1078" s="160"/>
      <c r="BV1078" s="160"/>
      <c r="BW1078" s="160"/>
      <c r="BX1078" s="160"/>
      <c r="BY1078" s="160"/>
      <c r="BZ1078" s="160"/>
      <c r="CA1078" s="160"/>
      <c r="CB1078" s="160"/>
      <c r="CC1078" s="160"/>
      <c r="CD1078" s="160"/>
      <c r="CE1078" s="160"/>
      <c r="CF1078" s="160"/>
      <c r="CG1078" s="160"/>
      <c r="CH1078" s="160"/>
      <c r="CI1078" s="160"/>
      <c r="CJ1078" s="160"/>
      <c r="CK1078" s="160"/>
      <c r="CL1078" s="160"/>
    </row>
    <row r="1079">
      <c r="A1079" s="171"/>
      <c r="F1079" s="11"/>
      <c r="G1079" s="11"/>
      <c r="L1079" s="171"/>
      <c r="M1079" s="171"/>
      <c r="O1079" s="160"/>
      <c r="P1079" s="160"/>
      <c r="Q1079" s="160"/>
      <c r="R1079" s="160"/>
      <c r="S1079" s="160"/>
      <c r="T1079" s="207"/>
      <c r="U1079" s="160"/>
      <c r="V1079" s="160"/>
      <c r="W1079" s="160"/>
      <c r="X1079" s="160"/>
      <c r="Y1079" s="160"/>
      <c r="Z1079" s="160"/>
      <c r="AA1079" s="160"/>
      <c r="AB1079" s="160"/>
      <c r="AC1079" s="160"/>
      <c r="AD1079" s="160"/>
      <c r="AE1079" s="160"/>
      <c r="AF1079" s="160"/>
      <c r="AG1079" s="160"/>
      <c r="AH1079" s="160"/>
      <c r="AI1079" s="160"/>
      <c r="AJ1079" s="160"/>
      <c r="AK1079" s="160"/>
      <c r="AL1079" s="160"/>
      <c r="AM1079" s="160"/>
      <c r="AN1079" s="164"/>
      <c r="AO1079" s="160"/>
      <c r="AP1079" s="160"/>
      <c r="AQ1079" s="160"/>
      <c r="AR1079" s="160"/>
      <c r="AS1079" s="160"/>
      <c r="AT1079" s="160"/>
      <c r="AU1079" s="160"/>
      <c r="AV1079" s="160"/>
      <c r="AW1079" s="160"/>
      <c r="AX1079" s="160"/>
      <c r="AY1079" s="160"/>
      <c r="AZ1079" s="160"/>
      <c r="BA1079" s="160"/>
      <c r="BB1079" s="160"/>
      <c r="BC1079" s="160"/>
      <c r="BD1079" s="160"/>
      <c r="BE1079" s="160"/>
      <c r="BF1079" s="160"/>
      <c r="BG1079" s="160"/>
      <c r="BH1079" s="160"/>
      <c r="BI1079" s="160"/>
      <c r="BJ1079" s="160"/>
      <c r="BK1079" s="160"/>
      <c r="BL1079" s="160"/>
      <c r="BM1079" s="160"/>
      <c r="BN1079" s="160"/>
      <c r="BO1079" s="160"/>
      <c r="BP1079" s="160"/>
      <c r="BQ1079" s="160"/>
      <c r="BR1079" s="160"/>
      <c r="BS1079" s="160"/>
      <c r="BT1079" s="160"/>
      <c r="BU1079" s="160"/>
      <c r="BV1079" s="160"/>
      <c r="BW1079" s="160"/>
      <c r="BX1079" s="160"/>
      <c r="BY1079" s="160"/>
      <c r="BZ1079" s="160"/>
      <c r="CA1079" s="160"/>
      <c r="CB1079" s="160"/>
      <c r="CC1079" s="160"/>
      <c r="CD1079" s="160"/>
      <c r="CE1079" s="160"/>
      <c r="CF1079" s="160"/>
      <c r="CG1079" s="160"/>
      <c r="CH1079" s="160"/>
      <c r="CI1079" s="160"/>
      <c r="CJ1079" s="160"/>
      <c r="CK1079" s="160"/>
      <c r="CL1079" s="160"/>
    </row>
    <row r="1080">
      <c r="A1080" s="171"/>
      <c r="F1080" s="11"/>
      <c r="G1080" s="11"/>
      <c r="L1080" s="171"/>
      <c r="M1080" s="171"/>
      <c r="O1080" s="160"/>
      <c r="P1080" s="160"/>
      <c r="Q1080" s="160"/>
      <c r="R1080" s="160"/>
      <c r="S1080" s="160"/>
      <c r="T1080" s="207"/>
      <c r="U1080" s="160"/>
      <c r="V1080" s="160"/>
      <c r="W1080" s="160"/>
      <c r="X1080" s="160"/>
      <c r="Y1080" s="160"/>
      <c r="Z1080" s="160"/>
      <c r="AA1080" s="160"/>
      <c r="AB1080" s="160"/>
      <c r="AC1080" s="160"/>
      <c r="AD1080" s="160"/>
      <c r="AE1080" s="160"/>
      <c r="AF1080" s="160"/>
      <c r="AG1080" s="160"/>
      <c r="AH1080" s="160"/>
      <c r="AI1080" s="160"/>
      <c r="AJ1080" s="160"/>
      <c r="AK1080" s="160"/>
      <c r="AL1080" s="160"/>
      <c r="AM1080" s="160"/>
      <c r="AN1080" s="164"/>
      <c r="AO1080" s="160"/>
      <c r="AP1080" s="160"/>
      <c r="AQ1080" s="160"/>
      <c r="AR1080" s="160"/>
      <c r="AS1080" s="160"/>
      <c r="AT1080" s="160"/>
      <c r="AU1080" s="160"/>
      <c r="AV1080" s="160"/>
      <c r="AW1080" s="160"/>
      <c r="AX1080" s="160"/>
      <c r="AY1080" s="160"/>
      <c r="AZ1080" s="160"/>
      <c r="BA1080" s="160"/>
      <c r="BB1080" s="160"/>
      <c r="BC1080" s="160"/>
      <c r="BD1080" s="160"/>
      <c r="BE1080" s="160"/>
      <c r="BF1080" s="160"/>
      <c r="BG1080" s="160"/>
      <c r="BH1080" s="160"/>
      <c r="BI1080" s="160"/>
      <c r="BJ1080" s="160"/>
      <c r="BK1080" s="160"/>
      <c r="BL1080" s="160"/>
      <c r="BM1080" s="160"/>
      <c r="BN1080" s="160"/>
      <c r="BO1080" s="160"/>
      <c r="BP1080" s="160"/>
      <c r="BQ1080" s="160"/>
      <c r="BR1080" s="160"/>
      <c r="BS1080" s="160"/>
      <c r="BT1080" s="160"/>
      <c r="BU1080" s="160"/>
      <c r="BV1080" s="160"/>
      <c r="BW1080" s="160"/>
      <c r="BX1080" s="160"/>
      <c r="BY1080" s="160"/>
      <c r="BZ1080" s="160"/>
      <c r="CA1080" s="160"/>
      <c r="CB1080" s="160"/>
      <c r="CC1080" s="160"/>
      <c r="CD1080" s="160"/>
      <c r="CE1080" s="160"/>
      <c r="CF1080" s="160"/>
      <c r="CG1080" s="160"/>
      <c r="CH1080" s="160"/>
      <c r="CI1080" s="160"/>
      <c r="CJ1080" s="160"/>
      <c r="CK1080" s="160"/>
      <c r="CL1080" s="160"/>
    </row>
    <row r="1081">
      <c r="A1081" s="171"/>
      <c r="F1081" s="11"/>
      <c r="G1081" s="11"/>
      <c r="L1081" s="171"/>
      <c r="M1081" s="171"/>
      <c r="O1081" s="160"/>
      <c r="P1081" s="160"/>
      <c r="Q1081" s="160"/>
      <c r="R1081" s="160"/>
      <c r="S1081" s="160"/>
      <c r="T1081" s="207"/>
      <c r="U1081" s="160"/>
      <c r="V1081" s="160"/>
      <c r="W1081" s="160"/>
      <c r="X1081" s="160"/>
      <c r="Y1081" s="160"/>
      <c r="Z1081" s="160"/>
      <c r="AA1081" s="160"/>
      <c r="AB1081" s="160"/>
      <c r="AC1081" s="160"/>
      <c r="AD1081" s="160"/>
      <c r="AE1081" s="160"/>
      <c r="AF1081" s="160"/>
      <c r="AG1081" s="160"/>
      <c r="AH1081" s="160"/>
      <c r="AI1081" s="160"/>
      <c r="AJ1081" s="160"/>
      <c r="AK1081" s="160"/>
      <c r="AL1081" s="160"/>
      <c r="AM1081" s="160"/>
      <c r="AN1081" s="164"/>
      <c r="AO1081" s="160"/>
      <c r="AP1081" s="160"/>
      <c r="AQ1081" s="160"/>
      <c r="AR1081" s="160"/>
      <c r="AS1081" s="160"/>
      <c r="AT1081" s="160"/>
      <c r="AU1081" s="160"/>
      <c r="AV1081" s="160"/>
      <c r="AW1081" s="160"/>
      <c r="AX1081" s="160"/>
      <c r="AY1081" s="160"/>
      <c r="AZ1081" s="160"/>
      <c r="BA1081" s="160"/>
      <c r="BB1081" s="160"/>
      <c r="BC1081" s="160"/>
      <c r="BD1081" s="160"/>
      <c r="BE1081" s="160"/>
      <c r="BF1081" s="160"/>
      <c r="BG1081" s="160"/>
      <c r="BH1081" s="160"/>
      <c r="BI1081" s="160"/>
      <c r="BJ1081" s="160"/>
      <c r="BK1081" s="160"/>
      <c r="BL1081" s="160"/>
      <c r="BM1081" s="160"/>
      <c r="BN1081" s="160"/>
      <c r="BO1081" s="160"/>
      <c r="BP1081" s="160"/>
      <c r="BQ1081" s="160"/>
      <c r="BR1081" s="160"/>
      <c r="BS1081" s="160"/>
      <c r="BT1081" s="160"/>
      <c r="BU1081" s="160"/>
      <c r="BV1081" s="160"/>
      <c r="BW1081" s="160"/>
      <c r="BX1081" s="160"/>
      <c r="BY1081" s="160"/>
      <c r="BZ1081" s="160"/>
      <c r="CA1081" s="160"/>
      <c r="CB1081" s="160"/>
      <c r="CC1081" s="160"/>
      <c r="CD1081" s="160"/>
      <c r="CE1081" s="160"/>
      <c r="CF1081" s="160"/>
      <c r="CG1081" s="160"/>
      <c r="CH1081" s="160"/>
      <c r="CI1081" s="160"/>
      <c r="CJ1081" s="160"/>
      <c r="CK1081" s="160"/>
      <c r="CL1081" s="160"/>
    </row>
    <row r="1082">
      <c r="A1082" s="171"/>
      <c r="F1082" s="11"/>
      <c r="G1082" s="11"/>
      <c r="L1082" s="171"/>
      <c r="M1082" s="171"/>
      <c r="O1082" s="160"/>
      <c r="P1082" s="160"/>
      <c r="Q1082" s="160"/>
      <c r="R1082" s="160"/>
      <c r="S1082" s="160"/>
      <c r="T1082" s="207"/>
      <c r="U1082" s="160"/>
      <c r="V1082" s="160"/>
      <c r="W1082" s="160"/>
      <c r="X1082" s="160"/>
      <c r="Y1082" s="160"/>
      <c r="Z1082" s="160"/>
      <c r="AA1082" s="160"/>
      <c r="AB1082" s="160"/>
      <c r="AC1082" s="160"/>
      <c r="AD1082" s="160"/>
      <c r="AE1082" s="160"/>
      <c r="AF1082" s="160"/>
      <c r="AG1082" s="160"/>
      <c r="AH1082" s="160"/>
      <c r="AI1082" s="160"/>
      <c r="AJ1082" s="160"/>
      <c r="AK1082" s="160"/>
      <c r="AL1082" s="160"/>
      <c r="AM1082" s="160"/>
      <c r="AN1082" s="164"/>
      <c r="AO1082" s="160"/>
      <c r="AP1082" s="160"/>
      <c r="AQ1082" s="160"/>
      <c r="AR1082" s="160"/>
      <c r="AS1082" s="160"/>
      <c r="AT1082" s="160"/>
      <c r="AU1082" s="160"/>
      <c r="AV1082" s="160"/>
      <c r="AW1082" s="160"/>
      <c r="AX1082" s="160"/>
      <c r="AY1082" s="160"/>
      <c r="AZ1082" s="160"/>
      <c r="BA1082" s="160"/>
      <c r="BB1082" s="160"/>
      <c r="BC1082" s="160"/>
      <c r="BD1082" s="160"/>
      <c r="BE1082" s="160"/>
      <c r="BF1082" s="160"/>
      <c r="BG1082" s="160"/>
      <c r="BH1082" s="160"/>
      <c r="BI1082" s="160"/>
      <c r="BJ1082" s="160"/>
      <c r="BK1082" s="160"/>
      <c r="BL1082" s="160"/>
      <c r="BM1082" s="160"/>
      <c r="BN1082" s="160"/>
      <c r="BO1082" s="160"/>
      <c r="BP1082" s="160"/>
      <c r="BQ1082" s="160"/>
      <c r="BR1082" s="160"/>
      <c r="BS1082" s="160"/>
      <c r="BT1082" s="160"/>
      <c r="BU1082" s="160"/>
      <c r="BV1082" s="160"/>
      <c r="BW1082" s="160"/>
      <c r="BX1082" s="160"/>
      <c r="BY1082" s="160"/>
      <c r="BZ1082" s="160"/>
      <c r="CA1082" s="160"/>
      <c r="CB1082" s="160"/>
      <c r="CC1082" s="160"/>
      <c r="CD1082" s="160"/>
      <c r="CE1082" s="160"/>
      <c r="CF1082" s="160"/>
      <c r="CG1082" s="160"/>
      <c r="CH1082" s="160"/>
      <c r="CI1082" s="160"/>
      <c r="CJ1082" s="160"/>
      <c r="CK1082" s="160"/>
      <c r="CL1082" s="160"/>
    </row>
    <row r="1083">
      <c r="A1083" s="171"/>
      <c r="F1083" s="11"/>
      <c r="G1083" s="11"/>
      <c r="L1083" s="171"/>
      <c r="M1083" s="171"/>
      <c r="O1083" s="160"/>
      <c r="P1083" s="160"/>
      <c r="Q1083" s="160"/>
      <c r="R1083" s="160"/>
      <c r="S1083" s="160"/>
      <c r="T1083" s="207"/>
      <c r="U1083" s="160"/>
      <c r="V1083" s="160"/>
      <c r="W1083" s="160"/>
      <c r="X1083" s="160"/>
      <c r="Y1083" s="160"/>
      <c r="Z1083" s="160"/>
      <c r="AA1083" s="160"/>
      <c r="AB1083" s="160"/>
      <c r="AC1083" s="160"/>
      <c r="AD1083" s="160"/>
      <c r="AE1083" s="160"/>
      <c r="AF1083" s="160"/>
      <c r="AG1083" s="160"/>
      <c r="AH1083" s="160"/>
      <c r="AI1083" s="160"/>
      <c r="AJ1083" s="160"/>
      <c r="AK1083" s="160"/>
      <c r="AL1083" s="160"/>
      <c r="AM1083" s="160"/>
      <c r="AN1083" s="164"/>
      <c r="AO1083" s="160"/>
      <c r="AP1083" s="160"/>
      <c r="AQ1083" s="160"/>
      <c r="AR1083" s="160"/>
      <c r="AS1083" s="160"/>
      <c r="AT1083" s="160"/>
      <c r="AU1083" s="160"/>
      <c r="AV1083" s="160"/>
      <c r="AW1083" s="160"/>
      <c r="AX1083" s="160"/>
      <c r="AY1083" s="160"/>
      <c r="AZ1083" s="160"/>
      <c r="BA1083" s="160"/>
      <c r="BB1083" s="160"/>
      <c r="BC1083" s="160"/>
      <c r="BD1083" s="160"/>
      <c r="BE1083" s="160"/>
      <c r="BF1083" s="160"/>
      <c r="BG1083" s="160"/>
      <c r="BH1083" s="160"/>
      <c r="BI1083" s="160"/>
      <c r="BJ1083" s="160"/>
      <c r="BK1083" s="160"/>
      <c r="BL1083" s="160"/>
      <c r="BM1083" s="160"/>
      <c r="BN1083" s="160"/>
      <c r="BO1083" s="160"/>
      <c r="BP1083" s="160"/>
      <c r="BQ1083" s="160"/>
      <c r="BR1083" s="160"/>
      <c r="BS1083" s="160"/>
      <c r="BT1083" s="160"/>
      <c r="BU1083" s="160"/>
      <c r="BV1083" s="160"/>
      <c r="BW1083" s="160"/>
      <c r="BX1083" s="160"/>
      <c r="BY1083" s="160"/>
      <c r="BZ1083" s="160"/>
      <c r="CA1083" s="160"/>
      <c r="CB1083" s="160"/>
      <c r="CC1083" s="160"/>
      <c r="CD1083" s="160"/>
      <c r="CE1083" s="160"/>
      <c r="CF1083" s="160"/>
      <c r="CG1083" s="160"/>
      <c r="CH1083" s="160"/>
      <c r="CI1083" s="160"/>
      <c r="CJ1083" s="160"/>
      <c r="CK1083" s="160"/>
      <c r="CL1083" s="160"/>
    </row>
    <row r="1084">
      <c r="A1084" s="171"/>
      <c r="F1084" s="11"/>
      <c r="G1084" s="11"/>
      <c r="L1084" s="171"/>
      <c r="M1084" s="171"/>
      <c r="O1084" s="160"/>
      <c r="P1084" s="160"/>
      <c r="Q1084" s="160"/>
      <c r="R1084" s="160"/>
      <c r="S1084" s="160"/>
      <c r="T1084" s="207"/>
      <c r="U1084" s="160"/>
      <c r="V1084" s="160"/>
      <c r="W1084" s="160"/>
      <c r="X1084" s="160"/>
      <c r="Y1084" s="160"/>
      <c r="Z1084" s="160"/>
      <c r="AA1084" s="160"/>
      <c r="AB1084" s="160"/>
      <c r="AC1084" s="160"/>
      <c r="AD1084" s="160"/>
      <c r="AE1084" s="160"/>
      <c r="AF1084" s="160"/>
      <c r="AG1084" s="160"/>
      <c r="AH1084" s="160"/>
      <c r="AI1084" s="160"/>
      <c r="AJ1084" s="160"/>
      <c r="AK1084" s="160"/>
      <c r="AL1084" s="160"/>
      <c r="AM1084" s="160"/>
      <c r="AN1084" s="164"/>
      <c r="AO1084" s="160"/>
      <c r="AP1084" s="160"/>
      <c r="AQ1084" s="160"/>
      <c r="AR1084" s="160"/>
      <c r="AS1084" s="160"/>
      <c r="AT1084" s="160"/>
      <c r="AU1084" s="160"/>
      <c r="AV1084" s="160"/>
      <c r="AW1084" s="160"/>
      <c r="AX1084" s="160"/>
      <c r="AY1084" s="160"/>
      <c r="AZ1084" s="160"/>
      <c r="BA1084" s="160"/>
      <c r="BB1084" s="160"/>
      <c r="BC1084" s="160"/>
      <c r="BD1084" s="160"/>
      <c r="BE1084" s="160"/>
      <c r="BF1084" s="160"/>
      <c r="BG1084" s="160"/>
      <c r="BH1084" s="160"/>
      <c r="BI1084" s="160"/>
      <c r="BJ1084" s="160"/>
      <c r="BK1084" s="160"/>
      <c r="BL1084" s="160"/>
      <c r="BM1084" s="160"/>
      <c r="BN1084" s="160"/>
      <c r="BO1084" s="160"/>
      <c r="BP1084" s="160"/>
      <c r="BQ1084" s="160"/>
      <c r="BR1084" s="160"/>
      <c r="BS1084" s="160"/>
      <c r="BT1084" s="160"/>
      <c r="BU1084" s="160"/>
      <c r="BV1084" s="160"/>
      <c r="BW1084" s="160"/>
      <c r="BX1084" s="160"/>
      <c r="BY1084" s="160"/>
      <c r="BZ1084" s="160"/>
      <c r="CA1084" s="160"/>
      <c r="CB1084" s="160"/>
      <c r="CC1084" s="160"/>
      <c r="CD1084" s="160"/>
      <c r="CE1084" s="160"/>
      <c r="CF1084" s="160"/>
      <c r="CG1084" s="160"/>
      <c r="CH1084" s="160"/>
      <c r="CI1084" s="160"/>
      <c r="CJ1084" s="160"/>
      <c r="CK1084" s="160"/>
      <c r="CL1084" s="160"/>
    </row>
    <row r="1085">
      <c r="A1085" s="171"/>
      <c r="F1085" s="11"/>
      <c r="G1085" s="11"/>
      <c r="L1085" s="171"/>
      <c r="M1085" s="171"/>
      <c r="O1085" s="160"/>
      <c r="P1085" s="160"/>
      <c r="Q1085" s="160"/>
      <c r="R1085" s="160"/>
      <c r="S1085" s="160"/>
      <c r="T1085" s="207"/>
      <c r="U1085" s="160"/>
      <c r="V1085" s="160"/>
      <c r="W1085" s="160"/>
      <c r="X1085" s="160"/>
      <c r="Y1085" s="160"/>
      <c r="Z1085" s="160"/>
      <c r="AA1085" s="160"/>
      <c r="AB1085" s="160"/>
      <c r="AC1085" s="160"/>
      <c r="AD1085" s="160"/>
      <c r="AE1085" s="160"/>
      <c r="AF1085" s="160"/>
      <c r="AG1085" s="160"/>
      <c r="AH1085" s="160"/>
      <c r="AI1085" s="160"/>
      <c r="AJ1085" s="160"/>
      <c r="AK1085" s="160"/>
      <c r="AL1085" s="160"/>
      <c r="AM1085" s="160"/>
      <c r="AN1085" s="164"/>
      <c r="AO1085" s="160"/>
      <c r="AP1085" s="160"/>
      <c r="AQ1085" s="160"/>
      <c r="AR1085" s="160"/>
      <c r="AS1085" s="160"/>
      <c r="AT1085" s="160"/>
      <c r="AU1085" s="160"/>
      <c r="AV1085" s="160"/>
      <c r="AW1085" s="160"/>
      <c r="AX1085" s="160"/>
      <c r="AY1085" s="160"/>
      <c r="AZ1085" s="160"/>
      <c r="BA1085" s="160"/>
      <c r="BB1085" s="160"/>
      <c r="BC1085" s="160"/>
      <c r="BD1085" s="160"/>
      <c r="BE1085" s="160"/>
      <c r="BF1085" s="160"/>
      <c r="BG1085" s="160"/>
      <c r="BH1085" s="160"/>
      <c r="BI1085" s="160"/>
      <c r="BJ1085" s="160"/>
      <c r="BK1085" s="160"/>
      <c r="BL1085" s="160"/>
      <c r="BM1085" s="160"/>
      <c r="BN1085" s="160"/>
      <c r="BO1085" s="160"/>
      <c r="BP1085" s="160"/>
      <c r="BQ1085" s="160"/>
      <c r="BR1085" s="160"/>
      <c r="BS1085" s="160"/>
      <c r="BT1085" s="160"/>
      <c r="BU1085" s="160"/>
      <c r="BV1085" s="160"/>
      <c r="BW1085" s="160"/>
      <c r="BX1085" s="160"/>
      <c r="BY1085" s="160"/>
      <c r="BZ1085" s="160"/>
      <c r="CA1085" s="160"/>
      <c r="CB1085" s="160"/>
      <c r="CC1085" s="160"/>
      <c r="CD1085" s="160"/>
      <c r="CE1085" s="160"/>
      <c r="CF1085" s="160"/>
      <c r="CG1085" s="160"/>
      <c r="CH1085" s="160"/>
      <c r="CI1085" s="160"/>
      <c r="CJ1085" s="160"/>
      <c r="CK1085" s="160"/>
      <c r="CL1085" s="160"/>
    </row>
    <row r="1086">
      <c r="A1086" s="171"/>
      <c r="F1086" s="11"/>
      <c r="G1086" s="11"/>
      <c r="L1086" s="171"/>
      <c r="M1086" s="171"/>
      <c r="O1086" s="160"/>
      <c r="P1086" s="160"/>
      <c r="Q1086" s="160"/>
      <c r="R1086" s="160"/>
      <c r="S1086" s="160"/>
      <c r="T1086" s="207"/>
      <c r="U1086" s="160"/>
      <c r="V1086" s="160"/>
      <c r="W1086" s="160"/>
      <c r="X1086" s="160"/>
      <c r="Y1086" s="160"/>
      <c r="Z1086" s="160"/>
      <c r="AA1086" s="160"/>
      <c r="AB1086" s="160"/>
      <c r="AC1086" s="160"/>
      <c r="AD1086" s="160"/>
      <c r="AE1086" s="160"/>
      <c r="AF1086" s="160"/>
      <c r="AG1086" s="160"/>
      <c r="AH1086" s="160"/>
      <c r="AI1086" s="160"/>
      <c r="AJ1086" s="160"/>
      <c r="AK1086" s="160"/>
      <c r="AL1086" s="160"/>
      <c r="AM1086" s="160"/>
      <c r="AN1086" s="164"/>
      <c r="AO1086" s="160"/>
      <c r="AP1086" s="160"/>
      <c r="AQ1086" s="160"/>
      <c r="AR1086" s="160"/>
      <c r="AS1086" s="160"/>
      <c r="AT1086" s="160"/>
      <c r="AU1086" s="160"/>
      <c r="AV1086" s="160"/>
      <c r="AW1086" s="160"/>
      <c r="AX1086" s="160"/>
      <c r="AY1086" s="160"/>
      <c r="AZ1086" s="160"/>
      <c r="BA1086" s="160"/>
      <c r="BB1086" s="160"/>
      <c r="BC1086" s="160"/>
      <c r="BD1086" s="160"/>
      <c r="BE1086" s="160"/>
      <c r="BF1086" s="160"/>
      <c r="BG1086" s="160"/>
      <c r="BH1086" s="160"/>
      <c r="BI1086" s="160"/>
      <c r="BJ1086" s="160"/>
      <c r="BK1086" s="160"/>
      <c r="BL1086" s="160"/>
      <c r="BM1086" s="160"/>
      <c r="BN1086" s="160"/>
      <c r="BO1086" s="160"/>
      <c r="BP1086" s="160"/>
      <c r="BQ1086" s="160"/>
      <c r="BR1086" s="160"/>
      <c r="BS1086" s="160"/>
      <c r="BT1086" s="160"/>
      <c r="BU1086" s="160"/>
      <c r="BV1086" s="160"/>
      <c r="BW1086" s="160"/>
      <c r="BX1086" s="160"/>
      <c r="BY1086" s="160"/>
      <c r="BZ1086" s="160"/>
      <c r="CA1086" s="160"/>
      <c r="CB1086" s="160"/>
      <c r="CC1086" s="160"/>
      <c r="CD1086" s="160"/>
      <c r="CE1086" s="160"/>
      <c r="CF1086" s="160"/>
      <c r="CG1086" s="160"/>
      <c r="CH1086" s="160"/>
      <c r="CI1086" s="160"/>
      <c r="CJ1086" s="160"/>
      <c r="CK1086" s="160"/>
      <c r="CL1086" s="160"/>
    </row>
    <row r="1087">
      <c r="A1087" s="171"/>
      <c r="F1087" s="11"/>
      <c r="G1087" s="11"/>
      <c r="L1087" s="171"/>
      <c r="M1087" s="171"/>
      <c r="O1087" s="160"/>
      <c r="P1087" s="160"/>
      <c r="Q1087" s="160"/>
      <c r="R1087" s="160"/>
      <c r="S1087" s="160"/>
      <c r="T1087" s="207"/>
      <c r="U1087" s="160"/>
      <c r="V1087" s="160"/>
      <c r="W1087" s="160"/>
      <c r="X1087" s="160"/>
      <c r="Y1087" s="160"/>
      <c r="Z1087" s="160"/>
      <c r="AA1087" s="160"/>
      <c r="AB1087" s="160"/>
      <c r="AC1087" s="160"/>
      <c r="AD1087" s="160"/>
      <c r="AE1087" s="160"/>
      <c r="AF1087" s="160"/>
      <c r="AG1087" s="160"/>
      <c r="AH1087" s="160"/>
      <c r="AI1087" s="160"/>
      <c r="AJ1087" s="160"/>
      <c r="AK1087" s="160"/>
      <c r="AL1087" s="160"/>
      <c r="AM1087" s="160"/>
      <c r="AN1087" s="164"/>
      <c r="AO1087" s="160"/>
      <c r="AP1087" s="160"/>
      <c r="AQ1087" s="160"/>
      <c r="AR1087" s="160"/>
      <c r="AS1087" s="160"/>
      <c r="AT1087" s="160"/>
      <c r="AU1087" s="160"/>
      <c r="AV1087" s="160"/>
      <c r="AW1087" s="160"/>
      <c r="AX1087" s="160"/>
      <c r="AY1087" s="160"/>
      <c r="AZ1087" s="160"/>
      <c r="BA1087" s="160"/>
      <c r="BB1087" s="160"/>
      <c r="BC1087" s="160"/>
      <c r="BD1087" s="160"/>
      <c r="BE1087" s="160"/>
      <c r="BF1087" s="160"/>
      <c r="BG1087" s="160"/>
      <c r="BH1087" s="160"/>
      <c r="BI1087" s="160"/>
      <c r="BJ1087" s="160"/>
      <c r="BK1087" s="160"/>
      <c r="BL1087" s="160"/>
      <c r="BM1087" s="160"/>
      <c r="BN1087" s="160"/>
      <c r="BO1087" s="160"/>
      <c r="BP1087" s="160"/>
      <c r="BQ1087" s="160"/>
      <c r="BR1087" s="160"/>
      <c r="BS1087" s="160"/>
      <c r="BT1087" s="160"/>
      <c r="BU1087" s="160"/>
      <c r="BV1087" s="160"/>
      <c r="BW1087" s="160"/>
      <c r="BX1087" s="160"/>
      <c r="BY1087" s="160"/>
      <c r="BZ1087" s="160"/>
      <c r="CA1087" s="160"/>
      <c r="CB1087" s="160"/>
      <c r="CC1087" s="160"/>
      <c r="CD1087" s="160"/>
      <c r="CE1087" s="160"/>
      <c r="CF1087" s="160"/>
      <c r="CG1087" s="160"/>
      <c r="CH1087" s="160"/>
      <c r="CI1087" s="160"/>
      <c r="CJ1087" s="160"/>
      <c r="CK1087" s="160"/>
      <c r="CL1087" s="160"/>
    </row>
    <row r="1088">
      <c r="A1088" s="171"/>
      <c r="F1088" s="11"/>
      <c r="G1088" s="11"/>
      <c r="L1088" s="171"/>
      <c r="M1088" s="171"/>
      <c r="O1088" s="160"/>
      <c r="P1088" s="160"/>
      <c r="Q1088" s="160"/>
      <c r="R1088" s="160"/>
      <c r="S1088" s="160"/>
      <c r="T1088" s="207"/>
      <c r="U1088" s="160"/>
      <c r="V1088" s="160"/>
      <c r="W1088" s="160"/>
      <c r="X1088" s="160"/>
      <c r="Y1088" s="160"/>
      <c r="Z1088" s="160"/>
      <c r="AA1088" s="160"/>
      <c r="AB1088" s="160"/>
      <c r="AC1088" s="160"/>
      <c r="AD1088" s="160"/>
      <c r="AE1088" s="160"/>
      <c r="AF1088" s="160"/>
      <c r="AG1088" s="160"/>
      <c r="AH1088" s="160"/>
      <c r="AI1088" s="160"/>
      <c r="AJ1088" s="160"/>
      <c r="AK1088" s="160"/>
      <c r="AL1088" s="160"/>
      <c r="AM1088" s="160"/>
      <c r="AN1088" s="164"/>
      <c r="AO1088" s="160"/>
      <c r="AP1088" s="160"/>
      <c r="AQ1088" s="160"/>
      <c r="AR1088" s="160"/>
      <c r="AS1088" s="160"/>
      <c r="AT1088" s="160"/>
      <c r="AU1088" s="160"/>
      <c r="AV1088" s="160"/>
      <c r="AW1088" s="160"/>
      <c r="AX1088" s="160"/>
      <c r="AY1088" s="160"/>
      <c r="AZ1088" s="160"/>
      <c r="BA1088" s="160"/>
      <c r="BB1088" s="160"/>
      <c r="BC1088" s="160"/>
      <c r="BD1088" s="160"/>
      <c r="BE1088" s="160"/>
      <c r="BF1088" s="160"/>
      <c r="BG1088" s="160"/>
      <c r="BH1088" s="160"/>
      <c r="BI1088" s="160"/>
      <c r="BJ1088" s="160"/>
      <c r="BK1088" s="160"/>
      <c r="BL1088" s="160"/>
      <c r="BM1088" s="160"/>
      <c r="BN1088" s="160"/>
      <c r="BO1088" s="160"/>
      <c r="BP1088" s="160"/>
      <c r="BQ1088" s="160"/>
      <c r="BR1088" s="160"/>
      <c r="BS1088" s="160"/>
      <c r="BT1088" s="160"/>
      <c r="BU1088" s="160"/>
      <c r="BV1088" s="160"/>
      <c r="BW1088" s="160"/>
      <c r="BX1088" s="160"/>
      <c r="BY1088" s="160"/>
      <c r="BZ1088" s="160"/>
      <c r="CA1088" s="160"/>
      <c r="CB1088" s="160"/>
      <c r="CC1088" s="160"/>
      <c r="CD1088" s="160"/>
      <c r="CE1088" s="160"/>
      <c r="CF1088" s="160"/>
      <c r="CG1088" s="160"/>
      <c r="CH1088" s="160"/>
      <c r="CI1088" s="160"/>
      <c r="CJ1088" s="160"/>
      <c r="CK1088" s="160"/>
      <c r="CL1088" s="160"/>
    </row>
    <row r="1089">
      <c r="A1089" s="171"/>
      <c r="F1089" s="11"/>
      <c r="G1089" s="11"/>
      <c r="L1089" s="171"/>
      <c r="M1089" s="171"/>
      <c r="O1089" s="160"/>
      <c r="P1089" s="160"/>
      <c r="Q1089" s="160"/>
      <c r="R1089" s="160"/>
      <c r="S1089" s="160"/>
      <c r="T1089" s="207"/>
      <c r="U1089" s="160"/>
      <c r="V1089" s="160"/>
      <c r="W1089" s="160"/>
      <c r="X1089" s="160"/>
      <c r="Y1089" s="160"/>
      <c r="Z1089" s="160"/>
      <c r="AA1089" s="160"/>
      <c r="AB1089" s="160"/>
      <c r="AC1089" s="160"/>
      <c r="AD1089" s="160"/>
      <c r="AE1089" s="160"/>
      <c r="AF1089" s="160"/>
      <c r="AG1089" s="160"/>
      <c r="AH1089" s="160"/>
      <c r="AI1089" s="160"/>
      <c r="AJ1089" s="160"/>
      <c r="AK1089" s="160"/>
      <c r="AL1089" s="160"/>
      <c r="AM1089" s="160"/>
      <c r="AN1089" s="164"/>
      <c r="AO1089" s="160"/>
      <c r="AP1089" s="160"/>
      <c r="AQ1089" s="160"/>
      <c r="AR1089" s="160"/>
      <c r="AS1089" s="160"/>
      <c r="AT1089" s="160"/>
      <c r="AU1089" s="160"/>
      <c r="AV1089" s="160"/>
      <c r="AW1089" s="160"/>
      <c r="AX1089" s="160"/>
      <c r="AY1089" s="160"/>
      <c r="AZ1089" s="160"/>
      <c r="BA1089" s="160"/>
      <c r="BB1089" s="160"/>
      <c r="BC1089" s="160"/>
      <c r="BD1089" s="160"/>
      <c r="BE1089" s="160"/>
      <c r="BF1089" s="160"/>
      <c r="BG1089" s="160"/>
      <c r="BH1089" s="160"/>
      <c r="BI1089" s="160"/>
      <c r="BJ1089" s="160"/>
      <c r="BK1089" s="160"/>
      <c r="BL1089" s="160"/>
      <c r="BM1089" s="160"/>
      <c r="BN1089" s="160"/>
      <c r="BO1089" s="160"/>
      <c r="BP1089" s="160"/>
      <c r="BQ1089" s="160"/>
      <c r="BR1089" s="160"/>
      <c r="BS1089" s="160"/>
      <c r="BT1089" s="160"/>
      <c r="BU1089" s="160"/>
      <c r="BV1089" s="160"/>
      <c r="BW1089" s="160"/>
      <c r="BX1089" s="160"/>
      <c r="BY1089" s="160"/>
      <c r="BZ1089" s="160"/>
      <c r="CA1089" s="160"/>
      <c r="CB1089" s="160"/>
      <c r="CC1089" s="160"/>
      <c r="CD1089" s="160"/>
      <c r="CE1089" s="160"/>
      <c r="CF1089" s="160"/>
      <c r="CG1089" s="160"/>
      <c r="CH1089" s="160"/>
      <c r="CI1089" s="160"/>
      <c r="CJ1089" s="160"/>
      <c r="CK1089" s="160"/>
      <c r="CL1089" s="160"/>
    </row>
    <row r="1090">
      <c r="A1090" s="171"/>
      <c r="F1090" s="11"/>
      <c r="G1090" s="11"/>
      <c r="L1090" s="171"/>
      <c r="M1090" s="171"/>
      <c r="O1090" s="160"/>
      <c r="P1090" s="160"/>
      <c r="Q1090" s="160"/>
      <c r="R1090" s="160"/>
      <c r="S1090" s="160"/>
      <c r="T1090" s="207"/>
      <c r="U1090" s="160"/>
      <c r="V1090" s="160"/>
      <c r="W1090" s="160"/>
      <c r="X1090" s="160"/>
      <c r="Y1090" s="160"/>
      <c r="Z1090" s="160"/>
      <c r="AA1090" s="160"/>
      <c r="AB1090" s="160"/>
      <c r="AC1090" s="160"/>
      <c r="AD1090" s="160"/>
      <c r="AE1090" s="160"/>
      <c r="AF1090" s="160"/>
      <c r="AG1090" s="160"/>
      <c r="AH1090" s="160"/>
      <c r="AI1090" s="160"/>
      <c r="AJ1090" s="160"/>
      <c r="AK1090" s="160"/>
      <c r="AL1090" s="160"/>
      <c r="AM1090" s="160"/>
      <c r="AN1090" s="164"/>
      <c r="AO1090" s="160"/>
      <c r="AP1090" s="160"/>
      <c r="AQ1090" s="160"/>
      <c r="AR1090" s="160"/>
      <c r="AS1090" s="160"/>
      <c r="AT1090" s="160"/>
      <c r="AU1090" s="160"/>
      <c r="AV1090" s="160"/>
      <c r="AW1090" s="160"/>
      <c r="AX1090" s="160"/>
      <c r="AY1090" s="160"/>
      <c r="AZ1090" s="160"/>
      <c r="BA1090" s="160"/>
      <c r="BB1090" s="160"/>
      <c r="BC1090" s="160"/>
      <c r="BD1090" s="160"/>
      <c r="BE1090" s="160"/>
      <c r="BF1090" s="160"/>
      <c r="BG1090" s="160"/>
      <c r="BH1090" s="160"/>
      <c r="BI1090" s="160"/>
      <c r="BJ1090" s="160"/>
      <c r="BK1090" s="160"/>
      <c r="BL1090" s="160"/>
      <c r="BM1090" s="160"/>
      <c r="BN1090" s="160"/>
      <c r="BO1090" s="160"/>
      <c r="BP1090" s="160"/>
      <c r="BQ1090" s="160"/>
      <c r="BR1090" s="160"/>
      <c r="BS1090" s="160"/>
      <c r="BT1090" s="160"/>
      <c r="BU1090" s="160"/>
      <c r="BV1090" s="160"/>
      <c r="BW1090" s="160"/>
      <c r="BX1090" s="160"/>
      <c r="BY1090" s="160"/>
      <c r="BZ1090" s="160"/>
      <c r="CA1090" s="160"/>
      <c r="CB1090" s="160"/>
      <c r="CC1090" s="160"/>
      <c r="CD1090" s="160"/>
      <c r="CE1090" s="160"/>
      <c r="CF1090" s="160"/>
      <c r="CG1090" s="160"/>
      <c r="CH1090" s="160"/>
      <c r="CI1090" s="160"/>
      <c r="CJ1090" s="160"/>
      <c r="CK1090" s="160"/>
      <c r="CL1090" s="160"/>
    </row>
    <row r="1091">
      <c r="A1091" s="171"/>
      <c r="F1091" s="11"/>
      <c r="G1091" s="11"/>
      <c r="L1091" s="171"/>
      <c r="M1091" s="171"/>
      <c r="O1091" s="160"/>
      <c r="P1091" s="160"/>
      <c r="Q1091" s="160"/>
      <c r="R1091" s="160"/>
      <c r="S1091" s="160"/>
      <c r="T1091" s="207"/>
      <c r="U1091" s="160"/>
      <c r="V1091" s="160"/>
      <c r="W1091" s="160"/>
      <c r="X1091" s="160"/>
      <c r="Y1091" s="160"/>
      <c r="Z1091" s="160"/>
      <c r="AA1091" s="160"/>
      <c r="AB1091" s="160"/>
      <c r="AC1091" s="160"/>
      <c r="AD1091" s="160"/>
      <c r="AE1091" s="160"/>
      <c r="AF1091" s="160"/>
      <c r="AG1091" s="160"/>
      <c r="AH1091" s="160"/>
      <c r="AI1091" s="160"/>
      <c r="AJ1091" s="160"/>
      <c r="AK1091" s="160"/>
      <c r="AL1091" s="160"/>
      <c r="AM1091" s="160"/>
      <c r="AN1091" s="164"/>
      <c r="AO1091" s="160"/>
      <c r="AP1091" s="160"/>
      <c r="AQ1091" s="160"/>
      <c r="AR1091" s="160"/>
      <c r="AS1091" s="160"/>
      <c r="AT1091" s="160"/>
      <c r="AU1091" s="160"/>
      <c r="AV1091" s="160"/>
      <c r="AW1091" s="160"/>
      <c r="AX1091" s="160"/>
      <c r="AY1091" s="160"/>
      <c r="AZ1091" s="160"/>
      <c r="BA1091" s="160"/>
      <c r="BB1091" s="160"/>
      <c r="BC1091" s="160"/>
      <c r="BD1091" s="160"/>
      <c r="BE1091" s="160"/>
      <c r="BF1091" s="160"/>
      <c r="BG1091" s="160"/>
      <c r="BH1091" s="160"/>
      <c r="BI1091" s="160"/>
      <c r="BJ1091" s="160"/>
      <c r="BK1091" s="160"/>
      <c r="BL1091" s="160"/>
      <c r="BM1091" s="160"/>
      <c r="BN1091" s="160"/>
      <c r="BO1091" s="160"/>
      <c r="BP1091" s="160"/>
      <c r="BQ1091" s="160"/>
      <c r="BR1091" s="160"/>
      <c r="BS1091" s="160"/>
      <c r="BT1091" s="160"/>
      <c r="BU1091" s="160"/>
      <c r="BV1091" s="160"/>
      <c r="BW1091" s="160"/>
      <c r="BX1091" s="160"/>
      <c r="BY1091" s="160"/>
      <c r="BZ1091" s="160"/>
      <c r="CA1091" s="160"/>
      <c r="CB1091" s="160"/>
      <c r="CC1091" s="160"/>
      <c r="CD1091" s="160"/>
      <c r="CE1091" s="160"/>
      <c r="CF1091" s="160"/>
      <c r="CG1091" s="160"/>
      <c r="CH1091" s="160"/>
      <c r="CI1091" s="160"/>
      <c r="CJ1091" s="160"/>
      <c r="CK1091" s="160"/>
      <c r="CL1091" s="160"/>
    </row>
    <row r="1092">
      <c r="A1092" s="171"/>
      <c r="F1092" s="11"/>
      <c r="G1092" s="11"/>
      <c r="L1092" s="171"/>
      <c r="M1092" s="171"/>
      <c r="O1092" s="160"/>
      <c r="P1092" s="160"/>
      <c r="Q1092" s="160"/>
      <c r="R1092" s="160"/>
      <c r="S1092" s="160"/>
      <c r="T1092" s="207"/>
      <c r="U1092" s="160"/>
      <c r="V1092" s="160"/>
      <c r="W1092" s="160"/>
      <c r="X1092" s="160"/>
      <c r="Y1092" s="160"/>
      <c r="Z1092" s="160"/>
      <c r="AA1092" s="160"/>
      <c r="AB1092" s="160"/>
      <c r="AC1092" s="160"/>
      <c r="AD1092" s="160"/>
      <c r="AE1092" s="160"/>
      <c r="AF1092" s="160"/>
      <c r="AG1092" s="160"/>
      <c r="AH1092" s="160"/>
      <c r="AI1092" s="160"/>
      <c r="AJ1092" s="160"/>
      <c r="AK1092" s="160"/>
      <c r="AL1092" s="160"/>
      <c r="AM1092" s="160"/>
      <c r="AN1092" s="164"/>
      <c r="AO1092" s="160"/>
      <c r="AP1092" s="160"/>
      <c r="AQ1092" s="160"/>
      <c r="AR1092" s="160"/>
      <c r="AS1092" s="160"/>
      <c r="AT1092" s="160"/>
      <c r="AU1092" s="160"/>
      <c r="AV1092" s="160"/>
      <c r="AW1092" s="160"/>
      <c r="AX1092" s="160"/>
      <c r="AY1092" s="160"/>
      <c r="AZ1092" s="160"/>
      <c r="BA1092" s="160"/>
      <c r="BB1092" s="160"/>
      <c r="BC1092" s="160"/>
      <c r="BD1092" s="160"/>
      <c r="BE1092" s="160"/>
      <c r="BF1092" s="160"/>
      <c r="BG1092" s="160"/>
      <c r="BH1092" s="160"/>
      <c r="BI1092" s="160"/>
      <c r="BJ1092" s="160"/>
      <c r="BK1092" s="160"/>
      <c r="BL1092" s="160"/>
      <c r="BM1092" s="160"/>
      <c r="BN1092" s="160"/>
      <c r="BO1092" s="160"/>
      <c r="BP1092" s="160"/>
      <c r="BQ1092" s="160"/>
      <c r="BR1092" s="160"/>
      <c r="BS1092" s="160"/>
      <c r="BT1092" s="160"/>
      <c r="BU1092" s="160"/>
      <c r="BV1092" s="160"/>
      <c r="BW1092" s="160"/>
      <c r="BX1092" s="160"/>
      <c r="BY1092" s="160"/>
      <c r="BZ1092" s="160"/>
      <c r="CA1092" s="160"/>
      <c r="CB1092" s="160"/>
      <c r="CC1092" s="160"/>
      <c r="CD1092" s="160"/>
      <c r="CE1092" s="160"/>
      <c r="CF1092" s="160"/>
      <c r="CG1092" s="160"/>
      <c r="CH1092" s="160"/>
      <c r="CI1092" s="160"/>
      <c r="CJ1092" s="160"/>
      <c r="CK1092" s="160"/>
      <c r="CL1092" s="160"/>
    </row>
    <row r="1093">
      <c r="A1093" s="171"/>
      <c r="F1093" s="11"/>
      <c r="G1093" s="11"/>
      <c r="L1093" s="171"/>
      <c r="M1093" s="171"/>
      <c r="O1093" s="160"/>
      <c r="P1093" s="160"/>
      <c r="Q1093" s="160"/>
      <c r="R1093" s="160"/>
      <c r="S1093" s="160"/>
      <c r="T1093" s="207"/>
      <c r="U1093" s="160"/>
      <c r="V1093" s="160"/>
      <c r="W1093" s="160"/>
      <c r="X1093" s="160"/>
      <c r="Y1093" s="160"/>
      <c r="Z1093" s="160"/>
      <c r="AA1093" s="160"/>
      <c r="AB1093" s="160"/>
      <c r="AC1093" s="160"/>
      <c r="AD1093" s="160"/>
      <c r="AE1093" s="160"/>
      <c r="AF1093" s="160"/>
      <c r="AG1093" s="160"/>
      <c r="AH1093" s="160"/>
      <c r="AI1093" s="160"/>
      <c r="AJ1093" s="160"/>
      <c r="AK1093" s="160"/>
      <c r="AL1093" s="160"/>
      <c r="AM1093" s="160"/>
      <c r="AN1093" s="164"/>
      <c r="AO1093" s="160"/>
      <c r="AP1093" s="160"/>
      <c r="AQ1093" s="160"/>
      <c r="AR1093" s="160"/>
      <c r="AS1093" s="160"/>
      <c r="AT1093" s="160"/>
      <c r="AU1093" s="160"/>
      <c r="AV1093" s="160"/>
      <c r="AW1093" s="160"/>
      <c r="AX1093" s="160"/>
      <c r="AY1093" s="160"/>
      <c r="AZ1093" s="160"/>
      <c r="BA1093" s="160"/>
      <c r="BB1093" s="160"/>
      <c r="BC1093" s="160"/>
      <c r="BD1093" s="160"/>
      <c r="BE1093" s="160"/>
      <c r="BF1093" s="160"/>
      <c r="BG1093" s="160"/>
      <c r="BH1093" s="160"/>
      <c r="BI1093" s="160"/>
      <c r="BJ1093" s="160"/>
      <c r="BK1093" s="160"/>
      <c r="BL1093" s="160"/>
      <c r="BM1093" s="160"/>
      <c r="BN1093" s="160"/>
      <c r="BO1093" s="160"/>
      <c r="BP1093" s="160"/>
      <c r="BQ1093" s="160"/>
      <c r="BR1093" s="160"/>
      <c r="BS1093" s="160"/>
      <c r="BT1093" s="160"/>
      <c r="BU1093" s="160"/>
      <c r="BV1093" s="160"/>
      <c r="BW1093" s="160"/>
      <c r="BX1093" s="160"/>
      <c r="BY1093" s="160"/>
      <c r="BZ1093" s="160"/>
      <c r="CA1093" s="160"/>
      <c r="CB1093" s="160"/>
      <c r="CC1093" s="160"/>
      <c r="CD1093" s="160"/>
      <c r="CE1093" s="160"/>
      <c r="CF1093" s="160"/>
      <c r="CG1093" s="160"/>
      <c r="CH1093" s="160"/>
      <c r="CI1093" s="160"/>
      <c r="CJ1093" s="160"/>
      <c r="CK1093" s="160"/>
      <c r="CL1093" s="160"/>
    </row>
    <row r="1094">
      <c r="A1094" s="171"/>
      <c r="F1094" s="11"/>
      <c r="G1094" s="11"/>
      <c r="L1094" s="171"/>
      <c r="M1094" s="171"/>
      <c r="O1094" s="160"/>
      <c r="P1094" s="160"/>
      <c r="Q1094" s="160"/>
      <c r="R1094" s="160"/>
      <c r="S1094" s="160"/>
      <c r="T1094" s="207"/>
      <c r="U1094" s="160"/>
      <c r="V1094" s="160"/>
      <c r="W1094" s="160"/>
      <c r="X1094" s="160"/>
      <c r="Y1094" s="160"/>
      <c r="Z1094" s="160"/>
      <c r="AA1094" s="160"/>
      <c r="AB1094" s="160"/>
      <c r="AC1094" s="160"/>
      <c r="AD1094" s="160"/>
      <c r="AE1094" s="160"/>
      <c r="AF1094" s="160"/>
      <c r="AG1094" s="160"/>
      <c r="AH1094" s="160"/>
      <c r="AI1094" s="160"/>
      <c r="AJ1094" s="160"/>
      <c r="AK1094" s="160"/>
      <c r="AL1094" s="160"/>
      <c r="AM1094" s="160"/>
      <c r="AN1094" s="164"/>
      <c r="AO1094" s="160"/>
      <c r="AP1094" s="160"/>
      <c r="AQ1094" s="160"/>
      <c r="AR1094" s="160"/>
      <c r="AS1094" s="160"/>
      <c r="AT1094" s="160"/>
      <c r="AU1094" s="160"/>
      <c r="AV1094" s="160"/>
      <c r="AW1094" s="160"/>
      <c r="AX1094" s="160"/>
      <c r="AY1094" s="160"/>
      <c r="AZ1094" s="160"/>
      <c r="BA1094" s="160"/>
      <c r="BB1094" s="160"/>
      <c r="BC1094" s="160"/>
      <c r="BD1094" s="160"/>
      <c r="BE1094" s="160"/>
      <c r="BF1094" s="160"/>
      <c r="BG1094" s="160"/>
      <c r="BH1094" s="160"/>
      <c r="BI1094" s="160"/>
      <c r="BJ1094" s="160"/>
      <c r="BK1094" s="160"/>
      <c r="BL1094" s="160"/>
      <c r="BM1094" s="160"/>
      <c r="BN1094" s="160"/>
      <c r="BO1094" s="160"/>
      <c r="BP1094" s="160"/>
      <c r="BQ1094" s="160"/>
      <c r="BR1094" s="160"/>
      <c r="BS1094" s="160"/>
      <c r="BT1094" s="160"/>
      <c r="BU1094" s="160"/>
      <c r="BV1094" s="160"/>
      <c r="BW1094" s="160"/>
      <c r="BX1094" s="160"/>
      <c r="BY1094" s="160"/>
      <c r="BZ1094" s="160"/>
      <c r="CA1094" s="160"/>
      <c r="CB1094" s="160"/>
      <c r="CC1094" s="160"/>
      <c r="CD1094" s="160"/>
      <c r="CE1094" s="160"/>
      <c r="CF1094" s="160"/>
      <c r="CG1094" s="160"/>
      <c r="CH1094" s="160"/>
      <c r="CI1094" s="160"/>
      <c r="CJ1094" s="160"/>
      <c r="CK1094" s="160"/>
      <c r="CL1094" s="160"/>
    </row>
    <row r="1095">
      <c r="A1095" s="171"/>
      <c r="F1095" s="11"/>
      <c r="G1095" s="11"/>
      <c r="L1095" s="171"/>
      <c r="M1095" s="171"/>
      <c r="O1095" s="160"/>
      <c r="P1095" s="160"/>
      <c r="Q1095" s="160"/>
      <c r="R1095" s="160"/>
      <c r="S1095" s="160"/>
      <c r="T1095" s="207"/>
      <c r="U1095" s="160"/>
      <c r="V1095" s="160"/>
      <c r="W1095" s="160"/>
      <c r="X1095" s="160"/>
      <c r="Y1095" s="160"/>
      <c r="Z1095" s="160"/>
      <c r="AA1095" s="160"/>
      <c r="AB1095" s="160"/>
      <c r="AC1095" s="160"/>
      <c r="AD1095" s="160"/>
      <c r="AE1095" s="160"/>
      <c r="AF1095" s="160"/>
      <c r="AG1095" s="160"/>
      <c r="AH1095" s="160"/>
      <c r="AI1095" s="160"/>
      <c r="AJ1095" s="160"/>
      <c r="AK1095" s="160"/>
      <c r="AL1095" s="160"/>
      <c r="AM1095" s="160"/>
      <c r="AN1095" s="164"/>
      <c r="AO1095" s="160"/>
      <c r="AP1095" s="160"/>
      <c r="AQ1095" s="160"/>
      <c r="AR1095" s="160"/>
      <c r="AS1095" s="160"/>
      <c r="AT1095" s="160"/>
      <c r="AU1095" s="160"/>
      <c r="AV1095" s="160"/>
      <c r="AW1095" s="160"/>
      <c r="AX1095" s="160"/>
      <c r="AY1095" s="160"/>
      <c r="AZ1095" s="160"/>
      <c r="BA1095" s="160"/>
      <c r="BB1095" s="160"/>
      <c r="BC1095" s="160"/>
      <c r="BD1095" s="160"/>
      <c r="BE1095" s="160"/>
      <c r="BF1095" s="160"/>
      <c r="BG1095" s="160"/>
      <c r="BH1095" s="160"/>
      <c r="BI1095" s="160"/>
      <c r="BJ1095" s="160"/>
      <c r="BK1095" s="160"/>
      <c r="BL1095" s="160"/>
      <c r="BM1095" s="160"/>
      <c r="BN1095" s="160"/>
      <c r="BO1095" s="160"/>
      <c r="BP1095" s="160"/>
      <c r="BQ1095" s="160"/>
      <c r="BR1095" s="160"/>
      <c r="BS1095" s="160"/>
      <c r="BT1095" s="160"/>
      <c r="BU1095" s="160"/>
      <c r="BV1095" s="160"/>
      <c r="BW1095" s="160"/>
      <c r="BX1095" s="160"/>
      <c r="BY1095" s="160"/>
      <c r="BZ1095" s="160"/>
      <c r="CA1095" s="160"/>
      <c r="CB1095" s="160"/>
      <c r="CC1095" s="160"/>
      <c r="CD1095" s="160"/>
      <c r="CE1095" s="160"/>
      <c r="CF1095" s="160"/>
      <c r="CG1095" s="160"/>
      <c r="CH1095" s="160"/>
      <c r="CI1095" s="160"/>
      <c r="CJ1095" s="160"/>
      <c r="CK1095" s="160"/>
      <c r="CL1095" s="160"/>
    </row>
    <row r="1096">
      <c r="A1096" s="171"/>
      <c r="F1096" s="11"/>
      <c r="G1096" s="11"/>
      <c r="L1096" s="171"/>
      <c r="M1096" s="171"/>
      <c r="O1096" s="160"/>
      <c r="P1096" s="160"/>
      <c r="Q1096" s="160"/>
      <c r="R1096" s="160"/>
      <c r="S1096" s="160"/>
      <c r="T1096" s="207"/>
      <c r="U1096" s="160"/>
      <c r="V1096" s="160"/>
      <c r="W1096" s="160"/>
      <c r="X1096" s="160"/>
      <c r="Y1096" s="160"/>
      <c r="Z1096" s="160"/>
      <c r="AA1096" s="160"/>
      <c r="AB1096" s="160"/>
      <c r="AC1096" s="160"/>
      <c r="AD1096" s="160"/>
      <c r="AE1096" s="160"/>
      <c r="AF1096" s="160"/>
      <c r="AG1096" s="160"/>
      <c r="AH1096" s="160"/>
      <c r="AI1096" s="160"/>
      <c r="AJ1096" s="160"/>
      <c r="AK1096" s="160"/>
      <c r="AL1096" s="160"/>
      <c r="AM1096" s="160"/>
      <c r="AN1096" s="164"/>
      <c r="AO1096" s="160"/>
      <c r="AP1096" s="160"/>
      <c r="AQ1096" s="160"/>
      <c r="AR1096" s="160"/>
      <c r="AS1096" s="160"/>
      <c r="AT1096" s="160"/>
      <c r="AU1096" s="160"/>
      <c r="AV1096" s="160"/>
      <c r="AW1096" s="160"/>
      <c r="AX1096" s="160"/>
      <c r="AY1096" s="160"/>
      <c r="AZ1096" s="160"/>
      <c r="BA1096" s="160"/>
      <c r="BB1096" s="160"/>
      <c r="BC1096" s="160"/>
      <c r="BD1096" s="160"/>
      <c r="BE1096" s="160"/>
      <c r="BF1096" s="160"/>
      <c r="BG1096" s="160"/>
      <c r="BH1096" s="160"/>
      <c r="BI1096" s="160"/>
      <c r="BJ1096" s="160"/>
      <c r="BK1096" s="160"/>
      <c r="BL1096" s="160"/>
      <c r="BM1096" s="160"/>
      <c r="BN1096" s="160"/>
      <c r="BO1096" s="160"/>
      <c r="BP1096" s="160"/>
      <c r="BQ1096" s="160"/>
      <c r="BR1096" s="160"/>
      <c r="BS1096" s="160"/>
      <c r="BT1096" s="160"/>
      <c r="BU1096" s="160"/>
      <c r="BV1096" s="160"/>
      <c r="BW1096" s="160"/>
      <c r="BX1096" s="160"/>
      <c r="BY1096" s="160"/>
      <c r="BZ1096" s="160"/>
      <c r="CA1096" s="160"/>
      <c r="CB1096" s="160"/>
      <c r="CC1096" s="160"/>
      <c r="CD1096" s="160"/>
      <c r="CE1096" s="160"/>
      <c r="CF1096" s="160"/>
      <c r="CG1096" s="160"/>
      <c r="CH1096" s="160"/>
      <c r="CI1096" s="160"/>
      <c r="CJ1096" s="160"/>
      <c r="CK1096" s="160"/>
      <c r="CL1096" s="160"/>
    </row>
    <row r="1097">
      <c r="A1097" s="171"/>
      <c r="F1097" s="11"/>
      <c r="G1097" s="11"/>
      <c r="L1097" s="171"/>
      <c r="M1097" s="171"/>
      <c r="O1097" s="160"/>
      <c r="P1097" s="160"/>
      <c r="Q1097" s="160"/>
      <c r="R1097" s="160"/>
      <c r="S1097" s="160"/>
      <c r="T1097" s="207"/>
      <c r="U1097" s="160"/>
      <c r="V1097" s="160"/>
      <c r="W1097" s="160"/>
      <c r="X1097" s="160"/>
      <c r="Y1097" s="160"/>
      <c r="Z1097" s="160"/>
      <c r="AA1097" s="160"/>
      <c r="AB1097" s="160"/>
      <c r="AC1097" s="160"/>
      <c r="AD1097" s="160"/>
      <c r="AE1097" s="160"/>
      <c r="AF1097" s="160"/>
      <c r="AG1097" s="160"/>
      <c r="AH1097" s="160"/>
      <c r="AI1097" s="160"/>
      <c r="AJ1097" s="160"/>
      <c r="AK1097" s="160"/>
      <c r="AL1097" s="160"/>
      <c r="AM1097" s="160"/>
      <c r="AN1097" s="164"/>
      <c r="AO1097" s="160"/>
      <c r="AP1097" s="160"/>
      <c r="AQ1097" s="160"/>
      <c r="AR1097" s="160"/>
      <c r="AS1097" s="160"/>
      <c r="AT1097" s="160"/>
      <c r="AU1097" s="160"/>
      <c r="AV1097" s="160"/>
      <c r="AW1097" s="160"/>
      <c r="AX1097" s="160"/>
      <c r="AY1097" s="160"/>
      <c r="AZ1097" s="160"/>
      <c r="BA1097" s="160"/>
      <c r="BB1097" s="160"/>
      <c r="BC1097" s="160"/>
      <c r="BD1097" s="160"/>
      <c r="BE1097" s="160"/>
      <c r="BF1097" s="160"/>
      <c r="BG1097" s="160"/>
      <c r="BH1097" s="160"/>
      <c r="BI1097" s="160"/>
      <c r="BJ1097" s="160"/>
      <c r="BK1097" s="160"/>
      <c r="BL1097" s="160"/>
      <c r="BM1097" s="160"/>
      <c r="BN1097" s="160"/>
      <c r="BO1097" s="160"/>
      <c r="BP1097" s="160"/>
      <c r="BQ1097" s="160"/>
      <c r="BR1097" s="160"/>
      <c r="BS1097" s="160"/>
      <c r="BT1097" s="160"/>
      <c r="BU1097" s="160"/>
      <c r="BV1097" s="160"/>
      <c r="BW1097" s="160"/>
      <c r="BX1097" s="160"/>
      <c r="BY1097" s="160"/>
      <c r="BZ1097" s="160"/>
      <c r="CA1097" s="160"/>
      <c r="CB1097" s="160"/>
      <c r="CC1097" s="160"/>
      <c r="CD1097" s="160"/>
      <c r="CE1097" s="160"/>
      <c r="CF1097" s="160"/>
      <c r="CG1097" s="160"/>
      <c r="CH1097" s="160"/>
      <c r="CI1097" s="160"/>
      <c r="CJ1097" s="160"/>
      <c r="CK1097" s="160"/>
      <c r="CL1097" s="160"/>
    </row>
    <row r="1098">
      <c r="A1098" s="171"/>
      <c r="F1098" s="11"/>
      <c r="G1098" s="11"/>
      <c r="L1098" s="171"/>
      <c r="M1098" s="171"/>
      <c r="O1098" s="160"/>
      <c r="P1098" s="160"/>
      <c r="Q1098" s="160"/>
      <c r="R1098" s="160"/>
      <c r="S1098" s="160"/>
      <c r="T1098" s="207"/>
      <c r="U1098" s="160"/>
      <c r="V1098" s="160"/>
      <c r="W1098" s="160"/>
      <c r="X1098" s="160"/>
      <c r="Y1098" s="160"/>
      <c r="Z1098" s="160"/>
      <c r="AA1098" s="160"/>
      <c r="AB1098" s="160"/>
      <c r="AC1098" s="160"/>
      <c r="AD1098" s="160"/>
      <c r="AE1098" s="160"/>
      <c r="AF1098" s="160"/>
      <c r="AG1098" s="160"/>
      <c r="AH1098" s="160"/>
      <c r="AI1098" s="160"/>
      <c r="AJ1098" s="160"/>
      <c r="AK1098" s="160"/>
      <c r="AL1098" s="160"/>
      <c r="AM1098" s="160"/>
      <c r="AN1098" s="164"/>
      <c r="AO1098" s="160"/>
      <c r="AP1098" s="160"/>
      <c r="AQ1098" s="160"/>
      <c r="AR1098" s="160"/>
      <c r="AS1098" s="160"/>
      <c r="AT1098" s="160"/>
      <c r="AU1098" s="160"/>
      <c r="AV1098" s="160"/>
      <c r="AW1098" s="160"/>
      <c r="AX1098" s="160"/>
      <c r="AY1098" s="160"/>
      <c r="AZ1098" s="160"/>
      <c r="BA1098" s="160"/>
      <c r="BB1098" s="160"/>
      <c r="BC1098" s="160"/>
      <c r="BD1098" s="160"/>
      <c r="BE1098" s="160"/>
      <c r="BF1098" s="160"/>
      <c r="BG1098" s="160"/>
      <c r="BH1098" s="160"/>
      <c r="BI1098" s="160"/>
      <c r="BJ1098" s="160"/>
      <c r="BK1098" s="160"/>
      <c r="BL1098" s="160"/>
      <c r="BM1098" s="160"/>
      <c r="BN1098" s="160"/>
      <c r="BO1098" s="160"/>
      <c r="BP1098" s="160"/>
      <c r="BQ1098" s="160"/>
      <c r="BR1098" s="160"/>
      <c r="BS1098" s="160"/>
      <c r="BT1098" s="160"/>
      <c r="BU1098" s="160"/>
      <c r="BV1098" s="160"/>
      <c r="BW1098" s="160"/>
      <c r="BX1098" s="160"/>
      <c r="BY1098" s="160"/>
      <c r="BZ1098" s="160"/>
      <c r="CA1098" s="160"/>
      <c r="CB1098" s="160"/>
      <c r="CC1098" s="160"/>
      <c r="CD1098" s="160"/>
      <c r="CE1098" s="160"/>
      <c r="CF1098" s="160"/>
      <c r="CG1098" s="160"/>
      <c r="CH1098" s="160"/>
      <c r="CI1098" s="160"/>
      <c r="CJ1098" s="160"/>
      <c r="CK1098" s="160"/>
      <c r="CL1098" s="160"/>
    </row>
    <row r="1099">
      <c r="A1099" s="171"/>
      <c r="F1099" s="11"/>
      <c r="G1099" s="11"/>
      <c r="L1099" s="171"/>
      <c r="M1099" s="171"/>
      <c r="O1099" s="160"/>
      <c r="P1099" s="160"/>
      <c r="Q1099" s="160"/>
      <c r="R1099" s="160"/>
      <c r="S1099" s="160"/>
      <c r="T1099" s="207"/>
      <c r="U1099" s="160"/>
      <c r="V1099" s="160"/>
      <c r="W1099" s="160"/>
      <c r="X1099" s="160"/>
      <c r="Y1099" s="160"/>
      <c r="Z1099" s="160"/>
      <c r="AA1099" s="160"/>
      <c r="AB1099" s="160"/>
      <c r="AC1099" s="160"/>
      <c r="AD1099" s="160"/>
      <c r="AE1099" s="160"/>
      <c r="AF1099" s="160"/>
      <c r="AG1099" s="160"/>
      <c r="AH1099" s="160"/>
      <c r="AI1099" s="160"/>
      <c r="AJ1099" s="160"/>
      <c r="AK1099" s="160"/>
      <c r="AL1099" s="160"/>
      <c r="AM1099" s="160"/>
      <c r="AN1099" s="164"/>
      <c r="AO1099" s="160"/>
      <c r="AP1099" s="160"/>
      <c r="AQ1099" s="160"/>
      <c r="AR1099" s="160"/>
      <c r="AS1099" s="160"/>
      <c r="AT1099" s="160"/>
      <c r="AU1099" s="160"/>
      <c r="AV1099" s="160"/>
      <c r="AW1099" s="160"/>
      <c r="AX1099" s="160"/>
      <c r="AY1099" s="160"/>
      <c r="AZ1099" s="160"/>
      <c r="BA1099" s="160"/>
      <c r="BB1099" s="160"/>
      <c r="BC1099" s="160"/>
      <c r="BD1099" s="160"/>
      <c r="BE1099" s="160"/>
      <c r="BF1099" s="160"/>
      <c r="BG1099" s="160"/>
      <c r="BH1099" s="160"/>
      <c r="BI1099" s="160"/>
      <c r="BJ1099" s="160"/>
      <c r="BK1099" s="160"/>
      <c r="BL1099" s="160"/>
      <c r="BM1099" s="160"/>
      <c r="BN1099" s="160"/>
      <c r="BO1099" s="160"/>
      <c r="BP1099" s="160"/>
      <c r="BQ1099" s="160"/>
      <c r="BR1099" s="160"/>
      <c r="BS1099" s="160"/>
      <c r="BT1099" s="160"/>
      <c r="BU1099" s="160"/>
      <c r="BV1099" s="160"/>
      <c r="BW1099" s="160"/>
      <c r="BX1099" s="160"/>
      <c r="BY1099" s="160"/>
      <c r="BZ1099" s="160"/>
      <c r="CA1099" s="160"/>
      <c r="CB1099" s="160"/>
      <c r="CC1099" s="160"/>
      <c r="CD1099" s="160"/>
      <c r="CE1099" s="160"/>
      <c r="CF1099" s="160"/>
      <c r="CG1099" s="160"/>
      <c r="CH1099" s="160"/>
      <c r="CI1099" s="160"/>
      <c r="CJ1099" s="160"/>
      <c r="CK1099" s="160"/>
      <c r="CL1099" s="160"/>
    </row>
    <row r="1100">
      <c r="A1100" s="171"/>
      <c r="F1100" s="11"/>
      <c r="G1100" s="11"/>
      <c r="L1100" s="171"/>
      <c r="M1100" s="171"/>
      <c r="O1100" s="160"/>
      <c r="P1100" s="160"/>
      <c r="Q1100" s="160"/>
      <c r="R1100" s="160"/>
      <c r="S1100" s="160"/>
      <c r="T1100" s="207"/>
      <c r="U1100" s="160"/>
      <c r="V1100" s="160"/>
      <c r="W1100" s="160"/>
      <c r="X1100" s="160"/>
      <c r="Y1100" s="160"/>
      <c r="Z1100" s="160"/>
      <c r="AA1100" s="160"/>
      <c r="AB1100" s="160"/>
      <c r="AC1100" s="160"/>
      <c r="AD1100" s="160"/>
      <c r="AE1100" s="160"/>
      <c r="AF1100" s="160"/>
      <c r="AG1100" s="160"/>
      <c r="AH1100" s="160"/>
      <c r="AI1100" s="160"/>
      <c r="AJ1100" s="160"/>
      <c r="AK1100" s="160"/>
      <c r="AL1100" s="160"/>
      <c r="AM1100" s="160"/>
      <c r="AN1100" s="164"/>
      <c r="AO1100" s="160"/>
      <c r="AP1100" s="160"/>
      <c r="AQ1100" s="160"/>
      <c r="AR1100" s="160"/>
      <c r="AS1100" s="160"/>
      <c r="AT1100" s="160"/>
      <c r="AU1100" s="160"/>
      <c r="AV1100" s="160"/>
      <c r="AW1100" s="160"/>
      <c r="AX1100" s="160"/>
      <c r="AY1100" s="160"/>
      <c r="AZ1100" s="160"/>
      <c r="BA1100" s="160"/>
      <c r="BB1100" s="160"/>
      <c r="BC1100" s="160"/>
      <c r="BD1100" s="160"/>
      <c r="BE1100" s="160"/>
      <c r="BF1100" s="160"/>
      <c r="BG1100" s="160"/>
      <c r="BH1100" s="160"/>
      <c r="BI1100" s="160"/>
      <c r="BJ1100" s="160"/>
      <c r="BK1100" s="160"/>
      <c r="BL1100" s="160"/>
      <c r="BM1100" s="160"/>
      <c r="BN1100" s="160"/>
      <c r="BO1100" s="160"/>
      <c r="BP1100" s="160"/>
      <c r="BQ1100" s="160"/>
      <c r="BR1100" s="160"/>
      <c r="BS1100" s="160"/>
      <c r="BT1100" s="160"/>
      <c r="BU1100" s="160"/>
      <c r="BV1100" s="160"/>
      <c r="BW1100" s="160"/>
      <c r="BX1100" s="160"/>
      <c r="BY1100" s="160"/>
      <c r="BZ1100" s="160"/>
      <c r="CA1100" s="160"/>
      <c r="CB1100" s="160"/>
      <c r="CC1100" s="160"/>
      <c r="CD1100" s="160"/>
      <c r="CE1100" s="160"/>
      <c r="CF1100" s="160"/>
      <c r="CG1100" s="160"/>
      <c r="CH1100" s="160"/>
      <c r="CI1100" s="160"/>
      <c r="CJ1100" s="160"/>
      <c r="CK1100" s="160"/>
      <c r="CL1100" s="160"/>
    </row>
    <row r="1101">
      <c r="A1101" s="171"/>
      <c r="F1101" s="11"/>
      <c r="G1101" s="11"/>
      <c r="L1101" s="171"/>
      <c r="M1101" s="171"/>
      <c r="O1101" s="160"/>
      <c r="P1101" s="160"/>
      <c r="Q1101" s="160"/>
      <c r="R1101" s="160"/>
      <c r="S1101" s="160"/>
      <c r="T1101" s="207"/>
      <c r="U1101" s="160"/>
      <c r="V1101" s="160"/>
      <c r="W1101" s="160"/>
      <c r="X1101" s="160"/>
      <c r="Y1101" s="160"/>
      <c r="Z1101" s="160"/>
      <c r="AA1101" s="160"/>
      <c r="AB1101" s="160"/>
      <c r="AC1101" s="160"/>
      <c r="AD1101" s="160"/>
      <c r="AE1101" s="160"/>
      <c r="AF1101" s="160"/>
      <c r="AG1101" s="160"/>
      <c r="AH1101" s="160"/>
      <c r="AI1101" s="160"/>
      <c r="AJ1101" s="160"/>
      <c r="AK1101" s="160"/>
      <c r="AL1101" s="160"/>
      <c r="AM1101" s="160"/>
      <c r="AN1101" s="164"/>
      <c r="AO1101" s="160"/>
      <c r="AP1101" s="160"/>
      <c r="AQ1101" s="160"/>
      <c r="AR1101" s="160"/>
      <c r="AS1101" s="160"/>
      <c r="AT1101" s="160"/>
      <c r="AU1101" s="160"/>
      <c r="AV1101" s="160"/>
      <c r="AW1101" s="160"/>
      <c r="AX1101" s="160"/>
      <c r="AY1101" s="160"/>
      <c r="AZ1101" s="160"/>
      <c r="BA1101" s="160"/>
      <c r="BB1101" s="160"/>
      <c r="BC1101" s="160"/>
      <c r="BD1101" s="160"/>
      <c r="BE1101" s="160"/>
      <c r="BF1101" s="160"/>
      <c r="BG1101" s="160"/>
      <c r="BH1101" s="160"/>
      <c r="BI1101" s="160"/>
      <c r="BJ1101" s="160"/>
      <c r="BK1101" s="160"/>
      <c r="BL1101" s="160"/>
      <c r="BM1101" s="160"/>
      <c r="BN1101" s="160"/>
      <c r="BO1101" s="160"/>
      <c r="BP1101" s="160"/>
      <c r="BQ1101" s="160"/>
      <c r="BR1101" s="160"/>
      <c r="BS1101" s="160"/>
      <c r="BT1101" s="160"/>
      <c r="BU1101" s="160"/>
      <c r="BV1101" s="160"/>
      <c r="BW1101" s="160"/>
      <c r="BX1101" s="160"/>
      <c r="BY1101" s="160"/>
      <c r="BZ1101" s="160"/>
      <c r="CA1101" s="160"/>
      <c r="CB1101" s="160"/>
      <c r="CC1101" s="160"/>
      <c r="CD1101" s="160"/>
      <c r="CE1101" s="160"/>
      <c r="CF1101" s="160"/>
      <c r="CG1101" s="160"/>
      <c r="CH1101" s="160"/>
      <c r="CI1101" s="160"/>
      <c r="CJ1101" s="160"/>
      <c r="CK1101" s="160"/>
      <c r="CL1101" s="160"/>
    </row>
    <row r="1102">
      <c r="A1102" s="171"/>
      <c r="F1102" s="11"/>
      <c r="G1102" s="11"/>
      <c r="L1102" s="171"/>
      <c r="M1102" s="171"/>
      <c r="O1102" s="160"/>
      <c r="P1102" s="160"/>
      <c r="Q1102" s="160"/>
      <c r="R1102" s="160"/>
      <c r="S1102" s="160"/>
      <c r="T1102" s="207"/>
      <c r="U1102" s="160"/>
      <c r="V1102" s="160"/>
      <c r="W1102" s="160"/>
      <c r="X1102" s="160"/>
      <c r="Y1102" s="160"/>
      <c r="Z1102" s="160"/>
      <c r="AA1102" s="160"/>
      <c r="AB1102" s="160"/>
      <c r="AC1102" s="160"/>
      <c r="AD1102" s="160"/>
      <c r="AE1102" s="160"/>
      <c r="AF1102" s="160"/>
      <c r="AG1102" s="160"/>
      <c r="AH1102" s="160"/>
      <c r="AI1102" s="160"/>
      <c r="AJ1102" s="160"/>
      <c r="AK1102" s="160"/>
      <c r="AL1102" s="160"/>
      <c r="AM1102" s="160"/>
      <c r="AN1102" s="164"/>
      <c r="AO1102" s="160"/>
      <c r="AP1102" s="160"/>
      <c r="AQ1102" s="160"/>
      <c r="AR1102" s="160"/>
      <c r="AS1102" s="160"/>
      <c r="AT1102" s="160"/>
      <c r="AU1102" s="160"/>
      <c r="AV1102" s="160"/>
      <c r="AW1102" s="160"/>
      <c r="AX1102" s="160"/>
      <c r="AY1102" s="160"/>
      <c r="AZ1102" s="160"/>
      <c r="BA1102" s="160"/>
      <c r="BB1102" s="160"/>
      <c r="BC1102" s="160"/>
      <c r="BD1102" s="160"/>
      <c r="BE1102" s="160"/>
      <c r="BF1102" s="160"/>
      <c r="BG1102" s="160"/>
      <c r="BH1102" s="160"/>
      <c r="BI1102" s="160"/>
      <c r="BJ1102" s="160"/>
      <c r="BK1102" s="160"/>
      <c r="BL1102" s="160"/>
      <c r="BM1102" s="160"/>
      <c r="BN1102" s="160"/>
      <c r="BO1102" s="160"/>
      <c r="BP1102" s="160"/>
      <c r="BQ1102" s="160"/>
      <c r="BR1102" s="160"/>
      <c r="BS1102" s="160"/>
      <c r="BT1102" s="160"/>
      <c r="BU1102" s="160"/>
      <c r="BV1102" s="160"/>
      <c r="BW1102" s="160"/>
      <c r="BX1102" s="160"/>
      <c r="BY1102" s="160"/>
      <c r="BZ1102" s="160"/>
      <c r="CA1102" s="160"/>
      <c r="CB1102" s="160"/>
      <c r="CC1102" s="160"/>
      <c r="CD1102" s="160"/>
      <c r="CE1102" s="160"/>
      <c r="CF1102" s="160"/>
      <c r="CG1102" s="160"/>
      <c r="CH1102" s="160"/>
      <c r="CI1102" s="160"/>
      <c r="CJ1102" s="160"/>
      <c r="CK1102" s="160"/>
      <c r="CL1102" s="160"/>
    </row>
    <row r="1103">
      <c r="A1103" s="171"/>
      <c r="F1103" s="11"/>
      <c r="G1103" s="11"/>
      <c r="L1103" s="171"/>
      <c r="M1103" s="171"/>
      <c r="O1103" s="160"/>
      <c r="P1103" s="160"/>
      <c r="Q1103" s="160"/>
      <c r="R1103" s="160"/>
      <c r="S1103" s="160"/>
      <c r="T1103" s="207"/>
      <c r="U1103" s="160"/>
      <c r="V1103" s="160"/>
      <c r="W1103" s="160"/>
      <c r="X1103" s="160"/>
      <c r="Y1103" s="160"/>
      <c r="Z1103" s="160"/>
      <c r="AA1103" s="160"/>
      <c r="AB1103" s="160"/>
      <c r="AC1103" s="160"/>
      <c r="AD1103" s="160"/>
      <c r="AE1103" s="160"/>
      <c r="AF1103" s="160"/>
      <c r="AG1103" s="160"/>
      <c r="AH1103" s="160"/>
      <c r="AI1103" s="160"/>
      <c r="AJ1103" s="160"/>
      <c r="AK1103" s="160"/>
      <c r="AL1103" s="160"/>
      <c r="AM1103" s="160"/>
      <c r="AN1103" s="164"/>
      <c r="AO1103" s="160"/>
      <c r="AP1103" s="160"/>
      <c r="AQ1103" s="160"/>
      <c r="AR1103" s="160"/>
      <c r="AS1103" s="160"/>
      <c r="AT1103" s="160"/>
      <c r="AU1103" s="160"/>
      <c r="AV1103" s="160"/>
      <c r="AW1103" s="160"/>
      <c r="AX1103" s="160"/>
      <c r="AY1103" s="160"/>
      <c r="AZ1103" s="160"/>
      <c r="BA1103" s="160"/>
      <c r="BB1103" s="160"/>
      <c r="BC1103" s="160"/>
      <c r="BD1103" s="160"/>
      <c r="BE1103" s="160"/>
      <c r="BF1103" s="160"/>
      <c r="BG1103" s="160"/>
      <c r="BH1103" s="160"/>
      <c r="BI1103" s="160"/>
      <c r="BJ1103" s="160"/>
      <c r="BK1103" s="160"/>
      <c r="BL1103" s="160"/>
      <c r="BM1103" s="160"/>
      <c r="BN1103" s="160"/>
      <c r="BO1103" s="160"/>
      <c r="BP1103" s="160"/>
      <c r="BQ1103" s="160"/>
      <c r="BR1103" s="160"/>
      <c r="BS1103" s="160"/>
      <c r="BT1103" s="160"/>
      <c r="BU1103" s="160"/>
      <c r="BV1103" s="160"/>
      <c r="BW1103" s="160"/>
      <c r="BX1103" s="160"/>
      <c r="BY1103" s="160"/>
      <c r="BZ1103" s="160"/>
      <c r="CA1103" s="160"/>
      <c r="CB1103" s="160"/>
      <c r="CC1103" s="160"/>
      <c r="CD1103" s="160"/>
      <c r="CE1103" s="160"/>
      <c r="CF1103" s="160"/>
      <c r="CG1103" s="160"/>
      <c r="CH1103" s="160"/>
      <c r="CI1103" s="160"/>
      <c r="CJ1103" s="160"/>
      <c r="CK1103" s="160"/>
      <c r="CL1103" s="160"/>
    </row>
    <row r="1104">
      <c r="A1104" s="171"/>
      <c r="F1104" s="11"/>
      <c r="G1104" s="11"/>
      <c r="L1104" s="171"/>
      <c r="M1104" s="171"/>
      <c r="O1104" s="160"/>
      <c r="P1104" s="160"/>
      <c r="Q1104" s="160"/>
      <c r="R1104" s="160"/>
      <c r="S1104" s="160"/>
      <c r="T1104" s="207"/>
      <c r="U1104" s="160"/>
      <c r="V1104" s="160"/>
      <c r="W1104" s="160"/>
      <c r="X1104" s="160"/>
      <c r="Y1104" s="160"/>
      <c r="Z1104" s="160"/>
      <c r="AA1104" s="160"/>
      <c r="AB1104" s="160"/>
      <c r="AC1104" s="160"/>
      <c r="AD1104" s="160"/>
      <c r="AE1104" s="160"/>
      <c r="AF1104" s="160"/>
      <c r="AG1104" s="160"/>
      <c r="AH1104" s="160"/>
      <c r="AI1104" s="160"/>
      <c r="AJ1104" s="160"/>
      <c r="AK1104" s="160"/>
      <c r="AL1104" s="160"/>
      <c r="AM1104" s="160"/>
      <c r="AN1104" s="164"/>
      <c r="AO1104" s="160"/>
      <c r="AP1104" s="160"/>
      <c r="AQ1104" s="160"/>
      <c r="AR1104" s="160"/>
      <c r="AS1104" s="160"/>
      <c r="AT1104" s="160"/>
      <c r="AU1104" s="160"/>
      <c r="AV1104" s="160"/>
      <c r="AW1104" s="160"/>
      <c r="AX1104" s="160"/>
      <c r="AY1104" s="160"/>
      <c r="AZ1104" s="160"/>
      <c r="BA1104" s="160"/>
      <c r="BB1104" s="160"/>
      <c r="BC1104" s="160"/>
      <c r="BD1104" s="160"/>
      <c r="BE1104" s="160"/>
      <c r="BF1104" s="160"/>
      <c r="BG1104" s="160"/>
      <c r="BH1104" s="160"/>
      <c r="BI1104" s="160"/>
      <c r="BJ1104" s="160"/>
      <c r="BK1104" s="160"/>
      <c r="BL1104" s="160"/>
      <c r="BM1104" s="160"/>
      <c r="BN1104" s="160"/>
      <c r="BO1104" s="160"/>
      <c r="BP1104" s="160"/>
      <c r="BQ1104" s="160"/>
      <c r="BR1104" s="160"/>
      <c r="BS1104" s="160"/>
      <c r="BT1104" s="160"/>
      <c r="BU1104" s="160"/>
      <c r="BV1104" s="160"/>
      <c r="BW1104" s="160"/>
      <c r="BX1104" s="160"/>
      <c r="BY1104" s="160"/>
      <c r="BZ1104" s="160"/>
      <c r="CA1104" s="160"/>
      <c r="CB1104" s="160"/>
      <c r="CC1104" s="160"/>
      <c r="CD1104" s="160"/>
      <c r="CE1104" s="160"/>
      <c r="CF1104" s="160"/>
      <c r="CG1104" s="160"/>
      <c r="CH1104" s="160"/>
      <c r="CI1104" s="160"/>
      <c r="CJ1104" s="160"/>
      <c r="CK1104" s="160"/>
      <c r="CL1104" s="160"/>
    </row>
    <row r="1105">
      <c r="A1105" s="171"/>
      <c r="F1105" s="11"/>
      <c r="G1105" s="11"/>
      <c r="L1105" s="171"/>
      <c r="M1105" s="171"/>
      <c r="O1105" s="160"/>
      <c r="P1105" s="160"/>
      <c r="Q1105" s="160"/>
      <c r="R1105" s="160"/>
      <c r="S1105" s="160"/>
      <c r="T1105" s="207"/>
      <c r="U1105" s="160"/>
      <c r="V1105" s="160"/>
      <c r="W1105" s="160"/>
      <c r="X1105" s="160"/>
      <c r="Y1105" s="160"/>
      <c r="Z1105" s="160"/>
      <c r="AA1105" s="160"/>
      <c r="AB1105" s="160"/>
      <c r="AC1105" s="160"/>
      <c r="AD1105" s="160"/>
      <c r="AE1105" s="160"/>
      <c r="AF1105" s="160"/>
      <c r="AG1105" s="160"/>
      <c r="AH1105" s="160"/>
      <c r="AI1105" s="160"/>
      <c r="AJ1105" s="160"/>
      <c r="AK1105" s="160"/>
      <c r="AL1105" s="160"/>
      <c r="AM1105" s="160"/>
      <c r="AN1105" s="164"/>
      <c r="AO1105" s="160"/>
      <c r="AP1105" s="160"/>
      <c r="AQ1105" s="160"/>
      <c r="AR1105" s="160"/>
      <c r="AS1105" s="160"/>
      <c r="AT1105" s="160"/>
      <c r="AU1105" s="160"/>
      <c r="AV1105" s="160"/>
      <c r="AW1105" s="160"/>
      <c r="AX1105" s="160"/>
      <c r="AY1105" s="160"/>
      <c r="AZ1105" s="160"/>
      <c r="BA1105" s="160"/>
      <c r="BB1105" s="160"/>
      <c r="BC1105" s="160"/>
      <c r="BD1105" s="160"/>
      <c r="BE1105" s="160"/>
      <c r="BF1105" s="160"/>
      <c r="BG1105" s="160"/>
      <c r="BH1105" s="160"/>
      <c r="BI1105" s="160"/>
      <c r="BJ1105" s="160"/>
      <c r="BK1105" s="160"/>
      <c r="BL1105" s="160"/>
      <c r="BM1105" s="160"/>
      <c r="BN1105" s="160"/>
      <c r="BO1105" s="160"/>
      <c r="BP1105" s="160"/>
      <c r="BQ1105" s="160"/>
      <c r="BR1105" s="160"/>
      <c r="BS1105" s="160"/>
      <c r="BT1105" s="160"/>
      <c r="BU1105" s="160"/>
      <c r="BV1105" s="160"/>
      <c r="BW1105" s="160"/>
      <c r="BX1105" s="160"/>
      <c r="BY1105" s="160"/>
      <c r="BZ1105" s="160"/>
      <c r="CA1105" s="160"/>
      <c r="CB1105" s="160"/>
      <c r="CC1105" s="160"/>
      <c r="CD1105" s="160"/>
      <c r="CE1105" s="160"/>
      <c r="CF1105" s="160"/>
      <c r="CG1105" s="160"/>
      <c r="CH1105" s="160"/>
      <c r="CI1105" s="160"/>
      <c r="CJ1105" s="160"/>
      <c r="CK1105" s="160"/>
      <c r="CL1105" s="160"/>
    </row>
    <row r="1106">
      <c r="A1106" s="171"/>
      <c r="F1106" s="11"/>
      <c r="G1106" s="11"/>
      <c r="L1106" s="171"/>
      <c r="M1106" s="171"/>
      <c r="O1106" s="160"/>
      <c r="P1106" s="160"/>
      <c r="Q1106" s="160"/>
      <c r="R1106" s="160"/>
      <c r="S1106" s="160"/>
      <c r="T1106" s="207"/>
      <c r="U1106" s="160"/>
      <c r="V1106" s="160"/>
      <c r="W1106" s="160"/>
      <c r="X1106" s="160"/>
      <c r="Y1106" s="160"/>
      <c r="Z1106" s="160"/>
      <c r="AA1106" s="160"/>
      <c r="AB1106" s="160"/>
      <c r="AC1106" s="160"/>
      <c r="AD1106" s="160"/>
      <c r="AE1106" s="160"/>
      <c r="AF1106" s="160"/>
      <c r="AG1106" s="160"/>
      <c r="AH1106" s="160"/>
      <c r="AI1106" s="160"/>
      <c r="AJ1106" s="160"/>
      <c r="AK1106" s="160"/>
      <c r="AL1106" s="160"/>
      <c r="AM1106" s="160"/>
      <c r="AN1106" s="164"/>
      <c r="AO1106" s="160"/>
      <c r="AP1106" s="160"/>
      <c r="AQ1106" s="160"/>
      <c r="AR1106" s="160"/>
      <c r="AS1106" s="160"/>
      <c r="AT1106" s="160"/>
      <c r="AU1106" s="160"/>
      <c r="AV1106" s="160"/>
      <c r="AW1106" s="160"/>
      <c r="AX1106" s="160"/>
      <c r="AY1106" s="160"/>
      <c r="AZ1106" s="160"/>
      <c r="BA1106" s="160"/>
      <c r="BB1106" s="160"/>
      <c r="BC1106" s="160"/>
      <c r="BD1106" s="160"/>
      <c r="BE1106" s="160"/>
      <c r="BF1106" s="160"/>
      <c r="BG1106" s="160"/>
      <c r="BH1106" s="160"/>
      <c r="BI1106" s="160"/>
      <c r="BJ1106" s="160"/>
      <c r="BK1106" s="160"/>
      <c r="BL1106" s="160"/>
      <c r="BM1106" s="160"/>
      <c r="BN1106" s="160"/>
      <c r="BO1106" s="160"/>
      <c r="BP1106" s="160"/>
      <c r="BQ1106" s="160"/>
      <c r="BR1106" s="160"/>
      <c r="BS1106" s="160"/>
      <c r="BT1106" s="160"/>
      <c r="BU1106" s="160"/>
      <c r="BV1106" s="160"/>
      <c r="BW1106" s="160"/>
      <c r="BX1106" s="160"/>
      <c r="BY1106" s="160"/>
      <c r="BZ1106" s="160"/>
      <c r="CA1106" s="160"/>
      <c r="CB1106" s="160"/>
      <c r="CC1106" s="160"/>
      <c r="CD1106" s="160"/>
      <c r="CE1106" s="160"/>
      <c r="CF1106" s="160"/>
      <c r="CG1106" s="160"/>
      <c r="CH1106" s="160"/>
      <c r="CI1106" s="160"/>
      <c r="CJ1106" s="160"/>
      <c r="CK1106" s="160"/>
      <c r="CL1106" s="160"/>
    </row>
    <row r="1107">
      <c r="A1107" s="171"/>
      <c r="F1107" s="11"/>
      <c r="G1107" s="11"/>
      <c r="L1107" s="171"/>
      <c r="M1107" s="171"/>
      <c r="O1107" s="160"/>
      <c r="P1107" s="160"/>
      <c r="Q1107" s="160"/>
      <c r="R1107" s="160"/>
      <c r="S1107" s="160"/>
      <c r="T1107" s="207"/>
      <c r="U1107" s="160"/>
      <c r="V1107" s="160"/>
      <c r="W1107" s="160"/>
      <c r="X1107" s="160"/>
      <c r="Y1107" s="160"/>
      <c r="Z1107" s="160"/>
      <c r="AA1107" s="160"/>
      <c r="AB1107" s="160"/>
      <c r="AC1107" s="160"/>
      <c r="AD1107" s="160"/>
      <c r="AE1107" s="160"/>
      <c r="AF1107" s="160"/>
      <c r="AG1107" s="160"/>
      <c r="AH1107" s="160"/>
      <c r="AI1107" s="160"/>
      <c r="AJ1107" s="160"/>
      <c r="AK1107" s="160"/>
      <c r="AL1107" s="160"/>
      <c r="AM1107" s="160"/>
      <c r="AN1107" s="164"/>
      <c r="AO1107" s="160"/>
      <c r="AP1107" s="160"/>
      <c r="AQ1107" s="160"/>
      <c r="AR1107" s="160"/>
      <c r="AS1107" s="160"/>
      <c r="AT1107" s="160"/>
      <c r="AU1107" s="160"/>
      <c r="AV1107" s="160"/>
      <c r="AW1107" s="160"/>
      <c r="AX1107" s="160"/>
      <c r="AY1107" s="160"/>
      <c r="AZ1107" s="160"/>
      <c r="BA1107" s="160"/>
      <c r="BB1107" s="160"/>
      <c r="BC1107" s="160"/>
      <c r="BD1107" s="160"/>
      <c r="BE1107" s="160"/>
      <c r="BF1107" s="160"/>
      <c r="BG1107" s="160"/>
      <c r="BH1107" s="160"/>
      <c r="BI1107" s="160"/>
      <c r="BJ1107" s="160"/>
      <c r="BK1107" s="160"/>
      <c r="BL1107" s="160"/>
      <c r="BM1107" s="160"/>
      <c r="BN1107" s="160"/>
      <c r="BO1107" s="160"/>
      <c r="BP1107" s="160"/>
      <c r="BQ1107" s="160"/>
      <c r="BR1107" s="160"/>
      <c r="BS1107" s="160"/>
      <c r="BT1107" s="160"/>
      <c r="BU1107" s="160"/>
      <c r="BV1107" s="160"/>
      <c r="BW1107" s="160"/>
      <c r="BX1107" s="160"/>
      <c r="BY1107" s="160"/>
      <c r="BZ1107" s="160"/>
      <c r="CA1107" s="160"/>
      <c r="CB1107" s="160"/>
      <c r="CC1107" s="160"/>
      <c r="CD1107" s="160"/>
      <c r="CE1107" s="160"/>
      <c r="CF1107" s="160"/>
      <c r="CG1107" s="160"/>
      <c r="CH1107" s="160"/>
      <c r="CI1107" s="160"/>
      <c r="CJ1107" s="160"/>
      <c r="CK1107" s="160"/>
      <c r="CL1107" s="160"/>
    </row>
    <row r="1108">
      <c r="A1108" s="171"/>
      <c r="F1108" s="11"/>
      <c r="G1108" s="11"/>
      <c r="L1108" s="171"/>
      <c r="M1108" s="171"/>
      <c r="O1108" s="160"/>
      <c r="P1108" s="160"/>
      <c r="Q1108" s="160"/>
      <c r="R1108" s="160"/>
      <c r="S1108" s="160"/>
      <c r="T1108" s="207"/>
      <c r="U1108" s="160"/>
      <c r="V1108" s="160"/>
      <c r="W1108" s="160"/>
      <c r="X1108" s="160"/>
      <c r="Y1108" s="160"/>
      <c r="Z1108" s="160"/>
      <c r="AA1108" s="160"/>
      <c r="AB1108" s="160"/>
      <c r="AC1108" s="160"/>
      <c r="AD1108" s="160"/>
      <c r="AE1108" s="160"/>
      <c r="AF1108" s="160"/>
      <c r="AG1108" s="160"/>
      <c r="AH1108" s="160"/>
      <c r="AI1108" s="160"/>
      <c r="AJ1108" s="160"/>
      <c r="AK1108" s="160"/>
      <c r="AL1108" s="160"/>
      <c r="AM1108" s="160"/>
      <c r="AN1108" s="164"/>
      <c r="AO1108" s="160"/>
      <c r="AP1108" s="160"/>
      <c r="AQ1108" s="160"/>
      <c r="AR1108" s="160"/>
      <c r="AS1108" s="160"/>
      <c r="AT1108" s="160"/>
      <c r="AU1108" s="160"/>
      <c r="AV1108" s="160"/>
      <c r="AW1108" s="160"/>
      <c r="AX1108" s="160"/>
      <c r="AY1108" s="160"/>
      <c r="AZ1108" s="160"/>
      <c r="BA1108" s="160"/>
      <c r="BB1108" s="160"/>
      <c r="BC1108" s="160"/>
      <c r="BD1108" s="160"/>
      <c r="BE1108" s="160"/>
      <c r="BF1108" s="160"/>
      <c r="BG1108" s="160"/>
      <c r="BH1108" s="160"/>
      <c r="BI1108" s="160"/>
      <c r="BJ1108" s="160"/>
      <c r="BK1108" s="160"/>
      <c r="BL1108" s="160"/>
      <c r="BM1108" s="160"/>
      <c r="BN1108" s="160"/>
      <c r="BO1108" s="160"/>
      <c r="BP1108" s="160"/>
      <c r="BQ1108" s="160"/>
      <c r="BR1108" s="160"/>
      <c r="BS1108" s="160"/>
      <c r="BT1108" s="160"/>
      <c r="BU1108" s="160"/>
      <c r="BV1108" s="160"/>
      <c r="BW1108" s="160"/>
      <c r="BX1108" s="160"/>
      <c r="BY1108" s="160"/>
      <c r="BZ1108" s="160"/>
      <c r="CA1108" s="160"/>
      <c r="CB1108" s="160"/>
      <c r="CC1108" s="160"/>
      <c r="CD1108" s="160"/>
      <c r="CE1108" s="160"/>
      <c r="CF1108" s="160"/>
      <c r="CG1108" s="160"/>
      <c r="CH1108" s="160"/>
      <c r="CI1108" s="160"/>
      <c r="CJ1108" s="160"/>
      <c r="CK1108" s="160"/>
      <c r="CL1108" s="160"/>
    </row>
    <row r="1109">
      <c r="A1109" s="171"/>
      <c r="F1109" s="11"/>
      <c r="G1109" s="11"/>
      <c r="L1109" s="171"/>
      <c r="M1109" s="171"/>
      <c r="O1109" s="160"/>
      <c r="P1109" s="160"/>
      <c r="Q1109" s="160"/>
      <c r="R1109" s="160"/>
      <c r="S1109" s="160"/>
      <c r="T1109" s="207"/>
      <c r="U1109" s="160"/>
      <c r="V1109" s="160"/>
      <c r="W1109" s="160"/>
      <c r="X1109" s="160"/>
      <c r="Y1109" s="160"/>
      <c r="Z1109" s="160"/>
      <c r="AA1109" s="160"/>
      <c r="AB1109" s="160"/>
      <c r="AC1109" s="160"/>
      <c r="AD1109" s="160"/>
      <c r="AE1109" s="160"/>
      <c r="AF1109" s="160"/>
      <c r="AG1109" s="160"/>
      <c r="AH1109" s="160"/>
      <c r="AI1109" s="160"/>
      <c r="AJ1109" s="160"/>
      <c r="AK1109" s="160"/>
      <c r="AL1109" s="160"/>
      <c r="AM1109" s="160"/>
      <c r="AN1109" s="164"/>
      <c r="AO1109" s="160"/>
      <c r="AP1109" s="160"/>
      <c r="AQ1109" s="160"/>
      <c r="AR1109" s="160"/>
      <c r="AS1109" s="160"/>
      <c r="AT1109" s="160"/>
      <c r="AU1109" s="160"/>
      <c r="AV1109" s="160"/>
      <c r="AW1109" s="160"/>
      <c r="AX1109" s="160"/>
      <c r="AY1109" s="160"/>
      <c r="AZ1109" s="160"/>
      <c r="BA1109" s="160"/>
      <c r="BB1109" s="160"/>
      <c r="BC1109" s="160"/>
      <c r="BD1109" s="160"/>
      <c r="BE1109" s="160"/>
      <c r="BF1109" s="160"/>
      <c r="BG1109" s="160"/>
      <c r="BH1109" s="160"/>
      <c r="BI1109" s="160"/>
      <c r="BJ1109" s="160"/>
      <c r="BK1109" s="160"/>
      <c r="BL1109" s="160"/>
      <c r="BM1109" s="160"/>
      <c r="BN1109" s="160"/>
      <c r="BO1109" s="160"/>
      <c r="BP1109" s="160"/>
      <c r="BQ1109" s="160"/>
      <c r="BR1109" s="160"/>
      <c r="BS1109" s="160"/>
      <c r="BT1109" s="160"/>
      <c r="BU1109" s="160"/>
      <c r="BV1109" s="160"/>
      <c r="BW1109" s="160"/>
      <c r="BX1109" s="160"/>
      <c r="BY1109" s="160"/>
      <c r="BZ1109" s="160"/>
      <c r="CA1109" s="160"/>
      <c r="CB1109" s="160"/>
      <c r="CC1109" s="160"/>
      <c r="CD1109" s="160"/>
      <c r="CE1109" s="160"/>
      <c r="CF1109" s="160"/>
      <c r="CG1109" s="160"/>
      <c r="CH1109" s="160"/>
      <c r="CI1109" s="160"/>
      <c r="CJ1109" s="160"/>
      <c r="CK1109" s="160"/>
      <c r="CL1109" s="160"/>
    </row>
    <row r="1110">
      <c r="A1110" s="171"/>
      <c r="F1110" s="11"/>
      <c r="G1110" s="11"/>
      <c r="L1110" s="171"/>
      <c r="M1110" s="171"/>
      <c r="O1110" s="160"/>
      <c r="P1110" s="160"/>
      <c r="Q1110" s="160"/>
      <c r="R1110" s="160"/>
      <c r="S1110" s="160"/>
      <c r="T1110" s="207"/>
      <c r="U1110" s="160"/>
      <c r="V1110" s="160"/>
      <c r="W1110" s="160"/>
      <c r="X1110" s="160"/>
      <c r="Y1110" s="160"/>
      <c r="Z1110" s="160"/>
      <c r="AA1110" s="160"/>
      <c r="AB1110" s="160"/>
      <c r="AC1110" s="160"/>
      <c r="AD1110" s="160"/>
      <c r="AE1110" s="160"/>
      <c r="AF1110" s="160"/>
      <c r="AG1110" s="160"/>
      <c r="AH1110" s="160"/>
      <c r="AI1110" s="160"/>
      <c r="AJ1110" s="160"/>
      <c r="AK1110" s="160"/>
      <c r="AL1110" s="160"/>
      <c r="AM1110" s="160"/>
      <c r="AN1110" s="164"/>
      <c r="AO1110" s="160"/>
      <c r="AP1110" s="160"/>
      <c r="AQ1110" s="160"/>
      <c r="AR1110" s="160"/>
      <c r="AS1110" s="160"/>
      <c r="AT1110" s="160"/>
      <c r="AU1110" s="160"/>
      <c r="AV1110" s="160"/>
      <c r="AW1110" s="160"/>
      <c r="AX1110" s="160"/>
      <c r="AY1110" s="160"/>
      <c r="AZ1110" s="160"/>
      <c r="BA1110" s="160"/>
      <c r="BB1110" s="160"/>
      <c r="BC1110" s="160"/>
      <c r="BD1110" s="160"/>
      <c r="BE1110" s="160"/>
      <c r="BF1110" s="160"/>
      <c r="BG1110" s="160"/>
      <c r="BH1110" s="160"/>
      <c r="BI1110" s="160"/>
      <c r="BJ1110" s="160"/>
      <c r="BK1110" s="160"/>
      <c r="BL1110" s="160"/>
      <c r="BM1110" s="160"/>
      <c r="BN1110" s="160"/>
      <c r="BO1110" s="160"/>
      <c r="BP1110" s="160"/>
      <c r="BQ1110" s="160"/>
      <c r="BR1110" s="160"/>
      <c r="BS1110" s="160"/>
      <c r="BT1110" s="160"/>
      <c r="BU1110" s="160"/>
      <c r="BV1110" s="160"/>
      <c r="BW1110" s="160"/>
      <c r="BX1110" s="160"/>
      <c r="BY1110" s="160"/>
      <c r="BZ1110" s="160"/>
      <c r="CA1110" s="160"/>
      <c r="CB1110" s="160"/>
      <c r="CC1110" s="160"/>
      <c r="CD1110" s="160"/>
      <c r="CE1110" s="160"/>
      <c r="CF1110" s="160"/>
      <c r="CG1110" s="160"/>
      <c r="CH1110" s="160"/>
      <c r="CI1110" s="160"/>
      <c r="CJ1110" s="160"/>
      <c r="CK1110" s="160"/>
      <c r="CL1110" s="160"/>
    </row>
    <row r="1111">
      <c r="A1111" s="171"/>
      <c r="F1111" s="11"/>
      <c r="G1111" s="11"/>
      <c r="L1111" s="171"/>
      <c r="M1111" s="171"/>
      <c r="O1111" s="160"/>
      <c r="P1111" s="160"/>
      <c r="Q1111" s="160"/>
      <c r="R1111" s="160"/>
      <c r="S1111" s="160"/>
      <c r="T1111" s="207"/>
      <c r="U1111" s="160"/>
      <c r="V1111" s="160"/>
      <c r="W1111" s="160"/>
      <c r="X1111" s="160"/>
      <c r="Y1111" s="160"/>
      <c r="Z1111" s="160"/>
      <c r="AA1111" s="160"/>
      <c r="AB1111" s="160"/>
      <c r="AC1111" s="160"/>
      <c r="AD1111" s="160"/>
      <c r="AE1111" s="160"/>
      <c r="AF1111" s="160"/>
      <c r="AG1111" s="160"/>
      <c r="AH1111" s="160"/>
      <c r="AI1111" s="160"/>
      <c r="AJ1111" s="160"/>
      <c r="AK1111" s="160"/>
      <c r="AL1111" s="160"/>
      <c r="AM1111" s="160"/>
      <c r="AN1111" s="164"/>
      <c r="AO1111" s="160"/>
      <c r="AP1111" s="160"/>
      <c r="AQ1111" s="160"/>
      <c r="AR1111" s="160"/>
      <c r="AS1111" s="160"/>
      <c r="AT1111" s="160"/>
      <c r="AU1111" s="160"/>
      <c r="AV1111" s="160"/>
      <c r="AW1111" s="160"/>
      <c r="AX1111" s="160"/>
      <c r="AY1111" s="160"/>
      <c r="AZ1111" s="160"/>
      <c r="BA1111" s="160"/>
      <c r="BB1111" s="160"/>
      <c r="BC1111" s="160"/>
      <c r="BD1111" s="160"/>
      <c r="BE1111" s="160"/>
      <c r="BF1111" s="160"/>
      <c r="BG1111" s="160"/>
      <c r="BH1111" s="160"/>
      <c r="BI1111" s="160"/>
      <c r="BJ1111" s="160"/>
      <c r="BK1111" s="160"/>
      <c r="BL1111" s="160"/>
      <c r="BM1111" s="160"/>
      <c r="BN1111" s="160"/>
      <c r="BO1111" s="160"/>
      <c r="BP1111" s="160"/>
      <c r="BQ1111" s="160"/>
      <c r="BR1111" s="160"/>
      <c r="BS1111" s="160"/>
      <c r="BT1111" s="160"/>
      <c r="BU1111" s="160"/>
      <c r="BV1111" s="160"/>
      <c r="BW1111" s="160"/>
      <c r="BX1111" s="160"/>
      <c r="BY1111" s="160"/>
      <c r="BZ1111" s="160"/>
      <c r="CA1111" s="160"/>
      <c r="CB1111" s="160"/>
      <c r="CC1111" s="160"/>
      <c r="CD1111" s="160"/>
      <c r="CE1111" s="160"/>
      <c r="CF1111" s="160"/>
      <c r="CG1111" s="160"/>
      <c r="CH1111" s="160"/>
      <c r="CI1111" s="160"/>
      <c r="CJ1111" s="160"/>
      <c r="CK1111" s="160"/>
      <c r="CL1111" s="160"/>
    </row>
    <row r="1112">
      <c r="A1112" s="171"/>
      <c r="F1112" s="11"/>
      <c r="G1112" s="11"/>
      <c r="L1112" s="171"/>
      <c r="M1112" s="171"/>
      <c r="O1112" s="160"/>
      <c r="P1112" s="160"/>
      <c r="Q1112" s="160"/>
      <c r="R1112" s="160"/>
      <c r="S1112" s="160"/>
      <c r="T1112" s="207"/>
      <c r="U1112" s="160"/>
      <c r="V1112" s="160"/>
      <c r="W1112" s="160"/>
      <c r="X1112" s="160"/>
      <c r="Y1112" s="160"/>
      <c r="Z1112" s="160"/>
      <c r="AA1112" s="160"/>
      <c r="AB1112" s="160"/>
      <c r="AC1112" s="160"/>
      <c r="AD1112" s="160"/>
      <c r="AE1112" s="160"/>
      <c r="AF1112" s="160"/>
      <c r="AG1112" s="160"/>
      <c r="AH1112" s="160"/>
      <c r="AI1112" s="160"/>
      <c r="AJ1112" s="160"/>
      <c r="AK1112" s="160"/>
      <c r="AL1112" s="160"/>
      <c r="AM1112" s="160"/>
      <c r="AN1112" s="164"/>
      <c r="AO1112" s="160"/>
      <c r="AP1112" s="160"/>
      <c r="AQ1112" s="160"/>
      <c r="AR1112" s="160"/>
      <c r="AS1112" s="160"/>
      <c r="AT1112" s="160"/>
      <c r="AU1112" s="160"/>
      <c r="AV1112" s="160"/>
      <c r="AW1112" s="160"/>
      <c r="AX1112" s="160"/>
      <c r="AY1112" s="160"/>
      <c r="AZ1112" s="160"/>
      <c r="BA1112" s="160"/>
      <c r="BB1112" s="160"/>
      <c r="BC1112" s="160"/>
      <c r="BD1112" s="160"/>
      <c r="BE1112" s="160"/>
      <c r="BF1112" s="160"/>
      <c r="BG1112" s="160"/>
      <c r="BH1112" s="160"/>
      <c r="BI1112" s="160"/>
      <c r="BJ1112" s="160"/>
      <c r="BK1112" s="160"/>
      <c r="BL1112" s="160"/>
      <c r="BM1112" s="160"/>
      <c r="BN1112" s="160"/>
      <c r="BO1112" s="160"/>
      <c r="BP1112" s="160"/>
      <c r="BQ1112" s="160"/>
      <c r="BR1112" s="160"/>
      <c r="BS1112" s="160"/>
      <c r="BT1112" s="160"/>
      <c r="BU1112" s="160"/>
      <c r="BV1112" s="160"/>
      <c r="BW1112" s="160"/>
      <c r="BX1112" s="160"/>
      <c r="BY1112" s="160"/>
      <c r="BZ1112" s="160"/>
      <c r="CA1112" s="160"/>
      <c r="CB1112" s="160"/>
      <c r="CC1112" s="160"/>
      <c r="CD1112" s="160"/>
      <c r="CE1112" s="160"/>
      <c r="CF1112" s="160"/>
      <c r="CG1112" s="160"/>
      <c r="CH1112" s="160"/>
      <c r="CI1112" s="160"/>
      <c r="CJ1112" s="160"/>
      <c r="CK1112" s="160"/>
      <c r="CL1112" s="160"/>
    </row>
    <row r="1113">
      <c r="A1113" s="171"/>
      <c r="F1113" s="11"/>
      <c r="G1113" s="11"/>
      <c r="L1113" s="171"/>
      <c r="M1113" s="171"/>
      <c r="O1113" s="160"/>
      <c r="P1113" s="160"/>
      <c r="Q1113" s="160"/>
      <c r="R1113" s="160"/>
      <c r="S1113" s="160"/>
      <c r="T1113" s="207"/>
      <c r="U1113" s="160"/>
      <c r="V1113" s="160"/>
      <c r="W1113" s="160"/>
      <c r="X1113" s="160"/>
      <c r="Y1113" s="160"/>
      <c r="Z1113" s="160"/>
      <c r="AA1113" s="160"/>
      <c r="AB1113" s="160"/>
      <c r="AC1113" s="160"/>
      <c r="AD1113" s="160"/>
      <c r="AE1113" s="160"/>
      <c r="AF1113" s="160"/>
      <c r="AG1113" s="160"/>
      <c r="AH1113" s="160"/>
      <c r="AI1113" s="160"/>
      <c r="AJ1113" s="160"/>
      <c r="AK1113" s="160"/>
      <c r="AL1113" s="160"/>
      <c r="AM1113" s="160"/>
      <c r="AN1113" s="164"/>
      <c r="AO1113" s="160"/>
      <c r="AP1113" s="160"/>
      <c r="AQ1113" s="160"/>
      <c r="AR1113" s="160"/>
      <c r="AS1113" s="160"/>
      <c r="AT1113" s="160"/>
      <c r="AU1113" s="160"/>
      <c r="AV1113" s="160"/>
      <c r="AW1113" s="160"/>
      <c r="AX1113" s="160"/>
      <c r="AY1113" s="160"/>
      <c r="AZ1113" s="160"/>
      <c r="BA1113" s="160"/>
      <c r="BB1113" s="160"/>
      <c r="BC1113" s="160"/>
      <c r="BD1113" s="160"/>
      <c r="BE1113" s="160"/>
      <c r="BF1113" s="160"/>
      <c r="BG1113" s="160"/>
      <c r="BH1113" s="160"/>
      <c r="BI1113" s="160"/>
      <c r="BJ1113" s="160"/>
      <c r="BK1113" s="160"/>
      <c r="BL1113" s="160"/>
      <c r="BM1113" s="160"/>
      <c r="BN1113" s="160"/>
      <c r="BO1113" s="160"/>
      <c r="BP1113" s="160"/>
      <c r="BQ1113" s="160"/>
      <c r="BR1113" s="160"/>
      <c r="BS1113" s="160"/>
      <c r="BT1113" s="160"/>
      <c r="BU1113" s="160"/>
      <c r="BV1113" s="160"/>
      <c r="BW1113" s="160"/>
      <c r="BX1113" s="160"/>
      <c r="BY1113" s="160"/>
      <c r="BZ1113" s="160"/>
      <c r="CA1113" s="160"/>
      <c r="CB1113" s="160"/>
      <c r="CC1113" s="160"/>
      <c r="CD1113" s="160"/>
      <c r="CE1113" s="160"/>
      <c r="CF1113" s="160"/>
      <c r="CG1113" s="160"/>
      <c r="CH1113" s="160"/>
      <c r="CI1113" s="160"/>
      <c r="CJ1113" s="160"/>
      <c r="CK1113" s="160"/>
      <c r="CL1113" s="160"/>
    </row>
    <row r="1114">
      <c r="A1114" s="171"/>
      <c r="F1114" s="11"/>
      <c r="G1114" s="11"/>
      <c r="L1114" s="171"/>
      <c r="M1114" s="171"/>
      <c r="O1114" s="160"/>
      <c r="P1114" s="160"/>
      <c r="Q1114" s="160"/>
      <c r="R1114" s="160"/>
      <c r="S1114" s="160"/>
      <c r="T1114" s="207"/>
      <c r="U1114" s="160"/>
      <c r="V1114" s="160"/>
      <c r="W1114" s="160"/>
      <c r="X1114" s="160"/>
      <c r="Y1114" s="160"/>
      <c r="Z1114" s="160"/>
      <c r="AA1114" s="160"/>
      <c r="AB1114" s="160"/>
      <c r="AC1114" s="160"/>
      <c r="AD1114" s="160"/>
      <c r="AE1114" s="160"/>
      <c r="AF1114" s="160"/>
      <c r="AG1114" s="160"/>
      <c r="AH1114" s="160"/>
      <c r="AI1114" s="160"/>
      <c r="AJ1114" s="160"/>
      <c r="AK1114" s="160"/>
      <c r="AL1114" s="160"/>
      <c r="AM1114" s="160"/>
      <c r="AN1114" s="164"/>
      <c r="AO1114" s="160"/>
      <c r="AP1114" s="160"/>
      <c r="AQ1114" s="160"/>
      <c r="AR1114" s="160"/>
      <c r="AS1114" s="160"/>
      <c r="AT1114" s="160"/>
      <c r="AU1114" s="160"/>
      <c r="AV1114" s="160"/>
      <c r="AW1114" s="160"/>
      <c r="AX1114" s="160"/>
      <c r="AY1114" s="160"/>
      <c r="AZ1114" s="160"/>
      <c r="BA1114" s="160"/>
      <c r="BB1114" s="160"/>
      <c r="BC1114" s="160"/>
      <c r="BD1114" s="160"/>
      <c r="BE1114" s="160"/>
      <c r="BF1114" s="160"/>
      <c r="BG1114" s="160"/>
      <c r="BH1114" s="160"/>
      <c r="BI1114" s="160"/>
      <c r="BJ1114" s="160"/>
      <c r="BK1114" s="160"/>
      <c r="BL1114" s="160"/>
      <c r="BM1114" s="160"/>
      <c r="BN1114" s="160"/>
      <c r="BO1114" s="160"/>
      <c r="BP1114" s="160"/>
      <c r="BQ1114" s="160"/>
      <c r="BR1114" s="160"/>
      <c r="BS1114" s="160"/>
      <c r="BT1114" s="160"/>
      <c r="BU1114" s="160"/>
      <c r="BV1114" s="160"/>
      <c r="BW1114" s="160"/>
      <c r="BX1114" s="160"/>
      <c r="BY1114" s="160"/>
      <c r="BZ1114" s="160"/>
      <c r="CA1114" s="160"/>
      <c r="CB1114" s="160"/>
      <c r="CC1114" s="160"/>
      <c r="CD1114" s="160"/>
      <c r="CE1114" s="160"/>
      <c r="CF1114" s="160"/>
      <c r="CG1114" s="160"/>
      <c r="CH1114" s="160"/>
      <c r="CI1114" s="160"/>
      <c r="CJ1114" s="160"/>
      <c r="CK1114" s="160"/>
      <c r="CL1114" s="160"/>
    </row>
    <row r="1115">
      <c r="A1115" s="171"/>
      <c r="F1115" s="11"/>
      <c r="G1115" s="11"/>
      <c r="L1115" s="171"/>
      <c r="M1115" s="171"/>
      <c r="O1115" s="160"/>
      <c r="P1115" s="160"/>
      <c r="Q1115" s="160"/>
      <c r="R1115" s="160"/>
      <c r="S1115" s="160"/>
      <c r="T1115" s="207"/>
      <c r="U1115" s="160"/>
      <c r="V1115" s="160"/>
      <c r="W1115" s="160"/>
      <c r="X1115" s="160"/>
      <c r="Y1115" s="160"/>
      <c r="Z1115" s="160"/>
      <c r="AA1115" s="160"/>
      <c r="AB1115" s="160"/>
      <c r="AC1115" s="160"/>
      <c r="AD1115" s="160"/>
      <c r="AE1115" s="160"/>
      <c r="AF1115" s="160"/>
      <c r="AG1115" s="160"/>
      <c r="AH1115" s="160"/>
      <c r="AI1115" s="160"/>
      <c r="AJ1115" s="160"/>
      <c r="AK1115" s="160"/>
      <c r="AL1115" s="160"/>
      <c r="AM1115" s="160"/>
      <c r="AN1115" s="164"/>
      <c r="AO1115" s="160"/>
      <c r="AP1115" s="160"/>
      <c r="AQ1115" s="160"/>
      <c r="AR1115" s="160"/>
      <c r="AS1115" s="160"/>
      <c r="AT1115" s="160"/>
      <c r="AU1115" s="160"/>
      <c r="AV1115" s="160"/>
      <c r="AW1115" s="160"/>
      <c r="AX1115" s="160"/>
      <c r="AY1115" s="160"/>
      <c r="AZ1115" s="160"/>
      <c r="BA1115" s="160"/>
      <c r="BB1115" s="160"/>
      <c r="BC1115" s="160"/>
      <c r="BD1115" s="160"/>
      <c r="BE1115" s="160"/>
      <c r="BF1115" s="160"/>
      <c r="BG1115" s="160"/>
      <c r="BH1115" s="160"/>
      <c r="BI1115" s="160"/>
      <c r="BJ1115" s="160"/>
      <c r="BK1115" s="160"/>
      <c r="BL1115" s="160"/>
      <c r="BM1115" s="160"/>
      <c r="BN1115" s="160"/>
      <c r="BO1115" s="160"/>
      <c r="BP1115" s="160"/>
      <c r="BQ1115" s="160"/>
      <c r="BR1115" s="160"/>
      <c r="BS1115" s="160"/>
      <c r="BT1115" s="160"/>
      <c r="BU1115" s="160"/>
      <c r="BV1115" s="160"/>
      <c r="BW1115" s="160"/>
      <c r="BX1115" s="160"/>
      <c r="BY1115" s="160"/>
      <c r="BZ1115" s="160"/>
      <c r="CA1115" s="160"/>
      <c r="CB1115" s="160"/>
      <c r="CC1115" s="160"/>
      <c r="CD1115" s="160"/>
      <c r="CE1115" s="160"/>
      <c r="CF1115" s="160"/>
      <c r="CG1115" s="160"/>
      <c r="CH1115" s="160"/>
      <c r="CI1115" s="160"/>
      <c r="CJ1115" s="160"/>
      <c r="CK1115" s="160"/>
      <c r="CL1115" s="160"/>
    </row>
    <row r="1116">
      <c r="A1116" s="171"/>
      <c r="F1116" s="11"/>
      <c r="G1116" s="11"/>
      <c r="L1116" s="171"/>
      <c r="M1116" s="171"/>
      <c r="O1116" s="160"/>
      <c r="P1116" s="160"/>
      <c r="Q1116" s="160"/>
      <c r="R1116" s="160"/>
      <c r="S1116" s="160"/>
      <c r="T1116" s="207"/>
      <c r="U1116" s="160"/>
      <c r="V1116" s="160"/>
      <c r="W1116" s="160"/>
      <c r="X1116" s="160"/>
      <c r="Y1116" s="160"/>
      <c r="Z1116" s="160"/>
      <c r="AA1116" s="160"/>
      <c r="AB1116" s="160"/>
      <c r="AC1116" s="160"/>
      <c r="AD1116" s="160"/>
      <c r="AE1116" s="160"/>
      <c r="AF1116" s="160"/>
      <c r="AG1116" s="160"/>
      <c r="AH1116" s="160"/>
      <c r="AI1116" s="160"/>
      <c r="AJ1116" s="160"/>
      <c r="AK1116" s="160"/>
      <c r="AL1116" s="160"/>
      <c r="AM1116" s="160"/>
      <c r="AN1116" s="164"/>
      <c r="AO1116" s="160"/>
      <c r="AP1116" s="160"/>
      <c r="AQ1116" s="160"/>
      <c r="AR1116" s="160"/>
      <c r="AS1116" s="160"/>
      <c r="AT1116" s="160"/>
      <c r="AU1116" s="160"/>
      <c r="AV1116" s="160"/>
      <c r="AW1116" s="160"/>
      <c r="AX1116" s="160"/>
      <c r="AY1116" s="160"/>
      <c r="AZ1116" s="160"/>
      <c r="BA1116" s="160"/>
      <c r="BB1116" s="160"/>
      <c r="BC1116" s="160"/>
      <c r="BD1116" s="160"/>
      <c r="BE1116" s="160"/>
      <c r="BF1116" s="160"/>
      <c r="BG1116" s="160"/>
      <c r="BH1116" s="160"/>
      <c r="BI1116" s="160"/>
      <c r="BJ1116" s="160"/>
      <c r="BK1116" s="160"/>
      <c r="BL1116" s="160"/>
      <c r="BM1116" s="160"/>
      <c r="BN1116" s="160"/>
      <c r="BO1116" s="160"/>
      <c r="BP1116" s="160"/>
      <c r="BQ1116" s="160"/>
      <c r="BR1116" s="160"/>
      <c r="BS1116" s="160"/>
      <c r="BT1116" s="160"/>
      <c r="BU1116" s="160"/>
      <c r="BV1116" s="160"/>
      <c r="BW1116" s="160"/>
      <c r="BX1116" s="160"/>
      <c r="BY1116" s="160"/>
      <c r="BZ1116" s="160"/>
      <c r="CA1116" s="160"/>
      <c r="CB1116" s="160"/>
      <c r="CC1116" s="160"/>
      <c r="CD1116" s="160"/>
      <c r="CE1116" s="160"/>
      <c r="CF1116" s="160"/>
      <c r="CG1116" s="160"/>
      <c r="CH1116" s="160"/>
      <c r="CI1116" s="160"/>
      <c r="CJ1116" s="160"/>
      <c r="CK1116" s="160"/>
      <c r="CL1116" s="160"/>
    </row>
    <row r="1117">
      <c r="A1117" s="171"/>
      <c r="F1117" s="11"/>
      <c r="G1117" s="11"/>
      <c r="L1117" s="171"/>
      <c r="M1117" s="171"/>
      <c r="O1117" s="160"/>
      <c r="P1117" s="160"/>
      <c r="Q1117" s="160"/>
      <c r="R1117" s="160"/>
      <c r="S1117" s="160"/>
      <c r="T1117" s="207"/>
      <c r="U1117" s="160"/>
      <c r="V1117" s="160"/>
      <c r="W1117" s="160"/>
      <c r="X1117" s="160"/>
      <c r="Y1117" s="160"/>
      <c r="Z1117" s="160"/>
      <c r="AA1117" s="160"/>
      <c r="AB1117" s="160"/>
      <c r="AC1117" s="160"/>
      <c r="AD1117" s="160"/>
      <c r="AE1117" s="160"/>
      <c r="AF1117" s="160"/>
      <c r="AG1117" s="160"/>
      <c r="AH1117" s="160"/>
      <c r="AI1117" s="160"/>
      <c r="AJ1117" s="160"/>
      <c r="AK1117" s="160"/>
      <c r="AL1117" s="160"/>
      <c r="AM1117" s="160"/>
      <c r="AN1117" s="164"/>
      <c r="AO1117" s="160"/>
      <c r="AP1117" s="160"/>
      <c r="AQ1117" s="160"/>
      <c r="AR1117" s="160"/>
      <c r="AS1117" s="160"/>
      <c r="AT1117" s="160"/>
      <c r="AU1117" s="160"/>
      <c r="AV1117" s="160"/>
      <c r="AW1117" s="160"/>
      <c r="AX1117" s="160"/>
      <c r="AY1117" s="160"/>
      <c r="AZ1117" s="160"/>
      <c r="BA1117" s="160"/>
      <c r="BB1117" s="160"/>
      <c r="BC1117" s="160"/>
      <c r="BD1117" s="160"/>
      <c r="BE1117" s="160"/>
      <c r="BF1117" s="160"/>
      <c r="BG1117" s="160"/>
      <c r="BH1117" s="160"/>
      <c r="BI1117" s="160"/>
      <c r="BJ1117" s="160"/>
      <c r="BK1117" s="160"/>
      <c r="BL1117" s="160"/>
      <c r="BM1117" s="160"/>
      <c r="BN1117" s="160"/>
      <c r="BO1117" s="160"/>
      <c r="BP1117" s="160"/>
      <c r="BQ1117" s="160"/>
      <c r="BR1117" s="160"/>
      <c r="BS1117" s="160"/>
      <c r="BT1117" s="160"/>
      <c r="BU1117" s="160"/>
      <c r="BV1117" s="160"/>
      <c r="BW1117" s="160"/>
      <c r="BX1117" s="160"/>
      <c r="BY1117" s="160"/>
      <c r="BZ1117" s="160"/>
      <c r="CA1117" s="160"/>
      <c r="CB1117" s="160"/>
      <c r="CC1117" s="160"/>
      <c r="CD1117" s="160"/>
      <c r="CE1117" s="160"/>
      <c r="CF1117" s="160"/>
      <c r="CG1117" s="160"/>
      <c r="CH1117" s="160"/>
      <c r="CI1117" s="160"/>
      <c r="CJ1117" s="160"/>
      <c r="CK1117" s="160"/>
      <c r="CL1117" s="160"/>
    </row>
    <row r="1118">
      <c r="A1118" s="171"/>
      <c r="F1118" s="11"/>
      <c r="G1118" s="11"/>
      <c r="L1118" s="171"/>
      <c r="M1118" s="171"/>
      <c r="O1118" s="160"/>
      <c r="P1118" s="160"/>
      <c r="Q1118" s="160"/>
      <c r="R1118" s="160"/>
      <c r="S1118" s="160"/>
      <c r="T1118" s="207"/>
      <c r="U1118" s="160"/>
      <c r="V1118" s="160"/>
      <c r="W1118" s="160"/>
      <c r="X1118" s="160"/>
      <c r="Y1118" s="160"/>
      <c r="Z1118" s="160"/>
      <c r="AA1118" s="160"/>
      <c r="AB1118" s="160"/>
      <c r="AC1118" s="160"/>
      <c r="AD1118" s="160"/>
      <c r="AE1118" s="160"/>
      <c r="AF1118" s="160"/>
      <c r="AG1118" s="160"/>
      <c r="AH1118" s="160"/>
      <c r="AI1118" s="160"/>
      <c r="AJ1118" s="160"/>
      <c r="AK1118" s="160"/>
      <c r="AL1118" s="160"/>
      <c r="AM1118" s="160"/>
      <c r="AN1118" s="164"/>
      <c r="AO1118" s="160"/>
      <c r="AP1118" s="160"/>
      <c r="AQ1118" s="160"/>
      <c r="AR1118" s="160"/>
      <c r="AS1118" s="160"/>
      <c r="AT1118" s="160"/>
      <c r="AU1118" s="160"/>
      <c r="AV1118" s="160"/>
      <c r="AW1118" s="160"/>
      <c r="AX1118" s="160"/>
      <c r="AY1118" s="160"/>
      <c r="AZ1118" s="160"/>
      <c r="BA1118" s="160"/>
      <c r="BB1118" s="160"/>
      <c r="BC1118" s="160"/>
      <c r="BD1118" s="160"/>
      <c r="BE1118" s="160"/>
      <c r="BF1118" s="160"/>
      <c r="BG1118" s="160"/>
      <c r="BH1118" s="160"/>
      <c r="BI1118" s="160"/>
      <c r="BJ1118" s="160"/>
      <c r="BK1118" s="160"/>
      <c r="BL1118" s="160"/>
      <c r="BM1118" s="160"/>
      <c r="BN1118" s="160"/>
      <c r="BO1118" s="160"/>
      <c r="BP1118" s="160"/>
      <c r="BQ1118" s="160"/>
      <c r="BR1118" s="160"/>
      <c r="BS1118" s="160"/>
      <c r="BT1118" s="160"/>
      <c r="BU1118" s="160"/>
      <c r="BV1118" s="160"/>
      <c r="BW1118" s="160"/>
      <c r="BX1118" s="160"/>
      <c r="BY1118" s="160"/>
      <c r="BZ1118" s="160"/>
      <c r="CA1118" s="160"/>
      <c r="CB1118" s="160"/>
      <c r="CC1118" s="160"/>
      <c r="CD1118" s="160"/>
      <c r="CE1118" s="160"/>
      <c r="CF1118" s="160"/>
      <c r="CG1118" s="160"/>
      <c r="CH1118" s="160"/>
      <c r="CI1118" s="160"/>
      <c r="CJ1118" s="160"/>
      <c r="CK1118" s="160"/>
      <c r="CL1118" s="160"/>
    </row>
    <row r="1119">
      <c r="A1119" s="171"/>
      <c r="F1119" s="11"/>
      <c r="G1119" s="11"/>
      <c r="L1119" s="171"/>
      <c r="M1119" s="171"/>
      <c r="O1119" s="160"/>
      <c r="P1119" s="160"/>
      <c r="Q1119" s="160"/>
      <c r="R1119" s="160"/>
      <c r="S1119" s="160"/>
      <c r="T1119" s="207"/>
      <c r="U1119" s="160"/>
      <c r="V1119" s="160"/>
      <c r="W1119" s="160"/>
      <c r="X1119" s="160"/>
      <c r="Y1119" s="160"/>
      <c r="Z1119" s="160"/>
      <c r="AA1119" s="160"/>
      <c r="AB1119" s="160"/>
      <c r="AC1119" s="160"/>
      <c r="AD1119" s="160"/>
      <c r="AE1119" s="160"/>
      <c r="AF1119" s="160"/>
      <c r="AG1119" s="160"/>
      <c r="AH1119" s="160"/>
      <c r="AI1119" s="160"/>
      <c r="AJ1119" s="160"/>
      <c r="AK1119" s="160"/>
      <c r="AL1119" s="160"/>
      <c r="AM1119" s="160"/>
      <c r="AN1119" s="164"/>
      <c r="AO1119" s="160"/>
      <c r="AP1119" s="160"/>
      <c r="AQ1119" s="160"/>
      <c r="AR1119" s="160"/>
      <c r="AS1119" s="160"/>
      <c r="AT1119" s="160"/>
      <c r="AU1119" s="160"/>
      <c r="AV1119" s="160"/>
      <c r="AW1119" s="160"/>
      <c r="AX1119" s="160"/>
      <c r="AY1119" s="160"/>
      <c r="AZ1119" s="160"/>
      <c r="BA1119" s="160"/>
      <c r="BB1119" s="160"/>
      <c r="BC1119" s="160"/>
      <c r="BD1119" s="160"/>
      <c r="BE1119" s="160"/>
      <c r="BF1119" s="160"/>
      <c r="BG1119" s="160"/>
      <c r="BH1119" s="160"/>
      <c r="BI1119" s="160"/>
      <c r="BJ1119" s="160"/>
      <c r="BK1119" s="160"/>
      <c r="BL1119" s="160"/>
      <c r="BM1119" s="160"/>
      <c r="BN1119" s="160"/>
      <c r="BO1119" s="160"/>
      <c r="BP1119" s="160"/>
      <c r="BQ1119" s="160"/>
      <c r="BR1119" s="160"/>
      <c r="BS1119" s="160"/>
      <c r="BT1119" s="160"/>
      <c r="BU1119" s="160"/>
      <c r="BV1119" s="160"/>
      <c r="BW1119" s="160"/>
      <c r="BX1119" s="160"/>
      <c r="BY1119" s="160"/>
      <c r="BZ1119" s="160"/>
      <c r="CA1119" s="160"/>
      <c r="CB1119" s="160"/>
      <c r="CC1119" s="160"/>
      <c r="CD1119" s="160"/>
      <c r="CE1119" s="160"/>
      <c r="CF1119" s="160"/>
      <c r="CG1119" s="160"/>
      <c r="CH1119" s="160"/>
      <c r="CI1119" s="160"/>
      <c r="CJ1119" s="160"/>
      <c r="CK1119" s="160"/>
      <c r="CL1119" s="160"/>
    </row>
    <row r="1120">
      <c r="A1120" s="171"/>
      <c r="F1120" s="11"/>
      <c r="G1120" s="11"/>
      <c r="L1120" s="171"/>
      <c r="M1120" s="171"/>
      <c r="O1120" s="160"/>
      <c r="P1120" s="160"/>
      <c r="Q1120" s="160"/>
      <c r="R1120" s="160"/>
      <c r="S1120" s="160"/>
      <c r="T1120" s="207"/>
      <c r="U1120" s="160"/>
      <c r="V1120" s="160"/>
      <c r="W1120" s="160"/>
      <c r="X1120" s="160"/>
      <c r="Y1120" s="160"/>
      <c r="Z1120" s="160"/>
      <c r="AA1120" s="160"/>
      <c r="AB1120" s="160"/>
      <c r="AC1120" s="160"/>
      <c r="AD1120" s="160"/>
      <c r="AE1120" s="160"/>
      <c r="AF1120" s="160"/>
      <c r="AG1120" s="160"/>
      <c r="AH1120" s="160"/>
      <c r="AI1120" s="160"/>
      <c r="AJ1120" s="160"/>
      <c r="AK1120" s="160"/>
      <c r="AL1120" s="160"/>
      <c r="AM1120" s="160"/>
      <c r="AN1120" s="164"/>
      <c r="AO1120" s="160"/>
      <c r="AP1120" s="160"/>
      <c r="AQ1120" s="160"/>
      <c r="AR1120" s="160"/>
      <c r="AS1120" s="160"/>
      <c r="AT1120" s="160"/>
      <c r="AU1120" s="160"/>
      <c r="AV1120" s="160"/>
      <c r="AW1120" s="160"/>
      <c r="AX1120" s="160"/>
      <c r="AY1120" s="160"/>
      <c r="AZ1120" s="160"/>
      <c r="BA1120" s="160"/>
      <c r="BB1120" s="160"/>
      <c r="BC1120" s="160"/>
      <c r="BD1120" s="160"/>
      <c r="BE1120" s="160"/>
      <c r="BF1120" s="160"/>
      <c r="BG1120" s="160"/>
      <c r="BH1120" s="160"/>
      <c r="BI1120" s="160"/>
      <c r="BJ1120" s="160"/>
      <c r="BK1120" s="160"/>
      <c r="BL1120" s="160"/>
      <c r="BM1120" s="160"/>
      <c r="BN1120" s="160"/>
      <c r="BO1120" s="160"/>
      <c r="BP1120" s="160"/>
      <c r="BQ1120" s="160"/>
      <c r="BR1120" s="160"/>
      <c r="BS1120" s="160"/>
      <c r="BT1120" s="160"/>
      <c r="BU1120" s="160"/>
      <c r="BV1120" s="160"/>
      <c r="BW1120" s="160"/>
      <c r="BX1120" s="160"/>
      <c r="BY1120" s="160"/>
      <c r="BZ1120" s="160"/>
      <c r="CA1120" s="160"/>
      <c r="CB1120" s="160"/>
      <c r="CC1120" s="160"/>
      <c r="CD1120" s="160"/>
      <c r="CE1120" s="160"/>
      <c r="CF1120" s="160"/>
      <c r="CG1120" s="160"/>
      <c r="CH1120" s="160"/>
      <c r="CI1120" s="160"/>
      <c r="CJ1120" s="160"/>
      <c r="CK1120" s="160"/>
      <c r="CL1120" s="160"/>
    </row>
    <row r="1121">
      <c r="A1121" s="171"/>
      <c r="F1121" s="11"/>
      <c r="G1121" s="11"/>
      <c r="L1121" s="171"/>
      <c r="M1121" s="171"/>
      <c r="O1121" s="160"/>
      <c r="P1121" s="160"/>
      <c r="Q1121" s="160"/>
      <c r="R1121" s="160"/>
      <c r="S1121" s="160"/>
      <c r="T1121" s="207"/>
      <c r="U1121" s="160"/>
      <c r="V1121" s="160"/>
      <c r="W1121" s="160"/>
      <c r="X1121" s="160"/>
      <c r="Y1121" s="160"/>
      <c r="Z1121" s="160"/>
      <c r="AA1121" s="160"/>
      <c r="AB1121" s="160"/>
      <c r="AC1121" s="160"/>
      <c r="AD1121" s="160"/>
      <c r="AE1121" s="160"/>
      <c r="AF1121" s="160"/>
      <c r="AG1121" s="160"/>
      <c r="AH1121" s="160"/>
      <c r="AI1121" s="160"/>
      <c r="AJ1121" s="160"/>
      <c r="AK1121" s="160"/>
      <c r="AL1121" s="160"/>
      <c r="AM1121" s="160"/>
      <c r="AN1121" s="164"/>
      <c r="AO1121" s="160"/>
      <c r="AP1121" s="160"/>
      <c r="AQ1121" s="160"/>
      <c r="AR1121" s="160"/>
      <c r="AS1121" s="160"/>
      <c r="AT1121" s="160"/>
      <c r="AU1121" s="160"/>
      <c r="AV1121" s="160"/>
      <c r="AW1121" s="160"/>
      <c r="AX1121" s="160"/>
      <c r="AY1121" s="160"/>
      <c r="AZ1121" s="160"/>
      <c r="BA1121" s="160"/>
      <c r="BB1121" s="160"/>
      <c r="BC1121" s="160"/>
      <c r="BD1121" s="160"/>
      <c r="BE1121" s="160"/>
      <c r="BF1121" s="160"/>
      <c r="BG1121" s="160"/>
      <c r="BH1121" s="160"/>
      <c r="BI1121" s="160"/>
      <c r="BJ1121" s="160"/>
      <c r="BK1121" s="160"/>
      <c r="BL1121" s="160"/>
      <c r="BM1121" s="160"/>
      <c r="BN1121" s="160"/>
      <c r="BO1121" s="160"/>
      <c r="BP1121" s="160"/>
      <c r="BQ1121" s="160"/>
      <c r="BR1121" s="160"/>
      <c r="BS1121" s="160"/>
      <c r="BT1121" s="160"/>
      <c r="BU1121" s="160"/>
      <c r="BV1121" s="160"/>
      <c r="BW1121" s="160"/>
      <c r="BX1121" s="160"/>
      <c r="BY1121" s="160"/>
      <c r="BZ1121" s="160"/>
      <c r="CA1121" s="160"/>
      <c r="CB1121" s="160"/>
      <c r="CC1121" s="160"/>
      <c r="CD1121" s="160"/>
      <c r="CE1121" s="160"/>
      <c r="CF1121" s="160"/>
      <c r="CG1121" s="160"/>
      <c r="CH1121" s="160"/>
      <c r="CI1121" s="160"/>
      <c r="CJ1121" s="160"/>
      <c r="CK1121" s="160"/>
      <c r="CL1121" s="160"/>
    </row>
    <row r="1122">
      <c r="A1122" s="171"/>
      <c r="F1122" s="11"/>
      <c r="G1122" s="11"/>
      <c r="L1122" s="171"/>
      <c r="M1122" s="171"/>
      <c r="O1122" s="160"/>
      <c r="P1122" s="160"/>
      <c r="Q1122" s="160"/>
      <c r="R1122" s="160"/>
      <c r="S1122" s="160"/>
      <c r="T1122" s="207"/>
      <c r="U1122" s="160"/>
      <c r="V1122" s="160"/>
      <c r="W1122" s="160"/>
      <c r="X1122" s="160"/>
      <c r="Y1122" s="160"/>
      <c r="Z1122" s="160"/>
      <c r="AA1122" s="160"/>
      <c r="AB1122" s="160"/>
      <c r="AC1122" s="160"/>
      <c r="AD1122" s="160"/>
      <c r="AE1122" s="160"/>
      <c r="AF1122" s="160"/>
      <c r="AG1122" s="160"/>
      <c r="AH1122" s="160"/>
      <c r="AI1122" s="160"/>
      <c r="AJ1122" s="160"/>
      <c r="AK1122" s="160"/>
      <c r="AL1122" s="160"/>
      <c r="AM1122" s="160"/>
      <c r="AN1122" s="164"/>
      <c r="AO1122" s="160"/>
      <c r="AP1122" s="160"/>
      <c r="AQ1122" s="160"/>
      <c r="AR1122" s="160"/>
      <c r="AS1122" s="160"/>
      <c r="AT1122" s="160"/>
      <c r="AU1122" s="160"/>
      <c r="AV1122" s="160"/>
      <c r="AW1122" s="160"/>
      <c r="AX1122" s="160"/>
      <c r="AY1122" s="160"/>
      <c r="AZ1122" s="160"/>
      <c r="BA1122" s="160"/>
      <c r="BB1122" s="160"/>
      <c r="BC1122" s="160"/>
      <c r="BD1122" s="160"/>
      <c r="BE1122" s="160"/>
      <c r="BF1122" s="160"/>
      <c r="BG1122" s="160"/>
      <c r="BH1122" s="160"/>
      <c r="BI1122" s="160"/>
      <c r="BJ1122" s="160"/>
      <c r="BK1122" s="160"/>
      <c r="BL1122" s="160"/>
      <c r="BM1122" s="160"/>
      <c r="BN1122" s="160"/>
      <c r="BO1122" s="160"/>
      <c r="BP1122" s="160"/>
      <c r="BQ1122" s="160"/>
      <c r="BR1122" s="160"/>
      <c r="BS1122" s="160"/>
      <c r="BT1122" s="160"/>
      <c r="BU1122" s="160"/>
      <c r="BV1122" s="160"/>
      <c r="BW1122" s="160"/>
      <c r="BX1122" s="160"/>
      <c r="BY1122" s="160"/>
      <c r="BZ1122" s="160"/>
      <c r="CA1122" s="160"/>
      <c r="CB1122" s="160"/>
      <c r="CC1122" s="160"/>
      <c r="CD1122" s="160"/>
      <c r="CE1122" s="160"/>
      <c r="CF1122" s="160"/>
      <c r="CG1122" s="160"/>
      <c r="CH1122" s="160"/>
      <c r="CI1122" s="160"/>
      <c r="CJ1122" s="160"/>
      <c r="CK1122" s="160"/>
      <c r="CL1122" s="160"/>
    </row>
    <row r="1123">
      <c r="A1123" s="171"/>
      <c r="F1123" s="11"/>
      <c r="G1123" s="11"/>
      <c r="L1123" s="171"/>
      <c r="M1123" s="171"/>
      <c r="O1123" s="160"/>
      <c r="P1123" s="160"/>
      <c r="Q1123" s="160"/>
      <c r="R1123" s="160"/>
      <c r="S1123" s="160"/>
      <c r="T1123" s="207"/>
      <c r="U1123" s="160"/>
      <c r="V1123" s="160"/>
      <c r="W1123" s="160"/>
      <c r="X1123" s="160"/>
      <c r="Y1123" s="160"/>
      <c r="Z1123" s="160"/>
      <c r="AA1123" s="160"/>
      <c r="AB1123" s="160"/>
      <c r="AC1123" s="160"/>
      <c r="AD1123" s="160"/>
      <c r="AE1123" s="160"/>
      <c r="AF1123" s="160"/>
      <c r="AG1123" s="160"/>
      <c r="AH1123" s="160"/>
      <c r="AI1123" s="160"/>
      <c r="AJ1123" s="160"/>
      <c r="AK1123" s="160"/>
      <c r="AL1123" s="160"/>
      <c r="AM1123" s="160"/>
      <c r="AN1123" s="164"/>
      <c r="AO1123" s="160"/>
      <c r="AP1123" s="160"/>
      <c r="AQ1123" s="160"/>
      <c r="AR1123" s="160"/>
      <c r="AS1123" s="160"/>
      <c r="AT1123" s="160"/>
      <c r="AU1123" s="160"/>
      <c r="AV1123" s="160"/>
      <c r="AW1123" s="160"/>
      <c r="AX1123" s="160"/>
      <c r="AY1123" s="160"/>
      <c r="AZ1123" s="160"/>
      <c r="BA1123" s="160"/>
      <c r="BB1123" s="160"/>
      <c r="BC1123" s="160"/>
      <c r="BD1123" s="160"/>
      <c r="BE1123" s="160"/>
      <c r="BF1123" s="160"/>
      <c r="BG1123" s="160"/>
      <c r="BH1123" s="160"/>
      <c r="BI1123" s="160"/>
      <c r="BJ1123" s="160"/>
      <c r="BK1123" s="160"/>
      <c r="BL1123" s="160"/>
      <c r="BM1123" s="160"/>
      <c r="BN1123" s="160"/>
      <c r="BO1123" s="160"/>
      <c r="BP1123" s="160"/>
      <c r="BQ1123" s="160"/>
      <c r="BR1123" s="160"/>
      <c r="BS1123" s="160"/>
      <c r="BT1123" s="160"/>
      <c r="BU1123" s="160"/>
      <c r="BV1123" s="160"/>
      <c r="BW1123" s="160"/>
      <c r="BX1123" s="160"/>
      <c r="BY1123" s="160"/>
      <c r="BZ1123" s="160"/>
      <c r="CA1123" s="160"/>
      <c r="CB1123" s="160"/>
      <c r="CC1123" s="160"/>
      <c r="CD1123" s="160"/>
      <c r="CE1123" s="160"/>
      <c r="CF1123" s="160"/>
      <c r="CG1123" s="160"/>
      <c r="CH1123" s="160"/>
      <c r="CI1123" s="160"/>
      <c r="CJ1123" s="160"/>
      <c r="CK1123" s="160"/>
      <c r="CL1123" s="160"/>
    </row>
    <row r="1124">
      <c r="A1124" s="171"/>
      <c r="F1124" s="11"/>
      <c r="G1124" s="11"/>
      <c r="L1124" s="171"/>
      <c r="M1124" s="171"/>
      <c r="O1124" s="160"/>
      <c r="P1124" s="160"/>
      <c r="Q1124" s="160"/>
      <c r="R1124" s="160"/>
      <c r="S1124" s="160"/>
      <c r="T1124" s="207"/>
      <c r="U1124" s="160"/>
      <c r="V1124" s="160"/>
      <c r="W1124" s="160"/>
      <c r="X1124" s="160"/>
      <c r="Y1124" s="160"/>
      <c r="Z1124" s="160"/>
      <c r="AA1124" s="160"/>
      <c r="AB1124" s="160"/>
      <c r="AC1124" s="160"/>
      <c r="AD1124" s="160"/>
      <c r="AE1124" s="160"/>
      <c r="AF1124" s="160"/>
      <c r="AG1124" s="160"/>
      <c r="AH1124" s="160"/>
      <c r="AI1124" s="160"/>
      <c r="AJ1124" s="160"/>
      <c r="AK1124" s="160"/>
      <c r="AL1124" s="160"/>
      <c r="AM1124" s="160"/>
      <c r="AN1124" s="164"/>
      <c r="AO1124" s="160"/>
      <c r="AP1124" s="160"/>
      <c r="AQ1124" s="160"/>
      <c r="AR1124" s="160"/>
      <c r="AS1124" s="160"/>
      <c r="AT1124" s="160"/>
      <c r="AU1124" s="160"/>
      <c r="AV1124" s="160"/>
      <c r="AW1124" s="160"/>
      <c r="AX1124" s="160"/>
      <c r="AY1124" s="160"/>
      <c r="AZ1124" s="160"/>
      <c r="BA1124" s="160"/>
      <c r="BB1124" s="160"/>
      <c r="BC1124" s="160"/>
      <c r="BD1124" s="160"/>
      <c r="BE1124" s="160"/>
      <c r="BF1124" s="160"/>
      <c r="BG1124" s="160"/>
      <c r="BH1124" s="160"/>
      <c r="BI1124" s="160"/>
      <c r="BJ1124" s="160"/>
      <c r="BK1124" s="160"/>
      <c r="BL1124" s="160"/>
      <c r="BM1124" s="160"/>
      <c r="BN1124" s="160"/>
      <c r="BO1124" s="160"/>
      <c r="BP1124" s="160"/>
      <c r="BQ1124" s="160"/>
      <c r="BR1124" s="160"/>
      <c r="BS1124" s="160"/>
      <c r="BT1124" s="160"/>
      <c r="BU1124" s="160"/>
      <c r="BV1124" s="160"/>
      <c r="BW1124" s="160"/>
      <c r="BX1124" s="160"/>
      <c r="BY1124" s="160"/>
      <c r="BZ1124" s="160"/>
      <c r="CA1124" s="160"/>
      <c r="CB1124" s="160"/>
      <c r="CC1124" s="160"/>
      <c r="CD1124" s="160"/>
      <c r="CE1124" s="160"/>
      <c r="CF1124" s="160"/>
      <c r="CG1124" s="160"/>
      <c r="CH1124" s="160"/>
      <c r="CI1124" s="160"/>
      <c r="CJ1124" s="160"/>
      <c r="CK1124" s="160"/>
      <c r="CL1124" s="160"/>
    </row>
    <row r="1125">
      <c r="A1125" s="171"/>
      <c r="F1125" s="11"/>
      <c r="G1125" s="11"/>
      <c r="L1125" s="171"/>
      <c r="M1125" s="171"/>
      <c r="O1125" s="160"/>
      <c r="P1125" s="160"/>
      <c r="Q1125" s="160"/>
      <c r="R1125" s="160"/>
      <c r="S1125" s="160"/>
      <c r="T1125" s="207"/>
      <c r="U1125" s="160"/>
      <c r="V1125" s="160"/>
      <c r="W1125" s="160"/>
      <c r="X1125" s="160"/>
      <c r="Y1125" s="160"/>
      <c r="Z1125" s="160"/>
      <c r="AA1125" s="160"/>
      <c r="AB1125" s="160"/>
      <c r="AC1125" s="160"/>
      <c r="AD1125" s="160"/>
      <c r="AE1125" s="160"/>
      <c r="AF1125" s="160"/>
      <c r="AG1125" s="160"/>
      <c r="AH1125" s="160"/>
      <c r="AI1125" s="160"/>
      <c r="AJ1125" s="160"/>
      <c r="AK1125" s="160"/>
      <c r="AL1125" s="160"/>
      <c r="AM1125" s="160"/>
      <c r="AN1125" s="164"/>
      <c r="AO1125" s="160"/>
      <c r="AP1125" s="160"/>
      <c r="AQ1125" s="160"/>
      <c r="AR1125" s="160"/>
      <c r="AS1125" s="160"/>
      <c r="AT1125" s="160"/>
      <c r="AU1125" s="160"/>
      <c r="AV1125" s="160"/>
      <c r="AW1125" s="160"/>
      <c r="AX1125" s="160"/>
      <c r="AY1125" s="160"/>
      <c r="AZ1125" s="160"/>
      <c r="BA1125" s="160"/>
      <c r="BB1125" s="160"/>
      <c r="BC1125" s="160"/>
      <c r="BD1125" s="160"/>
      <c r="BE1125" s="160"/>
      <c r="BF1125" s="160"/>
      <c r="BG1125" s="160"/>
      <c r="BH1125" s="160"/>
      <c r="BI1125" s="160"/>
      <c r="BJ1125" s="160"/>
      <c r="BK1125" s="160"/>
      <c r="BL1125" s="160"/>
      <c r="BM1125" s="160"/>
      <c r="BN1125" s="160"/>
      <c r="BO1125" s="160"/>
      <c r="BP1125" s="160"/>
      <c r="BQ1125" s="160"/>
      <c r="BR1125" s="160"/>
      <c r="BS1125" s="160"/>
      <c r="BT1125" s="160"/>
      <c r="BU1125" s="160"/>
      <c r="BV1125" s="160"/>
      <c r="BW1125" s="160"/>
      <c r="BX1125" s="160"/>
      <c r="BY1125" s="160"/>
      <c r="BZ1125" s="160"/>
      <c r="CA1125" s="160"/>
      <c r="CB1125" s="160"/>
      <c r="CC1125" s="160"/>
      <c r="CD1125" s="160"/>
      <c r="CE1125" s="160"/>
      <c r="CF1125" s="160"/>
      <c r="CG1125" s="160"/>
      <c r="CH1125" s="160"/>
      <c r="CI1125" s="160"/>
      <c r="CJ1125" s="160"/>
      <c r="CK1125" s="160"/>
      <c r="CL1125" s="160"/>
    </row>
    <row r="1126">
      <c r="A1126" s="171"/>
      <c r="F1126" s="11"/>
      <c r="G1126" s="11"/>
      <c r="L1126" s="171"/>
      <c r="M1126" s="171"/>
      <c r="O1126" s="160"/>
      <c r="P1126" s="160"/>
      <c r="Q1126" s="160"/>
      <c r="R1126" s="160"/>
      <c r="S1126" s="160"/>
      <c r="T1126" s="207"/>
      <c r="U1126" s="160"/>
      <c r="V1126" s="160"/>
      <c r="W1126" s="160"/>
      <c r="X1126" s="160"/>
      <c r="Y1126" s="160"/>
      <c r="Z1126" s="160"/>
      <c r="AA1126" s="160"/>
      <c r="AB1126" s="160"/>
      <c r="AC1126" s="160"/>
      <c r="AD1126" s="160"/>
      <c r="AE1126" s="160"/>
      <c r="AF1126" s="160"/>
      <c r="AG1126" s="160"/>
      <c r="AH1126" s="160"/>
      <c r="AI1126" s="160"/>
      <c r="AJ1126" s="160"/>
      <c r="AK1126" s="160"/>
      <c r="AL1126" s="160"/>
      <c r="AM1126" s="160"/>
      <c r="AN1126" s="164"/>
      <c r="AO1126" s="160"/>
      <c r="AP1126" s="160"/>
      <c r="AQ1126" s="160"/>
      <c r="AR1126" s="160"/>
      <c r="AS1126" s="160"/>
      <c r="AT1126" s="160"/>
      <c r="AU1126" s="160"/>
      <c r="AV1126" s="160"/>
      <c r="AW1126" s="160"/>
      <c r="AX1126" s="160"/>
      <c r="AY1126" s="160"/>
      <c r="AZ1126" s="160"/>
      <c r="BA1126" s="160"/>
      <c r="BB1126" s="160"/>
      <c r="BC1126" s="160"/>
      <c r="BD1126" s="160"/>
      <c r="BE1126" s="160"/>
      <c r="BF1126" s="160"/>
      <c r="BG1126" s="160"/>
      <c r="BH1126" s="160"/>
      <c r="BI1126" s="160"/>
      <c r="BJ1126" s="160"/>
      <c r="BK1126" s="160"/>
      <c r="BL1126" s="160"/>
      <c r="BM1126" s="160"/>
      <c r="BN1126" s="160"/>
      <c r="BO1126" s="160"/>
      <c r="BP1126" s="160"/>
      <c r="BQ1126" s="160"/>
      <c r="BR1126" s="160"/>
      <c r="BS1126" s="160"/>
      <c r="BT1126" s="160"/>
      <c r="BU1126" s="160"/>
      <c r="BV1126" s="160"/>
      <c r="BW1126" s="160"/>
      <c r="BX1126" s="160"/>
      <c r="BY1126" s="160"/>
      <c r="BZ1126" s="160"/>
      <c r="CA1126" s="160"/>
      <c r="CB1126" s="160"/>
      <c r="CC1126" s="160"/>
      <c r="CD1126" s="160"/>
      <c r="CE1126" s="160"/>
      <c r="CF1126" s="160"/>
      <c r="CG1126" s="160"/>
      <c r="CH1126" s="160"/>
      <c r="CI1126" s="160"/>
      <c r="CJ1126" s="160"/>
      <c r="CK1126" s="160"/>
      <c r="CL1126" s="160"/>
    </row>
    <row r="1127">
      <c r="A1127" s="171"/>
      <c r="F1127" s="11"/>
      <c r="G1127" s="11"/>
      <c r="L1127" s="171"/>
      <c r="M1127" s="171"/>
      <c r="O1127" s="160"/>
      <c r="P1127" s="160"/>
      <c r="Q1127" s="160"/>
      <c r="R1127" s="160"/>
      <c r="S1127" s="160"/>
      <c r="T1127" s="207"/>
      <c r="U1127" s="160"/>
      <c r="V1127" s="160"/>
      <c r="W1127" s="160"/>
      <c r="X1127" s="160"/>
      <c r="Y1127" s="160"/>
      <c r="Z1127" s="160"/>
      <c r="AA1127" s="160"/>
      <c r="AB1127" s="160"/>
      <c r="AC1127" s="160"/>
      <c r="AD1127" s="160"/>
      <c r="AE1127" s="160"/>
      <c r="AF1127" s="160"/>
      <c r="AG1127" s="160"/>
      <c r="AH1127" s="160"/>
      <c r="AI1127" s="160"/>
      <c r="AJ1127" s="160"/>
      <c r="AK1127" s="160"/>
      <c r="AL1127" s="160"/>
      <c r="AM1127" s="160"/>
      <c r="AN1127" s="164"/>
      <c r="AO1127" s="160"/>
      <c r="AP1127" s="160"/>
      <c r="AQ1127" s="160"/>
      <c r="AR1127" s="160"/>
      <c r="AS1127" s="160"/>
      <c r="AT1127" s="160"/>
      <c r="AU1127" s="160"/>
      <c r="AV1127" s="160"/>
      <c r="AW1127" s="160"/>
      <c r="AX1127" s="160"/>
      <c r="AY1127" s="160"/>
      <c r="AZ1127" s="160"/>
      <c r="BA1127" s="160"/>
      <c r="BB1127" s="160"/>
      <c r="BC1127" s="160"/>
      <c r="BD1127" s="160"/>
      <c r="BE1127" s="160"/>
      <c r="BF1127" s="160"/>
      <c r="BG1127" s="160"/>
      <c r="BH1127" s="160"/>
      <c r="BI1127" s="160"/>
      <c r="BJ1127" s="160"/>
      <c r="BK1127" s="160"/>
      <c r="BL1127" s="160"/>
      <c r="BM1127" s="160"/>
      <c r="BN1127" s="160"/>
      <c r="BO1127" s="160"/>
      <c r="BP1127" s="160"/>
      <c r="BQ1127" s="160"/>
      <c r="BR1127" s="160"/>
      <c r="BS1127" s="160"/>
      <c r="BT1127" s="160"/>
      <c r="BU1127" s="160"/>
      <c r="BV1127" s="160"/>
      <c r="BW1127" s="160"/>
      <c r="BX1127" s="160"/>
      <c r="BY1127" s="160"/>
      <c r="BZ1127" s="160"/>
      <c r="CA1127" s="160"/>
      <c r="CB1127" s="160"/>
      <c r="CC1127" s="160"/>
      <c r="CD1127" s="160"/>
      <c r="CE1127" s="160"/>
      <c r="CF1127" s="160"/>
      <c r="CG1127" s="160"/>
      <c r="CH1127" s="160"/>
      <c r="CI1127" s="160"/>
      <c r="CJ1127" s="160"/>
      <c r="CK1127" s="160"/>
      <c r="CL1127" s="160"/>
    </row>
    <row r="1128">
      <c r="A1128" s="171"/>
      <c r="F1128" s="11"/>
      <c r="G1128" s="11"/>
      <c r="L1128" s="171"/>
      <c r="M1128" s="171"/>
      <c r="O1128" s="160"/>
      <c r="P1128" s="160"/>
      <c r="Q1128" s="160"/>
      <c r="R1128" s="160"/>
      <c r="S1128" s="160"/>
      <c r="T1128" s="207"/>
      <c r="U1128" s="160"/>
      <c r="V1128" s="160"/>
      <c r="W1128" s="160"/>
      <c r="X1128" s="160"/>
      <c r="Y1128" s="160"/>
      <c r="Z1128" s="160"/>
      <c r="AA1128" s="160"/>
      <c r="AB1128" s="160"/>
      <c r="AC1128" s="160"/>
      <c r="AD1128" s="160"/>
      <c r="AE1128" s="160"/>
      <c r="AF1128" s="160"/>
      <c r="AG1128" s="160"/>
      <c r="AH1128" s="160"/>
      <c r="AI1128" s="160"/>
      <c r="AJ1128" s="160"/>
      <c r="AK1128" s="160"/>
      <c r="AL1128" s="160"/>
      <c r="AM1128" s="160"/>
      <c r="AN1128" s="164"/>
      <c r="AO1128" s="160"/>
      <c r="AP1128" s="160"/>
      <c r="AQ1128" s="160"/>
      <c r="AR1128" s="160"/>
      <c r="AS1128" s="160"/>
      <c r="AT1128" s="160"/>
      <c r="AU1128" s="160"/>
      <c r="AV1128" s="160"/>
      <c r="AW1128" s="160"/>
      <c r="AX1128" s="160"/>
      <c r="AY1128" s="160"/>
      <c r="AZ1128" s="160"/>
      <c r="BA1128" s="160"/>
      <c r="BB1128" s="160"/>
      <c r="BC1128" s="160"/>
      <c r="BD1128" s="160"/>
      <c r="BE1128" s="160"/>
      <c r="BF1128" s="160"/>
      <c r="BG1128" s="160"/>
      <c r="BH1128" s="160"/>
      <c r="BI1128" s="160"/>
      <c r="BJ1128" s="160"/>
      <c r="BK1128" s="160"/>
      <c r="BL1128" s="160"/>
      <c r="BM1128" s="160"/>
      <c r="BN1128" s="160"/>
      <c r="BO1128" s="160"/>
      <c r="BP1128" s="160"/>
      <c r="BQ1128" s="160"/>
      <c r="BR1128" s="160"/>
      <c r="BS1128" s="160"/>
      <c r="BT1128" s="160"/>
      <c r="BU1128" s="160"/>
      <c r="BV1128" s="160"/>
      <c r="BW1128" s="160"/>
      <c r="BX1128" s="160"/>
      <c r="BY1128" s="160"/>
      <c r="BZ1128" s="160"/>
      <c r="CA1128" s="160"/>
      <c r="CB1128" s="160"/>
      <c r="CC1128" s="160"/>
      <c r="CD1128" s="160"/>
      <c r="CE1128" s="160"/>
      <c r="CF1128" s="160"/>
      <c r="CG1128" s="160"/>
      <c r="CH1128" s="160"/>
      <c r="CI1128" s="160"/>
      <c r="CJ1128" s="160"/>
      <c r="CK1128" s="160"/>
      <c r="CL1128" s="160"/>
    </row>
    <row r="1129">
      <c r="A1129" s="171"/>
      <c r="F1129" s="11"/>
      <c r="G1129" s="11"/>
      <c r="L1129" s="171"/>
      <c r="M1129" s="171"/>
      <c r="O1129" s="160"/>
      <c r="P1129" s="160"/>
      <c r="Q1129" s="160"/>
      <c r="R1129" s="160"/>
      <c r="S1129" s="160"/>
      <c r="T1129" s="207"/>
      <c r="U1129" s="160"/>
      <c r="V1129" s="160"/>
      <c r="W1129" s="160"/>
      <c r="X1129" s="160"/>
      <c r="Y1129" s="160"/>
      <c r="Z1129" s="160"/>
      <c r="AA1129" s="160"/>
      <c r="AB1129" s="160"/>
      <c r="AC1129" s="160"/>
      <c r="AD1129" s="160"/>
      <c r="AE1129" s="160"/>
      <c r="AF1129" s="160"/>
      <c r="AG1129" s="160"/>
      <c r="AH1129" s="160"/>
      <c r="AI1129" s="160"/>
      <c r="AJ1129" s="160"/>
      <c r="AK1129" s="160"/>
      <c r="AL1129" s="160"/>
      <c r="AM1129" s="160"/>
      <c r="AN1129" s="164"/>
      <c r="AO1129" s="160"/>
      <c r="AP1129" s="160"/>
      <c r="AQ1129" s="160"/>
      <c r="AR1129" s="160"/>
      <c r="AS1129" s="160"/>
      <c r="AT1129" s="160"/>
      <c r="AU1129" s="160"/>
      <c r="AV1129" s="160"/>
      <c r="AW1129" s="160"/>
      <c r="AX1129" s="160"/>
      <c r="AY1129" s="160"/>
      <c r="AZ1129" s="160"/>
      <c r="BA1129" s="160"/>
      <c r="BB1129" s="160"/>
      <c r="BC1129" s="160"/>
      <c r="BD1129" s="160"/>
      <c r="BE1129" s="160"/>
      <c r="BF1129" s="160"/>
      <c r="BG1129" s="160"/>
      <c r="BH1129" s="160"/>
      <c r="BI1129" s="160"/>
      <c r="BJ1129" s="160"/>
      <c r="BK1129" s="160"/>
      <c r="BL1129" s="160"/>
      <c r="BM1129" s="160"/>
      <c r="BN1129" s="160"/>
      <c r="BO1129" s="160"/>
      <c r="BP1129" s="160"/>
      <c r="BQ1129" s="160"/>
      <c r="BR1129" s="160"/>
      <c r="BS1129" s="160"/>
      <c r="BT1129" s="160"/>
      <c r="BU1129" s="160"/>
      <c r="BV1129" s="160"/>
      <c r="BW1129" s="160"/>
      <c r="BX1129" s="160"/>
      <c r="BY1129" s="160"/>
      <c r="BZ1129" s="160"/>
      <c r="CA1129" s="160"/>
      <c r="CB1129" s="160"/>
      <c r="CC1129" s="160"/>
      <c r="CD1129" s="160"/>
      <c r="CE1129" s="160"/>
      <c r="CF1129" s="160"/>
      <c r="CG1129" s="160"/>
      <c r="CH1129" s="160"/>
      <c r="CI1129" s="160"/>
      <c r="CJ1129" s="160"/>
      <c r="CK1129" s="160"/>
      <c r="CL1129" s="160"/>
    </row>
    <row r="1130">
      <c r="A1130" s="171"/>
      <c r="F1130" s="11"/>
      <c r="G1130" s="11"/>
      <c r="L1130" s="171"/>
      <c r="M1130" s="171"/>
      <c r="O1130" s="160"/>
      <c r="P1130" s="160"/>
      <c r="Q1130" s="160"/>
      <c r="R1130" s="160"/>
      <c r="S1130" s="160"/>
      <c r="T1130" s="207"/>
      <c r="U1130" s="160"/>
      <c r="V1130" s="160"/>
      <c r="W1130" s="160"/>
      <c r="X1130" s="160"/>
      <c r="Y1130" s="160"/>
      <c r="Z1130" s="160"/>
      <c r="AA1130" s="160"/>
      <c r="AB1130" s="160"/>
      <c r="AC1130" s="160"/>
      <c r="AD1130" s="160"/>
      <c r="AE1130" s="160"/>
      <c r="AF1130" s="160"/>
      <c r="AG1130" s="160"/>
      <c r="AH1130" s="160"/>
      <c r="AI1130" s="160"/>
      <c r="AJ1130" s="160"/>
      <c r="AK1130" s="160"/>
      <c r="AL1130" s="160"/>
      <c r="AM1130" s="160"/>
      <c r="AN1130" s="164"/>
      <c r="AO1130" s="160"/>
      <c r="AP1130" s="160"/>
      <c r="AQ1130" s="160"/>
      <c r="AR1130" s="160"/>
      <c r="AS1130" s="160"/>
      <c r="AT1130" s="160"/>
      <c r="AU1130" s="160"/>
      <c r="AV1130" s="160"/>
      <c r="AW1130" s="160"/>
      <c r="AX1130" s="160"/>
      <c r="AY1130" s="160"/>
      <c r="AZ1130" s="160"/>
      <c r="BA1130" s="160"/>
      <c r="BB1130" s="160"/>
      <c r="BC1130" s="160"/>
      <c r="BD1130" s="160"/>
      <c r="BE1130" s="160"/>
      <c r="BF1130" s="160"/>
      <c r="BG1130" s="160"/>
      <c r="BH1130" s="160"/>
      <c r="BI1130" s="160"/>
      <c r="BJ1130" s="160"/>
      <c r="BK1130" s="160"/>
      <c r="BL1130" s="160"/>
      <c r="BM1130" s="160"/>
      <c r="BN1130" s="160"/>
      <c r="BO1130" s="160"/>
      <c r="BP1130" s="160"/>
      <c r="BQ1130" s="160"/>
      <c r="BR1130" s="160"/>
      <c r="BS1130" s="160"/>
      <c r="BT1130" s="160"/>
      <c r="BU1130" s="160"/>
      <c r="BV1130" s="160"/>
      <c r="BW1130" s="160"/>
      <c r="BX1130" s="160"/>
      <c r="BY1130" s="160"/>
      <c r="BZ1130" s="160"/>
      <c r="CA1130" s="160"/>
      <c r="CB1130" s="160"/>
      <c r="CC1130" s="160"/>
      <c r="CD1130" s="160"/>
      <c r="CE1130" s="160"/>
      <c r="CF1130" s="160"/>
      <c r="CG1130" s="160"/>
      <c r="CH1130" s="160"/>
      <c r="CI1130" s="160"/>
      <c r="CJ1130" s="160"/>
      <c r="CK1130" s="160"/>
      <c r="CL1130" s="160"/>
    </row>
    <row r="1131">
      <c r="A1131" s="171"/>
      <c r="F1131" s="11"/>
      <c r="G1131" s="11"/>
      <c r="L1131" s="171"/>
      <c r="M1131" s="171"/>
      <c r="O1131" s="160"/>
      <c r="P1131" s="160"/>
      <c r="Q1131" s="160"/>
      <c r="R1131" s="160"/>
      <c r="S1131" s="160"/>
      <c r="T1131" s="207"/>
      <c r="U1131" s="160"/>
      <c r="V1131" s="160"/>
      <c r="W1131" s="160"/>
      <c r="X1131" s="160"/>
      <c r="Y1131" s="160"/>
      <c r="Z1131" s="160"/>
      <c r="AA1131" s="160"/>
      <c r="AB1131" s="160"/>
      <c r="AC1131" s="160"/>
      <c r="AD1131" s="160"/>
      <c r="AE1131" s="160"/>
      <c r="AF1131" s="160"/>
      <c r="AG1131" s="160"/>
      <c r="AH1131" s="160"/>
      <c r="AI1131" s="160"/>
      <c r="AJ1131" s="160"/>
      <c r="AK1131" s="160"/>
      <c r="AL1131" s="160"/>
      <c r="AM1131" s="160"/>
      <c r="AN1131" s="164"/>
      <c r="AO1131" s="160"/>
      <c r="AP1131" s="160"/>
      <c r="AQ1131" s="160"/>
      <c r="AR1131" s="160"/>
      <c r="AS1131" s="160"/>
      <c r="AT1131" s="160"/>
      <c r="AU1131" s="160"/>
      <c r="AV1131" s="160"/>
      <c r="AW1131" s="160"/>
      <c r="AX1131" s="160"/>
      <c r="AY1131" s="160"/>
      <c r="AZ1131" s="160"/>
      <c r="BA1131" s="160"/>
      <c r="BB1131" s="160"/>
      <c r="BC1131" s="160"/>
      <c r="BD1131" s="160"/>
      <c r="BE1131" s="160"/>
      <c r="BF1131" s="160"/>
      <c r="BG1131" s="160"/>
      <c r="BH1131" s="160"/>
      <c r="BI1131" s="160"/>
      <c r="BJ1131" s="160"/>
      <c r="BK1131" s="160"/>
      <c r="BL1131" s="160"/>
      <c r="BM1131" s="160"/>
      <c r="BN1131" s="160"/>
      <c r="BO1131" s="160"/>
      <c r="BP1131" s="160"/>
      <c r="BQ1131" s="160"/>
      <c r="BR1131" s="160"/>
      <c r="BS1131" s="160"/>
      <c r="BT1131" s="160"/>
      <c r="BU1131" s="160"/>
      <c r="BV1131" s="160"/>
      <c r="BW1131" s="160"/>
      <c r="BX1131" s="160"/>
      <c r="BY1131" s="160"/>
      <c r="BZ1131" s="160"/>
      <c r="CA1131" s="160"/>
      <c r="CB1131" s="160"/>
      <c r="CC1131" s="160"/>
      <c r="CD1131" s="160"/>
      <c r="CE1131" s="160"/>
      <c r="CF1131" s="160"/>
      <c r="CG1131" s="160"/>
      <c r="CH1131" s="160"/>
      <c r="CI1131" s="160"/>
      <c r="CJ1131" s="160"/>
      <c r="CK1131" s="160"/>
      <c r="CL1131" s="160"/>
    </row>
    <row r="1132">
      <c r="A1132" s="171"/>
      <c r="F1132" s="11"/>
      <c r="G1132" s="11"/>
      <c r="L1132" s="171"/>
      <c r="M1132" s="171"/>
      <c r="O1132" s="160"/>
      <c r="P1132" s="160"/>
      <c r="Q1132" s="160"/>
      <c r="R1132" s="160"/>
      <c r="S1132" s="160"/>
      <c r="T1132" s="207"/>
      <c r="U1132" s="160"/>
      <c r="V1132" s="160"/>
      <c r="W1132" s="160"/>
      <c r="X1132" s="160"/>
      <c r="Y1132" s="160"/>
      <c r="Z1132" s="160"/>
      <c r="AA1132" s="160"/>
      <c r="AB1132" s="160"/>
      <c r="AC1132" s="160"/>
      <c r="AD1132" s="160"/>
      <c r="AE1132" s="160"/>
      <c r="AF1132" s="160"/>
      <c r="AG1132" s="160"/>
      <c r="AH1132" s="160"/>
      <c r="AI1132" s="160"/>
      <c r="AJ1132" s="160"/>
      <c r="AK1132" s="160"/>
      <c r="AL1132" s="160"/>
      <c r="AM1132" s="160"/>
      <c r="AN1132" s="164"/>
      <c r="AO1132" s="160"/>
      <c r="AP1132" s="160"/>
      <c r="AQ1132" s="160"/>
      <c r="AR1132" s="160"/>
      <c r="AS1132" s="160"/>
      <c r="AT1132" s="160"/>
      <c r="AU1132" s="160"/>
      <c r="AV1132" s="160"/>
      <c r="AW1132" s="160"/>
      <c r="AX1132" s="160"/>
      <c r="AY1132" s="160"/>
      <c r="AZ1132" s="160"/>
      <c r="BA1132" s="160"/>
      <c r="BB1132" s="160"/>
      <c r="BC1132" s="160"/>
      <c r="BD1132" s="160"/>
      <c r="BE1132" s="160"/>
      <c r="BF1132" s="160"/>
      <c r="BG1132" s="160"/>
      <c r="BH1132" s="160"/>
      <c r="BI1132" s="160"/>
      <c r="BJ1132" s="160"/>
      <c r="BK1132" s="160"/>
      <c r="BL1132" s="160"/>
      <c r="BM1132" s="160"/>
      <c r="BN1132" s="160"/>
      <c r="BO1132" s="160"/>
      <c r="BP1132" s="160"/>
      <c r="BQ1132" s="160"/>
      <c r="BR1132" s="160"/>
      <c r="BS1132" s="160"/>
      <c r="BT1132" s="160"/>
      <c r="BU1132" s="160"/>
      <c r="BV1132" s="160"/>
      <c r="BW1132" s="160"/>
      <c r="BX1132" s="160"/>
      <c r="BY1132" s="160"/>
      <c r="BZ1132" s="160"/>
      <c r="CA1132" s="160"/>
      <c r="CB1132" s="160"/>
      <c r="CC1132" s="160"/>
      <c r="CD1132" s="160"/>
      <c r="CE1132" s="160"/>
      <c r="CF1132" s="160"/>
      <c r="CG1132" s="160"/>
      <c r="CH1132" s="160"/>
      <c r="CI1132" s="160"/>
      <c r="CJ1132" s="160"/>
      <c r="CK1132" s="160"/>
      <c r="CL1132" s="160"/>
    </row>
    <row r="1133">
      <c r="A1133" s="171"/>
      <c r="F1133" s="11"/>
      <c r="G1133" s="11"/>
      <c r="L1133" s="171"/>
      <c r="M1133" s="171"/>
      <c r="O1133" s="160"/>
      <c r="P1133" s="160"/>
      <c r="Q1133" s="160"/>
      <c r="R1133" s="160"/>
      <c r="S1133" s="160"/>
      <c r="T1133" s="207"/>
      <c r="U1133" s="160"/>
      <c r="V1133" s="160"/>
      <c r="W1133" s="160"/>
      <c r="X1133" s="160"/>
      <c r="Y1133" s="160"/>
      <c r="Z1133" s="160"/>
      <c r="AA1133" s="160"/>
      <c r="AB1133" s="160"/>
      <c r="AC1133" s="160"/>
      <c r="AD1133" s="160"/>
      <c r="AE1133" s="160"/>
      <c r="AF1133" s="160"/>
      <c r="AG1133" s="160"/>
      <c r="AH1133" s="160"/>
      <c r="AI1133" s="160"/>
      <c r="AJ1133" s="160"/>
      <c r="AK1133" s="160"/>
      <c r="AL1133" s="160"/>
      <c r="AM1133" s="160"/>
      <c r="AN1133" s="164"/>
      <c r="AO1133" s="160"/>
      <c r="AP1133" s="160"/>
      <c r="AQ1133" s="160"/>
      <c r="AR1133" s="160"/>
      <c r="AS1133" s="160"/>
      <c r="AT1133" s="160"/>
      <c r="AU1133" s="160"/>
      <c r="AV1133" s="160"/>
      <c r="AW1133" s="160"/>
      <c r="AX1133" s="160"/>
      <c r="AY1133" s="160"/>
      <c r="AZ1133" s="160"/>
      <c r="BA1133" s="160"/>
      <c r="BB1133" s="160"/>
      <c r="BC1133" s="160"/>
      <c r="BD1133" s="160"/>
      <c r="BE1133" s="160"/>
      <c r="BF1133" s="160"/>
      <c r="BG1133" s="160"/>
      <c r="BH1133" s="160"/>
      <c r="BI1133" s="160"/>
      <c r="BJ1133" s="160"/>
      <c r="BK1133" s="160"/>
      <c r="BL1133" s="160"/>
      <c r="BM1133" s="160"/>
      <c r="BN1133" s="160"/>
      <c r="BO1133" s="160"/>
      <c r="BP1133" s="160"/>
      <c r="BQ1133" s="160"/>
      <c r="BR1133" s="160"/>
      <c r="BS1133" s="160"/>
      <c r="BT1133" s="160"/>
      <c r="BU1133" s="160"/>
      <c r="BV1133" s="160"/>
      <c r="BW1133" s="160"/>
      <c r="BX1133" s="160"/>
      <c r="BY1133" s="160"/>
      <c r="BZ1133" s="160"/>
      <c r="CA1133" s="160"/>
      <c r="CB1133" s="160"/>
      <c r="CC1133" s="160"/>
      <c r="CD1133" s="160"/>
      <c r="CE1133" s="160"/>
      <c r="CF1133" s="160"/>
      <c r="CG1133" s="160"/>
      <c r="CH1133" s="160"/>
      <c r="CI1133" s="160"/>
      <c r="CJ1133" s="160"/>
      <c r="CK1133" s="160"/>
      <c r="CL1133" s="160"/>
    </row>
    <row r="1134">
      <c r="A1134" s="171"/>
      <c r="F1134" s="11"/>
      <c r="G1134" s="11"/>
      <c r="L1134" s="171"/>
      <c r="M1134" s="171"/>
      <c r="O1134" s="160"/>
      <c r="P1134" s="160"/>
      <c r="Q1134" s="160"/>
      <c r="R1134" s="160"/>
      <c r="S1134" s="160"/>
      <c r="T1134" s="207"/>
      <c r="U1134" s="160"/>
      <c r="V1134" s="160"/>
      <c r="W1134" s="160"/>
      <c r="X1134" s="160"/>
      <c r="Y1134" s="160"/>
      <c r="Z1134" s="160"/>
      <c r="AA1134" s="160"/>
      <c r="AB1134" s="160"/>
      <c r="AC1134" s="160"/>
      <c r="AD1134" s="160"/>
      <c r="AE1134" s="160"/>
      <c r="AF1134" s="160"/>
      <c r="AG1134" s="160"/>
      <c r="AH1134" s="160"/>
      <c r="AI1134" s="160"/>
      <c r="AJ1134" s="160"/>
      <c r="AK1134" s="160"/>
      <c r="AL1134" s="160"/>
      <c r="AM1134" s="160"/>
      <c r="AN1134" s="164"/>
      <c r="AO1134" s="160"/>
      <c r="AP1134" s="160"/>
      <c r="AQ1134" s="160"/>
      <c r="AR1134" s="160"/>
      <c r="AS1134" s="160"/>
      <c r="AT1134" s="160"/>
      <c r="AU1134" s="160"/>
      <c r="AV1134" s="160"/>
      <c r="AW1134" s="160"/>
      <c r="AX1134" s="160"/>
      <c r="AY1134" s="160"/>
      <c r="AZ1134" s="160"/>
      <c r="BA1134" s="160"/>
      <c r="BB1134" s="160"/>
      <c r="BC1134" s="160"/>
      <c r="BD1134" s="160"/>
      <c r="BE1134" s="160"/>
      <c r="BF1134" s="160"/>
      <c r="BG1134" s="160"/>
      <c r="BH1134" s="160"/>
      <c r="BI1134" s="160"/>
      <c r="BJ1134" s="160"/>
      <c r="BK1134" s="160"/>
      <c r="BL1134" s="160"/>
      <c r="BM1134" s="160"/>
      <c r="BN1134" s="160"/>
      <c r="BO1134" s="160"/>
      <c r="BP1134" s="160"/>
      <c r="BQ1134" s="160"/>
      <c r="BR1134" s="160"/>
      <c r="BS1134" s="160"/>
      <c r="BT1134" s="160"/>
      <c r="BU1134" s="160"/>
      <c r="BV1134" s="160"/>
      <c r="BW1134" s="160"/>
      <c r="BX1134" s="160"/>
      <c r="BY1134" s="160"/>
      <c r="BZ1134" s="160"/>
      <c r="CA1134" s="160"/>
      <c r="CB1134" s="160"/>
      <c r="CC1134" s="160"/>
      <c r="CD1134" s="160"/>
      <c r="CE1134" s="160"/>
      <c r="CF1134" s="160"/>
      <c r="CG1134" s="160"/>
      <c r="CH1134" s="160"/>
      <c r="CI1134" s="160"/>
      <c r="CJ1134" s="160"/>
      <c r="CK1134" s="160"/>
      <c r="CL1134" s="160"/>
    </row>
    <row r="1135">
      <c r="A1135" s="171"/>
      <c r="F1135" s="11"/>
      <c r="G1135" s="11"/>
      <c r="L1135" s="171"/>
      <c r="M1135" s="171"/>
      <c r="O1135" s="160"/>
      <c r="P1135" s="160"/>
      <c r="Q1135" s="160"/>
      <c r="R1135" s="160"/>
      <c r="S1135" s="160"/>
      <c r="T1135" s="207"/>
      <c r="U1135" s="160"/>
      <c r="V1135" s="160"/>
      <c r="W1135" s="160"/>
      <c r="X1135" s="160"/>
      <c r="Y1135" s="160"/>
      <c r="Z1135" s="160"/>
      <c r="AA1135" s="160"/>
      <c r="AB1135" s="160"/>
      <c r="AC1135" s="160"/>
      <c r="AD1135" s="160"/>
      <c r="AE1135" s="160"/>
      <c r="AF1135" s="160"/>
      <c r="AG1135" s="160"/>
      <c r="AH1135" s="160"/>
      <c r="AI1135" s="160"/>
      <c r="AJ1135" s="160"/>
      <c r="AK1135" s="160"/>
      <c r="AL1135" s="160"/>
      <c r="AM1135" s="160"/>
      <c r="AN1135" s="164"/>
      <c r="AO1135" s="160"/>
      <c r="AP1135" s="160"/>
      <c r="AQ1135" s="160"/>
      <c r="AR1135" s="160"/>
      <c r="AS1135" s="160"/>
      <c r="AT1135" s="160"/>
      <c r="AU1135" s="160"/>
      <c r="AV1135" s="160"/>
      <c r="AW1135" s="160"/>
      <c r="AX1135" s="160"/>
      <c r="AY1135" s="160"/>
      <c r="AZ1135" s="160"/>
      <c r="BA1135" s="160"/>
      <c r="BB1135" s="160"/>
      <c r="BC1135" s="160"/>
      <c r="BD1135" s="160"/>
      <c r="BE1135" s="160"/>
      <c r="BF1135" s="160"/>
      <c r="BG1135" s="160"/>
      <c r="BH1135" s="160"/>
      <c r="BI1135" s="160"/>
      <c r="BJ1135" s="160"/>
      <c r="BK1135" s="160"/>
      <c r="BL1135" s="160"/>
      <c r="BM1135" s="160"/>
      <c r="BN1135" s="160"/>
      <c r="BO1135" s="160"/>
      <c r="BP1135" s="160"/>
      <c r="BQ1135" s="160"/>
      <c r="BR1135" s="160"/>
      <c r="BS1135" s="160"/>
      <c r="BT1135" s="160"/>
      <c r="BU1135" s="160"/>
      <c r="BV1135" s="160"/>
      <c r="BW1135" s="160"/>
      <c r="BX1135" s="160"/>
      <c r="BY1135" s="160"/>
      <c r="BZ1135" s="160"/>
      <c r="CA1135" s="160"/>
      <c r="CB1135" s="160"/>
      <c r="CC1135" s="160"/>
      <c r="CD1135" s="160"/>
      <c r="CE1135" s="160"/>
      <c r="CF1135" s="160"/>
      <c r="CG1135" s="160"/>
      <c r="CH1135" s="160"/>
      <c r="CI1135" s="160"/>
      <c r="CJ1135" s="160"/>
      <c r="CK1135" s="160"/>
      <c r="CL1135" s="160"/>
    </row>
    <row r="1136">
      <c r="A1136" s="171"/>
      <c r="F1136" s="11"/>
      <c r="G1136" s="11"/>
      <c r="L1136" s="171"/>
      <c r="M1136" s="171"/>
      <c r="O1136" s="160"/>
      <c r="P1136" s="160"/>
      <c r="Q1136" s="160"/>
      <c r="R1136" s="160"/>
      <c r="S1136" s="160"/>
      <c r="T1136" s="207"/>
      <c r="U1136" s="160"/>
      <c r="V1136" s="160"/>
      <c r="W1136" s="160"/>
      <c r="X1136" s="160"/>
      <c r="Y1136" s="160"/>
      <c r="Z1136" s="160"/>
      <c r="AA1136" s="160"/>
      <c r="AB1136" s="160"/>
      <c r="AC1136" s="160"/>
      <c r="AD1136" s="160"/>
      <c r="AE1136" s="160"/>
      <c r="AF1136" s="160"/>
      <c r="AG1136" s="160"/>
      <c r="AH1136" s="160"/>
      <c r="AI1136" s="160"/>
      <c r="AJ1136" s="160"/>
      <c r="AK1136" s="160"/>
      <c r="AL1136" s="160"/>
      <c r="AM1136" s="160"/>
      <c r="AN1136" s="164"/>
      <c r="AO1136" s="160"/>
      <c r="AP1136" s="160"/>
      <c r="AQ1136" s="160"/>
      <c r="AR1136" s="160"/>
      <c r="AS1136" s="160"/>
      <c r="AT1136" s="160"/>
      <c r="AU1136" s="160"/>
      <c r="AV1136" s="160"/>
      <c r="AW1136" s="160"/>
      <c r="AX1136" s="160"/>
      <c r="AY1136" s="160"/>
      <c r="AZ1136" s="160"/>
      <c r="BA1136" s="160"/>
      <c r="BB1136" s="160"/>
      <c r="BC1136" s="160"/>
      <c r="BD1136" s="160"/>
      <c r="BE1136" s="160"/>
      <c r="BF1136" s="160"/>
      <c r="BG1136" s="160"/>
      <c r="BH1136" s="160"/>
      <c r="BI1136" s="160"/>
      <c r="BJ1136" s="160"/>
      <c r="BK1136" s="160"/>
      <c r="BL1136" s="160"/>
      <c r="BM1136" s="160"/>
      <c r="BN1136" s="160"/>
      <c r="BO1136" s="160"/>
      <c r="BP1136" s="160"/>
      <c r="BQ1136" s="160"/>
      <c r="BR1136" s="160"/>
      <c r="BS1136" s="160"/>
      <c r="BT1136" s="160"/>
      <c r="BU1136" s="160"/>
      <c r="BV1136" s="160"/>
      <c r="BW1136" s="160"/>
      <c r="BX1136" s="160"/>
      <c r="BY1136" s="160"/>
      <c r="BZ1136" s="160"/>
      <c r="CA1136" s="160"/>
      <c r="CB1136" s="160"/>
      <c r="CC1136" s="160"/>
      <c r="CD1136" s="160"/>
      <c r="CE1136" s="160"/>
      <c r="CF1136" s="160"/>
      <c r="CG1136" s="160"/>
      <c r="CH1136" s="160"/>
      <c r="CI1136" s="160"/>
      <c r="CJ1136" s="160"/>
      <c r="CK1136" s="160"/>
      <c r="CL1136" s="160"/>
    </row>
    <row r="1137">
      <c r="A1137" s="171"/>
      <c r="F1137" s="11"/>
      <c r="G1137" s="11"/>
      <c r="L1137" s="171"/>
      <c r="M1137" s="171"/>
      <c r="O1137" s="160"/>
      <c r="P1137" s="160"/>
      <c r="Q1137" s="160"/>
      <c r="R1137" s="160"/>
      <c r="S1137" s="160"/>
      <c r="T1137" s="207"/>
      <c r="U1137" s="160"/>
      <c r="V1137" s="160"/>
      <c r="W1137" s="160"/>
      <c r="X1137" s="160"/>
      <c r="Y1137" s="160"/>
      <c r="Z1137" s="160"/>
      <c r="AA1137" s="160"/>
      <c r="AB1137" s="160"/>
      <c r="AC1137" s="160"/>
      <c r="AD1137" s="160"/>
      <c r="AE1137" s="160"/>
      <c r="AF1137" s="160"/>
      <c r="AG1137" s="160"/>
      <c r="AH1137" s="160"/>
      <c r="AI1137" s="160"/>
      <c r="AJ1137" s="160"/>
      <c r="AK1137" s="160"/>
      <c r="AL1137" s="160"/>
      <c r="AM1137" s="160"/>
      <c r="AN1137" s="164"/>
      <c r="AO1137" s="160"/>
      <c r="AP1137" s="160"/>
      <c r="AQ1137" s="160"/>
      <c r="AR1137" s="160"/>
      <c r="AS1137" s="160"/>
      <c r="AT1137" s="160"/>
      <c r="AU1137" s="160"/>
      <c r="AV1137" s="160"/>
      <c r="AW1137" s="160"/>
      <c r="AX1137" s="160"/>
      <c r="AY1137" s="160"/>
      <c r="AZ1137" s="160"/>
      <c r="BA1137" s="160"/>
      <c r="BB1137" s="160"/>
      <c r="BC1137" s="160"/>
      <c r="BD1137" s="160"/>
      <c r="BE1137" s="160"/>
      <c r="BF1137" s="160"/>
      <c r="BG1137" s="160"/>
      <c r="BH1137" s="160"/>
      <c r="BI1137" s="160"/>
      <c r="BJ1137" s="160"/>
      <c r="BK1137" s="160"/>
      <c r="BL1137" s="160"/>
      <c r="BM1137" s="160"/>
      <c r="BN1137" s="160"/>
      <c r="BO1137" s="160"/>
      <c r="BP1137" s="160"/>
      <c r="BQ1137" s="160"/>
      <c r="BR1137" s="160"/>
      <c r="BS1137" s="160"/>
      <c r="BT1137" s="160"/>
      <c r="BU1137" s="160"/>
      <c r="BV1137" s="160"/>
      <c r="BW1137" s="160"/>
      <c r="BX1137" s="160"/>
      <c r="BY1137" s="160"/>
      <c r="BZ1137" s="160"/>
      <c r="CA1137" s="160"/>
      <c r="CB1137" s="160"/>
      <c r="CC1137" s="160"/>
      <c r="CD1137" s="160"/>
      <c r="CE1137" s="160"/>
      <c r="CF1137" s="160"/>
      <c r="CG1137" s="160"/>
      <c r="CH1137" s="160"/>
      <c r="CI1137" s="160"/>
      <c r="CJ1137" s="160"/>
      <c r="CK1137" s="160"/>
      <c r="CL1137" s="160"/>
    </row>
    <row r="1138">
      <c r="A1138" s="171"/>
      <c r="F1138" s="11"/>
      <c r="G1138" s="11"/>
      <c r="L1138" s="171"/>
      <c r="M1138" s="171"/>
      <c r="O1138" s="160"/>
      <c r="P1138" s="160"/>
      <c r="Q1138" s="160"/>
      <c r="R1138" s="160"/>
      <c r="S1138" s="160"/>
      <c r="T1138" s="207"/>
      <c r="U1138" s="160"/>
      <c r="V1138" s="160"/>
      <c r="W1138" s="160"/>
      <c r="X1138" s="160"/>
      <c r="Y1138" s="160"/>
      <c r="Z1138" s="160"/>
      <c r="AA1138" s="160"/>
      <c r="AB1138" s="160"/>
      <c r="AC1138" s="160"/>
      <c r="AD1138" s="160"/>
      <c r="AE1138" s="160"/>
      <c r="AF1138" s="160"/>
      <c r="AG1138" s="160"/>
      <c r="AH1138" s="160"/>
      <c r="AI1138" s="160"/>
      <c r="AJ1138" s="160"/>
      <c r="AK1138" s="160"/>
      <c r="AL1138" s="160"/>
      <c r="AM1138" s="160"/>
      <c r="AN1138" s="164"/>
      <c r="AO1138" s="160"/>
      <c r="AP1138" s="160"/>
      <c r="AQ1138" s="160"/>
      <c r="AR1138" s="160"/>
      <c r="AS1138" s="160"/>
      <c r="AT1138" s="160"/>
      <c r="AU1138" s="160"/>
      <c r="AV1138" s="160"/>
      <c r="AW1138" s="160"/>
      <c r="AX1138" s="160"/>
      <c r="AY1138" s="160"/>
      <c r="AZ1138" s="160"/>
      <c r="BA1138" s="160"/>
      <c r="BB1138" s="160"/>
      <c r="BC1138" s="160"/>
      <c r="BD1138" s="160"/>
      <c r="BE1138" s="160"/>
      <c r="BF1138" s="160"/>
      <c r="BG1138" s="160"/>
      <c r="BH1138" s="160"/>
      <c r="BI1138" s="160"/>
      <c r="BJ1138" s="160"/>
      <c r="BK1138" s="160"/>
      <c r="BL1138" s="160"/>
      <c r="BM1138" s="160"/>
      <c r="BN1138" s="160"/>
      <c r="BO1138" s="160"/>
      <c r="BP1138" s="160"/>
      <c r="BQ1138" s="160"/>
      <c r="BR1138" s="160"/>
      <c r="BS1138" s="160"/>
      <c r="BT1138" s="160"/>
      <c r="BU1138" s="160"/>
      <c r="BV1138" s="160"/>
      <c r="BW1138" s="160"/>
      <c r="BX1138" s="160"/>
      <c r="BY1138" s="160"/>
      <c r="BZ1138" s="160"/>
      <c r="CA1138" s="160"/>
      <c r="CB1138" s="160"/>
      <c r="CC1138" s="160"/>
      <c r="CD1138" s="160"/>
      <c r="CE1138" s="160"/>
      <c r="CF1138" s="160"/>
      <c r="CG1138" s="160"/>
      <c r="CH1138" s="160"/>
      <c r="CI1138" s="160"/>
      <c r="CJ1138" s="160"/>
      <c r="CK1138" s="160"/>
      <c r="CL1138" s="160"/>
    </row>
    <row r="1139">
      <c r="A1139" s="171"/>
      <c r="F1139" s="11"/>
      <c r="G1139" s="11"/>
      <c r="L1139" s="171"/>
      <c r="M1139" s="171"/>
      <c r="O1139" s="160"/>
      <c r="P1139" s="160"/>
      <c r="Q1139" s="160"/>
      <c r="R1139" s="160"/>
      <c r="S1139" s="160"/>
      <c r="T1139" s="207"/>
      <c r="U1139" s="160"/>
      <c r="V1139" s="160"/>
      <c r="W1139" s="160"/>
      <c r="X1139" s="160"/>
      <c r="Y1139" s="160"/>
      <c r="Z1139" s="160"/>
      <c r="AA1139" s="160"/>
      <c r="AB1139" s="160"/>
      <c r="AC1139" s="160"/>
      <c r="AD1139" s="160"/>
      <c r="AE1139" s="160"/>
      <c r="AF1139" s="160"/>
      <c r="AG1139" s="160"/>
      <c r="AH1139" s="160"/>
      <c r="AI1139" s="160"/>
      <c r="AJ1139" s="160"/>
      <c r="AK1139" s="160"/>
      <c r="AL1139" s="160"/>
      <c r="AM1139" s="160"/>
      <c r="AN1139" s="164"/>
      <c r="AO1139" s="160"/>
      <c r="AP1139" s="160"/>
      <c r="AQ1139" s="160"/>
      <c r="AR1139" s="160"/>
      <c r="AS1139" s="160"/>
      <c r="AT1139" s="160"/>
      <c r="AU1139" s="160"/>
      <c r="AV1139" s="160"/>
      <c r="AW1139" s="160"/>
      <c r="AX1139" s="160"/>
      <c r="AY1139" s="160"/>
      <c r="AZ1139" s="160"/>
      <c r="BA1139" s="160"/>
      <c r="BB1139" s="160"/>
      <c r="BC1139" s="160"/>
      <c r="BD1139" s="160"/>
      <c r="BE1139" s="160"/>
      <c r="BF1139" s="160"/>
      <c r="BG1139" s="160"/>
      <c r="BH1139" s="160"/>
      <c r="BI1139" s="160"/>
      <c r="BJ1139" s="160"/>
      <c r="BK1139" s="160"/>
      <c r="BL1139" s="160"/>
      <c r="BM1139" s="160"/>
      <c r="BN1139" s="160"/>
      <c r="BO1139" s="160"/>
      <c r="BP1139" s="160"/>
      <c r="BQ1139" s="160"/>
      <c r="BR1139" s="160"/>
      <c r="BS1139" s="160"/>
      <c r="BT1139" s="160"/>
      <c r="BU1139" s="160"/>
      <c r="BV1139" s="160"/>
      <c r="BW1139" s="160"/>
      <c r="BX1139" s="160"/>
      <c r="BY1139" s="160"/>
      <c r="BZ1139" s="160"/>
      <c r="CA1139" s="160"/>
      <c r="CB1139" s="160"/>
      <c r="CC1139" s="160"/>
      <c r="CD1139" s="160"/>
      <c r="CE1139" s="160"/>
      <c r="CF1139" s="160"/>
      <c r="CG1139" s="160"/>
      <c r="CH1139" s="160"/>
      <c r="CI1139" s="160"/>
      <c r="CJ1139" s="160"/>
      <c r="CK1139" s="160"/>
      <c r="CL1139" s="160"/>
    </row>
    <row r="1140">
      <c r="A1140" s="171"/>
      <c r="F1140" s="11"/>
      <c r="G1140" s="11"/>
      <c r="L1140" s="171"/>
      <c r="M1140" s="171"/>
      <c r="O1140" s="160"/>
      <c r="P1140" s="160"/>
      <c r="Q1140" s="160"/>
      <c r="R1140" s="160"/>
      <c r="S1140" s="160"/>
      <c r="T1140" s="207"/>
      <c r="U1140" s="160"/>
      <c r="V1140" s="160"/>
      <c r="W1140" s="160"/>
      <c r="X1140" s="160"/>
      <c r="Y1140" s="160"/>
      <c r="Z1140" s="160"/>
      <c r="AA1140" s="160"/>
      <c r="AB1140" s="160"/>
      <c r="AC1140" s="160"/>
      <c r="AD1140" s="160"/>
      <c r="AE1140" s="160"/>
      <c r="AF1140" s="160"/>
      <c r="AG1140" s="160"/>
      <c r="AH1140" s="160"/>
      <c r="AI1140" s="160"/>
      <c r="AJ1140" s="160"/>
      <c r="AK1140" s="160"/>
      <c r="AL1140" s="160"/>
      <c r="AM1140" s="160"/>
      <c r="AN1140" s="164"/>
      <c r="AO1140" s="160"/>
      <c r="AP1140" s="160"/>
      <c r="AQ1140" s="160"/>
      <c r="AR1140" s="160"/>
      <c r="AS1140" s="160"/>
      <c r="AT1140" s="160"/>
      <c r="AU1140" s="160"/>
      <c r="AV1140" s="160"/>
      <c r="AW1140" s="160"/>
      <c r="AX1140" s="160"/>
      <c r="AY1140" s="160"/>
      <c r="AZ1140" s="160"/>
      <c r="BA1140" s="160"/>
      <c r="BB1140" s="160"/>
      <c r="BC1140" s="160"/>
      <c r="BD1140" s="160"/>
      <c r="BE1140" s="160"/>
      <c r="BF1140" s="160"/>
      <c r="BG1140" s="160"/>
      <c r="BH1140" s="160"/>
      <c r="BI1140" s="160"/>
      <c r="BJ1140" s="160"/>
      <c r="BK1140" s="160"/>
      <c r="BL1140" s="160"/>
      <c r="BM1140" s="160"/>
      <c r="BN1140" s="160"/>
      <c r="BO1140" s="160"/>
      <c r="BP1140" s="160"/>
      <c r="BQ1140" s="160"/>
      <c r="BR1140" s="160"/>
      <c r="BS1140" s="160"/>
      <c r="BT1140" s="160"/>
      <c r="BU1140" s="160"/>
      <c r="BV1140" s="160"/>
      <c r="BW1140" s="160"/>
      <c r="BX1140" s="160"/>
      <c r="BY1140" s="160"/>
      <c r="BZ1140" s="160"/>
      <c r="CA1140" s="160"/>
      <c r="CB1140" s="160"/>
      <c r="CC1140" s="160"/>
      <c r="CD1140" s="160"/>
      <c r="CE1140" s="160"/>
      <c r="CF1140" s="160"/>
      <c r="CG1140" s="160"/>
      <c r="CH1140" s="160"/>
      <c r="CI1140" s="160"/>
      <c r="CJ1140" s="160"/>
      <c r="CK1140" s="160"/>
      <c r="CL1140" s="160"/>
    </row>
    <row r="1141">
      <c r="A1141" s="171"/>
      <c r="F1141" s="11"/>
      <c r="G1141" s="11"/>
      <c r="L1141" s="171"/>
      <c r="M1141" s="171"/>
      <c r="O1141" s="160"/>
      <c r="P1141" s="160"/>
      <c r="Q1141" s="160"/>
      <c r="R1141" s="160"/>
      <c r="S1141" s="160"/>
      <c r="T1141" s="207"/>
      <c r="U1141" s="160"/>
      <c r="V1141" s="160"/>
      <c r="W1141" s="160"/>
      <c r="X1141" s="160"/>
      <c r="Y1141" s="160"/>
      <c r="Z1141" s="160"/>
      <c r="AA1141" s="160"/>
      <c r="AB1141" s="160"/>
      <c r="AC1141" s="160"/>
      <c r="AD1141" s="160"/>
      <c r="AE1141" s="160"/>
      <c r="AF1141" s="160"/>
      <c r="AG1141" s="160"/>
      <c r="AH1141" s="160"/>
      <c r="AI1141" s="160"/>
      <c r="AJ1141" s="160"/>
      <c r="AK1141" s="160"/>
      <c r="AL1141" s="160"/>
      <c r="AM1141" s="160"/>
      <c r="AN1141" s="164"/>
      <c r="AO1141" s="160"/>
      <c r="AP1141" s="160"/>
      <c r="AQ1141" s="160"/>
      <c r="AR1141" s="160"/>
      <c r="AS1141" s="160"/>
      <c r="AT1141" s="160"/>
      <c r="AU1141" s="160"/>
      <c r="AV1141" s="160"/>
      <c r="AW1141" s="160"/>
      <c r="AX1141" s="160"/>
      <c r="AY1141" s="160"/>
      <c r="AZ1141" s="160"/>
      <c r="BA1141" s="160"/>
      <c r="BB1141" s="160"/>
      <c r="BC1141" s="160"/>
      <c r="BD1141" s="160"/>
      <c r="BE1141" s="160"/>
      <c r="BF1141" s="160"/>
      <c r="BG1141" s="160"/>
      <c r="BH1141" s="160"/>
      <c r="BI1141" s="160"/>
      <c r="BJ1141" s="160"/>
      <c r="BK1141" s="160"/>
      <c r="BL1141" s="160"/>
      <c r="BM1141" s="160"/>
      <c r="BN1141" s="160"/>
      <c r="BO1141" s="160"/>
      <c r="BP1141" s="160"/>
      <c r="BQ1141" s="160"/>
      <c r="BR1141" s="160"/>
      <c r="BS1141" s="160"/>
      <c r="BT1141" s="160"/>
      <c r="BU1141" s="160"/>
      <c r="BV1141" s="160"/>
      <c r="BW1141" s="160"/>
      <c r="BX1141" s="160"/>
      <c r="BY1141" s="160"/>
      <c r="BZ1141" s="160"/>
      <c r="CA1141" s="160"/>
      <c r="CB1141" s="160"/>
      <c r="CC1141" s="160"/>
      <c r="CD1141" s="160"/>
      <c r="CE1141" s="160"/>
      <c r="CF1141" s="160"/>
      <c r="CG1141" s="160"/>
      <c r="CH1141" s="160"/>
      <c r="CI1141" s="160"/>
      <c r="CJ1141" s="160"/>
      <c r="CK1141" s="160"/>
      <c r="CL1141" s="160"/>
    </row>
    <row r="1142">
      <c r="A1142" s="171"/>
      <c r="F1142" s="11"/>
      <c r="G1142" s="11"/>
      <c r="L1142" s="171"/>
      <c r="M1142" s="171"/>
      <c r="O1142" s="160"/>
      <c r="P1142" s="160"/>
      <c r="Q1142" s="160"/>
      <c r="R1142" s="160"/>
      <c r="S1142" s="160"/>
      <c r="T1142" s="207"/>
      <c r="U1142" s="160"/>
      <c r="V1142" s="160"/>
      <c r="W1142" s="160"/>
      <c r="X1142" s="160"/>
      <c r="Y1142" s="160"/>
      <c r="Z1142" s="160"/>
      <c r="AA1142" s="160"/>
      <c r="AB1142" s="160"/>
      <c r="AC1142" s="160"/>
      <c r="AD1142" s="160"/>
      <c r="AE1142" s="160"/>
      <c r="AF1142" s="160"/>
      <c r="AG1142" s="160"/>
      <c r="AH1142" s="160"/>
      <c r="AI1142" s="160"/>
      <c r="AJ1142" s="160"/>
      <c r="AK1142" s="160"/>
      <c r="AL1142" s="160"/>
      <c r="AM1142" s="160"/>
      <c r="AN1142" s="164"/>
      <c r="AO1142" s="160"/>
      <c r="AP1142" s="160"/>
      <c r="AQ1142" s="160"/>
      <c r="AR1142" s="160"/>
      <c r="AS1142" s="160"/>
      <c r="AT1142" s="160"/>
      <c r="AU1142" s="160"/>
      <c r="AV1142" s="160"/>
      <c r="AW1142" s="160"/>
      <c r="AX1142" s="160"/>
      <c r="AY1142" s="160"/>
      <c r="AZ1142" s="160"/>
      <c r="BA1142" s="160"/>
      <c r="BB1142" s="160"/>
      <c r="BC1142" s="160"/>
      <c r="BD1142" s="160"/>
      <c r="BE1142" s="160"/>
      <c r="BF1142" s="160"/>
      <c r="BG1142" s="160"/>
      <c r="BH1142" s="160"/>
      <c r="BI1142" s="160"/>
      <c r="BJ1142" s="160"/>
      <c r="BK1142" s="160"/>
      <c r="BL1142" s="160"/>
      <c r="BM1142" s="160"/>
      <c r="BN1142" s="160"/>
      <c r="BO1142" s="160"/>
      <c r="BP1142" s="160"/>
      <c r="BQ1142" s="160"/>
      <c r="BR1142" s="160"/>
      <c r="BS1142" s="160"/>
      <c r="BT1142" s="160"/>
      <c r="BU1142" s="160"/>
      <c r="BV1142" s="160"/>
      <c r="BW1142" s="160"/>
      <c r="BX1142" s="160"/>
      <c r="BY1142" s="160"/>
      <c r="BZ1142" s="160"/>
      <c r="CA1142" s="160"/>
      <c r="CB1142" s="160"/>
      <c r="CC1142" s="160"/>
      <c r="CD1142" s="160"/>
      <c r="CE1142" s="160"/>
      <c r="CF1142" s="160"/>
      <c r="CG1142" s="160"/>
      <c r="CH1142" s="160"/>
      <c r="CI1142" s="160"/>
      <c r="CJ1142" s="160"/>
      <c r="CK1142" s="160"/>
      <c r="CL1142" s="160"/>
    </row>
    <row r="1143">
      <c r="A1143" s="171"/>
      <c r="F1143" s="11"/>
      <c r="G1143" s="11"/>
      <c r="L1143" s="171"/>
      <c r="M1143" s="171"/>
      <c r="O1143" s="160"/>
      <c r="P1143" s="160"/>
      <c r="Q1143" s="160"/>
      <c r="R1143" s="160"/>
      <c r="S1143" s="160"/>
      <c r="T1143" s="207"/>
      <c r="U1143" s="160"/>
      <c r="V1143" s="160"/>
      <c r="W1143" s="160"/>
      <c r="X1143" s="160"/>
      <c r="Y1143" s="160"/>
      <c r="Z1143" s="160"/>
      <c r="AA1143" s="160"/>
      <c r="AB1143" s="160"/>
      <c r="AC1143" s="160"/>
      <c r="AD1143" s="160"/>
      <c r="AE1143" s="160"/>
      <c r="AF1143" s="160"/>
      <c r="AG1143" s="160"/>
      <c r="AH1143" s="160"/>
      <c r="AI1143" s="160"/>
      <c r="AJ1143" s="160"/>
      <c r="AK1143" s="160"/>
      <c r="AL1143" s="160"/>
      <c r="AM1143" s="160"/>
      <c r="AN1143" s="164"/>
      <c r="AO1143" s="160"/>
      <c r="AP1143" s="160"/>
      <c r="AQ1143" s="160"/>
      <c r="AR1143" s="160"/>
      <c r="AS1143" s="160"/>
      <c r="AT1143" s="160"/>
      <c r="AU1143" s="160"/>
      <c r="AV1143" s="160"/>
      <c r="AW1143" s="160"/>
      <c r="AX1143" s="160"/>
      <c r="AY1143" s="160"/>
      <c r="AZ1143" s="160"/>
      <c r="BA1143" s="160"/>
      <c r="BB1143" s="160"/>
      <c r="BC1143" s="160"/>
      <c r="BD1143" s="160"/>
      <c r="BE1143" s="160"/>
      <c r="BF1143" s="160"/>
      <c r="BG1143" s="160"/>
      <c r="BH1143" s="160"/>
      <c r="BI1143" s="160"/>
      <c r="BJ1143" s="160"/>
      <c r="BK1143" s="160"/>
      <c r="BL1143" s="160"/>
      <c r="BM1143" s="160"/>
      <c r="BN1143" s="160"/>
      <c r="BO1143" s="160"/>
      <c r="BP1143" s="160"/>
      <c r="BQ1143" s="160"/>
      <c r="BR1143" s="160"/>
      <c r="BS1143" s="160"/>
      <c r="BT1143" s="160"/>
      <c r="BU1143" s="160"/>
      <c r="BV1143" s="160"/>
      <c r="BW1143" s="160"/>
      <c r="BX1143" s="160"/>
      <c r="BY1143" s="160"/>
      <c r="BZ1143" s="160"/>
      <c r="CA1143" s="160"/>
      <c r="CB1143" s="160"/>
      <c r="CC1143" s="160"/>
      <c r="CD1143" s="160"/>
      <c r="CE1143" s="160"/>
      <c r="CF1143" s="160"/>
      <c r="CG1143" s="160"/>
      <c r="CH1143" s="160"/>
      <c r="CI1143" s="160"/>
      <c r="CJ1143" s="160"/>
      <c r="CK1143" s="160"/>
      <c r="CL1143" s="160"/>
    </row>
    <row r="1144">
      <c r="A1144" s="171"/>
      <c r="F1144" s="11"/>
      <c r="G1144" s="11"/>
      <c r="L1144" s="171"/>
      <c r="M1144" s="171"/>
      <c r="O1144" s="160"/>
      <c r="P1144" s="160"/>
      <c r="Q1144" s="160"/>
      <c r="R1144" s="160"/>
      <c r="S1144" s="160"/>
      <c r="T1144" s="207"/>
      <c r="U1144" s="160"/>
      <c r="V1144" s="160"/>
      <c r="W1144" s="160"/>
      <c r="X1144" s="160"/>
      <c r="Y1144" s="160"/>
      <c r="Z1144" s="160"/>
      <c r="AA1144" s="160"/>
      <c r="AB1144" s="160"/>
      <c r="AC1144" s="160"/>
      <c r="AD1144" s="160"/>
      <c r="AE1144" s="160"/>
      <c r="AF1144" s="160"/>
      <c r="AG1144" s="160"/>
      <c r="AH1144" s="160"/>
      <c r="AI1144" s="160"/>
      <c r="AJ1144" s="160"/>
      <c r="AK1144" s="160"/>
      <c r="AL1144" s="160"/>
      <c r="AM1144" s="160"/>
      <c r="AN1144" s="164"/>
      <c r="AO1144" s="160"/>
      <c r="AP1144" s="160"/>
      <c r="AQ1144" s="160"/>
      <c r="AR1144" s="160"/>
      <c r="AS1144" s="160"/>
      <c r="AT1144" s="160"/>
      <c r="AU1144" s="160"/>
      <c r="AV1144" s="160"/>
      <c r="AW1144" s="160"/>
      <c r="AX1144" s="160"/>
      <c r="AY1144" s="160"/>
      <c r="AZ1144" s="160"/>
      <c r="BA1144" s="160"/>
      <c r="BB1144" s="160"/>
      <c r="BC1144" s="160"/>
      <c r="BD1144" s="160"/>
      <c r="BE1144" s="160"/>
      <c r="BF1144" s="160"/>
      <c r="BG1144" s="160"/>
      <c r="BH1144" s="160"/>
      <c r="BI1144" s="160"/>
      <c r="BJ1144" s="160"/>
      <c r="BK1144" s="160"/>
      <c r="BL1144" s="160"/>
      <c r="BM1144" s="160"/>
      <c r="BN1144" s="160"/>
      <c r="BO1144" s="160"/>
      <c r="BP1144" s="160"/>
      <c r="BQ1144" s="160"/>
      <c r="BR1144" s="160"/>
      <c r="BS1144" s="160"/>
      <c r="BT1144" s="160"/>
      <c r="BU1144" s="160"/>
      <c r="BV1144" s="160"/>
      <c r="BW1144" s="160"/>
      <c r="BX1144" s="160"/>
      <c r="BY1144" s="160"/>
      <c r="BZ1144" s="160"/>
      <c r="CA1144" s="160"/>
      <c r="CB1144" s="160"/>
      <c r="CC1144" s="160"/>
      <c r="CD1144" s="160"/>
      <c r="CE1144" s="160"/>
      <c r="CF1144" s="160"/>
      <c r="CG1144" s="160"/>
      <c r="CH1144" s="160"/>
      <c r="CI1144" s="160"/>
      <c r="CJ1144" s="160"/>
      <c r="CK1144" s="160"/>
      <c r="CL1144" s="160"/>
    </row>
    <row r="1145">
      <c r="A1145" s="171"/>
      <c r="F1145" s="11"/>
      <c r="G1145" s="11"/>
      <c r="L1145" s="171"/>
      <c r="M1145" s="171"/>
      <c r="O1145" s="160"/>
      <c r="P1145" s="160"/>
      <c r="Q1145" s="160"/>
      <c r="R1145" s="160"/>
      <c r="S1145" s="160"/>
      <c r="T1145" s="207"/>
      <c r="U1145" s="160"/>
      <c r="V1145" s="160"/>
      <c r="W1145" s="160"/>
      <c r="X1145" s="160"/>
      <c r="Y1145" s="160"/>
      <c r="Z1145" s="160"/>
      <c r="AA1145" s="160"/>
      <c r="AB1145" s="160"/>
      <c r="AC1145" s="160"/>
      <c r="AD1145" s="160"/>
      <c r="AE1145" s="160"/>
      <c r="AF1145" s="160"/>
      <c r="AG1145" s="160"/>
      <c r="AH1145" s="160"/>
      <c r="AI1145" s="160"/>
      <c r="AJ1145" s="160"/>
      <c r="AK1145" s="160"/>
      <c r="AL1145" s="160"/>
      <c r="AM1145" s="160"/>
      <c r="AN1145" s="164"/>
      <c r="AO1145" s="160"/>
      <c r="AP1145" s="160"/>
      <c r="AQ1145" s="160"/>
      <c r="AR1145" s="160"/>
      <c r="AS1145" s="160"/>
      <c r="AT1145" s="160"/>
      <c r="AU1145" s="160"/>
      <c r="AV1145" s="160"/>
      <c r="AW1145" s="160"/>
      <c r="AX1145" s="160"/>
      <c r="AY1145" s="160"/>
      <c r="AZ1145" s="160"/>
      <c r="BA1145" s="160"/>
      <c r="BB1145" s="160"/>
      <c r="BC1145" s="160"/>
      <c r="BD1145" s="160"/>
      <c r="BE1145" s="160"/>
      <c r="BF1145" s="160"/>
      <c r="BG1145" s="160"/>
      <c r="BH1145" s="160"/>
      <c r="BI1145" s="160"/>
      <c r="BJ1145" s="160"/>
      <c r="BK1145" s="160"/>
      <c r="BL1145" s="160"/>
      <c r="BM1145" s="160"/>
      <c r="BN1145" s="160"/>
      <c r="BO1145" s="160"/>
      <c r="BP1145" s="160"/>
      <c r="BQ1145" s="160"/>
      <c r="BR1145" s="160"/>
      <c r="BS1145" s="160"/>
      <c r="BT1145" s="160"/>
      <c r="BU1145" s="160"/>
      <c r="BV1145" s="160"/>
      <c r="BW1145" s="160"/>
      <c r="BX1145" s="160"/>
      <c r="BY1145" s="160"/>
      <c r="BZ1145" s="160"/>
      <c r="CA1145" s="160"/>
      <c r="CB1145" s="160"/>
      <c r="CC1145" s="160"/>
      <c r="CD1145" s="160"/>
      <c r="CE1145" s="160"/>
      <c r="CF1145" s="160"/>
      <c r="CG1145" s="160"/>
      <c r="CH1145" s="160"/>
      <c r="CI1145" s="160"/>
      <c r="CJ1145" s="160"/>
      <c r="CK1145" s="160"/>
      <c r="CL1145" s="160"/>
    </row>
    <row r="1146">
      <c r="A1146" s="171"/>
      <c r="F1146" s="11"/>
      <c r="G1146" s="11"/>
      <c r="L1146" s="171"/>
      <c r="M1146" s="171"/>
      <c r="O1146" s="160"/>
      <c r="P1146" s="160"/>
      <c r="Q1146" s="160"/>
      <c r="R1146" s="160"/>
      <c r="S1146" s="160"/>
      <c r="T1146" s="207"/>
      <c r="U1146" s="160"/>
      <c r="V1146" s="160"/>
      <c r="W1146" s="160"/>
      <c r="X1146" s="160"/>
      <c r="Y1146" s="160"/>
      <c r="Z1146" s="160"/>
      <c r="AA1146" s="160"/>
      <c r="AB1146" s="160"/>
      <c r="AC1146" s="160"/>
      <c r="AD1146" s="160"/>
      <c r="AE1146" s="160"/>
      <c r="AF1146" s="160"/>
      <c r="AG1146" s="160"/>
      <c r="AH1146" s="160"/>
      <c r="AI1146" s="160"/>
      <c r="AJ1146" s="160"/>
      <c r="AK1146" s="160"/>
      <c r="AL1146" s="160"/>
      <c r="AM1146" s="160"/>
      <c r="AN1146" s="164"/>
      <c r="AO1146" s="160"/>
      <c r="AP1146" s="160"/>
      <c r="AQ1146" s="160"/>
      <c r="AR1146" s="160"/>
      <c r="AS1146" s="160"/>
      <c r="AT1146" s="160"/>
      <c r="AU1146" s="160"/>
      <c r="AV1146" s="160"/>
      <c r="AW1146" s="160"/>
      <c r="AX1146" s="160"/>
      <c r="AY1146" s="160"/>
      <c r="AZ1146" s="160"/>
      <c r="BA1146" s="160"/>
      <c r="BB1146" s="160"/>
      <c r="BC1146" s="160"/>
      <c r="BD1146" s="160"/>
      <c r="BE1146" s="160"/>
      <c r="BF1146" s="160"/>
      <c r="BG1146" s="160"/>
      <c r="BH1146" s="160"/>
      <c r="BI1146" s="160"/>
      <c r="BJ1146" s="160"/>
      <c r="BK1146" s="160"/>
      <c r="BL1146" s="160"/>
      <c r="BM1146" s="160"/>
      <c r="BN1146" s="160"/>
      <c r="BO1146" s="160"/>
      <c r="BP1146" s="160"/>
      <c r="BQ1146" s="160"/>
      <c r="BR1146" s="160"/>
      <c r="BS1146" s="160"/>
      <c r="BT1146" s="160"/>
      <c r="BU1146" s="160"/>
      <c r="BV1146" s="160"/>
      <c r="BW1146" s="160"/>
      <c r="BX1146" s="160"/>
      <c r="BY1146" s="160"/>
      <c r="BZ1146" s="160"/>
      <c r="CA1146" s="160"/>
      <c r="CB1146" s="160"/>
      <c r="CC1146" s="160"/>
      <c r="CD1146" s="160"/>
      <c r="CE1146" s="160"/>
      <c r="CF1146" s="160"/>
      <c r="CG1146" s="160"/>
      <c r="CH1146" s="160"/>
      <c r="CI1146" s="160"/>
      <c r="CJ1146" s="160"/>
      <c r="CK1146" s="160"/>
      <c r="CL1146" s="160"/>
    </row>
    <row r="1147">
      <c r="A1147" s="171"/>
      <c r="F1147" s="11"/>
      <c r="G1147" s="11"/>
      <c r="L1147" s="171"/>
      <c r="M1147" s="171"/>
      <c r="O1147" s="160"/>
      <c r="P1147" s="160"/>
      <c r="Q1147" s="160"/>
      <c r="R1147" s="160"/>
      <c r="S1147" s="160"/>
      <c r="T1147" s="207"/>
      <c r="U1147" s="160"/>
      <c r="V1147" s="160"/>
      <c r="W1147" s="160"/>
      <c r="X1147" s="160"/>
      <c r="Y1147" s="160"/>
      <c r="Z1147" s="160"/>
      <c r="AA1147" s="160"/>
      <c r="AB1147" s="160"/>
      <c r="AC1147" s="160"/>
      <c r="AD1147" s="160"/>
      <c r="AE1147" s="160"/>
      <c r="AF1147" s="160"/>
      <c r="AG1147" s="160"/>
      <c r="AH1147" s="160"/>
      <c r="AI1147" s="160"/>
      <c r="AJ1147" s="160"/>
      <c r="AK1147" s="160"/>
      <c r="AL1147" s="160"/>
      <c r="AM1147" s="160"/>
      <c r="AN1147" s="164"/>
      <c r="AO1147" s="160"/>
      <c r="AP1147" s="160"/>
      <c r="AQ1147" s="160"/>
      <c r="AR1147" s="160"/>
      <c r="AS1147" s="160"/>
      <c r="AT1147" s="160"/>
      <c r="AU1147" s="160"/>
      <c r="AV1147" s="160"/>
      <c r="AW1147" s="160"/>
      <c r="AX1147" s="160"/>
      <c r="AY1147" s="160"/>
      <c r="AZ1147" s="160"/>
      <c r="BA1147" s="160"/>
      <c r="BB1147" s="160"/>
      <c r="BC1147" s="160"/>
      <c r="BD1147" s="160"/>
      <c r="BE1147" s="160"/>
      <c r="BF1147" s="160"/>
      <c r="BG1147" s="160"/>
      <c r="BH1147" s="160"/>
      <c r="BI1147" s="160"/>
      <c r="BJ1147" s="160"/>
      <c r="BK1147" s="160"/>
      <c r="BL1147" s="160"/>
      <c r="BM1147" s="160"/>
      <c r="BN1147" s="160"/>
      <c r="BO1147" s="160"/>
      <c r="BP1147" s="160"/>
      <c r="BQ1147" s="160"/>
      <c r="BR1147" s="160"/>
      <c r="BS1147" s="160"/>
      <c r="BT1147" s="160"/>
      <c r="BU1147" s="160"/>
      <c r="BV1147" s="160"/>
      <c r="BW1147" s="160"/>
      <c r="BX1147" s="160"/>
      <c r="BY1147" s="160"/>
      <c r="BZ1147" s="160"/>
      <c r="CA1147" s="160"/>
      <c r="CB1147" s="160"/>
      <c r="CC1147" s="160"/>
      <c r="CD1147" s="160"/>
      <c r="CE1147" s="160"/>
      <c r="CF1147" s="160"/>
      <c r="CG1147" s="160"/>
      <c r="CH1147" s="160"/>
      <c r="CI1147" s="160"/>
      <c r="CJ1147" s="160"/>
      <c r="CK1147" s="160"/>
      <c r="CL1147" s="160"/>
    </row>
    <row r="1148">
      <c r="A1148" s="171"/>
      <c r="F1148" s="11"/>
      <c r="G1148" s="11"/>
      <c r="L1148" s="171"/>
      <c r="M1148" s="171"/>
      <c r="O1148" s="160"/>
      <c r="P1148" s="160"/>
      <c r="Q1148" s="160"/>
      <c r="R1148" s="160"/>
      <c r="S1148" s="160"/>
      <c r="T1148" s="207"/>
      <c r="U1148" s="160"/>
      <c r="V1148" s="160"/>
      <c r="W1148" s="160"/>
      <c r="X1148" s="160"/>
      <c r="Y1148" s="160"/>
      <c r="Z1148" s="160"/>
      <c r="AA1148" s="160"/>
      <c r="AB1148" s="160"/>
      <c r="AC1148" s="160"/>
      <c r="AD1148" s="160"/>
      <c r="AE1148" s="160"/>
      <c r="AF1148" s="160"/>
      <c r="AG1148" s="160"/>
      <c r="AH1148" s="160"/>
      <c r="AI1148" s="160"/>
      <c r="AJ1148" s="160"/>
      <c r="AK1148" s="160"/>
      <c r="AL1148" s="160"/>
      <c r="AM1148" s="160"/>
      <c r="AN1148" s="164"/>
      <c r="AO1148" s="160"/>
      <c r="AP1148" s="160"/>
      <c r="AQ1148" s="160"/>
      <c r="AR1148" s="160"/>
      <c r="AS1148" s="160"/>
      <c r="AT1148" s="160"/>
      <c r="AU1148" s="160"/>
      <c r="AV1148" s="160"/>
      <c r="AW1148" s="160"/>
      <c r="AX1148" s="160"/>
      <c r="AY1148" s="160"/>
      <c r="AZ1148" s="160"/>
      <c r="BA1148" s="160"/>
      <c r="BB1148" s="160"/>
      <c r="BC1148" s="160"/>
      <c r="BD1148" s="160"/>
      <c r="BE1148" s="160"/>
      <c r="BF1148" s="160"/>
      <c r="BG1148" s="160"/>
      <c r="BH1148" s="160"/>
      <c r="BI1148" s="160"/>
      <c r="BJ1148" s="160"/>
      <c r="BK1148" s="160"/>
      <c r="BL1148" s="160"/>
      <c r="BM1148" s="160"/>
      <c r="BN1148" s="160"/>
      <c r="BO1148" s="160"/>
      <c r="BP1148" s="160"/>
      <c r="BQ1148" s="160"/>
      <c r="BR1148" s="160"/>
      <c r="BS1148" s="160"/>
      <c r="BT1148" s="160"/>
      <c r="BU1148" s="160"/>
      <c r="BV1148" s="160"/>
      <c r="BW1148" s="160"/>
      <c r="BX1148" s="160"/>
      <c r="BY1148" s="160"/>
      <c r="BZ1148" s="160"/>
      <c r="CA1148" s="160"/>
      <c r="CB1148" s="160"/>
      <c r="CC1148" s="160"/>
      <c r="CD1148" s="160"/>
      <c r="CE1148" s="160"/>
      <c r="CF1148" s="160"/>
      <c r="CG1148" s="160"/>
      <c r="CH1148" s="160"/>
      <c r="CI1148" s="160"/>
      <c r="CJ1148" s="160"/>
      <c r="CK1148" s="160"/>
      <c r="CL1148" s="160"/>
    </row>
    <row r="1149">
      <c r="A1149" s="171"/>
      <c r="F1149" s="11"/>
      <c r="G1149" s="11"/>
      <c r="L1149" s="171"/>
      <c r="M1149" s="171"/>
      <c r="O1149" s="160"/>
      <c r="P1149" s="160"/>
      <c r="Q1149" s="160"/>
      <c r="R1149" s="160"/>
      <c r="S1149" s="160"/>
      <c r="T1149" s="207"/>
      <c r="U1149" s="160"/>
      <c r="V1149" s="160"/>
      <c r="W1149" s="160"/>
      <c r="X1149" s="160"/>
      <c r="Y1149" s="160"/>
      <c r="Z1149" s="160"/>
      <c r="AA1149" s="160"/>
      <c r="AB1149" s="160"/>
      <c r="AC1149" s="160"/>
      <c r="AD1149" s="160"/>
      <c r="AE1149" s="160"/>
      <c r="AF1149" s="160"/>
      <c r="AG1149" s="160"/>
      <c r="AH1149" s="160"/>
      <c r="AI1149" s="160"/>
      <c r="AJ1149" s="160"/>
      <c r="AK1149" s="160"/>
      <c r="AL1149" s="160"/>
      <c r="AM1149" s="160"/>
      <c r="AN1149" s="164"/>
      <c r="AO1149" s="160"/>
      <c r="AP1149" s="160"/>
      <c r="AQ1149" s="160"/>
      <c r="AR1149" s="160"/>
      <c r="AS1149" s="160"/>
      <c r="AT1149" s="160"/>
      <c r="AU1149" s="160"/>
      <c r="AV1149" s="160"/>
      <c r="AW1149" s="160"/>
      <c r="AX1149" s="160"/>
      <c r="AY1149" s="160"/>
      <c r="AZ1149" s="160"/>
      <c r="BA1149" s="160"/>
      <c r="BB1149" s="160"/>
      <c r="BC1149" s="160"/>
      <c r="BD1149" s="160"/>
      <c r="BE1149" s="160"/>
      <c r="BF1149" s="160"/>
      <c r="BG1149" s="160"/>
      <c r="BH1149" s="160"/>
      <c r="BI1149" s="160"/>
      <c r="BJ1149" s="160"/>
      <c r="BK1149" s="160"/>
      <c r="BL1149" s="160"/>
      <c r="BM1149" s="160"/>
      <c r="BN1149" s="160"/>
      <c r="BO1149" s="160"/>
      <c r="BP1149" s="160"/>
      <c r="BQ1149" s="160"/>
      <c r="BR1149" s="160"/>
      <c r="BS1149" s="160"/>
      <c r="BT1149" s="160"/>
      <c r="BU1149" s="160"/>
      <c r="BV1149" s="160"/>
      <c r="BW1149" s="160"/>
      <c r="BX1149" s="160"/>
      <c r="BY1149" s="160"/>
      <c r="BZ1149" s="160"/>
      <c r="CA1149" s="160"/>
      <c r="CB1149" s="160"/>
      <c r="CC1149" s="160"/>
      <c r="CD1149" s="160"/>
      <c r="CE1149" s="160"/>
      <c r="CF1149" s="160"/>
      <c r="CG1149" s="160"/>
      <c r="CH1149" s="160"/>
      <c r="CI1149" s="160"/>
      <c r="CJ1149" s="160"/>
      <c r="CK1149" s="160"/>
      <c r="CL1149" s="160"/>
    </row>
    <row r="1150">
      <c r="A1150" s="171"/>
      <c r="F1150" s="11"/>
      <c r="G1150" s="11"/>
      <c r="L1150" s="171"/>
      <c r="M1150" s="171"/>
      <c r="O1150" s="160"/>
      <c r="P1150" s="160"/>
      <c r="Q1150" s="160"/>
      <c r="R1150" s="160"/>
      <c r="S1150" s="160"/>
      <c r="T1150" s="207"/>
      <c r="U1150" s="160"/>
      <c r="V1150" s="160"/>
      <c r="W1150" s="160"/>
      <c r="X1150" s="160"/>
      <c r="Y1150" s="160"/>
      <c r="Z1150" s="160"/>
      <c r="AA1150" s="160"/>
      <c r="AB1150" s="160"/>
      <c r="AC1150" s="160"/>
      <c r="AD1150" s="160"/>
      <c r="AE1150" s="160"/>
      <c r="AF1150" s="160"/>
      <c r="AG1150" s="160"/>
      <c r="AH1150" s="160"/>
      <c r="AI1150" s="160"/>
      <c r="AJ1150" s="160"/>
      <c r="AK1150" s="160"/>
      <c r="AL1150" s="160"/>
      <c r="AM1150" s="160"/>
      <c r="AN1150" s="164"/>
      <c r="AO1150" s="160"/>
      <c r="AP1150" s="160"/>
      <c r="AQ1150" s="160"/>
      <c r="AR1150" s="160"/>
      <c r="AS1150" s="160"/>
      <c r="AT1150" s="160"/>
      <c r="AU1150" s="160"/>
      <c r="AV1150" s="160"/>
      <c r="AW1150" s="160"/>
      <c r="AX1150" s="160"/>
      <c r="AY1150" s="160"/>
      <c r="AZ1150" s="160"/>
      <c r="BA1150" s="160"/>
      <c r="BB1150" s="160"/>
      <c r="BC1150" s="160"/>
      <c r="BD1150" s="160"/>
      <c r="BE1150" s="160"/>
      <c r="BF1150" s="160"/>
      <c r="BG1150" s="160"/>
      <c r="BH1150" s="160"/>
      <c r="BI1150" s="160"/>
      <c r="BJ1150" s="160"/>
      <c r="BK1150" s="160"/>
      <c r="BL1150" s="160"/>
      <c r="BM1150" s="160"/>
      <c r="BN1150" s="160"/>
      <c r="BO1150" s="160"/>
      <c r="BP1150" s="160"/>
      <c r="BQ1150" s="160"/>
      <c r="BR1150" s="160"/>
      <c r="BS1150" s="160"/>
      <c r="BT1150" s="160"/>
      <c r="BU1150" s="160"/>
      <c r="BV1150" s="160"/>
      <c r="BW1150" s="160"/>
      <c r="BX1150" s="160"/>
      <c r="BY1150" s="160"/>
      <c r="BZ1150" s="160"/>
      <c r="CA1150" s="160"/>
      <c r="CB1150" s="160"/>
      <c r="CC1150" s="160"/>
      <c r="CD1150" s="160"/>
      <c r="CE1150" s="160"/>
      <c r="CF1150" s="160"/>
      <c r="CG1150" s="160"/>
      <c r="CH1150" s="160"/>
      <c r="CI1150" s="160"/>
      <c r="CJ1150" s="160"/>
      <c r="CK1150" s="160"/>
      <c r="CL1150" s="160"/>
    </row>
    <row r="1151">
      <c r="A1151" s="171"/>
      <c r="F1151" s="11"/>
      <c r="G1151" s="11"/>
      <c r="L1151" s="171"/>
      <c r="M1151" s="171"/>
      <c r="O1151" s="160"/>
      <c r="P1151" s="160"/>
      <c r="Q1151" s="160"/>
      <c r="R1151" s="160"/>
      <c r="S1151" s="160"/>
      <c r="T1151" s="207"/>
      <c r="U1151" s="160"/>
      <c r="V1151" s="160"/>
      <c r="W1151" s="160"/>
      <c r="X1151" s="160"/>
      <c r="Y1151" s="160"/>
      <c r="Z1151" s="160"/>
      <c r="AA1151" s="160"/>
      <c r="AB1151" s="160"/>
      <c r="AC1151" s="160"/>
      <c r="AD1151" s="160"/>
      <c r="AE1151" s="160"/>
      <c r="AF1151" s="160"/>
      <c r="AG1151" s="160"/>
      <c r="AH1151" s="160"/>
      <c r="AI1151" s="160"/>
      <c r="AJ1151" s="160"/>
      <c r="AK1151" s="160"/>
      <c r="AL1151" s="160"/>
      <c r="AM1151" s="160"/>
      <c r="AN1151" s="164"/>
      <c r="AO1151" s="160"/>
      <c r="AP1151" s="160"/>
      <c r="AQ1151" s="160"/>
      <c r="AR1151" s="160"/>
      <c r="AS1151" s="160"/>
      <c r="AT1151" s="160"/>
      <c r="AU1151" s="160"/>
      <c r="AV1151" s="160"/>
      <c r="AW1151" s="160"/>
      <c r="AX1151" s="160"/>
      <c r="AY1151" s="160"/>
      <c r="AZ1151" s="160"/>
      <c r="BA1151" s="160"/>
      <c r="BB1151" s="160"/>
      <c r="BC1151" s="160"/>
      <c r="BD1151" s="160"/>
      <c r="BE1151" s="160"/>
      <c r="BF1151" s="160"/>
      <c r="BG1151" s="160"/>
      <c r="BH1151" s="160"/>
      <c r="BI1151" s="160"/>
      <c r="BJ1151" s="160"/>
      <c r="BK1151" s="160"/>
      <c r="BL1151" s="160"/>
      <c r="BM1151" s="160"/>
      <c r="BN1151" s="160"/>
      <c r="BO1151" s="160"/>
      <c r="BP1151" s="160"/>
      <c r="BQ1151" s="160"/>
      <c r="BR1151" s="160"/>
      <c r="BS1151" s="160"/>
      <c r="BT1151" s="160"/>
      <c r="BU1151" s="160"/>
      <c r="BV1151" s="160"/>
      <c r="BW1151" s="160"/>
      <c r="BX1151" s="160"/>
      <c r="BY1151" s="160"/>
      <c r="BZ1151" s="160"/>
      <c r="CA1151" s="160"/>
      <c r="CB1151" s="160"/>
      <c r="CC1151" s="160"/>
      <c r="CD1151" s="160"/>
      <c r="CE1151" s="160"/>
      <c r="CF1151" s="160"/>
      <c r="CG1151" s="160"/>
      <c r="CH1151" s="160"/>
      <c r="CI1151" s="160"/>
      <c r="CJ1151" s="160"/>
      <c r="CK1151" s="160"/>
      <c r="CL1151" s="160"/>
    </row>
    <row r="1152">
      <c r="A1152" s="171"/>
      <c r="F1152" s="11"/>
      <c r="G1152" s="11"/>
      <c r="L1152" s="171"/>
      <c r="M1152" s="171"/>
      <c r="O1152" s="160"/>
      <c r="P1152" s="160"/>
      <c r="Q1152" s="160"/>
      <c r="R1152" s="160"/>
      <c r="S1152" s="160"/>
      <c r="T1152" s="207"/>
      <c r="U1152" s="160"/>
      <c r="V1152" s="160"/>
      <c r="W1152" s="160"/>
      <c r="X1152" s="160"/>
      <c r="Y1152" s="160"/>
      <c r="Z1152" s="160"/>
      <c r="AA1152" s="160"/>
      <c r="AB1152" s="160"/>
      <c r="AC1152" s="160"/>
      <c r="AD1152" s="160"/>
      <c r="AE1152" s="160"/>
      <c r="AF1152" s="160"/>
      <c r="AG1152" s="160"/>
      <c r="AH1152" s="160"/>
      <c r="AI1152" s="160"/>
      <c r="AJ1152" s="160"/>
      <c r="AK1152" s="160"/>
      <c r="AL1152" s="160"/>
      <c r="AM1152" s="160"/>
      <c r="AN1152" s="164"/>
      <c r="AO1152" s="160"/>
      <c r="AP1152" s="160"/>
      <c r="AQ1152" s="160"/>
      <c r="AR1152" s="160"/>
      <c r="AS1152" s="160"/>
      <c r="AT1152" s="160"/>
      <c r="AU1152" s="160"/>
      <c r="AV1152" s="160"/>
      <c r="AW1152" s="160"/>
      <c r="AX1152" s="160"/>
      <c r="AY1152" s="160"/>
      <c r="AZ1152" s="160"/>
      <c r="BA1152" s="160"/>
      <c r="BB1152" s="160"/>
      <c r="BC1152" s="160"/>
      <c r="BD1152" s="160"/>
      <c r="BE1152" s="160"/>
      <c r="BF1152" s="160"/>
      <c r="BG1152" s="160"/>
      <c r="BH1152" s="160"/>
      <c r="BI1152" s="160"/>
      <c r="BJ1152" s="160"/>
      <c r="BK1152" s="160"/>
      <c r="BL1152" s="160"/>
      <c r="BM1152" s="160"/>
      <c r="BN1152" s="160"/>
      <c r="BO1152" s="160"/>
      <c r="BP1152" s="160"/>
      <c r="BQ1152" s="160"/>
      <c r="BR1152" s="160"/>
      <c r="BS1152" s="160"/>
      <c r="BT1152" s="160"/>
      <c r="BU1152" s="160"/>
      <c r="BV1152" s="160"/>
      <c r="BW1152" s="160"/>
      <c r="BX1152" s="160"/>
      <c r="BY1152" s="160"/>
      <c r="BZ1152" s="160"/>
      <c r="CA1152" s="160"/>
      <c r="CB1152" s="160"/>
      <c r="CC1152" s="160"/>
      <c r="CD1152" s="160"/>
      <c r="CE1152" s="160"/>
      <c r="CF1152" s="160"/>
      <c r="CG1152" s="160"/>
      <c r="CH1152" s="160"/>
      <c r="CI1152" s="160"/>
      <c r="CJ1152" s="160"/>
      <c r="CK1152" s="160"/>
      <c r="CL1152" s="160"/>
    </row>
    <row r="1153">
      <c r="A1153" s="171"/>
      <c r="F1153" s="11"/>
      <c r="G1153" s="11"/>
      <c r="L1153" s="171"/>
      <c r="M1153" s="171"/>
      <c r="O1153" s="160"/>
      <c r="P1153" s="160"/>
      <c r="Q1153" s="160"/>
      <c r="R1153" s="160"/>
      <c r="S1153" s="160"/>
      <c r="T1153" s="207"/>
      <c r="U1153" s="160"/>
      <c r="V1153" s="160"/>
      <c r="W1153" s="160"/>
      <c r="X1153" s="160"/>
      <c r="Y1153" s="160"/>
      <c r="Z1153" s="160"/>
      <c r="AA1153" s="160"/>
      <c r="AB1153" s="160"/>
      <c r="AC1153" s="160"/>
      <c r="AD1153" s="160"/>
      <c r="AE1153" s="160"/>
      <c r="AF1153" s="160"/>
      <c r="AG1153" s="160"/>
      <c r="AH1153" s="160"/>
      <c r="AI1153" s="160"/>
      <c r="AJ1153" s="160"/>
      <c r="AK1153" s="160"/>
      <c r="AL1153" s="160"/>
      <c r="AM1153" s="160"/>
      <c r="AN1153" s="164"/>
      <c r="AO1153" s="160"/>
      <c r="AP1153" s="160"/>
      <c r="AQ1153" s="160"/>
      <c r="AR1153" s="160"/>
      <c r="AS1153" s="160"/>
      <c r="AT1153" s="160"/>
      <c r="AU1153" s="160"/>
      <c r="AV1153" s="160"/>
      <c r="AW1153" s="160"/>
      <c r="AX1153" s="160"/>
      <c r="AY1153" s="160"/>
      <c r="AZ1153" s="160"/>
      <c r="BA1153" s="160"/>
      <c r="BB1153" s="160"/>
      <c r="BC1153" s="160"/>
      <c r="BD1153" s="160"/>
      <c r="BE1153" s="160"/>
      <c r="BF1153" s="160"/>
      <c r="BG1153" s="160"/>
      <c r="BH1153" s="160"/>
      <c r="BI1153" s="160"/>
      <c r="BJ1153" s="160"/>
      <c r="BK1153" s="160"/>
      <c r="BL1153" s="160"/>
      <c r="BM1153" s="160"/>
      <c r="BN1153" s="160"/>
      <c r="BO1153" s="160"/>
      <c r="BP1153" s="160"/>
      <c r="BQ1153" s="160"/>
      <c r="BR1153" s="160"/>
      <c r="BS1153" s="160"/>
      <c r="BT1153" s="160"/>
      <c r="BU1153" s="160"/>
      <c r="BV1153" s="160"/>
      <c r="BW1153" s="160"/>
      <c r="BX1153" s="160"/>
      <c r="BY1153" s="160"/>
      <c r="BZ1153" s="160"/>
      <c r="CA1153" s="160"/>
      <c r="CB1153" s="160"/>
      <c r="CC1153" s="160"/>
      <c r="CD1153" s="160"/>
      <c r="CE1153" s="160"/>
      <c r="CF1153" s="160"/>
      <c r="CG1153" s="160"/>
      <c r="CH1153" s="160"/>
      <c r="CI1153" s="160"/>
      <c r="CJ1153" s="160"/>
      <c r="CK1153" s="160"/>
      <c r="CL1153" s="160"/>
    </row>
    <row r="1154">
      <c r="A1154" s="171"/>
      <c r="F1154" s="11"/>
      <c r="G1154" s="11"/>
      <c r="L1154" s="171"/>
      <c r="M1154" s="171"/>
      <c r="O1154" s="160"/>
      <c r="P1154" s="160"/>
      <c r="Q1154" s="160"/>
      <c r="R1154" s="160"/>
      <c r="S1154" s="160"/>
      <c r="T1154" s="207"/>
      <c r="U1154" s="160"/>
      <c r="V1154" s="160"/>
      <c r="W1154" s="160"/>
      <c r="X1154" s="160"/>
      <c r="Y1154" s="160"/>
      <c r="Z1154" s="160"/>
      <c r="AA1154" s="160"/>
      <c r="AB1154" s="160"/>
      <c r="AC1154" s="160"/>
      <c r="AD1154" s="160"/>
      <c r="AE1154" s="160"/>
      <c r="AF1154" s="160"/>
      <c r="AG1154" s="160"/>
      <c r="AH1154" s="160"/>
      <c r="AI1154" s="160"/>
      <c r="AJ1154" s="160"/>
      <c r="AK1154" s="160"/>
      <c r="AL1154" s="160"/>
      <c r="AM1154" s="160"/>
      <c r="AN1154" s="164"/>
      <c r="AO1154" s="160"/>
      <c r="AP1154" s="160"/>
      <c r="AQ1154" s="160"/>
      <c r="AR1154" s="160"/>
      <c r="AS1154" s="160"/>
      <c r="AT1154" s="160"/>
      <c r="AU1154" s="160"/>
      <c r="AV1154" s="160"/>
      <c r="AW1154" s="160"/>
      <c r="AX1154" s="160"/>
      <c r="AY1154" s="160"/>
      <c r="AZ1154" s="160"/>
      <c r="BA1154" s="160"/>
      <c r="BB1154" s="160"/>
      <c r="BC1154" s="160"/>
      <c r="BD1154" s="160"/>
      <c r="BE1154" s="160"/>
      <c r="BF1154" s="160"/>
      <c r="BG1154" s="160"/>
      <c r="BH1154" s="160"/>
      <c r="BI1154" s="160"/>
      <c r="BJ1154" s="160"/>
      <c r="BK1154" s="160"/>
      <c r="BL1154" s="160"/>
      <c r="BM1154" s="160"/>
      <c r="BN1154" s="160"/>
      <c r="BO1154" s="160"/>
      <c r="BP1154" s="160"/>
      <c r="BQ1154" s="160"/>
      <c r="BR1154" s="160"/>
      <c r="BS1154" s="160"/>
      <c r="BT1154" s="160"/>
      <c r="BU1154" s="160"/>
      <c r="BV1154" s="160"/>
      <c r="BW1154" s="160"/>
      <c r="BX1154" s="160"/>
      <c r="BY1154" s="160"/>
      <c r="BZ1154" s="160"/>
      <c r="CA1154" s="160"/>
      <c r="CB1154" s="160"/>
      <c r="CC1154" s="160"/>
      <c r="CD1154" s="160"/>
      <c r="CE1154" s="160"/>
      <c r="CF1154" s="160"/>
      <c r="CG1154" s="160"/>
      <c r="CH1154" s="160"/>
      <c r="CI1154" s="160"/>
      <c r="CJ1154" s="160"/>
      <c r="CK1154" s="160"/>
      <c r="CL1154" s="160"/>
    </row>
    <row r="1155">
      <c r="A1155" s="171"/>
      <c r="F1155" s="11"/>
      <c r="G1155" s="11"/>
      <c r="L1155" s="171"/>
      <c r="M1155" s="171"/>
      <c r="O1155" s="160"/>
      <c r="P1155" s="160"/>
      <c r="Q1155" s="160"/>
      <c r="R1155" s="160"/>
      <c r="S1155" s="160"/>
      <c r="T1155" s="207"/>
      <c r="U1155" s="160"/>
      <c r="V1155" s="160"/>
      <c r="W1155" s="160"/>
      <c r="X1155" s="160"/>
      <c r="Y1155" s="160"/>
      <c r="Z1155" s="160"/>
      <c r="AA1155" s="160"/>
      <c r="AB1155" s="160"/>
      <c r="AC1155" s="160"/>
      <c r="AD1155" s="160"/>
      <c r="AE1155" s="160"/>
      <c r="AF1155" s="160"/>
      <c r="AG1155" s="160"/>
      <c r="AH1155" s="160"/>
      <c r="AI1155" s="160"/>
      <c r="AJ1155" s="160"/>
      <c r="AK1155" s="160"/>
      <c r="AL1155" s="160"/>
      <c r="AM1155" s="160"/>
      <c r="AN1155" s="164"/>
      <c r="AO1155" s="160"/>
      <c r="AP1155" s="160"/>
      <c r="AQ1155" s="160"/>
      <c r="AR1155" s="160"/>
      <c r="AS1155" s="160"/>
      <c r="AT1155" s="160"/>
      <c r="AU1155" s="160"/>
      <c r="AV1155" s="160"/>
      <c r="AW1155" s="160"/>
      <c r="AX1155" s="160"/>
      <c r="AY1155" s="160"/>
      <c r="AZ1155" s="160"/>
      <c r="BA1155" s="160"/>
      <c r="BB1155" s="160"/>
      <c r="BC1155" s="160"/>
      <c r="BD1155" s="160"/>
      <c r="BE1155" s="160"/>
      <c r="BF1155" s="160"/>
      <c r="BG1155" s="160"/>
      <c r="BH1155" s="160"/>
      <c r="BI1155" s="160"/>
      <c r="BJ1155" s="160"/>
      <c r="BK1155" s="160"/>
      <c r="BL1155" s="160"/>
      <c r="BM1155" s="160"/>
      <c r="BN1155" s="160"/>
      <c r="BO1155" s="160"/>
      <c r="BP1155" s="160"/>
      <c r="BQ1155" s="160"/>
      <c r="BR1155" s="160"/>
      <c r="BS1155" s="160"/>
      <c r="BT1155" s="160"/>
      <c r="BU1155" s="160"/>
      <c r="BV1155" s="160"/>
      <c r="BW1155" s="160"/>
      <c r="BX1155" s="160"/>
      <c r="BY1155" s="160"/>
      <c r="BZ1155" s="160"/>
      <c r="CA1155" s="160"/>
      <c r="CB1155" s="160"/>
      <c r="CC1155" s="160"/>
      <c r="CD1155" s="160"/>
      <c r="CE1155" s="160"/>
      <c r="CF1155" s="160"/>
      <c r="CG1155" s="160"/>
      <c r="CH1155" s="160"/>
      <c r="CI1155" s="160"/>
      <c r="CJ1155" s="160"/>
      <c r="CK1155" s="160"/>
      <c r="CL1155" s="160"/>
    </row>
    <row r="1156">
      <c r="A1156" s="171"/>
      <c r="F1156" s="11"/>
      <c r="G1156" s="11"/>
      <c r="L1156" s="171"/>
      <c r="M1156" s="171"/>
      <c r="O1156" s="160"/>
      <c r="P1156" s="160"/>
      <c r="Q1156" s="160"/>
      <c r="R1156" s="160"/>
      <c r="S1156" s="160"/>
      <c r="T1156" s="207"/>
      <c r="U1156" s="160"/>
      <c r="V1156" s="160"/>
      <c r="W1156" s="160"/>
      <c r="X1156" s="160"/>
      <c r="Y1156" s="160"/>
      <c r="Z1156" s="160"/>
      <c r="AA1156" s="160"/>
      <c r="AB1156" s="160"/>
      <c r="AC1156" s="160"/>
      <c r="AD1156" s="160"/>
      <c r="AE1156" s="160"/>
      <c r="AF1156" s="160"/>
      <c r="AG1156" s="160"/>
      <c r="AH1156" s="160"/>
      <c r="AI1156" s="160"/>
      <c r="AJ1156" s="160"/>
      <c r="AK1156" s="160"/>
      <c r="AL1156" s="160"/>
      <c r="AM1156" s="160"/>
      <c r="AN1156" s="164"/>
      <c r="AO1156" s="160"/>
      <c r="AP1156" s="160"/>
      <c r="AQ1156" s="160"/>
      <c r="AR1156" s="160"/>
      <c r="AS1156" s="160"/>
      <c r="AT1156" s="160"/>
      <c r="AU1156" s="160"/>
      <c r="AV1156" s="160"/>
      <c r="AW1156" s="160"/>
      <c r="AX1156" s="160"/>
      <c r="AY1156" s="160"/>
      <c r="AZ1156" s="160"/>
      <c r="BA1156" s="160"/>
      <c r="BB1156" s="160"/>
      <c r="BC1156" s="160"/>
      <c r="BD1156" s="160"/>
      <c r="BE1156" s="160"/>
      <c r="BF1156" s="160"/>
      <c r="BG1156" s="160"/>
      <c r="BH1156" s="160"/>
      <c r="BI1156" s="160"/>
      <c r="BJ1156" s="160"/>
      <c r="BK1156" s="160"/>
      <c r="BL1156" s="160"/>
      <c r="BM1156" s="160"/>
      <c r="BN1156" s="160"/>
      <c r="BO1156" s="160"/>
      <c r="BP1156" s="160"/>
      <c r="BQ1156" s="160"/>
      <c r="BR1156" s="160"/>
      <c r="BS1156" s="160"/>
      <c r="BT1156" s="160"/>
      <c r="BU1156" s="160"/>
      <c r="BV1156" s="160"/>
      <c r="BW1156" s="160"/>
      <c r="BX1156" s="160"/>
      <c r="BY1156" s="160"/>
      <c r="BZ1156" s="160"/>
      <c r="CA1156" s="160"/>
      <c r="CB1156" s="160"/>
      <c r="CC1156" s="160"/>
      <c r="CD1156" s="160"/>
      <c r="CE1156" s="160"/>
      <c r="CF1156" s="160"/>
      <c r="CG1156" s="160"/>
      <c r="CH1156" s="160"/>
      <c r="CI1156" s="160"/>
      <c r="CJ1156" s="160"/>
      <c r="CK1156" s="160"/>
      <c r="CL1156" s="160"/>
    </row>
    <row r="1157">
      <c r="A1157" s="171"/>
      <c r="F1157" s="11"/>
      <c r="G1157" s="11"/>
      <c r="L1157" s="171"/>
      <c r="M1157" s="171"/>
      <c r="O1157" s="160"/>
      <c r="P1157" s="160"/>
      <c r="Q1157" s="160"/>
      <c r="R1157" s="160"/>
      <c r="S1157" s="160"/>
      <c r="T1157" s="207"/>
      <c r="U1157" s="160"/>
      <c r="V1157" s="160"/>
      <c r="W1157" s="160"/>
      <c r="X1157" s="160"/>
      <c r="Y1157" s="160"/>
      <c r="Z1157" s="160"/>
      <c r="AA1157" s="160"/>
      <c r="AB1157" s="160"/>
      <c r="AC1157" s="160"/>
      <c r="AD1157" s="160"/>
      <c r="AE1157" s="160"/>
      <c r="AF1157" s="160"/>
      <c r="AG1157" s="160"/>
      <c r="AH1157" s="160"/>
      <c r="AI1157" s="160"/>
      <c r="AJ1157" s="160"/>
      <c r="AK1157" s="160"/>
      <c r="AL1157" s="160"/>
      <c r="AM1157" s="160"/>
      <c r="AN1157" s="164"/>
      <c r="AO1157" s="160"/>
      <c r="AP1157" s="160"/>
      <c r="AQ1157" s="160"/>
      <c r="AR1157" s="160"/>
      <c r="AS1157" s="160"/>
      <c r="AT1157" s="160"/>
      <c r="AU1157" s="160"/>
      <c r="AV1157" s="160"/>
      <c r="AW1157" s="160"/>
      <c r="AX1157" s="160"/>
      <c r="AY1157" s="160"/>
      <c r="AZ1157" s="160"/>
      <c r="BA1157" s="160"/>
      <c r="BB1157" s="160"/>
      <c r="BC1157" s="160"/>
      <c r="BD1157" s="160"/>
      <c r="BE1157" s="160"/>
      <c r="BF1157" s="160"/>
      <c r="BG1157" s="160"/>
      <c r="BH1157" s="160"/>
      <c r="BI1157" s="160"/>
      <c r="BJ1157" s="160"/>
      <c r="BK1157" s="160"/>
      <c r="BL1157" s="160"/>
      <c r="BM1157" s="160"/>
      <c r="BN1157" s="160"/>
      <c r="BO1157" s="160"/>
      <c r="BP1157" s="160"/>
      <c r="BQ1157" s="160"/>
      <c r="BR1157" s="160"/>
      <c r="BS1157" s="160"/>
      <c r="BT1157" s="160"/>
      <c r="BU1157" s="160"/>
      <c r="BV1157" s="160"/>
      <c r="BW1157" s="160"/>
      <c r="BX1157" s="160"/>
      <c r="BY1157" s="160"/>
      <c r="BZ1157" s="160"/>
      <c r="CA1157" s="160"/>
      <c r="CB1157" s="160"/>
      <c r="CC1157" s="160"/>
      <c r="CD1157" s="160"/>
      <c r="CE1157" s="160"/>
      <c r="CF1157" s="160"/>
      <c r="CG1157" s="160"/>
      <c r="CH1157" s="160"/>
      <c r="CI1157" s="160"/>
      <c r="CJ1157" s="160"/>
      <c r="CK1157" s="160"/>
      <c r="CL1157" s="160"/>
    </row>
    <row r="1158">
      <c r="A1158" s="171"/>
      <c r="F1158" s="11"/>
      <c r="G1158" s="11"/>
      <c r="L1158" s="171"/>
      <c r="M1158" s="171"/>
      <c r="O1158" s="160"/>
      <c r="P1158" s="160"/>
      <c r="Q1158" s="160"/>
      <c r="R1158" s="160"/>
      <c r="S1158" s="160"/>
      <c r="T1158" s="207"/>
      <c r="U1158" s="160"/>
      <c r="V1158" s="160"/>
      <c r="W1158" s="160"/>
      <c r="X1158" s="160"/>
      <c r="Y1158" s="160"/>
      <c r="Z1158" s="160"/>
      <c r="AA1158" s="160"/>
      <c r="AB1158" s="160"/>
      <c r="AC1158" s="160"/>
      <c r="AD1158" s="160"/>
      <c r="AE1158" s="160"/>
      <c r="AF1158" s="160"/>
      <c r="AG1158" s="160"/>
      <c r="AH1158" s="160"/>
      <c r="AI1158" s="160"/>
      <c r="AJ1158" s="160"/>
      <c r="AK1158" s="160"/>
      <c r="AL1158" s="160"/>
      <c r="AM1158" s="160"/>
      <c r="AN1158" s="164"/>
      <c r="AO1158" s="160"/>
      <c r="AP1158" s="160"/>
      <c r="AQ1158" s="160"/>
      <c r="AR1158" s="160"/>
      <c r="AS1158" s="160"/>
      <c r="AT1158" s="160"/>
      <c r="AU1158" s="160"/>
      <c r="AV1158" s="160"/>
      <c r="AW1158" s="160"/>
      <c r="AX1158" s="160"/>
      <c r="AY1158" s="160"/>
      <c r="AZ1158" s="160"/>
      <c r="BA1158" s="160"/>
      <c r="BB1158" s="160"/>
      <c r="BC1158" s="160"/>
      <c r="BD1158" s="160"/>
      <c r="BE1158" s="160"/>
      <c r="BF1158" s="160"/>
      <c r="BG1158" s="160"/>
      <c r="BH1158" s="160"/>
      <c r="BI1158" s="160"/>
      <c r="BJ1158" s="160"/>
      <c r="BK1158" s="160"/>
      <c r="BL1158" s="160"/>
      <c r="BM1158" s="160"/>
      <c r="BN1158" s="160"/>
      <c r="BO1158" s="160"/>
      <c r="BP1158" s="160"/>
      <c r="BQ1158" s="160"/>
      <c r="BR1158" s="160"/>
      <c r="BS1158" s="160"/>
      <c r="BT1158" s="160"/>
      <c r="BU1158" s="160"/>
      <c r="BV1158" s="160"/>
      <c r="BW1158" s="160"/>
      <c r="BX1158" s="160"/>
      <c r="BY1158" s="160"/>
      <c r="BZ1158" s="160"/>
      <c r="CA1158" s="160"/>
      <c r="CB1158" s="160"/>
      <c r="CC1158" s="160"/>
      <c r="CD1158" s="160"/>
      <c r="CE1158" s="160"/>
      <c r="CF1158" s="160"/>
      <c r="CG1158" s="160"/>
      <c r="CH1158" s="160"/>
      <c r="CI1158" s="160"/>
      <c r="CJ1158" s="160"/>
      <c r="CK1158" s="160"/>
      <c r="CL1158" s="160"/>
    </row>
    <row r="1159">
      <c r="A1159" s="171"/>
      <c r="F1159" s="11"/>
      <c r="G1159" s="11"/>
      <c r="L1159" s="171"/>
      <c r="M1159" s="171"/>
      <c r="O1159" s="160"/>
      <c r="P1159" s="160"/>
      <c r="Q1159" s="160"/>
      <c r="R1159" s="160"/>
      <c r="S1159" s="160"/>
      <c r="T1159" s="207"/>
      <c r="U1159" s="160"/>
      <c r="V1159" s="160"/>
      <c r="W1159" s="160"/>
      <c r="X1159" s="160"/>
      <c r="Y1159" s="160"/>
      <c r="Z1159" s="160"/>
      <c r="AA1159" s="160"/>
      <c r="AB1159" s="160"/>
      <c r="AC1159" s="160"/>
      <c r="AD1159" s="160"/>
      <c r="AE1159" s="160"/>
      <c r="AF1159" s="160"/>
      <c r="AG1159" s="160"/>
      <c r="AH1159" s="160"/>
      <c r="AI1159" s="160"/>
      <c r="AJ1159" s="160"/>
      <c r="AK1159" s="160"/>
      <c r="AL1159" s="160"/>
      <c r="AM1159" s="160"/>
      <c r="AN1159" s="164"/>
      <c r="AO1159" s="160"/>
      <c r="AP1159" s="160"/>
      <c r="AQ1159" s="160"/>
      <c r="AR1159" s="160"/>
      <c r="AS1159" s="160"/>
      <c r="AT1159" s="160"/>
      <c r="AU1159" s="160"/>
      <c r="AV1159" s="160"/>
      <c r="AW1159" s="160"/>
      <c r="AX1159" s="160"/>
      <c r="AY1159" s="160"/>
      <c r="AZ1159" s="160"/>
      <c r="BA1159" s="160"/>
      <c r="BB1159" s="160"/>
      <c r="BC1159" s="160"/>
      <c r="BD1159" s="160"/>
      <c r="BE1159" s="160"/>
      <c r="BF1159" s="160"/>
      <c r="BG1159" s="160"/>
      <c r="BH1159" s="160"/>
      <c r="BI1159" s="160"/>
      <c r="BJ1159" s="160"/>
      <c r="BK1159" s="160"/>
      <c r="BL1159" s="160"/>
      <c r="BM1159" s="160"/>
      <c r="BN1159" s="160"/>
      <c r="BO1159" s="160"/>
      <c r="BP1159" s="160"/>
      <c r="BQ1159" s="160"/>
      <c r="BR1159" s="160"/>
      <c r="BS1159" s="160"/>
      <c r="BT1159" s="160"/>
      <c r="BU1159" s="160"/>
      <c r="BV1159" s="160"/>
      <c r="BW1159" s="160"/>
      <c r="BX1159" s="160"/>
      <c r="BY1159" s="160"/>
      <c r="BZ1159" s="160"/>
      <c r="CA1159" s="160"/>
      <c r="CB1159" s="160"/>
      <c r="CC1159" s="160"/>
      <c r="CD1159" s="160"/>
      <c r="CE1159" s="160"/>
      <c r="CF1159" s="160"/>
      <c r="CG1159" s="160"/>
      <c r="CH1159" s="160"/>
      <c r="CI1159" s="160"/>
      <c r="CJ1159" s="160"/>
      <c r="CK1159" s="160"/>
      <c r="CL1159" s="160"/>
    </row>
    <row r="1160">
      <c r="A1160" s="171"/>
      <c r="F1160" s="11"/>
      <c r="G1160" s="11"/>
      <c r="L1160" s="171"/>
      <c r="M1160" s="171"/>
      <c r="O1160" s="160"/>
      <c r="P1160" s="160"/>
      <c r="Q1160" s="160"/>
      <c r="R1160" s="160"/>
      <c r="S1160" s="160"/>
      <c r="T1160" s="207"/>
      <c r="U1160" s="160"/>
      <c r="V1160" s="160"/>
      <c r="W1160" s="160"/>
      <c r="X1160" s="160"/>
      <c r="Y1160" s="160"/>
      <c r="Z1160" s="160"/>
      <c r="AA1160" s="160"/>
      <c r="AB1160" s="160"/>
      <c r="AC1160" s="160"/>
      <c r="AD1160" s="160"/>
      <c r="AE1160" s="160"/>
      <c r="AF1160" s="160"/>
      <c r="AG1160" s="160"/>
      <c r="AH1160" s="160"/>
      <c r="AI1160" s="160"/>
      <c r="AJ1160" s="160"/>
      <c r="AK1160" s="160"/>
      <c r="AL1160" s="160"/>
      <c r="AM1160" s="160"/>
      <c r="AN1160" s="164"/>
      <c r="AO1160" s="160"/>
      <c r="AP1160" s="160"/>
      <c r="AQ1160" s="160"/>
      <c r="AR1160" s="160"/>
      <c r="AS1160" s="160"/>
      <c r="AT1160" s="160"/>
      <c r="AU1160" s="160"/>
      <c r="AV1160" s="160"/>
      <c r="AW1160" s="160"/>
      <c r="AX1160" s="160"/>
      <c r="AY1160" s="160"/>
      <c r="AZ1160" s="160"/>
      <c r="BA1160" s="160"/>
      <c r="BB1160" s="160"/>
      <c r="BC1160" s="160"/>
      <c r="BD1160" s="160"/>
      <c r="BE1160" s="160"/>
      <c r="BF1160" s="160"/>
      <c r="BG1160" s="160"/>
      <c r="BH1160" s="160"/>
      <c r="BI1160" s="160"/>
      <c r="BJ1160" s="160"/>
      <c r="BK1160" s="160"/>
      <c r="BL1160" s="160"/>
      <c r="BM1160" s="160"/>
      <c r="BN1160" s="160"/>
      <c r="BO1160" s="160"/>
      <c r="BP1160" s="160"/>
      <c r="BQ1160" s="160"/>
      <c r="BR1160" s="160"/>
      <c r="BS1160" s="160"/>
      <c r="BT1160" s="160"/>
      <c r="BU1160" s="160"/>
      <c r="BV1160" s="160"/>
      <c r="BW1160" s="160"/>
      <c r="BX1160" s="160"/>
      <c r="BY1160" s="160"/>
      <c r="BZ1160" s="160"/>
      <c r="CA1160" s="160"/>
      <c r="CB1160" s="160"/>
      <c r="CC1160" s="160"/>
      <c r="CD1160" s="160"/>
      <c r="CE1160" s="160"/>
      <c r="CF1160" s="160"/>
      <c r="CG1160" s="160"/>
      <c r="CH1160" s="160"/>
      <c r="CI1160" s="160"/>
      <c r="CJ1160" s="160"/>
      <c r="CK1160" s="160"/>
      <c r="CL1160" s="160"/>
    </row>
    <row r="1161">
      <c r="A1161" s="171"/>
      <c r="F1161" s="11"/>
      <c r="G1161" s="11"/>
      <c r="L1161" s="171"/>
      <c r="M1161" s="171"/>
      <c r="O1161" s="160"/>
      <c r="P1161" s="160"/>
      <c r="Q1161" s="160"/>
      <c r="R1161" s="160"/>
      <c r="S1161" s="160"/>
      <c r="T1161" s="207"/>
      <c r="U1161" s="160"/>
      <c r="V1161" s="160"/>
      <c r="W1161" s="160"/>
      <c r="X1161" s="160"/>
      <c r="Y1161" s="160"/>
      <c r="Z1161" s="160"/>
      <c r="AA1161" s="160"/>
      <c r="AB1161" s="160"/>
      <c r="AC1161" s="160"/>
      <c r="AD1161" s="160"/>
      <c r="AE1161" s="160"/>
      <c r="AF1161" s="160"/>
      <c r="AG1161" s="160"/>
      <c r="AH1161" s="160"/>
      <c r="AI1161" s="160"/>
      <c r="AJ1161" s="160"/>
      <c r="AK1161" s="160"/>
      <c r="AL1161" s="160"/>
      <c r="AM1161" s="160"/>
      <c r="AN1161" s="164"/>
      <c r="AO1161" s="160"/>
      <c r="AP1161" s="160"/>
      <c r="AQ1161" s="160"/>
      <c r="AR1161" s="160"/>
      <c r="AS1161" s="160"/>
      <c r="AT1161" s="160"/>
      <c r="AU1161" s="160"/>
      <c r="AV1161" s="160"/>
      <c r="AW1161" s="160"/>
      <c r="AX1161" s="160"/>
      <c r="AY1161" s="160"/>
      <c r="AZ1161" s="160"/>
      <c r="BA1161" s="160"/>
      <c r="BB1161" s="160"/>
      <c r="BC1161" s="160"/>
      <c r="BD1161" s="160"/>
      <c r="BE1161" s="160"/>
      <c r="BF1161" s="160"/>
      <c r="BG1161" s="160"/>
      <c r="BH1161" s="160"/>
      <c r="BI1161" s="160"/>
      <c r="BJ1161" s="160"/>
      <c r="BK1161" s="160"/>
      <c r="BL1161" s="160"/>
      <c r="BM1161" s="160"/>
      <c r="BN1161" s="160"/>
      <c r="BO1161" s="160"/>
      <c r="BP1161" s="160"/>
      <c r="BQ1161" s="160"/>
      <c r="BR1161" s="160"/>
      <c r="BS1161" s="160"/>
      <c r="BT1161" s="160"/>
      <c r="BU1161" s="160"/>
      <c r="BV1161" s="160"/>
      <c r="BW1161" s="160"/>
      <c r="BX1161" s="160"/>
      <c r="BY1161" s="160"/>
      <c r="BZ1161" s="160"/>
      <c r="CA1161" s="160"/>
      <c r="CB1161" s="160"/>
      <c r="CC1161" s="160"/>
      <c r="CD1161" s="160"/>
      <c r="CE1161" s="160"/>
      <c r="CF1161" s="160"/>
      <c r="CG1161" s="160"/>
      <c r="CH1161" s="160"/>
      <c r="CI1161" s="160"/>
      <c r="CJ1161" s="160"/>
      <c r="CK1161" s="160"/>
      <c r="CL1161" s="160"/>
    </row>
    <row r="1162">
      <c r="A1162" s="171"/>
      <c r="F1162" s="11"/>
      <c r="G1162" s="11"/>
      <c r="L1162" s="171"/>
      <c r="M1162" s="171"/>
      <c r="O1162" s="160"/>
      <c r="P1162" s="160"/>
      <c r="Q1162" s="160"/>
      <c r="R1162" s="160"/>
      <c r="S1162" s="160"/>
      <c r="T1162" s="207"/>
      <c r="U1162" s="160"/>
      <c r="V1162" s="160"/>
      <c r="W1162" s="160"/>
      <c r="X1162" s="160"/>
      <c r="Y1162" s="160"/>
      <c r="Z1162" s="160"/>
      <c r="AA1162" s="160"/>
      <c r="AB1162" s="160"/>
      <c r="AC1162" s="160"/>
      <c r="AD1162" s="160"/>
      <c r="AE1162" s="160"/>
      <c r="AF1162" s="160"/>
      <c r="AG1162" s="160"/>
      <c r="AH1162" s="160"/>
      <c r="AI1162" s="160"/>
      <c r="AJ1162" s="160"/>
      <c r="AK1162" s="160"/>
      <c r="AL1162" s="160"/>
      <c r="AM1162" s="160"/>
      <c r="AN1162" s="164"/>
      <c r="AO1162" s="160"/>
      <c r="AP1162" s="160"/>
      <c r="AQ1162" s="160"/>
      <c r="AR1162" s="160"/>
      <c r="AS1162" s="160"/>
      <c r="AT1162" s="160"/>
      <c r="AU1162" s="160"/>
      <c r="AV1162" s="160"/>
      <c r="AW1162" s="160"/>
      <c r="AX1162" s="160"/>
      <c r="AY1162" s="160"/>
      <c r="AZ1162" s="160"/>
      <c r="BA1162" s="160"/>
      <c r="BB1162" s="160"/>
      <c r="BC1162" s="160"/>
      <c r="BD1162" s="160"/>
      <c r="BE1162" s="160"/>
      <c r="BF1162" s="160"/>
      <c r="BG1162" s="160"/>
      <c r="BH1162" s="160"/>
      <c r="BI1162" s="160"/>
      <c r="BJ1162" s="160"/>
      <c r="BK1162" s="160"/>
      <c r="BL1162" s="160"/>
      <c r="BM1162" s="160"/>
      <c r="BN1162" s="160"/>
      <c r="BO1162" s="160"/>
      <c r="BP1162" s="160"/>
      <c r="BQ1162" s="160"/>
      <c r="BR1162" s="160"/>
      <c r="BS1162" s="160"/>
      <c r="BT1162" s="160"/>
      <c r="BU1162" s="160"/>
      <c r="BV1162" s="160"/>
      <c r="BW1162" s="160"/>
      <c r="BX1162" s="160"/>
      <c r="BY1162" s="160"/>
      <c r="BZ1162" s="160"/>
      <c r="CA1162" s="160"/>
      <c r="CB1162" s="160"/>
      <c r="CC1162" s="160"/>
      <c r="CD1162" s="160"/>
      <c r="CE1162" s="160"/>
      <c r="CF1162" s="160"/>
      <c r="CG1162" s="160"/>
      <c r="CH1162" s="160"/>
      <c r="CI1162" s="160"/>
      <c r="CJ1162" s="160"/>
      <c r="CK1162" s="160"/>
      <c r="CL1162" s="160"/>
    </row>
    <row r="1163">
      <c r="A1163" s="171"/>
      <c r="F1163" s="11"/>
      <c r="G1163" s="11"/>
      <c r="L1163" s="171"/>
      <c r="M1163" s="171"/>
      <c r="O1163" s="160"/>
      <c r="P1163" s="160"/>
      <c r="Q1163" s="160"/>
      <c r="R1163" s="160"/>
      <c r="S1163" s="160"/>
      <c r="T1163" s="207"/>
      <c r="U1163" s="160"/>
      <c r="V1163" s="160"/>
      <c r="W1163" s="160"/>
      <c r="X1163" s="160"/>
      <c r="Y1163" s="160"/>
      <c r="Z1163" s="160"/>
      <c r="AA1163" s="160"/>
      <c r="AB1163" s="160"/>
      <c r="AC1163" s="160"/>
      <c r="AD1163" s="160"/>
      <c r="AE1163" s="160"/>
      <c r="AF1163" s="160"/>
      <c r="AG1163" s="160"/>
      <c r="AH1163" s="160"/>
      <c r="AI1163" s="160"/>
      <c r="AJ1163" s="160"/>
      <c r="AK1163" s="160"/>
      <c r="AL1163" s="160"/>
      <c r="AM1163" s="160"/>
      <c r="AN1163" s="164"/>
      <c r="AO1163" s="160"/>
      <c r="AP1163" s="160"/>
      <c r="AQ1163" s="160"/>
      <c r="AR1163" s="160"/>
      <c r="AS1163" s="160"/>
      <c r="AT1163" s="160"/>
      <c r="AU1163" s="160"/>
      <c r="AV1163" s="160"/>
      <c r="AW1163" s="160"/>
      <c r="AX1163" s="160"/>
      <c r="AY1163" s="160"/>
      <c r="AZ1163" s="160"/>
      <c r="BA1163" s="160"/>
      <c r="BB1163" s="160"/>
      <c r="BC1163" s="160"/>
      <c r="BD1163" s="160"/>
      <c r="BE1163" s="160"/>
      <c r="BF1163" s="160"/>
      <c r="BG1163" s="160"/>
      <c r="BH1163" s="160"/>
      <c r="BI1163" s="160"/>
      <c r="BJ1163" s="160"/>
      <c r="BK1163" s="160"/>
      <c r="BL1163" s="160"/>
      <c r="BM1163" s="160"/>
      <c r="BN1163" s="160"/>
      <c r="BO1163" s="160"/>
      <c r="BP1163" s="160"/>
      <c r="BQ1163" s="160"/>
      <c r="BR1163" s="160"/>
      <c r="BS1163" s="160"/>
      <c r="BT1163" s="160"/>
      <c r="BU1163" s="160"/>
      <c r="BV1163" s="160"/>
      <c r="BW1163" s="160"/>
      <c r="BX1163" s="160"/>
      <c r="BY1163" s="160"/>
      <c r="BZ1163" s="160"/>
      <c r="CA1163" s="160"/>
      <c r="CB1163" s="160"/>
      <c r="CC1163" s="160"/>
      <c r="CD1163" s="160"/>
      <c r="CE1163" s="160"/>
      <c r="CF1163" s="160"/>
      <c r="CG1163" s="160"/>
      <c r="CH1163" s="160"/>
      <c r="CI1163" s="160"/>
      <c r="CJ1163" s="160"/>
      <c r="CK1163" s="160"/>
      <c r="CL1163" s="160"/>
    </row>
    <row r="1164">
      <c r="A1164" s="171"/>
      <c r="F1164" s="11"/>
      <c r="G1164" s="11"/>
      <c r="L1164" s="171"/>
      <c r="M1164" s="171"/>
      <c r="O1164" s="160"/>
      <c r="P1164" s="160"/>
      <c r="Q1164" s="160"/>
      <c r="R1164" s="160"/>
      <c r="S1164" s="160"/>
      <c r="T1164" s="207"/>
      <c r="U1164" s="160"/>
      <c r="V1164" s="160"/>
      <c r="W1164" s="160"/>
      <c r="X1164" s="160"/>
      <c r="Y1164" s="160"/>
      <c r="Z1164" s="160"/>
      <c r="AA1164" s="160"/>
      <c r="AB1164" s="160"/>
      <c r="AC1164" s="160"/>
      <c r="AD1164" s="160"/>
      <c r="AE1164" s="160"/>
      <c r="AF1164" s="160"/>
      <c r="AG1164" s="160"/>
      <c r="AH1164" s="160"/>
      <c r="AI1164" s="160"/>
      <c r="AJ1164" s="160"/>
      <c r="AK1164" s="160"/>
      <c r="AL1164" s="160"/>
      <c r="AM1164" s="160"/>
      <c r="AN1164" s="164"/>
      <c r="AO1164" s="160"/>
      <c r="AP1164" s="160"/>
      <c r="AQ1164" s="160"/>
      <c r="AR1164" s="160"/>
      <c r="AS1164" s="160"/>
      <c r="AT1164" s="160"/>
      <c r="AU1164" s="160"/>
      <c r="AV1164" s="160"/>
      <c r="AW1164" s="160"/>
      <c r="AX1164" s="160"/>
      <c r="AY1164" s="160"/>
      <c r="AZ1164" s="160"/>
      <c r="BA1164" s="160"/>
      <c r="BB1164" s="160"/>
      <c r="BC1164" s="160"/>
      <c r="BD1164" s="160"/>
      <c r="BE1164" s="160"/>
      <c r="BF1164" s="160"/>
      <c r="BG1164" s="160"/>
      <c r="BH1164" s="160"/>
      <c r="BI1164" s="160"/>
      <c r="BJ1164" s="160"/>
      <c r="BK1164" s="160"/>
      <c r="BL1164" s="160"/>
      <c r="BM1164" s="160"/>
      <c r="BN1164" s="160"/>
      <c r="BO1164" s="160"/>
      <c r="BP1164" s="160"/>
      <c r="BQ1164" s="160"/>
      <c r="BR1164" s="160"/>
      <c r="BS1164" s="160"/>
      <c r="BT1164" s="160"/>
      <c r="BU1164" s="160"/>
      <c r="BV1164" s="160"/>
      <c r="BW1164" s="160"/>
      <c r="BX1164" s="160"/>
      <c r="BY1164" s="160"/>
      <c r="BZ1164" s="160"/>
      <c r="CA1164" s="160"/>
      <c r="CB1164" s="160"/>
      <c r="CC1164" s="160"/>
      <c r="CD1164" s="160"/>
      <c r="CE1164" s="160"/>
      <c r="CF1164" s="160"/>
      <c r="CG1164" s="160"/>
      <c r="CH1164" s="160"/>
      <c r="CI1164" s="160"/>
      <c r="CJ1164" s="160"/>
      <c r="CK1164" s="160"/>
      <c r="CL1164" s="160"/>
    </row>
    <row r="1165">
      <c r="A1165" s="171"/>
      <c r="F1165" s="11"/>
      <c r="G1165" s="11"/>
      <c r="L1165" s="171"/>
      <c r="M1165" s="171"/>
      <c r="O1165" s="160"/>
      <c r="P1165" s="160"/>
      <c r="Q1165" s="160"/>
      <c r="R1165" s="160"/>
      <c r="S1165" s="160"/>
      <c r="T1165" s="207"/>
      <c r="U1165" s="160"/>
      <c r="V1165" s="160"/>
      <c r="W1165" s="160"/>
      <c r="X1165" s="160"/>
      <c r="Y1165" s="160"/>
      <c r="Z1165" s="160"/>
      <c r="AA1165" s="160"/>
      <c r="AB1165" s="160"/>
      <c r="AC1165" s="160"/>
      <c r="AD1165" s="160"/>
      <c r="AE1165" s="160"/>
      <c r="AF1165" s="160"/>
      <c r="AG1165" s="160"/>
      <c r="AH1165" s="160"/>
      <c r="AI1165" s="160"/>
      <c r="AJ1165" s="160"/>
      <c r="AK1165" s="160"/>
      <c r="AL1165" s="160"/>
      <c r="AM1165" s="160"/>
      <c r="AN1165" s="164"/>
      <c r="AO1165" s="160"/>
      <c r="AP1165" s="160"/>
      <c r="AQ1165" s="160"/>
      <c r="AR1165" s="160"/>
      <c r="AS1165" s="160"/>
      <c r="AT1165" s="160"/>
      <c r="AU1165" s="160"/>
      <c r="AV1165" s="160"/>
      <c r="AW1165" s="160"/>
      <c r="AX1165" s="160"/>
      <c r="AY1165" s="160"/>
      <c r="AZ1165" s="160"/>
      <c r="BA1165" s="160"/>
      <c r="BB1165" s="160"/>
      <c r="BC1165" s="160"/>
      <c r="BD1165" s="160"/>
      <c r="BE1165" s="160"/>
      <c r="BF1165" s="160"/>
      <c r="BG1165" s="160"/>
      <c r="BH1165" s="160"/>
      <c r="BI1165" s="160"/>
      <c r="BJ1165" s="160"/>
      <c r="BK1165" s="160"/>
      <c r="BL1165" s="160"/>
      <c r="BM1165" s="160"/>
      <c r="BN1165" s="160"/>
      <c r="BO1165" s="160"/>
      <c r="BP1165" s="160"/>
      <c r="BQ1165" s="160"/>
      <c r="BR1165" s="160"/>
      <c r="BS1165" s="160"/>
      <c r="BT1165" s="160"/>
      <c r="BU1165" s="160"/>
      <c r="BV1165" s="160"/>
      <c r="BW1165" s="160"/>
      <c r="BX1165" s="160"/>
      <c r="BY1165" s="160"/>
      <c r="BZ1165" s="160"/>
      <c r="CA1165" s="160"/>
      <c r="CB1165" s="160"/>
      <c r="CC1165" s="160"/>
      <c r="CD1165" s="160"/>
      <c r="CE1165" s="160"/>
      <c r="CF1165" s="160"/>
      <c r="CG1165" s="160"/>
      <c r="CH1165" s="160"/>
      <c r="CI1165" s="160"/>
      <c r="CJ1165" s="160"/>
      <c r="CK1165" s="160"/>
      <c r="CL1165" s="160"/>
    </row>
    <row r="1166">
      <c r="A1166" s="171"/>
      <c r="F1166" s="11"/>
      <c r="G1166" s="11"/>
      <c r="L1166" s="171"/>
      <c r="M1166" s="171"/>
      <c r="O1166" s="160"/>
      <c r="P1166" s="160"/>
      <c r="Q1166" s="160"/>
      <c r="R1166" s="160"/>
      <c r="S1166" s="160"/>
      <c r="T1166" s="207"/>
      <c r="U1166" s="160"/>
      <c r="V1166" s="160"/>
      <c r="W1166" s="160"/>
      <c r="X1166" s="160"/>
      <c r="Y1166" s="160"/>
      <c r="Z1166" s="160"/>
      <c r="AA1166" s="160"/>
      <c r="AB1166" s="160"/>
      <c r="AC1166" s="160"/>
      <c r="AD1166" s="160"/>
      <c r="AE1166" s="160"/>
      <c r="AF1166" s="160"/>
      <c r="AG1166" s="160"/>
      <c r="AH1166" s="160"/>
      <c r="AI1166" s="160"/>
      <c r="AJ1166" s="160"/>
      <c r="AK1166" s="160"/>
      <c r="AL1166" s="160"/>
      <c r="AM1166" s="160"/>
      <c r="AN1166" s="164"/>
      <c r="AO1166" s="160"/>
      <c r="AP1166" s="160"/>
      <c r="AQ1166" s="160"/>
      <c r="AR1166" s="160"/>
      <c r="AS1166" s="160"/>
      <c r="AT1166" s="160"/>
      <c r="AU1166" s="160"/>
      <c r="AV1166" s="160"/>
      <c r="AW1166" s="160"/>
      <c r="AX1166" s="160"/>
      <c r="AY1166" s="160"/>
      <c r="AZ1166" s="160"/>
      <c r="BA1166" s="160"/>
      <c r="BB1166" s="160"/>
      <c r="BC1166" s="160"/>
      <c r="BD1166" s="160"/>
      <c r="BE1166" s="160"/>
      <c r="BF1166" s="160"/>
      <c r="BG1166" s="160"/>
      <c r="BH1166" s="160"/>
      <c r="BI1166" s="160"/>
      <c r="BJ1166" s="160"/>
      <c r="BK1166" s="160"/>
      <c r="BL1166" s="160"/>
      <c r="BM1166" s="160"/>
      <c r="BN1166" s="160"/>
      <c r="BO1166" s="160"/>
      <c r="BP1166" s="160"/>
      <c r="BQ1166" s="160"/>
      <c r="BR1166" s="160"/>
      <c r="BS1166" s="160"/>
      <c r="BT1166" s="160"/>
      <c r="BU1166" s="160"/>
      <c r="BV1166" s="160"/>
      <c r="BW1166" s="160"/>
      <c r="BX1166" s="160"/>
      <c r="BY1166" s="160"/>
      <c r="BZ1166" s="160"/>
      <c r="CA1166" s="160"/>
      <c r="CB1166" s="160"/>
      <c r="CC1166" s="160"/>
      <c r="CD1166" s="160"/>
      <c r="CE1166" s="160"/>
      <c r="CF1166" s="160"/>
      <c r="CG1166" s="160"/>
      <c r="CH1166" s="160"/>
      <c r="CI1166" s="160"/>
      <c r="CJ1166" s="160"/>
      <c r="CK1166" s="160"/>
      <c r="CL1166" s="160"/>
    </row>
    <row r="1167">
      <c r="A1167" s="171"/>
      <c r="F1167" s="11"/>
      <c r="G1167" s="11"/>
      <c r="L1167" s="171"/>
      <c r="M1167" s="171"/>
      <c r="O1167" s="160"/>
      <c r="P1167" s="160"/>
      <c r="Q1167" s="160"/>
      <c r="R1167" s="160"/>
      <c r="S1167" s="160"/>
      <c r="T1167" s="207"/>
      <c r="U1167" s="160"/>
      <c r="V1167" s="160"/>
      <c r="W1167" s="160"/>
      <c r="X1167" s="160"/>
      <c r="Y1167" s="160"/>
      <c r="Z1167" s="160"/>
      <c r="AA1167" s="160"/>
      <c r="AB1167" s="160"/>
      <c r="AC1167" s="160"/>
      <c r="AD1167" s="160"/>
      <c r="AE1167" s="160"/>
      <c r="AF1167" s="160"/>
      <c r="AG1167" s="160"/>
      <c r="AH1167" s="160"/>
      <c r="AI1167" s="160"/>
      <c r="AJ1167" s="160"/>
      <c r="AK1167" s="160"/>
      <c r="AL1167" s="160"/>
      <c r="AM1167" s="160"/>
      <c r="AN1167" s="164"/>
      <c r="AO1167" s="160"/>
      <c r="AP1167" s="160"/>
      <c r="AQ1167" s="160"/>
      <c r="AR1167" s="160"/>
      <c r="AS1167" s="160"/>
      <c r="AT1167" s="160"/>
      <c r="AU1167" s="160"/>
      <c r="AV1167" s="160"/>
      <c r="AW1167" s="160"/>
      <c r="AX1167" s="160"/>
      <c r="AY1167" s="160"/>
      <c r="AZ1167" s="160"/>
      <c r="BA1167" s="160"/>
      <c r="BB1167" s="160"/>
      <c r="BC1167" s="160"/>
      <c r="BD1167" s="160"/>
      <c r="BE1167" s="160"/>
      <c r="BF1167" s="160"/>
      <c r="BG1167" s="160"/>
      <c r="BH1167" s="160"/>
      <c r="BI1167" s="160"/>
      <c r="BJ1167" s="160"/>
      <c r="BK1167" s="160"/>
      <c r="BL1167" s="160"/>
      <c r="BM1167" s="160"/>
      <c r="BN1167" s="160"/>
      <c r="BO1167" s="160"/>
      <c r="BP1167" s="160"/>
      <c r="BQ1167" s="160"/>
      <c r="BR1167" s="160"/>
      <c r="BS1167" s="160"/>
      <c r="BT1167" s="160"/>
      <c r="BU1167" s="160"/>
      <c r="BV1167" s="160"/>
      <c r="BW1167" s="160"/>
      <c r="BX1167" s="160"/>
      <c r="BY1167" s="160"/>
      <c r="BZ1167" s="160"/>
      <c r="CA1167" s="160"/>
      <c r="CB1167" s="160"/>
      <c r="CC1167" s="160"/>
      <c r="CD1167" s="160"/>
      <c r="CE1167" s="160"/>
      <c r="CF1167" s="160"/>
      <c r="CG1167" s="160"/>
      <c r="CH1167" s="160"/>
      <c r="CI1167" s="160"/>
      <c r="CJ1167" s="160"/>
      <c r="CK1167" s="160"/>
      <c r="CL1167" s="160"/>
    </row>
    <row r="1168">
      <c r="A1168" s="171"/>
      <c r="F1168" s="11"/>
      <c r="G1168" s="11"/>
      <c r="L1168" s="171"/>
      <c r="M1168" s="171"/>
      <c r="O1168" s="160"/>
      <c r="P1168" s="160"/>
      <c r="Q1168" s="160"/>
      <c r="R1168" s="160"/>
      <c r="S1168" s="160"/>
      <c r="T1168" s="207"/>
      <c r="U1168" s="160"/>
      <c r="V1168" s="160"/>
      <c r="W1168" s="160"/>
      <c r="X1168" s="160"/>
      <c r="Y1168" s="160"/>
      <c r="Z1168" s="160"/>
      <c r="AA1168" s="160"/>
      <c r="AB1168" s="160"/>
      <c r="AC1168" s="160"/>
      <c r="AD1168" s="160"/>
      <c r="AE1168" s="160"/>
      <c r="AF1168" s="160"/>
      <c r="AG1168" s="160"/>
      <c r="AH1168" s="160"/>
      <c r="AI1168" s="160"/>
      <c r="AJ1168" s="160"/>
      <c r="AK1168" s="160"/>
      <c r="AL1168" s="160"/>
      <c r="AM1168" s="160"/>
      <c r="AN1168" s="164"/>
      <c r="AO1168" s="160"/>
      <c r="AP1168" s="160"/>
      <c r="AQ1168" s="160"/>
      <c r="AR1168" s="160"/>
      <c r="AS1168" s="160"/>
      <c r="AT1168" s="160"/>
      <c r="AU1168" s="160"/>
      <c r="AV1168" s="160"/>
      <c r="AW1168" s="160"/>
      <c r="AX1168" s="160"/>
      <c r="AY1168" s="160"/>
      <c r="AZ1168" s="160"/>
      <c r="BA1168" s="160"/>
      <c r="BB1168" s="160"/>
      <c r="BC1168" s="160"/>
      <c r="BD1168" s="160"/>
      <c r="BE1168" s="160"/>
      <c r="BF1168" s="160"/>
      <c r="BG1168" s="160"/>
      <c r="BH1168" s="160"/>
      <c r="BI1168" s="160"/>
      <c r="BJ1168" s="160"/>
      <c r="BK1168" s="160"/>
      <c r="BL1168" s="160"/>
      <c r="BM1168" s="160"/>
      <c r="BN1168" s="160"/>
      <c r="BO1168" s="160"/>
      <c r="BP1168" s="160"/>
      <c r="BQ1168" s="160"/>
      <c r="BR1168" s="160"/>
      <c r="BS1168" s="160"/>
      <c r="BT1168" s="160"/>
      <c r="BU1168" s="160"/>
      <c r="BV1168" s="160"/>
      <c r="BW1168" s="160"/>
      <c r="BX1168" s="160"/>
      <c r="BY1168" s="160"/>
      <c r="BZ1168" s="160"/>
      <c r="CA1168" s="160"/>
      <c r="CB1168" s="160"/>
      <c r="CC1168" s="160"/>
      <c r="CD1168" s="160"/>
      <c r="CE1168" s="160"/>
      <c r="CF1168" s="160"/>
      <c r="CG1168" s="160"/>
      <c r="CH1168" s="160"/>
      <c r="CI1168" s="160"/>
      <c r="CJ1168" s="160"/>
      <c r="CK1168" s="160"/>
      <c r="CL1168" s="160"/>
    </row>
    <row r="1169">
      <c r="A1169" s="171"/>
      <c r="F1169" s="11"/>
      <c r="G1169" s="11"/>
      <c r="L1169" s="171"/>
      <c r="M1169" s="171"/>
      <c r="O1169" s="160"/>
      <c r="P1169" s="160"/>
      <c r="Q1169" s="160"/>
      <c r="R1169" s="160"/>
      <c r="S1169" s="160"/>
      <c r="T1169" s="207"/>
      <c r="U1169" s="160"/>
      <c r="V1169" s="160"/>
      <c r="W1169" s="160"/>
      <c r="X1169" s="160"/>
      <c r="Y1169" s="160"/>
      <c r="Z1169" s="160"/>
      <c r="AA1169" s="160"/>
      <c r="AB1169" s="160"/>
      <c r="AC1169" s="160"/>
      <c r="AD1169" s="160"/>
      <c r="AE1169" s="160"/>
      <c r="AF1169" s="160"/>
      <c r="AG1169" s="160"/>
      <c r="AH1169" s="160"/>
      <c r="AI1169" s="160"/>
      <c r="AJ1169" s="160"/>
      <c r="AK1169" s="160"/>
      <c r="AL1169" s="160"/>
      <c r="AM1169" s="160"/>
      <c r="AN1169" s="164"/>
      <c r="AO1169" s="160"/>
      <c r="AP1169" s="160"/>
      <c r="AQ1169" s="160"/>
      <c r="AR1169" s="160"/>
      <c r="AS1169" s="160"/>
      <c r="AT1169" s="160"/>
      <c r="AU1169" s="160"/>
      <c r="AV1169" s="160"/>
      <c r="AW1169" s="160"/>
      <c r="AX1169" s="160"/>
      <c r="AY1169" s="160"/>
      <c r="AZ1169" s="160"/>
      <c r="BA1169" s="160"/>
      <c r="BB1169" s="160"/>
      <c r="BC1169" s="160"/>
      <c r="BD1169" s="160"/>
      <c r="BE1169" s="160"/>
      <c r="BF1169" s="160"/>
      <c r="BG1169" s="160"/>
      <c r="BH1169" s="160"/>
      <c r="BI1169" s="160"/>
      <c r="BJ1169" s="160"/>
      <c r="BK1169" s="160"/>
      <c r="BL1169" s="160"/>
      <c r="BM1169" s="160"/>
      <c r="BN1169" s="160"/>
      <c r="BO1169" s="160"/>
      <c r="BP1169" s="160"/>
      <c r="BQ1169" s="160"/>
      <c r="BR1169" s="160"/>
      <c r="BS1169" s="160"/>
      <c r="BT1169" s="160"/>
      <c r="BU1169" s="160"/>
      <c r="BV1169" s="160"/>
      <c r="BW1169" s="160"/>
      <c r="BX1169" s="160"/>
      <c r="BY1169" s="160"/>
      <c r="BZ1169" s="160"/>
      <c r="CA1169" s="160"/>
      <c r="CB1169" s="160"/>
      <c r="CC1169" s="160"/>
      <c r="CD1169" s="160"/>
      <c r="CE1169" s="160"/>
      <c r="CF1169" s="160"/>
      <c r="CG1169" s="160"/>
      <c r="CH1169" s="160"/>
      <c r="CI1169" s="160"/>
      <c r="CJ1169" s="160"/>
      <c r="CK1169" s="160"/>
      <c r="CL1169" s="160"/>
    </row>
    <row r="1170">
      <c r="A1170" s="171"/>
      <c r="F1170" s="11"/>
      <c r="G1170" s="11"/>
      <c r="L1170" s="171"/>
      <c r="M1170" s="171"/>
      <c r="O1170" s="160"/>
      <c r="P1170" s="160"/>
      <c r="Q1170" s="160"/>
      <c r="R1170" s="160"/>
      <c r="S1170" s="160"/>
      <c r="T1170" s="207"/>
      <c r="U1170" s="160"/>
      <c r="V1170" s="160"/>
      <c r="W1170" s="160"/>
      <c r="X1170" s="160"/>
      <c r="Y1170" s="160"/>
      <c r="Z1170" s="160"/>
      <c r="AA1170" s="160"/>
      <c r="AB1170" s="160"/>
      <c r="AC1170" s="160"/>
      <c r="AD1170" s="160"/>
      <c r="AE1170" s="160"/>
      <c r="AF1170" s="160"/>
      <c r="AG1170" s="160"/>
      <c r="AH1170" s="160"/>
      <c r="AI1170" s="160"/>
      <c r="AJ1170" s="160"/>
      <c r="AK1170" s="160"/>
      <c r="AL1170" s="160"/>
      <c r="AM1170" s="160"/>
      <c r="AN1170" s="164"/>
      <c r="AO1170" s="160"/>
      <c r="AP1170" s="160"/>
      <c r="AQ1170" s="160"/>
      <c r="AR1170" s="160"/>
      <c r="AS1170" s="160"/>
      <c r="AT1170" s="160"/>
      <c r="AU1170" s="160"/>
      <c r="AV1170" s="160"/>
      <c r="AW1170" s="160"/>
      <c r="AX1170" s="160"/>
      <c r="AY1170" s="160"/>
      <c r="AZ1170" s="160"/>
      <c r="BA1170" s="160"/>
      <c r="BB1170" s="160"/>
      <c r="BC1170" s="160"/>
      <c r="BD1170" s="160"/>
      <c r="BE1170" s="160"/>
      <c r="BF1170" s="160"/>
      <c r="BG1170" s="160"/>
      <c r="BH1170" s="160"/>
      <c r="BI1170" s="160"/>
      <c r="BJ1170" s="160"/>
      <c r="BK1170" s="160"/>
      <c r="BL1170" s="160"/>
      <c r="BM1170" s="160"/>
      <c r="BN1170" s="160"/>
      <c r="BO1170" s="160"/>
      <c r="BP1170" s="160"/>
      <c r="BQ1170" s="160"/>
      <c r="BR1170" s="160"/>
      <c r="BS1170" s="160"/>
      <c r="BT1170" s="160"/>
      <c r="BU1170" s="160"/>
      <c r="BV1170" s="160"/>
      <c r="BW1170" s="160"/>
      <c r="BX1170" s="160"/>
      <c r="BY1170" s="160"/>
      <c r="BZ1170" s="160"/>
      <c r="CA1170" s="160"/>
      <c r="CB1170" s="160"/>
      <c r="CC1170" s="160"/>
      <c r="CD1170" s="160"/>
      <c r="CE1170" s="160"/>
      <c r="CF1170" s="160"/>
      <c r="CG1170" s="160"/>
      <c r="CH1170" s="160"/>
      <c r="CI1170" s="160"/>
      <c r="CJ1170" s="160"/>
      <c r="CK1170" s="160"/>
      <c r="CL1170" s="160"/>
    </row>
    <row r="1171">
      <c r="A1171" s="171"/>
      <c r="F1171" s="11"/>
      <c r="G1171" s="11"/>
      <c r="L1171" s="171"/>
      <c r="M1171" s="171"/>
      <c r="O1171" s="160"/>
      <c r="P1171" s="160"/>
      <c r="Q1171" s="160"/>
      <c r="R1171" s="160"/>
      <c r="S1171" s="160"/>
      <c r="T1171" s="207"/>
      <c r="U1171" s="160"/>
      <c r="V1171" s="160"/>
      <c r="W1171" s="160"/>
      <c r="X1171" s="160"/>
      <c r="Y1171" s="160"/>
      <c r="Z1171" s="160"/>
      <c r="AA1171" s="160"/>
      <c r="AB1171" s="160"/>
      <c r="AC1171" s="160"/>
      <c r="AD1171" s="160"/>
      <c r="AE1171" s="160"/>
      <c r="AF1171" s="160"/>
      <c r="AG1171" s="160"/>
      <c r="AH1171" s="160"/>
      <c r="AI1171" s="160"/>
      <c r="AJ1171" s="160"/>
      <c r="AK1171" s="160"/>
      <c r="AL1171" s="160"/>
      <c r="AM1171" s="160"/>
      <c r="AN1171" s="164"/>
      <c r="AO1171" s="160"/>
      <c r="AP1171" s="160"/>
      <c r="AQ1171" s="160"/>
      <c r="AR1171" s="160"/>
      <c r="AS1171" s="160"/>
      <c r="AT1171" s="160"/>
      <c r="AU1171" s="160"/>
      <c r="AV1171" s="160"/>
      <c r="AW1171" s="160"/>
      <c r="AX1171" s="160"/>
      <c r="AY1171" s="160"/>
      <c r="AZ1171" s="160"/>
      <c r="BA1171" s="160"/>
      <c r="BB1171" s="160"/>
      <c r="BC1171" s="160"/>
      <c r="BD1171" s="160"/>
      <c r="BE1171" s="160"/>
      <c r="BF1171" s="160"/>
      <c r="BG1171" s="160"/>
      <c r="BH1171" s="160"/>
      <c r="BI1171" s="160"/>
      <c r="BJ1171" s="160"/>
      <c r="BK1171" s="160"/>
      <c r="BL1171" s="160"/>
      <c r="BM1171" s="160"/>
      <c r="BN1171" s="160"/>
      <c r="BO1171" s="160"/>
      <c r="BP1171" s="160"/>
      <c r="BQ1171" s="160"/>
      <c r="BR1171" s="160"/>
      <c r="BS1171" s="160"/>
      <c r="BT1171" s="160"/>
      <c r="BU1171" s="160"/>
      <c r="BV1171" s="160"/>
      <c r="BW1171" s="160"/>
      <c r="BX1171" s="160"/>
      <c r="BY1171" s="160"/>
      <c r="BZ1171" s="160"/>
      <c r="CA1171" s="160"/>
      <c r="CB1171" s="160"/>
      <c r="CC1171" s="160"/>
      <c r="CD1171" s="160"/>
      <c r="CE1171" s="160"/>
      <c r="CF1171" s="160"/>
      <c r="CG1171" s="160"/>
      <c r="CH1171" s="160"/>
      <c r="CI1171" s="160"/>
      <c r="CJ1171" s="160"/>
      <c r="CK1171" s="160"/>
      <c r="CL1171" s="160"/>
    </row>
    <row r="1172">
      <c r="A1172" s="171"/>
      <c r="F1172" s="11"/>
      <c r="G1172" s="11"/>
      <c r="L1172" s="171"/>
      <c r="M1172" s="171"/>
      <c r="O1172" s="160"/>
      <c r="P1172" s="160"/>
      <c r="Q1172" s="160"/>
      <c r="R1172" s="160"/>
      <c r="S1172" s="160"/>
      <c r="T1172" s="207"/>
      <c r="U1172" s="160"/>
      <c r="V1172" s="160"/>
      <c r="W1172" s="160"/>
      <c r="X1172" s="160"/>
      <c r="Y1172" s="160"/>
      <c r="Z1172" s="160"/>
      <c r="AA1172" s="160"/>
      <c r="AB1172" s="160"/>
      <c r="AC1172" s="160"/>
      <c r="AD1172" s="160"/>
      <c r="AE1172" s="160"/>
      <c r="AF1172" s="160"/>
      <c r="AG1172" s="160"/>
      <c r="AH1172" s="160"/>
      <c r="AI1172" s="160"/>
      <c r="AJ1172" s="160"/>
      <c r="AK1172" s="160"/>
      <c r="AL1172" s="160"/>
      <c r="AM1172" s="160"/>
      <c r="AN1172" s="164"/>
      <c r="AO1172" s="160"/>
      <c r="AP1172" s="160"/>
      <c r="AQ1172" s="160"/>
      <c r="AR1172" s="160"/>
      <c r="AS1172" s="160"/>
      <c r="AT1172" s="160"/>
      <c r="AU1172" s="160"/>
      <c r="AV1172" s="160"/>
      <c r="AW1172" s="160"/>
      <c r="AX1172" s="160"/>
      <c r="AY1172" s="160"/>
      <c r="AZ1172" s="160"/>
      <c r="BA1172" s="160"/>
      <c r="BB1172" s="160"/>
      <c r="BC1172" s="160"/>
      <c r="BD1172" s="160"/>
      <c r="BE1172" s="160"/>
      <c r="BF1172" s="160"/>
      <c r="BG1172" s="160"/>
      <c r="BH1172" s="160"/>
      <c r="BI1172" s="160"/>
      <c r="BJ1172" s="160"/>
      <c r="BK1172" s="160"/>
      <c r="BL1172" s="160"/>
      <c r="BM1172" s="160"/>
      <c r="BN1172" s="160"/>
      <c r="BO1172" s="160"/>
      <c r="BP1172" s="160"/>
      <c r="BQ1172" s="160"/>
      <c r="BR1172" s="160"/>
      <c r="BS1172" s="160"/>
      <c r="BT1172" s="160"/>
      <c r="BU1172" s="160"/>
      <c r="BV1172" s="160"/>
      <c r="BW1172" s="160"/>
      <c r="BX1172" s="160"/>
      <c r="BY1172" s="160"/>
      <c r="BZ1172" s="160"/>
      <c r="CA1172" s="160"/>
      <c r="CB1172" s="160"/>
      <c r="CC1172" s="160"/>
      <c r="CD1172" s="160"/>
      <c r="CE1172" s="160"/>
      <c r="CF1172" s="160"/>
      <c r="CG1172" s="160"/>
      <c r="CH1172" s="160"/>
      <c r="CI1172" s="160"/>
      <c r="CJ1172" s="160"/>
      <c r="CK1172" s="160"/>
      <c r="CL1172" s="160"/>
    </row>
    <row r="1173">
      <c r="A1173" s="171"/>
      <c r="F1173" s="11"/>
      <c r="G1173" s="11"/>
      <c r="L1173" s="171"/>
      <c r="M1173" s="171"/>
      <c r="O1173" s="160"/>
      <c r="P1173" s="160"/>
      <c r="Q1173" s="160"/>
      <c r="R1173" s="160"/>
      <c r="S1173" s="160"/>
      <c r="T1173" s="207"/>
      <c r="U1173" s="160"/>
      <c r="V1173" s="160"/>
      <c r="W1173" s="160"/>
      <c r="X1173" s="160"/>
      <c r="Y1173" s="160"/>
      <c r="Z1173" s="160"/>
      <c r="AA1173" s="160"/>
      <c r="AB1173" s="160"/>
      <c r="AC1173" s="160"/>
      <c r="AD1173" s="160"/>
      <c r="AE1173" s="160"/>
      <c r="AF1173" s="160"/>
      <c r="AG1173" s="160"/>
      <c r="AH1173" s="160"/>
      <c r="AI1173" s="160"/>
      <c r="AJ1173" s="160"/>
      <c r="AK1173" s="160"/>
      <c r="AL1173" s="160"/>
      <c r="AM1173" s="160"/>
      <c r="AN1173" s="164"/>
      <c r="AO1173" s="160"/>
      <c r="AP1173" s="160"/>
      <c r="AQ1173" s="160"/>
      <c r="AR1173" s="160"/>
      <c r="AS1173" s="160"/>
      <c r="AT1173" s="160"/>
      <c r="AU1173" s="160"/>
      <c r="AV1173" s="160"/>
      <c r="AW1173" s="160"/>
      <c r="AX1173" s="160"/>
      <c r="AY1173" s="160"/>
      <c r="AZ1173" s="160"/>
      <c r="BA1173" s="160"/>
      <c r="BB1173" s="160"/>
      <c r="BC1173" s="160"/>
      <c r="BD1173" s="160"/>
      <c r="BE1173" s="160"/>
      <c r="BF1173" s="160"/>
      <c r="BG1173" s="160"/>
      <c r="BH1173" s="160"/>
      <c r="BI1173" s="160"/>
      <c r="BJ1173" s="160"/>
      <c r="BK1173" s="160"/>
      <c r="BL1173" s="160"/>
      <c r="BM1173" s="160"/>
      <c r="BN1173" s="160"/>
      <c r="BO1173" s="160"/>
      <c r="BP1173" s="160"/>
      <c r="BQ1173" s="160"/>
      <c r="BR1173" s="160"/>
      <c r="BS1173" s="160"/>
      <c r="BT1173" s="160"/>
      <c r="BU1173" s="160"/>
      <c r="BV1173" s="160"/>
      <c r="BW1173" s="160"/>
      <c r="BX1173" s="160"/>
      <c r="BY1173" s="160"/>
      <c r="BZ1173" s="160"/>
      <c r="CA1173" s="160"/>
      <c r="CB1173" s="160"/>
      <c r="CC1173" s="160"/>
      <c r="CD1173" s="160"/>
      <c r="CE1173" s="160"/>
      <c r="CF1173" s="160"/>
      <c r="CG1173" s="160"/>
      <c r="CH1173" s="160"/>
      <c r="CI1173" s="160"/>
      <c r="CJ1173" s="160"/>
      <c r="CK1173" s="160"/>
      <c r="CL1173" s="160"/>
    </row>
    <row r="1174">
      <c r="A1174" s="171"/>
      <c r="F1174" s="11"/>
      <c r="G1174" s="11"/>
      <c r="L1174" s="171"/>
      <c r="M1174" s="171"/>
      <c r="O1174" s="160"/>
      <c r="P1174" s="160"/>
      <c r="Q1174" s="160"/>
      <c r="R1174" s="160"/>
      <c r="S1174" s="160"/>
      <c r="T1174" s="207"/>
      <c r="U1174" s="160"/>
      <c r="V1174" s="160"/>
      <c r="W1174" s="160"/>
      <c r="X1174" s="160"/>
      <c r="Y1174" s="160"/>
      <c r="Z1174" s="160"/>
      <c r="AA1174" s="160"/>
      <c r="AB1174" s="160"/>
      <c r="AC1174" s="160"/>
      <c r="AD1174" s="160"/>
      <c r="AE1174" s="160"/>
      <c r="AF1174" s="160"/>
      <c r="AG1174" s="160"/>
      <c r="AH1174" s="160"/>
      <c r="AI1174" s="160"/>
      <c r="AJ1174" s="160"/>
      <c r="AK1174" s="160"/>
      <c r="AL1174" s="160"/>
      <c r="AM1174" s="160"/>
      <c r="AN1174" s="164"/>
      <c r="AO1174" s="160"/>
      <c r="AP1174" s="160"/>
      <c r="AQ1174" s="160"/>
      <c r="AR1174" s="160"/>
      <c r="AS1174" s="160"/>
      <c r="AT1174" s="160"/>
      <c r="AU1174" s="160"/>
      <c r="AV1174" s="160"/>
      <c r="AW1174" s="160"/>
      <c r="AX1174" s="160"/>
      <c r="AY1174" s="160"/>
      <c r="AZ1174" s="160"/>
      <c r="BA1174" s="160"/>
      <c r="BB1174" s="160"/>
      <c r="BC1174" s="160"/>
      <c r="BD1174" s="160"/>
      <c r="BE1174" s="160"/>
      <c r="BF1174" s="160"/>
      <c r="BG1174" s="160"/>
      <c r="BH1174" s="160"/>
      <c r="BI1174" s="160"/>
      <c r="BJ1174" s="160"/>
      <c r="BK1174" s="160"/>
      <c r="BL1174" s="160"/>
      <c r="BM1174" s="160"/>
      <c r="BN1174" s="160"/>
      <c r="BO1174" s="160"/>
      <c r="BP1174" s="160"/>
      <c r="BQ1174" s="160"/>
      <c r="BR1174" s="160"/>
      <c r="BS1174" s="160"/>
      <c r="BT1174" s="160"/>
      <c r="BU1174" s="160"/>
      <c r="BV1174" s="160"/>
      <c r="BW1174" s="160"/>
      <c r="BX1174" s="160"/>
      <c r="BY1174" s="160"/>
      <c r="BZ1174" s="160"/>
      <c r="CA1174" s="160"/>
      <c r="CB1174" s="160"/>
      <c r="CC1174" s="160"/>
      <c r="CD1174" s="160"/>
      <c r="CE1174" s="160"/>
      <c r="CF1174" s="160"/>
      <c r="CG1174" s="160"/>
      <c r="CH1174" s="160"/>
      <c r="CI1174" s="160"/>
      <c r="CJ1174" s="160"/>
      <c r="CK1174" s="160"/>
      <c r="CL1174" s="160"/>
    </row>
    <row r="1175">
      <c r="A1175" s="171"/>
      <c r="F1175" s="11"/>
      <c r="G1175" s="11"/>
      <c r="L1175" s="171"/>
      <c r="M1175" s="171"/>
      <c r="O1175" s="160"/>
      <c r="P1175" s="160"/>
      <c r="Q1175" s="160"/>
      <c r="R1175" s="160"/>
      <c r="S1175" s="160"/>
      <c r="T1175" s="207"/>
      <c r="U1175" s="160"/>
      <c r="V1175" s="160"/>
      <c r="W1175" s="160"/>
      <c r="X1175" s="160"/>
      <c r="Y1175" s="160"/>
      <c r="Z1175" s="160"/>
      <c r="AA1175" s="160"/>
      <c r="AB1175" s="160"/>
      <c r="AC1175" s="160"/>
      <c r="AD1175" s="160"/>
      <c r="AE1175" s="160"/>
      <c r="AF1175" s="160"/>
      <c r="AG1175" s="160"/>
      <c r="AH1175" s="160"/>
      <c r="AI1175" s="160"/>
      <c r="AJ1175" s="160"/>
      <c r="AK1175" s="160"/>
      <c r="AL1175" s="160"/>
      <c r="AM1175" s="160"/>
      <c r="AN1175" s="164"/>
      <c r="AO1175" s="160"/>
      <c r="AP1175" s="160"/>
      <c r="AQ1175" s="160"/>
      <c r="AR1175" s="160"/>
      <c r="AS1175" s="160"/>
      <c r="AT1175" s="160"/>
      <c r="AU1175" s="160"/>
      <c r="AV1175" s="160"/>
      <c r="AW1175" s="160"/>
      <c r="AX1175" s="160"/>
      <c r="AY1175" s="160"/>
      <c r="AZ1175" s="160"/>
      <c r="BA1175" s="160"/>
      <c r="BB1175" s="160"/>
      <c r="BC1175" s="160"/>
      <c r="BD1175" s="160"/>
      <c r="BE1175" s="160"/>
      <c r="BF1175" s="160"/>
      <c r="BG1175" s="160"/>
      <c r="BH1175" s="160"/>
      <c r="BI1175" s="160"/>
      <c r="BJ1175" s="160"/>
      <c r="BK1175" s="160"/>
      <c r="BL1175" s="160"/>
      <c r="BM1175" s="160"/>
      <c r="BN1175" s="160"/>
      <c r="BO1175" s="160"/>
      <c r="BP1175" s="160"/>
      <c r="BQ1175" s="160"/>
      <c r="BR1175" s="160"/>
      <c r="BS1175" s="160"/>
      <c r="BT1175" s="160"/>
      <c r="BU1175" s="160"/>
      <c r="BV1175" s="160"/>
      <c r="BW1175" s="160"/>
      <c r="BX1175" s="160"/>
      <c r="BY1175" s="160"/>
      <c r="BZ1175" s="160"/>
      <c r="CA1175" s="160"/>
      <c r="CB1175" s="160"/>
      <c r="CC1175" s="160"/>
      <c r="CD1175" s="160"/>
      <c r="CE1175" s="160"/>
      <c r="CF1175" s="160"/>
      <c r="CG1175" s="160"/>
      <c r="CH1175" s="160"/>
      <c r="CI1175" s="160"/>
      <c r="CJ1175" s="160"/>
      <c r="CK1175" s="160"/>
      <c r="CL1175" s="160"/>
    </row>
    <row r="1176">
      <c r="A1176" s="171"/>
      <c r="F1176" s="11"/>
      <c r="G1176" s="11"/>
      <c r="L1176" s="171"/>
      <c r="M1176" s="171"/>
      <c r="O1176" s="160"/>
      <c r="P1176" s="160"/>
      <c r="Q1176" s="160"/>
      <c r="R1176" s="160"/>
      <c r="S1176" s="160"/>
      <c r="T1176" s="207"/>
      <c r="U1176" s="160"/>
      <c r="V1176" s="160"/>
      <c r="W1176" s="160"/>
      <c r="X1176" s="160"/>
      <c r="Y1176" s="160"/>
      <c r="Z1176" s="160"/>
      <c r="AA1176" s="160"/>
      <c r="AB1176" s="160"/>
      <c r="AC1176" s="160"/>
      <c r="AD1176" s="160"/>
      <c r="AE1176" s="160"/>
      <c r="AF1176" s="160"/>
      <c r="AG1176" s="160"/>
      <c r="AH1176" s="160"/>
      <c r="AI1176" s="160"/>
      <c r="AJ1176" s="160"/>
      <c r="AK1176" s="160"/>
      <c r="AL1176" s="160"/>
      <c r="AM1176" s="160"/>
      <c r="AN1176" s="164"/>
      <c r="AO1176" s="160"/>
      <c r="AP1176" s="160"/>
      <c r="AQ1176" s="160"/>
      <c r="AR1176" s="160"/>
      <c r="AS1176" s="160"/>
      <c r="AT1176" s="160"/>
      <c r="AU1176" s="160"/>
      <c r="AV1176" s="160"/>
      <c r="AW1176" s="160"/>
      <c r="AX1176" s="160"/>
      <c r="AY1176" s="160"/>
      <c r="AZ1176" s="160"/>
      <c r="BA1176" s="160"/>
      <c r="BB1176" s="160"/>
      <c r="BC1176" s="160"/>
      <c r="BD1176" s="160"/>
      <c r="BE1176" s="160"/>
      <c r="BF1176" s="160"/>
      <c r="BG1176" s="160"/>
      <c r="BH1176" s="160"/>
      <c r="BI1176" s="160"/>
      <c r="BJ1176" s="160"/>
      <c r="BK1176" s="160"/>
      <c r="BL1176" s="160"/>
      <c r="BM1176" s="160"/>
      <c r="BN1176" s="160"/>
      <c r="BO1176" s="160"/>
      <c r="BP1176" s="160"/>
      <c r="BQ1176" s="160"/>
      <c r="BR1176" s="160"/>
      <c r="BS1176" s="160"/>
      <c r="BT1176" s="160"/>
      <c r="BU1176" s="160"/>
      <c r="BV1176" s="160"/>
      <c r="BW1176" s="160"/>
      <c r="BX1176" s="160"/>
      <c r="BY1176" s="160"/>
      <c r="BZ1176" s="160"/>
      <c r="CA1176" s="160"/>
      <c r="CB1176" s="160"/>
      <c r="CC1176" s="160"/>
      <c r="CD1176" s="160"/>
      <c r="CE1176" s="160"/>
      <c r="CF1176" s="160"/>
      <c r="CG1176" s="160"/>
      <c r="CH1176" s="160"/>
      <c r="CI1176" s="160"/>
      <c r="CJ1176" s="160"/>
      <c r="CK1176" s="160"/>
      <c r="CL1176" s="160"/>
    </row>
    <row r="1177">
      <c r="A1177" s="171"/>
      <c r="F1177" s="11"/>
      <c r="G1177" s="11"/>
      <c r="L1177" s="171"/>
      <c r="M1177" s="171"/>
      <c r="O1177" s="160"/>
      <c r="P1177" s="160"/>
      <c r="Q1177" s="160"/>
      <c r="R1177" s="160"/>
      <c r="S1177" s="160"/>
      <c r="T1177" s="207"/>
      <c r="U1177" s="160"/>
      <c r="V1177" s="160"/>
      <c r="W1177" s="160"/>
      <c r="X1177" s="160"/>
      <c r="Y1177" s="160"/>
      <c r="Z1177" s="160"/>
      <c r="AA1177" s="160"/>
      <c r="AB1177" s="160"/>
      <c r="AC1177" s="160"/>
      <c r="AD1177" s="160"/>
      <c r="AE1177" s="160"/>
      <c r="AF1177" s="160"/>
      <c r="AG1177" s="160"/>
      <c r="AH1177" s="160"/>
      <c r="AI1177" s="160"/>
      <c r="AJ1177" s="160"/>
      <c r="AK1177" s="160"/>
      <c r="AL1177" s="160"/>
      <c r="AM1177" s="160"/>
      <c r="AN1177" s="164"/>
      <c r="AO1177" s="160"/>
      <c r="AP1177" s="160"/>
      <c r="AQ1177" s="160"/>
      <c r="AR1177" s="160"/>
      <c r="AS1177" s="160"/>
      <c r="AT1177" s="160"/>
      <c r="AU1177" s="160"/>
      <c r="AV1177" s="160"/>
      <c r="AW1177" s="160"/>
      <c r="AX1177" s="160"/>
      <c r="AY1177" s="160"/>
      <c r="AZ1177" s="160"/>
      <c r="BA1177" s="160"/>
      <c r="BB1177" s="160"/>
      <c r="BC1177" s="160"/>
      <c r="BD1177" s="160"/>
      <c r="BE1177" s="160"/>
      <c r="BF1177" s="160"/>
      <c r="BG1177" s="160"/>
      <c r="BH1177" s="160"/>
      <c r="BI1177" s="160"/>
      <c r="BJ1177" s="160"/>
      <c r="BK1177" s="160"/>
      <c r="BL1177" s="160"/>
      <c r="BM1177" s="160"/>
      <c r="BN1177" s="160"/>
      <c r="BO1177" s="160"/>
      <c r="BP1177" s="160"/>
      <c r="BQ1177" s="160"/>
      <c r="BR1177" s="160"/>
      <c r="BS1177" s="160"/>
      <c r="BT1177" s="160"/>
      <c r="BU1177" s="160"/>
      <c r="BV1177" s="160"/>
      <c r="BW1177" s="160"/>
      <c r="BX1177" s="160"/>
      <c r="BY1177" s="160"/>
      <c r="BZ1177" s="160"/>
      <c r="CA1177" s="160"/>
      <c r="CB1177" s="160"/>
      <c r="CC1177" s="160"/>
      <c r="CD1177" s="160"/>
      <c r="CE1177" s="160"/>
      <c r="CF1177" s="160"/>
      <c r="CG1177" s="160"/>
      <c r="CH1177" s="160"/>
      <c r="CI1177" s="160"/>
      <c r="CJ1177" s="160"/>
      <c r="CK1177" s="160"/>
      <c r="CL1177" s="160"/>
    </row>
    <row r="1178">
      <c r="A1178" s="171"/>
      <c r="F1178" s="11"/>
      <c r="G1178" s="11"/>
      <c r="L1178" s="171"/>
      <c r="M1178" s="171"/>
      <c r="O1178" s="160"/>
      <c r="P1178" s="160"/>
      <c r="Q1178" s="160"/>
      <c r="R1178" s="160"/>
      <c r="S1178" s="160"/>
      <c r="T1178" s="207"/>
      <c r="U1178" s="160"/>
      <c r="V1178" s="160"/>
      <c r="W1178" s="160"/>
      <c r="X1178" s="160"/>
      <c r="Y1178" s="160"/>
      <c r="Z1178" s="160"/>
      <c r="AA1178" s="160"/>
      <c r="AB1178" s="160"/>
      <c r="AC1178" s="160"/>
      <c r="AD1178" s="160"/>
      <c r="AE1178" s="160"/>
      <c r="AF1178" s="160"/>
      <c r="AG1178" s="160"/>
      <c r="AH1178" s="160"/>
      <c r="AI1178" s="160"/>
      <c r="AJ1178" s="160"/>
      <c r="AK1178" s="160"/>
      <c r="AL1178" s="160"/>
      <c r="AM1178" s="160"/>
      <c r="AN1178" s="164"/>
      <c r="AO1178" s="160"/>
      <c r="AP1178" s="160"/>
      <c r="AQ1178" s="160"/>
      <c r="AR1178" s="160"/>
      <c r="AS1178" s="160"/>
      <c r="AT1178" s="160"/>
      <c r="AU1178" s="160"/>
      <c r="AV1178" s="160"/>
      <c r="AW1178" s="160"/>
      <c r="AX1178" s="160"/>
      <c r="AY1178" s="160"/>
      <c r="AZ1178" s="160"/>
      <c r="BA1178" s="160"/>
      <c r="BB1178" s="160"/>
      <c r="BC1178" s="160"/>
      <c r="BD1178" s="160"/>
      <c r="BE1178" s="160"/>
      <c r="BF1178" s="160"/>
      <c r="BG1178" s="160"/>
      <c r="BH1178" s="160"/>
      <c r="BI1178" s="160"/>
      <c r="BJ1178" s="160"/>
      <c r="BK1178" s="160"/>
      <c r="BL1178" s="160"/>
      <c r="BM1178" s="160"/>
      <c r="BN1178" s="160"/>
      <c r="BO1178" s="160"/>
      <c r="BP1178" s="160"/>
      <c r="BQ1178" s="160"/>
      <c r="BR1178" s="160"/>
      <c r="BS1178" s="160"/>
      <c r="BT1178" s="160"/>
      <c r="BU1178" s="160"/>
      <c r="BV1178" s="160"/>
      <c r="BW1178" s="160"/>
      <c r="BX1178" s="160"/>
      <c r="BY1178" s="160"/>
      <c r="BZ1178" s="160"/>
      <c r="CA1178" s="160"/>
      <c r="CB1178" s="160"/>
      <c r="CC1178" s="160"/>
      <c r="CD1178" s="160"/>
      <c r="CE1178" s="160"/>
      <c r="CF1178" s="160"/>
      <c r="CG1178" s="160"/>
      <c r="CH1178" s="160"/>
      <c r="CI1178" s="160"/>
      <c r="CJ1178" s="160"/>
      <c r="CK1178" s="160"/>
      <c r="CL1178" s="160"/>
    </row>
    <row r="1179">
      <c r="A1179" s="171"/>
      <c r="F1179" s="11"/>
      <c r="G1179" s="11"/>
      <c r="L1179" s="171"/>
      <c r="M1179" s="171"/>
      <c r="O1179" s="160"/>
      <c r="P1179" s="160"/>
      <c r="Q1179" s="160"/>
      <c r="R1179" s="160"/>
      <c r="S1179" s="160"/>
      <c r="T1179" s="207"/>
      <c r="U1179" s="160"/>
      <c r="V1179" s="160"/>
      <c r="W1179" s="160"/>
      <c r="X1179" s="160"/>
      <c r="Y1179" s="160"/>
      <c r="Z1179" s="160"/>
      <c r="AA1179" s="160"/>
      <c r="AB1179" s="160"/>
      <c r="AC1179" s="160"/>
      <c r="AD1179" s="160"/>
      <c r="AE1179" s="160"/>
      <c r="AF1179" s="160"/>
      <c r="AG1179" s="160"/>
      <c r="AH1179" s="160"/>
      <c r="AI1179" s="160"/>
      <c r="AJ1179" s="160"/>
      <c r="AK1179" s="160"/>
      <c r="AL1179" s="160"/>
      <c r="AM1179" s="160"/>
      <c r="AN1179" s="164"/>
      <c r="AO1179" s="160"/>
      <c r="AP1179" s="160"/>
      <c r="AQ1179" s="160"/>
      <c r="AR1179" s="160"/>
      <c r="AS1179" s="160"/>
      <c r="AT1179" s="160"/>
      <c r="AU1179" s="160"/>
      <c r="AV1179" s="160"/>
      <c r="AW1179" s="160"/>
      <c r="AX1179" s="160"/>
      <c r="AY1179" s="160"/>
      <c r="AZ1179" s="160"/>
      <c r="BA1179" s="160"/>
      <c r="BB1179" s="160"/>
      <c r="BC1179" s="160"/>
      <c r="BD1179" s="160"/>
      <c r="BE1179" s="160"/>
      <c r="BF1179" s="160"/>
      <c r="BG1179" s="160"/>
      <c r="BH1179" s="160"/>
      <c r="BI1179" s="160"/>
      <c r="BJ1179" s="160"/>
      <c r="BK1179" s="160"/>
      <c r="BL1179" s="160"/>
      <c r="BM1179" s="160"/>
      <c r="BN1179" s="160"/>
      <c r="BO1179" s="160"/>
      <c r="BP1179" s="160"/>
      <c r="BQ1179" s="160"/>
      <c r="BR1179" s="160"/>
      <c r="BS1179" s="160"/>
      <c r="BT1179" s="160"/>
      <c r="BU1179" s="160"/>
      <c r="BV1179" s="160"/>
      <c r="BW1179" s="160"/>
      <c r="BX1179" s="160"/>
      <c r="BY1179" s="160"/>
      <c r="BZ1179" s="160"/>
      <c r="CA1179" s="160"/>
      <c r="CB1179" s="160"/>
      <c r="CC1179" s="160"/>
      <c r="CD1179" s="160"/>
      <c r="CE1179" s="160"/>
      <c r="CF1179" s="160"/>
      <c r="CG1179" s="160"/>
      <c r="CH1179" s="160"/>
      <c r="CI1179" s="160"/>
      <c r="CJ1179" s="160"/>
      <c r="CK1179" s="160"/>
      <c r="CL1179" s="160"/>
    </row>
    <row r="1180">
      <c r="A1180" s="171"/>
      <c r="F1180" s="11"/>
      <c r="G1180" s="11"/>
      <c r="L1180" s="171"/>
      <c r="M1180" s="171"/>
      <c r="O1180" s="160"/>
      <c r="P1180" s="160"/>
      <c r="Q1180" s="160"/>
      <c r="R1180" s="160"/>
      <c r="S1180" s="160"/>
      <c r="T1180" s="207"/>
      <c r="U1180" s="160"/>
      <c r="V1180" s="160"/>
      <c r="W1180" s="160"/>
      <c r="X1180" s="160"/>
      <c r="Y1180" s="160"/>
      <c r="Z1180" s="160"/>
      <c r="AA1180" s="160"/>
      <c r="AB1180" s="160"/>
      <c r="AC1180" s="160"/>
      <c r="AD1180" s="160"/>
      <c r="AE1180" s="160"/>
      <c r="AF1180" s="160"/>
      <c r="AG1180" s="160"/>
      <c r="AH1180" s="160"/>
      <c r="AI1180" s="160"/>
      <c r="AJ1180" s="160"/>
      <c r="AK1180" s="160"/>
      <c r="AL1180" s="160"/>
      <c r="AM1180" s="160"/>
      <c r="AN1180" s="164"/>
      <c r="AO1180" s="160"/>
      <c r="AP1180" s="160"/>
      <c r="AQ1180" s="160"/>
      <c r="AR1180" s="160"/>
      <c r="AS1180" s="160"/>
      <c r="AT1180" s="160"/>
      <c r="AU1180" s="160"/>
      <c r="AV1180" s="160"/>
      <c r="AW1180" s="160"/>
      <c r="AX1180" s="160"/>
      <c r="AY1180" s="160"/>
      <c r="AZ1180" s="160"/>
      <c r="BA1180" s="160"/>
      <c r="BB1180" s="160"/>
      <c r="BC1180" s="160"/>
      <c r="BD1180" s="160"/>
      <c r="BE1180" s="160"/>
      <c r="BF1180" s="160"/>
      <c r="BG1180" s="160"/>
      <c r="BH1180" s="160"/>
      <c r="BI1180" s="160"/>
      <c r="BJ1180" s="160"/>
      <c r="BK1180" s="160"/>
      <c r="BL1180" s="160"/>
      <c r="BM1180" s="160"/>
      <c r="BN1180" s="160"/>
      <c r="BO1180" s="160"/>
      <c r="BP1180" s="160"/>
      <c r="BQ1180" s="160"/>
      <c r="BR1180" s="160"/>
      <c r="BS1180" s="160"/>
      <c r="BT1180" s="160"/>
      <c r="BU1180" s="160"/>
      <c r="BV1180" s="160"/>
      <c r="BW1180" s="160"/>
      <c r="BX1180" s="160"/>
      <c r="BY1180" s="160"/>
      <c r="BZ1180" s="160"/>
      <c r="CA1180" s="160"/>
      <c r="CB1180" s="160"/>
      <c r="CC1180" s="160"/>
      <c r="CD1180" s="160"/>
      <c r="CE1180" s="160"/>
      <c r="CF1180" s="160"/>
      <c r="CG1180" s="160"/>
      <c r="CH1180" s="160"/>
      <c r="CI1180" s="160"/>
      <c r="CJ1180" s="160"/>
      <c r="CK1180" s="160"/>
      <c r="CL1180" s="160"/>
    </row>
    <row r="1181">
      <c r="A1181" s="171"/>
      <c r="F1181" s="11"/>
      <c r="G1181" s="11"/>
      <c r="L1181" s="171"/>
      <c r="M1181" s="171"/>
      <c r="O1181" s="160"/>
      <c r="P1181" s="160"/>
      <c r="Q1181" s="160"/>
      <c r="R1181" s="160"/>
      <c r="S1181" s="160"/>
      <c r="T1181" s="207"/>
      <c r="U1181" s="160"/>
      <c r="V1181" s="160"/>
      <c r="W1181" s="160"/>
      <c r="X1181" s="160"/>
      <c r="Y1181" s="160"/>
      <c r="Z1181" s="160"/>
      <c r="AA1181" s="160"/>
      <c r="AB1181" s="160"/>
      <c r="AC1181" s="160"/>
      <c r="AD1181" s="160"/>
      <c r="AE1181" s="160"/>
      <c r="AF1181" s="160"/>
      <c r="AG1181" s="160"/>
      <c r="AH1181" s="160"/>
      <c r="AI1181" s="160"/>
      <c r="AJ1181" s="160"/>
      <c r="AK1181" s="160"/>
      <c r="AL1181" s="160"/>
      <c r="AM1181" s="160"/>
      <c r="AN1181" s="164"/>
      <c r="AO1181" s="160"/>
      <c r="AP1181" s="160"/>
      <c r="AQ1181" s="160"/>
      <c r="AR1181" s="160"/>
      <c r="AS1181" s="160"/>
      <c r="AT1181" s="160"/>
      <c r="AU1181" s="160"/>
      <c r="AV1181" s="160"/>
      <c r="AW1181" s="160"/>
      <c r="AX1181" s="160"/>
      <c r="AY1181" s="160"/>
      <c r="AZ1181" s="160"/>
      <c r="BA1181" s="160"/>
      <c r="BB1181" s="160"/>
      <c r="BC1181" s="160"/>
      <c r="BD1181" s="160"/>
      <c r="BE1181" s="160"/>
      <c r="BF1181" s="160"/>
      <c r="BG1181" s="160"/>
      <c r="BH1181" s="160"/>
      <c r="BI1181" s="160"/>
      <c r="BJ1181" s="160"/>
      <c r="BK1181" s="160"/>
      <c r="BL1181" s="160"/>
      <c r="BM1181" s="160"/>
      <c r="BN1181" s="160"/>
      <c r="BO1181" s="160"/>
      <c r="BP1181" s="160"/>
      <c r="BQ1181" s="160"/>
      <c r="BR1181" s="160"/>
      <c r="BS1181" s="160"/>
      <c r="BT1181" s="160"/>
      <c r="BU1181" s="160"/>
      <c r="BV1181" s="160"/>
      <c r="BW1181" s="160"/>
      <c r="BX1181" s="160"/>
      <c r="BY1181" s="160"/>
      <c r="BZ1181" s="160"/>
      <c r="CA1181" s="160"/>
      <c r="CB1181" s="160"/>
      <c r="CC1181" s="160"/>
      <c r="CD1181" s="160"/>
      <c r="CE1181" s="160"/>
      <c r="CF1181" s="160"/>
      <c r="CG1181" s="160"/>
      <c r="CH1181" s="160"/>
      <c r="CI1181" s="160"/>
      <c r="CJ1181" s="160"/>
      <c r="CK1181" s="160"/>
      <c r="CL1181" s="160"/>
    </row>
    <row r="1182">
      <c r="A1182" s="171"/>
      <c r="F1182" s="11"/>
      <c r="G1182" s="11"/>
      <c r="L1182" s="171"/>
      <c r="M1182" s="171"/>
      <c r="O1182" s="160"/>
      <c r="P1182" s="160"/>
      <c r="Q1182" s="160"/>
      <c r="R1182" s="160"/>
      <c r="S1182" s="160"/>
      <c r="T1182" s="207"/>
      <c r="U1182" s="160"/>
      <c r="V1182" s="160"/>
      <c r="W1182" s="160"/>
      <c r="X1182" s="160"/>
      <c r="Y1182" s="160"/>
      <c r="Z1182" s="160"/>
      <c r="AA1182" s="160"/>
      <c r="AB1182" s="160"/>
      <c r="AC1182" s="160"/>
      <c r="AD1182" s="160"/>
      <c r="AE1182" s="160"/>
      <c r="AF1182" s="160"/>
      <c r="AG1182" s="160"/>
      <c r="AH1182" s="160"/>
      <c r="AI1182" s="160"/>
      <c r="AJ1182" s="160"/>
      <c r="AK1182" s="160"/>
      <c r="AL1182" s="160"/>
      <c r="AM1182" s="160"/>
      <c r="AN1182" s="164"/>
      <c r="AO1182" s="160"/>
      <c r="AP1182" s="160"/>
      <c r="AQ1182" s="160"/>
      <c r="AR1182" s="160"/>
      <c r="AS1182" s="160"/>
      <c r="AT1182" s="160"/>
      <c r="AU1182" s="160"/>
      <c r="AV1182" s="160"/>
      <c r="AW1182" s="160"/>
      <c r="AX1182" s="160"/>
      <c r="AY1182" s="160"/>
      <c r="AZ1182" s="160"/>
      <c r="BA1182" s="160"/>
      <c r="BB1182" s="160"/>
      <c r="BC1182" s="160"/>
      <c r="BD1182" s="160"/>
      <c r="BE1182" s="160"/>
      <c r="BF1182" s="160"/>
      <c r="BG1182" s="160"/>
      <c r="BH1182" s="160"/>
      <c r="BI1182" s="160"/>
      <c r="BJ1182" s="160"/>
      <c r="BK1182" s="160"/>
      <c r="BL1182" s="160"/>
      <c r="BM1182" s="160"/>
      <c r="BN1182" s="160"/>
      <c r="BO1182" s="160"/>
      <c r="BP1182" s="160"/>
      <c r="BQ1182" s="160"/>
      <c r="BR1182" s="160"/>
      <c r="BS1182" s="160"/>
      <c r="BT1182" s="160"/>
      <c r="BU1182" s="160"/>
      <c r="BV1182" s="160"/>
      <c r="BW1182" s="160"/>
      <c r="BX1182" s="160"/>
      <c r="BY1182" s="160"/>
      <c r="BZ1182" s="160"/>
      <c r="CA1182" s="160"/>
      <c r="CB1182" s="160"/>
      <c r="CC1182" s="160"/>
      <c r="CD1182" s="160"/>
      <c r="CE1182" s="160"/>
      <c r="CF1182" s="160"/>
      <c r="CG1182" s="160"/>
      <c r="CH1182" s="160"/>
      <c r="CI1182" s="160"/>
      <c r="CJ1182" s="160"/>
      <c r="CK1182" s="160"/>
      <c r="CL1182" s="160"/>
    </row>
    <row r="1183">
      <c r="A1183" s="171"/>
      <c r="F1183" s="11"/>
      <c r="G1183" s="11"/>
      <c r="L1183" s="171"/>
      <c r="M1183" s="171"/>
      <c r="O1183" s="160"/>
      <c r="P1183" s="160"/>
      <c r="Q1183" s="160"/>
      <c r="R1183" s="160"/>
      <c r="S1183" s="160"/>
      <c r="T1183" s="207"/>
      <c r="U1183" s="160"/>
      <c r="V1183" s="160"/>
      <c r="W1183" s="160"/>
      <c r="X1183" s="160"/>
      <c r="Y1183" s="160"/>
      <c r="Z1183" s="160"/>
      <c r="AA1183" s="160"/>
      <c r="AB1183" s="160"/>
      <c r="AC1183" s="160"/>
      <c r="AD1183" s="160"/>
      <c r="AE1183" s="160"/>
      <c r="AF1183" s="160"/>
      <c r="AG1183" s="160"/>
      <c r="AH1183" s="160"/>
      <c r="AI1183" s="160"/>
      <c r="AJ1183" s="160"/>
      <c r="AK1183" s="160"/>
      <c r="AL1183" s="160"/>
      <c r="AM1183" s="160"/>
      <c r="AN1183" s="164"/>
      <c r="AO1183" s="160"/>
      <c r="AP1183" s="160"/>
      <c r="AQ1183" s="160"/>
      <c r="AR1183" s="160"/>
      <c r="AS1183" s="160"/>
      <c r="AT1183" s="160"/>
      <c r="AU1183" s="160"/>
      <c r="AV1183" s="160"/>
      <c r="AW1183" s="160"/>
      <c r="AX1183" s="160"/>
      <c r="AY1183" s="160"/>
      <c r="AZ1183" s="160"/>
      <c r="BA1183" s="160"/>
      <c r="BB1183" s="160"/>
      <c r="BC1183" s="160"/>
      <c r="BD1183" s="160"/>
      <c r="BE1183" s="160"/>
      <c r="BF1183" s="160"/>
      <c r="BG1183" s="160"/>
      <c r="BH1183" s="160"/>
      <c r="BI1183" s="160"/>
      <c r="BJ1183" s="160"/>
      <c r="BK1183" s="160"/>
      <c r="BL1183" s="160"/>
      <c r="BM1183" s="160"/>
      <c r="BN1183" s="160"/>
      <c r="BO1183" s="160"/>
      <c r="BP1183" s="160"/>
      <c r="BQ1183" s="160"/>
      <c r="BR1183" s="160"/>
      <c r="BS1183" s="160"/>
      <c r="BT1183" s="160"/>
      <c r="BU1183" s="160"/>
      <c r="BV1183" s="160"/>
      <c r="BW1183" s="160"/>
      <c r="BX1183" s="160"/>
      <c r="BY1183" s="160"/>
      <c r="BZ1183" s="160"/>
      <c r="CA1183" s="160"/>
      <c r="CB1183" s="160"/>
      <c r="CC1183" s="160"/>
      <c r="CD1183" s="160"/>
      <c r="CE1183" s="160"/>
      <c r="CF1183" s="160"/>
      <c r="CG1183" s="160"/>
      <c r="CH1183" s="160"/>
      <c r="CI1183" s="160"/>
      <c r="CJ1183" s="160"/>
      <c r="CK1183" s="160"/>
      <c r="CL1183" s="160"/>
    </row>
    <row r="1184">
      <c r="A1184" s="171"/>
      <c r="F1184" s="11"/>
      <c r="G1184" s="11"/>
      <c r="L1184" s="171"/>
      <c r="M1184" s="171"/>
      <c r="O1184" s="160"/>
      <c r="P1184" s="160"/>
      <c r="Q1184" s="160"/>
      <c r="R1184" s="160"/>
      <c r="S1184" s="160"/>
      <c r="T1184" s="207"/>
      <c r="U1184" s="160"/>
      <c r="V1184" s="160"/>
      <c r="W1184" s="160"/>
      <c r="X1184" s="160"/>
      <c r="Y1184" s="160"/>
      <c r="Z1184" s="160"/>
      <c r="AA1184" s="160"/>
      <c r="AB1184" s="160"/>
      <c r="AC1184" s="160"/>
      <c r="AD1184" s="160"/>
      <c r="AE1184" s="160"/>
      <c r="AF1184" s="160"/>
      <c r="AG1184" s="160"/>
      <c r="AH1184" s="160"/>
      <c r="AI1184" s="160"/>
      <c r="AJ1184" s="160"/>
      <c r="AK1184" s="160"/>
      <c r="AL1184" s="160"/>
      <c r="AM1184" s="160"/>
      <c r="AN1184" s="164"/>
      <c r="AO1184" s="160"/>
      <c r="AP1184" s="160"/>
      <c r="AQ1184" s="160"/>
      <c r="AR1184" s="160"/>
      <c r="AS1184" s="160"/>
      <c r="AT1184" s="160"/>
      <c r="AU1184" s="160"/>
      <c r="AV1184" s="160"/>
      <c r="AW1184" s="160"/>
      <c r="AX1184" s="160"/>
      <c r="AY1184" s="160"/>
      <c r="AZ1184" s="160"/>
      <c r="BA1184" s="160"/>
      <c r="BB1184" s="160"/>
      <c r="BC1184" s="160"/>
      <c r="BD1184" s="160"/>
      <c r="BE1184" s="160"/>
      <c r="BF1184" s="160"/>
      <c r="BG1184" s="160"/>
      <c r="BH1184" s="160"/>
      <c r="BI1184" s="160"/>
      <c r="BJ1184" s="160"/>
      <c r="BK1184" s="160"/>
      <c r="BL1184" s="160"/>
      <c r="BM1184" s="160"/>
      <c r="BN1184" s="160"/>
      <c r="BO1184" s="160"/>
      <c r="BP1184" s="160"/>
      <c r="BQ1184" s="160"/>
      <c r="BR1184" s="160"/>
      <c r="BS1184" s="160"/>
      <c r="BT1184" s="160"/>
      <c r="BU1184" s="160"/>
      <c r="BV1184" s="160"/>
      <c r="BW1184" s="160"/>
      <c r="BX1184" s="160"/>
      <c r="BY1184" s="160"/>
      <c r="BZ1184" s="160"/>
      <c r="CA1184" s="160"/>
      <c r="CB1184" s="160"/>
      <c r="CC1184" s="160"/>
      <c r="CD1184" s="160"/>
      <c r="CE1184" s="160"/>
      <c r="CF1184" s="160"/>
      <c r="CG1184" s="160"/>
      <c r="CH1184" s="160"/>
      <c r="CI1184" s="160"/>
      <c r="CJ1184" s="160"/>
      <c r="CK1184" s="160"/>
      <c r="CL1184" s="160"/>
    </row>
    <row r="1185">
      <c r="A1185" s="171"/>
      <c r="F1185" s="11"/>
      <c r="G1185" s="11"/>
      <c r="L1185" s="171"/>
      <c r="M1185" s="171"/>
      <c r="O1185" s="160"/>
      <c r="P1185" s="160"/>
      <c r="Q1185" s="160"/>
      <c r="R1185" s="160"/>
      <c r="S1185" s="160"/>
      <c r="T1185" s="207"/>
      <c r="U1185" s="160"/>
      <c r="V1185" s="160"/>
      <c r="W1185" s="160"/>
      <c r="X1185" s="160"/>
      <c r="Y1185" s="160"/>
      <c r="Z1185" s="160"/>
      <c r="AA1185" s="160"/>
      <c r="AB1185" s="160"/>
      <c r="AC1185" s="160"/>
      <c r="AD1185" s="160"/>
      <c r="AE1185" s="160"/>
      <c r="AF1185" s="160"/>
      <c r="AG1185" s="160"/>
      <c r="AH1185" s="160"/>
      <c r="AI1185" s="160"/>
      <c r="AJ1185" s="160"/>
      <c r="AK1185" s="160"/>
      <c r="AL1185" s="160"/>
      <c r="AM1185" s="160"/>
      <c r="AN1185" s="164"/>
      <c r="AO1185" s="160"/>
      <c r="AP1185" s="160"/>
      <c r="AQ1185" s="160"/>
      <c r="AR1185" s="160"/>
      <c r="AS1185" s="160"/>
      <c r="AT1185" s="160"/>
      <c r="AU1185" s="160"/>
      <c r="AV1185" s="160"/>
      <c r="AW1185" s="160"/>
      <c r="AX1185" s="160"/>
      <c r="AY1185" s="160"/>
      <c r="AZ1185" s="160"/>
      <c r="BA1185" s="160"/>
      <c r="BB1185" s="160"/>
      <c r="BC1185" s="160"/>
      <c r="BD1185" s="160"/>
      <c r="BE1185" s="160"/>
      <c r="BF1185" s="160"/>
      <c r="BG1185" s="160"/>
      <c r="BH1185" s="160"/>
      <c r="BI1185" s="160"/>
      <c r="BJ1185" s="160"/>
      <c r="BK1185" s="160"/>
      <c r="BL1185" s="160"/>
      <c r="BM1185" s="160"/>
      <c r="BN1185" s="160"/>
      <c r="BO1185" s="160"/>
      <c r="BP1185" s="160"/>
      <c r="BQ1185" s="160"/>
      <c r="BR1185" s="160"/>
      <c r="BS1185" s="160"/>
      <c r="BT1185" s="160"/>
      <c r="BU1185" s="160"/>
      <c r="BV1185" s="160"/>
      <c r="BW1185" s="160"/>
      <c r="BX1185" s="160"/>
      <c r="BY1185" s="160"/>
      <c r="BZ1185" s="160"/>
      <c r="CA1185" s="160"/>
      <c r="CB1185" s="160"/>
      <c r="CC1185" s="160"/>
      <c r="CD1185" s="160"/>
      <c r="CE1185" s="160"/>
      <c r="CF1185" s="160"/>
      <c r="CG1185" s="160"/>
      <c r="CH1185" s="160"/>
      <c r="CI1185" s="160"/>
      <c r="CJ1185" s="160"/>
      <c r="CK1185" s="160"/>
      <c r="CL1185" s="160"/>
    </row>
    <row r="1186">
      <c r="A1186" s="171"/>
      <c r="F1186" s="11"/>
      <c r="G1186" s="11"/>
      <c r="L1186" s="171"/>
      <c r="M1186" s="171"/>
      <c r="O1186" s="160"/>
      <c r="P1186" s="160"/>
      <c r="Q1186" s="160"/>
      <c r="R1186" s="160"/>
      <c r="S1186" s="160"/>
      <c r="T1186" s="207"/>
      <c r="U1186" s="160"/>
      <c r="V1186" s="160"/>
      <c r="W1186" s="160"/>
      <c r="X1186" s="160"/>
      <c r="Y1186" s="160"/>
      <c r="Z1186" s="160"/>
      <c r="AA1186" s="160"/>
      <c r="AB1186" s="160"/>
      <c r="AC1186" s="160"/>
      <c r="AD1186" s="160"/>
      <c r="AE1186" s="160"/>
      <c r="AF1186" s="160"/>
      <c r="AG1186" s="160"/>
      <c r="AH1186" s="160"/>
      <c r="AI1186" s="160"/>
      <c r="AJ1186" s="160"/>
      <c r="AK1186" s="160"/>
      <c r="AL1186" s="160"/>
      <c r="AM1186" s="160"/>
      <c r="AN1186" s="164"/>
      <c r="AO1186" s="160"/>
      <c r="AP1186" s="160"/>
      <c r="AQ1186" s="160"/>
      <c r="AR1186" s="160"/>
      <c r="AS1186" s="160"/>
      <c r="AT1186" s="160"/>
      <c r="AU1186" s="160"/>
      <c r="AV1186" s="160"/>
      <c r="AW1186" s="160"/>
      <c r="AX1186" s="160"/>
      <c r="AY1186" s="160"/>
      <c r="AZ1186" s="160"/>
      <c r="BA1186" s="160"/>
      <c r="BB1186" s="160"/>
      <c r="BC1186" s="160"/>
      <c r="BD1186" s="160"/>
      <c r="BE1186" s="160"/>
      <c r="BF1186" s="160"/>
      <c r="BG1186" s="160"/>
      <c r="BH1186" s="160"/>
      <c r="BI1186" s="160"/>
      <c r="BJ1186" s="160"/>
      <c r="BK1186" s="160"/>
      <c r="BL1186" s="160"/>
      <c r="BM1186" s="160"/>
      <c r="BN1186" s="160"/>
      <c r="BO1186" s="160"/>
      <c r="BP1186" s="160"/>
      <c r="BQ1186" s="160"/>
      <c r="BR1186" s="160"/>
      <c r="BS1186" s="160"/>
      <c r="BT1186" s="160"/>
      <c r="BU1186" s="160"/>
      <c r="BV1186" s="160"/>
      <c r="BW1186" s="160"/>
      <c r="BX1186" s="160"/>
      <c r="BY1186" s="160"/>
      <c r="BZ1186" s="160"/>
      <c r="CA1186" s="160"/>
      <c r="CB1186" s="160"/>
      <c r="CC1186" s="160"/>
      <c r="CD1186" s="160"/>
      <c r="CE1186" s="160"/>
      <c r="CF1186" s="160"/>
      <c r="CG1186" s="160"/>
      <c r="CH1186" s="160"/>
      <c r="CI1186" s="160"/>
      <c r="CJ1186" s="160"/>
      <c r="CK1186" s="160"/>
      <c r="CL1186" s="160"/>
    </row>
    <row r="1187">
      <c r="A1187" s="171"/>
      <c r="F1187" s="11"/>
      <c r="G1187" s="11"/>
      <c r="L1187" s="171"/>
      <c r="M1187" s="171"/>
      <c r="O1187" s="160"/>
      <c r="P1187" s="160"/>
      <c r="Q1187" s="160"/>
      <c r="R1187" s="160"/>
      <c r="S1187" s="160"/>
      <c r="T1187" s="207"/>
      <c r="U1187" s="160"/>
      <c r="V1187" s="160"/>
      <c r="W1187" s="160"/>
      <c r="X1187" s="160"/>
      <c r="Y1187" s="160"/>
      <c r="Z1187" s="160"/>
      <c r="AA1187" s="160"/>
      <c r="AB1187" s="160"/>
      <c r="AC1187" s="160"/>
      <c r="AD1187" s="160"/>
      <c r="AE1187" s="160"/>
      <c r="AF1187" s="160"/>
      <c r="AG1187" s="160"/>
      <c r="AH1187" s="160"/>
      <c r="AI1187" s="160"/>
      <c r="AJ1187" s="160"/>
      <c r="AK1187" s="160"/>
      <c r="AL1187" s="160"/>
      <c r="AM1187" s="160"/>
      <c r="AN1187" s="164"/>
      <c r="AO1187" s="160"/>
      <c r="AP1187" s="160"/>
      <c r="AQ1187" s="160"/>
      <c r="AR1187" s="160"/>
      <c r="AS1187" s="160"/>
      <c r="AT1187" s="160"/>
      <c r="AU1187" s="160"/>
      <c r="AV1187" s="160"/>
      <c r="AW1187" s="160"/>
      <c r="AX1187" s="160"/>
      <c r="AY1187" s="160"/>
      <c r="AZ1187" s="160"/>
      <c r="BA1187" s="160"/>
      <c r="BB1187" s="160"/>
      <c r="BC1187" s="160"/>
      <c r="BD1187" s="160"/>
      <c r="BE1187" s="160"/>
      <c r="BF1187" s="160"/>
      <c r="BG1187" s="160"/>
      <c r="BH1187" s="160"/>
      <c r="BI1187" s="160"/>
      <c r="BJ1187" s="160"/>
      <c r="BK1187" s="160"/>
      <c r="BL1187" s="160"/>
      <c r="BM1187" s="160"/>
      <c r="BN1187" s="160"/>
      <c r="BO1187" s="160"/>
      <c r="BP1187" s="160"/>
      <c r="BQ1187" s="160"/>
      <c r="BR1187" s="160"/>
      <c r="BS1187" s="160"/>
      <c r="BT1187" s="160"/>
      <c r="BU1187" s="160"/>
      <c r="BV1187" s="160"/>
      <c r="BW1187" s="160"/>
      <c r="BX1187" s="160"/>
      <c r="BY1187" s="160"/>
      <c r="BZ1187" s="160"/>
      <c r="CA1187" s="160"/>
      <c r="CB1187" s="160"/>
      <c r="CC1187" s="160"/>
      <c r="CD1187" s="160"/>
      <c r="CE1187" s="160"/>
      <c r="CF1187" s="160"/>
      <c r="CG1187" s="160"/>
      <c r="CH1187" s="160"/>
      <c r="CI1187" s="160"/>
      <c r="CJ1187" s="160"/>
      <c r="CK1187" s="160"/>
      <c r="CL1187" s="160"/>
    </row>
    <row r="1188">
      <c r="A1188" s="171"/>
      <c r="F1188" s="11"/>
      <c r="G1188" s="11"/>
      <c r="L1188" s="171"/>
      <c r="M1188" s="171"/>
      <c r="O1188" s="160"/>
      <c r="P1188" s="160"/>
      <c r="Q1188" s="160"/>
      <c r="R1188" s="160"/>
      <c r="S1188" s="160"/>
      <c r="T1188" s="207"/>
      <c r="U1188" s="160"/>
      <c r="V1188" s="160"/>
      <c r="W1188" s="160"/>
      <c r="X1188" s="160"/>
      <c r="Y1188" s="160"/>
      <c r="Z1188" s="160"/>
      <c r="AA1188" s="160"/>
      <c r="AB1188" s="160"/>
      <c r="AC1188" s="160"/>
      <c r="AD1188" s="160"/>
      <c r="AE1188" s="160"/>
      <c r="AF1188" s="160"/>
      <c r="AG1188" s="160"/>
      <c r="AH1188" s="160"/>
      <c r="AI1188" s="160"/>
      <c r="AJ1188" s="160"/>
      <c r="AK1188" s="160"/>
      <c r="AL1188" s="160"/>
      <c r="AM1188" s="160"/>
      <c r="AN1188" s="164"/>
      <c r="AO1188" s="160"/>
      <c r="AP1188" s="160"/>
      <c r="AQ1188" s="160"/>
      <c r="AR1188" s="160"/>
      <c r="AS1188" s="160"/>
      <c r="AT1188" s="160"/>
      <c r="AU1188" s="160"/>
      <c r="AV1188" s="160"/>
      <c r="AW1188" s="160"/>
      <c r="AX1188" s="160"/>
      <c r="AY1188" s="160"/>
      <c r="AZ1188" s="160"/>
      <c r="BA1188" s="160"/>
      <c r="BB1188" s="160"/>
      <c r="BC1188" s="160"/>
      <c r="BD1188" s="160"/>
      <c r="BE1188" s="160"/>
      <c r="BF1188" s="160"/>
      <c r="BG1188" s="160"/>
      <c r="BH1188" s="160"/>
      <c r="BI1188" s="160"/>
      <c r="BJ1188" s="160"/>
      <c r="BK1188" s="160"/>
      <c r="BL1188" s="160"/>
      <c r="BM1188" s="160"/>
      <c r="BN1188" s="160"/>
      <c r="BO1188" s="160"/>
      <c r="BP1188" s="160"/>
      <c r="BQ1188" s="160"/>
      <c r="BR1188" s="160"/>
      <c r="BS1188" s="160"/>
      <c r="BT1188" s="160"/>
      <c r="BU1188" s="160"/>
      <c r="BV1188" s="160"/>
      <c r="BW1188" s="160"/>
      <c r="BX1188" s="160"/>
      <c r="BY1188" s="160"/>
      <c r="BZ1188" s="160"/>
      <c r="CA1188" s="160"/>
      <c r="CB1188" s="160"/>
      <c r="CC1188" s="160"/>
      <c r="CD1188" s="160"/>
      <c r="CE1188" s="160"/>
      <c r="CF1188" s="160"/>
      <c r="CG1188" s="160"/>
      <c r="CH1188" s="160"/>
      <c r="CI1188" s="160"/>
      <c r="CJ1188" s="160"/>
      <c r="CK1188" s="160"/>
      <c r="CL1188" s="160"/>
    </row>
    <row r="1189">
      <c r="A1189" s="171"/>
      <c r="F1189" s="11"/>
      <c r="G1189" s="11"/>
      <c r="L1189" s="171"/>
      <c r="M1189" s="171"/>
      <c r="O1189" s="160"/>
      <c r="P1189" s="160"/>
      <c r="Q1189" s="160"/>
      <c r="R1189" s="160"/>
      <c r="S1189" s="160"/>
      <c r="T1189" s="207"/>
      <c r="U1189" s="160"/>
      <c r="V1189" s="160"/>
      <c r="W1189" s="160"/>
      <c r="X1189" s="160"/>
      <c r="Y1189" s="160"/>
      <c r="Z1189" s="160"/>
      <c r="AA1189" s="160"/>
      <c r="AB1189" s="160"/>
      <c r="AC1189" s="160"/>
      <c r="AD1189" s="160"/>
      <c r="AE1189" s="160"/>
      <c r="AF1189" s="160"/>
      <c r="AG1189" s="160"/>
      <c r="AH1189" s="160"/>
      <c r="AI1189" s="160"/>
      <c r="AJ1189" s="160"/>
      <c r="AK1189" s="160"/>
      <c r="AL1189" s="160"/>
      <c r="AM1189" s="160"/>
      <c r="AN1189" s="164"/>
      <c r="AO1189" s="160"/>
      <c r="AP1189" s="160"/>
      <c r="AQ1189" s="160"/>
      <c r="AR1189" s="160"/>
      <c r="AS1189" s="160"/>
      <c r="AT1189" s="160"/>
      <c r="AU1189" s="160"/>
      <c r="AV1189" s="160"/>
      <c r="AW1189" s="160"/>
      <c r="AX1189" s="160"/>
      <c r="AY1189" s="160"/>
      <c r="AZ1189" s="160"/>
      <c r="BA1189" s="160"/>
      <c r="BB1189" s="160"/>
      <c r="BC1189" s="160"/>
      <c r="BD1189" s="160"/>
      <c r="BE1189" s="160"/>
      <c r="BF1189" s="160"/>
      <c r="BG1189" s="160"/>
      <c r="BH1189" s="160"/>
      <c r="BI1189" s="160"/>
      <c r="BJ1189" s="160"/>
      <c r="BK1189" s="160"/>
      <c r="BL1189" s="160"/>
      <c r="BM1189" s="160"/>
      <c r="BN1189" s="160"/>
      <c r="BO1189" s="160"/>
      <c r="BP1189" s="160"/>
      <c r="BQ1189" s="160"/>
      <c r="BR1189" s="160"/>
      <c r="BS1189" s="160"/>
      <c r="BT1189" s="160"/>
      <c r="BU1189" s="160"/>
      <c r="BV1189" s="160"/>
      <c r="BW1189" s="160"/>
      <c r="BX1189" s="160"/>
      <c r="BY1189" s="160"/>
      <c r="BZ1189" s="160"/>
      <c r="CA1189" s="160"/>
      <c r="CB1189" s="160"/>
      <c r="CC1189" s="160"/>
      <c r="CD1189" s="160"/>
      <c r="CE1189" s="160"/>
      <c r="CF1189" s="160"/>
      <c r="CG1189" s="160"/>
      <c r="CH1189" s="160"/>
      <c r="CI1189" s="160"/>
      <c r="CJ1189" s="160"/>
      <c r="CK1189" s="160"/>
      <c r="CL1189" s="160"/>
    </row>
    <row r="1190">
      <c r="A1190" s="171"/>
      <c r="F1190" s="11"/>
      <c r="G1190" s="11"/>
      <c r="L1190" s="171"/>
      <c r="M1190" s="171"/>
      <c r="O1190" s="160"/>
      <c r="P1190" s="160"/>
      <c r="Q1190" s="160"/>
      <c r="R1190" s="160"/>
      <c r="S1190" s="160"/>
      <c r="T1190" s="207"/>
      <c r="U1190" s="160"/>
      <c r="V1190" s="160"/>
      <c r="W1190" s="160"/>
      <c r="X1190" s="160"/>
      <c r="Y1190" s="160"/>
      <c r="Z1190" s="160"/>
      <c r="AA1190" s="160"/>
      <c r="AB1190" s="160"/>
      <c r="AC1190" s="160"/>
      <c r="AD1190" s="160"/>
      <c r="AE1190" s="160"/>
      <c r="AF1190" s="160"/>
      <c r="AG1190" s="160"/>
      <c r="AH1190" s="160"/>
      <c r="AI1190" s="160"/>
      <c r="AJ1190" s="160"/>
      <c r="AK1190" s="160"/>
      <c r="AL1190" s="160"/>
      <c r="AM1190" s="160"/>
      <c r="AN1190" s="164"/>
      <c r="AO1190" s="160"/>
      <c r="AP1190" s="160"/>
      <c r="AQ1190" s="160"/>
      <c r="AR1190" s="160"/>
      <c r="AS1190" s="160"/>
      <c r="AT1190" s="160"/>
      <c r="AU1190" s="160"/>
      <c r="AV1190" s="160"/>
      <c r="AW1190" s="160"/>
      <c r="AX1190" s="160"/>
      <c r="AY1190" s="160"/>
      <c r="AZ1190" s="160"/>
      <c r="BA1190" s="160"/>
      <c r="BB1190" s="160"/>
      <c r="BC1190" s="160"/>
      <c r="BD1190" s="160"/>
      <c r="BE1190" s="160"/>
      <c r="BF1190" s="160"/>
      <c r="BG1190" s="160"/>
      <c r="BH1190" s="160"/>
      <c r="BI1190" s="160"/>
      <c r="BJ1190" s="160"/>
      <c r="BK1190" s="160"/>
      <c r="BL1190" s="160"/>
      <c r="BM1190" s="160"/>
      <c r="BN1190" s="160"/>
      <c r="BO1190" s="160"/>
      <c r="BP1190" s="160"/>
      <c r="BQ1190" s="160"/>
      <c r="BR1190" s="160"/>
      <c r="BS1190" s="160"/>
      <c r="BT1190" s="160"/>
      <c r="BU1190" s="160"/>
      <c r="BV1190" s="160"/>
      <c r="BW1190" s="160"/>
      <c r="BX1190" s="160"/>
      <c r="BY1190" s="160"/>
      <c r="BZ1190" s="160"/>
      <c r="CA1190" s="160"/>
      <c r="CB1190" s="160"/>
      <c r="CC1190" s="160"/>
      <c r="CD1190" s="160"/>
      <c r="CE1190" s="160"/>
      <c r="CF1190" s="160"/>
      <c r="CG1190" s="160"/>
      <c r="CH1190" s="160"/>
      <c r="CI1190" s="160"/>
      <c r="CJ1190" s="160"/>
      <c r="CK1190" s="160"/>
      <c r="CL1190" s="160"/>
    </row>
    <row r="1191">
      <c r="A1191" s="171"/>
      <c r="F1191" s="11"/>
      <c r="G1191" s="11"/>
      <c r="L1191" s="171"/>
      <c r="M1191" s="171"/>
      <c r="O1191" s="160"/>
      <c r="P1191" s="160"/>
      <c r="Q1191" s="160"/>
      <c r="R1191" s="160"/>
      <c r="S1191" s="160"/>
      <c r="T1191" s="207"/>
      <c r="U1191" s="160"/>
      <c r="V1191" s="160"/>
      <c r="W1191" s="160"/>
      <c r="X1191" s="160"/>
      <c r="Y1191" s="160"/>
      <c r="Z1191" s="160"/>
      <c r="AA1191" s="160"/>
      <c r="AB1191" s="160"/>
      <c r="AC1191" s="160"/>
      <c r="AD1191" s="160"/>
      <c r="AE1191" s="160"/>
      <c r="AF1191" s="160"/>
      <c r="AG1191" s="160"/>
      <c r="AH1191" s="160"/>
      <c r="AI1191" s="160"/>
      <c r="AJ1191" s="160"/>
      <c r="AK1191" s="160"/>
      <c r="AL1191" s="160"/>
      <c r="AM1191" s="160"/>
      <c r="AN1191" s="164"/>
      <c r="AO1191" s="160"/>
      <c r="AP1191" s="160"/>
      <c r="AQ1191" s="160"/>
      <c r="AR1191" s="160"/>
      <c r="AS1191" s="160"/>
      <c r="AT1191" s="160"/>
      <c r="AU1191" s="160"/>
      <c r="AV1191" s="160"/>
      <c r="AW1191" s="160"/>
      <c r="AX1191" s="160"/>
      <c r="AY1191" s="160"/>
      <c r="AZ1191" s="160"/>
      <c r="BA1191" s="160"/>
      <c r="BB1191" s="160"/>
      <c r="BC1191" s="160"/>
      <c r="BD1191" s="160"/>
      <c r="BE1191" s="160"/>
      <c r="BF1191" s="160"/>
      <c r="BG1191" s="160"/>
      <c r="BH1191" s="160"/>
      <c r="BI1191" s="160"/>
      <c r="BJ1191" s="160"/>
      <c r="BK1191" s="160"/>
      <c r="BL1191" s="160"/>
      <c r="BM1191" s="160"/>
      <c r="BN1191" s="160"/>
      <c r="BO1191" s="160"/>
      <c r="BP1191" s="160"/>
      <c r="BQ1191" s="160"/>
      <c r="BR1191" s="160"/>
      <c r="BS1191" s="160"/>
      <c r="BT1191" s="160"/>
      <c r="BU1191" s="160"/>
      <c r="BV1191" s="160"/>
      <c r="BW1191" s="160"/>
      <c r="BX1191" s="160"/>
      <c r="BY1191" s="160"/>
      <c r="BZ1191" s="160"/>
      <c r="CA1191" s="160"/>
      <c r="CB1191" s="160"/>
      <c r="CC1191" s="160"/>
      <c r="CD1191" s="160"/>
      <c r="CE1191" s="160"/>
      <c r="CF1191" s="160"/>
      <c r="CG1191" s="160"/>
      <c r="CH1191" s="160"/>
      <c r="CI1191" s="160"/>
      <c r="CJ1191" s="160"/>
      <c r="CK1191" s="160"/>
      <c r="CL1191" s="160"/>
    </row>
    <row r="1192">
      <c r="A1192" s="171"/>
      <c r="F1192" s="11"/>
      <c r="G1192" s="11"/>
      <c r="L1192" s="171"/>
      <c r="M1192" s="171"/>
      <c r="O1192" s="160"/>
      <c r="P1192" s="160"/>
      <c r="Q1192" s="160"/>
      <c r="R1192" s="160"/>
      <c r="S1192" s="160"/>
      <c r="T1192" s="207"/>
      <c r="U1192" s="160"/>
      <c r="V1192" s="160"/>
      <c r="W1192" s="160"/>
      <c r="X1192" s="160"/>
      <c r="Y1192" s="160"/>
      <c r="Z1192" s="160"/>
      <c r="AA1192" s="160"/>
      <c r="AB1192" s="160"/>
      <c r="AC1192" s="160"/>
      <c r="AD1192" s="160"/>
      <c r="AE1192" s="160"/>
      <c r="AF1192" s="160"/>
      <c r="AG1192" s="160"/>
      <c r="AH1192" s="160"/>
      <c r="AI1192" s="160"/>
      <c r="AJ1192" s="160"/>
      <c r="AK1192" s="160"/>
      <c r="AL1192" s="160"/>
      <c r="AM1192" s="160"/>
      <c r="AN1192" s="164"/>
      <c r="AO1192" s="160"/>
      <c r="AP1192" s="160"/>
      <c r="AQ1192" s="160"/>
      <c r="AR1192" s="160"/>
      <c r="AS1192" s="160"/>
      <c r="AT1192" s="160"/>
      <c r="AU1192" s="160"/>
      <c r="AV1192" s="160"/>
      <c r="AW1192" s="160"/>
      <c r="AX1192" s="160"/>
      <c r="AY1192" s="160"/>
      <c r="AZ1192" s="160"/>
      <c r="BA1192" s="160"/>
      <c r="BB1192" s="160"/>
      <c r="BC1192" s="160"/>
      <c r="BD1192" s="160"/>
      <c r="BE1192" s="160"/>
      <c r="BF1192" s="160"/>
      <c r="BG1192" s="160"/>
      <c r="BH1192" s="160"/>
      <c r="BI1192" s="160"/>
      <c r="BJ1192" s="160"/>
      <c r="BK1192" s="160"/>
      <c r="BL1192" s="160"/>
      <c r="BM1192" s="160"/>
      <c r="BN1192" s="160"/>
      <c r="BO1192" s="160"/>
      <c r="BP1192" s="160"/>
      <c r="BQ1192" s="160"/>
      <c r="BR1192" s="160"/>
      <c r="BS1192" s="160"/>
      <c r="BT1192" s="160"/>
      <c r="BU1192" s="160"/>
      <c r="BV1192" s="160"/>
      <c r="BW1192" s="160"/>
      <c r="BX1192" s="160"/>
      <c r="BY1192" s="160"/>
      <c r="BZ1192" s="160"/>
      <c r="CA1192" s="160"/>
      <c r="CB1192" s="160"/>
      <c r="CC1192" s="160"/>
      <c r="CD1192" s="160"/>
      <c r="CE1192" s="160"/>
      <c r="CF1192" s="160"/>
      <c r="CG1192" s="160"/>
      <c r="CH1192" s="160"/>
      <c r="CI1192" s="160"/>
      <c r="CJ1192" s="160"/>
      <c r="CK1192" s="160"/>
      <c r="CL1192" s="160"/>
    </row>
    <row r="1193">
      <c r="A1193" s="171"/>
      <c r="F1193" s="11"/>
      <c r="G1193" s="11"/>
      <c r="L1193" s="171"/>
      <c r="M1193" s="171"/>
      <c r="O1193" s="160"/>
      <c r="P1193" s="160"/>
      <c r="Q1193" s="160"/>
      <c r="R1193" s="160"/>
      <c r="S1193" s="160"/>
      <c r="T1193" s="207"/>
      <c r="U1193" s="160"/>
      <c r="V1193" s="160"/>
      <c r="W1193" s="160"/>
      <c r="X1193" s="160"/>
      <c r="Y1193" s="160"/>
      <c r="Z1193" s="160"/>
      <c r="AA1193" s="160"/>
      <c r="AB1193" s="160"/>
      <c r="AC1193" s="160"/>
      <c r="AD1193" s="160"/>
      <c r="AE1193" s="160"/>
      <c r="AF1193" s="160"/>
      <c r="AG1193" s="160"/>
      <c r="AH1193" s="160"/>
      <c r="AI1193" s="160"/>
      <c r="AJ1193" s="160"/>
      <c r="AK1193" s="160"/>
      <c r="AL1193" s="160"/>
      <c r="AM1193" s="160"/>
      <c r="AN1193" s="164"/>
      <c r="AO1193" s="160"/>
      <c r="AP1193" s="160"/>
      <c r="AQ1193" s="160"/>
      <c r="AR1193" s="160"/>
      <c r="AS1193" s="160"/>
      <c r="AT1193" s="160"/>
      <c r="AU1193" s="160"/>
      <c r="AV1193" s="160"/>
      <c r="AW1193" s="160"/>
      <c r="AX1193" s="160"/>
      <c r="AY1193" s="160"/>
      <c r="AZ1193" s="160"/>
      <c r="BA1193" s="160"/>
      <c r="BB1193" s="160"/>
      <c r="BC1193" s="160"/>
      <c r="BD1193" s="160"/>
      <c r="BE1193" s="160"/>
      <c r="BF1193" s="160"/>
      <c r="BG1193" s="160"/>
      <c r="BH1193" s="160"/>
      <c r="BI1193" s="160"/>
      <c r="BJ1193" s="160"/>
      <c r="BK1193" s="160"/>
      <c r="BL1193" s="160"/>
      <c r="BM1193" s="160"/>
      <c r="BN1193" s="160"/>
      <c r="BO1193" s="160"/>
      <c r="BP1193" s="160"/>
      <c r="BQ1193" s="160"/>
      <c r="BR1193" s="160"/>
      <c r="BS1193" s="160"/>
      <c r="BT1193" s="160"/>
      <c r="BU1193" s="160"/>
      <c r="BV1193" s="160"/>
      <c r="BW1193" s="160"/>
      <c r="BX1193" s="160"/>
      <c r="BY1193" s="160"/>
      <c r="BZ1193" s="160"/>
      <c r="CA1193" s="160"/>
      <c r="CB1193" s="160"/>
      <c r="CC1193" s="160"/>
      <c r="CD1193" s="160"/>
      <c r="CE1193" s="160"/>
      <c r="CF1193" s="160"/>
      <c r="CG1193" s="160"/>
      <c r="CH1193" s="160"/>
      <c r="CI1193" s="160"/>
      <c r="CJ1193" s="160"/>
      <c r="CK1193" s="160"/>
      <c r="CL1193" s="160"/>
    </row>
    <row r="1194">
      <c r="A1194" s="171"/>
      <c r="F1194" s="11"/>
      <c r="G1194" s="11"/>
      <c r="L1194" s="171"/>
      <c r="M1194" s="171"/>
      <c r="O1194" s="160"/>
      <c r="P1194" s="160"/>
      <c r="Q1194" s="160"/>
      <c r="R1194" s="160"/>
      <c r="S1194" s="160"/>
      <c r="T1194" s="207"/>
      <c r="U1194" s="160"/>
      <c r="V1194" s="160"/>
      <c r="W1194" s="160"/>
      <c r="X1194" s="160"/>
      <c r="Y1194" s="160"/>
      <c r="Z1194" s="160"/>
      <c r="AA1194" s="160"/>
      <c r="AB1194" s="160"/>
      <c r="AC1194" s="160"/>
      <c r="AD1194" s="160"/>
      <c r="AE1194" s="160"/>
      <c r="AF1194" s="160"/>
      <c r="AG1194" s="160"/>
      <c r="AH1194" s="160"/>
      <c r="AI1194" s="160"/>
      <c r="AJ1194" s="160"/>
      <c r="AK1194" s="160"/>
      <c r="AL1194" s="160"/>
      <c r="AM1194" s="160"/>
      <c r="AN1194" s="164"/>
      <c r="AO1194" s="160"/>
      <c r="AP1194" s="160"/>
      <c r="AQ1194" s="160"/>
      <c r="AR1194" s="160"/>
      <c r="AS1194" s="160"/>
      <c r="AT1194" s="160"/>
      <c r="AU1194" s="160"/>
      <c r="AV1194" s="160"/>
      <c r="AW1194" s="160"/>
      <c r="AX1194" s="160"/>
      <c r="AY1194" s="160"/>
      <c r="AZ1194" s="160"/>
      <c r="BA1194" s="160"/>
      <c r="BB1194" s="160"/>
      <c r="BC1194" s="160"/>
      <c r="BD1194" s="160"/>
      <c r="BE1194" s="160"/>
      <c r="BF1194" s="160"/>
      <c r="BG1194" s="160"/>
      <c r="BH1194" s="160"/>
      <c r="BI1194" s="160"/>
      <c r="BJ1194" s="160"/>
      <c r="BK1194" s="160"/>
      <c r="BL1194" s="160"/>
      <c r="BM1194" s="160"/>
      <c r="BN1194" s="160"/>
      <c r="BO1194" s="160"/>
      <c r="BP1194" s="160"/>
      <c r="BQ1194" s="160"/>
      <c r="BR1194" s="160"/>
      <c r="BS1194" s="160"/>
      <c r="BT1194" s="160"/>
      <c r="BU1194" s="160"/>
      <c r="BV1194" s="160"/>
      <c r="BW1194" s="160"/>
      <c r="BX1194" s="160"/>
      <c r="BY1194" s="160"/>
      <c r="BZ1194" s="160"/>
      <c r="CA1194" s="160"/>
      <c r="CB1194" s="160"/>
      <c r="CC1194" s="160"/>
      <c r="CD1194" s="160"/>
      <c r="CE1194" s="160"/>
      <c r="CF1194" s="160"/>
      <c r="CG1194" s="160"/>
      <c r="CH1194" s="160"/>
      <c r="CI1194" s="160"/>
      <c r="CJ1194" s="160"/>
      <c r="CK1194" s="160"/>
      <c r="CL1194" s="160"/>
    </row>
    <row r="1195">
      <c r="A1195" s="171"/>
      <c r="F1195" s="11"/>
      <c r="G1195" s="11"/>
      <c r="L1195" s="171"/>
      <c r="M1195" s="171"/>
      <c r="O1195" s="160"/>
      <c r="P1195" s="160"/>
      <c r="Q1195" s="160"/>
      <c r="R1195" s="160"/>
      <c r="S1195" s="160"/>
      <c r="T1195" s="207"/>
      <c r="U1195" s="160"/>
      <c r="V1195" s="160"/>
      <c r="W1195" s="160"/>
      <c r="X1195" s="160"/>
      <c r="Y1195" s="160"/>
      <c r="Z1195" s="160"/>
      <c r="AA1195" s="160"/>
      <c r="AB1195" s="160"/>
      <c r="AC1195" s="160"/>
      <c r="AD1195" s="160"/>
      <c r="AE1195" s="160"/>
      <c r="AF1195" s="160"/>
      <c r="AG1195" s="160"/>
      <c r="AH1195" s="160"/>
      <c r="AI1195" s="160"/>
      <c r="AJ1195" s="160"/>
      <c r="AK1195" s="160"/>
      <c r="AL1195" s="160"/>
      <c r="AM1195" s="160"/>
      <c r="AN1195" s="164"/>
      <c r="AO1195" s="160"/>
      <c r="AP1195" s="160"/>
      <c r="AQ1195" s="160"/>
      <c r="AR1195" s="160"/>
      <c r="AS1195" s="160"/>
      <c r="AT1195" s="160"/>
      <c r="AU1195" s="160"/>
      <c r="AV1195" s="160"/>
      <c r="AW1195" s="160"/>
      <c r="AX1195" s="160"/>
      <c r="AY1195" s="160"/>
      <c r="AZ1195" s="160"/>
      <c r="BA1195" s="160"/>
      <c r="BB1195" s="160"/>
      <c r="BC1195" s="160"/>
      <c r="BD1195" s="160"/>
      <c r="BE1195" s="160"/>
      <c r="BF1195" s="160"/>
      <c r="BG1195" s="160"/>
      <c r="BH1195" s="160"/>
      <c r="BI1195" s="160"/>
      <c r="BJ1195" s="160"/>
      <c r="BK1195" s="160"/>
      <c r="BL1195" s="160"/>
      <c r="BM1195" s="160"/>
      <c r="BN1195" s="160"/>
      <c r="BO1195" s="160"/>
      <c r="BP1195" s="160"/>
      <c r="BQ1195" s="160"/>
      <c r="BR1195" s="160"/>
      <c r="BS1195" s="160"/>
      <c r="BT1195" s="160"/>
      <c r="BU1195" s="160"/>
      <c r="BV1195" s="160"/>
      <c r="BW1195" s="160"/>
      <c r="BX1195" s="160"/>
      <c r="BY1195" s="160"/>
      <c r="BZ1195" s="160"/>
      <c r="CA1195" s="160"/>
      <c r="CB1195" s="160"/>
      <c r="CC1195" s="160"/>
      <c r="CD1195" s="160"/>
      <c r="CE1195" s="160"/>
      <c r="CF1195" s="160"/>
      <c r="CG1195" s="160"/>
      <c r="CH1195" s="160"/>
      <c r="CI1195" s="160"/>
      <c r="CJ1195" s="160"/>
      <c r="CK1195" s="160"/>
      <c r="CL1195" s="160"/>
    </row>
    <row r="1196">
      <c r="A1196" s="171"/>
      <c r="F1196" s="11"/>
      <c r="G1196" s="11"/>
      <c r="L1196" s="171"/>
      <c r="M1196" s="171"/>
      <c r="O1196" s="160"/>
      <c r="P1196" s="160"/>
      <c r="Q1196" s="160"/>
      <c r="R1196" s="160"/>
      <c r="S1196" s="160"/>
      <c r="T1196" s="207"/>
      <c r="U1196" s="160"/>
      <c r="V1196" s="160"/>
      <c r="W1196" s="160"/>
      <c r="X1196" s="160"/>
      <c r="Y1196" s="160"/>
      <c r="Z1196" s="160"/>
      <c r="AA1196" s="160"/>
      <c r="AB1196" s="160"/>
      <c r="AC1196" s="160"/>
      <c r="AD1196" s="160"/>
      <c r="AE1196" s="160"/>
      <c r="AF1196" s="160"/>
      <c r="AG1196" s="160"/>
      <c r="AH1196" s="160"/>
      <c r="AI1196" s="160"/>
      <c r="AJ1196" s="160"/>
      <c r="AK1196" s="160"/>
      <c r="AL1196" s="160"/>
      <c r="AM1196" s="160"/>
      <c r="AN1196" s="164"/>
      <c r="AO1196" s="160"/>
      <c r="AP1196" s="160"/>
      <c r="AQ1196" s="160"/>
      <c r="AR1196" s="160"/>
      <c r="AS1196" s="160"/>
      <c r="AT1196" s="160"/>
      <c r="AU1196" s="160"/>
      <c r="AV1196" s="160"/>
      <c r="AW1196" s="160"/>
      <c r="AX1196" s="160"/>
      <c r="AY1196" s="160"/>
      <c r="AZ1196" s="160"/>
      <c r="BA1196" s="160"/>
      <c r="BB1196" s="160"/>
      <c r="BC1196" s="160"/>
      <c r="BD1196" s="160"/>
      <c r="BE1196" s="160"/>
      <c r="BF1196" s="160"/>
      <c r="BG1196" s="160"/>
      <c r="BH1196" s="160"/>
      <c r="BI1196" s="160"/>
      <c r="BJ1196" s="160"/>
      <c r="BK1196" s="160"/>
      <c r="BL1196" s="160"/>
      <c r="BM1196" s="160"/>
      <c r="BN1196" s="160"/>
      <c r="BO1196" s="160"/>
      <c r="BP1196" s="160"/>
      <c r="BQ1196" s="160"/>
      <c r="BR1196" s="160"/>
      <c r="BS1196" s="160"/>
      <c r="BT1196" s="160"/>
      <c r="BU1196" s="160"/>
      <c r="BV1196" s="160"/>
      <c r="BW1196" s="160"/>
      <c r="BX1196" s="160"/>
      <c r="BY1196" s="160"/>
      <c r="BZ1196" s="160"/>
      <c r="CA1196" s="160"/>
      <c r="CB1196" s="160"/>
      <c r="CC1196" s="160"/>
      <c r="CD1196" s="160"/>
      <c r="CE1196" s="160"/>
      <c r="CF1196" s="160"/>
      <c r="CG1196" s="160"/>
      <c r="CH1196" s="160"/>
      <c r="CI1196" s="160"/>
      <c r="CJ1196" s="160"/>
      <c r="CK1196" s="160"/>
      <c r="CL1196" s="160"/>
    </row>
    <row r="1197">
      <c r="A1197" s="171"/>
      <c r="F1197" s="11"/>
      <c r="G1197" s="11"/>
      <c r="L1197" s="171"/>
      <c r="M1197" s="171"/>
      <c r="O1197" s="160"/>
      <c r="P1197" s="160"/>
      <c r="Q1197" s="160"/>
      <c r="R1197" s="160"/>
      <c r="S1197" s="160"/>
      <c r="T1197" s="207"/>
      <c r="U1197" s="160"/>
      <c r="V1197" s="160"/>
      <c r="W1197" s="160"/>
      <c r="X1197" s="160"/>
      <c r="Y1197" s="160"/>
      <c r="Z1197" s="160"/>
      <c r="AA1197" s="160"/>
      <c r="AB1197" s="160"/>
      <c r="AC1197" s="160"/>
      <c r="AD1197" s="160"/>
      <c r="AE1197" s="160"/>
      <c r="AF1197" s="160"/>
      <c r="AG1197" s="160"/>
      <c r="AH1197" s="160"/>
      <c r="AI1197" s="160"/>
      <c r="AJ1197" s="160"/>
      <c r="AK1197" s="160"/>
      <c r="AL1197" s="160"/>
      <c r="AM1197" s="160"/>
      <c r="AN1197" s="164"/>
      <c r="AO1197" s="160"/>
      <c r="AP1197" s="160"/>
      <c r="AQ1197" s="160"/>
      <c r="AR1197" s="160"/>
      <c r="AS1197" s="160"/>
      <c r="AT1197" s="160"/>
      <c r="AU1197" s="160"/>
      <c r="AV1197" s="160"/>
      <c r="AW1197" s="160"/>
      <c r="AX1197" s="160"/>
      <c r="AY1197" s="160"/>
      <c r="AZ1197" s="160"/>
      <c r="BA1197" s="160"/>
      <c r="BB1197" s="160"/>
      <c r="BC1197" s="160"/>
      <c r="BD1197" s="160"/>
      <c r="BE1197" s="160"/>
      <c r="BF1197" s="160"/>
      <c r="BG1197" s="160"/>
      <c r="BH1197" s="160"/>
      <c r="BI1197" s="160"/>
      <c r="BJ1197" s="160"/>
      <c r="BK1197" s="160"/>
      <c r="BL1197" s="160"/>
      <c r="BM1197" s="160"/>
      <c r="BN1197" s="160"/>
      <c r="BO1197" s="160"/>
      <c r="BP1197" s="160"/>
      <c r="BQ1197" s="160"/>
      <c r="BR1197" s="160"/>
      <c r="BS1197" s="160"/>
      <c r="BT1197" s="160"/>
      <c r="BU1197" s="160"/>
      <c r="BV1197" s="160"/>
      <c r="BW1197" s="160"/>
      <c r="BX1197" s="160"/>
      <c r="BY1197" s="160"/>
      <c r="BZ1197" s="160"/>
      <c r="CA1197" s="160"/>
      <c r="CB1197" s="160"/>
      <c r="CC1197" s="160"/>
      <c r="CD1197" s="160"/>
      <c r="CE1197" s="160"/>
      <c r="CF1197" s="160"/>
      <c r="CG1197" s="160"/>
      <c r="CH1197" s="160"/>
      <c r="CI1197" s="160"/>
      <c r="CJ1197" s="160"/>
      <c r="CK1197" s="160"/>
      <c r="CL1197" s="160"/>
    </row>
    <row r="1198">
      <c r="A1198" s="171"/>
      <c r="F1198" s="11"/>
      <c r="G1198" s="11"/>
      <c r="L1198" s="171"/>
      <c r="M1198" s="171"/>
      <c r="O1198" s="160"/>
      <c r="P1198" s="160"/>
      <c r="Q1198" s="160"/>
      <c r="R1198" s="160"/>
      <c r="S1198" s="160"/>
      <c r="T1198" s="207"/>
      <c r="U1198" s="160"/>
      <c r="V1198" s="160"/>
      <c r="W1198" s="160"/>
      <c r="X1198" s="160"/>
      <c r="Y1198" s="160"/>
      <c r="Z1198" s="160"/>
      <c r="AA1198" s="160"/>
      <c r="AB1198" s="160"/>
      <c r="AC1198" s="160"/>
      <c r="AD1198" s="160"/>
      <c r="AE1198" s="160"/>
      <c r="AF1198" s="160"/>
      <c r="AG1198" s="160"/>
      <c r="AH1198" s="160"/>
      <c r="AI1198" s="160"/>
      <c r="AJ1198" s="160"/>
      <c r="AK1198" s="160"/>
      <c r="AL1198" s="160"/>
      <c r="AM1198" s="160"/>
      <c r="AN1198" s="164"/>
      <c r="AO1198" s="160"/>
      <c r="AP1198" s="160"/>
      <c r="AQ1198" s="160"/>
      <c r="AR1198" s="160"/>
      <c r="AS1198" s="160"/>
      <c r="AT1198" s="160"/>
      <c r="AU1198" s="160"/>
      <c r="AV1198" s="160"/>
      <c r="AW1198" s="160"/>
      <c r="AX1198" s="160"/>
      <c r="AY1198" s="160"/>
      <c r="AZ1198" s="160"/>
      <c r="BA1198" s="160"/>
      <c r="BB1198" s="160"/>
      <c r="BC1198" s="160"/>
      <c r="BD1198" s="160"/>
      <c r="BE1198" s="160"/>
      <c r="BF1198" s="160"/>
      <c r="BG1198" s="160"/>
      <c r="BH1198" s="160"/>
      <c r="BI1198" s="160"/>
      <c r="BJ1198" s="160"/>
      <c r="BK1198" s="160"/>
      <c r="BL1198" s="160"/>
      <c r="BM1198" s="160"/>
      <c r="BN1198" s="160"/>
      <c r="BO1198" s="160"/>
      <c r="BP1198" s="160"/>
      <c r="BQ1198" s="160"/>
      <c r="BR1198" s="160"/>
      <c r="BS1198" s="160"/>
      <c r="BT1198" s="160"/>
      <c r="BU1198" s="160"/>
      <c r="BV1198" s="160"/>
      <c r="BW1198" s="160"/>
      <c r="BX1198" s="160"/>
      <c r="BY1198" s="160"/>
      <c r="BZ1198" s="160"/>
      <c r="CA1198" s="160"/>
      <c r="CB1198" s="160"/>
      <c r="CC1198" s="160"/>
      <c r="CD1198" s="160"/>
      <c r="CE1198" s="160"/>
      <c r="CF1198" s="160"/>
      <c r="CG1198" s="160"/>
      <c r="CH1198" s="160"/>
      <c r="CI1198" s="160"/>
      <c r="CJ1198" s="160"/>
      <c r="CK1198" s="160"/>
      <c r="CL1198" s="160"/>
    </row>
    <row r="1199">
      <c r="A1199" s="171"/>
      <c r="F1199" s="11"/>
      <c r="G1199" s="11"/>
      <c r="L1199" s="171"/>
      <c r="M1199" s="171"/>
      <c r="O1199" s="160"/>
      <c r="P1199" s="160"/>
      <c r="Q1199" s="160"/>
      <c r="R1199" s="160"/>
      <c r="S1199" s="160"/>
      <c r="T1199" s="207"/>
      <c r="U1199" s="160"/>
      <c r="V1199" s="160"/>
      <c r="W1199" s="160"/>
      <c r="X1199" s="160"/>
      <c r="Y1199" s="160"/>
      <c r="Z1199" s="160"/>
      <c r="AA1199" s="160"/>
      <c r="AB1199" s="160"/>
      <c r="AC1199" s="160"/>
      <c r="AD1199" s="160"/>
      <c r="AE1199" s="160"/>
      <c r="AF1199" s="160"/>
      <c r="AG1199" s="160"/>
      <c r="AH1199" s="160"/>
      <c r="AI1199" s="160"/>
      <c r="AJ1199" s="160"/>
      <c r="AK1199" s="160"/>
      <c r="AL1199" s="160"/>
      <c r="AM1199" s="160"/>
      <c r="AN1199" s="164"/>
      <c r="AO1199" s="160"/>
      <c r="AP1199" s="160"/>
      <c r="AQ1199" s="160"/>
      <c r="AR1199" s="160"/>
      <c r="AS1199" s="160"/>
      <c r="AT1199" s="160"/>
      <c r="AU1199" s="160"/>
      <c r="AV1199" s="160"/>
      <c r="AW1199" s="160"/>
      <c r="AX1199" s="160"/>
      <c r="AY1199" s="160"/>
      <c r="AZ1199" s="160"/>
      <c r="BA1199" s="160"/>
      <c r="BB1199" s="160"/>
      <c r="BC1199" s="160"/>
      <c r="BD1199" s="160"/>
      <c r="BE1199" s="160"/>
      <c r="BF1199" s="160"/>
      <c r="BG1199" s="160"/>
      <c r="BH1199" s="160"/>
      <c r="BI1199" s="160"/>
      <c r="BJ1199" s="160"/>
      <c r="BK1199" s="160"/>
      <c r="BL1199" s="160"/>
      <c r="BM1199" s="160"/>
      <c r="BN1199" s="160"/>
      <c r="BO1199" s="160"/>
      <c r="BP1199" s="160"/>
      <c r="BQ1199" s="160"/>
      <c r="BR1199" s="160"/>
      <c r="BS1199" s="160"/>
      <c r="BT1199" s="160"/>
      <c r="BU1199" s="160"/>
      <c r="BV1199" s="160"/>
      <c r="BW1199" s="160"/>
      <c r="BX1199" s="160"/>
      <c r="BY1199" s="160"/>
      <c r="BZ1199" s="160"/>
      <c r="CA1199" s="160"/>
      <c r="CB1199" s="160"/>
      <c r="CC1199" s="160"/>
      <c r="CD1199" s="160"/>
      <c r="CE1199" s="160"/>
      <c r="CF1199" s="160"/>
      <c r="CG1199" s="160"/>
      <c r="CH1199" s="160"/>
      <c r="CI1199" s="160"/>
      <c r="CJ1199" s="160"/>
      <c r="CK1199" s="160"/>
      <c r="CL1199" s="160"/>
    </row>
    <row r="1200">
      <c r="A1200" s="171"/>
      <c r="F1200" s="11"/>
      <c r="G1200" s="11"/>
      <c r="L1200" s="171"/>
      <c r="M1200" s="171"/>
      <c r="O1200" s="160"/>
      <c r="P1200" s="160"/>
      <c r="Q1200" s="160"/>
      <c r="R1200" s="160"/>
      <c r="S1200" s="160"/>
      <c r="T1200" s="207"/>
      <c r="U1200" s="160"/>
      <c r="V1200" s="160"/>
      <c r="W1200" s="160"/>
      <c r="X1200" s="160"/>
      <c r="Y1200" s="160"/>
      <c r="Z1200" s="160"/>
      <c r="AA1200" s="160"/>
      <c r="AB1200" s="160"/>
      <c r="AC1200" s="160"/>
      <c r="AD1200" s="160"/>
      <c r="AE1200" s="160"/>
      <c r="AF1200" s="160"/>
      <c r="AG1200" s="160"/>
      <c r="AH1200" s="160"/>
      <c r="AI1200" s="160"/>
      <c r="AJ1200" s="160"/>
      <c r="AK1200" s="160"/>
      <c r="AL1200" s="160"/>
      <c r="AM1200" s="160"/>
      <c r="AN1200" s="164"/>
      <c r="AO1200" s="160"/>
      <c r="AP1200" s="160"/>
      <c r="AQ1200" s="160"/>
      <c r="AR1200" s="160"/>
      <c r="AS1200" s="160"/>
      <c r="AT1200" s="160"/>
      <c r="AU1200" s="160"/>
      <c r="AV1200" s="160"/>
      <c r="AW1200" s="160"/>
      <c r="AX1200" s="160"/>
      <c r="AY1200" s="160"/>
      <c r="AZ1200" s="160"/>
      <c r="BA1200" s="160"/>
      <c r="BB1200" s="160"/>
      <c r="BC1200" s="160"/>
      <c r="BD1200" s="160"/>
      <c r="BE1200" s="160"/>
      <c r="BF1200" s="160"/>
      <c r="BG1200" s="160"/>
      <c r="BH1200" s="160"/>
      <c r="BI1200" s="160"/>
      <c r="BJ1200" s="160"/>
      <c r="BK1200" s="160"/>
      <c r="BL1200" s="160"/>
      <c r="BM1200" s="160"/>
      <c r="BN1200" s="160"/>
      <c r="BO1200" s="160"/>
      <c r="BP1200" s="160"/>
      <c r="BQ1200" s="160"/>
      <c r="BR1200" s="160"/>
      <c r="BS1200" s="160"/>
      <c r="BT1200" s="160"/>
      <c r="BU1200" s="160"/>
      <c r="BV1200" s="160"/>
      <c r="BW1200" s="160"/>
      <c r="BX1200" s="160"/>
      <c r="BY1200" s="160"/>
      <c r="BZ1200" s="160"/>
      <c r="CA1200" s="160"/>
      <c r="CB1200" s="160"/>
      <c r="CC1200" s="160"/>
      <c r="CD1200" s="160"/>
      <c r="CE1200" s="160"/>
      <c r="CF1200" s="160"/>
      <c r="CG1200" s="160"/>
      <c r="CH1200" s="160"/>
      <c r="CI1200" s="160"/>
      <c r="CJ1200" s="160"/>
      <c r="CK1200" s="160"/>
      <c r="CL1200" s="160"/>
    </row>
    <row r="1201">
      <c r="A1201" s="171"/>
      <c r="F1201" s="11"/>
      <c r="G1201" s="11"/>
      <c r="L1201" s="171"/>
      <c r="M1201" s="171"/>
      <c r="O1201" s="160"/>
      <c r="P1201" s="160"/>
      <c r="Q1201" s="160"/>
      <c r="R1201" s="160"/>
      <c r="S1201" s="160"/>
      <c r="T1201" s="207"/>
      <c r="U1201" s="160"/>
      <c r="V1201" s="160"/>
      <c r="W1201" s="160"/>
      <c r="X1201" s="160"/>
      <c r="Y1201" s="160"/>
      <c r="Z1201" s="160"/>
      <c r="AA1201" s="160"/>
      <c r="AB1201" s="160"/>
      <c r="AC1201" s="160"/>
      <c r="AD1201" s="160"/>
      <c r="AE1201" s="160"/>
      <c r="AF1201" s="160"/>
      <c r="AG1201" s="160"/>
      <c r="AH1201" s="160"/>
      <c r="AI1201" s="160"/>
      <c r="AJ1201" s="160"/>
      <c r="AK1201" s="160"/>
      <c r="AL1201" s="160"/>
      <c r="AM1201" s="160"/>
      <c r="AN1201" s="164"/>
      <c r="AO1201" s="160"/>
      <c r="AP1201" s="160"/>
      <c r="AQ1201" s="160"/>
      <c r="AR1201" s="160"/>
      <c r="AS1201" s="160"/>
      <c r="AT1201" s="160"/>
      <c r="AU1201" s="160"/>
      <c r="AV1201" s="160"/>
      <c r="AW1201" s="160"/>
      <c r="AX1201" s="160"/>
      <c r="AY1201" s="160"/>
      <c r="AZ1201" s="160"/>
      <c r="BA1201" s="160"/>
      <c r="BB1201" s="160"/>
      <c r="BC1201" s="160"/>
      <c r="BD1201" s="160"/>
      <c r="BE1201" s="160"/>
      <c r="BF1201" s="160"/>
      <c r="BG1201" s="160"/>
      <c r="BH1201" s="160"/>
      <c r="BI1201" s="160"/>
      <c r="BJ1201" s="160"/>
      <c r="BK1201" s="160"/>
      <c r="BL1201" s="160"/>
      <c r="BM1201" s="160"/>
      <c r="BN1201" s="160"/>
      <c r="BO1201" s="160"/>
      <c r="BP1201" s="160"/>
      <c r="BQ1201" s="160"/>
      <c r="BR1201" s="160"/>
      <c r="BS1201" s="160"/>
      <c r="BT1201" s="160"/>
      <c r="BU1201" s="160"/>
      <c r="BV1201" s="160"/>
      <c r="BW1201" s="160"/>
      <c r="BX1201" s="160"/>
      <c r="BY1201" s="160"/>
      <c r="BZ1201" s="160"/>
      <c r="CA1201" s="160"/>
      <c r="CB1201" s="160"/>
      <c r="CC1201" s="160"/>
      <c r="CD1201" s="160"/>
      <c r="CE1201" s="160"/>
      <c r="CF1201" s="160"/>
      <c r="CG1201" s="160"/>
      <c r="CH1201" s="160"/>
      <c r="CI1201" s="160"/>
      <c r="CJ1201" s="160"/>
      <c r="CK1201" s="160"/>
      <c r="CL1201" s="160"/>
    </row>
    <row r="1202">
      <c r="A1202" s="171"/>
      <c r="F1202" s="11"/>
      <c r="G1202" s="11"/>
      <c r="L1202" s="171"/>
      <c r="M1202" s="171"/>
      <c r="O1202" s="160"/>
      <c r="P1202" s="160"/>
      <c r="Q1202" s="160"/>
      <c r="R1202" s="160"/>
      <c r="S1202" s="160"/>
      <c r="T1202" s="207"/>
      <c r="U1202" s="160"/>
      <c r="V1202" s="160"/>
      <c r="W1202" s="160"/>
      <c r="X1202" s="160"/>
      <c r="Y1202" s="160"/>
      <c r="Z1202" s="160"/>
      <c r="AA1202" s="160"/>
      <c r="AB1202" s="160"/>
      <c r="AC1202" s="160"/>
      <c r="AD1202" s="160"/>
      <c r="AE1202" s="160"/>
      <c r="AF1202" s="160"/>
      <c r="AG1202" s="160"/>
      <c r="AH1202" s="160"/>
      <c r="AI1202" s="160"/>
      <c r="AJ1202" s="160"/>
      <c r="AK1202" s="160"/>
      <c r="AL1202" s="160"/>
      <c r="AM1202" s="160"/>
      <c r="AN1202" s="164"/>
      <c r="AO1202" s="160"/>
      <c r="AP1202" s="160"/>
      <c r="AQ1202" s="160"/>
      <c r="AR1202" s="160"/>
      <c r="AS1202" s="160"/>
      <c r="AT1202" s="160"/>
      <c r="AU1202" s="160"/>
      <c r="AV1202" s="160"/>
      <c r="AW1202" s="160"/>
      <c r="AX1202" s="160"/>
      <c r="AY1202" s="160"/>
      <c r="AZ1202" s="160"/>
      <c r="BA1202" s="160"/>
      <c r="BB1202" s="160"/>
      <c r="BC1202" s="160"/>
      <c r="BD1202" s="160"/>
      <c r="BE1202" s="160"/>
      <c r="BF1202" s="160"/>
      <c r="BG1202" s="160"/>
      <c r="BH1202" s="160"/>
      <c r="BI1202" s="160"/>
      <c r="BJ1202" s="160"/>
      <c r="BK1202" s="160"/>
      <c r="BL1202" s="160"/>
      <c r="BM1202" s="160"/>
      <c r="BN1202" s="160"/>
      <c r="BO1202" s="160"/>
      <c r="BP1202" s="160"/>
      <c r="BQ1202" s="160"/>
      <c r="BR1202" s="160"/>
      <c r="BS1202" s="160"/>
      <c r="BT1202" s="160"/>
      <c r="BU1202" s="160"/>
      <c r="BV1202" s="160"/>
      <c r="BW1202" s="160"/>
      <c r="BX1202" s="160"/>
      <c r="BY1202" s="160"/>
      <c r="BZ1202" s="160"/>
      <c r="CA1202" s="160"/>
      <c r="CB1202" s="160"/>
      <c r="CC1202" s="160"/>
      <c r="CD1202" s="160"/>
      <c r="CE1202" s="160"/>
      <c r="CF1202" s="160"/>
      <c r="CG1202" s="160"/>
      <c r="CH1202" s="160"/>
      <c r="CI1202" s="160"/>
      <c r="CJ1202" s="160"/>
      <c r="CK1202" s="160"/>
      <c r="CL1202" s="160"/>
    </row>
    <row r="1203">
      <c r="A1203" s="171"/>
      <c r="F1203" s="11"/>
      <c r="G1203" s="11"/>
      <c r="L1203" s="171"/>
      <c r="M1203" s="171"/>
      <c r="O1203" s="160"/>
      <c r="P1203" s="160"/>
      <c r="Q1203" s="160"/>
      <c r="R1203" s="160"/>
      <c r="S1203" s="160"/>
      <c r="T1203" s="207"/>
      <c r="U1203" s="160"/>
      <c r="V1203" s="160"/>
      <c r="W1203" s="160"/>
      <c r="X1203" s="160"/>
      <c r="Y1203" s="160"/>
      <c r="Z1203" s="160"/>
      <c r="AA1203" s="160"/>
      <c r="AB1203" s="160"/>
      <c r="AC1203" s="160"/>
      <c r="AD1203" s="160"/>
      <c r="AE1203" s="160"/>
      <c r="AF1203" s="160"/>
      <c r="AG1203" s="160"/>
      <c r="AH1203" s="160"/>
      <c r="AI1203" s="160"/>
      <c r="AJ1203" s="160"/>
      <c r="AK1203" s="160"/>
      <c r="AL1203" s="160"/>
      <c r="AM1203" s="160"/>
      <c r="AN1203" s="164"/>
      <c r="AO1203" s="160"/>
      <c r="AP1203" s="160"/>
      <c r="AQ1203" s="160"/>
      <c r="AR1203" s="160"/>
      <c r="AS1203" s="160"/>
      <c r="AT1203" s="160"/>
      <c r="AU1203" s="160"/>
      <c r="AV1203" s="160"/>
      <c r="AW1203" s="160"/>
      <c r="AX1203" s="160"/>
      <c r="AY1203" s="160"/>
      <c r="AZ1203" s="160"/>
      <c r="BA1203" s="160"/>
      <c r="BB1203" s="160"/>
      <c r="BC1203" s="160"/>
      <c r="BD1203" s="160"/>
      <c r="BE1203" s="160"/>
      <c r="BF1203" s="160"/>
      <c r="BG1203" s="160"/>
      <c r="BH1203" s="160"/>
      <c r="BI1203" s="160"/>
      <c r="BJ1203" s="160"/>
      <c r="BK1203" s="160"/>
      <c r="BL1203" s="160"/>
      <c r="BM1203" s="160"/>
      <c r="BN1203" s="160"/>
      <c r="BO1203" s="160"/>
      <c r="BP1203" s="160"/>
      <c r="BQ1203" s="160"/>
      <c r="BR1203" s="160"/>
      <c r="BS1203" s="160"/>
      <c r="BT1203" s="160"/>
      <c r="BU1203" s="160"/>
      <c r="BV1203" s="160"/>
      <c r="BW1203" s="160"/>
      <c r="BX1203" s="160"/>
      <c r="BY1203" s="160"/>
      <c r="BZ1203" s="160"/>
      <c r="CA1203" s="160"/>
      <c r="CB1203" s="160"/>
      <c r="CC1203" s="160"/>
      <c r="CD1203" s="160"/>
      <c r="CE1203" s="160"/>
      <c r="CF1203" s="160"/>
      <c r="CG1203" s="160"/>
      <c r="CH1203" s="160"/>
      <c r="CI1203" s="160"/>
      <c r="CJ1203" s="160"/>
      <c r="CK1203" s="160"/>
      <c r="CL1203" s="160"/>
    </row>
    <row r="1204">
      <c r="A1204" s="171"/>
      <c r="F1204" s="11"/>
      <c r="G1204" s="11"/>
      <c r="L1204" s="171"/>
      <c r="M1204" s="171"/>
      <c r="O1204" s="160"/>
      <c r="P1204" s="160"/>
      <c r="Q1204" s="160"/>
      <c r="R1204" s="160"/>
      <c r="S1204" s="160"/>
      <c r="T1204" s="207"/>
      <c r="U1204" s="160"/>
      <c r="V1204" s="160"/>
      <c r="W1204" s="160"/>
      <c r="X1204" s="160"/>
      <c r="Y1204" s="160"/>
      <c r="Z1204" s="160"/>
      <c r="AA1204" s="160"/>
      <c r="AB1204" s="160"/>
      <c r="AC1204" s="160"/>
      <c r="AD1204" s="160"/>
      <c r="AE1204" s="160"/>
      <c r="AF1204" s="160"/>
      <c r="AG1204" s="160"/>
      <c r="AH1204" s="160"/>
      <c r="AI1204" s="160"/>
      <c r="AJ1204" s="160"/>
      <c r="AK1204" s="160"/>
      <c r="AL1204" s="160"/>
      <c r="AM1204" s="160"/>
      <c r="AN1204" s="164"/>
      <c r="AO1204" s="160"/>
      <c r="AP1204" s="160"/>
      <c r="AQ1204" s="160"/>
      <c r="AR1204" s="160"/>
      <c r="AS1204" s="160"/>
      <c r="AT1204" s="160"/>
      <c r="AU1204" s="160"/>
      <c r="AV1204" s="160"/>
      <c r="AW1204" s="160"/>
      <c r="AX1204" s="160"/>
      <c r="AY1204" s="160"/>
      <c r="AZ1204" s="160"/>
      <c r="BA1204" s="160"/>
      <c r="BB1204" s="160"/>
      <c r="BC1204" s="160"/>
      <c r="BD1204" s="160"/>
      <c r="BE1204" s="160"/>
      <c r="BF1204" s="160"/>
      <c r="BG1204" s="160"/>
      <c r="BH1204" s="160"/>
      <c r="BI1204" s="160"/>
      <c r="BJ1204" s="160"/>
      <c r="BK1204" s="160"/>
      <c r="BL1204" s="160"/>
      <c r="BM1204" s="160"/>
      <c r="BN1204" s="160"/>
      <c r="BO1204" s="160"/>
      <c r="BP1204" s="160"/>
      <c r="BQ1204" s="160"/>
      <c r="BR1204" s="160"/>
      <c r="BS1204" s="160"/>
      <c r="BT1204" s="160"/>
      <c r="BU1204" s="160"/>
      <c r="BV1204" s="160"/>
      <c r="BW1204" s="160"/>
      <c r="BX1204" s="160"/>
      <c r="BY1204" s="160"/>
      <c r="BZ1204" s="160"/>
      <c r="CA1204" s="160"/>
      <c r="CB1204" s="160"/>
      <c r="CC1204" s="160"/>
      <c r="CD1204" s="160"/>
      <c r="CE1204" s="160"/>
      <c r="CF1204" s="160"/>
      <c r="CG1204" s="160"/>
      <c r="CH1204" s="160"/>
      <c r="CI1204" s="160"/>
      <c r="CJ1204" s="160"/>
      <c r="CK1204" s="160"/>
      <c r="CL1204" s="160"/>
    </row>
    <row r="1205">
      <c r="A1205" s="171"/>
      <c r="F1205" s="11"/>
      <c r="G1205" s="11"/>
      <c r="L1205" s="171"/>
      <c r="M1205" s="171"/>
      <c r="O1205" s="160"/>
      <c r="P1205" s="160"/>
      <c r="Q1205" s="160"/>
      <c r="R1205" s="160"/>
      <c r="S1205" s="160"/>
      <c r="T1205" s="207"/>
      <c r="U1205" s="160"/>
      <c r="V1205" s="160"/>
      <c r="W1205" s="160"/>
      <c r="X1205" s="160"/>
      <c r="Y1205" s="160"/>
      <c r="Z1205" s="160"/>
      <c r="AA1205" s="160"/>
      <c r="AB1205" s="160"/>
      <c r="AC1205" s="160"/>
      <c r="AD1205" s="160"/>
      <c r="AE1205" s="160"/>
      <c r="AF1205" s="160"/>
      <c r="AG1205" s="160"/>
      <c r="AH1205" s="160"/>
      <c r="AI1205" s="160"/>
      <c r="AJ1205" s="160"/>
      <c r="AK1205" s="160"/>
      <c r="AL1205" s="160"/>
      <c r="AM1205" s="160"/>
      <c r="AN1205" s="164"/>
      <c r="AO1205" s="160"/>
      <c r="AP1205" s="160"/>
      <c r="AQ1205" s="160"/>
      <c r="AR1205" s="160"/>
      <c r="AS1205" s="160"/>
      <c r="AT1205" s="160"/>
      <c r="AU1205" s="160"/>
      <c r="AV1205" s="160"/>
      <c r="AW1205" s="160"/>
      <c r="AX1205" s="160"/>
      <c r="AY1205" s="160"/>
      <c r="AZ1205" s="160"/>
      <c r="BA1205" s="160"/>
      <c r="BB1205" s="160"/>
      <c r="BC1205" s="160"/>
      <c r="BD1205" s="160"/>
      <c r="BE1205" s="160"/>
      <c r="BF1205" s="160"/>
      <c r="BG1205" s="160"/>
      <c r="BH1205" s="160"/>
      <c r="BI1205" s="160"/>
      <c r="BJ1205" s="160"/>
      <c r="BK1205" s="160"/>
      <c r="BL1205" s="160"/>
      <c r="BM1205" s="160"/>
      <c r="BN1205" s="160"/>
      <c r="BO1205" s="160"/>
      <c r="BP1205" s="160"/>
      <c r="BQ1205" s="160"/>
      <c r="BR1205" s="160"/>
      <c r="BS1205" s="160"/>
      <c r="BT1205" s="160"/>
      <c r="BU1205" s="160"/>
      <c r="BV1205" s="160"/>
      <c r="BW1205" s="160"/>
      <c r="BX1205" s="160"/>
      <c r="BY1205" s="160"/>
      <c r="BZ1205" s="160"/>
      <c r="CA1205" s="160"/>
      <c r="CB1205" s="160"/>
      <c r="CC1205" s="160"/>
      <c r="CD1205" s="160"/>
      <c r="CE1205" s="160"/>
      <c r="CF1205" s="160"/>
      <c r="CG1205" s="160"/>
      <c r="CH1205" s="160"/>
      <c r="CI1205" s="160"/>
      <c r="CJ1205" s="160"/>
      <c r="CK1205" s="160"/>
      <c r="CL1205" s="160"/>
    </row>
    <row r="1206">
      <c r="A1206" s="171"/>
      <c r="F1206" s="11"/>
      <c r="G1206" s="11"/>
      <c r="L1206" s="171"/>
      <c r="M1206" s="171"/>
      <c r="O1206" s="160"/>
      <c r="P1206" s="160"/>
      <c r="Q1206" s="160"/>
      <c r="R1206" s="160"/>
      <c r="S1206" s="160"/>
      <c r="T1206" s="207"/>
      <c r="U1206" s="160"/>
      <c r="V1206" s="160"/>
      <c r="W1206" s="160"/>
      <c r="X1206" s="160"/>
      <c r="Y1206" s="160"/>
      <c r="Z1206" s="160"/>
      <c r="AA1206" s="160"/>
      <c r="AB1206" s="160"/>
      <c r="AC1206" s="160"/>
      <c r="AD1206" s="160"/>
      <c r="AE1206" s="160"/>
      <c r="AF1206" s="160"/>
      <c r="AG1206" s="160"/>
      <c r="AH1206" s="160"/>
      <c r="AI1206" s="160"/>
      <c r="AJ1206" s="160"/>
      <c r="AK1206" s="160"/>
      <c r="AL1206" s="160"/>
      <c r="AM1206" s="160"/>
      <c r="AN1206" s="164"/>
      <c r="AO1206" s="160"/>
      <c r="AP1206" s="160"/>
      <c r="AQ1206" s="160"/>
      <c r="AR1206" s="160"/>
      <c r="AS1206" s="160"/>
      <c r="AT1206" s="160"/>
      <c r="AU1206" s="160"/>
      <c r="AV1206" s="160"/>
      <c r="AW1206" s="160"/>
      <c r="AX1206" s="160"/>
      <c r="AY1206" s="160"/>
      <c r="AZ1206" s="160"/>
      <c r="BA1206" s="160"/>
      <c r="BB1206" s="160"/>
      <c r="BC1206" s="160"/>
      <c r="BD1206" s="160"/>
      <c r="BE1206" s="160"/>
      <c r="BF1206" s="160"/>
      <c r="BG1206" s="160"/>
      <c r="BH1206" s="160"/>
      <c r="BI1206" s="160"/>
      <c r="BJ1206" s="160"/>
      <c r="BK1206" s="160"/>
      <c r="BL1206" s="160"/>
      <c r="BM1206" s="160"/>
      <c r="BN1206" s="160"/>
      <c r="BO1206" s="160"/>
      <c r="BP1206" s="160"/>
      <c r="BQ1206" s="160"/>
      <c r="BR1206" s="160"/>
      <c r="BS1206" s="160"/>
      <c r="BT1206" s="160"/>
      <c r="BU1206" s="160"/>
      <c r="BV1206" s="160"/>
      <c r="BW1206" s="160"/>
      <c r="BX1206" s="160"/>
      <c r="BY1206" s="160"/>
      <c r="BZ1206" s="160"/>
      <c r="CA1206" s="160"/>
      <c r="CB1206" s="160"/>
      <c r="CC1206" s="160"/>
      <c r="CD1206" s="160"/>
      <c r="CE1206" s="160"/>
      <c r="CF1206" s="160"/>
      <c r="CG1206" s="160"/>
      <c r="CH1206" s="160"/>
      <c r="CI1206" s="160"/>
      <c r="CJ1206" s="160"/>
      <c r="CK1206" s="160"/>
      <c r="CL1206" s="160"/>
    </row>
    <row r="1207">
      <c r="A1207" s="171"/>
      <c r="F1207" s="11"/>
      <c r="G1207" s="11"/>
      <c r="L1207" s="171"/>
      <c r="M1207" s="171"/>
      <c r="O1207" s="160"/>
      <c r="P1207" s="160"/>
      <c r="Q1207" s="160"/>
      <c r="R1207" s="160"/>
      <c r="S1207" s="160"/>
      <c r="T1207" s="207"/>
      <c r="U1207" s="160"/>
      <c r="V1207" s="160"/>
      <c r="W1207" s="160"/>
      <c r="X1207" s="160"/>
      <c r="Y1207" s="160"/>
      <c r="Z1207" s="160"/>
      <c r="AA1207" s="160"/>
      <c r="AB1207" s="160"/>
      <c r="AC1207" s="160"/>
      <c r="AD1207" s="160"/>
      <c r="AE1207" s="160"/>
      <c r="AF1207" s="160"/>
      <c r="AG1207" s="160"/>
      <c r="AH1207" s="160"/>
      <c r="AI1207" s="160"/>
      <c r="AJ1207" s="160"/>
      <c r="AK1207" s="160"/>
      <c r="AL1207" s="160"/>
      <c r="AM1207" s="160"/>
      <c r="AN1207" s="164"/>
      <c r="AO1207" s="160"/>
      <c r="AP1207" s="160"/>
      <c r="AQ1207" s="160"/>
      <c r="AR1207" s="160"/>
      <c r="AS1207" s="160"/>
      <c r="AT1207" s="160"/>
      <c r="AU1207" s="160"/>
      <c r="AV1207" s="160"/>
      <c r="AW1207" s="160"/>
      <c r="AX1207" s="160"/>
      <c r="AY1207" s="160"/>
      <c r="AZ1207" s="160"/>
      <c r="BA1207" s="160"/>
      <c r="BB1207" s="160"/>
      <c r="BC1207" s="160"/>
      <c r="BD1207" s="160"/>
      <c r="BE1207" s="160"/>
      <c r="BF1207" s="160"/>
      <c r="BG1207" s="160"/>
      <c r="BH1207" s="160"/>
      <c r="BI1207" s="160"/>
      <c r="BJ1207" s="160"/>
      <c r="BK1207" s="160"/>
      <c r="BL1207" s="160"/>
      <c r="BM1207" s="160"/>
      <c r="BN1207" s="160"/>
      <c r="BO1207" s="160"/>
      <c r="BP1207" s="160"/>
      <c r="BQ1207" s="160"/>
      <c r="BR1207" s="160"/>
      <c r="BS1207" s="160"/>
      <c r="BT1207" s="160"/>
      <c r="BU1207" s="160"/>
      <c r="BV1207" s="160"/>
      <c r="BW1207" s="160"/>
      <c r="BX1207" s="160"/>
      <c r="BY1207" s="160"/>
      <c r="BZ1207" s="160"/>
      <c r="CA1207" s="160"/>
      <c r="CB1207" s="160"/>
      <c r="CC1207" s="160"/>
      <c r="CD1207" s="160"/>
      <c r="CE1207" s="160"/>
      <c r="CF1207" s="160"/>
      <c r="CG1207" s="160"/>
      <c r="CH1207" s="160"/>
      <c r="CI1207" s="160"/>
      <c r="CJ1207" s="160"/>
      <c r="CK1207" s="160"/>
      <c r="CL1207" s="160"/>
    </row>
    <row r="1208">
      <c r="A1208" s="171"/>
      <c r="F1208" s="11"/>
      <c r="G1208" s="11"/>
      <c r="L1208" s="171"/>
      <c r="M1208" s="171"/>
      <c r="O1208" s="160"/>
      <c r="P1208" s="160"/>
      <c r="Q1208" s="160"/>
      <c r="R1208" s="160"/>
      <c r="S1208" s="160"/>
      <c r="T1208" s="207"/>
      <c r="U1208" s="160"/>
      <c r="V1208" s="160"/>
      <c r="W1208" s="160"/>
      <c r="X1208" s="160"/>
      <c r="Y1208" s="160"/>
      <c r="Z1208" s="160"/>
      <c r="AA1208" s="160"/>
      <c r="AB1208" s="160"/>
      <c r="AC1208" s="160"/>
      <c r="AD1208" s="160"/>
      <c r="AE1208" s="160"/>
      <c r="AF1208" s="160"/>
      <c r="AG1208" s="160"/>
      <c r="AH1208" s="160"/>
      <c r="AI1208" s="160"/>
      <c r="AJ1208" s="160"/>
      <c r="AK1208" s="160"/>
      <c r="AL1208" s="160"/>
      <c r="AM1208" s="160"/>
      <c r="AN1208" s="164"/>
      <c r="AO1208" s="160"/>
      <c r="AP1208" s="160"/>
      <c r="AQ1208" s="160"/>
      <c r="AR1208" s="160"/>
      <c r="AS1208" s="160"/>
      <c r="AT1208" s="160"/>
      <c r="AU1208" s="160"/>
      <c r="AV1208" s="160"/>
      <c r="AW1208" s="160"/>
      <c r="AX1208" s="160"/>
      <c r="AY1208" s="160"/>
      <c r="AZ1208" s="160"/>
      <c r="BA1208" s="160"/>
      <c r="BB1208" s="160"/>
      <c r="BC1208" s="160"/>
      <c r="BD1208" s="160"/>
      <c r="BE1208" s="160"/>
      <c r="BF1208" s="160"/>
      <c r="BG1208" s="160"/>
      <c r="BH1208" s="160"/>
      <c r="BI1208" s="160"/>
      <c r="BJ1208" s="160"/>
      <c r="BK1208" s="160"/>
      <c r="BL1208" s="160"/>
      <c r="BM1208" s="160"/>
      <c r="BN1208" s="160"/>
      <c r="BO1208" s="160"/>
      <c r="BP1208" s="160"/>
      <c r="BQ1208" s="160"/>
      <c r="BR1208" s="160"/>
      <c r="BS1208" s="160"/>
      <c r="BT1208" s="160"/>
      <c r="BU1208" s="160"/>
      <c r="BV1208" s="160"/>
      <c r="BW1208" s="160"/>
      <c r="BX1208" s="160"/>
      <c r="BY1208" s="160"/>
      <c r="BZ1208" s="160"/>
      <c r="CA1208" s="160"/>
      <c r="CB1208" s="160"/>
      <c r="CC1208" s="160"/>
      <c r="CD1208" s="160"/>
      <c r="CE1208" s="160"/>
      <c r="CF1208" s="160"/>
      <c r="CG1208" s="160"/>
      <c r="CH1208" s="160"/>
      <c r="CI1208" s="160"/>
      <c r="CJ1208" s="160"/>
      <c r="CK1208" s="160"/>
      <c r="CL1208" s="160"/>
    </row>
    <row r="1209">
      <c r="A1209" s="171"/>
      <c r="F1209" s="11"/>
      <c r="G1209" s="11"/>
      <c r="L1209" s="171"/>
      <c r="M1209" s="171"/>
      <c r="O1209" s="160"/>
      <c r="P1209" s="160"/>
      <c r="Q1209" s="160"/>
      <c r="R1209" s="160"/>
      <c r="S1209" s="160"/>
      <c r="T1209" s="207"/>
      <c r="U1209" s="160"/>
      <c r="V1209" s="160"/>
      <c r="W1209" s="160"/>
      <c r="X1209" s="160"/>
      <c r="Y1209" s="160"/>
      <c r="Z1209" s="160"/>
      <c r="AA1209" s="160"/>
      <c r="AB1209" s="160"/>
      <c r="AC1209" s="160"/>
      <c r="AD1209" s="160"/>
      <c r="AE1209" s="160"/>
      <c r="AF1209" s="160"/>
      <c r="AG1209" s="160"/>
      <c r="AH1209" s="160"/>
      <c r="AI1209" s="160"/>
      <c r="AJ1209" s="160"/>
      <c r="AK1209" s="160"/>
      <c r="AL1209" s="160"/>
      <c r="AM1209" s="160"/>
      <c r="AN1209" s="164"/>
      <c r="AO1209" s="160"/>
      <c r="AP1209" s="160"/>
      <c r="AQ1209" s="160"/>
      <c r="AR1209" s="160"/>
      <c r="AS1209" s="160"/>
      <c r="AT1209" s="160"/>
      <c r="AU1209" s="160"/>
      <c r="AV1209" s="160"/>
      <c r="AW1209" s="160"/>
      <c r="AX1209" s="160"/>
      <c r="AY1209" s="160"/>
      <c r="AZ1209" s="160"/>
      <c r="BA1209" s="160"/>
      <c r="BB1209" s="160"/>
      <c r="BC1209" s="160"/>
      <c r="BD1209" s="160"/>
      <c r="BE1209" s="160"/>
      <c r="BF1209" s="160"/>
      <c r="BG1209" s="160"/>
      <c r="BH1209" s="160"/>
      <c r="BI1209" s="160"/>
      <c r="BJ1209" s="160"/>
      <c r="BK1209" s="160"/>
      <c r="BL1209" s="160"/>
      <c r="BM1209" s="160"/>
      <c r="BN1209" s="160"/>
      <c r="BO1209" s="160"/>
      <c r="BP1209" s="160"/>
      <c r="BQ1209" s="160"/>
      <c r="BR1209" s="160"/>
      <c r="BS1209" s="160"/>
      <c r="BT1209" s="160"/>
      <c r="BU1209" s="160"/>
      <c r="BV1209" s="160"/>
      <c r="BW1209" s="160"/>
      <c r="BX1209" s="160"/>
      <c r="BY1209" s="160"/>
      <c r="BZ1209" s="160"/>
      <c r="CA1209" s="160"/>
      <c r="CB1209" s="160"/>
      <c r="CC1209" s="160"/>
      <c r="CD1209" s="160"/>
      <c r="CE1209" s="160"/>
      <c r="CF1209" s="160"/>
      <c r="CG1209" s="160"/>
      <c r="CH1209" s="160"/>
      <c r="CI1209" s="160"/>
      <c r="CJ1209" s="160"/>
      <c r="CK1209" s="160"/>
      <c r="CL1209" s="160"/>
    </row>
    <row r="1210">
      <c r="A1210" s="171"/>
      <c r="F1210" s="11"/>
      <c r="G1210" s="11"/>
      <c r="L1210" s="171"/>
      <c r="M1210" s="171"/>
      <c r="O1210" s="160"/>
      <c r="P1210" s="160"/>
      <c r="Q1210" s="160"/>
      <c r="R1210" s="160"/>
      <c r="S1210" s="160"/>
      <c r="T1210" s="207"/>
      <c r="U1210" s="160"/>
      <c r="V1210" s="160"/>
      <c r="W1210" s="160"/>
      <c r="X1210" s="160"/>
      <c r="Y1210" s="160"/>
      <c r="Z1210" s="160"/>
      <c r="AA1210" s="160"/>
      <c r="AB1210" s="160"/>
      <c r="AC1210" s="160"/>
      <c r="AD1210" s="160"/>
      <c r="AE1210" s="160"/>
      <c r="AF1210" s="160"/>
      <c r="AG1210" s="160"/>
      <c r="AH1210" s="160"/>
      <c r="AI1210" s="160"/>
      <c r="AJ1210" s="160"/>
      <c r="AK1210" s="160"/>
      <c r="AL1210" s="160"/>
      <c r="AM1210" s="160"/>
      <c r="AN1210" s="164"/>
      <c r="AO1210" s="160"/>
      <c r="AP1210" s="160"/>
      <c r="AQ1210" s="160"/>
      <c r="AR1210" s="160"/>
      <c r="AS1210" s="160"/>
      <c r="AT1210" s="160"/>
      <c r="AU1210" s="160"/>
      <c r="AV1210" s="160"/>
      <c r="AW1210" s="160"/>
      <c r="AX1210" s="160"/>
      <c r="AY1210" s="160"/>
      <c r="AZ1210" s="160"/>
      <c r="BA1210" s="160"/>
      <c r="BB1210" s="160"/>
      <c r="BC1210" s="160"/>
      <c r="BD1210" s="160"/>
      <c r="BE1210" s="160"/>
      <c r="BF1210" s="160"/>
      <c r="BG1210" s="160"/>
      <c r="BH1210" s="160"/>
      <c r="BI1210" s="160"/>
      <c r="BJ1210" s="160"/>
      <c r="BK1210" s="160"/>
      <c r="BL1210" s="160"/>
      <c r="BM1210" s="160"/>
      <c r="BN1210" s="160"/>
      <c r="BO1210" s="160"/>
      <c r="BP1210" s="160"/>
      <c r="BQ1210" s="160"/>
      <c r="BR1210" s="160"/>
      <c r="BS1210" s="160"/>
      <c r="BT1210" s="160"/>
      <c r="BU1210" s="160"/>
      <c r="BV1210" s="160"/>
      <c r="BW1210" s="160"/>
      <c r="BX1210" s="160"/>
      <c r="BY1210" s="160"/>
      <c r="BZ1210" s="160"/>
      <c r="CA1210" s="160"/>
      <c r="CB1210" s="160"/>
      <c r="CC1210" s="160"/>
      <c r="CD1210" s="160"/>
      <c r="CE1210" s="160"/>
      <c r="CF1210" s="160"/>
      <c r="CG1210" s="160"/>
      <c r="CH1210" s="160"/>
      <c r="CI1210" s="160"/>
      <c r="CJ1210" s="160"/>
      <c r="CK1210" s="160"/>
      <c r="CL1210" s="160"/>
    </row>
    <row r="1211">
      <c r="A1211" s="171"/>
      <c r="F1211" s="11"/>
      <c r="G1211" s="11"/>
      <c r="L1211" s="171"/>
      <c r="M1211" s="171"/>
      <c r="O1211" s="160"/>
      <c r="P1211" s="160"/>
      <c r="Q1211" s="160"/>
      <c r="R1211" s="160"/>
      <c r="S1211" s="160"/>
      <c r="T1211" s="207"/>
      <c r="U1211" s="160"/>
      <c r="V1211" s="160"/>
      <c r="W1211" s="160"/>
      <c r="X1211" s="160"/>
      <c r="Y1211" s="160"/>
      <c r="Z1211" s="160"/>
      <c r="AA1211" s="160"/>
      <c r="AB1211" s="160"/>
      <c r="AC1211" s="160"/>
      <c r="AD1211" s="160"/>
      <c r="AE1211" s="160"/>
      <c r="AF1211" s="160"/>
      <c r="AG1211" s="160"/>
      <c r="AH1211" s="160"/>
      <c r="AI1211" s="160"/>
      <c r="AJ1211" s="160"/>
      <c r="AK1211" s="160"/>
      <c r="AL1211" s="160"/>
      <c r="AM1211" s="160"/>
      <c r="AN1211" s="164"/>
      <c r="AO1211" s="160"/>
      <c r="AP1211" s="160"/>
      <c r="AQ1211" s="160"/>
      <c r="AR1211" s="160"/>
      <c r="AS1211" s="160"/>
      <c r="AT1211" s="160"/>
      <c r="AU1211" s="160"/>
      <c r="AV1211" s="160"/>
      <c r="AW1211" s="160"/>
      <c r="AX1211" s="160"/>
      <c r="AY1211" s="160"/>
      <c r="AZ1211" s="160"/>
      <c r="BA1211" s="160"/>
      <c r="BB1211" s="160"/>
      <c r="BC1211" s="160"/>
      <c r="BD1211" s="160"/>
      <c r="BE1211" s="160"/>
      <c r="BF1211" s="160"/>
      <c r="BG1211" s="160"/>
      <c r="BH1211" s="160"/>
      <c r="BI1211" s="160"/>
      <c r="BJ1211" s="160"/>
      <c r="BK1211" s="160"/>
      <c r="BL1211" s="160"/>
      <c r="BM1211" s="160"/>
      <c r="BN1211" s="160"/>
      <c r="BO1211" s="160"/>
      <c r="BP1211" s="160"/>
      <c r="BQ1211" s="160"/>
      <c r="BR1211" s="160"/>
      <c r="BS1211" s="160"/>
      <c r="BT1211" s="160"/>
      <c r="BU1211" s="160"/>
      <c r="BV1211" s="160"/>
      <c r="BW1211" s="160"/>
      <c r="BX1211" s="160"/>
      <c r="BY1211" s="160"/>
      <c r="BZ1211" s="160"/>
      <c r="CA1211" s="160"/>
      <c r="CB1211" s="160"/>
      <c r="CC1211" s="160"/>
      <c r="CD1211" s="160"/>
      <c r="CE1211" s="160"/>
      <c r="CF1211" s="160"/>
      <c r="CG1211" s="160"/>
      <c r="CH1211" s="160"/>
      <c r="CI1211" s="160"/>
      <c r="CJ1211" s="160"/>
      <c r="CK1211" s="160"/>
      <c r="CL1211" s="160"/>
    </row>
    <row r="1212">
      <c r="A1212" s="171"/>
      <c r="F1212" s="11"/>
      <c r="G1212" s="11"/>
      <c r="L1212" s="171"/>
      <c r="M1212" s="171"/>
      <c r="O1212" s="160"/>
      <c r="P1212" s="160"/>
      <c r="Q1212" s="160"/>
      <c r="R1212" s="160"/>
      <c r="S1212" s="160"/>
      <c r="T1212" s="207"/>
      <c r="U1212" s="160"/>
      <c r="V1212" s="160"/>
      <c r="W1212" s="160"/>
      <c r="X1212" s="160"/>
      <c r="Y1212" s="160"/>
      <c r="Z1212" s="160"/>
      <c r="AA1212" s="160"/>
      <c r="AB1212" s="160"/>
      <c r="AC1212" s="160"/>
      <c r="AD1212" s="160"/>
      <c r="AE1212" s="160"/>
      <c r="AF1212" s="160"/>
      <c r="AG1212" s="160"/>
      <c r="AH1212" s="160"/>
      <c r="AI1212" s="160"/>
      <c r="AJ1212" s="160"/>
      <c r="AK1212" s="160"/>
      <c r="AL1212" s="160"/>
      <c r="AM1212" s="160"/>
      <c r="AN1212" s="164"/>
      <c r="AO1212" s="160"/>
      <c r="AP1212" s="160"/>
      <c r="AQ1212" s="160"/>
      <c r="AR1212" s="160"/>
      <c r="AS1212" s="160"/>
      <c r="AT1212" s="160"/>
      <c r="AU1212" s="160"/>
      <c r="AV1212" s="160"/>
      <c r="AW1212" s="160"/>
      <c r="AX1212" s="160"/>
      <c r="AY1212" s="160"/>
      <c r="AZ1212" s="160"/>
      <c r="BA1212" s="160"/>
      <c r="BB1212" s="160"/>
      <c r="BC1212" s="160"/>
      <c r="BD1212" s="160"/>
      <c r="BE1212" s="160"/>
      <c r="BF1212" s="160"/>
      <c r="BG1212" s="160"/>
      <c r="BH1212" s="160"/>
      <c r="BI1212" s="160"/>
      <c r="BJ1212" s="160"/>
      <c r="BK1212" s="160"/>
      <c r="BL1212" s="160"/>
      <c r="BM1212" s="160"/>
      <c r="BN1212" s="160"/>
      <c r="BO1212" s="160"/>
      <c r="BP1212" s="160"/>
      <c r="BQ1212" s="160"/>
      <c r="BR1212" s="160"/>
      <c r="BS1212" s="160"/>
      <c r="BT1212" s="160"/>
      <c r="BU1212" s="160"/>
      <c r="BV1212" s="160"/>
      <c r="BW1212" s="160"/>
      <c r="BX1212" s="160"/>
      <c r="BY1212" s="160"/>
      <c r="BZ1212" s="160"/>
      <c r="CA1212" s="160"/>
      <c r="CB1212" s="160"/>
      <c r="CC1212" s="160"/>
      <c r="CD1212" s="160"/>
      <c r="CE1212" s="160"/>
      <c r="CF1212" s="160"/>
      <c r="CG1212" s="160"/>
      <c r="CH1212" s="160"/>
      <c r="CI1212" s="160"/>
      <c r="CJ1212" s="160"/>
      <c r="CK1212" s="160"/>
      <c r="CL1212" s="160"/>
    </row>
    <row r="1213">
      <c r="A1213" s="171"/>
      <c r="F1213" s="11"/>
      <c r="G1213" s="11"/>
      <c r="L1213" s="171"/>
      <c r="M1213" s="171"/>
      <c r="O1213" s="160"/>
      <c r="P1213" s="160"/>
      <c r="Q1213" s="160"/>
      <c r="R1213" s="160"/>
      <c r="S1213" s="160"/>
      <c r="T1213" s="207"/>
      <c r="U1213" s="160"/>
      <c r="V1213" s="160"/>
      <c r="W1213" s="160"/>
      <c r="X1213" s="160"/>
      <c r="Y1213" s="160"/>
      <c r="Z1213" s="160"/>
      <c r="AA1213" s="160"/>
      <c r="AB1213" s="160"/>
      <c r="AC1213" s="160"/>
      <c r="AD1213" s="160"/>
      <c r="AE1213" s="160"/>
      <c r="AF1213" s="160"/>
      <c r="AG1213" s="160"/>
      <c r="AH1213" s="160"/>
      <c r="AI1213" s="160"/>
      <c r="AJ1213" s="160"/>
      <c r="AK1213" s="160"/>
      <c r="AL1213" s="160"/>
      <c r="AM1213" s="160"/>
      <c r="AN1213" s="164"/>
      <c r="AO1213" s="160"/>
      <c r="AP1213" s="160"/>
      <c r="AQ1213" s="160"/>
      <c r="AR1213" s="160"/>
      <c r="AS1213" s="160"/>
      <c r="AT1213" s="160"/>
      <c r="AU1213" s="160"/>
      <c r="AV1213" s="160"/>
      <c r="AW1213" s="160"/>
      <c r="AX1213" s="160"/>
      <c r="AY1213" s="160"/>
      <c r="AZ1213" s="160"/>
      <c r="BA1213" s="160"/>
      <c r="BB1213" s="160"/>
      <c r="BC1213" s="160"/>
      <c r="BD1213" s="160"/>
      <c r="BE1213" s="160"/>
      <c r="BF1213" s="160"/>
      <c r="BG1213" s="160"/>
      <c r="BH1213" s="160"/>
      <c r="BI1213" s="160"/>
      <c r="BJ1213" s="160"/>
      <c r="BK1213" s="160"/>
      <c r="BL1213" s="160"/>
      <c r="BM1213" s="160"/>
      <c r="BN1213" s="160"/>
      <c r="BO1213" s="160"/>
      <c r="BP1213" s="160"/>
      <c r="BQ1213" s="160"/>
      <c r="BR1213" s="160"/>
      <c r="BS1213" s="160"/>
      <c r="BT1213" s="160"/>
      <c r="BU1213" s="160"/>
      <c r="BV1213" s="160"/>
      <c r="BW1213" s="160"/>
      <c r="BX1213" s="160"/>
      <c r="BY1213" s="160"/>
      <c r="BZ1213" s="160"/>
      <c r="CA1213" s="160"/>
      <c r="CB1213" s="160"/>
      <c r="CC1213" s="160"/>
      <c r="CD1213" s="160"/>
      <c r="CE1213" s="160"/>
      <c r="CF1213" s="160"/>
      <c r="CG1213" s="160"/>
      <c r="CH1213" s="160"/>
      <c r="CI1213" s="160"/>
      <c r="CJ1213" s="160"/>
      <c r="CK1213" s="160"/>
      <c r="CL1213" s="160"/>
    </row>
    <row r="1214">
      <c r="A1214" s="171"/>
      <c r="F1214" s="11"/>
      <c r="G1214" s="11"/>
      <c r="L1214" s="171"/>
      <c r="M1214" s="171"/>
      <c r="O1214" s="160"/>
      <c r="P1214" s="160"/>
      <c r="Q1214" s="160"/>
      <c r="R1214" s="160"/>
      <c r="S1214" s="160"/>
      <c r="T1214" s="207"/>
      <c r="U1214" s="160"/>
      <c r="V1214" s="160"/>
      <c r="W1214" s="160"/>
      <c r="X1214" s="160"/>
      <c r="Y1214" s="160"/>
      <c r="Z1214" s="160"/>
      <c r="AA1214" s="160"/>
      <c r="AB1214" s="160"/>
      <c r="AC1214" s="160"/>
      <c r="AD1214" s="160"/>
      <c r="AE1214" s="160"/>
      <c r="AF1214" s="160"/>
      <c r="AG1214" s="160"/>
      <c r="AH1214" s="160"/>
      <c r="AI1214" s="160"/>
      <c r="AJ1214" s="160"/>
      <c r="AK1214" s="160"/>
      <c r="AL1214" s="160"/>
      <c r="AM1214" s="160"/>
      <c r="AN1214" s="164"/>
      <c r="AO1214" s="160"/>
      <c r="AP1214" s="160"/>
      <c r="AQ1214" s="160"/>
      <c r="AR1214" s="160"/>
      <c r="AS1214" s="160"/>
      <c r="AT1214" s="160"/>
      <c r="AU1214" s="160"/>
      <c r="AV1214" s="160"/>
      <c r="AW1214" s="160"/>
      <c r="AX1214" s="160"/>
      <c r="AY1214" s="160"/>
      <c r="AZ1214" s="160"/>
      <c r="BA1214" s="160"/>
      <c r="BB1214" s="160"/>
      <c r="BC1214" s="160"/>
      <c r="BD1214" s="160"/>
      <c r="BE1214" s="160"/>
      <c r="BF1214" s="160"/>
      <c r="BG1214" s="160"/>
      <c r="BH1214" s="160"/>
      <c r="BI1214" s="160"/>
      <c r="BJ1214" s="160"/>
      <c r="BK1214" s="160"/>
      <c r="BL1214" s="160"/>
      <c r="BM1214" s="160"/>
      <c r="BN1214" s="160"/>
      <c r="BO1214" s="160"/>
      <c r="BP1214" s="160"/>
      <c r="BQ1214" s="160"/>
      <c r="BR1214" s="160"/>
      <c r="BS1214" s="160"/>
      <c r="BT1214" s="160"/>
      <c r="BU1214" s="160"/>
      <c r="BV1214" s="160"/>
      <c r="BW1214" s="160"/>
      <c r="BX1214" s="160"/>
      <c r="BY1214" s="160"/>
      <c r="BZ1214" s="160"/>
      <c r="CA1214" s="160"/>
      <c r="CB1214" s="160"/>
      <c r="CC1214" s="160"/>
      <c r="CD1214" s="160"/>
      <c r="CE1214" s="160"/>
      <c r="CF1214" s="160"/>
      <c r="CG1214" s="160"/>
      <c r="CH1214" s="160"/>
      <c r="CI1214" s="160"/>
      <c r="CJ1214" s="160"/>
      <c r="CK1214" s="160"/>
      <c r="CL1214" s="160"/>
    </row>
    <row r="1215">
      <c r="A1215" s="171"/>
      <c r="F1215" s="11"/>
      <c r="G1215" s="11"/>
      <c r="L1215" s="171"/>
      <c r="M1215" s="171"/>
      <c r="O1215" s="160"/>
      <c r="P1215" s="160"/>
      <c r="Q1215" s="160"/>
      <c r="R1215" s="160"/>
      <c r="S1215" s="160"/>
      <c r="T1215" s="207"/>
      <c r="U1215" s="160"/>
      <c r="V1215" s="160"/>
      <c r="W1215" s="160"/>
      <c r="X1215" s="160"/>
      <c r="Y1215" s="160"/>
      <c r="Z1215" s="160"/>
      <c r="AA1215" s="160"/>
      <c r="AB1215" s="160"/>
      <c r="AC1215" s="160"/>
      <c r="AD1215" s="160"/>
      <c r="AE1215" s="160"/>
      <c r="AF1215" s="160"/>
      <c r="AG1215" s="160"/>
      <c r="AH1215" s="160"/>
      <c r="AI1215" s="160"/>
      <c r="AJ1215" s="160"/>
      <c r="AK1215" s="160"/>
      <c r="AL1215" s="160"/>
      <c r="AM1215" s="160"/>
      <c r="AN1215" s="164"/>
      <c r="AO1215" s="160"/>
      <c r="AP1215" s="160"/>
      <c r="AQ1215" s="160"/>
      <c r="AR1215" s="160"/>
      <c r="AS1215" s="160"/>
      <c r="AT1215" s="160"/>
      <c r="AU1215" s="160"/>
      <c r="AV1215" s="160"/>
      <c r="AW1215" s="160"/>
      <c r="AX1215" s="160"/>
      <c r="AY1215" s="160"/>
      <c r="AZ1215" s="160"/>
      <c r="BA1215" s="160"/>
      <c r="BB1215" s="160"/>
      <c r="BC1215" s="160"/>
      <c r="BD1215" s="160"/>
      <c r="BE1215" s="160"/>
      <c r="BF1215" s="160"/>
      <c r="BG1215" s="160"/>
      <c r="BH1215" s="160"/>
      <c r="BI1215" s="160"/>
      <c r="BJ1215" s="160"/>
      <c r="BK1215" s="160"/>
      <c r="BL1215" s="160"/>
      <c r="BM1215" s="160"/>
      <c r="BN1215" s="160"/>
      <c r="BO1215" s="160"/>
      <c r="BP1215" s="160"/>
      <c r="BQ1215" s="160"/>
      <c r="BR1215" s="160"/>
      <c r="BS1215" s="160"/>
      <c r="BT1215" s="160"/>
      <c r="BU1215" s="160"/>
      <c r="BV1215" s="160"/>
      <c r="BW1215" s="160"/>
      <c r="BX1215" s="160"/>
      <c r="BY1215" s="160"/>
      <c r="BZ1215" s="160"/>
      <c r="CA1215" s="160"/>
      <c r="CB1215" s="160"/>
      <c r="CC1215" s="160"/>
      <c r="CD1215" s="160"/>
      <c r="CE1215" s="160"/>
      <c r="CF1215" s="160"/>
      <c r="CG1215" s="160"/>
      <c r="CH1215" s="160"/>
      <c r="CI1215" s="160"/>
      <c r="CJ1215" s="160"/>
      <c r="CK1215" s="160"/>
      <c r="CL1215" s="160"/>
    </row>
    <row r="1216">
      <c r="A1216" s="171"/>
      <c r="F1216" s="11"/>
      <c r="G1216" s="11"/>
      <c r="L1216" s="171"/>
      <c r="M1216" s="171"/>
      <c r="O1216" s="160"/>
      <c r="P1216" s="160"/>
      <c r="Q1216" s="160"/>
      <c r="R1216" s="160"/>
      <c r="S1216" s="160"/>
      <c r="T1216" s="207"/>
      <c r="U1216" s="160"/>
      <c r="V1216" s="160"/>
      <c r="W1216" s="160"/>
      <c r="X1216" s="160"/>
      <c r="Y1216" s="160"/>
      <c r="Z1216" s="160"/>
      <c r="AA1216" s="160"/>
      <c r="AB1216" s="160"/>
      <c r="AC1216" s="160"/>
      <c r="AD1216" s="160"/>
      <c r="AE1216" s="160"/>
      <c r="AF1216" s="160"/>
      <c r="AG1216" s="160"/>
      <c r="AH1216" s="160"/>
      <c r="AI1216" s="160"/>
      <c r="AJ1216" s="160"/>
      <c r="AK1216" s="160"/>
      <c r="AL1216" s="160"/>
      <c r="AM1216" s="160"/>
      <c r="AN1216" s="164"/>
      <c r="AO1216" s="160"/>
      <c r="AP1216" s="160"/>
      <c r="AQ1216" s="160"/>
      <c r="AR1216" s="160"/>
      <c r="AS1216" s="160"/>
      <c r="AT1216" s="160"/>
      <c r="AU1216" s="160"/>
      <c r="AV1216" s="160"/>
      <c r="AW1216" s="160"/>
      <c r="AX1216" s="160"/>
      <c r="AY1216" s="160"/>
      <c r="AZ1216" s="160"/>
      <c r="BA1216" s="160"/>
      <c r="BB1216" s="160"/>
      <c r="BC1216" s="160"/>
      <c r="BD1216" s="160"/>
      <c r="BE1216" s="160"/>
      <c r="BF1216" s="160"/>
      <c r="BG1216" s="160"/>
      <c r="BH1216" s="160"/>
      <c r="BI1216" s="160"/>
      <c r="BJ1216" s="160"/>
      <c r="BK1216" s="160"/>
      <c r="BL1216" s="160"/>
      <c r="BM1216" s="160"/>
      <c r="BN1216" s="160"/>
      <c r="BO1216" s="160"/>
      <c r="BP1216" s="160"/>
      <c r="BQ1216" s="160"/>
      <c r="BR1216" s="160"/>
      <c r="BS1216" s="160"/>
      <c r="BT1216" s="160"/>
      <c r="BU1216" s="160"/>
      <c r="BV1216" s="160"/>
      <c r="BW1216" s="160"/>
      <c r="BX1216" s="160"/>
      <c r="BY1216" s="160"/>
      <c r="BZ1216" s="160"/>
      <c r="CA1216" s="160"/>
      <c r="CB1216" s="160"/>
      <c r="CC1216" s="160"/>
      <c r="CD1216" s="160"/>
      <c r="CE1216" s="160"/>
      <c r="CF1216" s="160"/>
      <c r="CG1216" s="160"/>
      <c r="CH1216" s="160"/>
      <c r="CI1216" s="160"/>
      <c r="CJ1216" s="160"/>
      <c r="CK1216" s="160"/>
      <c r="CL1216" s="160"/>
    </row>
    <row r="1217">
      <c r="A1217" s="171"/>
      <c r="F1217" s="11"/>
      <c r="G1217" s="11"/>
      <c r="L1217" s="171"/>
      <c r="M1217" s="171"/>
      <c r="O1217" s="160"/>
      <c r="P1217" s="160"/>
      <c r="Q1217" s="160"/>
      <c r="R1217" s="160"/>
      <c r="S1217" s="160"/>
      <c r="T1217" s="207"/>
      <c r="U1217" s="160"/>
      <c r="V1217" s="160"/>
      <c r="W1217" s="160"/>
      <c r="X1217" s="160"/>
      <c r="Y1217" s="160"/>
      <c r="Z1217" s="160"/>
      <c r="AA1217" s="160"/>
      <c r="AB1217" s="160"/>
      <c r="AC1217" s="160"/>
      <c r="AD1217" s="160"/>
      <c r="AE1217" s="160"/>
      <c r="AF1217" s="160"/>
      <c r="AG1217" s="160"/>
      <c r="AH1217" s="160"/>
      <c r="AI1217" s="160"/>
      <c r="AJ1217" s="160"/>
      <c r="AK1217" s="160"/>
      <c r="AL1217" s="160"/>
      <c r="AM1217" s="160"/>
      <c r="AN1217" s="164"/>
      <c r="AO1217" s="160"/>
      <c r="AP1217" s="160"/>
      <c r="AQ1217" s="160"/>
      <c r="AR1217" s="160"/>
      <c r="AS1217" s="160"/>
      <c r="AT1217" s="160"/>
      <c r="AU1217" s="160"/>
      <c r="AV1217" s="160"/>
      <c r="AW1217" s="160"/>
      <c r="AX1217" s="160"/>
      <c r="AY1217" s="160"/>
      <c r="AZ1217" s="160"/>
      <c r="BA1217" s="160"/>
      <c r="BB1217" s="160"/>
      <c r="BC1217" s="160"/>
      <c r="BD1217" s="160"/>
      <c r="BE1217" s="160"/>
      <c r="BF1217" s="160"/>
      <c r="BG1217" s="160"/>
      <c r="BH1217" s="160"/>
      <c r="BI1217" s="160"/>
      <c r="BJ1217" s="160"/>
      <c r="BK1217" s="160"/>
      <c r="BL1217" s="160"/>
      <c r="BM1217" s="160"/>
      <c r="BN1217" s="160"/>
      <c r="BO1217" s="160"/>
      <c r="BP1217" s="160"/>
      <c r="BQ1217" s="160"/>
      <c r="BR1217" s="160"/>
      <c r="BS1217" s="160"/>
      <c r="BT1217" s="160"/>
      <c r="BU1217" s="160"/>
      <c r="BV1217" s="160"/>
      <c r="BW1217" s="160"/>
      <c r="BX1217" s="160"/>
      <c r="BY1217" s="160"/>
      <c r="BZ1217" s="160"/>
      <c r="CA1217" s="160"/>
      <c r="CB1217" s="160"/>
      <c r="CC1217" s="160"/>
      <c r="CD1217" s="160"/>
      <c r="CE1217" s="160"/>
      <c r="CF1217" s="160"/>
      <c r="CG1217" s="160"/>
      <c r="CH1217" s="160"/>
      <c r="CI1217" s="160"/>
      <c r="CJ1217" s="160"/>
      <c r="CK1217" s="160"/>
      <c r="CL1217" s="160"/>
    </row>
    <row r="1218">
      <c r="A1218" s="171"/>
      <c r="F1218" s="11"/>
      <c r="G1218" s="11"/>
      <c r="L1218" s="171"/>
      <c r="M1218" s="171"/>
      <c r="O1218" s="160"/>
      <c r="P1218" s="160"/>
      <c r="Q1218" s="160"/>
      <c r="R1218" s="160"/>
      <c r="S1218" s="160"/>
      <c r="T1218" s="207"/>
      <c r="U1218" s="160"/>
      <c r="V1218" s="160"/>
      <c r="W1218" s="160"/>
      <c r="X1218" s="160"/>
      <c r="Y1218" s="160"/>
      <c r="Z1218" s="160"/>
      <c r="AA1218" s="160"/>
      <c r="AB1218" s="160"/>
      <c r="AC1218" s="160"/>
      <c r="AD1218" s="160"/>
      <c r="AE1218" s="160"/>
      <c r="AF1218" s="160"/>
      <c r="AG1218" s="160"/>
      <c r="AH1218" s="160"/>
      <c r="AI1218" s="160"/>
      <c r="AJ1218" s="160"/>
      <c r="AK1218" s="160"/>
      <c r="AL1218" s="160"/>
      <c r="AM1218" s="160"/>
      <c r="AN1218" s="164"/>
      <c r="AO1218" s="160"/>
      <c r="AP1218" s="160"/>
      <c r="AQ1218" s="160"/>
      <c r="AR1218" s="160"/>
      <c r="AS1218" s="160"/>
      <c r="AT1218" s="160"/>
      <c r="AU1218" s="160"/>
      <c r="AV1218" s="160"/>
      <c r="AW1218" s="160"/>
      <c r="AX1218" s="160"/>
      <c r="AY1218" s="160"/>
      <c r="AZ1218" s="160"/>
      <c r="BA1218" s="160"/>
      <c r="BB1218" s="160"/>
      <c r="BC1218" s="160"/>
      <c r="BD1218" s="160"/>
      <c r="BE1218" s="160"/>
      <c r="BF1218" s="160"/>
      <c r="BG1218" s="160"/>
      <c r="BH1218" s="160"/>
      <c r="BI1218" s="160"/>
      <c r="BJ1218" s="160"/>
      <c r="BK1218" s="160"/>
      <c r="BL1218" s="160"/>
      <c r="BM1218" s="160"/>
      <c r="BN1218" s="160"/>
      <c r="BO1218" s="160"/>
      <c r="BP1218" s="160"/>
      <c r="BQ1218" s="160"/>
      <c r="BR1218" s="160"/>
      <c r="BS1218" s="160"/>
      <c r="BT1218" s="160"/>
      <c r="BU1218" s="160"/>
      <c r="BV1218" s="160"/>
      <c r="BW1218" s="160"/>
      <c r="BX1218" s="160"/>
      <c r="BY1218" s="160"/>
      <c r="BZ1218" s="160"/>
      <c r="CA1218" s="160"/>
      <c r="CB1218" s="160"/>
      <c r="CC1218" s="160"/>
      <c r="CD1218" s="160"/>
      <c r="CE1218" s="160"/>
      <c r="CF1218" s="160"/>
      <c r="CG1218" s="160"/>
      <c r="CH1218" s="160"/>
      <c r="CI1218" s="160"/>
      <c r="CJ1218" s="160"/>
      <c r="CK1218" s="160"/>
      <c r="CL1218" s="160"/>
    </row>
    <row r="1219">
      <c r="A1219" s="171"/>
      <c r="F1219" s="11"/>
      <c r="G1219" s="11"/>
      <c r="L1219" s="171"/>
      <c r="M1219" s="171"/>
      <c r="O1219" s="160"/>
      <c r="P1219" s="160"/>
      <c r="Q1219" s="160"/>
      <c r="R1219" s="160"/>
      <c r="S1219" s="160"/>
      <c r="T1219" s="207"/>
      <c r="U1219" s="160"/>
      <c r="V1219" s="160"/>
      <c r="W1219" s="160"/>
      <c r="X1219" s="160"/>
      <c r="Y1219" s="160"/>
      <c r="Z1219" s="160"/>
      <c r="AA1219" s="160"/>
      <c r="AB1219" s="160"/>
      <c r="AC1219" s="160"/>
      <c r="AD1219" s="160"/>
      <c r="AE1219" s="160"/>
      <c r="AF1219" s="160"/>
      <c r="AG1219" s="160"/>
      <c r="AH1219" s="160"/>
      <c r="AI1219" s="160"/>
      <c r="AJ1219" s="160"/>
      <c r="AK1219" s="160"/>
      <c r="AL1219" s="160"/>
      <c r="AM1219" s="160"/>
      <c r="AN1219" s="164"/>
      <c r="AO1219" s="160"/>
      <c r="AP1219" s="160"/>
      <c r="AQ1219" s="160"/>
      <c r="AR1219" s="160"/>
      <c r="AS1219" s="160"/>
      <c r="AT1219" s="160"/>
      <c r="AU1219" s="160"/>
      <c r="AV1219" s="160"/>
      <c r="AW1219" s="160"/>
      <c r="AX1219" s="160"/>
      <c r="AY1219" s="160"/>
      <c r="AZ1219" s="160"/>
      <c r="BA1219" s="160"/>
      <c r="BB1219" s="160"/>
      <c r="BC1219" s="160"/>
      <c r="BD1219" s="160"/>
      <c r="BE1219" s="160"/>
      <c r="BF1219" s="160"/>
      <c r="BG1219" s="160"/>
      <c r="BH1219" s="160"/>
      <c r="BI1219" s="160"/>
      <c r="BJ1219" s="160"/>
      <c r="BK1219" s="160"/>
      <c r="BL1219" s="160"/>
      <c r="BM1219" s="160"/>
      <c r="BN1219" s="160"/>
      <c r="BO1219" s="160"/>
      <c r="BP1219" s="160"/>
      <c r="BQ1219" s="160"/>
      <c r="BR1219" s="160"/>
      <c r="BS1219" s="160"/>
      <c r="BT1219" s="160"/>
      <c r="BU1219" s="160"/>
      <c r="BV1219" s="160"/>
      <c r="BW1219" s="160"/>
      <c r="BX1219" s="160"/>
      <c r="BY1219" s="160"/>
      <c r="BZ1219" s="160"/>
      <c r="CA1219" s="160"/>
      <c r="CB1219" s="160"/>
      <c r="CC1219" s="160"/>
      <c r="CD1219" s="160"/>
      <c r="CE1219" s="160"/>
      <c r="CF1219" s="160"/>
      <c r="CG1219" s="160"/>
      <c r="CH1219" s="160"/>
      <c r="CI1219" s="160"/>
      <c r="CJ1219" s="160"/>
      <c r="CK1219" s="160"/>
      <c r="CL1219" s="160"/>
    </row>
    <row r="1220">
      <c r="A1220" s="171"/>
      <c r="F1220" s="11"/>
      <c r="G1220" s="11"/>
      <c r="L1220" s="171"/>
      <c r="M1220" s="171"/>
      <c r="O1220" s="160"/>
      <c r="P1220" s="160"/>
      <c r="Q1220" s="160"/>
      <c r="R1220" s="160"/>
      <c r="S1220" s="160"/>
      <c r="T1220" s="207"/>
      <c r="U1220" s="160"/>
      <c r="V1220" s="160"/>
      <c r="W1220" s="160"/>
      <c r="X1220" s="160"/>
      <c r="Y1220" s="160"/>
      <c r="Z1220" s="160"/>
      <c r="AA1220" s="160"/>
      <c r="AB1220" s="160"/>
      <c r="AC1220" s="160"/>
      <c r="AD1220" s="160"/>
      <c r="AE1220" s="160"/>
      <c r="AF1220" s="160"/>
      <c r="AG1220" s="160"/>
      <c r="AH1220" s="160"/>
      <c r="AI1220" s="160"/>
      <c r="AJ1220" s="160"/>
      <c r="AK1220" s="160"/>
      <c r="AL1220" s="160"/>
      <c r="AM1220" s="160"/>
      <c r="AN1220" s="164"/>
      <c r="AO1220" s="160"/>
      <c r="AP1220" s="160"/>
      <c r="AQ1220" s="160"/>
      <c r="AR1220" s="160"/>
      <c r="AS1220" s="160"/>
      <c r="AT1220" s="160"/>
      <c r="AU1220" s="160"/>
      <c r="AV1220" s="160"/>
      <c r="AW1220" s="160"/>
      <c r="AX1220" s="160"/>
      <c r="AY1220" s="160"/>
      <c r="AZ1220" s="160"/>
      <c r="BA1220" s="160"/>
      <c r="BB1220" s="160"/>
      <c r="BC1220" s="160"/>
      <c r="BD1220" s="160"/>
      <c r="BE1220" s="160"/>
      <c r="BF1220" s="160"/>
      <c r="BG1220" s="160"/>
      <c r="BH1220" s="160"/>
      <c r="BI1220" s="160"/>
      <c r="BJ1220" s="160"/>
      <c r="BK1220" s="160"/>
      <c r="BL1220" s="160"/>
      <c r="BM1220" s="160"/>
      <c r="BN1220" s="160"/>
      <c r="BO1220" s="160"/>
      <c r="BP1220" s="160"/>
      <c r="BQ1220" s="160"/>
      <c r="BR1220" s="160"/>
      <c r="BS1220" s="160"/>
      <c r="BT1220" s="160"/>
      <c r="BU1220" s="160"/>
      <c r="BV1220" s="160"/>
      <c r="BW1220" s="160"/>
      <c r="BX1220" s="160"/>
      <c r="BY1220" s="160"/>
      <c r="BZ1220" s="160"/>
      <c r="CA1220" s="160"/>
      <c r="CB1220" s="160"/>
      <c r="CC1220" s="160"/>
      <c r="CD1220" s="160"/>
      <c r="CE1220" s="160"/>
      <c r="CF1220" s="160"/>
      <c r="CG1220" s="160"/>
      <c r="CH1220" s="160"/>
      <c r="CI1220" s="160"/>
      <c r="CJ1220" s="160"/>
      <c r="CK1220" s="160"/>
      <c r="CL1220" s="160"/>
    </row>
    <row r="1221">
      <c r="A1221" s="171"/>
      <c r="F1221" s="11"/>
      <c r="G1221" s="11"/>
      <c r="L1221" s="171"/>
      <c r="M1221" s="171"/>
      <c r="O1221" s="160"/>
      <c r="P1221" s="160"/>
      <c r="Q1221" s="160"/>
      <c r="R1221" s="160"/>
      <c r="S1221" s="160"/>
      <c r="T1221" s="207"/>
      <c r="U1221" s="160"/>
      <c r="V1221" s="160"/>
      <c r="W1221" s="160"/>
      <c r="X1221" s="160"/>
      <c r="Y1221" s="160"/>
      <c r="Z1221" s="160"/>
      <c r="AA1221" s="160"/>
      <c r="AB1221" s="160"/>
      <c r="AC1221" s="160"/>
      <c r="AD1221" s="160"/>
      <c r="AE1221" s="160"/>
      <c r="AF1221" s="160"/>
      <c r="AG1221" s="160"/>
      <c r="AH1221" s="160"/>
      <c r="AI1221" s="160"/>
      <c r="AJ1221" s="160"/>
      <c r="AK1221" s="160"/>
      <c r="AL1221" s="160"/>
      <c r="AM1221" s="160"/>
      <c r="AN1221" s="164"/>
      <c r="AO1221" s="160"/>
      <c r="AP1221" s="160"/>
      <c r="AQ1221" s="160"/>
      <c r="AR1221" s="160"/>
      <c r="AS1221" s="160"/>
      <c r="AT1221" s="160"/>
      <c r="AU1221" s="160"/>
      <c r="AV1221" s="160"/>
      <c r="AW1221" s="160"/>
      <c r="AX1221" s="160"/>
      <c r="AY1221" s="160"/>
      <c r="AZ1221" s="160"/>
      <c r="BA1221" s="160"/>
      <c r="BB1221" s="160"/>
      <c r="BC1221" s="160"/>
      <c r="BD1221" s="160"/>
      <c r="BE1221" s="160"/>
      <c r="BF1221" s="160"/>
      <c r="BG1221" s="160"/>
      <c r="BH1221" s="160"/>
      <c r="BI1221" s="160"/>
      <c r="BJ1221" s="160"/>
      <c r="BK1221" s="160"/>
      <c r="BL1221" s="160"/>
      <c r="BM1221" s="160"/>
      <c r="BN1221" s="160"/>
      <c r="BO1221" s="160"/>
      <c r="BP1221" s="160"/>
      <c r="BQ1221" s="160"/>
      <c r="BR1221" s="160"/>
      <c r="BS1221" s="160"/>
      <c r="BT1221" s="160"/>
      <c r="BU1221" s="160"/>
      <c r="BV1221" s="160"/>
      <c r="BW1221" s="160"/>
      <c r="BX1221" s="160"/>
      <c r="BY1221" s="160"/>
      <c r="BZ1221" s="160"/>
      <c r="CA1221" s="160"/>
      <c r="CB1221" s="160"/>
      <c r="CC1221" s="160"/>
      <c r="CD1221" s="160"/>
      <c r="CE1221" s="160"/>
      <c r="CF1221" s="160"/>
      <c r="CG1221" s="160"/>
      <c r="CH1221" s="160"/>
      <c r="CI1221" s="160"/>
      <c r="CJ1221" s="160"/>
      <c r="CK1221" s="160"/>
      <c r="CL1221" s="160"/>
    </row>
    <row r="1222">
      <c r="A1222" s="171"/>
      <c r="F1222" s="11"/>
      <c r="G1222" s="11"/>
      <c r="L1222" s="171"/>
      <c r="M1222" s="171"/>
      <c r="O1222" s="160"/>
      <c r="P1222" s="160"/>
      <c r="Q1222" s="160"/>
      <c r="R1222" s="160"/>
      <c r="S1222" s="160"/>
      <c r="T1222" s="207"/>
      <c r="U1222" s="160"/>
      <c r="V1222" s="160"/>
      <c r="W1222" s="160"/>
      <c r="X1222" s="160"/>
      <c r="Y1222" s="160"/>
      <c r="Z1222" s="160"/>
      <c r="AA1222" s="160"/>
      <c r="AB1222" s="160"/>
      <c r="AC1222" s="160"/>
      <c r="AD1222" s="160"/>
      <c r="AE1222" s="160"/>
      <c r="AF1222" s="160"/>
      <c r="AG1222" s="160"/>
      <c r="AH1222" s="160"/>
      <c r="AI1222" s="160"/>
      <c r="AJ1222" s="160"/>
      <c r="AK1222" s="160"/>
      <c r="AL1222" s="160"/>
      <c r="AM1222" s="160"/>
      <c r="AN1222" s="164"/>
      <c r="AO1222" s="160"/>
      <c r="AP1222" s="160"/>
      <c r="AQ1222" s="160"/>
      <c r="AR1222" s="160"/>
      <c r="AS1222" s="160"/>
      <c r="AT1222" s="160"/>
      <c r="AU1222" s="160"/>
      <c r="AV1222" s="160"/>
      <c r="AW1222" s="160"/>
      <c r="AX1222" s="160"/>
      <c r="AY1222" s="160"/>
      <c r="AZ1222" s="160"/>
      <c r="BA1222" s="160"/>
      <c r="BB1222" s="160"/>
      <c r="BC1222" s="160"/>
      <c r="BD1222" s="160"/>
      <c r="BE1222" s="160"/>
      <c r="BF1222" s="160"/>
      <c r="BG1222" s="160"/>
      <c r="BH1222" s="160"/>
      <c r="BI1222" s="160"/>
      <c r="BJ1222" s="160"/>
      <c r="BK1222" s="160"/>
      <c r="BL1222" s="160"/>
      <c r="BM1222" s="160"/>
      <c r="BN1222" s="160"/>
      <c r="BO1222" s="160"/>
      <c r="BP1222" s="160"/>
      <c r="BQ1222" s="160"/>
      <c r="BR1222" s="160"/>
      <c r="BS1222" s="160"/>
      <c r="BT1222" s="160"/>
      <c r="BU1222" s="160"/>
      <c r="BV1222" s="160"/>
      <c r="BW1222" s="160"/>
      <c r="BX1222" s="160"/>
      <c r="BY1222" s="160"/>
      <c r="BZ1222" s="160"/>
      <c r="CA1222" s="160"/>
      <c r="CB1222" s="160"/>
      <c r="CC1222" s="160"/>
      <c r="CD1222" s="160"/>
      <c r="CE1222" s="160"/>
      <c r="CF1222" s="160"/>
      <c r="CG1222" s="160"/>
      <c r="CH1222" s="160"/>
      <c r="CI1222" s="160"/>
      <c r="CJ1222" s="160"/>
      <c r="CK1222" s="160"/>
      <c r="CL1222" s="160"/>
    </row>
    <row r="1223">
      <c r="A1223" s="171"/>
      <c r="F1223" s="11"/>
      <c r="G1223" s="11"/>
      <c r="L1223" s="171"/>
      <c r="M1223" s="171"/>
      <c r="O1223" s="160"/>
      <c r="P1223" s="160"/>
      <c r="Q1223" s="160"/>
      <c r="R1223" s="160"/>
      <c r="S1223" s="160"/>
      <c r="T1223" s="207"/>
      <c r="U1223" s="160"/>
      <c r="V1223" s="160"/>
      <c r="W1223" s="160"/>
      <c r="X1223" s="160"/>
      <c r="Y1223" s="160"/>
      <c r="Z1223" s="160"/>
      <c r="AA1223" s="160"/>
      <c r="AB1223" s="160"/>
      <c r="AC1223" s="160"/>
      <c r="AD1223" s="160"/>
      <c r="AE1223" s="160"/>
      <c r="AF1223" s="160"/>
      <c r="AG1223" s="160"/>
      <c r="AH1223" s="160"/>
      <c r="AI1223" s="160"/>
      <c r="AJ1223" s="160"/>
      <c r="AK1223" s="160"/>
      <c r="AL1223" s="160"/>
      <c r="AM1223" s="160"/>
      <c r="AN1223" s="164"/>
      <c r="AO1223" s="160"/>
      <c r="AP1223" s="160"/>
      <c r="AQ1223" s="160"/>
      <c r="AR1223" s="160"/>
      <c r="AS1223" s="160"/>
      <c r="AT1223" s="160"/>
      <c r="AU1223" s="160"/>
      <c r="AV1223" s="160"/>
      <c r="AW1223" s="160"/>
      <c r="AX1223" s="160"/>
      <c r="AY1223" s="160"/>
      <c r="AZ1223" s="160"/>
      <c r="BA1223" s="160"/>
      <c r="BB1223" s="160"/>
      <c r="BC1223" s="160"/>
      <c r="BD1223" s="160"/>
      <c r="BE1223" s="160"/>
      <c r="BF1223" s="160"/>
      <c r="BG1223" s="160"/>
      <c r="BH1223" s="160"/>
      <c r="BI1223" s="160"/>
      <c r="BJ1223" s="160"/>
      <c r="BK1223" s="160"/>
      <c r="BL1223" s="160"/>
      <c r="BM1223" s="160"/>
      <c r="BN1223" s="160"/>
      <c r="BO1223" s="160"/>
      <c r="BP1223" s="160"/>
      <c r="BQ1223" s="160"/>
      <c r="BR1223" s="160"/>
      <c r="BS1223" s="160"/>
      <c r="BT1223" s="160"/>
      <c r="BU1223" s="160"/>
      <c r="BV1223" s="160"/>
      <c r="BW1223" s="160"/>
      <c r="BX1223" s="160"/>
      <c r="BY1223" s="160"/>
      <c r="BZ1223" s="160"/>
      <c r="CA1223" s="160"/>
      <c r="CB1223" s="160"/>
      <c r="CC1223" s="160"/>
      <c r="CD1223" s="160"/>
      <c r="CE1223" s="160"/>
      <c r="CF1223" s="160"/>
      <c r="CG1223" s="160"/>
      <c r="CH1223" s="160"/>
      <c r="CI1223" s="160"/>
      <c r="CJ1223" s="160"/>
      <c r="CK1223" s="160"/>
      <c r="CL1223" s="160"/>
    </row>
    <row r="1224">
      <c r="A1224" s="171"/>
      <c r="F1224" s="11"/>
      <c r="G1224" s="11"/>
      <c r="L1224" s="171"/>
      <c r="M1224" s="171"/>
      <c r="O1224" s="160"/>
      <c r="P1224" s="160"/>
      <c r="Q1224" s="160"/>
      <c r="R1224" s="160"/>
      <c r="S1224" s="160"/>
      <c r="T1224" s="207"/>
      <c r="U1224" s="160"/>
      <c r="V1224" s="160"/>
      <c r="W1224" s="160"/>
      <c r="X1224" s="160"/>
      <c r="Y1224" s="160"/>
      <c r="Z1224" s="160"/>
      <c r="AA1224" s="160"/>
      <c r="AB1224" s="160"/>
      <c r="AC1224" s="160"/>
      <c r="AD1224" s="160"/>
      <c r="AE1224" s="160"/>
      <c r="AF1224" s="160"/>
      <c r="AG1224" s="160"/>
      <c r="AH1224" s="160"/>
      <c r="AI1224" s="160"/>
      <c r="AJ1224" s="160"/>
      <c r="AK1224" s="160"/>
      <c r="AL1224" s="160"/>
      <c r="AM1224" s="160"/>
      <c r="AN1224" s="164"/>
      <c r="AO1224" s="160"/>
      <c r="AP1224" s="160"/>
      <c r="AQ1224" s="160"/>
      <c r="AR1224" s="160"/>
      <c r="AS1224" s="160"/>
      <c r="AT1224" s="160"/>
      <c r="AU1224" s="160"/>
      <c r="AV1224" s="160"/>
      <c r="AW1224" s="160"/>
      <c r="AX1224" s="160"/>
      <c r="AY1224" s="160"/>
      <c r="AZ1224" s="160"/>
      <c r="BA1224" s="160"/>
      <c r="BB1224" s="160"/>
      <c r="BC1224" s="160"/>
      <c r="BD1224" s="160"/>
      <c r="BE1224" s="160"/>
      <c r="BF1224" s="160"/>
      <c r="BG1224" s="160"/>
      <c r="BH1224" s="160"/>
      <c r="BI1224" s="160"/>
      <c r="BJ1224" s="160"/>
      <c r="BK1224" s="160"/>
      <c r="BL1224" s="160"/>
      <c r="BM1224" s="160"/>
      <c r="BN1224" s="160"/>
      <c r="BO1224" s="160"/>
      <c r="BP1224" s="160"/>
      <c r="BQ1224" s="160"/>
      <c r="BR1224" s="160"/>
      <c r="BS1224" s="160"/>
      <c r="BT1224" s="160"/>
      <c r="BU1224" s="160"/>
      <c r="BV1224" s="160"/>
      <c r="BW1224" s="160"/>
      <c r="BX1224" s="160"/>
      <c r="BY1224" s="160"/>
      <c r="BZ1224" s="160"/>
      <c r="CA1224" s="160"/>
      <c r="CB1224" s="160"/>
      <c r="CC1224" s="160"/>
      <c r="CD1224" s="160"/>
      <c r="CE1224" s="160"/>
      <c r="CF1224" s="160"/>
      <c r="CG1224" s="160"/>
      <c r="CH1224" s="160"/>
      <c r="CI1224" s="160"/>
      <c r="CJ1224" s="160"/>
      <c r="CK1224" s="160"/>
      <c r="CL1224" s="160"/>
    </row>
    <row r="1225">
      <c r="A1225" s="171"/>
      <c r="F1225" s="11"/>
      <c r="G1225" s="11"/>
      <c r="L1225" s="171"/>
      <c r="M1225" s="171"/>
      <c r="O1225" s="160"/>
      <c r="P1225" s="160"/>
      <c r="Q1225" s="160"/>
      <c r="R1225" s="160"/>
      <c r="S1225" s="160"/>
      <c r="T1225" s="207"/>
      <c r="U1225" s="160"/>
      <c r="V1225" s="160"/>
      <c r="W1225" s="160"/>
      <c r="X1225" s="160"/>
      <c r="Y1225" s="160"/>
      <c r="Z1225" s="160"/>
      <c r="AA1225" s="160"/>
      <c r="AB1225" s="160"/>
      <c r="AC1225" s="160"/>
      <c r="AD1225" s="160"/>
      <c r="AE1225" s="160"/>
      <c r="AF1225" s="160"/>
      <c r="AG1225" s="160"/>
      <c r="AH1225" s="160"/>
      <c r="AI1225" s="160"/>
      <c r="AJ1225" s="160"/>
      <c r="AK1225" s="160"/>
      <c r="AL1225" s="160"/>
      <c r="AM1225" s="160"/>
      <c r="AN1225" s="164"/>
      <c r="AO1225" s="160"/>
      <c r="AP1225" s="160"/>
      <c r="AQ1225" s="160"/>
      <c r="AR1225" s="160"/>
      <c r="AS1225" s="160"/>
      <c r="AT1225" s="160"/>
      <c r="AU1225" s="160"/>
      <c r="AV1225" s="160"/>
      <c r="AW1225" s="160"/>
      <c r="AX1225" s="160"/>
      <c r="AY1225" s="160"/>
      <c r="AZ1225" s="160"/>
      <c r="BA1225" s="160"/>
      <c r="BB1225" s="160"/>
      <c r="BC1225" s="160"/>
      <c r="BD1225" s="160"/>
      <c r="BE1225" s="160"/>
      <c r="BF1225" s="160"/>
      <c r="BG1225" s="160"/>
      <c r="BH1225" s="160"/>
      <c r="BI1225" s="160"/>
      <c r="BJ1225" s="160"/>
      <c r="BK1225" s="160"/>
      <c r="BL1225" s="160"/>
      <c r="BM1225" s="160"/>
      <c r="BN1225" s="160"/>
      <c r="BO1225" s="160"/>
      <c r="BP1225" s="160"/>
      <c r="BQ1225" s="160"/>
      <c r="BR1225" s="160"/>
      <c r="BS1225" s="160"/>
      <c r="BT1225" s="160"/>
      <c r="BU1225" s="160"/>
      <c r="BV1225" s="160"/>
      <c r="BW1225" s="160"/>
      <c r="BX1225" s="160"/>
      <c r="BY1225" s="160"/>
      <c r="BZ1225" s="160"/>
      <c r="CA1225" s="160"/>
      <c r="CB1225" s="160"/>
      <c r="CC1225" s="160"/>
      <c r="CD1225" s="160"/>
      <c r="CE1225" s="160"/>
      <c r="CF1225" s="160"/>
      <c r="CG1225" s="160"/>
      <c r="CH1225" s="160"/>
      <c r="CI1225" s="160"/>
      <c r="CJ1225" s="160"/>
      <c r="CK1225" s="160"/>
      <c r="CL1225" s="160"/>
    </row>
    <row r="1226">
      <c r="A1226" s="171"/>
      <c r="F1226" s="11"/>
      <c r="G1226" s="11"/>
      <c r="L1226" s="171"/>
      <c r="M1226" s="171"/>
      <c r="O1226" s="160"/>
      <c r="P1226" s="160"/>
      <c r="Q1226" s="160"/>
      <c r="R1226" s="160"/>
      <c r="S1226" s="160"/>
      <c r="T1226" s="207"/>
      <c r="U1226" s="160"/>
      <c r="V1226" s="160"/>
      <c r="W1226" s="160"/>
      <c r="X1226" s="160"/>
      <c r="Y1226" s="160"/>
      <c r="Z1226" s="160"/>
      <c r="AA1226" s="160"/>
      <c r="AB1226" s="160"/>
      <c r="AC1226" s="160"/>
      <c r="AD1226" s="160"/>
      <c r="AE1226" s="160"/>
      <c r="AF1226" s="160"/>
      <c r="AG1226" s="160"/>
      <c r="AH1226" s="160"/>
      <c r="AI1226" s="160"/>
      <c r="AJ1226" s="160"/>
      <c r="AK1226" s="160"/>
      <c r="AL1226" s="160"/>
      <c r="AM1226" s="160"/>
      <c r="AN1226" s="164"/>
      <c r="AO1226" s="160"/>
      <c r="AP1226" s="160"/>
      <c r="AQ1226" s="160"/>
      <c r="AR1226" s="160"/>
      <c r="AS1226" s="160"/>
      <c r="AT1226" s="160"/>
      <c r="AU1226" s="160"/>
      <c r="AV1226" s="160"/>
      <c r="AW1226" s="160"/>
      <c r="AX1226" s="160"/>
      <c r="AY1226" s="160"/>
      <c r="AZ1226" s="160"/>
      <c r="BA1226" s="160"/>
      <c r="BB1226" s="160"/>
      <c r="BC1226" s="160"/>
      <c r="BD1226" s="160"/>
      <c r="BE1226" s="160"/>
      <c r="BF1226" s="160"/>
      <c r="BG1226" s="160"/>
      <c r="BH1226" s="160"/>
      <c r="BI1226" s="160"/>
      <c r="BJ1226" s="160"/>
      <c r="BK1226" s="160"/>
      <c r="BL1226" s="160"/>
      <c r="BM1226" s="160"/>
      <c r="BN1226" s="160"/>
      <c r="BO1226" s="160"/>
      <c r="BP1226" s="160"/>
      <c r="BQ1226" s="160"/>
      <c r="BR1226" s="160"/>
      <c r="BS1226" s="160"/>
      <c r="BT1226" s="160"/>
      <c r="BU1226" s="160"/>
      <c r="BV1226" s="160"/>
      <c r="BW1226" s="160"/>
      <c r="BX1226" s="160"/>
      <c r="BY1226" s="160"/>
      <c r="BZ1226" s="160"/>
      <c r="CA1226" s="160"/>
      <c r="CB1226" s="160"/>
      <c r="CC1226" s="160"/>
      <c r="CD1226" s="160"/>
      <c r="CE1226" s="160"/>
      <c r="CF1226" s="160"/>
      <c r="CG1226" s="160"/>
      <c r="CH1226" s="160"/>
      <c r="CI1226" s="160"/>
      <c r="CJ1226" s="160"/>
      <c r="CK1226" s="160"/>
      <c r="CL1226" s="160"/>
    </row>
    <row r="1227">
      <c r="A1227" s="171"/>
      <c r="F1227" s="11"/>
      <c r="G1227" s="11"/>
      <c r="L1227" s="171"/>
      <c r="M1227" s="171"/>
      <c r="O1227" s="160"/>
      <c r="P1227" s="160"/>
      <c r="Q1227" s="160"/>
      <c r="R1227" s="160"/>
      <c r="S1227" s="160"/>
      <c r="T1227" s="207"/>
      <c r="U1227" s="160"/>
      <c r="V1227" s="160"/>
      <c r="W1227" s="160"/>
      <c r="X1227" s="160"/>
      <c r="Y1227" s="160"/>
      <c r="Z1227" s="160"/>
      <c r="AA1227" s="160"/>
      <c r="AB1227" s="160"/>
      <c r="AC1227" s="160"/>
      <c r="AD1227" s="160"/>
      <c r="AE1227" s="160"/>
      <c r="AF1227" s="160"/>
      <c r="AG1227" s="160"/>
      <c r="AH1227" s="160"/>
      <c r="AI1227" s="160"/>
      <c r="AJ1227" s="160"/>
      <c r="AK1227" s="160"/>
      <c r="AL1227" s="160"/>
      <c r="AM1227" s="160"/>
      <c r="AN1227" s="164"/>
      <c r="AO1227" s="160"/>
      <c r="AP1227" s="160"/>
      <c r="AQ1227" s="160"/>
      <c r="AR1227" s="160"/>
      <c r="AS1227" s="160"/>
      <c r="AT1227" s="160"/>
      <c r="AU1227" s="160"/>
      <c r="AV1227" s="160"/>
      <c r="AW1227" s="160"/>
      <c r="AX1227" s="160"/>
      <c r="AY1227" s="160"/>
      <c r="AZ1227" s="160"/>
      <c r="BA1227" s="160"/>
      <c r="BB1227" s="160"/>
      <c r="BC1227" s="160"/>
      <c r="BD1227" s="160"/>
      <c r="BE1227" s="160"/>
      <c r="BF1227" s="160"/>
      <c r="BG1227" s="160"/>
      <c r="BH1227" s="160"/>
      <c r="BI1227" s="160"/>
      <c r="BJ1227" s="160"/>
      <c r="BK1227" s="160"/>
      <c r="BL1227" s="160"/>
      <c r="BM1227" s="160"/>
      <c r="BN1227" s="160"/>
      <c r="BO1227" s="160"/>
      <c r="BP1227" s="160"/>
      <c r="BQ1227" s="160"/>
      <c r="BR1227" s="160"/>
      <c r="BS1227" s="160"/>
      <c r="BT1227" s="160"/>
      <c r="BU1227" s="160"/>
      <c r="BV1227" s="160"/>
      <c r="BW1227" s="160"/>
      <c r="BX1227" s="160"/>
      <c r="BY1227" s="160"/>
      <c r="BZ1227" s="160"/>
      <c r="CA1227" s="160"/>
      <c r="CB1227" s="160"/>
      <c r="CC1227" s="160"/>
      <c r="CD1227" s="160"/>
      <c r="CE1227" s="160"/>
      <c r="CF1227" s="160"/>
      <c r="CG1227" s="160"/>
      <c r="CH1227" s="160"/>
      <c r="CI1227" s="160"/>
      <c r="CJ1227" s="160"/>
      <c r="CK1227" s="160"/>
      <c r="CL1227" s="160"/>
    </row>
    <row r="1228">
      <c r="A1228" s="171"/>
      <c r="F1228" s="11"/>
      <c r="G1228" s="11"/>
      <c r="L1228" s="171"/>
      <c r="M1228" s="171"/>
      <c r="O1228" s="160"/>
      <c r="P1228" s="160"/>
      <c r="Q1228" s="160"/>
      <c r="R1228" s="160"/>
      <c r="S1228" s="160"/>
      <c r="T1228" s="207"/>
      <c r="U1228" s="160"/>
      <c r="V1228" s="160"/>
      <c r="W1228" s="160"/>
      <c r="X1228" s="160"/>
      <c r="Y1228" s="160"/>
      <c r="Z1228" s="160"/>
      <c r="AA1228" s="160"/>
      <c r="AB1228" s="160"/>
      <c r="AC1228" s="160"/>
      <c r="AD1228" s="160"/>
      <c r="AE1228" s="160"/>
      <c r="AF1228" s="160"/>
      <c r="AG1228" s="160"/>
      <c r="AH1228" s="160"/>
      <c r="AI1228" s="160"/>
      <c r="AJ1228" s="160"/>
      <c r="AK1228" s="160"/>
      <c r="AL1228" s="160"/>
      <c r="AM1228" s="160"/>
      <c r="AN1228" s="164"/>
      <c r="AO1228" s="160"/>
      <c r="AP1228" s="160"/>
      <c r="AQ1228" s="160"/>
      <c r="AR1228" s="160"/>
      <c r="AS1228" s="160"/>
      <c r="AT1228" s="160"/>
      <c r="AU1228" s="160"/>
      <c r="AV1228" s="160"/>
      <c r="AW1228" s="160"/>
      <c r="AX1228" s="160"/>
      <c r="AY1228" s="160"/>
      <c r="AZ1228" s="160"/>
      <c r="BA1228" s="160"/>
      <c r="BB1228" s="160"/>
      <c r="BC1228" s="160"/>
      <c r="BD1228" s="160"/>
      <c r="BE1228" s="160"/>
      <c r="BF1228" s="160"/>
      <c r="BG1228" s="160"/>
      <c r="BH1228" s="160"/>
      <c r="BI1228" s="160"/>
      <c r="BJ1228" s="160"/>
      <c r="BK1228" s="160"/>
      <c r="BL1228" s="160"/>
      <c r="BM1228" s="160"/>
      <c r="BN1228" s="160"/>
      <c r="BO1228" s="160"/>
      <c r="BP1228" s="160"/>
      <c r="BQ1228" s="160"/>
      <c r="BR1228" s="160"/>
      <c r="BS1228" s="160"/>
      <c r="BT1228" s="160"/>
      <c r="BU1228" s="160"/>
      <c r="BV1228" s="160"/>
      <c r="BW1228" s="160"/>
      <c r="BX1228" s="160"/>
      <c r="BY1228" s="160"/>
      <c r="BZ1228" s="160"/>
      <c r="CA1228" s="160"/>
      <c r="CB1228" s="160"/>
      <c r="CC1228" s="160"/>
      <c r="CD1228" s="160"/>
      <c r="CE1228" s="160"/>
      <c r="CF1228" s="160"/>
      <c r="CG1228" s="160"/>
      <c r="CH1228" s="160"/>
      <c r="CI1228" s="160"/>
      <c r="CJ1228" s="160"/>
      <c r="CK1228" s="160"/>
      <c r="CL1228" s="160"/>
    </row>
    <row r="1229">
      <c r="A1229" s="171"/>
      <c r="F1229" s="11"/>
      <c r="G1229" s="11"/>
      <c r="L1229" s="171"/>
      <c r="M1229" s="171"/>
      <c r="O1229" s="160"/>
      <c r="P1229" s="160"/>
      <c r="Q1229" s="160"/>
      <c r="R1229" s="160"/>
      <c r="S1229" s="160"/>
      <c r="T1229" s="207"/>
      <c r="U1229" s="160"/>
      <c r="V1229" s="160"/>
      <c r="W1229" s="160"/>
      <c r="X1229" s="160"/>
      <c r="Y1229" s="160"/>
      <c r="Z1229" s="160"/>
      <c r="AA1229" s="160"/>
      <c r="AB1229" s="160"/>
      <c r="AC1229" s="160"/>
      <c r="AD1229" s="160"/>
      <c r="AE1229" s="160"/>
      <c r="AF1229" s="160"/>
      <c r="AG1229" s="160"/>
      <c r="AH1229" s="160"/>
      <c r="AI1229" s="160"/>
      <c r="AJ1229" s="160"/>
      <c r="AK1229" s="160"/>
      <c r="AL1229" s="160"/>
      <c r="AM1229" s="160"/>
      <c r="AN1229" s="164"/>
      <c r="AO1229" s="160"/>
      <c r="AP1229" s="160"/>
      <c r="AQ1229" s="160"/>
      <c r="AR1229" s="160"/>
      <c r="AS1229" s="160"/>
      <c r="AT1229" s="160"/>
      <c r="AU1229" s="160"/>
      <c r="AV1229" s="160"/>
      <c r="AW1229" s="160"/>
      <c r="AX1229" s="160"/>
      <c r="AY1229" s="160"/>
      <c r="AZ1229" s="160"/>
      <c r="BA1229" s="160"/>
      <c r="BB1229" s="160"/>
      <c r="BC1229" s="160"/>
      <c r="BD1229" s="160"/>
      <c r="BE1229" s="160"/>
      <c r="BF1229" s="160"/>
      <c r="BG1229" s="160"/>
      <c r="BH1229" s="160"/>
      <c r="BI1229" s="160"/>
      <c r="BJ1229" s="160"/>
      <c r="BK1229" s="160"/>
      <c r="BL1229" s="160"/>
      <c r="BM1229" s="160"/>
      <c r="BN1229" s="160"/>
      <c r="BO1229" s="160"/>
      <c r="BP1229" s="160"/>
      <c r="BQ1229" s="160"/>
      <c r="BR1229" s="160"/>
      <c r="BS1229" s="160"/>
      <c r="BT1229" s="160"/>
      <c r="BU1229" s="160"/>
      <c r="BV1229" s="160"/>
      <c r="BW1229" s="160"/>
      <c r="BX1229" s="160"/>
      <c r="BY1229" s="160"/>
      <c r="BZ1229" s="160"/>
      <c r="CA1229" s="160"/>
      <c r="CB1229" s="160"/>
      <c r="CC1229" s="160"/>
      <c r="CD1229" s="160"/>
      <c r="CE1229" s="160"/>
      <c r="CF1229" s="160"/>
      <c r="CG1229" s="160"/>
      <c r="CH1229" s="160"/>
      <c r="CI1229" s="160"/>
      <c r="CJ1229" s="160"/>
      <c r="CK1229" s="160"/>
      <c r="CL1229" s="160"/>
    </row>
    <row r="1230">
      <c r="A1230" s="171"/>
      <c r="F1230" s="11"/>
      <c r="G1230" s="11"/>
      <c r="L1230" s="171"/>
      <c r="M1230" s="171"/>
      <c r="O1230" s="160"/>
      <c r="P1230" s="160"/>
      <c r="Q1230" s="160"/>
      <c r="R1230" s="160"/>
      <c r="S1230" s="160"/>
      <c r="T1230" s="207"/>
      <c r="U1230" s="160"/>
      <c r="V1230" s="160"/>
      <c r="W1230" s="160"/>
      <c r="X1230" s="160"/>
      <c r="Y1230" s="160"/>
      <c r="Z1230" s="160"/>
      <c r="AA1230" s="160"/>
      <c r="AB1230" s="160"/>
      <c r="AC1230" s="160"/>
      <c r="AD1230" s="160"/>
      <c r="AE1230" s="160"/>
      <c r="AF1230" s="160"/>
      <c r="AG1230" s="160"/>
      <c r="AH1230" s="160"/>
      <c r="AI1230" s="160"/>
      <c r="AJ1230" s="160"/>
      <c r="AK1230" s="160"/>
      <c r="AL1230" s="160"/>
      <c r="AM1230" s="160"/>
      <c r="AN1230" s="164"/>
      <c r="AO1230" s="160"/>
      <c r="AP1230" s="160"/>
      <c r="AQ1230" s="160"/>
      <c r="AR1230" s="160"/>
      <c r="AS1230" s="160"/>
      <c r="AT1230" s="160"/>
      <c r="AU1230" s="160"/>
      <c r="AV1230" s="160"/>
      <c r="AW1230" s="160"/>
      <c r="AX1230" s="160"/>
      <c r="AY1230" s="160"/>
      <c r="AZ1230" s="160"/>
      <c r="BA1230" s="160"/>
      <c r="BB1230" s="160"/>
      <c r="BC1230" s="160"/>
      <c r="BD1230" s="160"/>
      <c r="BE1230" s="160"/>
      <c r="BF1230" s="160"/>
      <c r="BG1230" s="160"/>
      <c r="BH1230" s="160"/>
      <c r="BI1230" s="160"/>
      <c r="BJ1230" s="160"/>
      <c r="BK1230" s="160"/>
      <c r="BL1230" s="160"/>
      <c r="BM1230" s="160"/>
      <c r="BN1230" s="160"/>
      <c r="BO1230" s="160"/>
      <c r="BP1230" s="160"/>
      <c r="BQ1230" s="160"/>
      <c r="BR1230" s="160"/>
      <c r="BS1230" s="160"/>
      <c r="BT1230" s="160"/>
      <c r="BU1230" s="160"/>
      <c r="BV1230" s="160"/>
      <c r="BW1230" s="160"/>
      <c r="BX1230" s="160"/>
      <c r="BY1230" s="160"/>
      <c r="BZ1230" s="160"/>
      <c r="CA1230" s="160"/>
      <c r="CB1230" s="160"/>
      <c r="CC1230" s="160"/>
      <c r="CD1230" s="160"/>
      <c r="CE1230" s="160"/>
      <c r="CF1230" s="160"/>
      <c r="CG1230" s="160"/>
      <c r="CH1230" s="160"/>
      <c r="CI1230" s="160"/>
      <c r="CJ1230" s="160"/>
      <c r="CK1230" s="160"/>
      <c r="CL1230" s="160"/>
    </row>
    <row r="1231">
      <c r="A1231" s="171"/>
      <c r="F1231" s="11"/>
      <c r="G1231" s="11"/>
      <c r="L1231" s="171"/>
      <c r="M1231" s="171"/>
      <c r="O1231" s="160"/>
      <c r="P1231" s="160"/>
      <c r="Q1231" s="160"/>
      <c r="R1231" s="160"/>
      <c r="S1231" s="160"/>
      <c r="T1231" s="207"/>
      <c r="U1231" s="160"/>
      <c r="V1231" s="160"/>
      <c r="W1231" s="160"/>
      <c r="X1231" s="160"/>
      <c r="Y1231" s="160"/>
      <c r="Z1231" s="160"/>
      <c r="AA1231" s="160"/>
      <c r="AB1231" s="160"/>
      <c r="AC1231" s="160"/>
      <c r="AD1231" s="160"/>
      <c r="AE1231" s="160"/>
      <c r="AF1231" s="160"/>
      <c r="AG1231" s="160"/>
      <c r="AH1231" s="160"/>
      <c r="AI1231" s="160"/>
      <c r="AJ1231" s="160"/>
      <c r="AK1231" s="160"/>
      <c r="AL1231" s="160"/>
      <c r="AM1231" s="160"/>
      <c r="AN1231" s="164"/>
      <c r="AO1231" s="160"/>
      <c r="AP1231" s="160"/>
      <c r="AQ1231" s="160"/>
      <c r="AR1231" s="160"/>
      <c r="AS1231" s="160"/>
      <c r="AT1231" s="160"/>
      <c r="AU1231" s="160"/>
      <c r="AV1231" s="160"/>
      <c r="AW1231" s="160"/>
      <c r="AX1231" s="160"/>
      <c r="AY1231" s="160"/>
      <c r="AZ1231" s="160"/>
      <c r="BA1231" s="160"/>
      <c r="BB1231" s="160"/>
      <c r="BC1231" s="160"/>
      <c r="BD1231" s="160"/>
      <c r="BE1231" s="160"/>
      <c r="BF1231" s="160"/>
      <c r="BG1231" s="160"/>
      <c r="BH1231" s="160"/>
      <c r="BI1231" s="160"/>
      <c r="BJ1231" s="160"/>
      <c r="BK1231" s="160"/>
      <c r="BL1231" s="160"/>
      <c r="BM1231" s="160"/>
      <c r="BN1231" s="160"/>
      <c r="BO1231" s="160"/>
      <c r="BP1231" s="160"/>
      <c r="BQ1231" s="160"/>
      <c r="BR1231" s="160"/>
      <c r="BS1231" s="160"/>
      <c r="BT1231" s="160"/>
      <c r="BU1231" s="160"/>
      <c r="BV1231" s="160"/>
      <c r="BW1231" s="160"/>
      <c r="BX1231" s="160"/>
      <c r="BY1231" s="160"/>
      <c r="BZ1231" s="160"/>
      <c r="CA1231" s="160"/>
      <c r="CB1231" s="160"/>
      <c r="CC1231" s="160"/>
      <c r="CD1231" s="160"/>
      <c r="CE1231" s="160"/>
      <c r="CF1231" s="160"/>
      <c r="CG1231" s="160"/>
      <c r="CH1231" s="160"/>
      <c r="CI1231" s="160"/>
      <c r="CJ1231" s="160"/>
      <c r="CK1231" s="160"/>
      <c r="CL1231" s="160"/>
    </row>
    <row r="1232">
      <c r="A1232" s="171"/>
      <c r="F1232" s="11"/>
      <c r="G1232" s="11"/>
      <c r="L1232" s="171"/>
      <c r="M1232" s="171"/>
      <c r="O1232" s="160"/>
      <c r="P1232" s="160"/>
      <c r="Q1232" s="160"/>
      <c r="R1232" s="160"/>
      <c r="S1232" s="160"/>
      <c r="T1232" s="207"/>
      <c r="U1232" s="160"/>
      <c r="V1232" s="160"/>
      <c r="W1232" s="160"/>
      <c r="X1232" s="160"/>
      <c r="Y1232" s="160"/>
      <c r="Z1232" s="160"/>
      <c r="AA1232" s="160"/>
      <c r="AB1232" s="160"/>
      <c r="AC1232" s="160"/>
      <c r="AD1232" s="160"/>
      <c r="AE1232" s="160"/>
      <c r="AF1232" s="160"/>
      <c r="AG1232" s="160"/>
      <c r="AH1232" s="160"/>
      <c r="AI1232" s="160"/>
      <c r="AJ1232" s="160"/>
      <c r="AK1232" s="160"/>
      <c r="AL1232" s="160"/>
      <c r="AM1232" s="160"/>
      <c r="AN1232" s="164"/>
      <c r="AO1232" s="160"/>
      <c r="AP1232" s="160"/>
      <c r="AQ1232" s="160"/>
      <c r="AR1232" s="160"/>
      <c r="AS1232" s="160"/>
      <c r="AT1232" s="160"/>
      <c r="AU1232" s="160"/>
      <c r="AV1232" s="160"/>
      <c r="AW1232" s="160"/>
      <c r="AX1232" s="160"/>
      <c r="AY1232" s="160"/>
      <c r="AZ1232" s="160"/>
      <c r="BA1232" s="160"/>
      <c r="BB1232" s="160"/>
      <c r="BC1232" s="160"/>
      <c r="BD1232" s="160"/>
      <c r="BE1232" s="160"/>
      <c r="BF1232" s="160"/>
      <c r="BG1232" s="160"/>
      <c r="BH1232" s="160"/>
      <c r="BI1232" s="160"/>
      <c r="BJ1232" s="160"/>
      <c r="BK1232" s="160"/>
      <c r="BL1232" s="160"/>
      <c r="BM1232" s="160"/>
      <c r="BN1232" s="160"/>
      <c r="BO1232" s="160"/>
      <c r="BP1232" s="160"/>
      <c r="BQ1232" s="160"/>
      <c r="BR1232" s="160"/>
      <c r="BS1232" s="160"/>
      <c r="BT1232" s="160"/>
      <c r="BU1232" s="160"/>
      <c r="BV1232" s="160"/>
      <c r="BW1232" s="160"/>
      <c r="BX1232" s="160"/>
      <c r="BY1232" s="160"/>
      <c r="BZ1232" s="160"/>
      <c r="CA1232" s="160"/>
      <c r="CB1232" s="160"/>
      <c r="CC1232" s="160"/>
      <c r="CD1232" s="160"/>
      <c r="CE1232" s="160"/>
      <c r="CF1232" s="160"/>
      <c r="CG1232" s="160"/>
      <c r="CH1232" s="160"/>
      <c r="CI1232" s="160"/>
      <c r="CJ1232" s="160"/>
      <c r="CK1232" s="160"/>
      <c r="CL1232" s="160"/>
    </row>
    <row r="1233">
      <c r="A1233" s="171"/>
      <c r="F1233" s="11"/>
      <c r="G1233" s="11"/>
      <c r="L1233" s="171"/>
      <c r="M1233" s="171"/>
      <c r="O1233" s="160"/>
      <c r="P1233" s="160"/>
      <c r="Q1233" s="160"/>
      <c r="R1233" s="160"/>
      <c r="S1233" s="160"/>
      <c r="T1233" s="207"/>
      <c r="U1233" s="160"/>
      <c r="V1233" s="160"/>
      <c r="W1233" s="160"/>
      <c r="X1233" s="160"/>
      <c r="Y1233" s="160"/>
      <c r="Z1233" s="160"/>
      <c r="AA1233" s="160"/>
      <c r="AB1233" s="160"/>
      <c r="AC1233" s="160"/>
      <c r="AD1233" s="160"/>
      <c r="AE1233" s="160"/>
      <c r="AF1233" s="160"/>
      <c r="AG1233" s="160"/>
      <c r="AH1233" s="160"/>
      <c r="AI1233" s="160"/>
      <c r="AJ1233" s="160"/>
      <c r="AK1233" s="160"/>
      <c r="AL1233" s="160"/>
      <c r="AM1233" s="160"/>
      <c r="AN1233" s="164"/>
      <c r="AO1233" s="160"/>
      <c r="AP1233" s="160"/>
      <c r="AQ1233" s="160"/>
      <c r="AR1233" s="160"/>
      <c r="AS1233" s="160"/>
      <c r="AT1233" s="160"/>
      <c r="AU1233" s="160"/>
      <c r="AV1233" s="160"/>
      <c r="AW1233" s="160"/>
      <c r="AX1233" s="160"/>
      <c r="AY1233" s="160"/>
      <c r="AZ1233" s="160"/>
      <c r="BA1233" s="160"/>
      <c r="BB1233" s="160"/>
      <c r="BC1233" s="160"/>
      <c r="BD1233" s="160"/>
      <c r="BE1233" s="160"/>
      <c r="BF1233" s="160"/>
      <c r="BG1233" s="160"/>
      <c r="BH1233" s="160"/>
      <c r="BI1233" s="160"/>
      <c r="BJ1233" s="160"/>
      <c r="BK1233" s="160"/>
      <c r="BL1233" s="160"/>
      <c r="BM1233" s="160"/>
      <c r="BN1233" s="160"/>
      <c r="BO1233" s="160"/>
      <c r="BP1233" s="160"/>
      <c r="BQ1233" s="160"/>
      <c r="BR1233" s="160"/>
      <c r="BS1233" s="160"/>
      <c r="BT1233" s="160"/>
      <c r="BU1233" s="160"/>
      <c r="BV1233" s="160"/>
      <c r="BW1233" s="160"/>
      <c r="BX1233" s="160"/>
      <c r="BY1233" s="160"/>
      <c r="BZ1233" s="160"/>
      <c r="CA1233" s="160"/>
      <c r="CB1233" s="160"/>
      <c r="CC1233" s="160"/>
      <c r="CD1233" s="160"/>
      <c r="CE1233" s="160"/>
      <c r="CF1233" s="160"/>
      <c r="CG1233" s="160"/>
      <c r="CH1233" s="160"/>
      <c r="CI1233" s="160"/>
      <c r="CJ1233" s="160"/>
      <c r="CK1233" s="160"/>
      <c r="CL1233" s="160"/>
    </row>
    <row r="1234">
      <c r="A1234" s="171"/>
      <c r="F1234" s="11"/>
      <c r="G1234" s="11"/>
      <c r="L1234" s="171"/>
      <c r="M1234" s="171"/>
      <c r="O1234" s="160"/>
      <c r="P1234" s="160"/>
      <c r="Q1234" s="160"/>
      <c r="R1234" s="160"/>
      <c r="S1234" s="160"/>
      <c r="T1234" s="207"/>
      <c r="U1234" s="160"/>
      <c r="V1234" s="160"/>
      <c r="W1234" s="160"/>
      <c r="X1234" s="160"/>
      <c r="Y1234" s="160"/>
      <c r="Z1234" s="160"/>
      <c r="AA1234" s="160"/>
      <c r="AB1234" s="160"/>
      <c r="AC1234" s="160"/>
      <c r="AD1234" s="160"/>
      <c r="AE1234" s="160"/>
      <c r="AF1234" s="160"/>
      <c r="AG1234" s="160"/>
      <c r="AH1234" s="160"/>
      <c r="AI1234" s="160"/>
      <c r="AJ1234" s="160"/>
      <c r="AK1234" s="160"/>
      <c r="AL1234" s="160"/>
      <c r="AM1234" s="160"/>
      <c r="AN1234" s="164"/>
      <c r="AO1234" s="160"/>
      <c r="AP1234" s="160"/>
      <c r="AQ1234" s="160"/>
      <c r="AR1234" s="160"/>
      <c r="AS1234" s="160"/>
      <c r="AT1234" s="160"/>
      <c r="AU1234" s="160"/>
      <c r="AV1234" s="160"/>
      <c r="AW1234" s="160"/>
      <c r="AX1234" s="160"/>
      <c r="AY1234" s="160"/>
      <c r="AZ1234" s="160"/>
      <c r="BA1234" s="160"/>
      <c r="BB1234" s="160"/>
      <c r="BC1234" s="160"/>
      <c r="BD1234" s="160"/>
      <c r="BE1234" s="160"/>
      <c r="BF1234" s="160"/>
      <c r="BG1234" s="160"/>
      <c r="BH1234" s="160"/>
      <c r="BI1234" s="160"/>
      <c r="BJ1234" s="160"/>
      <c r="BK1234" s="160"/>
      <c r="BL1234" s="160"/>
      <c r="BM1234" s="160"/>
      <c r="BN1234" s="160"/>
      <c r="BO1234" s="160"/>
      <c r="BP1234" s="160"/>
      <c r="BQ1234" s="160"/>
      <c r="BR1234" s="160"/>
      <c r="BS1234" s="160"/>
      <c r="BT1234" s="160"/>
      <c r="BU1234" s="160"/>
      <c r="BV1234" s="160"/>
      <c r="BW1234" s="160"/>
      <c r="BX1234" s="160"/>
      <c r="BY1234" s="160"/>
      <c r="BZ1234" s="160"/>
      <c r="CA1234" s="160"/>
      <c r="CB1234" s="160"/>
      <c r="CC1234" s="160"/>
      <c r="CD1234" s="160"/>
      <c r="CE1234" s="160"/>
      <c r="CF1234" s="160"/>
      <c r="CG1234" s="160"/>
      <c r="CH1234" s="160"/>
      <c r="CI1234" s="160"/>
      <c r="CJ1234" s="160"/>
      <c r="CK1234" s="160"/>
      <c r="CL1234" s="160"/>
    </row>
    <row r="1235">
      <c r="A1235" s="171"/>
      <c r="F1235" s="11"/>
      <c r="G1235" s="11"/>
      <c r="L1235" s="171"/>
      <c r="M1235" s="171"/>
      <c r="O1235" s="160"/>
      <c r="P1235" s="160"/>
      <c r="Q1235" s="160"/>
      <c r="R1235" s="160"/>
      <c r="S1235" s="160"/>
      <c r="T1235" s="207"/>
      <c r="U1235" s="160"/>
      <c r="V1235" s="160"/>
      <c r="W1235" s="160"/>
      <c r="X1235" s="160"/>
      <c r="Y1235" s="160"/>
      <c r="Z1235" s="160"/>
      <c r="AA1235" s="160"/>
      <c r="AB1235" s="160"/>
      <c r="AC1235" s="160"/>
      <c r="AD1235" s="160"/>
      <c r="AE1235" s="160"/>
      <c r="AF1235" s="160"/>
      <c r="AG1235" s="160"/>
      <c r="AH1235" s="160"/>
      <c r="AI1235" s="160"/>
      <c r="AJ1235" s="160"/>
      <c r="AK1235" s="160"/>
      <c r="AL1235" s="160"/>
      <c r="AM1235" s="160"/>
      <c r="AN1235" s="164"/>
      <c r="AO1235" s="160"/>
      <c r="AP1235" s="160"/>
      <c r="AQ1235" s="160"/>
      <c r="AR1235" s="160"/>
      <c r="AS1235" s="160"/>
      <c r="AT1235" s="160"/>
      <c r="AU1235" s="160"/>
      <c r="AV1235" s="160"/>
      <c r="AW1235" s="160"/>
      <c r="AX1235" s="160"/>
      <c r="AY1235" s="160"/>
      <c r="AZ1235" s="160"/>
      <c r="BA1235" s="160"/>
      <c r="BB1235" s="160"/>
      <c r="BC1235" s="160"/>
      <c r="BD1235" s="160"/>
      <c r="BE1235" s="160"/>
      <c r="BF1235" s="160"/>
      <c r="BG1235" s="160"/>
      <c r="BH1235" s="160"/>
      <c r="BI1235" s="160"/>
      <c r="BJ1235" s="160"/>
      <c r="BK1235" s="160"/>
      <c r="BL1235" s="160"/>
      <c r="BM1235" s="160"/>
      <c r="BN1235" s="160"/>
      <c r="BO1235" s="160"/>
      <c r="BP1235" s="160"/>
      <c r="BQ1235" s="160"/>
      <c r="BR1235" s="160"/>
      <c r="BS1235" s="160"/>
      <c r="BT1235" s="160"/>
      <c r="BU1235" s="160"/>
      <c r="BV1235" s="160"/>
      <c r="BW1235" s="160"/>
      <c r="BX1235" s="160"/>
      <c r="BY1235" s="160"/>
      <c r="BZ1235" s="160"/>
      <c r="CA1235" s="160"/>
      <c r="CB1235" s="160"/>
      <c r="CC1235" s="160"/>
      <c r="CD1235" s="160"/>
      <c r="CE1235" s="160"/>
      <c r="CF1235" s="160"/>
      <c r="CG1235" s="160"/>
      <c r="CH1235" s="160"/>
      <c r="CI1235" s="160"/>
      <c r="CJ1235" s="160"/>
      <c r="CK1235" s="160"/>
      <c r="CL1235" s="160"/>
    </row>
    <row r="1236">
      <c r="A1236" s="171"/>
      <c r="F1236" s="11"/>
      <c r="G1236" s="11"/>
      <c r="L1236" s="171"/>
      <c r="M1236" s="171"/>
      <c r="O1236" s="160"/>
      <c r="P1236" s="160"/>
      <c r="Q1236" s="160"/>
      <c r="R1236" s="160"/>
      <c r="S1236" s="160"/>
      <c r="T1236" s="207"/>
      <c r="U1236" s="160"/>
      <c r="V1236" s="160"/>
      <c r="W1236" s="160"/>
      <c r="X1236" s="160"/>
      <c r="Y1236" s="160"/>
      <c r="Z1236" s="160"/>
      <c r="AA1236" s="160"/>
      <c r="AB1236" s="160"/>
      <c r="AC1236" s="160"/>
      <c r="AD1236" s="160"/>
      <c r="AE1236" s="160"/>
      <c r="AF1236" s="160"/>
      <c r="AG1236" s="160"/>
      <c r="AH1236" s="160"/>
      <c r="AI1236" s="160"/>
      <c r="AJ1236" s="160"/>
      <c r="AK1236" s="160"/>
      <c r="AL1236" s="160"/>
      <c r="AM1236" s="160"/>
      <c r="AN1236" s="164"/>
      <c r="AO1236" s="160"/>
      <c r="AP1236" s="160"/>
      <c r="AQ1236" s="160"/>
      <c r="AR1236" s="160"/>
      <c r="AS1236" s="160"/>
      <c r="AT1236" s="160"/>
      <c r="AU1236" s="160"/>
      <c r="AV1236" s="160"/>
      <c r="AW1236" s="160"/>
      <c r="AX1236" s="160"/>
      <c r="AY1236" s="160"/>
      <c r="AZ1236" s="160"/>
      <c r="BA1236" s="160"/>
      <c r="BB1236" s="160"/>
      <c r="BC1236" s="160"/>
      <c r="BD1236" s="160"/>
      <c r="BE1236" s="160"/>
      <c r="BF1236" s="160"/>
      <c r="BG1236" s="160"/>
      <c r="BH1236" s="160"/>
      <c r="BI1236" s="160"/>
      <c r="BJ1236" s="160"/>
      <c r="BK1236" s="160"/>
      <c r="BL1236" s="160"/>
      <c r="BM1236" s="160"/>
      <c r="BN1236" s="160"/>
      <c r="BO1236" s="160"/>
      <c r="BP1236" s="160"/>
      <c r="BQ1236" s="160"/>
      <c r="BR1236" s="160"/>
      <c r="BS1236" s="160"/>
      <c r="BT1236" s="160"/>
      <c r="BU1236" s="160"/>
      <c r="BV1236" s="160"/>
      <c r="BW1236" s="160"/>
      <c r="BX1236" s="160"/>
      <c r="BY1236" s="160"/>
      <c r="BZ1236" s="160"/>
      <c r="CA1236" s="160"/>
      <c r="CB1236" s="160"/>
      <c r="CC1236" s="160"/>
      <c r="CD1236" s="160"/>
      <c r="CE1236" s="160"/>
      <c r="CF1236" s="160"/>
      <c r="CG1236" s="160"/>
      <c r="CH1236" s="160"/>
      <c r="CI1236" s="160"/>
      <c r="CJ1236" s="160"/>
      <c r="CK1236" s="160"/>
      <c r="CL1236" s="160"/>
    </row>
    <row r="1237">
      <c r="A1237" s="171"/>
      <c r="F1237" s="11"/>
      <c r="G1237" s="11"/>
      <c r="L1237" s="171"/>
      <c r="M1237" s="171"/>
      <c r="O1237" s="160"/>
      <c r="P1237" s="160"/>
      <c r="Q1237" s="160"/>
      <c r="R1237" s="160"/>
      <c r="S1237" s="160"/>
      <c r="T1237" s="207"/>
      <c r="U1237" s="160"/>
      <c r="V1237" s="160"/>
      <c r="W1237" s="160"/>
      <c r="X1237" s="160"/>
      <c r="Y1237" s="160"/>
      <c r="Z1237" s="160"/>
      <c r="AA1237" s="160"/>
      <c r="AB1237" s="160"/>
      <c r="AC1237" s="160"/>
      <c r="AD1237" s="160"/>
      <c r="AE1237" s="160"/>
      <c r="AF1237" s="160"/>
      <c r="AG1237" s="160"/>
      <c r="AH1237" s="160"/>
      <c r="AI1237" s="160"/>
      <c r="AJ1237" s="160"/>
      <c r="AK1237" s="160"/>
      <c r="AL1237" s="160"/>
      <c r="AM1237" s="160"/>
      <c r="AN1237" s="164"/>
      <c r="AO1237" s="160"/>
      <c r="AP1237" s="160"/>
      <c r="AQ1237" s="160"/>
      <c r="AR1237" s="160"/>
      <c r="AS1237" s="160"/>
      <c r="AT1237" s="160"/>
      <c r="AU1237" s="160"/>
      <c r="AV1237" s="160"/>
      <c r="AW1237" s="160"/>
      <c r="AX1237" s="160"/>
      <c r="AY1237" s="160"/>
      <c r="AZ1237" s="160"/>
      <c r="BA1237" s="160"/>
      <c r="BB1237" s="160"/>
      <c r="BC1237" s="160"/>
      <c r="BD1237" s="160"/>
      <c r="BE1237" s="160"/>
      <c r="BF1237" s="160"/>
      <c r="BG1237" s="160"/>
      <c r="BH1237" s="160"/>
      <c r="BI1237" s="160"/>
      <c r="BJ1237" s="160"/>
      <c r="BK1237" s="160"/>
      <c r="BL1237" s="160"/>
      <c r="BM1237" s="160"/>
      <c r="BN1237" s="160"/>
      <c r="BO1237" s="160"/>
      <c r="BP1237" s="160"/>
      <c r="BQ1237" s="160"/>
      <c r="BR1237" s="160"/>
      <c r="BS1237" s="160"/>
      <c r="BT1237" s="160"/>
      <c r="BU1237" s="160"/>
      <c r="BV1237" s="160"/>
      <c r="BW1237" s="160"/>
      <c r="BX1237" s="160"/>
      <c r="BY1237" s="160"/>
      <c r="BZ1237" s="160"/>
      <c r="CA1237" s="160"/>
      <c r="CB1237" s="160"/>
      <c r="CC1237" s="160"/>
      <c r="CD1237" s="160"/>
      <c r="CE1237" s="160"/>
      <c r="CF1237" s="160"/>
      <c r="CG1237" s="160"/>
      <c r="CH1237" s="160"/>
      <c r="CI1237" s="160"/>
      <c r="CJ1237" s="160"/>
      <c r="CK1237" s="160"/>
      <c r="CL1237" s="160"/>
    </row>
    <row r="1238">
      <c r="A1238" s="171"/>
      <c r="F1238" s="11"/>
      <c r="G1238" s="11"/>
      <c r="L1238" s="171"/>
      <c r="M1238" s="171"/>
      <c r="O1238" s="160"/>
      <c r="P1238" s="160"/>
      <c r="Q1238" s="160"/>
      <c r="R1238" s="160"/>
      <c r="S1238" s="160"/>
      <c r="T1238" s="207"/>
      <c r="U1238" s="160"/>
      <c r="V1238" s="160"/>
      <c r="W1238" s="160"/>
      <c r="X1238" s="160"/>
      <c r="Y1238" s="160"/>
      <c r="Z1238" s="160"/>
      <c r="AA1238" s="160"/>
      <c r="AB1238" s="160"/>
      <c r="AC1238" s="160"/>
      <c r="AD1238" s="160"/>
      <c r="AE1238" s="160"/>
      <c r="AF1238" s="160"/>
      <c r="AG1238" s="160"/>
      <c r="AH1238" s="160"/>
      <c r="AI1238" s="160"/>
      <c r="AJ1238" s="160"/>
      <c r="AK1238" s="160"/>
      <c r="AL1238" s="160"/>
      <c r="AM1238" s="160"/>
      <c r="AN1238" s="164"/>
      <c r="AO1238" s="160"/>
      <c r="AP1238" s="160"/>
      <c r="AQ1238" s="160"/>
      <c r="AR1238" s="160"/>
      <c r="AS1238" s="160"/>
      <c r="AT1238" s="160"/>
      <c r="AU1238" s="160"/>
      <c r="AV1238" s="160"/>
      <c r="AW1238" s="160"/>
      <c r="AX1238" s="160"/>
      <c r="AY1238" s="160"/>
      <c r="AZ1238" s="160"/>
      <c r="BA1238" s="160"/>
      <c r="BB1238" s="160"/>
      <c r="BC1238" s="160"/>
      <c r="BD1238" s="160"/>
      <c r="BE1238" s="160"/>
      <c r="BF1238" s="160"/>
      <c r="BG1238" s="160"/>
      <c r="BH1238" s="160"/>
      <c r="BI1238" s="160"/>
      <c r="BJ1238" s="160"/>
      <c r="BK1238" s="160"/>
      <c r="BL1238" s="160"/>
      <c r="BM1238" s="160"/>
      <c r="BN1238" s="160"/>
      <c r="BO1238" s="160"/>
      <c r="BP1238" s="160"/>
      <c r="BQ1238" s="160"/>
      <c r="BR1238" s="160"/>
      <c r="BS1238" s="160"/>
      <c r="BT1238" s="160"/>
      <c r="BU1238" s="160"/>
      <c r="BV1238" s="160"/>
      <c r="BW1238" s="160"/>
      <c r="BX1238" s="160"/>
      <c r="BY1238" s="160"/>
      <c r="BZ1238" s="160"/>
      <c r="CA1238" s="160"/>
      <c r="CB1238" s="160"/>
      <c r="CC1238" s="160"/>
      <c r="CD1238" s="160"/>
      <c r="CE1238" s="160"/>
      <c r="CF1238" s="160"/>
      <c r="CG1238" s="160"/>
      <c r="CH1238" s="160"/>
      <c r="CI1238" s="160"/>
      <c r="CJ1238" s="160"/>
      <c r="CK1238" s="160"/>
      <c r="CL1238" s="160"/>
    </row>
    <row r="1239">
      <c r="A1239" s="171"/>
      <c r="F1239" s="11"/>
      <c r="G1239" s="11"/>
      <c r="L1239" s="171"/>
      <c r="M1239" s="171"/>
      <c r="O1239" s="160"/>
      <c r="P1239" s="160"/>
      <c r="Q1239" s="160"/>
      <c r="R1239" s="160"/>
      <c r="S1239" s="160"/>
      <c r="T1239" s="207"/>
      <c r="U1239" s="160"/>
      <c r="V1239" s="160"/>
      <c r="W1239" s="160"/>
      <c r="X1239" s="160"/>
      <c r="Y1239" s="160"/>
      <c r="Z1239" s="160"/>
      <c r="AA1239" s="160"/>
      <c r="AB1239" s="160"/>
      <c r="AC1239" s="160"/>
      <c r="AD1239" s="160"/>
      <c r="AE1239" s="160"/>
      <c r="AF1239" s="160"/>
      <c r="AG1239" s="160"/>
      <c r="AH1239" s="160"/>
      <c r="AI1239" s="160"/>
      <c r="AJ1239" s="160"/>
      <c r="AK1239" s="160"/>
      <c r="AL1239" s="160"/>
      <c r="AM1239" s="160"/>
      <c r="AN1239" s="164"/>
      <c r="AO1239" s="160"/>
      <c r="AP1239" s="160"/>
      <c r="AQ1239" s="160"/>
      <c r="AR1239" s="160"/>
      <c r="AS1239" s="160"/>
      <c r="AT1239" s="160"/>
      <c r="AU1239" s="160"/>
      <c r="AV1239" s="160"/>
      <c r="AW1239" s="160"/>
      <c r="AX1239" s="160"/>
      <c r="AY1239" s="160"/>
      <c r="AZ1239" s="160"/>
      <c r="BA1239" s="160"/>
      <c r="BB1239" s="160"/>
      <c r="BC1239" s="160"/>
      <c r="BD1239" s="160"/>
      <c r="BE1239" s="160"/>
      <c r="BF1239" s="160"/>
      <c r="BG1239" s="160"/>
      <c r="BH1239" s="160"/>
      <c r="BI1239" s="160"/>
      <c r="BJ1239" s="160"/>
      <c r="BK1239" s="160"/>
      <c r="BL1239" s="160"/>
      <c r="BM1239" s="160"/>
      <c r="BN1239" s="160"/>
      <c r="BO1239" s="160"/>
      <c r="BP1239" s="160"/>
      <c r="BQ1239" s="160"/>
      <c r="BR1239" s="160"/>
      <c r="BS1239" s="160"/>
      <c r="BT1239" s="160"/>
      <c r="BU1239" s="160"/>
      <c r="BV1239" s="160"/>
      <c r="BW1239" s="160"/>
      <c r="BX1239" s="160"/>
      <c r="BY1239" s="160"/>
      <c r="BZ1239" s="160"/>
      <c r="CA1239" s="160"/>
      <c r="CB1239" s="160"/>
      <c r="CC1239" s="160"/>
      <c r="CD1239" s="160"/>
      <c r="CE1239" s="160"/>
      <c r="CF1239" s="160"/>
      <c r="CG1239" s="160"/>
      <c r="CH1239" s="160"/>
      <c r="CI1239" s="160"/>
      <c r="CJ1239" s="160"/>
      <c r="CK1239" s="160"/>
      <c r="CL1239" s="160"/>
    </row>
    <row r="1240">
      <c r="A1240" s="171"/>
      <c r="F1240" s="11"/>
      <c r="G1240" s="11"/>
      <c r="L1240" s="171"/>
      <c r="M1240" s="171"/>
      <c r="O1240" s="160"/>
      <c r="P1240" s="160"/>
      <c r="Q1240" s="160"/>
      <c r="R1240" s="160"/>
      <c r="S1240" s="160"/>
      <c r="T1240" s="207"/>
      <c r="U1240" s="160"/>
      <c r="V1240" s="160"/>
      <c r="W1240" s="160"/>
      <c r="X1240" s="160"/>
      <c r="Y1240" s="160"/>
      <c r="Z1240" s="160"/>
      <c r="AA1240" s="160"/>
      <c r="AB1240" s="160"/>
      <c r="AC1240" s="160"/>
      <c r="AD1240" s="160"/>
      <c r="AE1240" s="160"/>
      <c r="AF1240" s="160"/>
      <c r="AG1240" s="160"/>
      <c r="AH1240" s="160"/>
      <c r="AI1240" s="160"/>
      <c r="AJ1240" s="160"/>
      <c r="AK1240" s="160"/>
      <c r="AL1240" s="160"/>
      <c r="AM1240" s="160"/>
      <c r="AN1240" s="164"/>
      <c r="AO1240" s="160"/>
      <c r="AP1240" s="160"/>
      <c r="AQ1240" s="160"/>
      <c r="AR1240" s="160"/>
      <c r="AS1240" s="160"/>
      <c r="AT1240" s="160"/>
      <c r="AU1240" s="160"/>
      <c r="AV1240" s="160"/>
      <c r="AW1240" s="160"/>
      <c r="AX1240" s="160"/>
      <c r="AY1240" s="160"/>
      <c r="AZ1240" s="160"/>
      <c r="BA1240" s="160"/>
      <c r="BB1240" s="160"/>
      <c r="BC1240" s="160"/>
      <c r="BD1240" s="160"/>
      <c r="BE1240" s="160"/>
      <c r="BF1240" s="160"/>
      <c r="BG1240" s="160"/>
      <c r="BH1240" s="160"/>
      <c r="BI1240" s="160"/>
      <c r="BJ1240" s="160"/>
      <c r="BK1240" s="160"/>
      <c r="BL1240" s="160"/>
      <c r="BM1240" s="160"/>
      <c r="BN1240" s="160"/>
      <c r="BO1240" s="160"/>
      <c r="BP1240" s="160"/>
      <c r="BQ1240" s="160"/>
      <c r="BR1240" s="160"/>
      <c r="BS1240" s="160"/>
      <c r="BT1240" s="160"/>
      <c r="BU1240" s="160"/>
      <c r="BV1240" s="160"/>
      <c r="BW1240" s="160"/>
      <c r="BX1240" s="160"/>
      <c r="BY1240" s="160"/>
      <c r="BZ1240" s="160"/>
      <c r="CA1240" s="160"/>
      <c r="CB1240" s="160"/>
      <c r="CC1240" s="160"/>
      <c r="CD1240" s="160"/>
      <c r="CE1240" s="160"/>
      <c r="CF1240" s="160"/>
      <c r="CG1240" s="160"/>
      <c r="CH1240" s="160"/>
      <c r="CI1240" s="160"/>
      <c r="CJ1240" s="160"/>
      <c r="CK1240" s="160"/>
      <c r="CL1240" s="160"/>
    </row>
    <row r="1241">
      <c r="A1241" s="171"/>
      <c r="F1241" s="11"/>
      <c r="G1241" s="11"/>
      <c r="L1241" s="171"/>
      <c r="M1241" s="171"/>
      <c r="O1241" s="160"/>
      <c r="P1241" s="160"/>
      <c r="Q1241" s="160"/>
      <c r="R1241" s="160"/>
      <c r="S1241" s="160"/>
      <c r="T1241" s="207"/>
      <c r="U1241" s="160"/>
      <c r="V1241" s="160"/>
      <c r="W1241" s="160"/>
      <c r="X1241" s="160"/>
      <c r="Y1241" s="160"/>
      <c r="Z1241" s="160"/>
      <c r="AA1241" s="160"/>
      <c r="AB1241" s="160"/>
      <c r="AC1241" s="160"/>
      <c r="AD1241" s="160"/>
      <c r="AE1241" s="160"/>
      <c r="AF1241" s="160"/>
      <c r="AG1241" s="160"/>
      <c r="AH1241" s="160"/>
      <c r="AI1241" s="160"/>
      <c r="AJ1241" s="160"/>
      <c r="AK1241" s="160"/>
      <c r="AL1241" s="160"/>
      <c r="AM1241" s="160"/>
      <c r="AN1241" s="164"/>
      <c r="AO1241" s="160"/>
      <c r="AP1241" s="160"/>
      <c r="AQ1241" s="160"/>
      <c r="AR1241" s="160"/>
      <c r="AS1241" s="160"/>
      <c r="AT1241" s="160"/>
      <c r="AU1241" s="160"/>
      <c r="AV1241" s="160"/>
      <c r="AW1241" s="160"/>
      <c r="AX1241" s="160"/>
      <c r="AY1241" s="160"/>
      <c r="AZ1241" s="160"/>
      <c r="BA1241" s="160"/>
      <c r="BB1241" s="160"/>
      <c r="BC1241" s="160"/>
      <c r="BD1241" s="160"/>
      <c r="BE1241" s="160"/>
      <c r="BF1241" s="160"/>
      <c r="BG1241" s="160"/>
      <c r="BH1241" s="160"/>
      <c r="BI1241" s="160"/>
      <c r="BJ1241" s="160"/>
      <c r="BK1241" s="160"/>
      <c r="BL1241" s="160"/>
      <c r="BM1241" s="160"/>
      <c r="BN1241" s="160"/>
      <c r="BO1241" s="160"/>
      <c r="BP1241" s="160"/>
      <c r="BQ1241" s="160"/>
      <c r="BR1241" s="160"/>
      <c r="BS1241" s="160"/>
      <c r="BT1241" s="160"/>
      <c r="BU1241" s="160"/>
      <c r="BV1241" s="160"/>
      <c r="BW1241" s="160"/>
      <c r="BX1241" s="160"/>
      <c r="BY1241" s="160"/>
      <c r="BZ1241" s="160"/>
      <c r="CA1241" s="160"/>
      <c r="CB1241" s="160"/>
      <c r="CC1241" s="160"/>
      <c r="CD1241" s="160"/>
      <c r="CE1241" s="160"/>
      <c r="CF1241" s="160"/>
      <c r="CG1241" s="160"/>
      <c r="CH1241" s="160"/>
      <c r="CI1241" s="160"/>
      <c r="CJ1241" s="160"/>
      <c r="CK1241" s="160"/>
      <c r="CL1241" s="160"/>
    </row>
    <row r="1242">
      <c r="A1242" s="171"/>
      <c r="F1242" s="11"/>
      <c r="G1242" s="11"/>
      <c r="L1242" s="171"/>
      <c r="M1242" s="171"/>
      <c r="O1242" s="160"/>
      <c r="P1242" s="160"/>
      <c r="Q1242" s="160"/>
      <c r="R1242" s="160"/>
      <c r="S1242" s="160"/>
      <c r="T1242" s="207"/>
      <c r="U1242" s="160"/>
      <c r="V1242" s="160"/>
      <c r="W1242" s="160"/>
      <c r="X1242" s="160"/>
      <c r="Y1242" s="160"/>
      <c r="Z1242" s="160"/>
      <c r="AA1242" s="160"/>
      <c r="AB1242" s="160"/>
      <c r="AC1242" s="160"/>
      <c r="AD1242" s="160"/>
      <c r="AE1242" s="160"/>
      <c r="AF1242" s="160"/>
      <c r="AG1242" s="160"/>
      <c r="AH1242" s="160"/>
      <c r="AI1242" s="160"/>
      <c r="AJ1242" s="160"/>
      <c r="AK1242" s="160"/>
      <c r="AL1242" s="160"/>
      <c r="AM1242" s="160"/>
      <c r="AN1242" s="164"/>
      <c r="AO1242" s="160"/>
      <c r="AP1242" s="160"/>
      <c r="AQ1242" s="160"/>
      <c r="AR1242" s="160"/>
      <c r="AS1242" s="160"/>
      <c r="AT1242" s="160"/>
      <c r="AU1242" s="160"/>
      <c r="AV1242" s="160"/>
      <c r="AW1242" s="160"/>
      <c r="AX1242" s="160"/>
      <c r="AY1242" s="160"/>
      <c r="AZ1242" s="160"/>
      <c r="BA1242" s="160"/>
      <c r="BB1242" s="160"/>
      <c r="BC1242" s="160"/>
      <c r="BD1242" s="160"/>
      <c r="BE1242" s="160"/>
      <c r="BF1242" s="160"/>
      <c r="BG1242" s="160"/>
      <c r="BH1242" s="160"/>
      <c r="BI1242" s="160"/>
      <c r="BJ1242" s="160"/>
      <c r="BK1242" s="160"/>
      <c r="BL1242" s="160"/>
      <c r="BM1242" s="160"/>
      <c r="BN1242" s="160"/>
      <c r="BO1242" s="160"/>
      <c r="BP1242" s="160"/>
      <c r="BQ1242" s="160"/>
      <c r="BR1242" s="160"/>
      <c r="BS1242" s="160"/>
      <c r="BT1242" s="160"/>
      <c r="BU1242" s="160"/>
      <c r="BV1242" s="160"/>
      <c r="BW1242" s="160"/>
      <c r="BX1242" s="160"/>
      <c r="BY1242" s="160"/>
      <c r="BZ1242" s="160"/>
      <c r="CA1242" s="160"/>
      <c r="CB1242" s="160"/>
      <c r="CC1242" s="160"/>
      <c r="CD1242" s="160"/>
      <c r="CE1242" s="160"/>
      <c r="CF1242" s="160"/>
      <c r="CG1242" s="160"/>
      <c r="CH1242" s="160"/>
      <c r="CI1242" s="160"/>
      <c r="CJ1242" s="160"/>
      <c r="CK1242" s="160"/>
      <c r="CL1242" s="160"/>
    </row>
    <row r="1243">
      <c r="A1243" s="171"/>
      <c r="F1243" s="11"/>
      <c r="G1243" s="11"/>
      <c r="L1243" s="171"/>
      <c r="M1243" s="171"/>
      <c r="O1243" s="160"/>
      <c r="P1243" s="160"/>
      <c r="Q1243" s="160"/>
      <c r="R1243" s="160"/>
      <c r="S1243" s="160"/>
      <c r="T1243" s="207"/>
      <c r="U1243" s="160"/>
      <c r="V1243" s="160"/>
      <c r="W1243" s="160"/>
      <c r="X1243" s="160"/>
      <c r="Y1243" s="160"/>
      <c r="Z1243" s="160"/>
      <c r="AA1243" s="160"/>
      <c r="AB1243" s="160"/>
      <c r="AC1243" s="160"/>
      <c r="AD1243" s="160"/>
      <c r="AE1243" s="160"/>
      <c r="AF1243" s="160"/>
      <c r="AG1243" s="160"/>
      <c r="AH1243" s="160"/>
      <c r="AI1243" s="160"/>
      <c r="AJ1243" s="160"/>
      <c r="AK1243" s="160"/>
      <c r="AL1243" s="160"/>
      <c r="AM1243" s="160"/>
      <c r="AN1243" s="164"/>
      <c r="AO1243" s="160"/>
      <c r="AP1243" s="160"/>
      <c r="AQ1243" s="160"/>
      <c r="AR1243" s="160"/>
      <c r="AS1243" s="160"/>
      <c r="AT1243" s="160"/>
      <c r="AU1243" s="160"/>
      <c r="AV1243" s="160"/>
      <c r="AW1243" s="160"/>
      <c r="AX1243" s="160"/>
      <c r="AY1243" s="160"/>
      <c r="AZ1243" s="160"/>
      <c r="BA1243" s="160"/>
      <c r="BB1243" s="160"/>
      <c r="BC1243" s="160"/>
      <c r="BD1243" s="160"/>
      <c r="BE1243" s="160"/>
      <c r="BF1243" s="160"/>
      <c r="BG1243" s="160"/>
      <c r="BH1243" s="160"/>
      <c r="BI1243" s="160"/>
      <c r="BJ1243" s="160"/>
      <c r="BK1243" s="160"/>
      <c r="BL1243" s="160"/>
      <c r="BM1243" s="160"/>
      <c r="BN1243" s="160"/>
      <c r="BO1243" s="160"/>
      <c r="BP1243" s="160"/>
      <c r="BQ1243" s="160"/>
      <c r="BR1243" s="160"/>
      <c r="BS1243" s="160"/>
      <c r="BT1243" s="160"/>
      <c r="BU1243" s="160"/>
      <c r="BV1243" s="160"/>
      <c r="BW1243" s="160"/>
      <c r="BX1243" s="160"/>
      <c r="BY1243" s="160"/>
      <c r="BZ1243" s="160"/>
      <c r="CA1243" s="160"/>
      <c r="CB1243" s="160"/>
      <c r="CC1243" s="160"/>
      <c r="CD1243" s="160"/>
      <c r="CE1243" s="160"/>
      <c r="CF1243" s="160"/>
      <c r="CG1243" s="160"/>
      <c r="CH1243" s="160"/>
      <c r="CI1243" s="160"/>
      <c r="CJ1243" s="160"/>
      <c r="CK1243" s="160"/>
      <c r="CL1243" s="160"/>
    </row>
    <row r="1244">
      <c r="A1244" s="171"/>
      <c r="F1244" s="11"/>
      <c r="G1244" s="11"/>
      <c r="L1244" s="171"/>
      <c r="M1244" s="171"/>
      <c r="O1244" s="160"/>
      <c r="P1244" s="160"/>
      <c r="Q1244" s="160"/>
      <c r="R1244" s="160"/>
      <c r="S1244" s="160"/>
      <c r="T1244" s="207"/>
      <c r="U1244" s="160"/>
      <c r="V1244" s="160"/>
      <c r="W1244" s="160"/>
      <c r="X1244" s="160"/>
      <c r="Y1244" s="160"/>
      <c r="Z1244" s="160"/>
      <c r="AA1244" s="160"/>
      <c r="AB1244" s="160"/>
      <c r="AC1244" s="160"/>
      <c r="AD1244" s="160"/>
      <c r="AE1244" s="160"/>
      <c r="AF1244" s="160"/>
      <c r="AG1244" s="160"/>
      <c r="AH1244" s="160"/>
      <c r="AI1244" s="160"/>
      <c r="AJ1244" s="160"/>
      <c r="AK1244" s="160"/>
      <c r="AL1244" s="160"/>
      <c r="AM1244" s="160"/>
      <c r="AN1244" s="164"/>
      <c r="AO1244" s="160"/>
      <c r="AP1244" s="160"/>
      <c r="AQ1244" s="160"/>
      <c r="AR1244" s="160"/>
      <c r="AS1244" s="160"/>
      <c r="AT1244" s="160"/>
      <c r="AU1244" s="160"/>
      <c r="AV1244" s="160"/>
      <c r="AW1244" s="160"/>
      <c r="AX1244" s="160"/>
      <c r="AY1244" s="160"/>
      <c r="AZ1244" s="160"/>
      <c r="BA1244" s="160"/>
      <c r="BB1244" s="160"/>
      <c r="BC1244" s="160"/>
      <c r="BD1244" s="160"/>
      <c r="BE1244" s="160"/>
      <c r="BF1244" s="160"/>
      <c r="BG1244" s="160"/>
      <c r="BH1244" s="160"/>
      <c r="BI1244" s="160"/>
      <c r="BJ1244" s="160"/>
      <c r="BK1244" s="160"/>
      <c r="BL1244" s="160"/>
      <c r="BM1244" s="160"/>
      <c r="BN1244" s="160"/>
      <c r="BO1244" s="160"/>
      <c r="BP1244" s="160"/>
      <c r="BQ1244" s="160"/>
      <c r="BR1244" s="160"/>
      <c r="BS1244" s="160"/>
      <c r="BT1244" s="160"/>
      <c r="BU1244" s="160"/>
      <c r="BV1244" s="160"/>
      <c r="BW1244" s="160"/>
      <c r="BX1244" s="160"/>
      <c r="BY1244" s="160"/>
      <c r="BZ1244" s="160"/>
      <c r="CA1244" s="160"/>
      <c r="CB1244" s="160"/>
      <c r="CC1244" s="160"/>
      <c r="CD1244" s="160"/>
      <c r="CE1244" s="160"/>
      <c r="CF1244" s="160"/>
      <c r="CG1244" s="160"/>
      <c r="CH1244" s="160"/>
      <c r="CI1244" s="160"/>
      <c r="CJ1244" s="160"/>
      <c r="CK1244" s="160"/>
      <c r="CL1244" s="160"/>
    </row>
    <row r="1245">
      <c r="A1245" s="171"/>
      <c r="F1245" s="11"/>
      <c r="G1245" s="11"/>
      <c r="L1245" s="171"/>
      <c r="M1245" s="171"/>
      <c r="O1245" s="160"/>
      <c r="P1245" s="160"/>
      <c r="Q1245" s="160"/>
      <c r="R1245" s="160"/>
      <c r="S1245" s="160"/>
      <c r="T1245" s="207"/>
      <c r="U1245" s="160"/>
      <c r="V1245" s="160"/>
      <c r="W1245" s="160"/>
      <c r="X1245" s="160"/>
      <c r="Y1245" s="160"/>
      <c r="Z1245" s="160"/>
      <c r="AA1245" s="160"/>
      <c r="AB1245" s="160"/>
      <c r="AC1245" s="160"/>
      <c r="AD1245" s="160"/>
      <c r="AE1245" s="160"/>
      <c r="AF1245" s="160"/>
      <c r="AG1245" s="160"/>
      <c r="AH1245" s="160"/>
      <c r="AI1245" s="160"/>
      <c r="AJ1245" s="160"/>
      <c r="AK1245" s="160"/>
      <c r="AL1245" s="160"/>
      <c r="AM1245" s="160"/>
      <c r="AN1245" s="164"/>
      <c r="AO1245" s="160"/>
      <c r="AP1245" s="160"/>
      <c r="AQ1245" s="160"/>
      <c r="AR1245" s="160"/>
      <c r="AS1245" s="160"/>
      <c r="AT1245" s="160"/>
      <c r="AU1245" s="160"/>
      <c r="AV1245" s="160"/>
      <c r="AW1245" s="160"/>
      <c r="AX1245" s="160"/>
      <c r="AY1245" s="160"/>
      <c r="AZ1245" s="160"/>
      <c r="BA1245" s="160"/>
      <c r="BB1245" s="160"/>
      <c r="BC1245" s="160"/>
      <c r="BD1245" s="160"/>
      <c r="BE1245" s="160"/>
      <c r="BF1245" s="160"/>
      <c r="BG1245" s="160"/>
      <c r="BH1245" s="160"/>
      <c r="BI1245" s="160"/>
      <c r="BJ1245" s="160"/>
      <c r="BK1245" s="160"/>
      <c r="BL1245" s="160"/>
      <c r="BM1245" s="160"/>
      <c r="BN1245" s="160"/>
      <c r="BO1245" s="160"/>
      <c r="BP1245" s="160"/>
      <c r="BQ1245" s="160"/>
      <c r="BR1245" s="160"/>
      <c r="BS1245" s="160"/>
      <c r="BT1245" s="160"/>
      <c r="BU1245" s="160"/>
      <c r="BV1245" s="160"/>
      <c r="BW1245" s="160"/>
      <c r="BX1245" s="160"/>
      <c r="BY1245" s="160"/>
      <c r="BZ1245" s="160"/>
      <c r="CA1245" s="160"/>
      <c r="CB1245" s="160"/>
      <c r="CC1245" s="160"/>
      <c r="CD1245" s="160"/>
      <c r="CE1245" s="160"/>
      <c r="CF1245" s="160"/>
      <c r="CG1245" s="160"/>
      <c r="CH1245" s="160"/>
      <c r="CI1245" s="160"/>
      <c r="CJ1245" s="160"/>
      <c r="CK1245" s="160"/>
      <c r="CL1245" s="160"/>
    </row>
    <row r="1246">
      <c r="A1246" s="171"/>
      <c r="F1246" s="11"/>
      <c r="G1246" s="11"/>
      <c r="L1246" s="171"/>
      <c r="M1246" s="171"/>
      <c r="O1246" s="160"/>
      <c r="P1246" s="160"/>
      <c r="Q1246" s="160"/>
      <c r="R1246" s="160"/>
      <c r="S1246" s="160"/>
      <c r="T1246" s="207"/>
      <c r="U1246" s="160"/>
      <c r="V1246" s="160"/>
      <c r="W1246" s="160"/>
      <c r="X1246" s="160"/>
      <c r="Y1246" s="160"/>
      <c r="Z1246" s="160"/>
      <c r="AA1246" s="160"/>
      <c r="AB1246" s="160"/>
      <c r="AC1246" s="160"/>
      <c r="AD1246" s="160"/>
      <c r="AE1246" s="160"/>
      <c r="AF1246" s="160"/>
      <c r="AG1246" s="160"/>
      <c r="AH1246" s="160"/>
      <c r="AI1246" s="160"/>
      <c r="AJ1246" s="160"/>
      <c r="AK1246" s="160"/>
      <c r="AL1246" s="160"/>
      <c r="AM1246" s="160"/>
      <c r="AN1246" s="164"/>
      <c r="AO1246" s="160"/>
      <c r="AP1246" s="160"/>
      <c r="AQ1246" s="160"/>
      <c r="AR1246" s="160"/>
      <c r="AS1246" s="160"/>
      <c r="AT1246" s="160"/>
      <c r="AU1246" s="160"/>
      <c r="AV1246" s="160"/>
      <c r="AW1246" s="160"/>
      <c r="AX1246" s="160"/>
      <c r="AY1246" s="160"/>
      <c r="AZ1246" s="160"/>
      <c r="BA1246" s="160"/>
      <c r="BB1246" s="160"/>
      <c r="BC1246" s="160"/>
      <c r="BD1246" s="160"/>
      <c r="BE1246" s="160"/>
      <c r="BF1246" s="160"/>
      <c r="BG1246" s="160"/>
      <c r="BH1246" s="160"/>
      <c r="BI1246" s="160"/>
      <c r="BJ1246" s="160"/>
      <c r="BK1246" s="160"/>
      <c r="BL1246" s="160"/>
      <c r="BM1246" s="160"/>
      <c r="BN1246" s="160"/>
      <c r="BO1246" s="160"/>
      <c r="BP1246" s="160"/>
      <c r="BQ1246" s="160"/>
      <c r="BR1246" s="160"/>
      <c r="BS1246" s="160"/>
      <c r="BT1246" s="160"/>
      <c r="BU1246" s="160"/>
      <c r="BV1246" s="160"/>
      <c r="BW1246" s="160"/>
      <c r="BX1246" s="160"/>
      <c r="BY1246" s="160"/>
      <c r="BZ1246" s="160"/>
      <c r="CA1246" s="160"/>
      <c r="CB1246" s="160"/>
      <c r="CC1246" s="160"/>
      <c r="CD1246" s="160"/>
      <c r="CE1246" s="160"/>
      <c r="CF1246" s="160"/>
      <c r="CG1246" s="160"/>
      <c r="CH1246" s="160"/>
      <c r="CI1246" s="160"/>
      <c r="CJ1246" s="160"/>
      <c r="CK1246" s="160"/>
      <c r="CL1246" s="160"/>
    </row>
    <row r="1247">
      <c r="A1247" s="171"/>
      <c r="F1247" s="11"/>
      <c r="G1247" s="11"/>
      <c r="L1247" s="171"/>
      <c r="M1247" s="171"/>
      <c r="O1247" s="160"/>
      <c r="P1247" s="160"/>
      <c r="Q1247" s="160"/>
      <c r="R1247" s="160"/>
      <c r="S1247" s="160"/>
      <c r="T1247" s="207"/>
      <c r="U1247" s="160"/>
      <c r="V1247" s="160"/>
      <c r="W1247" s="160"/>
      <c r="X1247" s="160"/>
      <c r="Y1247" s="160"/>
      <c r="Z1247" s="160"/>
      <c r="AA1247" s="160"/>
      <c r="AB1247" s="160"/>
      <c r="AC1247" s="160"/>
      <c r="AD1247" s="160"/>
      <c r="AE1247" s="160"/>
      <c r="AF1247" s="160"/>
      <c r="AG1247" s="160"/>
      <c r="AH1247" s="160"/>
      <c r="AI1247" s="160"/>
      <c r="AJ1247" s="160"/>
      <c r="AK1247" s="160"/>
      <c r="AL1247" s="160"/>
      <c r="AM1247" s="160"/>
      <c r="AN1247" s="164"/>
      <c r="AO1247" s="160"/>
      <c r="AP1247" s="160"/>
      <c r="AQ1247" s="160"/>
      <c r="AR1247" s="160"/>
      <c r="AS1247" s="160"/>
      <c r="AT1247" s="160"/>
      <c r="AU1247" s="160"/>
      <c r="AV1247" s="160"/>
      <c r="AW1247" s="160"/>
      <c r="AX1247" s="160"/>
      <c r="AY1247" s="160"/>
      <c r="AZ1247" s="160"/>
      <c r="BA1247" s="160"/>
      <c r="BB1247" s="160"/>
      <c r="BC1247" s="160"/>
      <c r="BD1247" s="160"/>
      <c r="BE1247" s="160"/>
      <c r="BF1247" s="160"/>
      <c r="BG1247" s="160"/>
      <c r="BH1247" s="160"/>
      <c r="BI1247" s="160"/>
      <c r="BJ1247" s="160"/>
      <c r="BK1247" s="160"/>
      <c r="BL1247" s="160"/>
      <c r="BM1247" s="160"/>
      <c r="BN1247" s="160"/>
      <c r="BO1247" s="160"/>
      <c r="BP1247" s="160"/>
      <c r="BQ1247" s="160"/>
      <c r="BR1247" s="160"/>
      <c r="BS1247" s="160"/>
      <c r="BT1247" s="160"/>
      <c r="BU1247" s="160"/>
      <c r="BV1247" s="160"/>
      <c r="BW1247" s="160"/>
      <c r="BX1247" s="160"/>
      <c r="BY1247" s="160"/>
      <c r="BZ1247" s="160"/>
      <c r="CA1247" s="160"/>
      <c r="CB1247" s="160"/>
      <c r="CC1247" s="160"/>
      <c r="CD1247" s="160"/>
      <c r="CE1247" s="160"/>
      <c r="CF1247" s="160"/>
      <c r="CG1247" s="160"/>
      <c r="CH1247" s="160"/>
      <c r="CI1247" s="160"/>
      <c r="CJ1247" s="160"/>
      <c r="CK1247" s="160"/>
      <c r="CL1247" s="160"/>
    </row>
    <row r="1248">
      <c r="A1248" s="171"/>
      <c r="F1248" s="11"/>
      <c r="G1248" s="11"/>
      <c r="L1248" s="171"/>
      <c r="M1248" s="171"/>
      <c r="O1248" s="160"/>
      <c r="P1248" s="160"/>
      <c r="Q1248" s="160"/>
      <c r="R1248" s="160"/>
      <c r="S1248" s="160"/>
      <c r="T1248" s="207"/>
      <c r="U1248" s="160"/>
      <c r="V1248" s="160"/>
      <c r="W1248" s="160"/>
      <c r="X1248" s="160"/>
      <c r="Y1248" s="160"/>
      <c r="Z1248" s="160"/>
      <c r="AA1248" s="160"/>
      <c r="AB1248" s="160"/>
      <c r="AC1248" s="160"/>
      <c r="AD1248" s="160"/>
      <c r="AE1248" s="160"/>
      <c r="AF1248" s="160"/>
      <c r="AG1248" s="160"/>
      <c r="AH1248" s="160"/>
      <c r="AI1248" s="160"/>
      <c r="AJ1248" s="160"/>
      <c r="AK1248" s="160"/>
      <c r="AL1248" s="160"/>
      <c r="AM1248" s="160"/>
      <c r="AN1248" s="164"/>
      <c r="AO1248" s="160"/>
      <c r="AP1248" s="160"/>
      <c r="AQ1248" s="160"/>
      <c r="AR1248" s="160"/>
      <c r="AS1248" s="160"/>
      <c r="AT1248" s="160"/>
      <c r="AU1248" s="160"/>
      <c r="AV1248" s="160"/>
      <c r="AW1248" s="160"/>
      <c r="AX1248" s="160"/>
      <c r="AY1248" s="160"/>
      <c r="AZ1248" s="160"/>
      <c r="BA1248" s="160"/>
      <c r="BB1248" s="160"/>
      <c r="BC1248" s="160"/>
      <c r="BD1248" s="160"/>
      <c r="BE1248" s="160"/>
      <c r="BF1248" s="160"/>
      <c r="BG1248" s="160"/>
      <c r="BH1248" s="160"/>
      <c r="BI1248" s="160"/>
      <c r="BJ1248" s="160"/>
      <c r="BK1248" s="160"/>
      <c r="BL1248" s="160"/>
      <c r="BM1248" s="160"/>
      <c r="BN1248" s="160"/>
      <c r="BO1248" s="160"/>
      <c r="BP1248" s="160"/>
      <c r="BQ1248" s="160"/>
      <c r="BR1248" s="160"/>
      <c r="BS1248" s="160"/>
      <c r="BT1248" s="160"/>
      <c r="BU1248" s="160"/>
      <c r="BV1248" s="160"/>
      <c r="BW1248" s="160"/>
      <c r="BX1248" s="160"/>
      <c r="BY1248" s="160"/>
      <c r="BZ1248" s="160"/>
      <c r="CA1248" s="160"/>
      <c r="CB1248" s="160"/>
      <c r="CC1248" s="160"/>
      <c r="CD1248" s="160"/>
      <c r="CE1248" s="160"/>
      <c r="CF1248" s="160"/>
      <c r="CG1248" s="160"/>
      <c r="CH1248" s="160"/>
      <c r="CI1248" s="160"/>
      <c r="CJ1248" s="160"/>
      <c r="CK1248" s="160"/>
      <c r="CL1248" s="160"/>
    </row>
    <row r="1249">
      <c r="A1249" s="171"/>
      <c r="F1249" s="11"/>
      <c r="G1249" s="11"/>
      <c r="L1249" s="171"/>
      <c r="M1249" s="171"/>
      <c r="O1249" s="160"/>
      <c r="P1249" s="160"/>
      <c r="Q1249" s="160"/>
      <c r="R1249" s="160"/>
      <c r="S1249" s="160"/>
      <c r="T1249" s="207"/>
      <c r="U1249" s="160"/>
      <c r="V1249" s="160"/>
      <c r="W1249" s="160"/>
      <c r="X1249" s="160"/>
      <c r="Y1249" s="160"/>
      <c r="Z1249" s="160"/>
      <c r="AA1249" s="160"/>
      <c r="AB1249" s="160"/>
      <c r="AC1249" s="160"/>
      <c r="AD1249" s="160"/>
      <c r="AE1249" s="160"/>
      <c r="AF1249" s="160"/>
      <c r="AG1249" s="160"/>
      <c r="AH1249" s="160"/>
      <c r="AI1249" s="160"/>
      <c r="AJ1249" s="160"/>
      <c r="AK1249" s="160"/>
      <c r="AL1249" s="160"/>
      <c r="AM1249" s="160"/>
      <c r="AN1249" s="164"/>
      <c r="AO1249" s="160"/>
      <c r="AP1249" s="160"/>
      <c r="AQ1249" s="160"/>
      <c r="AR1249" s="160"/>
      <c r="AS1249" s="160"/>
      <c r="AT1249" s="160"/>
      <c r="AU1249" s="160"/>
      <c r="AV1249" s="160"/>
      <c r="AW1249" s="160"/>
      <c r="AX1249" s="160"/>
      <c r="AY1249" s="160"/>
      <c r="AZ1249" s="160"/>
      <c r="BA1249" s="160"/>
      <c r="BB1249" s="160"/>
      <c r="BC1249" s="160"/>
      <c r="BD1249" s="160"/>
      <c r="BE1249" s="160"/>
      <c r="BF1249" s="160"/>
      <c r="BG1249" s="160"/>
      <c r="BH1249" s="160"/>
      <c r="BI1249" s="160"/>
      <c r="BJ1249" s="160"/>
      <c r="BK1249" s="160"/>
      <c r="BL1249" s="160"/>
      <c r="BM1249" s="160"/>
      <c r="BN1249" s="160"/>
      <c r="BO1249" s="160"/>
      <c r="BP1249" s="160"/>
      <c r="BQ1249" s="160"/>
      <c r="BR1249" s="160"/>
      <c r="BS1249" s="160"/>
      <c r="BT1249" s="160"/>
      <c r="BU1249" s="160"/>
      <c r="BV1249" s="160"/>
      <c r="BW1249" s="160"/>
      <c r="BX1249" s="160"/>
      <c r="BY1249" s="160"/>
      <c r="BZ1249" s="160"/>
      <c r="CA1249" s="160"/>
      <c r="CB1249" s="160"/>
      <c r="CC1249" s="160"/>
      <c r="CD1249" s="160"/>
      <c r="CE1249" s="160"/>
      <c r="CF1249" s="160"/>
      <c r="CG1249" s="160"/>
      <c r="CH1249" s="160"/>
      <c r="CI1249" s="160"/>
      <c r="CJ1249" s="160"/>
      <c r="CK1249" s="160"/>
      <c r="CL1249" s="160"/>
    </row>
    <row r="1250">
      <c r="A1250" s="171"/>
      <c r="F1250" s="11"/>
      <c r="G1250" s="11"/>
      <c r="L1250" s="171"/>
      <c r="M1250" s="171"/>
      <c r="O1250" s="160"/>
      <c r="P1250" s="160"/>
      <c r="Q1250" s="160"/>
      <c r="R1250" s="160"/>
      <c r="S1250" s="160"/>
      <c r="T1250" s="207"/>
      <c r="U1250" s="160"/>
      <c r="V1250" s="160"/>
      <c r="W1250" s="160"/>
      <c r="X1250" s="160"/>
      <c r="Y1250" s="160"/>
      <c r="Z1250" s="160"/>
      <c r="AA1250" s="160"/>
      <c r="AB1250" s="160"/>
      <c r="AC1250" s="160"/>
      <c r="AD1250" s="160"/>
      <c r="AE1250" s="160"/>
      <c r="AF1250" s="160"/>
      <c r="AG1250" s="160"/>
      <c r="AH1250" s="160"/>
      <c r="AI1250" s="160"/>
      <c r="AJ1250" s="160"/>
      <c r="AK1250" s="160"/>
      <c r="AL1250" s="160"/>
      <c r="AM1250" s="160"/>
      <c r="AN1250" s="164"/>
      <c r="AO1250" s="160"/>
      <c r="AP1250" s="160"/>
      <c r="AQ1250" s="160"/>
      <c r="AR1250" s="160"/>
      <c r="AS1250" s="160"/>
      <c r="AT1250" s="160"/>
      <c r="AU1250" s="160"/>
      <c r="AV1250" s="160"/>
      <c r="AW1250" s="160"/>
      <c r="AX1250" s="160"/>
      <c r="AY1250" s="160"/>
      <c r="AZ1250" s="160"/>
      <c r="BA1250" s="160"/>
      <c r="BB1250" s="160"/>
      <c r="BC1250" s="160"/>
      <c r="BD1250" s="160"/>
      <c r="BE1250" s="160"/>
      <c r="BF1250" s="160"/>
      <c r="BG1250" s="160"/>
      <c r="BH1250" s="160"/>
      <c r="BI1250" s="160"/>
      <c r="BJ1250" s="160"/>
      <c r="BK1250" s="160"/>
      <c r="BL1250" s="160"/>
      <c r="BM1250" s="160"/>
      <c r="BN1250" s="160"/>
      <c r="BO1250" s="160"/>
      <c r="BP1250" s="160"/>
      <c r="BQ1250" s="160"/>
      <c r="BR1250" s="160"/>
      <c r="BS1250" s="160"/>
      <c r="BT1250" s="160"/>
      <c r="BU1250" s="160"/>
      <c r="BV1250" s="160"/>
      <c r="BW1250" s="160"/>
      <c r="BX1250" s="160"/>
      <c r="BY1250" s="160"/>
      <c r="BZ1250" s="160"/>
      <c r="CA1250" s="160"/>
      <c r="CB1250" s="160"/>
      <c r="CC1250" s="160"/>
      <c r="CD1250" s="160"/>
      <c r="CE1250" s="160"/>
      <c r="CF1250" s="160"/>
      <c r="CG1250" s="160"/>
      <c r="CH1250" s="160"/>
      <c r="CI1250" s="160"/>
      <c r="CJ1250" s="160"/>
      <c r="CK1250" s="160"/>
      <c r="CL1250" s="160"/>
    </row>
    <row r="1251">
      <c r="A1251" s="171"/>
      <c r="F1251" s="11"/>
      <c r="G1251" s="11"/>
      <c r="L1251" s="171"/>
      <c r="M1251" s="171"/>
      <c r="O1251" s="160"/>
      <c r="P1251" s="160"/>
      <c r="Q1251" s="160"/>
      <c r="R1251" s="160"/>
      <c r="S1251" s="160"/>
      <c r="T1251" s="207"/>
      <c r="U1251" s="160"/>
      <c r="V1251" s="160"/>
      <c r="W1251" s="160"/>
      <c r="X1251" s="160"/>
      <c r="Y1251" s="160"/>
      <c r="Z1251" s="160"/>
      <c r="AA1251" s="160"/>
      <c r="AB1251" s="160"/>
      <c r="AC1251" s="160"/>
      <c r="AD1251" s="160"/>
      <c r="AE1251" s="160"/>
      <c r="AF1251" s="160"/>
      <c r="AG1251" s="160"/>
      <c r="AH1251" s="160"/>
      <c r="AI1251" s="160"/>
      <c r="AJ1251" s="160"/>
      <c r="AK1251" s="160"/>
      <c r="AL1251" s="160"/>
      <c r="AM1251" s="160"/>
      <c r="AN1251" s="164"/>
      <c r="AO1251" s="160"/>
      <c r="AP1251" s="160"/>
      <c r="AQ1251" s="160"/>
      <c r="AR1251" s="160"/>
      <c r="AS1251" s="160"/>
      <c r="AT1251" s="160"/>
      <c r="AU1251" s="160"/>
      <c r="AV1251" s="160"/>
      <c r="AW1251" s="160"/>
      <c r="AX1251" s="160"/>
      <c r="AY1251" s="160"/>
      <c r="AZ1251" s="160"/>
      <c r="BA1251" s="160"/>
      <c r="BB1251" s="160"/>
      <c r="BC1251" s="160"/>
      <c r="BD1251" s="160"/>
      <c r="BE1251" s="160"/>
      <c r="BF1251" s="160"/>
      <c r="BG1251" s="160"/>
      <c r="BH1251" s="160"/>
      <c r="BI1251" s="160"/>
      <c r="BJ1251" s="160"/>
      <c r="BK1251" s="160"/>
      <c r="BL1251" s="160"/>
      <c r="BM1251" s="160"/>
      <c r="BN1251" s="160"/>
      <c r="BO1251" s="160"/>
      <c r="BP1251" s="160"/>
      <c r="BQ1251" s="160"/>
      <c r="BR1251" s="160"/>
      <c r="BS1251" s="160"/>
      <c r="BT1251" s="160"/>
      <c r="BU1251" s="160"/>
      <c r="BV1251" s="160"/>
      <c r="BW1251" s="160"/>
      <c r="BX1251" s="160"/>
      <c r="BY1251" s="160"/>
      <c r="BZ1251" s="160"/>
      <c r="CA1251" s="160"/>
      <c r="CB1251" s="160"/>
      <c r="CC1251" s="160"/>
      <c r="CD1251" s="160"/>
      <c r="CE1251" s="160"/>
      <c r="CF1251" s="160"/>
      <c r="CG1251" s="160"/>
      <c r="CH1251" s="160"/>
      <c r="CI1251" s="160"/>
      <c r="CJ1251" s="160"/>
      <c r="CK1251" s="160"/>
      <c r="CL1251" s="160"/>
    </row>
    <row r="1252">
      <c r="A1252" s="171"/>
      <c r="F1252" s="11"/>
      <c r="G1252" s="11"/>
      <c r="L1252" s="171"/>
      <c r="M1252" s="171"/>
      <c r="O1252" s="160"/>
      <c r="P1252" s="160"/>
      <c r="Q1252" s="160"/>
      <c r="R1252" s="160"/>
      <c r="S1252" s="160"/>
      <c r="T1252" s="207"/>
      <c r="U1252" s="160"/>
      <c r="V1252" s="160"/>
      <c r="W1252" s="160"/>
      <c r="X1252" s="160"/>
      <c r="Y1252" s="160"/>
      <c r="Z1252" s="160"/>
      <c r="AA1252" s="160"/>
      <c r="AB1252" s="160"/>
      <c r="AC1252" s="160"/>
      <c r="AD1252" s="160"/>
      <c r="AE1252" s="160"/>
      <c r="AF1252" s="160"/>
      <c r="AG1252" s="160"/>
      <c r="AH1252" s="160"/>
      <c r="AI1252" s="160"/>
      <c r="AJ1252" s="160"/>
      <c r="AK1252" s="160"/>
      <c r="AL1252" s="160"/>
      <c r="AM1252" s="160"/>
      <c r="AN1252" s="164"/>
      <c r="AO1252" s="160"/>
      <c r="AP1252" s="160"/>
      <c r="AQ1252" s="160"/>
      <c r="AR1252" s="160"/>
      <c r="AS1252" s="160"/>
      <c r="AT1252" s="160"/>
      <c r="AU1252" s="160"/>
      <c r="AV1252" s="160"/>
      <c r="AW1252" s="160"/>
      <c r="AX1252" s="160"/>
      <c r="AY1252" s="160"/>
      <c r="AZ1252" s="160"/>
      <c r="BA1252" s="160"/>
      <c r="BB1252" s="160"/>
      <c r="BC1252" s="160"/>
      <c r="BD1252" s="160"/>
      <c r="BE1252" s="160"/>
      <c r="BF1252" s="160"/>
      <c r="BG1252" s="160"/>
      <c r="BH1252" s="160"/>
      <c r="BI1252" s="160"/>
      <c r="BJ1252" s="160"/>
      <c r="BK1252" s="160"/>
      <c r="BL1252" s="160"/>
      <c r="BM1252" s="160"/>
      <c r="BN1252" s="160"/>
      <c r="BO1252" s="160"/>
      <c r="BP1252" s="160"/>
      <c r="BQ1252" s="160"/>
      <c r="BR1252" s="160"/>
      <c r="BS1252" s="160"/>
      <c r="BT1252" s="160"/>
      <c r="BU1252" s="160"/>
      <c r="BV1252" s="160"/>
      <c r="BW1252" s="160"/>
      <c r="BX1252" s="160"/>
      <c r="BY1252" s="160"/>
      <c r="BZ1252" s="160"/>
      <c r="CA1252" s="160"/>
      <c r="CB1252" s="160"/>
      <c r="CC1252" s="160"/>
      <c r="CD1252" s="160"/>
      <c r="CE1252" s="160"/>
      <c r="CF1252" s="160"/>
      <c r="CG1252" s="160"/>
      <c r="CH1252" s="160"/>
      <c r="CI1252" s="160"/>
      <c r="CJ1252" s="160"/>
      <c r="CK1252" s="160"/>
      <c r="CL1252" s="160"/>
    </row>
    <row r="1253">
      <c r="A1253" s="171"/>
      <c r="F1253" s="11"/>
      <c r="G1253" s="11"/>
      <c r="L1253" s="171"/>
      <c r="M1253" s="171"/>
      <c r="O1253" s="160"/>
      <c r="P1253" s="160"/>
      <c r="Q1253" s="160"/>
      <c r="R1253" s="160"/>
      <c r="S1253" s="160"/>
      <c r="T1253" s="207"/>
      <c r="U1253" s="160"/>
      <c r="V1253" s="160"/>
      <c r="W1253" s="160"/>
      <c r="X1253" s="160"/>
      <c r="Y1253" s="160"/>
      <c r="Z1253" s="160"/>
      <c r="AA1253" s="160"/>
      <c r="AB1253" s="160"/>
      <c r="AC1253" s="160"/>
      <c r="AD1253" s="160"/>
      <c r="AE1253" s="160"/>
      <c r="AF1253" s="160"/>
      <c r="AG1253" s="160"/>
      <c r="AH1253" s="160"/>
      <c r="AI1253" s="160"/>
      <c r="AJ1253" s="160"/>
      <c r="AK1253" s="160"/>
      <c r="AL1253" s="160"/>
      <c r="AM1253" s="160"/>
      <c r="AN1253" s="164"/>
      <c r="AO1253" s="160"/>
      <c r="AP1253" s="160"/>
      <c r="AQ1253" s="160"/>
      <c r="AR1253" s="160"/>
      <c r="AS1253" s="160"/>
      <c r="AT1253" s="160"/>
      <c r="AU1253" s="160"/>
      <c r="AV1253" s="160"/>
      <c r="AW1253" s="160"/>
      <c r="AX1253" s="160"/>
      <c r="AY1253" s="160"/>
      <c r="AZ1253" s="160"/>
      <c r="BA1253" s="160"/>
      <c r="BB1253" s="160"/>
      <c r="BC1253" s="160"/>
      <c r="BD1253" s="160"/>
      <c r="BE1253" s="160"/>
      <c r="BF1253" s="160"/>
      <c r="BG1253" s="160"/>
      <c r="BH1253" s="160"/>
      <c r="BI1253" s="160"/>
      <c r="BJ1253" s="160"/>
      <c r="BK1253" s="160"/>
      <c r="BL1253" s="160"/>
      <c r="BM1253" s="160"/>
      <c r="BN1253" s="160"/>
      <c r="BO1253" s="160"/>
      <c r="BP1253" s="160"/>
      <c r="BQ1253" s="160"/>
      <c r="BR1253" s="160"/>
      <c r="BS1253" s="160"/>
      <c r="BT1253" s="160"/>
      <c r="BU1253" s="160"/>
      <c r="BV1253" s="160"/>
      <c r="BW1253" s="160"/>
      <c r="BX1253" s="160"/>
      <c r="BY1253" s="160"/>
      <c r="BZ1253" s="160"/>
      <c r="CA1253" s="160"/>
      <c r="CB1253" s="160"/>
      <c r="CC1253" s="160"/>
      <c r="CD1253" s="160"/>
      <c r="CE1253" s="160"/>
      <c r="CF1253" s="160"/>
      <c r="CG1253" s="160"/>
      <c r="CH1253" s="160"/>
      <c r="CI1253" s="160"/>
      <c r="CJ1253" s="160"/>
      <c r="CK1253" s="160"/>
      <c r="CL1253" s="160"/>
    </row>
    <row r="1254">
      <c r="A1254" s="171"/>
      <c r="F1254" s="11"/>
      <c r="G1254" s="11"/>
      <c r="L1254" s="171"/>
      <c r="M1254" s="171"/>
      <c r="O1254" s="160"/>
      <c r="P1254" s="160"/>
      <c r="Q1254" s="160"/>
      <c r="R1254" s="160"/>
      <c r="S1254" s="160"/>
      <c r="T1254" s="207"/>
      <c r="U1254" s="160"/>
      <c r="V1254" s="160"/>
      <c r="W1254" s="160"/>
      <c r="X1254" s="160"/>
      <c r="Y1254" s="160"/>
      <c r="Z1254" s="160"/>
      <c r="AA1254" s="160"/>
      <c r="AB1254" s="160"/>
      <c r="AC1254" s="160"/>
      <c r="AD1254" s="160"/>
      <c r="AE1254" s="160"/>
      <c r="AF1254" s="160"/>
      <c r="AG1254" s="160"/>
      <c r="AH1254" s="160"/>
      <c r="AI1254" s="160"/>
      <c r="AJ1254" s="160"/>
      <c r="AK1254" s="160"/>
      <c r="AL1254" s="160"/>
      <c r="AM1254" s="160"/>
      <c r="AN1254" s="164"/>
      <c r="AO1254" s="160"/>
      <c r="AP1254" s="160"/>
      <c r="AQ1254" s="160"/>
      <c r="AR1254" s="160"/>
      <c r="AS1254" s="160"/>
      <c r="AT1254" s="160"/>
      <c r="AU1254" s="160"/>
      <c r="AV1254" s="160"/>
      <c r="AW1254" s="160"/>
      <c r="AX1254" s="160"/>
      <c r="AY1254" s="160"/>
      <c r="AZ1254" s="160"/>
      <c r="BA1254" s="160"/>
      <c r="BB1254" s="160"/>
      <c r="BC1254" s="160"/>
      <c r="BD1254" s="160"/>
      <c r="BE1254" s="160"/>
      <c r="BF1254" s="160"/>
      <c r="BG1254" s="160"/>
      <c r="BH1254" s="160"/>
      <c r="BI1254" s="160"/>
      <c r="BJ1254" s="160"/>
      <c r="BK1254" s="160"/>
      <c r="BL1254" s="160"/>
      <c r="BM1254" s="160"/>
      <c r="BN1254" s="160"/>
      <c r="BO1254" s="160"/>
      <c r="BP1254" s="160"/>
      <c r="BQ1254" s="160"/>
      <c r="BR1254" s="160"/>
      <c r="BS1254" s="160"/>
      <c r="BT1254" s="160"/>
      <c r="BU1254" s="160"/>
      <c r="BV1254" s="160"/>
      <c r="BW1254" s="160"/>
      <c r="BX1254" s="160"/>
      <c r="BY1254" s="160"/>
      <c r="BZ1254" s="160"/>
      <c r="CA1254" s="160"/>
      <c r="CB1254" s="160"/>
      <c r="CC1254" s="160"/>
      <c r="CD1254" s="160"/>
      <c r="CE1254" s="160"/>
      <c r="CF1254" s="160"/>
      <c r="CG1254" s="160"/>
      <c r="CH1254" s="160"/>
      <c r="CI1254" s="160"/>
      <c r="CJ1254" s="160"/>
      <c r="CK1254" s="160"/>
      <c r="CL1254" s="160"/>
    </row>
    <row r="1255">
      <c r="A1255" s="171"/>
      <c r="F1255" s="11"/>
      <c r="G1255" s="11"/>
      <c r="L1255" s="171"/>
      <c r="M1255" s="171"/>
      <c r="O1255" s="160"/>
      <c r="P1255" s="160"/>
      <c r="Q1255" s="160"/>
      <c r="R1255" s="160"/>
      <c r="S1255" s="160"/>
      <c r="T1255" s="207"/>
      <c r="U1255" s="160"/>
      <c r="V1255" s="160"/>
      <c r="W1255" s="160"/>
      <c r="X1255" s="160"/>
      <c r="Y1255" s="160"/>
      <c r="Z1255" s="160"/>
      <c r="AA1255" s="160"/>
      <c r="AB1255" s="160"/>
      <c r="AC1255" s="160"/>
      <c r="AD1255" s="160"/>
      <c r="AE1255" s="160"/>
      <c r="AF1255" s="160"/>
      <c r="AG1255" s="160"/>
      <c r="AH1255" s="160"/>
      <c r="AI1255" s="160"/>
      <c r="AJ1255" s="160"/>
      <c r="AK1255" s="160"/>
      <c r="AL1255" s="160"/>
      <c r="AM1255" s="160"/>
      <c r="AN1255" s="164"/>
      <c r="AO1255" s="160"/>
      <c r="AP1255" s="160"/>
      <c r="AQ1255" s="160"/>
      <c r="AR1255" s="160"/>
      <c r="AS1255" s="160"/>
      <c r="AT1255" s="160"/>
      <c r="AU1255" s="160"/>
      <c r="AV1255" s="160"/>
      <c r="AW1255" s="160"/>
      <c r="AX1255" s="160"/>
      <c r="AY1255" s="160"/>
      <c r="AZ1255" s="160"/>
      <c r="BA1255" s="160"/>
      <c r="BB1255" s="160"/>
      <c r="BC1255" s="160"/>
      <c r="BD1255" s="160"/>
      <c r="BE1255" s="160"/>
      <c r="BF1255" s="160"/>
      <c r="BG1255" s="160"/>
      <c r="BH1255" s="160"/>
      <c r="BI1255" s="160"/>
      <c r="BJ1255" s="160"/>
      <c r="BK1255" s="160"/>
      <c r="BL1255" s="160"/>
      <c r="BM1255" s="160"/>
      <c r="BN1255" s="160"/>
      <c r="BO1255" s="160"/>
      <c r="BP1255" s="160"/>
      <c r="BQ1255" s="160"/>
      <c r="BR1255" s="160"/>
      <c r="BS1255" s="160"/>
      <c r="BT1255" s="160"/>
      <c r="BU1255" s="160"/>
      <c r="BV1255" s="160"/>
      <c r="BW1255" s="160"/>
      <c r="BX1255" s="160"/>
      <c r="BY1255" s="160"/>
      <c r="BZ1255" s="160"/>
      <c r="CA1255" s="160"/>
      <c r="CB1255" s="160"/>
      <c r="CC1255" s="160"/>
      <c r="CD1255" s="160"/>
      <c r="CE1255" s="160"/>
      <c r="CF1255" s="160"/>
      <c r="CG1255" s="160"/>
      <c r="CH1255" s="160"/>
      <c r="CI1255" s="160"/>
      <c r="CJ1255" s="160"/>
      <c r="CK1255" s="160"/>
      <c r="CL1255" s="160"/>
    </row>
    <row r="1256">
      <c r="A1256" s="171"/>
      <c r="F1256" s="11"/>
      <c r="G1256" s="11"/>
      <c r="L1256" s="171"/>
      <c r="M1256" s="171"/>
      <c r="O1256" s="160"/>
      <c r="P1256" s="160"/>
      <c r="Q1256" s="160"/>
      <c r="R1256" s="160"/>
      <c r="S1256" s="160"/>
      <c r="T1256" s="207"/>
      <c r="U1256" s="160"/>
      <c r="V1256" s="160"/>
      <c r="W1256" s="160"/>
      <c r="X1256" s="160"/>
      <c r="Y1256" s="160"/>
      <c r="Z1256" s="160"/>
      <c r="AA1256" s="160"/>
      <c r="AB1256" s="160"/>
      <c r="AC1256" s="160"/>
      <c r="AD1256" s="160"/>
      <c r="AE1256" s="160"/>
      <c r="AF1256" s="160"/>
      <c r="AG1256" s="160"/>
      <c r="AH1256" s="160"/>
      <c r="AI1256" s="160"/>
      <c r="AJ1256" s="160"/>
      <c r="AK1256" s="160"/>
      <c r="AL1256" s="160"/>
      <c r="AM1256" s="160"/>
      <c r="AN1256" s="164"/>
      <c r="AO1256" s="160"/>
      <c r="AP1256" s="160"/>
      <c r="AQ1256" s="160"/>
      <c r="AR1256" s="160"/>
      <c r="AS1256" s="160"/>
      <c r="AT1256" s="160"/>
      <c r="AU1256" s="160"/>
      <c r="AV1256" s="160"/>
      <c r="AW1256" s="160"/>
      <c r="AX1256" s="160"/>
      <c r="AY1256" s="160"/>
      <c r="AZ1256" s="160"/>
      <c r="BA1256" s="160"/>
      <c r="BB1256" s="160"/>
      <c r="BC1256" s="160"/>
      <c r="BD1256" s="160"/>
      <c r="BE1256" s="160"/>
      <c r="BF1256" s="160"/>
      <c r="BG1256" s="160"/>
      <c r="BH1256" s="160"/>
      <c r="BI1256" s="160"/>
      <c r="BJ1256" s="160"/>
      <c r="BK1256" s="160"/>
      <c r="BL1256" s="160"/>
      <c r="BM1256" s="160"/>
      <c r="BN1256" s="160"/>
      <c r="BO1256" s="160"/>
      <c r="BP1256" s="160"/>
      <c r="BQ1256" s="160"/>
      <c r="BR1256" s="160"/>
      <c r="BS1256" s="160"/>
      <c r="BT1256" s="160"/>
      <c r="BU1256" s="160"/>
      <c r="BV1256" s="160"/>
      <c r="BW1256" s="160"/>
      <c r="BX1256" s="160"/>
      <c r="BY1256" s="160"/>
      <c r="BZ1256" s="160"/>
      <c r="CA1256" s="160"/>
      <c r="CB1256" s="160"/>
      <c r="CC1256" s="160"/>
      <c r="CD1256" s="160"/>
      <c r="CE1256" s="160"/>
      <c r="CF1256" s="160"/>
      <c r="CG1256" s="160"/>
      <c r="CH1256" s="160"/>
      <c r="CI1256" s="160"/>
      <c r="CJ1256" s="160"/>
      <c r="CK1256" s="160"/>
      <c r="CL1256" s="160"/>
    </row>
    <row r="1257">
      <c r="A1257" s="171"/>
      <c r="F1257" s="11"/>
      <c r="G1257" s="11"/>
      <c r="L1257" s="171"/>
      <c r="M1257" s="171"/>
      <c r="O1257" s="160"/>
      <c r="P1257" s="160"/>
      <c r="Q1257" s="160"/>
      <c r="R1257" s="160"/>
      <c r="S1257" s="160"/>
      <c r="T1257" s="207"/>
      <c r="U1257" s="160"/>
      <c r="V1257" s="160"/>
      <c r="W1257" s="160"/>
      <c r="X1257" s="160"/>
      <c r="Y1257" s="160"/>
      <c r="Z1257" s="160"/>
      <c r="AA1257" s="160"/>
      <c r="AB1257" s="160"/>
      <c r="AC1257" s="160"/>
      <c r="AD1257" s="160"/>
      <c r="AE1257" s="160"/>
      <c r="AF1257" s="160"/>
      <c r="AG1257" s="160"/>
      <c r="AH1257" s="160"/>
      <c r="AI1257" s="160"/>
      <c r="AJ1257" s="160"/>
      <c r="AK1257" s="160"/>
      <c r="AL1257" s="160"/>
      <c r="AM1257" s="160"/>
      <c r="AN1257" s="164"/>
      <c r="AO1257" s="160"/>
      <c r="AP1257" s="160"/>
      <c r="AQ1257" s="160"/>
      <c r="AR1257" s="160"/>
      <c r="AS1257" s="160"/>
      <c r="AT1257" s="160"/>
      <c r="AU1257" s="160"/>
      <c r="AV1257" s="160"/>
      <c r="AW1257" s="160"/>
      <c r="AX1257" s="160"/>
      <c r="AY1257" s="160"/>
      <c r="AZ1257" s="160"/>
      <c r="BA1257" s="160"/>
      <c r="BB1257" s="160"/>
      <c r="BC1257" s="160"/>
      <c r="BD1257" s="160"/>
      <c r="BE1257" s="160"/>
      <c r="BF1257" s="160"/>
      <c r="BG1257" s="160"/>
      <c r="BH1257" s="160"/>
      <c r="BI1257" s="160"/>
      <c r="BJ1257" s="160"/>
      <c r="BK1257" s="160"/>
      <c r="BL1257" s="160"/>
      <c r="BM1257" s="160"/>
      <c r="BN1257" s="160"/>
      <c r="BO1257" s="160"/>
      <c r="BP1257" s="160"/>
      <c r="BQ1257" s="160"/>
      <c r="BR1257" s="160"/>
      <c r="BS1257" s="160"/>
      <c r="BT1257" s="160"/>
      <c r="BU1257" s="160"/>
      <c r="BV1257" s="160"/>
      <c r="BW1257" s="160"/>
      <c r="BX1257" s="160"/>
      <c r="BY1257" s="160"/>
      <c r="BZ1257" s="160"/>
      <c r="CA1257" s="160"/>
      <c r="CB1257" s="160"/>
      <c r="CC1257" s="160"/>
      <c r="CD1257" s="160"/>
      <c r="CE1257" s="160"/>
      <c r="CF1257" s="160"/>
      <c r="CG1257" s="160"/>
      <c r="CH1257" s="160"/>
      <c r="CI1257" s="160"/>
      <c r="CJ1257" s="160"/>
      <c r="CK1257" s="160"/>
      <c r="CL1257" s="160"/>
    </row>
    <row r="1258">
      <c r="A1258" s="171"/>
      <c r="F1258" s="11"/>
      <c r="G1258" s="11"/>
      <c r="L1258" s="171"/>
      <c r="M1258" s="171"/>
      <c r="O1258" s="160"/>
      <c r="P1258" s="160"/>
      <c r="Q1258" s="160"/>
      <c r="R1258" s="160"/>
      <c r="S1258" s="160"/>
      <c r="T1258" s="207"/>
      <c r="U1258" s="160"/>
      <c r="V1258" s="160"/>
      <c r="W1258" s="160"/>
      <c r="X1258" s="160"/>
      <c r="Y1258" s="160"/>
      <c r="Z1258" s="160"/>
      <c r="AA1258" s="160"/>
      <c r="AB1258" s="160"/>
      <c r="AC1258" s="160"/>
      <c r="AD1258" s="160"/>
      <c r="AE1258" s="160"/>
      <c r="AF1258" s="160"/>
      <c r="AG1258" s="160"/>
      <c r="AH1258" s="160"/>
      <c r="AI1258" s="160"/>
      <c r="AJ1258" s="160"/>
      <c r="AK1258" s="160"/>
      <c r="AL1258" s="160"/>
      <c r="AM1258" s="160"/>
      <c r="AN1258" s="164"/>
      <c r="AO1258" s="160"/>
      <c r="AP1258" s="160"/>
      <c r="AQ1258" s="160"/>
      <c r="AR1258" s="160"/>
      <c r="AS1258" s="160"/>
      <c r="AT1258" s="160"/>
      <c r="AU1258" s="160"/>
      <c r="AV1258" s="160"/>
      <c r="AW1258" s="160"/>
      <c r="AX1258" s="160"/>
      <c r="AY1258" s="160"/>
      <c r="AZ1258" s="160"/>
      <c r="BA1258" s="160"/>
      <c r="BB1258" s="160"/>
      <c r="BC1258" s="160"/>
      <c r="BD1258" s="160"/>
      <c r="BE1258" s="160"/>
      <c r="BF1258" s="160"/>
      <c r="BG1258" s="160"/>
      <c r="BH1258" s="160"/>
      <c r="BI1258" s="160"/>
      <c r="BJ1258" s="160"/>
      <c r="BK1258" s="160"/>
      <c r="BL1258" s="160"/>
      <c r="BM1258" s="160"/>
      <c r="BN1258" s="160"/>
      <c r="BO1258" s="160"/>
      <c r="BP1258" s="160"/>
      <c r="BQ1258" s="160"/>
      <c r="BR1258" s="160"/>
      <c r="BS1258" s="160"/>
      <c r="BT1258" s="160"/>
      <c r="BU1258" s="160"/>
      <c r="BV1258" s="160"/>
      <c r="BW1258" s="160"/>
      <c r="BX1258" s="160"/>
      <c r="BY1258" s="160"/>
      <c r="BZ1258" s="160"/>
      <c r="CA1258" s="160"/>
      <c r="CB1258" s="160"/>
      <c r="CC1258" s="160"/>
      <c r="CD1258" s="160"/>
      <c r="CE1258" s="160"/>
      <c r="CF1258" s="160"/>
      <c r="CG1258" s="160"/>
      <c r="CH1258" s="160"/>
      <c r="CI1258" s="160"/>
      <c r="CJ1258" s="160"/>
      <c r="CK1258" s="160"/>
      <c r="CL1258" s="160"/>
    </row>
    <row r="1259">
      <c r="A1259" s="171"/>
      <c r="F1259" s="11"/>
      <c r="G1259" s="11"/>
      <c r="L1259" s="171"/>
      <c r="M1259" s="171"/>
      <c r="O1259" s="160"/>
      <c r="P1259" s="160"/>
      <c r="Q1259" s="160"/>
      <c r="R1259" s="160"/>
      <c r="S1259" s="160"/>
      <c r="T1259" s="207"/>
      <c r="U1259" s="160"/>
      <c r="V1259" s="160"/>
      <c r="W1259" s="160"/>
      <c r="X1259" s="160"/>
      <c r="Y1259" s="160"/>
      <c r="Z1259" s="160"/>
      <c r="AA1259" s="160"/>
      <c r="AB1259" s="160"/>
      <c r="AC1259" s="160"/>
      <c r="AD1259" s="160"/>
      <c r="AE1259" s="160"/>
      <c r="AF1259" s="160"/>
      <c r="AG1259" s="160"/>
      <c r="AH1259" s="160"/>
      <c r="AI1259" s="160"/>
      <c r="AJ1259" s="160"/>
      <c r="AK1259" s="160"/>
      <c r="AL1259" s="160"/>
      <c r="AM1259" s="160"/>
      <c r="AN1259" s="164"/>
      <c r="AO1259" s="160"/>
      <c r="AP1259" s="160"/>
      <c r="AQ1259" s="160"/>
      <c r="AR1259" s="160"/>
      <c r="AS1259" s="160"/>
      <c r="AT1259" s="160"/>
      <c r="AU1259" s="160"/>
      <c r="AV1259" s="160"/>
      <c r="AW1259" s="160"/>
      <c r="AX1259" s="160"/>
      <c r="AY1259" s="160"/>
      <c r="AZ1259" s="160"/>
      <c r="BA1259" s="160"/>
      <c r="BB1259" s="160"/>
      <c r="BC1259" s="160"/>
      <c r="BD1259" s="160"/>
      <c r="BE1259" s="160"/>
      <c r="BF1259" s="160"/>
      <c r="BG1259" s="160"/>
      <c r="BH1259" s="160"/>
      <c r="BI1259" s="160"/>
      <c r="BJ1259" s="160"/>
      <c r="BK1259" s="160"/>
      <c r="BL1259" s="160"/>
      <c r="BM1259" s="160"/>
      <c r="BN1259" s="160"/>
      <c r="BO1259" s="160"/>
      <c r="BP1259" s="160"/>
      <c r="BQ1259" s="160"/>
      <c r="BR1259" s="160"/>
      <c r="BS1259" s="160"/>
      <c r="BT1259" s="160"/>
      <c r="BU1259" s="160"/>
      <c r="BV1259" s="160"/>
      <c r="BW1259" s="160"/>
      <c r="BX1259" s="160"/>
      <c r="BY1259" s="160"/>
      <c r="BZ1259" s="160"/>
      <c r="CA1259" s="160"/>
      <c r="CB1259" s="160"/>
      <c r="CC1259" s="160"/>
      <c r="CD1259" s="160"/>
      <c r="CE1259" s="160"/>
      <c r="CF1259" s="160"/>
      <c r="CG1259" s="160"/>
      <c r="CH1259" s="160"/>
      <c r="CI1259" s="160"/>
      <c r="CJ1259" s="160"/>
      <c r="CK1259" s="160"/>
      <c r="CL1259" s="160"/>
    </row>
    <row r="1260">
      <c r="A1260" s="171"/>
      <c r="F1260" s="11"/>
      <c r="G1260" s="11"/>
      <c r="L1260" s="171"/>
      <c r="M1260" s="171"/>
      <c r="O1260" s="160"/>
      <c r="P1260" s="160"/>
      <c r="Q1260" s="160"/>
      <c r="R1260" s="160"/>
      <c r="S1260" s="160"/>
      <c r="T1260" s="207"/>
      <c r="U1260" s="160"/>
      <c r="V1260" s="160"/>
      <c r="W1260" s="160"/>
      <c r="X1260" s="160"/>
      <c r="Y1260" s="160"/>
      <c r="Z1260" s="160"/>
      <c r="AA1260" s="160"/>
      <c r="AB1260" s="160"/>
      <c r="AC1260" s="160"/>
      <c r="AD1260" s="160"/>
      <c r="AE1260" s="160"/>
      <c r="AF1260" s="160"/>
      <c r="AG1260" s="160"/>
      <c r="AH1260" s="160"/>
      <c r="AI1260" s="160"/>
      <c r="AJ1260" s="160"/>
      <c r="AK1260" s="160"/>
      <c r="AL1260" s="160"/>
      <c r="AM1260" s="160"/>
      <c r="AN1260" s="164"/>
      <c r="AO1260" s="160"/>
      <c r="AP1260" s="160"/>
      <c r="AQ1260" s="160"/>
      <c r="AR1260" s="160"/>
      <c r="AS1260" s="160"/>
      <c r="AT1260" s="160"/>
      <c r="AU1260" s="160"/>
      <c r="AV1260" s="160"/>
      <c r="AW1260" s="160"/>
      <c r="AX1260" s="160"/>
      <c r="AY1260" s="160"/>
      <c r="AZ1260" s="160"/>
      <c r="BA1260" s="160"/>
      <c r="BB1260" s="160"/>
      <c r="BC1260" s="160"/>
      <c r="BD1260" s="160"/>
      <c r="BE1260" s="160"/>
      <c r="BF1260" s="160"/>
      <c r="BG1260" s="160"/>
      <c r="BH1260" s="160"/>
      <c r="BI1260" s="160"/>
      <c r="BJ1260" s="160"/>
      <c r="BK1260" s="160"/>
      <c r="BL1260" s="160"/>
      <c r="BM1260" s="160"/>
      <c r="BN1260" s="160"/>
      <c r="BO1260" s="160"/>
      <c r="BP1260" s="160"/>
      <c r="BQ1260" s="160"/>
      <c r="BR1260" s="160"/>
      <c r="BS1260" s="160"/>
      <c r="BT1260" s="160"/>
      <c r="BU1260" s="160"/>
      <c r="BV1260" s="160"/>
      <c r="BW1260" s="160"/>
      <c r="BX1260" s="160"/>
      <c r="BY1260" s="160"/>
      <c r="BZ1260" s="160"/>
      <c r="CA1260" s="160"/>
      <c r="CB1260" s="160"/>
      <c r="CC1260" s="160"/>
      <c r="CD1260" s="160"/>
      <c r="CE1260" s="160"/>
      <c r="CF1260" s="160"/>
      <c r="CG1260" s="160"/>
      <c r="CH1260" s="160"/>
      <c r="CI1260" s="160"/>
      <c r="CJ1260" s="160"/>
      <c r="CK1260" s="160"/>
      <c r="CL1260" s="160"/>
    </row>
    <row r="1261">
      <c r="A1261" s="171"/>
      <c r="F1261" s="11"/>
      <c r="G1261" s="11"/>
      <c r="L1261" s="171"/>
      <c r="M1261" s="171"/>
      <c r="O1261" s="160"/>
      <c r="P1261" s="160"/>
      <c r="Q1261" s="160"/>
      <c r="R1261" s="160"/>
      <c r="S1261" s="160"/>
      <c r="T1261" s="207"/>
      <c r="U1261" s="160"/>
      <c r="V1261" s="160"/>
      <c r="W1261" s="160"/>
      <c r="X1261" s="160"/>
      <c r="Y1261" s="160"/>
      <c r="Z1261" s="160"/>
      <c r="AA1261" s="160"/>
      <c r="AB1261" s="160"/>
      <c r="AC1261" s="160"/>
      <c r="AD1261" s="160"/>
      <c r="AE1261" s="160"/>
      <c r="AF1261" s="160"/>
      <c r="AG1261" s="160"/>
      <c r="AH1261" s="160"/>
      <c r="AI1261" s="160"/>
      <c r="AJ1261" s="160"/>
      <c r="AK1261" s="160"/>
      <c r="AL1261" s="160"/>
      <c r="AM1261" s="160"/>
      <c r="AN1261" s="164"/>
      <c r="AO1261" s="160"/>
      <c r="AP1261" s="160"/>
      <c r="AQ1261" s="160"/>
      <c r="AR1261" s="160"/>
      <c r="AS1261" s="160"/>
      <c r="AT1261" s="160"/>
      <c r="AU1261" s="160"/>
      <c r="AV1261" s="160"/>
      <c r="AW1261" s="160"/>
      <c r="AX1261" s="160"/>
      <c r="AY1261" s="160"/>
      <c r="AZ1261" s="160"/>
      <c r="BA1261" s="160"/>
      <c r="BB1261" s="160"/>
      <c r="BC1261" s="160"/>
      <c r="BD1261" s="160"/>
      <c r="BE1261" s="160"/>
      <c r="BF1261" s="160"/>
      <c r="BG1261" s="160"/>
      <c r="BH1261" s="160"/>
      <c r="BI1261" s="160"/>
      <c r="BJ1261" s="160"/>
      <c r="BK1261" s="160"/>
      <c r="BL1261" s="160"/>
      <c r="BM1261" s="160"/>
      <c r="BN1261" s="160"/>
      <c r="BO1261" s="160"/>
      <c r="BP1261" s="160"/>
      <c r="BQ1261" s="160"/>
      <c r="BR1261" s="160"/>
      <c r="BS1261" s="160"/>
      <c r="BT1261" s="160"/>
      <c r="BU1261" s="160"/>
      <c r="BV1261" s="160"/>
      <c r="BW1261" s="160"/>
      <c r="BX1261" s="160"/>
      <c r="BY1261" s="160"/>
      <c r="BZ1261" s="160"/>
      <c r="CA1261" s="160"/>
      <c r="CB1261" s="160"/>
      <c r="CC1261" s="160"/>
      <c r="CD1261" s="160"/>
      <c r="CE1261" s="160"/>
      <c r="CF1261" s="160"/>
      <c r="CG1261" s="160"/>
      <c r="CH1261" s="160"/>
      <c r="CI1261" s="160"/>
      <c r="CJ1261" s="160"/>
      <c r="CK1261" s="160"/>
      <c r="CL1261" s="160"/>
    </row>
    <row r="1262">
      <c r="A1262" s="171"/>
      <c r="F1262" s="11"/>
      <c r="G1262" s="11"/>
      <c r="L1262" s="171"/>
      <c r="M1262" s="171"/>
      <c r="O1262" s="160"/>
      <c r="P1262" s="160"/>
      <c r="Q1262" s="160"/>
      <c r="R1262" s="160"/>
      <c r="S1262" s="160"/>
      <c r="T1262" s="207"/>
      <c r="U1262" s="160"/>
      <c r="V1262" s="160"/>
      <c r="W1262" s="160"/>
      <c r="X1262" s="160"/>
      <c r="Y1262" s="160"/>
      <c r="Z1262" s="160"/>
      <c r="AA1262" s="160"/>
      <c r="AB1262" s="160"/>
      <c r="AC1262" s="160"/>
      <c r="AD1262" s="160"/>
      <c r="AE1262" s="160"/>
      <c r="AF1262" s="160"/>
      <c r="AG1262" s="160"/>
      <c r="AH1262" s="160"/>
      <c r="AI1262" s="160"/>
      <c r="AJ1262" s="160"/>
      <c r="AK1262" s="160"/>
      <c r="AL1262" s="160"/>
      <c r="AM1262" s="160"/>
      <c r="AN1262" s="164"/>
      <c r="AO1262" s="160"/>
      <c r="AP1262" s="160"/>
      <c r="AQ1262" s="160"/>
      <c r="AR1262" s="160"/>
      <c r="AS1262" s="160"/>
      <c r="AT1262" s="160"/>
      <c r="AU1262" s="160"/>
      <c r="AV1262" s="160"/>
      <c r="AW1262" s="160"/>
      <c r="AX1262" s="160"/>
      <c r="AY1262" s="160"/>
      <c r="AZ1262" s="160"/>
      <c r="BA1262" s="160"/>
      <c r="BB1262" s="160"/>
      <c r="BC1262" s="160"/>
      <c r="BD1262" s="160"/>
      <c r="BE1262" s="160"/>
      <c r="BF1262" s="160"/>
      <c r="BG1262" s="160"/>
      <c r="BH1262" s="160"/>
      <c r="BI1262" s="160"/>
      <c r="BJ1262" s="160"/>
      <c r="BK1262" s="160"/>
      <c r="BL1262" s="160"/>
      <c r="BM1262" s="160"/>
      <c r="BN1262" s="160"/>
      <c r="BO1262" s="160"/>
      <c r="BP1262" s="160"/>
      <c r="BQ1262" s="160"/>
      <c r="BR1262" s="160"/>
      <c r="BS1262" s="160"/>
      <c r="BT1262" s="160"/>
      <c r="BU1262" s="160"/>
      <c r="BV1262" s="160"/>
      <c r="BW1262" s="160"/>
      <c r="BX1262" s="160"/>
      <c r="BY1262" s="160"/>
      <c r="BZ1262" s="160"/>
      <c r="CA1262" s="160"/>
      <c r="CB1262" s="160"/>
      <c r="CC1262" s="160"/>
      <c r="CD1262" s="160"/>
      <c r="CE1262" s="160"/>
      <c r="CF1262" s="160"/>
      <c r="CG1262" s="160"/>
      <c r="CH1262" s="160"/>
      <c r="CI1262" s="160"/>
      <c r="CJ1262" s="160"/>
      <c r="CK1262" s="160"/>
      <c r="CL1262" s="160"/>
    </row>
    <row r="1263">
      <c r="A1263" s="171"/>
      <c r="F1263" s="11"/>
      <c r="G1263" s="11"/>
      <c r="L1263" s="171"/>
      <c r="M1263" s="171"/>
      <c r="O1263" s="160"/>
      <c r="P1263" s="160"/>
      <c r="Q1263" s="160"/>
      <c r="R1263" s="160"/>
      <c r="S1263" s="160"/>
      <c r="T1263" s="207"/>
      <c r="U1263" s="160"/>
      <c r="V1263" s="160"/>
      <c r="W1263" s="160"/>
      <c r="X1263" s="160"/>
      <c r="Y1263" s="160"/>
      <c r="Z1263" s="160"/>
      <c r="AA1263" s="160"/>
      <c r="AB1263" s="160"/>
      <c r="AC1263" s="160"/>
      <c r="AD1263" s="160"/>
      <c r="AE1263" s="160"/>
      <c r="AF1263" s="160"/>
      <c r="AG1263" s="160"/>
      <c r="AH1263" s="160"/>
      <c r="AI1263" s="160"/>
      <c r="AJ1263" s="160"/>
      <c r="AK1263" s="160"/>
      <c r="AL1263" s="160"/>
      <c r="AM1263" s="160"/>
      <c r="AN1263" s="164"/>
      <c r="AO1263" s="160"/>
      <c r="AP1263" s="160"/>
      <c r="AQ1263" s="160"/>
      <c r="AR1263" s="160"/>
      <c r="AS1263" s="160"/>
      <c r="AT1263" s="160"/>
      <c r="AU1263" s="160"/>
      <c r="AV1263" s="160"/>
      <c r="AW1263" s="160"/>
      <c r="AX1263" s="160"/>
      <c r="AY1263" s="160"/>
      <c r="AZ1263" s="160"/>
      <c r="BA1263" s="160"/>
      <c r="BB1263" s="160"/>
      <c r="BC1263" s="160"/>
      <c r="BD1263" s="160"/>
      <c r="BE1263" s="160"/>
      <c r="BF1263" s="160"/>
      <c r="BG1263" s="160"/>
      <c r="BH1263" s="160"/>
      <c r="BI1263" s="160"/>
      <c r="BJ1263" s="160"/>
      <c r="BK1263" s="160"/>
      <c r="BL1263" s="160"/>
      <c r="BM1263" s="160"/>
      <c r="BN1263" s="160"/>
      <c r="BO1263" s="160"/>
      <c r="BP1263" s="160"/>
      <c r="BQ1263" s="160"/>
      <c r="BR1263" s="160"/>
      <c r="BS1263" s="160"/>
      <c r="BT1263" s="160"/>
      <c r="BU1263" s="160"/>
      <c r="BV1263" s="160"/>
      <c r="BW1263" s="160"/>
      <c r="BX1263" s="160"/>
      <c r="BY1263" s="160"/>
      <c r="BZ1263" s="160"/>
      <c r="CA1263" s="160"/>
      <c r="CB1263" s="160"/>
      <c r="CC1263" s="160"/>
      <c r="CD1263" s="160"/>
      <c r="CE1263" s="160"/>
      <c r="CF1263" s="160"/>
      <c r="CG1263" s="160"/>
      <c r="CH1263" s="160"/>
      <c r="CI1263" s="160"/>
      <c r="CJ1263" s="160"/>
      <c r="CK1263" s="160"/>
      <c r="CL1263" s="160"/>
    </row>
    <row r="1264">
      <c r="A1264" s="171"/>
      <c r="F1264" s="11"/>
      <c r="G1264" s="11"/>
      <c r="L1264" s="171"/>
      <c r="M1264" s="171"/>
      <c r="O1264" s="160"/>
      <c r="P1264" s="160"/>
      <c r="Q1264" s="160"/>
      <c r="R1264" s="160"/>
      <c r="S1264" s="160"/>
      <c r="T1264" s="207"/>
      <c r="U1264" s="160"/>
      <c r="V1264" s="160"/>
      <c r="W1264" s="160"/>
      <c r="X1264" s="160"/>
      <c r="Y1264" s="160"/>
      <c r="Z1264" s="160"/>
      <c r="AA1264" s="160"/>
      <c r="AB1264" s="160"/>
      <c r="AC1264" s="160"/>
      <c r="AD1264" s="160"/>
      <c r="AE1264" s="160"/>
      <c r="AF1264" s="160"/>
      <c r="AG1264" s="160"/>
      <c r="AH1264" s="160"/>
      <c r="AI1264" s="160"/>
      <c r="AJ1264" s="160"/>
      <c r="AK1264" s="160"/>
      <c r="AL1264" s="160"/>
      <c r="AM1264" s="160"/>
      <c r="AN1264" s="164"/>
      <c r="AO1264" s="160"/>
      <c r="AP1264" s="160"/>
      <c r="AQ1264" s="160"/>
      <c r="AR1264" s="160"/>
      <c r="AS1264" s="160"/>
      <c r="AT1264" s="160"/>
      <c r="AU1264" s="160"/>
      <c r="AV1264" s="160"/>
      <c r="AW1264" s="160"/>
      <c r="AX1264" s="160"/>
      <c r="AY1264" s="160"/>
      <c r="AZ1264" s="160"/>
      <c r="BA1264" s="160"/>
      <c r="BB1264" s="160"/>
      <c r="BC1264" s="160"/>
      <c r="BD1264" s="160"/>
      <c r="BE1264" s="160"/>
      <c r="BF1264" s="160"/>
      <c r="BG1264" s="160"/>
      <c r="BH1264" s="160"/>
      <c r="BI1264" s="160"/>
      <c r="BJ1264" s="160"/>
      <c r="BK1264" s="160"/>
      <c r="BL1264" s="160"/>
      <c r="BM1264" s="160"/>
      <c r="BN1264" s="160"/>
      <c r="BO1264" s="160"/>
      <c r="BP1264" s="160"/>
      <c r="BQ1264" s="160"/>
      <c r="BR1264" s="160"/>
      <c r="BS1264" s="160"/>
      <c r="BT1264" s="160"/>
      <c r="BU1264" s="160"/>
      <c r="BV1264" s="160"/>
      <c r="BW1264" s="160"/>
      <c r="BX1264" s="160"/>
      <c r="BY1264" s="160"/>
      <c r="BZ1264" s="160"/>
      <c r="CA1264" s="160"/>
      <c r="CB1264" s="160"/>
      <c r="CC1264" s="160"/>
      <c r="CD1264" s="160"/>
      <c r="CE1264" s="160"/>
      <c r="CF1264" s="160"/>
      <c r="CG1264" s="160"/>
      <c r="CH1264" s="160"/>
      <c r="CI1264" s="160"/>
      <c r="CJ1264" s="160"/>
      <c r="CK1264" s="160"/>
      <c r="CL1264" s="160"/>
    </row>
    <row r="1265">
      <c r="A1265" s="171"/>
      <c r="F1265" s="11"/>
      <c r="G1265" s="11"/>
      <c r="L1265" s="171"/>
      <c r="M1265" s="171"/>
      <c r="O1265" s="160"/>
      <c r="P1265" s="160"/>
      <c r="Q1265" s="160"/>
      <c r="R1265" s="160"/>
      <c r="S1265" s="160"/>
      <c r="T1265" s="207"/>
      <c r="U1265" s="160"/>
      <c r="V1265" s="160"/>
      <c r="W1265" s="160"/>
      <c r="X1265" s="160"/>
      <c r="Y1265" s="160"/>
      <c r="Z1265" s="160"/>
      <c r="AA1265" s="160"/>
      <c r="AB1265" s="160"/>
      <c r="AC1265" s="160"/>
      <c r="AD1265" s="160"/>
      <c r="AE1265" s="160"/>
      <c r="AF1265" s="160"/>
      <c r="AG1265" s="160"/>
      <c r="AH1265" s="160"/>
      <c r="AI1265" s="160"/>
      <c r="AJ1265" s="160"/>
      <c r="AK1265" s="160"/>
      <c r="AL1265" s="160"/>
      <c r="AM1265" s="160"/>
      <c r="AN1265" s="164"/>
      <c r="AO1265" s="160"/>
      <c r="AP1265" s="160"/>
      <c r="AQ1265" s="160"/>
      <c r="AR1265" s="160"/>
      <c r="AS1265" s="160"/>
      <c r="AT1265" s="160"/>
      <c r="AU1265" s="160"/>
      <c r="AV1265" s="160"/>
      <c r="AW1265" s="160"/>
      <c r="AX1265" s="160"/>
      <c r="AY1265" s="160"/>
      <c r="AZ1265" s="160"/>
      <c r="BA1265" s="160"/>
      <c r="BB1265" s="160"/>
      <c r="BC1265" s="160"/>
      <c r="BD1265" s="160"/>
      <c r="BE1265" s="160"/>
      <c r="BF1265" s="160"/>
      <c r="BG1265" s="160"/>
      <c r="BH1265" s="160"/>
      <c r="BI1265" s="160"/>
      <c r="BJ1265" s="160"/>
      <c r="BK1265" s="160"/>
      <c r="BL1265" s="160"/>
      <c r="BM1265" s="160"/>
      <c r="BN1265" s="160"/>
      <c r="BO1265" s="160"/>
      <c r="BP1265" s="160"/>
      <c r="BQ1265" s="160"/>
      <c r="BR1265" s="160"/>
      <c r="BS1265" s="160"/>
      <c r="BT1265" s="160"/>
      <c r="BU1265" s="160"/>
      <c r="BV1265" s="160"/>
      <c r="BW1265" s="160"/>
      <c r="BX1265" s="160"/>
      <c r="BY1265" s="160"/>
      <c r="BZ1265" s="160"/>
      <c r="CA1265" s="160"/>
      <c r="CB1265" s="160"/>
      <c r="CC1265" s="160"/>
      <c r="CD1265" s="160"/>
      <c r="CE1265" s="160"/>
      <c r="CF1265" s="160"/>
      <c r="CG1265" s="160"/>
      <c r="CH1265" s="160"/>
      <c r="CI1265" s="160"/>
      <c r="CJ1265" s="160"/>
      <c r="CK1265" s="160"/>
      <c r="CL1265" s="160"/>
    </row>
    <row r="1266">
      <c r="A1266" s="171"/>
      <c r="F1266" s="11"/>
      <c r="G1266" s="11"/>
      <c r="L1266" s="171"/>
      <c r="M1266" s="171"/>
      <c r="O1266" s="160"/>
      <c r="P1266" s="160"/>
      <c r="Q1266" s="160"/>
      <c r="R1266" s="160"/>
      <c r="S1266" s="160"/>
      <c r="T1266" s="207"/>
      <c r="U1266" s="160"/>
      <c r="V1266" s="160"/>
      <c r="W1266" s="160"/>
      <c r="X1266" s="160"/>
      <c r="Y1266" s="160"/>
      <c r="Z1266" s="160"/>
      <c r="AA1266" s="160"/>
      <c r="AB1266" s="160"/>
      <c r="AC1266" s="160"/>
      <c r="AD1266" s="160"/>
      <c r="AE1266" s="160"/>
      <c r="AF1266" s="160"/>
      <c r="AG1266" s="160"/>
      <c r="AH1266" s="160"/>
      <c r="AI1266" s="160"/>
      <c r="AJ1266" s="160"/>
      <c r="AK1266" s="160"/>
      <c r="AL1266" s="160"/>
      <c r="AM1266" s="160"/>
      <c r="AN1266" s="164"/>
      <c r="AO1266" s="160"/>
      <c r="AP1266" s="160"/>
      <c r="AQ1266" s="160"/>
      <c r="AR1266" s="160"/>
      <c r="AS1266" s="160"/>
      <c r="AT1266" s="160"/>
      <c r="AU1266" s="160"/>
      <c r="AV1266" s="160"/>
      <c r="AW1266" s="160"/>
      <c r="AX1266" s="160"/>
      <c r="AY1266" s="160"/>
      <c r="AZ1266" s="160"/>
      <c r="BA1266" s="160"/>
      <c r="BB1266" s="160"/>
      <c r="BC1266" s="160"/>
      <c r="BD1266" s="160"/>
      <c r="BE1266" s="160"/>
      <c r="BF1266" s="160"/>
      <c r="BG1266" s="160"/>
      <c r="BH1266" s="160"/>
      <c r="BI1266" s="160"/>
      <c r="BJ1266" s="160"/>
      <c r="BK1266" s="160"/>
      <c r="BL1266" s="160"/>
      <c r="BM1266" s="160"/>
      <c r="BN1266" s="160"/>
      <c r="BO1266" s="160"/>
      <c r="BP1266" s="160"/>
      <c r="BQ1266" s="160"/>
      <c r="BR1266" s="160"/>
      <c r="BS1266" s="160"/>
      <c r="BT1266" s="160"/>
      <c r="BU1266" s="160"/>
      <c r="BV1266" s="160"/>
      <c r="BW1266" s="160"/>
      <c r="BX1266" s="160"/>
      <c r="BY1266" s="160"/>
      <c r="BZ1266" s="160"/>
      <c r="CA1266" s="160"/>
      <c r="CB1266" s="160"/>
      <c r="CC1266" s="160"/>
      <c r="CD1266" s="160"/>
      <c r="CE1266" s="160"/>
      <c r="CF1266" s="160"/>
      <c r="CG1266" s="160"/>
      <c r="CH1266" s="160"/>
      <c r="CI1266" s="160"/>
      <c r="CJ1266" s="160"/>
      <c r="CK1266" s="160"/>
      <c r="CL1266" s="160"/>
    </row>
    <row r="1267">
      <c r="A1267" s="171"/>
      <c r="F1267" s="11"/>
      <c r="G1267" s="11"/>
      <c r="L1267" s="171"/>
      <c r="M1267" s="171"/>
      <c r="O1267" s="160"/>
      <c r="P1267" s="160"/>
      <c r="Q1267" s="160"/>
      <c r="R1267" s="160"/>
      <c r="S1267" s="160"/>
      <c r="T1267" s="207"/>
      <c r="U1267" s="160"/>
      <c r="V1267" s="160"/>
      <c r="W1267" s="160"/>
      <c r="X1267" s="160"/>
      <c r="Y1267" s="160"/>
      <c r="Z1267" s="160"/>
      <c r="AA1267" s="160"/>
      <c r="AB1267" s="160"/>
      <c r="AC1267" s="160"/>
      <c r="AD1267" s="160"/>
      <c r="AE1267" s="160"/>
      <c r="AF1267" s="160"/>
      <c r="AG1267" s="160"/>
      <c r="AH1267" s="160"/>
      <c r="AI1267" s="160"/>
      <c r="AJ1267" s="160"/>
      <c r="AK1267" s="160"/>
      <c r="AL1267" s="160"/>
      <c r="AM1267" s="160"/>
      <c r="AN1267" s="164"/>
      <c r="AO1267" s="160"/>
      <c r="AP1267" s="160"/>
      <c r="AQ1267" s="160"/>
      <c r="AR1267" s="160"/>
      <c r="AS1267" s="160"/>
      <c r="AT1267" s="160"/>
      <c r="AU1267" s="160"/>
      <c r="AV1267" s="160"/>
      <c r="AW1267" s="160"/>
      <c r="AX1267" s="160"/>
      <c r="AY1267" s="160"/>
      <c r="AZ1267" s="160"/>
      <c r="BA1267" s="160"/>
      <c r="BB1267" s="160"/>
      <c r="BC1267" s="160"/>
      <c r="BD1267" s="160"/>
      <c r="BE1267" s="160"/>
      <c r="BF1267" s="160"/>
      <c r="BG1267" s="160"/>
      <c r="BH1267" s="160"/>
      <c r="BI1267" s="160"/>
      <c r="BJ1267" s="160"/>
      <c r="BK1267" s="160"/>
      <c r="BL1267" s="160"/>
      <c r="BM1267" s="160"/>
      <c r="BN1267" s="160"/>
      <c r="BO1267" s="160"/>
      <c r="BP1267" s="160"/>
      <c r="BQ1267" s="160"/>
      <c r="BR1267" s="160"/>
      <c r="BS1267" s="160"/>
      <c r="BT1267" s="160"/>
      <c r="BU1267" s="160"/>
      <c r="BV1267" s="160"/>
      <c r="BW1267" s="160"/>
      <c r="BX1267" s="160"/>
      <c r="BY1267" s="160"/>
      <c r="BZ1267" s="160"/>
      <c r="CA1267" s="160"/>
      <c r="CB1267" s="160"/>
      <c r="CC1267" s="160"/>
      <c r="CD1267" s="160"/>
      <c r="CE1267" s="160"/>
      <c r="CF1267" s="160"/>
      <c r="CG1267" s="160"/>
      <c r="CH1267" s="160"/>
      <c r="CI1267" s="160"/>
      <c r="CJ1267" s="160"/>
      <c r="CK1267" s="160"/>
      <c r="CL1267" s="160"/>
    </row>
    <row r="1268">
      <c r="A1268" s="171"/>
      <c r="F1268" s="11"/>
      <c r="G1268" s="11"/>
      <c r="L1268" s="171"/>
      <c r="M1268" s="171"/>
      <c r="O1268" s="160"/>
      <c r="P1268" s="160"/>
      <c r="Q1268" s="160"/>
      <c r="R1268" s="160"/>
      <c r="S1268" s="160"/>
      <c r="T1268" s="207"/>
      <c r="U1268" s="160"/>
      <c r="V1268" s="160"/>
      <c r="W1268" s="160"/>
      <c r="X1268" s="160"/>
      <c r="Y1268" s="160"/>
      <c r="Z1268" s="160"/>
      <c r="AA1268" s="160"/>
      <c r="AB1268" s="160"/>
      <c r="AC1268" s="160"/>
      <c r="AD1268" s="160"/>
      <c r="AE1268" s="160"/>
      <c r="AF1268" s="160"/>
      <c r="AG1268" s="160"/>
      <c r="AH1268" s="160"/>
      <c r="AI1268" s="160"/>
      <c r="AJ1268" s="160"/>
      <c r="AK1268" s="160"/>
      <c r="AL1268" s="160"/>
      <c r="AM1268" s="160"/>
      <c r="AN1268" s="164"/>
      <c r="AO1268" s="160"/>
      <c r="AP1268" s="160"/>
      <c r="AQ1268" s="160"/>
      <c r="AR1268" s="160"/>
      <c r="AS1268" s="160"/>
      <c r="AT1268" s="160"/>
      <c r="AU1268" s="160"/>
      <c r="AV1268" s="160"/>
      <c r="AW1268" s="160"/>
      <c r="AX1268" s="160"/>
      <c r="AY1268" s="160"/>
      <c r="AZ1268" s="160"/>
      <c r="BA1268" s="160"/>
      <c r="BB1268" s="160"/>
      <c r="BC1268" s="160"/>
      <c r="BD1268" s="160"/>
      <c r="BE1268" s="160"/>
      <c r="BF1268" s="160"/>
      <c r="BG1268" s="160"/>
      <c r="BH1268" s="160"/>
      <c r="BI1268" s="160"/>
      <c r="BJ1268" s="160"/>
      <c r="BK1268" s="160"/>
      <c r="BL1268" s="160"/>
      <c r="BM1268" s="160"/>
      <c r="BN1268" s="160"/>
      <c r="BO1268" s="160"/>
      <c r="BP1268" s="160"/>
      <c r="BQ1268" s="160"/>
      <c r="BR1268" s="160"/>
      <c r="BS1268" s="160"/>
      <c r="BT1268" s="160"/>
      <c r="BU1268" s="160"/>
      <c r="BV1268" s="160"/>
      <c r="BW1268" s="160"/>
      <c r="BX1268" s="160"/>
      <c r="BY1268" s="160"/>
      <c r="BZ1268" s="160"/>
      <c r="CA1268" s="160"/>
      <c r="CB1268" s="160"/>
      <c r="CC1268" s="160"/>
      <c r="CD1268" s="160"/>
      <c r="CE1268" s="160"/>
      <c r="CF1268" s="160"/>
      <c r="CG1268" s="160"/>
      <c r="CH1268" s="160"/>
      <c r="CI1268" s="160"/>
      <c r="CJ1268" s="160"/>
      <c r="CK1268" s="160"/>
      <c r="CL1268" s="160"/>
    </row>
    <row r="1269">
      <c r="A1269" s="171"/>
      <c r="F1269" s="11"/>
      <c r="G1269" s="11"/>
      <c r="L1269" s="171"/>
      <c r="M1269" s="171"/>
      <c r="O1269" s="160"/>
      <c r="P1269" s="160"/>
      <c r="Q1269" s="160"/>
      <c r="R1269" s="160"/>
      <c r="S1269" s="160"/>
      <c r="T1269" s="207"/>
      <c r="U1269" s="160"/>
      <c r="V1269" s="160"/>
      <c r="W1269" s="160"/>
      <c r="X1269" s="160"/>
      <c r="Y1269" s="160"/>
      <c r="Z1269" s="160"/>
      <c r="AA1269" s="160"/>
      <c r="AB1269" s="160"/>
      <c r="AC1269" s="160"/>
      <c r="AD1269" s="160"/>
      <c r="AE1269" s="160"/>
      <c r="AF1269" s="160"/>
      <c r="AG1269" s="160"/>
      <c r="AH1269" s="160"/>
      <c r="AI1269" s="160"/>
      <c r="AJ1269" s="160"/>
      <c r="AK1269" s="160"/>
      <c r="AL1269" s="160"/>
      <c r="AM1269" s="160"/>
      <c r="AN1269" s="164"/>
      <c r="AO1269" s="160"/>
      <c r="AP1269" s="160"/>
      <c r="AQ1269" s="160"/>
      <c r="AR1269" s="160"/>
      <c r="AS1269" s="160"/>
      <c r="AT1269" s="160"/>
      <c r="AU1269" s="160"/>
      <c r="AV1269" s="160"/>
      <c r="AW1269" s="160"/>
      <c r="AX1269" s="160"/>
      <c r="AY1269" s="160"/>
      <c r="AZ1269" s="160"/>
      <c r="BA1269" s="160"/>
      <c r="BB1269" s="160"/>
      <c r="BC1269" s="160"/>
      <c r="BD1269" s="160"/>
      <c r="BE1269" s="160"/>
      <c r="BF1269" s="160"/>
      <c r="BG1269" s="160"/>
      <c r="BH1269" s="160"/>
      <c r="BI1269" s="160"/>
      <c r="BJ1269" s="160"/>
      <c r="BK1269" s="160"/>
      <c r="BL1269" s="160"/>
      <c r="BM1269" s="160"/>
      <c r="BN1269" s="160"/>
      <c r="BO1269" s="160"/>
      <c r="BP1269" s="160"/>
      <c r="BQ1269" s="160"/>
      <c r="BR1269" s="160"/>
      <c r="BS1269" s="160"/>
      <c r="BT1269" s="160"/>
      <c r="BU1269" s="160"/>
      <c r="BV1269" s="160"/>
      <c r="BW1269" s="160"/>
      <c r="BX1269" s="160"/>
      <c r="BY1269" s="160"/>
      <c r="BZ1269" s="160"/>
      <c r="CA1269" s="160"/>
      <c r="CB1269" s="160"/>
      <c r="CC1269" s="160"/>
      <c r="CD1269" s="160"/>
      <c r="CE1269" s="160"/>
      <c r="CF1269" s="160"/>
      <c r="CG1269" s="160"/>
      <c r="CH1269" s="160"/>
      <c r="CI1269" s="160"/>
      <c r="CJ1269" s="160"/>
      <c r="CK1269" s="160"/>
      <c r="CL1269" s="160"/>
    </row>
    <row r="1270">
      <c r="A1270" s="171"/>
      <c r="F1270" s="11"/>
      <c r="G1270" s="11"/>
      <c r="L1270" s="171"/>
      <c r="M1270" s="171"/>
      <c r="O1270" s="160"/>
      <c r="P1270" s="160"/>
      <c r="Q1270" s="160"/>
      <c r="R1270" s="160"/>
      <c r="S1270" s="160"/>
      <c r="T1270" s="207"/>
      <c r="U1270" s="160"/>
      <c r="V1270" s="160"/>
      <c r="W1270" s="160"/>
      <c r="X1270" s="160"/>
      <c r="Y1270" s="160"/>
      <c r="Z1270" s="160"/>
      <c r="AA1270" s="160"/>
      <c r="AB1270" s="160"/>
      <c r="AC1270" s="160"/>
      <c r="AD1270" s="160"/>
      <c r="AE1270" s="160"/>
      <c r="AF1270" s="160"/>
      <c r="AG1270" s="160"/>
      <c r="AH1270" s="160"/>
      <c r="AI1270" s="160"/>
      <c r="AJ1270" s="160"/>
      <c r="AK1270" s="160"/>
      <c r="AL1270" s="160"/>
      <c r="AM1270" s="160"/>
      <c r="AN1270" s="164"/>
      <c r="AO1270" s="160"/>
      <c r="AP1270" s="160"/>
      <c r="AQ1270" s="160"/>
      <c r="AR1270" s="160"/>
      <c r="AS1270" s="160"/>
      <c r="AT1270" s="160"/>
      <c r="AU1270" s="160"/>
      <c r="AV1270" s="160"/>
      <c r="AW1270" s="160"/>
      <c r="AX1270" s="160"/>
      <c r="AY1270" s="160"/>
      <c r="AZ1270" s="160"/>
      <c r="BA1270" s="160"/>
      <c r="BB1270" s="160"/>
      <c r="BC1270" s="160"/>
      <c r="BD1270" s="160"/>
      <c r="BE1270" s="160"/>
      <c r="BF1270" s="160"/>
      <c r="BG1270" s="160"/>
      <c r="BH1270" s="160"/>
      <c r="BI1270" s="160"/>
      <c r="BJ1270" s="160"/>
      <c r="BK1270" s="160"/>
      <c r="BL1270" s="160"/>
      <c r="BM1270" s="160"/>
      <c r="BN1270" s="160"/>
      <c r="BO1270" s="160"/>
      <c r="BP1270" s="160"/>
      <c r="BQ1270" s="160"/>
      <c r="BR1270" s="160"/>
      <c r="BS1270" s="160"/>
      <c r="BT1270" s="160"/>
      <c r="BU1270" s="160"/>
      <c r="BV1270" s="160"/>
      <c r="BW1270" s="160"/>
      <c r="BX1270" s="160"/>
      <c r="BY1270" s="160"/>
      <c r="BZ1270" s="160"/>
      <c r="CA1270" s="160"/>
      <c r="CB1270" s="160"/>
      <c r="CC1270" s="160"/>
      <c r="CD1270" s="160"/>
      <c r="CE1270" s="160"/>
      <c r="CF1270" s="160"/>
      <c r="CG1270" s="160"/>
      <c r="CH1270" s="160"/>
      <c r="CI1270" s="160"/>
      <c r="CJ1270" s="160"/>
      <c r="CK1270" s="160"/>
      <c r="CL1270" s="160"/>
    </row>
    <row r="1271">
      <c r="A1271" s="171"/>
      <c r="F1271" s="11"/>
      <c r="G1271" s="11"/>
      <c r="L1271" s="171"/>
      <c r="M1271" s="171"/>
      <c r="O1271" s="160"/>
      <c r="P1271" s="160"/>
      <c r="Q1271" s="160"/>
      <c r="R1271" s="160"/>
      <c r="S1271" s="160"/>
      <c r="T1271" s="207"/>
      <c r="U1271" s="160"/>
      <c r="V1271" s="160"/>
      <c r="W1271" s="160"/>
      <c r="X1271" s="160"/>
      <c r="Y1271" s="160"/>
      <c r="Z1271" s="160"/>
      <c r="AA1271" s="160"/>
      <c r="AB1271" s="160"/>
      <c r="AC1271" s="160"/>
      <c r="AD1271" s="160"/>
      <c r="AE1271" s="160"/>
      <c r="AF1271" s="160"/>
      <c r="AG1271" s="160"/>
      <c r="AH1271" s="160"/>
      <c r="AI1271" s="160"/>
      <c r="AJ1271" s="160"/>
      <c r="AK1271" s="160"/>
      <c r="AL1271" s="160"/>
      <c r="AM1271" s="160"/>
      <c r="AN1271" s="164"/>
      <c r="AO1271" s="160"/>
      <c r="AP1271" s="160"/>
      <c r="AQ1271" s="160"/>
      <c r="AR1271" s="160"/>
      <c r="AS1271" s="160"/>
      <c r="AT1271" s="160"/>
      <c r="AU1271" s="160"/>
      <c r="AV1271" s="160"/>
      <c r="AW1271" s="160"/>
      <c r="AX1271" s="160"/>
      <c r="AY1271" s="160"/>
      <c r="AZ1271" s="160"/>
      <c r="BA1271" s="160"/>
      <c r="BB1271" s="160"/>
      <c r="BC1271" s="160"/>
      <c r="BD1271" s="160"/>
      <c r="BE1271" s="160"/>
      <c r="BF1271" s="160"/>
      <c r="BG1271" s="160"/>
      <c r="BH1271" s="160"/>
      <c r="BI1271" s="160"/>
      <c r="BJ1271" s="160"/>
      <c r="BK1271" s="160"/>
      <c r="BL1271" s="160"/>
      <c r="BM1271" s="160"/>
      <c r="BN1271" s="160"/>
      <c r="BO1271" s="160"/>
      <c r="BP1271" s="160"/>
      <c r="BQ1271" s="160"/>
      <c r="BR1271" s="160"/>
      <c r="BS1271" s="160"/>
      <c r="BT1271" s="160"/>
      <c r="BU1271" s="160"/>
      <c r="BV1271" s="160"/>
      <c r="BW1271" s="160"/>
      <c r="BX1271" s="160"/>
      <c r="BY1271" s="160"/>
      <c r="BZ1271" s="160"/>
      <c r="CA1271" s="160"/>
      <c r="CB1271" s="160"/>
      <c r="CC1271" s="160"/>
      <c r="CD1271" s="160"/>
      <c r="CE1271" s="160"/>
      <c r="CF1271" s="160"/>
      <c r="CG1271" s="160"/>
      <c r="CH1271" s="160"/>
      <c r="CI1271" s="160"/>
      <c r="CJ1271" s="160"/>
      <c r="CK1271" s="160"/>
      <c r="CL1271" s="160"/>
    </row>
    <row r="1272">
      <c r="A1272" s="171"/>
      <c r="F1272" s="11"/>
      <c r="G1272" s="11"/>
      <c r="L1272" s="171"/>
      <c r="M1272" s="171"/>
      <c r="O1272" s="160"/>
      <c r="P1272" s="160"/>
      <c r="Q1272" s="160"/>
      <c r="R1272" s="160"/>
      <c r="S1272" s="160"/>
      <c r="T1272" s="207"/>
      <c r="U1272" s="160"/>
      <c r="V1272" s="160"/>
      <c r="W1272" s="160"/>
      <c r="X1272" s="160"/>
      <c r="Y1272" s="160"/>
      <c r="Z1272" s="160"/>
      <c r="AA1272" s="160"/>
      <c r="AB1272" s="160"/>
      <c r="AC1272" s="160"/>
      <c r="AD1272" s="160"/>
      <c r="AE1272" s="160"/>
      <c r="AF1272" s="160"/>
      <c r="AG1272" s="160"/>
      <c r="AH1272" s="160"/>
      <c r="AI1272" s="160"/>
      <c r="AJ1272" s="160"/>
      <c r="AK1272" s="160"/>
      <c r="AL1272" s="160"/>
      <c r="AM1272" s="160"/>
      <c r="AN1272" s="164"/>
      <c r="AO1272" s="160"/>
      <c r="AP1272" s="160"/>
      <c r="AQ1272" s="160"/>
      <c r="AR1272" s="160"/>
      <c r="AS1272" s="160"/>
      <c r="AT1272" s="160"/>
      <c r="AU1272" s="160"/>
      <c r="AV1272" s="160"/>
      <c r="AW1272" s="160"/>
      <c r="AX1272" s="160"/>
      <c r="AY1272" s="160"/>
      <c r="AZ1272" s="160"/>
      <c r="BA1272" s="160"/>
      <c r="BB1272" s="160"/>
      <c r="BC1272" s="160"/>
      <c r="BD1272" s="160"/>
      <c r="BE1272" s="160"/>
      <c r="BF1272" s="160"/>
      <c r="BG1272" s="160"/>
      <c r="BH1272" s="160"/>
      <c r="BI1272" s="160"/>
      <c r="BJ1272" s="160"/>
      <c r="BK1272" s="160"/>
      <c r="BL1272" s="160"/>
      <c r="BM1272" s="160"/>
      <c r="BN1272" s="160"/>
      <c r="BO1272" s="160"/>
      <c r="BP1272" s="160"/>
      <c r="BQ1272" s="160"/>
      <c r="BR1272" s="160"/>
      <c r="BS1272" s="160"/>
      <c r="BT1272" s="160"/>
      <c r="BU1272" s="160"/>
      <c r="BV1272" s="160"/>
      <c r="BW1272" s="160"/>
      <c r="BX1272" s="160"/>
      <c r="BY1272" s="160"/>
      <c r="BZ1272" s="160"/>
      <c r="CA1272" s="160"/>
      <c r="CB1272" s="160"/>
      <c r="CC1272" s="160"/>
      <c r="CD1272" s="160"/>
      <c r="CE1272" s="160"/>
      <c r="CF1272" s="160"/>
      <c r="CG1272" s="160"/>
      <c r="CH1272" s="160"/>
      <c r="CI1272" s="160"/>
      <c r="CJ1272" s="160"/>
      <c r="CK1272" s="160"/>
      <c r="CL1272" s="160"/>
    </row>
    <row r="1273">
      <c r="A1273" s="171"/>
      <c r="F1273" s="11"/>
      <c r="G1273" s="11"/>
      <c r="L1273" s="171"/>
      <c r="M1273" s="171"/>
      <c r="O1273" s="160"/>
      <c r="P1273" s="160"/>
      <c r="Q1273" s="160"/>
      <c r="R1273" s="160"/>
      <c r="S1273" s="160"/>
      <c r="T1273" s="207"/>
      <c r="U1273" s="160"/>
      <c r="V1273" s="160"/>
      <c r="W1273" s="160"/>
      <c r="X1273" s="160"/>
      <c r="Y1273" s="160"/>
      <c r="Z1273" s="160"/>
      <c r="AA1273" s="160"/>
      <c r="AB1273" s="160"/>
      <c r="AC1273" s="160"/>
      <c r="AD1273" s="160"/>
      <c r="AE1273" s="160"/>
      <c r="AF1273" s="160"/>
      <c r="AG1273" s="160"/>
      <c r="AH1273" s="160"/>
      <c r="AI1273" s="160"/>
      <c r="AJ1273" s="160"/>
      <c r="AK1273" s="160"/>
      <c r="AL1273" s="160"/>
      <c r="AM1273" s="160"/>
      <c r="AN1273" s="164"/>
      <c r="AO1273" s="160"/>
      <c r="AP1273" s="160"/>
      <c r="AQ1273" s="160"/>
      <c r="AR1273" s="160"/>
      <c r="AS1273" s="160"/>
      <c r="AT1273" s="160"/>
      <c r="AU1273" s="160"/>
      <c r="AV1273" s="160"/>
      <c r="AW1273" s="160"/>
      <c r="AX1273" s="160"/>
      <c r="AY1273" s="160"/>
      <c r="AZ1273" s="160"/>
      <c r="BA1273" s="160"/>
      <c r="BB1273" s="160"/>
      <c r="BC1273" s="160"/>
      <c r="BD1273" s="160"/>
      <c r="BE1273" s="160"/>
      <c r="BF1273" s="160"/>
      <c r="BG1273" s="160"/>
      <c r="BH1273" s="160"/>
      <c r="BI1273" s="160"/>
      <c r="BJ1273" s="160"/>
      <c r="BK1273" s="160"/>
      <c r="BL1273" s="160"/>
      <c r="BM1273" s="160"/>
      <c r="BN1273" s="160"/>
      <c r="BO1273" s="160"/>
      <c r="BP1273" s="160"/>
      <c r="BQ1273" s="160"/>
      <c r="BR1273" s="160"/>
      <c r="BS1273" s="160"/>
      <c r="BT1273" s="160"/>
      <c r="BU1273" s="160"/>
      <c r="BV1273" s="160"/>
      <c r="BW1273" s="160"/>
      <c r="BX1273" s="160"/>
      <c r="BY1273" s="160"/>
      <c r="BZ1273" s="160"/>
      <c r="CA1273" s="160"/>
      <c r="CB1273" s="160"/>
      <c r="CC1273" s="160"/>
      <c r="CD1273" s="160"/>
      <c r="CE1273" s="160"/>
      <c r="CF1273" s="160"/>
      <c r="CG1273" s="160"/>
      <c r="CH1273" s="160"/>
      <c r="CI1273" s="160"/>
      <c r="CJ1273" s="160"/>
      <c r="CK1273" s="160"/>
      <c r="CL1273" s="160"/>
    </row>
    <row r="1274">
      <c r="A1274" s="171"/>
      <c r="F1274" s="11"/>
      <c r="G1274" s="11"/>
      <c r="L1274" s="171"/>
      <c r="M1274" s="171"/>
      <c r="O1274" s="160"/>
      <c r="P1274" s="160"/>
      <c r="Q1274" s="160"/>
      <c r="R1274" s="160"/>
      <c r="S1274" s="160"/>
      <c r="T1274" s="207"/>
      <c r="U1274" s="160"/>
      <c r="V1274" s="160"/>
      <c r="W1274" s="160"/>
      <c r="X1274" s="160"/>
      <c r="Y1274" s="160"/>
      <c r="Z1274" s="160"/>
      <c r="AA1274" s="160"/>
      <c r="AB1274" s="160"/>
      <c r="AC1274" s="160"/>
      <c r="AD1274" s="160"/>
      <c r="AE1274" s="160"/>
      <c r="AF1274" s="160"/>
      <c r="AG1274" s="160"/>
      <c r="AH1274" s="160"/>
      <c r="AI1274" s="160"/>
      <c r="AJ1274" s="160"/>
      <c r="AK1274" s="160"/>
      <c r="AL1274" s="160"/>
      <c r="AM1274" s="160"/>
      <c r="AN1274" s="164"/>
      <c r="AO1274" s="160"/>
      <c r="AP1274" s="160"/>
      <c r="AQ1274" s="160"/>
      <c r="AR1274" s="160"/>
      <c r="AS1274" s="160"/>
      <c r="AT1274" s="160"/>
      <c r="AU1274" s="160"/>
      <c r="AV1274" s="160"/>
      <c r="AW1274" s="160"/>
      <c r="AX1274" s="160"/>
      <c r="AY1274" s="160"/>
      <c r="AZ1274" s="160"/>
      <c r="BA1274" s="160"/>
      <c r="BB1274" s="160"/>
      <c r="BC1274" s="160"/>
      <c r="BD1274" s="160"/>
      <c r="BE1274" s="160"/>
      <c r="BF1274" s="160"/>
      <c r="BG1274" s="160"/>
      <c r="BH1274" s="160"/>
      <c r="BI1274" s="160"/>
      <c r="BJ1274" s="160"/>
      <c r="BK1274" s="160"/>
      <c r="BL1274" s="160"/>
      <c r="BM1274" s="160"/>
      <c r="BN1274" s="160"/>
      <c r="BO1274" s="160"/>
      <c r="BP1274" s="160"/>
      <c r="BQ1274" s="160"/>
      <c r="BR1274" s="160"/>
      <c r="BS1274" s="160"/>
      <c r="BT1274" s="160"/>
      <c r="BU1274" s="160"/>
      <c r="BV1274" s="160"/>
      <c r="BW1274" s="160"/>
      <c r="BX1274" s="160"/>
      <c r="BY1274" s="160"/>
      <c r="BZ1274" s="160"/>
      <c r="CA1274" s="160"/>
      <c r="CB1274" s="160"/>
      <c r="CC1274" s="160"/>
      <c r="CD1274" s="160"/>
      <c r="CE1274" s="160"/>
      <c r="CF1274" s="160"/>
      <c r="CG1274" s="160"/>
      <c r="CH1274" s="160"/>
      <c r="CI1274" s="160"/>
      <c r="CJ1274" s="160"/>
      <c r="CK1274" s="160"/>
      <c r="CL1274" s="160"/>
    </row>
    <row r="1275">
      <c r="A1275" s="171"/>
      <c r="F1275" s="11"/>
      <c r="G1275" s="11"/>
      <c r="L1275" s="171"/>
      <c r="M1275" s="171"/>
      <c r="O1275" s="160"/>
      <c r="P1275" s="160"/>
      <c r="Q1275" s="160"/>
      <c r="R1275" s="160"/>
      <c r="S1275" s="160"/>
      <c r="T1275" s="207"/>
      <c r="U1275" s="160"/>
      <c r="V1275" s="160"/>
      <c r="W1275" s="160"/>
      <c r="X1275" s="160"/>
      <c r="Y1275" s="160"/>
      <c r="Z1275" s="160"/>
      <c r="AA1275" s="160"/>
      <c r="AB1275" s="160"/>
      <c r="AC1275" s="160"/>
      <c r="AD1275" s="160"/>
      <c r="AE1275" s="160"/>
      <c r="AF1275" s="160"/>
      <c r="AG1275" s="160"/>
      <c r="AH1275" s="160"/>
      <c r="AI1275" s="160"/>
      <c r="AJ1275" s="160"/>
      <c r="AK1275" s="160"/>
      <c r="AL1275" s="160"/>
      <c r="AM1275" s="160"/>
      <c r="AN1275" s="164"/>
      <c r="AO1275" s="160"/>
      <c r="AP1275" s="160"/>
      <c r="AQ1275" s="160"/>
      <c r="AR1275" s="160"/>
      <c r="AS1275" s="160"/>
      <c r="AT1275" s="160"/>
      <c r="AU1275" s="160"/>
      <c r="AV1275" s="160"/>
      <c r="AW1275" s="160"/>
      <c r="AX1275" s="160"/>
      <c r="AY1275" s="160"/>
      <c r="AZ1275" s="160"/>
      <c r="BA1275" s="160"/>
      <c r="BB1275" s="160"/>
      <c r="BC1275" s="160"/>
      <c r="BD1275" s="160"/>
      <c r="BE1275" s="160"/>
      <c r="BF1275" s="160"/>
      <c r="BG1275" s="160"/>
      <c r="BH1275" s="160"/>
      <c r="BI1275" s="160"/>
      <c r="BJ1275" s="160"/>
      <c r="BK1275" s="160"/>
      <c r="BL1275" s="160"/>
      <c r="BM1275" s="160"/>
      <c r="BN1275" s="160"/>
      <c r="BO1275" s="160"/>
      <c r="BP1275" s="160"/>
      <c r="BQ1275" s="160"/>
      <c r="BR1275" s="160"/>
      <c r="BS1275" s="160"/>
      <c r="BT1275" s="160"/>
      <c r="BU1275" s="160"/>
      <c r="BV1275" s="160"/>
      <c r="BW1275" s="160"/>
      <c r="BX1275" s="160"/>
      <c r="BY1275" s="160"/>
      <c r="BZ1275" s="160"/>
      <c r="CA1275" s="160"/>
      <c r="CB1275" s="160"/>
      <c r="CC1275" s="160"/>
      <c r="CD1275" s="160"/>
      <c r="CE1275" s="160"/>
      <c r="CF1275" s="160"/>
      <c r="CG1275" s="160"/>
      <c r="CH1275" s="160"/>
      <c r="CI1275" s="160"/>
      <c r="CJ1275" s="160"/>
      <c r="CK1275" s="160"/>
      <c r="CL1275" s="160"/>
    </row>
    <row r="1276">
      <c r="A1276" s="171"/>
      <c r="F1276" s="11"/>
      <c r="G1276" s="11"/>
      <c r="L1276" s="171"/>
      <c r="M1276" s="171"/>
      <c r="O1276" s="160"/>
      <c r="P1276" s="160"/>
      <c r="Q1276" s="160"/>
      <c r="R1276" s="160"/>
      <c r="S1276" s="160"/>
      <c r="T1276" s="207"/>
      <c r="U1276" s="160"/>
      <c r="V1276" s="160"/>
      <c r="W1276" s="160"/>
      <c r="X1276" s="160"/>
      <c r="Y1276" s="160"/>
      <c r="Z1276" s="160"/>
      <c r="AA1276" s="160"/>
      <c r="AB1276" s="160"/>
      <c r="AC1276" s="160"/>
      <c r="AD1276" s="160"/>
      <c r="AE1276" s="160"/>
      <c r="AF1276" s="160"/>
      <c r="AG1276" s="160"/>
      <c r="AH1276" s="160"/>
      <c r="AI1276" s="160"/>
      <c r="AJ1276" s="160"/>
      <c r="AK1276" s="160"/>
      <c r="AL1276" s="160"/>
      <c r="AM1276" s="160"/>
      <c r="AN1276" s="164"/>
      <c r="AO1276" s="160"/>
      <c r="AP1276" s="160"/>
      <c r="AQ1276" s="160"/>
      <c r="AR1276" s="160"/>
      <c r="AS1276" s="160"/>
      <c r="AT1276" s="160"/>
      <c r="AU1276" s="160"/>
      <c r="AV1276" s="160"/>
      <c r="AW1276" s="160"/>
      <c r="AX1276" s="160"/>
      <c r="AY1276" s="160"/>
      <c r="AZ1276" s="160"/>
      <c r="BA1276" s="160"/>
      <c r="BB1276" s="160"/>
      <c r="BC1276" s="160"/>
      <c r="BD1276" s="160"/>
      <c r="BE1276" s="160"/>
      <c r="BF1276" s="160"/>
      <c r="BG1276" s="160"/>
      <c r="BH1276" s="160"/>
      <c r="BI1276" s="160"/>
      <c r="BJ1276" s="160"/>
      <c r="BK1276" s="160"/>
      <c r="BL1276" s="160"/>
      <c r="BM1276" s="160"/>
      <c r="BN1276" s="160"/>
      <c r="BO1276" s="160"/>
      <c r="BP1276" s="160"/>
      <c r="BQ1276" s="160"/>
      <c r="BR1276" s="160"/>
      <c r="BS1276" s="160"/>
      <c r="BT1276" s="160"/>
      <c r="BU1276" s="160"/>
      <c r="BV1276" s="160"/>
      <c r="BW1276" s="160"/>
      <c r="BX1276" s="160"/>
      <c r="BY1276" s="160"/>
      <c r="BZ1276" s="160"/>
      <c r="CA1276" s="160"/>
      <c r="CB1276" s="160"/>
      <c r="CC1276" s="160"/>
      <c r="CD1276" s="160"/>
      <c r="CE1276" s="160"/>
      <c r="CF1276" s="160"/>
      <c r="CG1276" s="160"/>
      <c r="CH1276" s="160"/>
      <c r="CI1276" s="160"/>
      <c r="CJ1276" s="160"/>
      <c r="CK1276" s="160"/>
      <c r="CL1276" s="160"/>
    </row>
    <row r="1277">
      <c r="A1277" s="171"/>
      <c r="F1277" s="11"/>
      <c r="G1277" s="11"/>
      <c r="L1277" s="171"/>
      <c r="M1277" s="171"/>
      <c r="O1277" s="160"/>
      <c r="P1277" s="160"/>
      <c r="Q1277" s="160"/>
      <c r="R1277" s="160"/>
      <c r="S1277" s="160"/>
      <c r="T1277" s="207"/>
      <c r="U1277" s="160"/>
      <c r="V1277" s="160"/>
      <c r="W1277" s="160"/>
      <c r="X1277" s="160"/>
      <c r="Y1277" s="160"/>
      <c r="Z1277" s="160"/>
      <c r="AA1277" s="160"/>
      <c r="AB1277" s="160"/>
      <c r="AC1277" s="160"/>
      <c r="AD1277" s="160"/>
      <c r="AE1277" s="160"/>
      <c r="AF1277" s="160"/>
      <c r="AG1277" s="160"/>
      <c r="AH1277" s="160"/>
      <c r="AI1277" s="160"/>
      <c r="AJ1277" s="160"/>
      <c r="AK1277" s="160"/>
      <c r="AL1277" s="160"/>
      <c r="AM1277" s="160"/>
      <c r="AN1277" s="164"/>
      <c r="AO1277" s="160"/>
      <c r="AP1277" s="160"/>
      <c r="AQ1277" s="160"/>
      <c r="AR1277" s="160"/>
      <c r="AS1277" s="160"/>
      <c r="AT1277" s="160"/>
      <c r="AU1277" s="160"/>
      <c r="AV1277" s="160"/>
      <c r="AW1277" s="160"/>
      <c r="AX1277" s="160"/>
      <c r="AY1277" s="160"/>
      <c r="AZ1277" s="160"/>
      <c r="BA1277" s="160"/>
      <c r="BB1277" s="160"/>
      <c r="BC1277" s="160"/>
      <c r="BD1277" s="160"/>
      <c r="BE1277" s="160"/>
      <c r="BF1277" s="160"/>
      <c r="BG1277" s="160"/>
      <c r="BH1277" s="160"/>
      <c r="BI1277" s="160"/>
      <c r="BJ1277" s="160"/>
      <c r="BK1277" s="160"/>
      <c r="BL1277" s="160"/>
      <c r="BM1277" s="160"/>
      <c r="BN1277" s="160"/>
      <c r="BO1277" s="160"/>
      <c r="BP1277" s="160"/>
      <c r="BQ1277" s="160"/>
      <c r="BR1277" s="160"/>
      <c r="BS1277" s="160"/>
      <c r="BT1277" s="160"/>
      <c r="BU1277" s="160"/>
      <c r="BV1277" s="160"/>
      <c r="BW1277" s="160"/>
      <c r="BX1277" s="160"/>
      <c r="BY1277" s="160"/>
      <c r="BZ1277" s="160"/>
      <c r="CA1277" s="160"/>
      <c r="CB1277" s="160"/>
      <c r="CC1277" s="160"/>
      <c r="CD1277" s="160"/>
      <c r="CE1277" s="160"/>
      <c r="CF1277" s="160"/>
      <c r="CG1277" s="160"/>
      <c r="CH1277" s="160"/>
      <c r="CI1277" s="160"/>
      <c r="CJ1277" s="160"/>
      <c r="CK1277" s="160"/>
      <c r="CL1277" s="160"/>
    </row>
    <row r="1278">
      <c r="A1278" s="171"/>
      <c r="F1278" s="11"/>
      <c r="G1278" s="11"/>
      <c r="L1278" s="171"/>
      <c r="M1278" s="171"/>
      <c r="O1278" s="160"/>
      <c r="P1278" s="160"/>
      <c r="Q1278" s="160"/>
      <c r="R1278" s="160"/>
      <c r="S1278" s="160"/>
      <c r="T1278" s="207"/>
      <c r="U1278" s="160"/>
      <c r="V1278" s="160"/>
      <c r="W1278" s="160"/>
      <c r="X1278" s="160"/>
      <c r="Y1278" s="160"/>
      <c r="Z1278" s="160"/>
      <c r="AA1278" s="160"/>
      <c r="AB1278" s="160"/>
      <c r="AC1278" s="160"/>
      <c r="AD1278" s="160"/>
      <c r="AE1278" s="160"/>
      <c r="AF1278" s="160"/>
      <c r="AG1278" s="160"/>
      <c r="AH1278" s="160"/>
      <c r="AI1278" s="160"/>
      <c r="AJ1278" s="160"/>
      <c r="AK1278" s="160"/>
      <c r="AL1278" s="160"/>
      <c r="AM1278" s="160"/>
      <c r="AN1278" s="164"/>
      <c r="AO1278" s="160"/>
      <c r="AP1278" s="160"/>
      <c r="AQ1278" s="160"/>
      <c r="AR1278" s="160"/>
      <c r="AS1278" s="160"/>
      <c r="AT1278" s="160"/>
      <c r="AU1278" s="160"/>
      <c r="AV1278" s="160"/>
      <c r="AW1278" s="160"/>
      <c r="AX1278" s="160"/>
      <c r="AY1278" s="160"/>
      <c r="AZ1278" s="160"/>
      <c r="BA1278" s="160"/>
      <c r="BB1278" s="160"/>
      <c r="BC1278" s="160"/>
      <c r="BD1278" s="160"/>
      <c r="BE1278" s="160"/>
      <c r="BF1278" s="160"/>
      <c r="BG1278" s="160"/>
      <c r="BH1278" s="160"/>
      <c r="BI1278" s="160"/>
      <c r="BJ1278" s="160"/>
      <c r="BK1278" s="160"/>
      <c r="BL1278" s="160"/>
      <c r="BM1278" s="160"/>
      <c r="BN1278" s="160"/>
      <c r="BO1278" s="160"/>
      <c r="BP1278" s="160"/>
      <c r="BQ1278" s="160"/>
      <c r="BR1278" s="160"/>
      <c r="BS1278" s="160"/>
      <c r="BT1278" s="160"/>
      <c r="BU1278" s="160"/>
      <c r="BV1278" s="160"/>
      <c r="BW1278" s="160"/>
      <c r="BX1278" s="160"/>
      <c r="BY1278" s="160"/>
      <c r="BZ1278" s="160"/>
      <c r="CA1278" s="160"/>
      <c r="CB1278" s="160"/>
      <c r="CC1278" s="160"/>
      <c r="CD1278" s="160"/>
      <c r="CE1278" s="160"/>
      <c r="CF1278" s="160"/>
      <c r="CG1278" s="160"/>
      <c r="CH1278" s="160"/>
      <c r="CI1278" s="160"/>
      <c r="CJ1278" s="160"/>
      <c r="CK1278" s="160"/>
      <c r="CL1278" s="160"/>
    </row>
    <row r="1279">
      <c r="A1279" s="171"/>
      <c r="F1279" s="11"/>
      <c r="G1279" s="11"/>
      <c r="L1279" s="171"/>
      <c r="M1279" s="171"/>
      <c r="O1279" s="160"/>
      <c r="P1279" s="160"/>
      <c r="Q1279" s="160"/>
      <c r="R1279" s="160"/>
      <c r="S1279" s="160"/>
      <c r="T1279" s="207"/>
      <c r="U1279" s="160"/>
      <c r="V1279" s="160"/>
      <c r="W1279" s="160"/>
      <c r="X1279" s="160"/>
      <c r="Y1279" s="160"/>
      <c r="Z1279" s="160"/>
      <c r="AA1279" s="160"/>
      <c r="AB1279" s="160"/>
      <c r="AC1279" s="160"/>
      <c r="AD1279" s="160"/>
      <c r="AE1279" s="160"/>
      <c r="AF1279" s="160"/>
      <c r="AG1279" s="160"/>
      <c r="AH1279" s="160"/>
      <c r="AI1279" s="160"/>
      <c r="AJ1279" s="160"/>
      <c r="AK1279" s="160"/>
      <c r="AL1279" s="160"/>
      <c r="AM1279" s="160"/>
      <c r="AN1279" s="164"/>
      <c r="AO1279" s="160"/>
      <c r="AP1279" s="160"/>
      <c r="AQ1279" s="160"/>
      <c r="AR1279" s="160"/>
      <c r="AS1279" s="160"/>
      <c r="AT1279" s="160"/>
      <c r="AU1279" s="160"/>
      <c r="AV1279" s="160"/>
      <c r="AW1279" s="160"/>
      <c r="AX1279" s="160"/>
      <c r="AY1279" s="160"/>
      <c r="AZ1279" s="160"/>
      <c r="BA1279" s="160"/>
      <c r="BB1279" s="160"/>
      <c r="BC1279" s="160"/>
      <c r="BD1279" s="160"/>
      <c r="BE1279" s="160"/>
      <c r="BF1279" s="160"/>
      <c r="BG1279" s="160"/>
      <c r="BH1279" s="160"/>
      <c r="BI1279" s="160"/>
      <c r="BJ1279" s="160"/>
      <c r="BK1279" s="160"/>
      <c r="BL1279" s="160"/>
      <c r="BM1279" s="160"/>
      <c r="BN1279" s="160"/>
      <c r="BO1279" s="160"/>
      <c r="BP1279" s="160"/>
      <c r="BQ1279" s="160"/>
      <c r="BR1279" s="160"/>
      <c r="BS1279" s="160"/>
      <c r="BT1279" s="160"/>
      <c r="BU1279" s="160"/>
      <c r="BV1279" s="160"/>
      <c r="BW1279" s="160"/>
      <c r="BX1279" s="160"/>
      <c r="BY1279" s="160"/>
      <c r="BZ1279" s="160"/>
      <c r="CA1279" s="160"/>
      <c r="CB1279" s="160"/>
      <c r="CC1279" s="160"/>
      <c r="CD1279" s="160"/>
      <c r="CE1279" s="160"/>
      <c r="CF1279" s="160"/>
      <c r="CG1279" s="160"/>
      <c r="CH1279" s="160"/>
      <c r="CI1279" s="160"/>
      <c r="CJ1279" s="160"/>
      <c r="CK1279" s="160"/>
      <c r="CL1279" s="160"/>
    </row>
    <row r="1280">
      <c r="A1280" s="171"/>
      <c r="F1280" s="11"/>
      <c r="G1280" s="11"/>
      <c r="L1280" s="171"/>
      <c r="M1280" s="171"/>
      <c r="O1280" s="160"/>
      <c r="P1280" s="160"/>
      <c r="Q1280" s="160"/>
      <c r="R1280" s="160"/>
      <c r="S1280" s="160"/>
      <c r="T1280" s="207"/>
      <c r="U1280" s="160"/>
      <c r="V1280" s="160"/>
      <c r="W1280" s="160"/>
      <c r="X1280" s="160"/>
      <c r="Y1280" s="160"/>
      <c r="Z1280" s="160"/>
      <c r="AA1280" s="160"/>
      <c r="AB1280" s="160"/>
      <c r="AC1280" s="160"/>
      <c r="AD1280" s="160"/>
      <c r="AE1280" s="160"/>
      <c r="AF1280" s="160"/>
      <c r="AG1280" s="160"/>
      <c r="AH1280" s="160"/>
      <c r="AI1280" s="160"/>
      <c r="AJ1280" s="160"/>
      <c r="AK1280" s="160"/>
      <c r="AL1280" s="160"/>
      <c r="AM1280" s="160"/>
      <c r="AN1280" s="164"/>
      <c r="AO1280" s="160"/>
      <c r="AP1280" s="160"/>
      <c r="AQ1280" s="160"/>
      <c r="AR1280" s="160"/>
      <c r="AS1280" s="160"/>
      <c r="AT1280" s="160"/>
      <c r="AU1280" s="160"/>
      <c r="AV1280" s="160"/>
      <c r="AW1280" s="160"/>
      <c r="AX1280" s="160"/>
      <c r="AY1280" s="160"/>
      <c r="AZ1280" s="160"/>
      <c r="BA1280" s="160"/>
      <c r="BB1280" s="160"/>
      <c r="BC1280" s="160"/>
      <c r="BD1280" s="160"/>
      <c r="BE1280" s="160"/>
      <c r="BF1280" s="160"/>
      <c r="BG1280" s="160"/>
      <c r="BH1280" s="160"/>
      <c r="BI1280" s="160"/>
      <c r="BJ1280" s="160"/>
      <c r="BK1280" s="160"/>
      <c r="BL1280" s="160"/>
      <c r="BM1280" s="160"/>
      <c r="BN1280" s="160"/>
      <c r="BO1280" s="160"/>
      <c r="BP1280" s="160"/>
      <c r="BQ1280" s="160"/>
      <c r="BR1280" s="160"/>
      <c r="BS1280" s="160"/>
      <c r="BT1280" s="160"/>
      <c r="BU1280" s="160"/>
      <c r="BV1280" s="160"/>
      <c r="BW1280" s="160"/>
      <c r="BX1280" s="160"/>
      <c r="BY1280" s="160"/>
      <c r="BZ1280" s="160"/>
      <c r="CA1280" s="160"/>
      <c r="CB1280" s="160"/>
      <c r="CC1280" s="160"/>
      <c r="CD1280" s="160"/>
      <c r="CE1280" s="160"/>
      <c r="CF1280" s="160"/>
      <c r="CG1280" s="160"/>
      <c r="CH1280" s="160"/>
      <c r="CI1280" s="160"/>
      <c r="CJ1280" s="160"/>
      <c r="CK1280" s="160"/>
      <c r="CL1280" s="160"/>
    </row>
    <row r="1281">
      <c r="A1281" s="171"/>
      <c r="F1281" s="11"/>
      <c r="G1281" s="11"/>
      <c r="L1281" s="171"/>
      <c r="M1281" s="171"/>
      <c r="O1281" s="160"/>
      <c r="P1281" s="160"/>
      <c r="Q1281" s="160"/>
      <c r="R1281" s="160"/>
      <c r="S1281" s="160"/>
      <c r="T1281" s="207"/>
      <c r="U1281" s="160"/>
      <c r="V1281" s="160"/>
      <c r="W1281" s="160"/>
      <c r="X1281" s="160"/>
      <c r="Y1281" s="160"/>
      <c r="Z1281" s="160"/>
      <c r="AA1281" s="160"/>
      <c r="AB1281" s="160"/>
      <c r="AC1281" s="160"/>
      <c r="AD1281" s="160"/>
      <c r="AE1281" s="160"/>
      <c r="AF1281" s="160"/>
      <c r="AG1281" s="160"/>
      <c r="AH1281" s="160"/>
      <c r="AI1281" s="160"/>
      <c r="AJ1281" s="160"/>
      <c r="AK1281" s="160"/>
      <c r="AL1281" s="160"/>
      <c r="AM1281" s="160"/>
      <c r="AN1281" s="164"/>
      <c r="AO1281" s="160"/>
      <c r="AP1281" s="160"/>
      <c r="AQ1281" s="160"/>
      <c r="AR1281" s="160"/>
      <c r="AS1281" s="160"/>
      <c r="AT1281" s="160"/>
      <c r="AU1281" s="160"/>
      <c r="AV1281" s="160"/>
      <c r="AW1281" s="160"/>
      <c r="AX1281" s="160"/>
      <c r="AY1281" s="160"/>
      <c r="AZ1281" s="160"/>
      <c r="BA1281" s="160"/>
      <c r="BB1281" s="160"/>
      <c r="BC1281" s="160"/>
      <c r="BD1281" s="160"/>
      <c r="BE1281" s="160"/>
      <c r="BF1281" s="160"/>
      <c r="BG1281" s="160"/>
      <c r="BH1281" s="160"/>
      <c r="BI1281" s="160"/>
      <c r="BJ1281" s="160"/>
      <c r="BK1281" s="160"/>
      <c r="BL1281" s="160"/>
      <c r="BM1281" s="160"/>
      <c r="BN1281" s="160"/>
      <c r="BO1281" s="160"/>
      <c r="BP1281" s="160"/>
      <c r="BQ1281" s="160"/>
      <c r="BR1281" s="160"/>
      <c r="BS1281" s="160"/>
      <c r="BT1281" s="160"/>
      <c r="BU1281" s="160"/>
      <c r="BV1281" s="160"/>
      <c r="BW1281" s="160"/>
      <c r="BX1281" s="160"/>
      <c r="BY1281" s="160"/>
      <c r="BZ1281" s="160"/>
      <c r="CA1281" s="160"/>
      <c r="CB1281" s="160"/>
      <c r="CC1281" s="160"/>
      <c r="CD1281" s="160"/>
      <c r="CE1281" s="160"/>
      <c r="CF1281" s="160"/>
      <c r="CG1281" s="160"/>
      <c r="CH1281" s="160"/>
      <c r="CI1281" s="160"/>
      <c r="CJ1281" s="160"/>
      <c r="CK1281" s="160"/>
      <c r="CL1281" s="160"/>
    </row>
    <row r="1282">
      <c r="A1282" s="171"/>
      <c r="F1282" s="11"/>
      <c r="G1282" s="11"/>
      <c r="L1282" s="171"/>
      <c r="M1282" s="171"/>
      <c r="O1282" s="160"/>
      <c r="P1282" s="160"/>
      <c r="Q1282" s="160"/>
      <c r="R1282" s="160"/>
      <c r="S1282" s="160"/>
      <c r="T1282" s="207"/>
      <c r="U1282" s="160"/>
      <c r="V1282" s="160"/>
      <c r="W1282" s="160"/>
      <c r="X1282" s="160"/>
      <c r="Y1282" s="160"/>
      <c r="Z1282" s="160"/>
      <c r="AA1282" s="160"/>
      <c r="AB1282" s="160"/>
      <c r="AC1282" s="160"/>
      <c r="AD1282" s="160"/>
      <c r="AE1282" s="160"/>
      <c r="AF1282" s="160"/>
      <c r="AG1282" s="160"/>
      <c r="AH1282" s="160"/>
      <c r="AI1282" s="160"/>
      <c r="AJ1282" s="160"/>
      <c r="AK1282" s="160"/>
      <c r="AL1282" s="160"/>
      <c r="AM1282" s="160"/>
      <c r="AN1282" s="164"/>
      <c r="AO1282" s="160"/>
      <c r="AP1282" s="160"/>
      <c r="AQ1282" s="160"/>
      <c r="AR1282" s="160"/>
      <c r="AS1282" s="160"/>
      <c r="AT1282" s="160"/>
      <c r="AU1282" s="160"/>
      <c r="AV1282" s="160"/>
      <c r="AW1282" s="160"/>
      <c r="AX1282" s="160"/>
      <c r="AY1282" s="160"/>
      <c r="AZ1282" s="160"/>
      <c r="BA1282" s="160"/>
      <c r="BB1282" s="160"/>
      <c r="BC1282" s="160"/>
      <c r="BD1282" s="160"/>
      <c r="BE1282" s="160"/>
      <c r="BF1282" s="160"/>
      <c r="BG1282" s="160"/>
      <c r="BH1282" s="160"/>
      <c r="BI1282" s="160"/>
      <c r="BJ1282" s="160"/>
      <c r="BK1282" s="160"/>
      <c r="BL1282" s="160"/>
      <c r="BM1282" s="160"/>
      <c r="BN1282" s="160"/>
      <c r="BO1282" s="160"/>
      <c r="BP1282" s="160"/>
      <c r="BQ1282" s="160"/>
      <c r="BR1282" s="160"/>
      <c r="BS1282" s="160"/>
      <c r="BT1282" s="160"/>
      <c r="BU1282" s="160"/>
      <c r="BV1282" s="160"/>
      <c r="BW1282" s="160"/>
      <c r="BX1282" s="160"/>
      <c r="BY1282" s="160"/>
      <c r="BZ1282" s="160"/>
      <c r="CA1282" s="160"/>
      <c r="CB1282" s="160"/>
      <c r="CC1282" s="160"/>
      <c r="CD1282" s="160"/>
      <c r="CE1282" s="160"/>
      <c r="CF1282" s="160"/>
      <c r="CG1282" s="160"/>
      <c r="CH1282" s="160"/>
      <c r="CI1282" s="160"/>
      <c r="CJ1282" s="160"/>
      <c r="CK1282" s="160"/>
      <c r="CL1282" s="160"/>
    </row>
    <row r="1283">
      <c r="A1283" s="171"/>
      <c r="F1283" s="11"/>
      <c r="G1283" s="11"/>
      <c r="L1283" s="171"/>
      <c r="M1283" s="171"/>
      <c r="O1283" s="160"/>
      <c r="P1283" s="160"/>
      <c r="Q1283" s="160"/>
      <c r="R1283" s="160"/>
      <c r="S1283" s="160"/>
      <c r="T1283" s="207"/>
      <c r="U1283" s="160"/>
      <c r="V1283" s="160"/>
      <c r="W1283" s="160"/>
      <c r="X1283" s="160"/>
      <c r="Y1283" s="160"/>
      <c r="Z1283" s="160"/>
      <c r="AA1283" s="160"/>
      <c r="AB1283" s="160"/>
      <c r="AC1283" s="160"/>
      <c r="AD1283" s="160"/>
      <c r="AE1283" s="160"/>
      <c r="AF1283" s="160"/>
      <c r="AG1283" s="160"/>
      <c r="AH1283" s="160"/>
      <c r="AI1283" s="160"/>
      <c r="AJ1283" s="160"/>
      <c r="AK1283" s="160"/>
      <c r="AL1283" s="160"/>
      <c r="AM1283" s="160"/>
      <c r="AN1283" s="164"/>
      <c r="AO1283" s="160"/>
      <c r="AP1283" s="160"/>
      <c r="AQ1283" s="160"/>
      <c r="AR1283" s="160"/>
      <c r="AS1283" s="160"/>
      <c r="AT1283" s="160"/>
      <c r="AU1283" s="160"/>
      <c r="AV1283" s="160"/>
      <c r="AW1283" s="160"/>
      <c r="AX1283" s="160"/>
      <c r="AY1283" s="160"/>
      <c r="AZ1283" s="160"/>
      <c r="BA1283" s="160"/>
      <c r="BB1283" s="160"/>
      <c r="BC1283" s="160"/>
      <c r="BD1283" s="160"/>
      <c r="BE1283" s="160"/>
      <c r="BF1283" s="160"/>
      <c r="BG1283" s="160"/>
      <c r="BH1283" s="160"/>
      <c r="BI1283" s="160"/>
      <c r="BJ1283" s="160"/>
      <c r="BK1283" s="160"/>
      <c r="BL1283" s="160"/>
      <c r="BM1283" s="160"/>
      <c r="BN1283" s="160"/>
      <c r="BO1283" s="160"/>
      <c r="BP1283" s="160"/>
      <c r="BQ1283" s="160"/>
      <c r="BR1283" s="160"/>
      <c r="BS1283" s="160"/>
      <c r="BT1283" s="160"/>
      <c r="BU1283" s="160"/>
      <c r="BV1283" s="160"/>
      <c r="BW1283" s="160"/>
      <c r="BX1283" s="160"/>
      <c r="BY1283" s="160"/>
      <c r="BZ1283" s="160"/>
      <c r="CA1283" s="160"/>
      <c r="CB1283" s="160"/>
      <c r="CC1283" s="160"/>
      <c r="CD1283" s="160"/>
      <c r="CE1283" s="160"/>
      <c r="CF1283" s="160"/>
      <c r="CG1283" s="160"/>
      <c r="CH1283" s="160"/>
      <c r="CI1283" s="160"/>
      <c r="CJ1283" s="160"/>
      <c r="CK1283" s="160"/>
      <c r="CL1283" s="160"/>
    </row>
    <row r="1284">
      <c r="A1284" s="171"/>
      <c r="F1284" s="11"/>
      <c r="G1284" s="11"/>
      <c r="L1284" s="171"/>
      <c r="M1284" s="171"/>
      <c r="O1284" s="160"/>
      <c r="P1284" s="160"/>
      <c r="Q1284" s="160"/>
      <c r="R1284" s="160"/>
      <c r="S1284" s="160"/>
      <c r="T1284" s="207"/>
      <c r="U1284" s="160"/>
      <c r="V1284" s="160"/>
      <c r="W1284" s="160"/>
      <c r="X1284" s="160"/>
      <c r="Y1284" s="160"/>
      <c r="Z1284" s="160"/>
      <c r="AA1284" s="160"/>
      <c r="AB1284" s="160"/>
      <c r="AC1284" s="160"/>
      <c r="AD1284" s="160"/>
      <c r="AE1284" s="160"/>
      <c r="AF1284" s="160"/>
      <c r="AG1284" s="160"/>
      <c r="AH1284" s="160"/>
      <c r="AI1284" s="160"/>
      <c r="AJ1284" s="160"/>
      <c r="AK1284" s="160"/>
      <c r="AL1284" s="160"/>
      <c r="AM1284" s="160"/>
      <c r="AN1284" s="164"/>
      <c r="AO1284" s="160"/>
      <c r="AP1284" s="160"/>
      <c r="AQ1284" s="160"/>
      <c r="AR1284" s="160"/>
      <c r="AS1284" s="160"/>
      <c r="AT1284" s="160"/>
      <c r="AU1284" s="160"/>
      <c r="AV1284" s="160"/>
      <c r="AW1284" s="160"/>
      <c r="AX1284" s="160"/>
      <c r="AY1284" s="160"/>
      <c r="AZ1284" s="160"/>
      <c r="BA1284" s="160"/>
      <c r="BB1284" s="160"/>
      <c r="BC1284" s="160"/>
      <c r="BD1284" s="160"/>
      <c r="BE1284" s="160"/>
      <c r="BF1284" s="160"/>
      <c r="BG1284" s="160"/>
      <c r="BH1284" s="160"/>
      <c r="BI1284" s="160"/>
      <c r="BJ1284" s="160"/>
      <c r="BK1284" s="160"/>
      <c r="BL1284" s="160"/>
      <c r="BM1284" s="160"/>
      <c r="BN1284" s="160"/>
      <c r="BO1284" s="160"/>
      <c r="BP1284" s="160"/>
      <c r="BQ1284" s="160"/>
      <c r="BR1284" s="160"/>
      <c r="BS1284" s="160"/>
      <c r="BT1284" s="160"/>
      <c r="BU1284" s="160"/>
      <c r="BV1284" s="160"/>
      <c r="BW1284" s="160"/>
      <c r="BX1284" s="160"/>
      <c r="BY1284" s="160"/>
      <c r="BZ1284" s="160"/>
      <c r="CA1284" s="160"/>
      <c r="CB1284" s="160"/>
      <c r="CC1284" s="160"/>
      <c r="CD1284" s="160"/>
      <c r="CE1284" s="160"/>
      <c r="CF1284" s="160"/>
      <c r="CG1284" s="160"/>
      <c r="CH1284" s="160"/>
      <c r="CI1284" s="160"/>
      <c r="CJ1284" s="160"/>
      <c r="CK1284" s="160"/>
      <c r="CL1284" s="160"/>
    </row>
    <row r="1285">
      <c r="A1285" s="171"/>
      <c r="F1285" s="11"/>
      <c r="G1285" s="11"/>
      <c r="L1285" s="171"/>
      <c r="M1285" s="171"/>
      <c r="O1285" s="160"/>
      <c r="P1285" s="160"/>
      <c r="Q1285" s="160"/>
      <c r="R1285" s="160"/>
      <c r="S1285" s="160"/>
      <c r="T1285" s="207"/>
      <c r="U1285" s="160"/>
      <c r="V1285" s="160"/>
      <c r="W1285" s="160"/>
      <c r="X1285" s="160"/>
      <c r="Y1285" s="160"/>
      <c r="Z1285" s="160"/>
      <c r="AA1285" s="160"/>
      <c r="AB1285" s="160"/>
      <c r="AC1285" s="160"/>
      <c r="AD1285" s="160"/>
      <c r="AE1285" s="160"/>
      <c r="AF1285" s="160"/>
      <c r="AG1285" s="160"/>
      <c r="AH1285" s="160"/>
      <c r="AI1285" s="160"/>
      <c r="AJ1285" s="160"/>
      <c r="AK1285" s="160"/>
      <c r="AL1285" s="160"/>
      <c r="AM1285" s="160"/>
      <c r="AN1285" s="164"/>
      <c r="AO1285" s="160"/>
      <c r="AP1285" s="160"/>
      <c r="AQ1285" s="160"/>
      <c r="AR1285" s="160"/>
      <c r="AS1285" s="160"/>
      <c r="AT1285" s="160"/>
      <c r="AU1285" s="160"/>
      <c r="AV1285" s="160"/>
      <c r="AW1285" s="160"/>
      <c r="AX1285" s="160"/>
      <c r="AY1285" s="160"/>
      <c r="AZ1285" s="160"/>
      <c r="BA1285" s="160"/>
      <c r="BB1285" s="160"/>
      <c r="BC1285" s="160"/>
      <c r="BD1285" s="160"/>
      <c r="BE1285" s="160"/>
      <c r="BF1285" s="160"/>
      <c r="BG1285" s="160"/>
      <c r="BH1285" s="160"/>
      <c r="BI1285" s="160"/>
      <c r="BJ1285" s="160"/>
      <c r="BK1285" s="160"/>
      <c r="BL1285" s="160"/>
      <c r="BM1285" s="160"/>
      <c r="BN1285" s="160"/>
      <c r="BO1285" s="160"/>
      <c r="BP1285" s="160"/>
      <c r="BQ1285" s="160"/>
      <c r="BR1285" s="160"/>
      <c r="BS1285" s="160"/>
      <c r="BT1285" s="160"/>
      <c r="BU1285" s="160"/>
      <c r="BV1285" s="160"/>
      <c r="BW1285" s="160"/>
      <c r="BX1285" s="160"/>
      <c r="BY1285" s="160"/>
      <c r="BZ1285" s="160"/>
      <c r="CA1285" s="160"/>
      <c r="CB1285" s="160"/>
      <c r="CC1285" s="160"/>
      <c r="CD1285" s="160"/>
      <c r="CE1285" s="160"/>
      <c r="CF1285" s="160"/>
      <c r="CG1285" s="160"/>
      <c r="CH1285" s="160"/>
      <c r="CI1285" s="160"/>
      <c r="CJ1285" s="160"/>
      <c r="CK1285" s="160"/>
      <c r="CL1285" s="160"/>
    </row>
    <row r="1286">
      <c r="A1286" s="171"/>
      <c r="F1286" s="11"/>
      <c r="G1286" s="11"/>
      <c r="L1286" s="171"/>
      <c r="M1286" s="171"/>
      <c r="O1286" s="160"/>
      <c r="P1286" s="160"/>
      <c r="Q1286" s="160"/>
      <c r="R1286" s="160"/>
      <c r="S1286" s="160"/>
      <c r="T1286" s="207"/>
      <c r="U1286" s="160"/>
      <c r="V1286" s="160"/>
      <c r="W1286" s="160"/>
      <c r="X1286" s="160"/>
      <c r="Y1286" s="160"/>
      <c r="Z1286" s="160"/>
      <c r="AA1286" s="160"/>
      <c r="AB1286" s="160"/>
      <c r="AC1286" s="160"/>
      <c r="AD1286" s="160"/>
      <c r="AE1286" s="160"/>
      <c r="AF1286" s="160"/>
      <c r="AG1286" s="160"/>
      <c r="AH1286" s="160"/>
      <c r="AI1286" s="160"/>
      <c r="AJ1286" s="160"/>
      <c r="AK1286" s="160"/>
      <c r="AL1286" s="160"/>
      <c r="AM1286" s="160"/>
      <c r="AN1286" s="164"/>
      <c r="AO1286" s="160"/>
      <c r="AP1286" s="160"/>
      <c r="AQ1286" s="160"/>
      <c r="AR1286" s="160"/>
      <c r="AS1286" s="160"/>
      <c r="AT1286" s="160"/>
      <c r="AU1286" s="160"/>
      <c r="AV1286" s="160"/>
      <c r="AW1286" s="160"/>
      <c r="AX1286" s="160"/>
      <c r="AY1286" s="160"/>
      <c r="AZ1286" s="160"/>
      <c r="BA1286" s="160"/>
      <c r="BB1286" s="160"/>
      <c r="BC1286" s="160"/>
      <c r="BD1286" s="160"/>
      <c r="BE1286" s="160"/>
      <c r="BF1286" s="160"/>
      <c r="BG1286" s="160"/>
      <c r="BH1286" s="160"/>
      <c r="BI1286" s="160"/>
      <c r="BJ1286" s="160"/>
      <c r="BK1286" s="160"/>
      <c r="BL1286" s="160"/>
      <c r="BM1286" s="160"/>
      <c r="BN1286" s="160"/>
      <c r="BO1286" s="160"/>
      <c r="BP1286" s="160"/>
      <c r="BQ1286" s="160"/>
      <c r="BR1286" s="160"/>
      <c r="BS1286" s="160"/>
      <c r="BT1286" s="160"/>
      <c r="BU1286" s="160"/>
      <c r="BV1286" s="160"/>
      <c r="BW1286" s="160"/>
      <c r="BX1286" s="160"/>
      <c r="BY1286" s="160"/>
      <c r="BZ1286" s="160"/>
      <c r="CA1286" s="160"/>
      <c r="CB1286" s="160"/>
      <c r="CC1286" s="160"/>
      <c r="CD1286" s="160"/>
      <c r="CE1286" s="160"/>
      <c r="CF1286" s="160"/>
      <c r="CG1286" s="160"/>
      <c r="CH1286" s="160"/>
      <c r="CI1286" s="160"/>
      <c r="CJ1286" s="160"/>
      <c r="CK1286" s="160"/>
      <c r="CL1286" s="160"/>
    </row>
    <row r="1287">
      <c r="A1287" s="171"/>
      <c r="F1287" s="11"/>
      <c r="G1287" s="11"/>
      <c r="L1287" s="171"/>
      <c r="M1287" s="171"/>
      <c r="O1287" s="160"/>
      <c r="P1287" s="160"/>
      <c r="Q1287" s="160"/>
      <c r="R1287" s="160"/>
      <c r="S1287" s="160"/>
      <c r="T1287" s="207"/>
      <c r="U1287" s="160"/>
      <c r="V1287" s="160"/>
      <c r="W1287" s="160"/>
      <c r="X1287" s="160"/>
      <c r="Y1287" s="160"/>
      <c r="Z1287" s="160"/>
      <c r="AA1287" s="160"/>
      <c r="AB1287" s="160"/>
      <c r="AC1287" s="160"/>
      <c r="AD1287" s="160"/>
      <c r="AE1287" s="160"/>
      <c r="AF1287" s="160"/>
      <c r="AG1287" s="160"/>
      <c r="AH1287" s="160"/>
      <c r="AI1287" s="160"/>
      <c r="AJ1287" s="160"/>
      <c r="AK1287" s="160"/>
      <c r="AL1287" s="160"/>
      <c r="AM1287" s="160"/>
      <c r="AN1287" s="164"/>
      <c r="AO1287" s="160"/>
      <c r="AP1287" s="160"/>
      <c r="AQ1287" s="160"/>
      <c r="AR1287" s="160"/>
      <c r="AS1287" s="160"/>
      <c r="AT1287" s="160"/>
      <c r="AU1287" s="160"/>
      <c r="AV1287" s="160"/>
      <c r="AW1287" s="160"/>
      <c r="AX1287" s="160"/>
      <c r="AY1287" s="160"/>
      <c r="AZ1287" s="160"/>
      <c r="BA1287" s="160"/>
      <c r="BB1287" s="160"/>
      <c r="BC1287" s="160"/>
      <c r="BD1287" s="160"/>
      <c r="BE1287" s="160"/>
      <c r="BF1287" s="160"/>
      <c r="BG1287" s="160"/>
      <c r="BH1287" s="160"/>
      <c r="BI1287" s="160"/>
      <c r="BJ1287" s="160"/>
      <c r="BK1287" s="160"/>
      <c r="BL1287" s="160"/>
      <c r="BM1287" s="160"/>
      <c r="BN1287" s="160"/>
      <c r="BO1287" s="160"/>
      <c r="BP1287" s="160"/>
      <c r="BQ1287" s="160"/>
      <c r="BR1287" s="160"/>
      <c r="BS1287" s="160"/>
      <c r="BT1287" s="160"/>
      <c r="BU1287" s="160"/>
      <c r="BV1287" s="160"/>
      <c r="BW1287" s="160"/>
      <c r="BX1287" s="160"/>
      <c r="BY1287" s="160"/>
      <c r="BZ1287" s="160"/>
      <c r="CA1287" s="160"/>
      <c r="CB1287" s="160"/>
      <c r="CC1287" s="160"/>
      <c r="CD1287" s="160"/>
      <c r="CE1287" s="160"/>
      <c r="CF1287" s="160"/>
      <c r="CG1287" s="160"/>
      <c r="CH1287" s="160"/>
      <c r="CI1287" s="160"/>
      <c r="CJ1287" s="160"/>
      <c r="CK1287" s="160"/>
      <c r="CL1287" s="160"/>
    </row>
    <row r="1288">
      <c r="A1288" s="171"/>
      <c r="F1288" s="11"/>
      <c r="G1288" s="11"/>
      <c r="L1288" s="171"/>
      <c r="M1288" s="171"/>
      <c r="O1288" s="160"/>
      <c r="P1288" s="160"/>
      <c r="Q1288" s="160"/>
      <c r="R1288" s="160"/>
      <c r="S1288" s="160"/>
      <c r="T1288" s="207"/>
      <c r="U1288" s="160"/>
      <c r="V1288" s="160"/>
      <c r="W1288" s="160"/>
      <c r="X1288" s="160"/>
      <c r="Y1288" s="160"/>
      <c r="Z1288" s="160"/>
      <c r="AA1288" s="160"/>
      <c r="AB1288" s="160"/>
      <c r="AC1288" s="160"/>
      <c r="AD1288" s="160"/>
      <c r="AE1288" s="160"/>
      <c r="AF1288" s="160"/>
      <c r="AG1288" s="160"/>
      <c r="AH1288" s="160"/>
      <c r="AI1288" s="160"/>
      <c r="AJ1288" s="160"/>
      <c r="AK1288" s="160"/>
      <c r="AL1288" s="160"/>
      <c r="AM1288" s="160"/>
      <c r="AN1288" s="164"/>
      <c r="AO1288" s="160"/>
      <c r="AP1288" s="160"/>
      <c r="AQ1288" s="160"/>
      <c r="AR1288" s="160"/>
      <c r="AS1288" s="160"/>
      <c r="AT1288" s="160"/>
      <c r="AU1288" s="160"/>
      <c r="AV1288" s="160"/>
      <c r="AW1288" s="160"/>
      <c r="AX1288" s="160"/>
      <c r="AY1288" s="160"/>
      <c r="AZ1288" s="160"/>
      <c r="BA1288" s="160"/>
      <c r="BB1288" s="160"/>
      <c r="BC1288" s="160"/>
      <c r="BD1288" s="160"/>
      <c r="BE1288" s="160"/>
      <c r="BF1288" s="160"/>
      <c r="BG1288" s="160"/>
      <c r="BH1288" s="160"/>
      <c r="BI1288" s="160"/>
      <c r="BJ1288" s="160"/>
      <c r="BK1288" s="160"/>
      <c r="BL1288" s="160"/>
      <c r="BM1288" s="160"/>
      <c r="BN1288" s="160"/>
      <c r="BO1288" s="160"/>
      <c r="BP1288" s="160"/>
      <c r="BQ1288" s="160"/>
      <c r="BR1288" s="160"/>
      <c r="BS1288" s="160"/>
      <c r="BT1288" s="160"/>
      <c r="BU1288" s="160"/>
      <c r="BV1288" s="160"/>
      <c r="BW1288" s="160"/>
      <c r="BX1288" s="160"/>
      <c r="BY1288" s="160"/>
      <c r="BZ1288" s="160"/>
      <c r="CA1288" s="160"/>
      <c r="CB1288" s="160"/>
      <c r="CC1288" s="160"/>
      <c r="CD1288" s="160"/>
      <c r="CE1288" s="160"/>
      <c r="CF1288" s="160"/>
      <c r="CG1288" s="160"/>
      <c r="CH1288" s="160"/>
      <c r="CI1288" s="160"/>
      <c r="CJ1288" s="160"/>
      <c r="CK1288" s="160"/>
      <c r="CL1288" s="160"/>
    </row>
    <row r="1289">
      <c r="A1289" s="171"/>
      <c r="F1289" s="11"/>
      <c r="G1289" s="11"/>
      <c r="L1289" s="171"/>
      <c r="M1289" s="171"/>
      <c r="O1289" s="160"/>
      <c r="P1289" s="160"/>
      <c r="Q1289" s="160"/>
      <c r="R1289" s="160"/>
      <c r="S1289" s="160"/>
      <c r="T1289" s="207"/>
      <c r="U1289" s="160"/>
      <c r="V1289" s="160"/>
      <c r="W1289" s="160"/>
      <c r="X1289" s="160"/>
      <c r="Y1289" s="160"/>
      <c r="Z1289" s="160"/>
      <c r="AA1289" s="160"/>
      <c r="AB1289" s="160"/>
      <c r="AC1289" s="160"/>
      <c r="AD1289" s="160"/>
      <c r="AE1289" s="160"/>
      <c r="AF1289" s="160"/>
      <c r="AG1289" s="160"/>
      <c r="AH1289" s="160"/>
      <c r="AI1289" s="160"/>
      <c r="AJ1289" s="160"/>
      <c r="AK1289" s="160"/>
      <c r="AL1289" s="160"/>
      <c r="AM1289" s="160"/>
      <c r="AN1289" s="164"/>
      <c r="AO1289" s="160"/>
      <c r="AP1289" s="160"/>
      <c r="AQ1289" s="160"/>
      <c r="AR1289" s="160"/>
      <c r="AS1289" s="160"/>
      <c r="AT1289" s="160"/>
      <c r="AU1289" s="160"/>
      <c r="AV1289" s="160"/>
      <c r="AW1289" s="160"/>
      <c r="AX1289" s="160"/>
      <c r="AY1289" s="160"/>
      <c r="AZ1289" s="160"/>
      <c r="BA1289" s="160"/>
      <c r="BB1289" s="160"/>
      <c r="BC1289" s="160"/>
      <c r="BD1289" s="160"/>
      <c r="BE1289" s="160"/>
      <c r="BF1289" s="160"/>
      <c r="BG1289" s="160"/>
      <c r="BH1289" s="160"/>
      <c r="BI1289" s="160"/>
      <c r="BJ1289" s="160"/>
      <c r="BK1289" s="160"/>
      <c r="BL1289" s="160"/>
      <c r="BM1289" s="160"/>
      <c r="BN1289" s="160"/>
      <c r="BO1289" s="160"/>
      <c r="BP1289" s="160"/>
      <c r="BQ1289" s="160"/>
      <c r="BR1289" s="160"/>
      <c r="BS1289" s="160"/>
      <c r="BT1289" s="160"/>
      <c r="BU1289" s="160"/>
      <c r="BV1289" s="160"/>
      <c r="BW1289" s="160"/>
      <c r="BX1289" s="160"/>
      <c r="BY1289" s="160"/>
      <c r="BZ1289" s="160"/>
      <c r="CA1289" s="160"/>
      <c r="CB1289" s="160"/>
      <c r="CC1289" s="160"/>
      <c r="CD1289" s="160"/>
      <c r="CE1289" s="160"/>
      <c r="CF1289" s="160"/>
      <c r="CG1289" s="160"/>
      <c r="CH1289" s="160"/>
      <c r="CI1289" s="160"/>
      <c r="CJ1289" s="160"/>
      <c r="CK1289" s="160"/>
      <c r="CL1289" s="160"/>
    </row>
    <row r="1290">
      <c r="A1290" s="171"/>
      <c r="F1290" s="11"/>
      <c r="G1290" s="11"/>
      <c r="L1290" s="171"/>
      <c r="M1290" s="171"/>
      <c r="O1290" s="160"/>
      <c r="P1290" s="160"/>
      <c r="Q1290" s="160"/>
      <c r="R1290" s="160"/>
      <c r="S1290" s="160"/>
      <c r="T1290" s="207"/>
      <c r="U1290" s="160"/>
      <c r="V1290" s="160"/>
      <c r="W1290" s="160"/>
      <c r="X1290" s="160"/>
      <c r="Y1290" s="160"/>
      <c r="Z1290" s="160"/>
      <c r="AA1290" s="160"/>
      <c r="AB1290" s="160"/>
      <c r="AC1290" s="160"/>
      <c r="AD1290" s="160"/>
      <c r="AE1290" s="160"/>
      <c r="AF1290" s="160"/>
      <c r="AG1290" s="160"/>
      <c r="AH1290" s="160"/>
      <c r="AI1290" s="160"/>
      <c r="AJ1290" s="160"/>
      <c r="AK1290" s="160"/>
      <c r="AL1290" s="160"/>
      <c r="AM1290" s="160"/>
      <c r="AN1290" s="164"/>
      <c r="AO1290" s="160"/>
      <c r="AP1290" s="160"/>
      <c r="AQ1290" s="160"/>
      <c r="AR1290" s="160"/>
      <c r="AS1290" s="160"/>
      <c r="AT1290" s="160"/>
      <c r="AU1290" s="160"/>
      <c r="AV1290" s="160"/>
      <c r="AW1290" s="160"/>
      <c r="AX1290" s="160"/>
      <c r="AY1290" s="160"/>
      <c r="AZ1290" s="160"/>
      <c r="BA1290" s="160"/>
      <c r="BB1290" s="160"/>
      <c r="BC1290" s="160"/>
      <c r="BD1290" s="160"/>
      <c r="BE1290" s="160"/>
      <c r="BF1290" s="160"/>
      <c r="BG1290" s="160"/>
      <c r="BH1290" s="160"/>
      <c r="BI1290" s="160"/>
      <c r="BJ1290" s="160"/>
      <c r="BK1290" s="160"/>
      <c r="BL1290" s="160"/>
      <c r="BM1290" s="160"/>
      <c r="BN1290" s="160"/>
      <c r="BO1290" s="160"/>
      <c r="BP1290" s="160"/>
      <c r="BQ1290" s="160"/>
      <c r="BR1290" s="160"/>
      <c r="BS1290" s="160"/>
      <c r="BT1290" s="160"/>
      <c r="BU1290" s="160"/>
      <c r="BV1290" s="160"/>
      <c r="BW1290" s="160"/>
      <c r="BX1290" s="160"/>
      <c r="BY1290" s="160"/>
      <c r="BZ1290" s="160"/>
      <c r="CA1290" s="160"/>
      <c r="CB1290" s="160"/>
      <c r="CC1290" s="160"/>
      <c r="CD1290" s="160"/>
      <c r="CE1290" s="160"/>
      <c r="CF1290" s="160"/>
      <c r="CG1290" s="160"/>
      <c r="CH1290" s="160"/>
      <c r="CI1290" s="160"/>
      <c r="CJ1290" s="160"/>
      <c r="CK1290" s="160"/>
      <c r="CL1290" s="160"/>
    </row>
    <row r="1291">
      <c r="A1291" s="171"/>
      <c r="F1291" s="11"/>
      <c r="G1291" s="11"/>
      <c r="L1291" s="171"/>
      <c r="M1291" s="171"/>
      <c r="O1291" s="160"/>
      <c r="P1291" s="160"/>
      <c r="Q1291" s="160"/>
      <c r="R1291" s="160"/>
      <c r="S1291" s="160"/>
      <c r="T1291" s="207"/>
      <c r="U1291" s="160"/>
      <c r="V1291" s="160"/>
      <c r="W1291" s="160"/>
      <c r="X1291" s="160"/>
      <c r="Y1291" s="160"/>
      <c r="Z1291" s="160"/>
      <c r="AA1291" s="160"/>
      <c r="AB1291" s="160"/>
      <c r="AC1291" s="160"/>
      <c r="AD1291" s="160"/>
      <c r="AE1291" s="160"/>
      <c r="AF1291" s="160"/>
      <c r="AG1291" s="160"/>
      <c r="AH1291" s="160"/>
      <c r="AI1291" s="160"/>
      <c r="AJ1291" s="160"/>
      <c r="AK1291" s="160"/>
      <c r="AL1291" s="160"/>
      <c r="AM1291" s="160"/>
      <c r="AN1291" s="164"/>
      <c r="AO1291" s="160"/>
      <c r="AP1291" s="160"/>
      <c r="AQ1291" s="160"/>
      <c r="AR1291" s="160"/>
      <c r="AS1291" s="160"/>
      <c r="AT1291" s="160"/>
      <c r="AU1291" s="160"/>
      <c r="AV1291" s="160"/>
      <c r="AW1291" s="160"/>
      <c r="AX1291" s="160"/>
      <c r="AY1291" s="160"/>
      <c r="AZ1291" s="160"/>
      <c r="BA1291" s="160"/>
      <c r="BB1291" s="160"/>
      <c r="BC1291" s="160"/>
      <c r="BD1291" s="160"/>
      <c r="BE1291" s="160"/>
      <c r="BF1291" s="160"/>
      <c r="BG1291" s="160"/>
      <c r="BH1291" s="160"/>
      <c r="BI1291" s="160"/>
      <c r="BJ1291" s="160"/>
      <c r="BK1291" s="160"/>
      <c r="BL1291" s="160"/>
      <c r="BM1291" s="160"/>
      <c r="BN1291" s="160"/>
      <c r="BO1291" s="160"/>
      <c r="BP1291" s="160"/>
      <c r="BQ1291" s="160"/>
      <c r="BR1291" s="160"/>
      <c r="BS1291" s="160"/>
      <c r="BT1291" s="160"/>
      <c r="BU1291" s="160"/>
      <c r="BV1291" s="160"/>
      <c r="BW1291" s="160"/>
      <c r="BX1291" s="160"/>
      <c r="BY1291" s="160"/>
      <c r="BZ1291" s="160"/>
      <c r="CA1291" s="160"/>
      <c r="CB1291" s="160"/>
      <c r="CC1291" s="160"/>
      <c r="CD1291" s="160"/>
      <c r="CE1291" s="160"/>
      <c r="CF1291" s="160"/>
      <c r="CG1291" s="160"/>
      <c r="CH1291" s="160"/>
      <c r="CI1291" s="160"/>
      <c r="CJ1291" s="160"/>
      <c r="CK1291" s="160"/>
      <c r="CL1291" s="160"/>
    </row>
    <row r="1292">
      <c r="A1292" s="171"/>
      <c r="F1292" s="11"/>
      <c r="G1292" s="11"/>
      <c r="L1292" s="171"/>
      <c r="M1292" s="171"/>
      <c r="O1292" s="160"/>
      <c r="P1292" s="160"/>
      <c r="Q1292" s="160"/>
      <c r="R1292" s="160"/>
      <c r="S1292" s="160"/>
      <c r="T1292" s="207"/>
      <c r="U1292" s="160"/>
      <c r="V1292" s="160"/>
      <c r="W1292" s="160"/>
      <c r="X1292" s="160"/>
      <c r="Y1292" s="160"/>
      <c r="Z1292" s="160"/>
      <c r="AA1292" s="160"/>
      <c r="AB1292" s="160"/>
      <c r="AC1292" s="160"/>
      <c r="AD1292" s="160"/>
      <c r="AE1292" s="160"/>
      <c r="AF1292" s="160"/>
      <c r="AG1292" s="160"/>
      <c r="AH1292" s="160"/>
      <c r="AI1292" s="160"/>
      <c r="AJ1292" s="160"/>
      <c r="AK1292" s="160"/>
      <c r="AL1292" s="160"/>
      <c r="AM1292" s="160"/>
      <c r="AN1292" s="164"/>
      <c r="AO1292" s="160"/>
      <c r="AP1292" s="160"/>
      <c r="AQ1292" s="160"/>
      <c r="AR1292" s="160"/>
      <c r="AS1292" s="160"/>
      <c r="AT1292" s="160"/>
      <c r="AU1292" s="160"/>
      <c r="AV1292" s="160"/>
      <c r="AW1292" s="160"/>
      <c r="AX1292" s="160"/>
      <c r="AY1292" s="160"/>
      <c r="AZ1292" s="160"/>
      <c r="BA1292" s="160"/>
      <c r="BB1292" s="160"/>
      <c r="BC1292" s="160"/>
      <c r="BD1292" s="160"/>
      <c r="BE1292" s="160"/>
      <c r="BF1292" s="160"/>
      <c r="BG1292" s="160"/>
      <c r="BH1292" s="160"/>
      <c r="BI1292" s="160"/>
      <c r="BJ1292" s="160"/>
      <c r="BK1292" s="160"/>
      <c r="BL1292" s="160"/>
      <c r="BM1292" s="160"/>
      <c r="BN1292" s="160"/>
      <c r="BO1292" s="160"/>
      <c r="BP1292" s="160"/>
      <c r="BQ1292" s="160"/>
      <c r="BR1292" s="160"/>
      <c r="BS1292" s="160"/>
      <c r="BT1292" s="160"/>
      <c r="BU1292" s="160"/>
      <c r="BV1292" s="160"/>
      <c r="BW1292" s="160"/>
      <c r="BX1292" s="160"/>
      <c r="BY1292" s="160"/>
      <c r="BZ1292" s="160"/>
      <c r="CA1292" s="160"/>
      <c r="CB1292" s="160"/>
      <c r="CC1292" s="160"/>
      <c r="CD1292" s="160"/>
      <c r="CE1292" s="160"/>
      <c r="CF1292" s="160"/>
      <c r="CG1292" s="160"/>
      <c r="CH1292" s="160"/>
      <c r="CI1292" s="160"/>
      <c r="CJ1292" s="160"/>
      <c r="CK1292" s="160"/>
      <c r="CL1292" s="160"/>
    </row>
    <row r="1293">
      <c r="A1293" s="171"/>
      <c r="F1293" s="11"/>
      <c r="G1293" s="11"/>
      <c r="L1293" s="171"/>
      <c r="M1293" s="171"/>
      <c r="O1293" s="160"/>
      <c r="P1293" s="160"/>
      <c r="Q1293" s="160"/>
      <c r="R1293" s="160"/>
      <c r="S1293" s="160"/>
      <c r="T1293" s="207"/>
      <c r="U1293" s="160"/>
      <c r="V1293" s="160"/>
      <c r="W1293" s="160"/>
      <c r="X1293" s="160"/>
      <c r="Y1293" s="160"/>
      <c r="Z1293" s="160"/>
      <c r="AA1293" s="160"/>
      <c r="AB1293" s="160"/>
      <c r="AC1293" s="160"/>
      <c r="AD1293" s="160"/>
      <c r="AE1293" s="160"/>
      <c r="AF1293" s="160"/>
      <c r="AG1293" s="160"/>
      <c r="AH1293" s="160"/>
      <c r="AI1293" s="160"/>
      <c r="AJ1293" s="160"/>
      <c r="AK1293" s="160"/>
      <c r="AL1293" s="160"/>
      <c r="AM1293" s="160"/>
      <c r="AN1293" s="164"/>
      <c r="AO1293" s="160"/>
      <c r="AP1293" s="160"/>
      <c r="AQ1293" s="160"/>
      <c r="AR1293" s="160"/>
      <c r="AS1293" s="160"/>
      <c r="AT1293" s="160"/>
      <c r="AU1293" s="160"/>
      <c r="AV1293" s="160"/>
      <c r="AW1293" s="160"/>
      <c r="AX1293" s="160"/>
      <c r="AY1293" s="160"/>
      <c r="AZ1293" s="160"/>
      <c r="BA1293" s="160"/>
      <c r="BB1293" s="160"/>
      <c r="BC1293" s="160"/>
      <c r="BD1293" s="160"/>
      <c r="BE1293" s="160"/>
      <c r="BF1293" s="160"/>
      <c r="BG1293" s="160"/>
      <c r="BH1293" s="160"/>
      <c r="BI1293" s="160"/>
      <c r="BJ1293" s="160"/>
      <c r="BK1293" s="160"/>
      <c r="BL1293" s="160"/>
      <c r="BM1293" s="160"/>
      <c r="BN1293" s="160"/>
      <c r="BO1293" s="160"/>
      <c r="BP1293" s="160"/>
      <c r="BQ1293" s="160"/>
      <c r="BR1293" s="160"/>
      <c r="BS1293" s="160"/>
      <c r="BT1293" s="160"/>
      <c r="BU1293" s="160"/>
      <c r="BV1293" s="160"/>
      <c r="BW1293" s="160"/>
      <c r="BX1293" s="160"/>
      <c r="BY1293" s="160"/>
      <c r="BZ1293" s="160"/>
      <c r="CA1293" s="160"/>
      <c r="CB1293" s="160"/>
      <c r="CC1293" s="160"/>
      <c r="CD1293" s="160"/>
      <c r="CE1293" s="160"/>
      <c r="CF1293" s="160"/>
      <c r="CG1293" s="160"/>
      <c r="CH1293" s="160"/>
      <c r="CI1293" s="160"/>
      <c r="CJ1293" s="160"/>
      <c r="CK1293" s="160"/>
      <c r="CL1293" s="160"/>
    </row>
    <row r="1294">
      <c r="A1294" s="171"/>
      <c r="F1294" s="11"/>
      <c r="G1294" s="11"/>
      <c r="L1294" s="171"/>
      <c r="M1294" s="171"/>
      <c r="O1294" s="160"/>
      <c r="P1294" s="160"/>
      <c r="Q1294" s="160"/>
      <c r="R1294" s="160"/>
      <c r="S1294" s="160"/>
      <c r="T1294" s="207"/>
      <c r="U1294" s="160"/>
      <c r="V1294" s="160"/>
      <c r="W1294" s="160"/>
      <c r="X1294" s="160"/>
      <c r="Y1294" s="160"/>
      <c r="Z1294" s="160"/>
      <c r="AA1294" s="160"/>
      <c r="AB1294" s="160"/>
      <c r="AC1294" s="160"/>
      <c r="AD1294" s="160"/>
      <c r="AE1294" s="160"/>
      <c r="AF1294" s="160"/>
      <c r="AG1294" s="160"/>
      <c r="AH1294" s="160"/>
      <c r="AI1294" s="160"/>
      <c r="AJ1294" s="160"/>
      <c r="AK1294" s="160"/>
      <c r="AL1294" s="160"/>
      <c r="AM1294" s="160"/>
      <c r="AN1294" s="164"/>
      <c r="AO1294" s="160"/>
      <c r="AP1294" s="160"/>
      <c r="AQ1294" s="160"/>
      <c r="AR1294" s="160"/>
      <c r="AS1294" s="160"/>
      <c r="AT1294" s="160"/>
      <c r="AU1294" s="160"/>
      <c r="AV1294" s="160"/>
      <c r="AW1294" s="160"/>
      <c r="AX1294" s="160"/>
      <c r="AY1294" s="160"/>
      <c r="AZ1294" s="160"/>
      <c r="BA1294" s="160"/>
      <c r="BB1294" s="160"/>
      <c r="BC1294" s="160"/>
      <c r="BD1294" s="160"/>
      <c r="BE1294" s="160"/>
      <c r="BF1294" s="160"/>
      <c r="BG1294" s="160"/>
      <c r="BH1294" s="160"/>
      <c r="BI1294" s="160"/>
      <c r="BJ1294" s="160"/>
      <c r="BK1294" s="160"/>
      <c r="BL1294" s="160"/>
      <c r="BM1294" s="160"/>
      <c r="BN1294" s="160"/>
      <c r="BO1294" s="160"/>
      <c r="BP1294" s="160"/>
      <c r="BQ1294" s="160"/>
      <c r="BR1294" s="160"/>
      <c r="BS1294" s="160"/>
      <c r="BT1294" s="160"/>
      <c r="BU1294" s="160"/>
      <c r="BV1294" s="160"/>
      <c r="BW1294" s="160"/>
      <c r="BX1294" s="160"/>
      <c r="BY1294" s="160"/>
      <c r="BZ1294" s="160"/>
      <c r="CA1294" s="160"/>
      <c r="CB1294" s="160"/>
      <c r="CC1294" s="160"/>
      <c r="CD1294" s="160"/>
      <c r="CE1294" s="160"/>
      <c r="CF1294" s="160"/>
      <c r="CG1294" s="160"/>
      <c r="CH1294" s="160"/>
      <c r="CI1294" s="160"/>
      <c r="CJ1294" s="160"/>
      <c r="CK1294" s="160"/>
      <c r="CL1294" s="160"/>
    </row>
    <row r="1295">
      <c r="A1295" s="171"/>
      <c r="F1295" s="11"/>
      <c r="G1295" s="11"/>
      <c r="L1295" s="171"/>
      <c r="M1295" s="171"/>
      <c r="O1295" s="160"/>
      <c r="P1295" s="160"/>
      <c r="Q1295" s="160"/>
      <c r="R1295" s="160"/>
      <c r="S1295" s="160"/>
      <c r="T1295" s="207"/>
      <c r="U1295" s="160"/>
      <c r="V1295" s="160"/>
      <c r="W1295" s="160"/>
      <c r="X1295" s="160"/>
      <c r="Y1295" s="160"/>
      <c r="Z1295" s="160"/>
      <c r="AA1295" s="160"/>
      <c r="AB1295" s="160"/>
      <c r="AC1295" s="160"/>
      <c r="AD1295" s="160"/>
      <c r="AE1295" s="160"/>
      <c r="AF1295" s="160"/>
      <c r="AG1295" s="160"/>
      <c r="AH1295" s="160"/>
      <c r="AI1295" s="160"/>
      <c r="AJ1295" s="160"/>
      <c r="AK1295" s="160"/>
      <c r="AL1295" s="160"/>
      <c r="AM1295" s="160"/>
      <c r="AN1295" s="164"/>
      <c r="AO1295" s="160"/>
      <c r="AP1295" s="160"/>
      <c r="AQ1295" s="160"/>
      <c r="AR1295" s="160"/>
      <c r="AS1295" s="160"/>
      <c r="AT1295" s="160"/>
      <c r="AU1295" s="160"/>
      <c r="AV1295" s="160"/>
      <c r="AW1295" s="160"/>
      <c r="AX1295" s="160"/>
      <c r="AY1295" s="160"/>
      <c r="AZ1295" s="160"/>
      <c r="BA1295" s="160"/>
      <c r="BB1295" s="160"/>
      <c r="BC1295" s="160"/>
      <c r="BD1295" s="160"/>
      <c r="BE1295" s="160"/>
      <c r="BF1295" s="160"/>
      <c r="BG1295" s="160"/>
      <c r="BH1295" s="160"/>
      <c r="BI1295" s="160"/>
      <c r="BJ1295" s="160"/>
      <c r="BK1295" s="160"/>
      <c r="BL1295" s="160"/>
      <c r="BM1295" s="160"/>
      <c r="BN1295" s="160"/>
      <c r="BO1295" s="160"/>
      <c r="BP1295" s="160"/>
      <c r="BQ1295" s="160"/>
      <c r="BR1295" s="160"/>
      <c r="BS1295" s="160"/>
      <c r="BT1295" s="160"/>
      <c r="BU1295" s="160"/>
      <c r="BV1295" s="160"/>
      <c r="BW1295" s="160"/>
      <c r="BX1295" s="160"/>
      <c r="BY1295" s="160"/>
      <c r="BZ1295" s="160"/>
      <c r="CA1295" s="160"/>
      <c r="CB1295" s="160"/>
      <c r="CC1295" s="160"/>
      <c r="CD1295" s="160"/>
      <c r="CE1295" s="160"/>
      <c r="CF1295" s="160"/>
      <c r="CG1295" s="160"/>
      <c r="CH1295" s="160"/>
      <c r="CI1295" s="160"/>
      <c r="CJ1295" s="160"/>
      <c r="CK1295" s="160"/>
      <c r="CL1295" s="160"/>
    </row>
    <row r="1296">
      <c r="A1296" s="171"/>
      <c r="F1296" s="11"/>
      <c r="G1296" s="11"/>
      <c r="L1296" s="171"/>
      <c r="M1296" s="171"/>
      <c r="O1296" s="160"/>
      <c r="P1296" s="160"/>
      <c r="Q1296" s="160"/>
      <c r="R1296" s="160"/>
      <c r="S1296" s="160"/>
      <c r="T1296" s="207"/>
      <c r="U1296" s="160"/>
      <c r="V1296" s="160"/>
      <c r="W1296" s="160"/>
      <c r="X1296" s="160"/>
      <c r="Y1296" s="160"/>
      <c r="Z1296" s="160"/>
      <c r="AA1296" s="160"/>
      <c r="AB1296" s="160"/>
      <c r="AC1296" s="160"/>
      <c r="AD1296" s="160"/>
      <c r="AE1296" s="160"/>
      <c r="AF1296" s="160"/>
      <c r="AG1296" s="160"/>
      <c r="AH1296" s="160"/>
      <c r="AI1296" s="160"/>
      <c r="AJ1296" s="160"/>
      <c r="AK1296" s="160"/>
      <c r="AL1296" s="160"/>
      <c r="AM1296" s="160"/>
      <c r="AN1296" s="164"/>
      <c r="AO1296" s="160"/>
      <c r="AP1296" s="160"/>
      <c r="AQ1296" s="160"/>
      <c r="AR1296" s="160"/>
      <c r="AS1296" s="160"/>
      <c r="AT1296" s="160"/>
      <c r="AU1296" s="160"/>
      <c r="AV1296" s="160"/>
      <c r="AW1296" s="160"/>
      <c r="AX1296" s="160"/>
      <c r="AY1296" s="160"/>
      <c r="AZ1296" s="160"/>
      <c r="BA1296" s="160"/>
      <c r="BB1296" s="160"/>
      <c r="BC1296" s="160"/>
      <c r="BD1296" s="160"/>
      <c r="BE1296" s="160"/>
      <c r="BF1296" s="160"/>
      <c r="BG1296" s="160"/>
      <c r="BH1296" s="160"/>
      <c r="BI1296" s="160"/>
      <c r="BJ1296" s="160"/>
      <c r="BK1296" s="160"/>
      <c r="BL1296" s="160"/>
      <c r="BM1296" s="160"/>
      <c r="BN1296" s="160"/>
      <c r="BO1296" s="160"/>
      <c r="BP1296" s="160"/>
      <c r="BQ1296" s="160"/>
      <c r="BR1296" s="160"/>
      <c r="BS1296" s="160"/>
      <c r="BT1296" s="160"/>
      <c r="BU1296" s="160"/>
      <c r="BV1296" s="160"/>
      <c r="BW1296" s="160"/>
      <c r="BX1296" s="160"/>
      <c r="BY1296" s="160"/>
      <c r="BZ1296" s="160"/>
      <c r="CA1296" s="160"/>
      <c r="CB1296" s="160"/>
      <c r="CC1296" s="160"/>
      <c r="CD1296" s="160"/>
      <c r="CE1296" s="160"/>
      <c r="CF1296" s="160"/>
      <c r="CG1296" s="160"/>
      <c r="CH1296" s="160"/>
      <c r="CI1296" s="160"/>
      <c r="CJ1296" s="160"/>
      <c r="CK1296" s="160"/>
      <c r="CL1296" s="160"/>
    </row>
    <row r="1297">
      <c r="A1297" s="171"/>
      <c r="F1297" s="11"/>
      <c r="G1297" s="11"/>
      <c r="L1297" s="171"/>
      <c r="M1297" s="171"/>
      <c r="O1297" s="160"/>
      <c r="P1297" s="160"/>
      <c r="Q1297" s="160"/>
      <c r="R1297" s="160"/>
      <c r="S1297" s="160"/>
      <c r="T1297" s="207"/>
      <c r="U1297" s="160"/>
      <c r="V1297" s="160"/>
      <c r="W1297" s="160"/>
      <c r="X1297" s="160"/>
      <c r="Y1297" s="160"/>
      <c r="Z1297" s="160"/>
      <c r="AA1297" s="160"/>
      <c r="AB1297" s="160"/>
      <c r="AC1297" s="160"/>
      <c r="AD1297" s="160"/>
      <c r="AE1297" s="160"/>
      <c r="AF1297" s="160"/>
      <c r="AG1297" s="160"/>
      <c r="AH1297" s="160"/>
      <c r="AI1297" s="160"/>
      <c r="AJ1297" s="160"/>
      <c r="AK1297" s="160"/>
      <c r="AL1297" s="160"/>
      <c r="AM1297" s="160"/>
      <c r="AN1297" s="164"/>
      <c r="AO1297" s="160"/>
      <c r="AP1297" s="160"/>
      <c r="AQ1297" s="160"/>
      <c r="AR1297" s="160"/>
      <c r="AS1297" s="160"/>
      <c r="AT1297" s="160"/>
      <c r="AU1297" s="160"/>
      <c r="AV1297" s="160"/>
      <c r="AW1297" s="160"/>
      <c r="AX1297" s="160"/>
      <c r="AY1297" s="160"/>
      <c r="AZ1297" s="160"/>
      <c r="BA1297" s="160"/>
      <c r="BB1297" s="160"/>
      <c r="BC1297" s="160"/>
      <c r="BD1297" s="160"/>
      <c r="BE1297" s="160"/>
      <c r="BF1297" s="160"/>
      <c r="BG1297" s="160"/>
      <c r="BH1297" s="160"/>
      <c r="BI1297" s="160"/>
      <c r="BJ1297" s="160"/>
      <c r="BK1297" s="160"/>
      <c r="BL1297" s="160"/>
      <c r="BM1297" s="160"/>
      <c r="BN1297" s="160"/>
      <c r="BO1297" s="160"/>
      <c r="BP1297" s="160"/>
      <c r="BQ1297" s="160"/>
      <c r="BR1297" s="160"/>
      <c r="BS1297" s="160"/>
      <c r="BT1297" s="160"/>
      <c r="BU1297" s="160"/>
      <c r="BV1297" s="160"/>
      <c r="BW1297" s="160"/>
      <c r="BX1297" s="160"/>
      <c r="BY1297" s="160"/>
      <c r="BZ1297" s="160"/>
      <c r="CA1297" s="160"/>
      <c r="CB1297" s="160"/>
      <c r="CC1297" s="160"/>
      <c r="CD1297" s="160"/>
      <c r="CE1297" s="160"/>
      <c r="CF1297" s="160"/>
      <c r="CG1297" s="160"/>
      <c r="CH1297" s="160"/>
      <c r="CI1297" s="160"/>
      <c r="CJ1297" s="160"/>
      <c r="CK1297" s="160"/>
      <c r="CL1297" s="160"/>
    </row>
    <row r="1298">
      <c r="A1298" s="171"/>
      <c r="F1298" s="11"/>
      <c r="G1298" s="11"/>
      <c r="L1298" s="171"/>
      <c r="M1298" s="171"/>
      <c r="O1298" s="160"/>
      <c r="P1298" s="160"/>
      <c r="Q1298" s="160"/>
      <c r="R1298" s="160"/>
      <c r="S1298" s="160"/>
      <c r="T1298" s="207"/>
      <c r="U1298" s="160"/>
      <c r="V1298" s="160"/>
      <c r="W1298" s="160"/>
      <c r="X1298" s="160"/>
      <c r="Y1298" s="160"/>
      <c r="Z1298" s="160"/>
      <c r="AA1298" s="160"/>
      <c r="AB1298" s="160"/>
      <c r="AC1298" s="160"/>
      <c r="AD1298" s="160"/>
      <c r="AE1298" s="160"/>
      <c r="AF1298" s="160"/>
      <c r="AG1298" s="160"/>
      <c r="AH1298" s="160"/>
      <c r="AI1298" s="160"/>
      <c r="AJ1298" s="160"/>
      <c r="AK1298" s="160"/>
      <c r="AL1298" s="160"/>
      <c r="AM1298" s="160"/>
      <c r="AN1298" s="164"/>
      <c r="AO1298" s="160"/>
      <c r="AP1298" s="160"/>
      <c r="AQ1298" s="160"/>
      <c r="AR1298" s="160"/>
      <c r="AS1298" s="160"/>
      <c r="AT1298" s="160"/>
      <c r="AU1298" s="160"/>
      <c r="AV1298" s="160"/>
      <c r="AW1298" s="160"/>
      <c r="AX1298" s="160"/>
      <c r="AY1298" s="160"/>
      <c r="AZ1298" s="160"/>
      <c r="BA1298" s="160"/>
      <c r="BB1298" s="160"/>
      <c r="BC1298" s="160"/>
      <c r="BD1298" s="160"/>
      <c r="BE1298" s="160"/>
      <c r="BF1298" s="160"/>
      <c r="BG1298" s="160"/>
      <c r="BH1298" s="160"/>
      <c r="BI1298" s="160"/>
      <c r="BJ1298" s="160"/>
      <c r="BK1298" s="160"/>
      <c r="BL1298" s="160"/>
      <c r="BM1298" s="160"/>
      <c r="BN1298" s="160"/>
      <c r="BO1298" s="160"/>
      <c r="BP1298" s="160"/>
      <c r="BQ1298" s="160"/>
      <c r="BR1298" s="160"/>
      <c r="BS1298" s="160"/>
      <c r="BT1298" s="160"/>
      <c r="BU1298" s="160"/>
      <c r="BV1298" s="160"/>
      <c r="BW1298" s="160"/>
      <c r="BX1298" s="160"/>
      <c r="BY1298" s="160"/>
      <c r="BZ1298" s="160"/>
      <c r="CA1298" s="160"/>
      <c r="CB1298" s="160"/>
      <c r="CC1298" s="160"/>
      <c r="CD1298" s="160"/>
      <c r="CE1298" s="160"/>
      <c r="CF1298" s="160"/>
      <c r="CG1298" s="160"/>
      <c r="CH1298" s="160"/>
      <c r="CI1298" s="160"/>
      <c r="CJ1298" s="160"/>
      <c r="CK1298" s="160"/>
      <c r="CL1298" s="160"/>
    </row>
    <row r="1299">
      <c r="A1299" s="171"/>
      <c r="F1299" s="11"/>
      <c r="G1299" s="11"/>
      <c r="L1299" s="171"/>
      <c r="M1299" s="171"/>
      <c r="O1299" s="160"/>
      <c r="P1299" s="160"/>
      <c r="Q1299" s="160"/>
      <c r="R1299" s="160"/>
      <c r="S1299" s="160"/>
      <c r="T1299" s="207"/>
      <c r="U1299" s="160"/>
      <c r="V1299" s="160"/>
      <c r="W1299" s="160"/>
      <c r="X1299" s="160"/>
      <c r="Y1299" s="160"/>
      <c r="Z1299" s="160"/>
      <c r="AA1299" s="160"/>
      <c r="AB1299" s="160"/>
      <c r="AC1299" s="160"/>
      <c r="AD1299" s="160"/>
      <c r="AE1299" s="160"/>
      <c r="AF1299" s="160"/>
      <c r="AG1299" s="160"/>
      <c r="AH1299" s="160"/>
      <c r="AI1299" s="160"/>
      <c r="AJ1299" s="160"/>
      <c r="AK1299" s="160"/>
      <c r="AL1299" s="160"/>
      <c r="AM1299" s="160"/>
      <c r="AN1299" s="164"/>
      <c r="AO1299" s="160"/>
      <c r="AP1299" s="160"/>
      <c r="AQ1299" s="160"/>
      <c r="AR1299" s="160"/>
      <c r="AS1299" s="160"/>
      <c r="AT1299" s="160"/>
      <c r="AU1299" s="160"/>
      <c r="AV1299" s="160"/>
      <c r="AW1299" s="160"/>
      <c r="AX1299" s="160"/>
      <c r="AY1299" s="160"/>
      <c r="AZ1299" s="160"/>
      <c r="BA1299" s="160"/>
      <c r="BB1299" s="160"/>
      <c r="BC1299" s="160"/>
      <c r="BD1299" s="160"/>
      <c r="BE1299" s="160"/>
      <c r="BF1299" s="160"/>
      <c r="BG1299" s="160"/>
      <c r="BH1299" s="160"/>
      <c r="BI1299" s="160"/>
      <c r="BJ1299" s="160"/>
      <c r="BK1299" s="160"/>
      <c r="BL1299" s="160"/>
      <c r="BM1299" s="160"/>
      <c r="BN1299" s="160"/>
      <c r="BO1299" s="160"/>
      <c r="BP1299" s="160"/>
      <c r="BQ1299" s="160"/>
      <c r="BR1299" s="160"/>
      <c r="BS1299" s="160"/>
      <c r="BT1299" s="160"/>
      <c r="BU1299" s="160"/>
      <c r="BV1299" s="160"/>
      <c r="BW1299" s="160"/>
      <c r="BX1299" s="160"/>
      <c r="BY1299" s="160"/>
      <c r="BZ1299" s="160"/>
      <c r="CA1299" s="160"/>
      <c r="CB1299" s="160"/>
      <c r="CC1299" s="160"/>
      <c r="CD1299" s="160"/>
      <c r="CE1299" s="160"/>
      <c r="CF1299" s="160"/>
      <c r="CG1299" s="160"/>
      <c r="CH1299" s="160"/>
      <c r="CI1299" s="160"/>
      <c r="CJ1299" s="160"/>
      <c r="CK1299" s="160"/>
      <c r="CL1299" s="160"/>
    </row>
    <row r="1300">
      <c r="A1300" s="171"/>
      <c r="F1300" s="11"/>
      <c r="G1300" s="11"/>
      <c r="L1300" s="171"/>
      <c r="M1300" s="171"/>
      <c r="O1300" s="160"/>
      <c r="P1300" s="160"/>
      <c r="Q1300" s="160"/>
      <c r="R1300" s="160"/>
      <c r="S1300" s="160"/>
      <c r="T1300" s="207"/>
      <c r="U1300" s="160"/>
      <c r="V1300" s="160"/>
      <c r="W1300" s="160"/>
      <c r="X1300" s="160"/>
      <c r="Y1300" s="160"/>
      <c r="Z1300" s="160"/>
      <c r="AA1300" s="160"/>
      <c r="AB1300" s="160"/>
      <c r="AC1300" s="160"/>
      <c r="AD1300" s="160"/>
      <c r="AE1300" s="160"/>
      <c r="AF1300" s="160"/>
      <c r="AG1300" s="160"/>
      <c r="AH1300" s="160"/>
      <c r="AI1300" s="160"/>
      <c r="AJ1300" s="160"/>
      <c r="AK1300" s="160"/>
      <c r="AL1300" s="160"/>
      <c r="AM1300" s="160"/>
      <c r="AN1300" s="164"/>
      <c r="AO1300" s="160"/>
      <c r="AP1300" s="160"/>
      <c r="AQ1300" s="160"/>
      <c r="AR1300" s="160"/>
      <c r="AS1300" s="160"/>
      <c r="AT1300" s="160"/>
      <c r="AU1300" s="160"/>
      <c r="AV1300" s="160"/>
      <c r="AW1300" s="160"/>
      <c r="AX1300" s="160"/>
      <c r="AY1300" s="160"/>
      <c r="AZ1300" s="160"/>
      <c r="BA1300" s="160"/>
      <c r="BB1300" s="160"/>
      <c r="BC1300" s="160"/>
      <c r="BD1300" s="160"/>
      <c r="BE1300" s="160"/>
      <c r="BF1300" s="160"/>
      <c r="BG1300" s="160"/>
      <c r="BH1300" s="160"/>
      <c r="BI1300" s="160"/>
      <c r="BJ1300" s="160"/>
      <c r="BK1300" s="160"/>
      <c r="BL1300" s="160"/>
      <c r="BM1300" s="160"/>
      <c r="BN1300" s="160"/>
      <c r="BO1300" s="160"/>
      <c r="BP1300" s="160"/>
      <c r="BQ1300" s="160"/>
      <c r="BR1300" s="160"/>
      <c r="BS1300" s="160"/>
      <c r="BT1300" s="160"/>
      <c r="BU1300" s="160"/>
      <c r="BV1300" s="160"/>
      <c r="BW1300" s="160"/>
      <c r="BX1300" s="160"/>
      <c r="BY1300" s="160"/>
      <c r="BZ1300" s="160"/>
      <c r="CA1300" s="160"/>
      <c r="CB1300" s="160"/>
      <c r="CC1300" s="160"/>
      <c r="CD1300" s="160"/>
      <c r="CE1300" s="160"/>
      <c r="CF1300" s="160"/>
      <c r="CG1300" s="160"/>
      <c r="CH1300" s="160"/>
      <c r="CI1300" s="160"/>
      <c r="CJ1300" s="160"/>
      <c r="CK1300" s="160"/>
      <c r="CL1300" s="160"/>
    </row>
    <row r="1301">
      <c r="A1301" s="171"/>
      <c r="F1301" s="11"/>
      <c r="G1301" s="11"/>
      <c r="L1301" s="171"/>
      <c r="M1301" s="171"/>
      <c r="O1301" s="160"/>
      <c r="P1301" s="160"/>
      <c r="Q1301" s="160"/>
      <c r="R1301" s="160"/>
      <c r="S1301" s="160"/>
      <c r="T1301" s="207"/>
      <c r="U1301" s="160"/>
      <c r="V1301" s="160"/>
      <c r="W1301" s="160"/>
      <c r="X1301" s="160"/>
      <c r="Y1301" s="160"/>
      <c r="Z1301" s="160"/>
      <c r="AA1301" s="160"/>
      <c r="AB1301" s="160"/>
      <c r="AC1301" s="160"/>
      <c r="AD1301" s="160"/>
      <c r="AE1301" s="160"/>
      <c r="AF1301" s="160"/>
      <c r="AG1301" s="160"/>
      <c r="AH1301" s="160"/>
      <c r="AI1301" s="160"/>
      <c r="AJ1301" s="160"/>
      <c r="AK1301" s="160"/>
      <c r="AL1301" s="160"/>
      <c r="AM1301" s="160"/>
      <c r="AN1301" s="164"/>
      <c r="AO1301" s="160"/>
      <c r="AP1301" s="160"/>
      <c r="AQ1301" s="160"/>
      <c r="AR1301" s="160"/>
      <c r="AS1301" s="160"/>
      <c r="AT1301" s="160"/>
      <c r="AU1301" s="160"/>
      <c r="AV1301" s="160"/>
      <c r="AW1301" s="160"/>
      <c r="AX1301" s="160"/>
      <c r="AY1301" s="160"/>
      <c r="AZ1301" s="160"/>
      <c r="BA1301" s="160"/>
      <c r="BB1301" s="160"/>
      <c r="BC1301" s="160"/>
      <c r="BD1301" s="160"/>
      <c r="BE1301" s="160"/>
      <c r="BF1301" s="160"/>
      <c r="BG1301" s="160"/>
      <c r="BH1301" s="160"/>
      <c r="BI1301" s="160"/>
      <c r="BJ1301" s="160"/>
      <c r="BK1301" s="160"/>
      <c r="BL1301" s="160"/>
      <c r="BM1301" s="160"/>
      <c r="BN1301" s="160"/>
      <c r="BO1301" s="160"/>
      <c r="BP1301" s="160"/>
      <c r="BQ1301" s="160"/>
      <c r="BR1301" s="160"/>
      <c r="BS1301" s="160"/>
      <c r="BT1301" s="160"/>
      <c r="BU1301" s="160"/>
      <c r="BV1301" s="160"/>
      <c r="BW1301" s="160"/>
      <c r="BX1301" s="160"/>
      <c r="BY1301" s="160"/>
      <c r="BZ1301" s="160"/>
      <c r="CA1301" s="160"/>
      <c r="CB1301" s="160"/>
      <c r="CC1301" s="160"/>
      <c r="CD1301" s="160"/>
      <c r="CE1301" s="160"/>
      <c r="CF1301" s="160"/>
      <c r="CG1301" s="160"/>
      <c r="CH1301" s="160"/>
      <c r="CI1301" s="160"/>
      <c r="CJ1301" s="160"/>
      <c r="CK1301" s="160"/>
      <c r="CL1301" s="160"/>
    </row>
    <row r="1302">
      <c r="A1302" s="171"/>
      <c r="F1302" s="11"/>
      <c r="G1302" s="11"/>
      <c r="L1302" s="171"/>
      <c r="M1302" s="171"/>
      <c r="O1302" s="160"/>
      <c r="P1302" s="160"/>
      <c r="Q1302" s="160"/>
      <c r="R1302" s="160"/>
      <c r="S1302" s="160"/>
      <c r="T1302" s="207"/>
      <c r="U1302" s="160"/>
      <c r="V1302" s="160"/>
      <c r="W1302" s="160"/>
      <c r="X1302" s="160"/>
      <c r="Y1302" s="160"/>
      <c r="Z1302" s="160"/>
      <c r="AA1302" s="160"/>
      <c r="AB1302" s="160"/>
      <c r="AC1302" s="160"/>
      <c r="AD1302" s="160"/>
      <c r="AE1302" s="160"/>
      <c r="AF1302" s="160"/>
      <c r="AG1302" s="160"/>
      <c r="AH1302" s="160"/>
      <c r="AI1302" s="160"/>
      <c r="AJ1302" s="160"/>
      <c r="AK1302" s="160"/>
      <c r="AL1302" s="160"/>
      <c r="AM1302" s="160"/>
      <c r="AN1302" s="164"/>
      <c r="AO1302" s="160"/>
      <c r="AP1302" s="160"/>
      <c r="AQ1302" s="160"/>
      <c r="AR1302" s="160"/>
      <c r="AS1302" s="160"/>
      <c r="AT1302" s="160"/>
      <c r="AU1302" s="160"/>
      <c r="AV1302" s="160"/>
      <c r="AW1302" s="160"/>
      <c r="AX1302" s="160"/>
      <c r="AY1302" s="160"/>
      <c r="AZ1302" s="160"/>
      <c r="BA1302" s="160"/>
      <c r="BB1302" s="160"/>
      <c r="BC1302" s="160"/>
      <c r="BD1302" s="160"/>
      <c r="BE1302" s="160"/>
      <c r="BF1302" s="160"/>
      <c r="BG1302" s="160"/>
      <c r="BH1302" s="160"/>
      <c r="BI1302" s="160"/>
      <c r="BJ1302" s="160"/>
      <c r="BK1302" s="160"/>
      <c r="BL1302" s="160"/>
      <c r="BM1302" s="160"/>
      <c r="BN1302" s="160"/>
      <c r="BO1302" s="160"/>
      <c r="BP1302" s="160"/>
      <c r="BQ1302" s="160"/>
      <c r="BR1302" s="160"/>
      <c r="BS1302" s="160"/>
      <c r="BT1302" s="160"/>
      <c r="BU1302" s="160"/>
      <c r="BV1302" s="160"/>
      <c r="BW1302" s="160"/>
      <c r="BX1302" s="160"/>
      <c r="BY1302" s="160"/>
      <c r="BZ1302" s="160"/>
      <c r="CA1302" s="160"/>
      <c r="CB1302" s="160"/>
      <c r="CC1302" s="160"/>
      <c r="CD1302" s="160"/>
      <c r="CE1302" s="160"/>
      <c r="CF1302" s="160"/>
      <c r="CG1302" s="160"/>
      <c r="CH1302" s="160"/>
      <c r="CI1302" s="160"/>
      <c r="CJ1302" s="160"/>
      <c r="CK1302" s="160"/>
      <c r="CL1302" s="160"/>
    </row>
    <row r="1303">
      <c r="A1303" s="171"/>
      <c r="F1303" s="11"/>
      <c r="G1303" s="11"/>
      <c r="L1303" s="171"/>
      <c r="M1303" s="171"/>
      <c r="O1303" s="160"/>
      <c r="P1303" s="160"/>
      <c r="Q1303" s="160"/>
      <c r="R1303" s="160"/>
      <c r="S1303" s="160"/>
      <c r="T1303" s="207"/>
      <c r="U1303" s="160"/>
      <c r="V1303" s="160"/>
      <c r="W1303" s="160"/>
      <c r="X1303" s="160"/>
      <c r="Y1303" s="160"/>
      <c r="Z1303" s="160"/>
      <c r="AA1303" s="160"/>
      <c r="AB1303" s="160"/>
      <c r="AC1303" s="160"/>
      <c r="AD1303" s="160"/>
      <c r="AE1303" s="160"/>
      <c r="AF1303" s="160"/>
      <c r="AG1303" s="160"/>
      <c r="AH1303" s="160"/>
      <c r="AI1303" s="160"/>
      <c r="AJ1303" s="160"/>
      <c r="AK1303" s="160"/>
      <c r="AL1303" s="160"/>
      <c r="AM1303" s="160"/>
      <c r="AN1303" s="164"/>
      <c r="AO1303" s="160"/>
      <c r="AP1303" s="160"/>
      <c r="AQ1303" s="160"/>
      <c r="AR1303" s="160"/>
      <c r="AS1303" s="160"/>
      <c r="AT1303" s="160"/>
      <c r="AU1303" s="160"/>
      <c r="AV1303" s="160"/>
      <c r="AW1303" s="160"/>
      <c r="AX1303" s="160"/>
      <c r="AY1303" s="160"/>
      <c r="AZ1303" s="160"/>
      <c r="BA1303" s="160"/>
      <c r="BB1303" s="160"/>
      <c r="BC1303" s="160"/>
      <c r="BD1303" s="160"/>
      <c r="BE1303" s="160"/>
      <c r="BF1303" s="160"/>
      <c r="BG1303" s="160"/>
      <c r="BH1303" s="160"/>
      <c r="BI1303" s="160"/>
      <c r="BJ1303" s="160"/>
      <c r="BK1303" s="160"/>
      <c r="BL1303" s="160"/>
      <c r="BM1303" s="160"/>
      <c r="BN1303" s="160"/>
      <c r="BO1303" s="160"/>
      <c r="BP1303" s="160"/>
      <c r="BQ1303" s="160"/>
      <c r="BR1303" s="160"/>
      <c r="BS1303" s="160"/>
      <c r="BT1303" s="160"/>
      <c r="BU1303" s="160"/>
      <c r="BV1303" s="160"/>
      <c r="BW1303" s="160"/>
      <c r="BX1303" s="160"/>
      <c r="BY1303" s="160"/>
      <c r="BZ1303" s="160"/>
      <c r="CA1303" s="160"/>
      <c r="CB1303" s="160"/>
      <c r="CC1303" s="160"/>
      <c r="CD1303" s="160"/>
      <c r="CE1303" s="160"/>
      <c r="CF1303" s="160"/>
      <c r="CG1303" s="160"/>
      <c r="CH1303" s="160"/>
      <c r="CI1303" s="160"/>
      <c r="CJ1303" s="160"/>
      <c r="CK1303" s="160"/>
      <c r="CL1303" s="160"/>
    </row>
    <row r="1304">
      <c r="A1304" s="171"/>
      <c r="F1304" s="11"/>
      <c r="G1304" s="11"/>
      <c r="L1304" s="171"/>
      <c r="M1304" s="171"/>
      <c r="O1304" s="160"/>
      <c r="P1304" s="160"/>
      <c r="Q1304" s="160"/>
      <c r="R1304" s="160"/>
      <c r="S1304" s="160"/>
      <c r="T1304" s="207"/>
      <c r="U1304" s="160"/>
      <c r="V1304" s="160"/>
      <c r="W1304" s="160"/>
      <c r="X1304" s="160"/>
      <c r="Y1304" s="160"/>
      <c r="Z1304" s="160"/>
      <c r="AA1304" s="160"/>
      <c r="AB1304" s="160"/>
      <c r="AC1304" s="160"/>
      <c r="AD1304" s="160"/>
      <c r="AE1304" s="160"/>
      <c r="AF1304" s="160"/>
      <c r="AG1304" s="160"/>
      <c r="AH1304" s="160"/>
      <c r="AI1304" s="160"/>
      <c r="AJ1304" s="160"/>
      <c r="AK1304" s="160"/>
      <c r="AL1304" s="160"/>
      <c r="AM1304" s="160"/>
      <c r="AN1304" s="164"/>
      <c r="AO1304" s="160"/>
      <c r="AP1304" s="160"/>
      <c r="AQ1304" s="160"/>
      <c r="AR1304" s="160"/>
      <c r="AS1304" s="160"/>
      <c r="AT1304" s="160"/>
      <c r="AU1304" s="160"/>
      <c r="AV1304" s="160"/>
      <c r="AW1304" s="160"/>
      <c r="AX1304" s="160"/>
      <c r="AY1304" s="160"/>
      <c r="AZ1304" s="160"/>
      <c r="BA1304" s="160"/>
      <c r="BB1304" s="160"/>
      <c r="BC1304" s="160"/>
      <c r="BD1304" s="160"/>
      <c r="BE1304" s="160"/>
      <c r="BF1304" s="160"/>
      <c r="BG1304" s="160"/>
      <c r="BH1304" s="160"/>
      <c r="BI1304" s="160"/>
      <c r="BJ1304" s="160"/>
      <c r="BK1304" s="160"/>
      <c r="BL1304" s="160"/>
      <c r="BM1304" s="160"/>
      <c r="BN1304" s="160"/>
      <c r="BO1304" s="160"/>
      <c r="BP1304" s="160"/>
      <c r="BQ1304" s="160"/>
      <c r="BR1304" s="160"/>
      <c r="BS1304" s="160"/>
      <c r="BT1304" s="160"/>
      <c r="BU1304" s="160"/>
      <c r="BV1304" s="160"/>
      <c r="BW1304" s="160"/>
      <c r="BX1304" s="160"/>
      <c r="BY1304" s="160"/>
      <c r="BZ1304" s="160"/>
      <c r="CA1304" s="160"/>
      <c r="CB1304" s="160"/>
      <c r="CC1304" s="160"/>
      <c r="CD1304" s="160"/>
      <c r="CE1304" s="160"/>
      <c r="CF1304" s="160"/>
      <c r="CG1304" s="160"/>
      <c r="CH1304" s="160"/>
      <c r="CI1304" s="160"/>
      <c r="CJ1304" s="160"/>
      <c r="CK1304" s="160"/>
      <c r="CL1304" s="160"/>
    </row>
    <row r="1305">
      <c r="A1305" s="171"/>
      <c r="F1305" s="11"/>
      <c r="G1305" s="11"/>
      <c r="L1305" s="171"/>
      <c r="M1305" s="171"/>
      <c r="O1305" s="160"/>
      <c r="P1305" s="160"/>
      <c r="Q1305" s="160"/>
      <c r="R1305" s="160"/>
      <c r="S1305" s="160"/>
      <c r="T1305" s="207"/>
      <c r="U1305" s="160"/>
      <c r="V1305" s="160"/>
      <c r="W1305" s="160"/>
      <c r="X1305" s="160"/>
      <c r="Y1305" s="160"/>
      <c r="Z1305" s="160"/>
      <c r="AA1305" s="160"/>
      <c r="AB1305" s="160"/>
      <c r="AC1305" s="160"/>
      <c r="AD1305" s="160"/>
      <c r="AE1305" s="160"/>
      <c r="AF1305" s="160"/>
      <c r="AG1305" s="160"/>
      <c r="AH1305" s="160"/>
      <c r="AI1305" s="160"/>
      <c r="AJ1305" s="160"/>
      <c r="AK1305" s="160"/>
      <c r="AL1305" s="160"/>
      <c r="AM1305" s="160"/>
      <c r="AN1305" s="164"/>
      <c r="AO1305" s="160"/>
      <c r="AP1305" s="160"/>
      <c r="AQ1305" s="160"/>
      <c r="AR1305" s="160"/>
      <c r="AS1305" s="160"/>
      <c r="AT1305" s="160"/>
      <c r="AU1305" s="160"/>
      <c r="AV1305" s="160"/>
      <c r="AW1305" s="160"/>
      <c r="AX1305" s="160"/>
      <c r="AY1305" s="160"/>
      <c r="AZ1305" s="160"/>
      <c r="BA1305" s="160"/>
      <c r="BB1305" s="160"/>
      <c r="BC1305" s="160"/>
      <c r="BD1305" s="160"/>
      <c r="BE1305" s="160"/>
      <c r="BF1305" s="160"/>
      <c r="BG1305" s="160"/>
      <c r="BH1305" s="160"/>
      <c r="BI1305" s="160"/>
      <c r="BJ1305" s="160"/>
      <c r="BK1305" s="160"/>
      <c r="BL1305" s="160"/>
      <c r="BM1305" s="160"/>
      <c r="BN1305" s="160"/>
      <c r="BO1305" s="160"/>
      <c r="BP1305" s="160"/>
      <c r="BQ1305" s="160"/>
      <c r="BR1305" s="160"/>
      <c r="BS1305" s="160"/>
      <c r="BT1305" s="160"/>
      <c r="BU1305" s="160"/>
      <c r="BV1305" s="160"/>
      <c r="BW1305" s="160"/>
      <c r="BX1305" s="160"/>
      <c r="BY1305" s="160"/>
      <c r="BZ1305" s="160"/>
      <c r="CA1305" s="160"/>
      <c r="CB1305" s="160"/>
      <c r="CC1305" s="160"/>
      <c r="CD1305" s="160"/>
      <c r="CE1305" s="160"/>
      <c r="CF1305" s="160"/>
      <c r="CG1305" s="160"/>
      <c r="CH1305" s="160"/>
      <c r="CI1305" s="160"/>
      <c r="CJ1305" s="160"/>
      <c r="CK1305" s="160"/>
      <c r="CL1305" s="160"/>
    </row>
    <row r="1306">
      <c r="A1306" s="171"/>
      <c r="F1306" s="11"/>
      <c r="G1306" s="11"/>
      <c r="L1306" s="171"/>
      <c r="M1306" s="171"/>
      <c r="O1306" s="160"/>
      <c r="P1306" s="160"/>
      <c r="Q1306" s="160"/>
      <c r="R1306" s="160"/>
      <c r="S1306" s="160"/>
      <c r="T1306" s="207"/>
      <c r="U1306" s="160"/>
      <c r="V1306" s="160"/>
      <c r="W1306" s="160"/>
      <c r="X1306" s="160"/>
      <c r="Y1306" s="160"/>
      <c r="Z1306" s="160"/>
      <c r="AA1306" s="160"/>
      <c r="AB1306" s="160"/>
      <c r="AC1306" s="160"/>
      <c r="AD1306" s="160"/>
      <c r="AE1306" s="160"/>
      <c r="AF1306" s="160"/>
      <c r="AG1306" s="160"/>
      <c r="AH1306" s="160"/>
      <c r="AI1306" s="160"/>
      <c r="AJ1306" s="160"/>
      <c r="AK1306" s="160"/>
      <c r="AL1306" s="160"/>
      <c r="AM1306" s="160"/>
      <c r="AN1306" s="164"/>
      <c r="AO1306" s="160"/>
      <c r="AP1306" s="160"/>
      <c r="AQ1306" s="160"/>
      <c r="AR1306" s="160"/>
      <c r="AS1306" s="160"/>
      <c r="AT1306" s="160"/>
      <c r="AU1306" s="160"/>
      <c r="AV1306" s="160"/>
      <c r="AW1306" s="160"/>
      <c r="AX1306" s="160"/>
      <c r="AY1306" s="160"/>
      <c r="AZ1306" s="160"/>
      <c r="BA1306" s="160"/>
      <c r="BB1306" s="160"/>
      <c r="BC1306" s="160"/>
      <c r="BD1306" s="160"/>
      <c r="BE1306" s="160"/>
      <c r="BF1306" s="160"/>
      <c r="BG1306" s="160"/>
      <c r="BH1306" s="160"/>
      <c r="BI1306" s="160"/>
      <c r="BJ1306" s="160"/>
      <c r="BK1306" s="160"/>
      <c r="BL1306" s="160"/>
      <c r="BM1306" s="160"/>
      <c r="BN1306" s="160"/>
      <c r="BO1306" s="160"/>
      <c r="BP1306" s="160"/>
      <c r="BQ1306" s="160"/>
      <c r="BR1306" s="160"/>
      <c r="BS1306" s="160"/>
      <c r="BT1306" s="160"/>
      <c r="BU1306" s="160"/>
      <c r="BV1306" s="160"/>
      <c r="BW1306" s="160"/>
      <c r="BX1306" s="160"/>
      <c r="BY1306" s="160"/>
      <c r="BZ1306" s="160"/>
      <c r="CA1306" s="160"/>
      <c r="CB1306" s="160"/>
      <c r="CC1306" s="160"/>
      <c r="CD1306" s="160"/>
      <c r="CE1306" s="160"/>
      <c r="CF1306" s="160"/>
      <c r="CG1306" s="160"/>
      <c r="CH1306" s="160"/>
      <c r="CI1306" s="160"/>
      <c r="CJ1306" s="160"/>
      <c r="CK1306" s="160"/>
      <c r="CL1306" s="160"/>
    </row>
    <row r="1307">
      <c r="A1307" s="171"/>
      <c r="F1307" s="11"/>
      <c r="G1307" s="11"/>
      <c r="L1307" s="171"/>
      <c r="M1307" s="171"/>
      <c r="O1307" s="160"/>
      <c r="P1307" s="160"/>
      <c r="Q1307" s="160"/>
      <c r="R1307" s="160"/>
      <c r="S1307" s="160"/>
      <c r="T1307" s="207"/>
      <c r="U1307" s="160"/>
      <c r="V1307" s="160"/>
      <c r="W1307" s="160"/>
      <c r="X1307" s="160"/>
      <c r="Y1307" s="160"/>
      <c r="Z1307" s="160"/>
      <c r="AA1307" s="160"/>
      <c r="AB1307" s="160"/>
      <c r="AC1307" s="160"/>
      <c r="AD1307" s="160"/>
      <c r="AE1307" s="160"/>
      <c r="AF1307" s="160"/>
      <c r="AG1307" s="160"/>
      <c r="AH1307" s="160"/>
      <c r="AI1307" s="160"/>
      <c r="AJ1307" s="160"/>
      <c r="AK1307" s="160"/>
      <c r="AL1307" s="160"/>
      <c r="AM1307" s="160"/>
      <c r="AN1307" s="164"/>
      <c r="AO1307" s="160"/>
      <c r="AP1307" s="160"/>
      <c r="AQ1307" s="160"/>
      <c r="AR1307" s="160"/>
      <c r="AS1307" s="160"/>
      <c r="AT1307" s="160"/>
      <c r="AU1307" s="160"/>
      <c r="AV1307" s="160"/>
      <c r="AW1307" s="160"/>
      <c r="AX1307" s="160"/>
      <c r="AY1307" s="160"/>
      <c r="AZ1307" s="160"/>
      <c r="BA1307" s="160"/>
      <c r="BB1307" s="160"/>
      <c r="BC1307" s="160"/>
      <c r="BD1307" s="160"/>
      <c r="BE1307" s="160"/>
      <c r="BF1307" s="160"/>
      <c r="BG1307" s="160"/>
      <c r="BH1307" s="160"/>
      <c r="BI1307" s="160"/>
      <c r="BJ1307" s="160"/>
      <c r="BK1307" s="160"/>
      <c r="BL1307" s="160"/>
      <c r="BM1307" s="160"/>
      <c r="BN1307" s="160"/>
      <c r="BO1307" s="160"/>
      <c r="BP1307" s="160"/>
      <c r="BQ1307" s="160"/>
      <c r="BR1307" s="160"/>
      <c r="BS1307" s="160"/>
      <c r="BT1307" s="160"/>
      <c r="BU1307" s="160"/>
      <c r="BV1307" s="160"/>
      <c r="BW1307" s="160"/>
      <c r="BX1307" s="160"/>
      <c r="BY1307" s="160"/>
      <c r="BZ1307" s="160"/>
      <c r="CA1307" s="160"/>
      <c r="CB1307" s="160"/>
      <c r="CC1307" s="160"/>
      <c r="CD1307" s="160"/>
      <c r="CE1307" s="160"/>
      <c r="CF1307" s="160"/>
      <c r="CG1307" s="160"/>
      <c r="CH1307" s="160"/>
      <c r="CI1307" s="160"/>
      <c r="CJ1307" s="160"/>
      <c r="CK1307" s="160"/>
      <c r="CL1307" s="160"/>
    </row>
    <row r="1308">
      <c r="A1308" s="171"/>
      <c r="F1308" s="11"/>
      <c r="G1308" s="11"/>
      <c r="L1308" s="171"/>
      <c r="M1308" s="171"/>
      <c r="O1308" s="160"/>
      <c r="P1308" s="160"/>
      <c r="Q1308" s="160"/>
      <c r="R1308" s="160"/>
      <c r="S1308" s="160"/>
      <c r="T1308" s="207"/>
      <c r="U1308" s="160"/>
      <c r="V1308" s="160"/>
      <c r="W1308" s="160"/>
      <c r="X1308" s="160"/>
      <c r="Y1308" s="160"/>
      <c r="Z1308" s="160"/>
      <c r="AA1308" s="160"/>
      <c r="AB1308" s="160"/>
      <c r="AC1308" s="160"/>
      <c r="AD1308" s="160"/>
      <c r="AE1308" s="160"/>
      <c r="AF1308" s="160"/>
      <c r="AG1308" s="160"/>
      <c r="AH1308" s="160"/>
      <c r="AI1308" s="160"/>
      <c r="AJ1308" s="160"/>
      <c r="AK1308" s="160"/>
      <c r="AL1308" s="160"/>
      <c r="AM1308" s="160"/>
      <c r="AN1308" s="164"/>
      <c r="AO1308" s="160"/>
      <c r="AP1308" s="160"/>
      <c r="AQ1308" s="160"/>
      <c r="AR1308" s="160"/>
      <c r="AS1308" s="160"/>
      <c r="AT1308" s="160"/>
      <c r="AU1308" s="160"/>
      <c r="AV1308" s="160"/>
      <c r="AW1308" s="160"/>
      <c r="AX1308" s="160"/>
      <c r="AY1308" s="160"/>
      <c r="AZ1308" s="160"/>
      <c r="BA1308" s="160"/>
      <c r="BB1308" s="160"/>
      <c r="BC1308" s="160"/>
      <c r="BD1308" s="160"/>
      <c r="BE1308" s="160"/>
      <c r="BF1308" s="160"/>
      <c r="BG1308" s="160"/>
      <c r="BH1308" s="160"/>
      <c r="BI1308" s="160"/>
      <c r="BJ1308" s="160"/>
      <c r="BK1308" s="160"/>
      <c r="BL1308" s="160"/>
      <c r="BM1308" s="160"/>
      <c r="BN1308" s="160"/>
      <c r="BO1308" s="160"/>
      <c r="BP1308" s="160"/>
      <c r="BQ1308" s="160"/>
      <c r="BR1308" s="160"/>
      <c r="BS1308" s="160"/>
      <c r="BT1308" s="160"/>
      <c r="BU1308" s="160"/>
      <c r="BV1308" s="160"/>
      <c r="BW1308" s="160"/>
      <c r="BX1308" s="160"/>
      <c r="BY1308" s="160"/>
      <c r="BZ1308" s="160"/>
      <c r="CA1308" s="160"/>
      <c r="CB1308" s="160"/>
      <c r="CC1308" s="160"/>
      <c r="CD1308" s="160"/>
      <c r="CE1308" s="160"/>
      <c r="CF1308" s="160"/>
      <c r="CG1308" s="160"/>
      <c r="CH1308" s="160"/>
      <c r="CI1308" s="160"/>
      <c r="CJ1308" s="160"/>
      <c r="CK1308" s="160"/>
      <c r="CL1308" s="160"/>
    </row>
    <row r="1309">
      <c r="A1309" s="171"/>
      <c r="F1309" s="11"/>
      <c r="G1309" s="11"/>
      <c r="L1309" s="171"/>
      <c r="M1309" s="171"/>
      <c r="O1309" s="160"/>
      <c r="P1309" s="160"/>
      <c r="Q1309" s="160"/>
      <c r="R1309" s="160"/>
      <c r="S1309" s="160"/>
      <c r="T1309" s="207"/>
      <c r="U1309" s="160"/>
      <c r="V1309" s="160"/>
      <c r="W1309" s="160"/>
      <c r="X1309" s="160"/>
      <c r="Y1309" s="160"/>
      <c r="Z1309" s="160"/>
      <c r="AA1309" s="160"/>
      <c r="AB1309" s="160"/>
      <c r="AC1309" s="160"/>
      <c r="AD1309" s="160"/>
      <c r="AE1309" s="160"/>
      <c r="AF1309" s="160"/>
      <c r="AG1309" s="160"/>
      <c r="AH1309" s="160"/>
      <c r="AI1309" s="160"/>
      <c r="AJ1309" s="160"/>
      <c r="AK1309" s="160"/>
      <c r="AL1309" s="160"/>
      <c r="AM1309" s="160"/>
      <c r="AN1309" s="164"/>
      <c r="AO1309" s="160"/>
      <c r="AP1309" s="160"/>
      <c r="AQ1309" s="160"/>
      <c r="AR1309" s="160"/>
      <c r="AS1309" s="160"/>
      <c r="AT1309" s="160"/>
      <c r="AU1309" s="160"/>
      <c r="AV1309" s="160"/>
      <c r="AW1309" s="160"/>
      <c r="AX1309" s="160"/>
      <c r="AY1309" s="160"/>
      <c r="AZ1309" s="160"/>
      <c r="BA1309" s="160"/>
      <c r="BB1309" s="160"/>
      <c r="BC1309" s="160"/>
      <c r="BD1309" s="160"/>
      <c r="BE1309" s="160"/>
      <c r="BF1309" s="160"/>
      <c r="BG1309" s="160"/>
      <c r="BH1309" s="160"/>
      <c r="BI1309" s="160"/>
      <c r="BJ1309" s="160"/>
      <c r="BK1309" s="160"/>
      <c r="BL1309" s="160"/>
      <c r="BM1309" s="160"/>
      <c r="BN1309" s="160"/>
      <c r="BO1309" s="160"/>
      <c r="BP1309" s="160"/>
      <c r="BQ1309" s="160"/>
      <c r="BR1309" s="160"/>
      <c r="BS1309" s="160"/>
      <c r="BT1309" s="160"/>
      <c r="BU1309" s="160"/>
      <c r="BV1309" s="160"/>
      <c r="BW1309" s="160"/>
      <c r="BX1309" s="160"/>
      <c r="BY1309" s="160"/>
      <c r="BZ1309" s="160"/>
      <c r="CA1309" s="160"/>
      <c r="CB1309" s="160"/>
      <c r="CC1309" s="160"/>
      <c r="CD1309" s="160"/>
      <c r="CE1309" s="160"/>
      <c r="CF1309" s="160"/>
      <c r="CG1309" s="160"/>
      <c r="CH1309" s="160"/>
      <c r="CI1309" s="160"/>
      <c r="CJ1309" s="160"/>
      <c r="CK1309" s="160"/>
      <c r="CL1309" s="160"/>
    </row>
    <row r="1310">
      <c r="A1310" s="171"/>
      <c r="F1310" s="11"/>
      <c r="G1310" s="11"/>
      <c r="L1310" s="171"/>
      <c r="M1310" s="171"/>
      <c r="O1310" s="160"/>
      <c r="P1310" s="160"/>
      <c r="Q1310" s="160"/>
      <c r="R1310" s="160"/>
      <c r="S1310" s="160"/>
      <c r="T1310" s="207"/>
      <c r="U1310" s="160"/>
      <c r="V1310" s="160"/>
      <c r="W1310" s="160"/>
      <c r="X1310" s="160"/>
      <c r="Y1310" s="160"/>
      <c r="Z1310" s="160"/>
      <c r="AA1310" s="160"/>
      <c r="AB1310" s="160"/>
      <c r="AC1310" s="160"/>
      <c r="AD1310" s="160"/>
      <c r="AE1310" s="160"/>
      <c r="AF1310" s="160"/>
      <c r="AG1310" s="160"/>
      <c r="AH1310" s="160"/>
      <c r="AI1310" s="160"/>
      <c r="AJ1310" s="160"/>
      <c r="AK1310" s="160"/>
      <c r="AL1310" s="160"/>
      <c r="AM1310" s="160"/>
      <c r="AN1310" s="164"/>
      <c r="AO1310" s="160"/>
      <c r="AP1310" s="160"/>
      <c r="AQ1310" s="160"/>
      <c r="AR1310" s="160"/>
      <c r="AS1310" s="160"/>
      <c r="AT1310" s="160"/>
      <c r="AU1310" s="160"/>
      <c r="AV1310" s="160"/>
      <c r="AW1310" s="160"/>
      <c r="AX1310" s="160"/>
      <c r="AY1310" s="160"/>
      <c r="AZ1310" s="160"/>
      <c r="BA1310" s="160"/>
      <c r="BB1310" s="160"/>
      <c r="BC1310" s="160"/>
      <c r="BD1310" s="160"/>
      <c r="BE1310" s="160"/>
      <c r="BF1310" s="160"/>
      <c r="BG1310" s="160"/>
      <c r="BH1310" s="160"/>
      <c r="BI1310" s="160"/>
      <c r="BJ1310" s="160"/>
      <c r="BK1310" s="160"/>
      <c r="BL1310" s="160"/>
      <c r="BM1310" s="160"/>
      <c r="BN1310" s="160"/>
      <c r="BO1310" s="160"/>
      <c r="BP1310" s="160"/>
      <c r="BQ1310" s="160"/>
      <c r="BR1310" s="160"/>
      <c r="BS1310" s="160"/>
      <c r="BT1310" s="160"/>
      <c r="BU1310" s="160"/>
      <c r="BV1310" s="160"/>
      <c r="BW1310" s="160"/>
      <c r="BX1310" s="160"/>
      <c r="BY1310" s="160"/>
      <c r="BZ1310" s="160"/>
      <c r="CA1310" s="160"/>
      <c r="CB1310" s="160"/>
      <c r="CC1310" s="160"/>
      <c r="CD1310" s="160"/>
      <c r="CE1310" s="160"/>
      <c r="CF1310" s="160"/>
      <c r="CG1310" s="160"/>
      <c r="CH1310" s="160"/>
      <c r="CI1310" s="160"/>
      <c r="CJ1310" s="160"/>
      <c r="CK1310" s="160"/>
      <c r="CL1310" s="160"/>
    </row>
    <row r="1311">
      <c r="A1311" s="171"/>
      <c r="F1311" s="11"/>
      <c r="G1311" s="11"/>
      <c r="L1311" s="171"/>
      <c r="M1311" s="171"/>
      <c r="O1311" s="160"/>
      <c r="P1311" s="160"/>
      <c r="Q1311" s="160"/>
      <c r="R1311" s="160"/>
      <c r="S1311" s="160"/>
      <c r="T1311" s="207"/>
      <c r="U1311" s="160"/>
      <c r="V1311" s="160"/>
      <c r="W1311" s="160"/>
      <c r="X1311" s="160"/>
      <c r="Y1311" s="160"/>
      <c r="Z1311" s="160"/>
      <c r="AA1311" s="160"/>
      <c r="AB1311" s="160"/>
      <c r="AC1311" s="160"/>
      <c r="AD1311" s="160"/>
      <c r="AE1311" s="160"/>
      <c r="AF1311" s="160"/>
      <c r="AG1311" s="160"/>
      <c r="AH1311" s="160"/>
      <c r="AI1311" s="160"/>
      <c r="AJ1311" s="160"/>
      <c r="AK1311" s="160"/>
      <c r="AL1311" s="160"/>
      <c r="AM1311" s="160"/>
      <c r="AN1311" s="164"/>
      <c r="AO1311" s="160"/>
      <c r="AP1311" s="160"/>
      <c r="AQ1311" s="160"/>
      <c r="AR1311" s="160"/>
      <c r="AS1311" s="160"/>
      <c r="AT1311" s="160"/>
      <c r="AU1311" s="160"/>
      <c r="AV1311" s="160"/>
      <c r="AW1311" s="160"/>
      <c r="AX1311" s="160"/>
      <c r="AY1311" s="160"/>
      <c r="AZ1311" s="160"/>
      <c r="BA1311" s="160"/>
      <c r="BB1311" s="160"/>
      <c r="BC1311" s="160"/>
      <c r="BD1311" s="160"/>
      <c r="BE1311" s="160"/>
      <c r="BF1311" s="160"/>
      <c r="BG1311" s="160"/>
      <c r="BH1311" s="160"/>
      <c r="BI1311" s="160"/>
      <c r="BJ1311" s="160"/>
      <c r="BK1311" s="160"/>
      <c r="BL1311" s="160"/>
      <c r="BM1311" s="160"/>
      <c r="BN1311" s="160"/>
      <c r="BO1311" s="160"/>
      <c r="BP1311" s="160"/>
      <c r="BQ1311" s="160"/>
      <c r="BR1311" s="160"/>
      <c r="BS1311" s="160"/>
      <c r="BT1311" s="160"/>
      <c r="BU1311" s="160"/>
      <c r="BV1311" s="160"/>
      <c r="BW1311" s="160"/>
      <c r="BX1311" s="160"/>
      <c r="BY1311" s="160"/>
      <c r="BZ1311" s="160"/>
      <c r="CA1311" s="160"/>
      <c r="CB1311" s="160"/>
      <c r="CC1311" s="160"/>
      <c r="CD1311" s="160"/>
      <c r="CE1311" s="160"/>
      <c r="CF1311" s="160"/>
      <c r="CG1311" s="160"/>
      <c r="CH1311" s="160"/>
      <c r="CI1311" s="160"/>
      <c r="CJ1311" s="160"/>
      <c r="CK1311" s="160"/>
      <c r="CL1311" s="160"/>
    </row>
    <row r="1312">
      <c r="A1312" s="171"/>
      <c r="F1312" s="11"/>
      <c r="G1312" s="11"/>
      <c r="L1312" s="171"/>
      <c r="M1312" s="171"/>
      <c r="O1312" s="160"/>
      <c r="P1312" s="160"/>
      <c r="Q1312" s="160"/>
      <c r="R1312" s="160"/>
      <c r="S1312" s="160"/>
      <c r="T1312" s="207"/>
      <c r="U1312" s="160"/>
      <c r="V1312" s="160"/>
      <c r="W1312" s="160"/>
      <c r="X1312" s="160"/>
      <c r="Y1312" s="160"/>
      <c r="Z1312" s="160"/>
      <c r="AA1312" s="160"/>
      <c r="AB1312" s="160"/>
      <c r="AC1312" s="160"/>
      <c r="AD1312" s="160"/>
      <c r="AE1312" s="160"/>
      <c r="AF1312" s="160"/>
      <c r="AG1312" s="160"/>
      <c r="AH1312" s="160"/>
      <c r="AI1312" s="160"/>
      <c r="AJ1312" s="160"/>
      <c r="AK1312" s="160"/>
      <c r="AL1312" s="160"/>
      <c r="AM1312" s="160"/>
      <c r="AN1312" s="164"/>
      <c r="AO1312" s="160"/>
      <c r="AP1312" s="160"/>
      <c r="AQ1312" s="160"/>
      <c r="AR1312" s="160"/>
      <c r="AS1312" s="160"/>
      <c r="AT1312" s="160"/>
      <c r="AU1312" s="160"/>
      <c r="AV1312" s="160"/>
      <c r="AW1312" s="160"/>
      <c r="AX1312" s="160"/>
      <c r="AY1312" s="160"/>
      <c r="AZ1312" s="160"/>
      <c r="BA1312" s="160"/>
      <c r="BB1312" s="160"/>
      <c r="BC1312" s="160"/>
      <c r="BD1312" s="160"/>
      <c r="BE1312" s="160"/>
      <c r="BF1312" s="160"/>
      <c r="BG1312" s="160"/>
      <c r="BH1312" s="160"/>
      <c r="BI1312" s="160"/>
      <c r="BJ1312" s="160"/>
      <c r="BK1312" s="160"/>
      <c r="BL1312" s="160"/>
      <c r="BM1312" s="160"/>
      <c r="BN1312" s="160"/>
      <c r="BO1312" s="160"/>
      <c r="BP1312" s="160"/>
      <c r="BQ1312" s="160"/>
      <c r="BR1312" s="160"/>
      <c r="BS1312" s="160"/>
      <c r="BT1312" s="160"/>
      <c r="BU1312" s="160"/>
      <c r="BV1312" s="160"/>
      <c r="BW1312" s="160"/>
      <c r="BX1312" s="160"/>
      <c r="BY1312" s="160"/>
      <c r="BZ1312" s="160"/>
      <c r="CA1312" s="160"/>
      <c r="CB1312" s="160"/>
      <c r="CC1312" s="160"/>
      <c r="CD1312" s="160"/>
      <c r="CE1312" s="160"/>
      <c r="CF1312" s="160"/>
      <c r="CG1312" s="160"/>
      <c r="CH1312" s="160"/>
      <c r="CI1312" s="160"/>
      <c r="CJ1312" s="160"/>
      <c r="CK1312" s="160"/>
      <c r="CL1312" s="160"/>
    </row>
    <row r="1313">
      <c r="A1313" s="171"/>
      <c r="F1313" s="11"/>
      <c r="G1313" s="11"/>
      <c r="L1313" s="171"/>
      <c r="M1313" s="171"/>
      <c r="O1313" s="160"/>
      <c r="P1313" s="160"/>
      <c r="Q1313" s="160"/>
      <c r="R1313" s="160"/>
      <c r="S1313" s="160"/>
      <c r="T1313" s="207"/>
      <c r="U1313" s="160"/>
      <c r="V1313" s="160"/>
      <c r="W1313" s="160"/>
      <c r="X1313" s="160"/>
      <c r="Y1313" s="160"/>
      <c r="Z1313" s="160"/>
      <c r="AA1313" s="160"/>
      <c r="AB1313" s="160"/>
      <c r="AC1313" s="160"/>
      <c r="AD1313" s="160"/>
      <c r="AE1313" s="160"/>
      <c r="AF1313" s="160"/>
      <c r="AG1313" s="160"/>
      <c r="AH1313" s="160"/>
      <c r="AI1313" s="160"/>
      <c r="AJ1313" s="160"/>
      <c r="AK1313" s="160"/>
      <c r="AL1313" s="160"/>
      <c r="AM1313" s="160"/>
      <c r="AN1313" s="164"/>
      <c r="AO1313" s="160"/>
      <c r="AP1313" s="160"/>
      <c r="AQ1313" s="160"/>
      <c r="AR1313" s="160"/>
      <c r="AS1313" s="160"/>
      <c r="AT1313" s="160"/>
      <c r="AU1313" s="160"/>
      <c r="AV1313" s="160"/>
      <c r="AW1313" s="160"/>
      <c r="AX1313" s="160"/>
      <c r="AY1313" s="160"/>
      <c r="AZ1313" s="160"/>
      <c r="BA1313" s="160"/>
      <c r="BB1313" s="160"/>
      <c r="BC1313" s="160"/>
      <c r="BD1313" s="160"/>
      <c r="BE1313" s="160"/>
      <c r="BF1313" s="160"/>
      <c r="BG1313" s="160"/>
      <c r="BH1313" s="160"/>
      <c r="BI1313" s="160"/>
      <c r="BJ1313" s="160"/>
      <c r="BK1313" s="160"/>
      <c r="BL1313" s="160"/>
      <c r="BM1313" s="160"/>
      <c r="BN1313" s="160"/>
      <c r="BO1313" s="160"/>
      <c r="BP1313" s="160"/>
      <c r="BQ1313" s="160"/>
      <c r="BR1313" s="160"/>
      <c r="BS1313" s="160"/>
      <c r="BT1313" s="160"/>
      <c r="BU1313" s="160"/>
      <c r="BV1313" s="160"/>
      <c r="BW1313" s="160"/>
      <c r="BX1313" s="160"/>
      <c r="BY1313" s="160"/>
      <c r="BZ1313" s="160"/>
      <c r="CA1313" s="160"/>
      <c r="CB1313" s="160"/>
      <c r="CC1313" s="160"/>
      <c r="CD1313" s="160"/>
      <c r="CE1313" s="160"/>
      <c r="CF1313" s="160"/>
      <c r="CG1313" s="160"/>
      <c r="CH1313" s="160"/>
      <c r="CI1313" s="160"/>
      <c r="CJ1313" s="160"/>
      <c r="CK1313" s="160"/>
      <c r="CL1313" s="160"/>
    </row>
    <row r="1314">
      <c r="A1314" s="171"/>
      <c r="F1314" s="11"/>
      <c r="G1314" s="11"/>
      <c r="L1314" s="171"/>
      <c r="M1314" s="171"/>
      <c r="O1314" s="160"/>
      <c r="P1314" s="160"/>
      <c r="Q1314" s="160"/>
      <c r="R1314" s="160"/>
      <c r="S1314" s="160"/>
      <c r="T1314" s="207"/>
      <c r="U1314" s="160"/>
      <c r="V1314" s="160"/>
      <c r="W1314" s="160"/>
      <c r="X1314" s="160"/>
      <c r="Y1314" s="160"/>
      <c r="Z1314" s="160"/>
      <c r="AA1314" s="160"/>
      <c r="AB1314" s="160"/>
      <c r="AC1314" s="160"/>
      <c r="AD1314" s="160"/>
      <c r="AE1314" s="160"/>
      <c r="AF1314" s="160"/>
      <c r="AG1314" s="160"/>
      <c r="AH1314" s="160"/>
      <c r="AI1314" s="160"/>
      <c r="AJ1314" s="160"/>
      <c r="AK1314" s="160"/>
      <c r="AL1314" s="160"/>
      <c r="AM1314" s="160"/>
      <c r="AN1314" s="164"/>
      <c r="AO1314" s="160"/>
      <c r="AP1314" s="160"/>
      <c r="AQ1314" s="160"/>
      <c r="AR1314" s="160"/>
      <c r="AS1314" s="160"/>
      <c r="AT1314" s="160"/>
      <c r="AU1314" s="160"/>
      <c r="AV1314" s="160"/>
      <c r="AW1314" s="160"/>
      <c r="AX1314" s="160"/>
      <c r="AY1314" s="160"/>
      <c r="AZ1314" s="160"/>
      <c r="BA1314" s="160"/>
      <c r="BB1314" s="160"/>
      <c r="BC1314" s="160"/>
      <c r="BD1314" s="160"/>
      <c r="BE1314" s="160"/>
      <c r="BF1314" s="160"/>
      <c r="BG1314" s="160"/>
      <c r="BH1314" s="160"/>
      <c r="BI1314" s="160"/>
      <c r="BJ1314" s="160"/>
      <c r="BK1314" s="160"/>
      <c r="BL1314" s="160"/>
      <c r="BM1314" s="160"/>
      <c r="BN1314" s="160"/>
      <c r="BO1314" s="160"/>
      <c r="BP1314" s="160"/>
      <c r="BQ1314" s="160"/>
      <c r="BR1314" s="160"/>
      <c r="BS1314" s="160"/>
      <c r="BT1314" s="160"/>
      <c r="BU1314" s="160"/>
      <c r="BV1314" s="160"/>
      <c r="BW1314" s="160"/>
      <c r="BX1314" s="160"/>
      <c r="BY1314" s="160"/>
      <c r="BZ1314" s="160"/>
      <c r="CA1314" s="160"/>
      <c r="CB1314" s="160"/>
      <c r="CC1314" s="160"/>
      <c r="CD1314" s="160"/>
      <c r="CE1314" s="160"/>
      <c r="CF1314" s="160"/>
      <c r="CG1314" s="160"/>
      <c r="CH1314" s="160"/>
      <c r="CI1314" s="160"/>
      <c r="CJ1314" s="160"/>
      <c r="CK1314" s="160"/>
      <c r="CL1314" s="160"/>
    </row>
    <row r="1315">
      <c r="A1315" s="171"/>
      <c r="F1315" s="11"/>
      <c r="G1315" s="11"/>
      <c r="L1315" s="171"/>
      <c r="M1315" s="171"/>
      <c r="O1315" s="160"/>
      <c r="P1315" s="160"/>
      <c r="Q1315" s="160"/>
      <c r="R1315" s="160"/>
      <c r="S1315" s="160"/>
      <c r="T1315" s="207"/>
      <c r="U1315" s="160"/>
      <c r="V1315" s="160"/>
      <c r="W1315" s="160"/>
      <c r="X1315" s="160"/>
      <c r="Y1315" s="160"/>
      <c r="Z1315" s="160"/>
      <c r="AA1315" s="160"/>
      <c r="AB1315" s="160"/>
      <c r="AC1315" s="160"/>
      <c r="AD1315" s="160"/>
      <c r="AE1315" s="160"/>
      <c r="AF1315" s="160"/>
      <c r="AG1315" s="160"/>
      <c r="AH1315" s="160"/>
      <c r="AI1315" s="160"/>
      <c r="AJ1315" s="160"/>
      <c r="AK1315" s="160"/>
      <c r="AL1315" s="160"/>
      <c r="AM1315" s="160"/>
      <c r="AN1315" s="164"/>
      <c r="AO1315" s="160"/>
      <c r="AP1315" s="160"/>
      <c r="AQ1315" s="160"/>
      <c r="AR1315" s="160"/>
      <c r="AS1315" s="160"/>
      <c r="AT1315" s="160"/>
      <c r="AU1315" s="160"/>
      <c r="AV1315" s="160"/>
      <c r="AW1315" s="160"/>
      <c r="AX1315" s="160"/>
      <c r="AY1315" s="160"/>
      <c r="AZ1315" s="160"/>
      <c r="BA1315" s="160"/>
      <c r="BB1315" s="160"/>
      <c r="BC1315" s="160"/>
      <c r="BD1315" s="160"/>
      <c r="BE1315" s="160"/>
      <c r="BF1315" s="160"/>
      <c r="BG1315" s="160"/>
      <c r="BH1315" s="160"/>
      <c r="BI1315" s="160"/>
      <c r="BJ1315" s="160"/>
      <c r="BK1315" s="160"/>
      <c r="BL1315" s="160"/>
      <c r="BM1315" s="160"/>
      <c r="BN1315" s="160"/>
      <c r="BO1315" s="160"/>
      <c r="BP1315" s="160"/>
      <c r="BQ1315" s="160"/>
      <c r="BR1315" s="160"/>
      <c r="BS1315" s="160"/>
      <c r="BT1315" s="160"/>
      <c r="BU1315" s="160"/>
      <c r="BV1315" s="160"/>
      <c r="BW1315" s="160"/>
      <c r="BX1315" s="160"/>
      <c r="BY1315" s="160"/>
      <c r="BZ1315" s="160"/>
      <c r="CA1315" s="160"/>
      <c r="CB1315" s="160"/>
      <c r="CC1315" s="160"/>
      <c r="CD1315" s="160"/>
      <c r="CE1315" s="160"/>
      <c r="CF1315" s="160"/>
      <c r="CG1315" s="160"/>
      <c r="CH1315" s="160"/>
      <c r="CI1315" s="160"/>
      <c r="CJ1315" s="160"/>
      <c r="CK1315" s="160"/>
      <c r="CL1315" s="160"/>
    </row>
    <row r="1316">
      <c r="A1316" s="171"/>
      <c r="F1316" s="11"/>
      <c r="G1316" s="11"/>
      <c r="L1316" s="171"/>
      <c r="M1316" s="171"/>
      <c r="O1316" s="160"/>
      <c r="P1316" s="160"/>
      <c r="Q1316" s="160"/>
      <c r="R1316" s="160"/>
      <c r="S1316" s="160"/>
      <c r="T1316" s="207"/>
      <c r="U1316" s="160"/>
      <c r="V1316" s="160"/>
      <c r="W1316" s="160"/>
      <c r="X1316" s="160"/>
      <c r="Y1316" s="160"/>
      <c r="Z1316" s="160"/>
      <c r="AA1316" s="160"/>
      <c r="AB1316" s="160"/>
      <c r="AC1316" s="160"/>
      <c r="AD1316" s="160"/>
      <c r="AE1316" s="160"/>
      <c r="AF1316" s="160"/>
      <c r="AG1316" s="160"/>
      <c r="AH1316" s="160"/>
      <c r="AI1316" s="160"/>
      <c r="AJ1316" s="160"/>
      <c r="AK1316" s="160"/>
      <c r="AL1316" s="160"/>
      <c r="AM1316" s="160"/>
      <c r="AN1316" s="164"/>
      <c r="AO1316" s="160"/>
      <c r="AP1316" s="160"/>
      <c r="AQ1316" s="160"/>
      <c r="AR1316" s="160"/>
      <c r="AS1316" s="160"/>
      <c r="AT1316" s="160"/>
      <c r="AU1316" s="160"/>
      <c r="AV1316" s="160"/>
      <c r="AW1316" s="160"/>
      <c r="AX1316" s="160"/>
      <c r="AY1316" s="160"/>
      <c r="AZ1316" s="160"/>
      <c r="BA1316" s="160"/>
      <c r="BB1316" s="160"/>
      <c r="BC1316" s="160"/>
      <c r="BD1316" s="160"/>
      <c r="BE1316" s="160"/>
      <c r="BF1316" s="160"/>
      <c r="BG1316" s="160"/>
      <c r="BH1316" s="160"/>
      <c r="BI1316" s="160"/>
      <c r="BJ1316" s="160"/>
      <c r="BK1316" s="160"/>
      <c r="BL1316" s="160"/>
      <c r="BM1316" s="160"/>
      <c r="BN1316" s="160"/>
      <c r="BO1316" s="160"/>
      <c r="BP1316" s="160"/>
      <c r="BQ1316" s="160"/>
      <c r="BR1316" s="160"/>
      <c r="BS1316" s="160"/>
      <c r="BT1316" s="160"/>
      <c r="BU1316" s="160"/>
      <c r="BV1316" s="160"/>
      <c r="BW1316" s="160"/>
      <c r="BX1316" s="160"/>
      <c r="BY1316" s="160"/>
      <c r="BZ1316" s="160"/>
      <c r="CA1316" s="160"/>
      <c r="CB1316" s="160"/>
      <c r="CC1316" s="160"/>
      <c r="CD1316" s="160"/>
      <c r="CE1316" s="160"/>
      <c r="CF1316" s="160"/>
      <c r="CG1316" s="160"/>
      <c r="CH1316" s="160"/>
      <c r="CI1316" s="160"/>
      <c r="CJ1316" s="160"/>
      <c r="CK1316" s="160"/>
      <c r="CL1316" s="160"/>
    </row>
    <row r="1317">
      <c r="A1317" s="171"/>
      <c r="F1317" s="11"/>
      <c r="G1317" s="11"/>
      <c r="L1317" s="171"/>
      <c r="M1317" s="171"/>
      <c r="O1317" s="160"/>
      <c r="P1317" s="160"/>
      <c r="Q1317" s="160"/>
      <c r="R1317" s="160"/>
      <c r="S1317" s="160"/>
      <c r="T1317" s="207"/>
      <c r="U1317" s="160"/>
      <c r="V1317" s="160"/>
      <c r="W1317" s="160"/>
      <c r="X1317" s="160"/>
      <c r="Y1317" s="160"/>
      <c r="Z1317" s="160"/>
      <c r="AA1317" s="160"/>
      <c r="AB1317" s="160"/>
      <c r="AC1317" s="160"/>
      <c r="AD1317" s="160"/>
      <c r="AE1317" s="160"/>
      <c r="AF1317" s="160"/>
      <c r="AG1317" s="160"/>
      <c r="AH1317" s="160"/>
      <c r="AI1317" s="160"/>
      <c r="AJ1317" s="160"/>
      <c r="AK1317" s="160"/>
      <c r="AL1317" s="160"/>
      <c r="AM1317" s="160"/>
      <c r="AN1317" s="164"/>
      <c r="AO1317" s="160"/>
      <c r="AP1317" s="160"/>
      <c r="AQ1317" s="160"/>
      <c r="AR1317" s="160"/>
      <c r="AS1317" s="160"/>
      <c r="AT1317" s="160"/>
      <c r="AU1317" s="160"/>
      <c r="AV1317" s="160"/>
      <c r="AW1317" s="160"/>
      <c r="AX1317" s="160"/>
      <c r="AY1317" s="160"/>
      <c r="AZ1317" s="160"/>
      <c r="BA1317" s="160"/>
      <c r="BB1317" s="160"/>
      <c r="BC1317" s="160"/>
      <c r="BD1317" s="160"/>
      <c r="BE1317" s="160"/>
      <c r="BF1317" s="160"/>
      <c r="BG1317" s="160"/>
      <c r="BH1317" s="160"/>
      <c r="BI1317" s="160"/>
      <c r="BJ1317" s="160"/>
      <c r="BK1317" s="160"/>
      <c r="BL1317" s="160"/>
      <c r="BM1317" s="160"/>
      <c r="BN1317" s="160"/>
      <c r="BO1317" s="160"/>
      <c r="BP1317" s="160"/>
      <c r="BQ1317" s="160"/>
      <c r="BR1317" s="160"/>
      <c r="BS1317" s="160"/>
      <c r="BT1317" s="160"/>
      <c r="BU1317" s="160"/>
      <c r="BV1317" s="160"/>
      <c r="BW1317" s="160"/>
      <c r="BX1317" s="160"/>
      <c r="BY1317" s="160"/>
      <c r="BZ1317" s="160"/>
      <c r="CA1317" s="160"/>
      <c r="CB1317" s="160"/>
      <c r="CC1317" s="160"/>
      <c r="CD1317" s="160"/>
      <c r="CE1317" s="160"/>
      <c r="CF1317" s="160"/>
      <c r="CG1317" s="160"/>
      <c r="CH1317" s="160"/>
      <c r="CI1317" s="160"/>
      <c r="CJ1317" s="160"/>
      <c r="CK1317" s="160"/>
      <c r="CL1317" s="160"/>
    </row>
    <row r="1318">
      <c r="A1318" s="171"/>
      <c r="F1318" s="11"/>
      <c r="G1318" s="11"/>
      <c r="L1318" s="171"/>
      <c r="M1318" s="171"/>
      <c r="O1318" s="160"/>
      <c r="P1318" s="160"/>
      <c r="Q1318" s="160"/>
      <c r="R1318" s="160"/>
      <c r="S1318" s="160"/>
      <c r="T1318" s="207"/>
      <c r="U1318" s="160"/>
      <c r="V1318" s="160"/>
      <c r="W1318" s="160"/>
      <c r="X1318" s="160"/>
      <c r="Y1318" s="160"/>
      <c r="Z1318" s="160"/>
      <c r="AA1318" s="160"/>
      <c r="AB1318" s="160"/>
      <c r="AC1318" s="160"/>
      <c r="AD1318" s="160"/>
      <c r="AE1318" s="160"/>
      <c r="AF1318" s="160"/>
      <c r="AG1318" s="160"/>
      <c r="AH1318" s="160"/>
      <c r="AI1318" s="160"/>
      <c r="AJ1318" s="160"/>
      <c r="AK1318" s="160"/>
      <c r="AL1318" s="160"/>
      <c r="AM1318" s="160"/>
      <c r="AN1318" s="164"/>
      <c r="AO1318" s="160"/>
      <c r="AP1318" s="160"/>
      <c r="AQ1318" s="160"/>
      <c r="AR1318" s="160"/>
      <c r="AS1318" s="160"/>
      <c r="AT1318" s="160"/>
      <c r="AU1318" s="160"/>
      <c r="AV1318" s="160"/>
      <c r="AW1318" s="160"/>
      <c r="AX1318" s="160"/>
      <c r="AY1318" s="160"/>
      <c r="AZ1318" s="160"/>
      <c r="BA1318" s="160"/>
      <c r="BB1318" s="160"/>
      <c r="BC1318" s="160"/>
      <c r="BD1318" s="160"/>
      <c r="BE1318" s="160"/>
      <c r="BF1318" s="160"/>
      <c r="BG1318" s="160"/>
      <c r="BH1318" s="160"/>
      <c r="BI1318" s="160"/>
      <c r="BJ1318" s="160"/>
      <c r="BK1318" s="160"/>
      <c r="BL1318" s="160"/>
      <c r="BM1318" s="160"/>
      <c r="BN1318" s="160"/>
      <c r="BO1318" s="160"/>
      <c r="BP1318" s="160"/>
      <c r="BQ1318" s="160"/>
      <c r="BR1318" s="160"/>
      <c r="BS1318" s="160"/>
      <c r="BT1318" s="160"/>
      <c r="BU1318" s="160"/>
      <c r="BV1318" s="160"/>
      <c r="BW1318" s="160"/>
      <c r="BX1318" s="160"/>
      <c r="BY1318" s="160"/>
      <c r="BZ1318" s="160"/>
      <c r="CA1318" s="160"/>
      <c r="CB1318" s="160"/>
      <c r="CC1318" s="160"/>
      <c r="CD1318" s="160"/>
      <c r="CE1318" s="160"/>
      <c r="CF1318" s="160"/>
      <c r="CG1318" s="160"/>
      <c r="CH1318" s="160"/>
      <c r="CI1318" s="160"/>
      <c r="CJ1318" s="160"/>
      <c r="CK1318" s="160"/>
      <c r="CL1318" s="160"/>
    </row>
    <row r="1319">
      <c r="A1319" s="171"/>
      <c r="F1319" s="11"/>
      <c r="G1319" s="11"/>
      <c r="L1319" s="171"/>
      <c r="M1319" s="171"/>
      <c r="O1319" s="160"/>
      <c r="P1319" s="160"/>
      <c r="Q1319" s="160"/>
      <c r="R1319" s="160"/>
      <c r="S1319" s="160"/>
      <c r="T1319" s="207"/>
      <c r="U1319" s="160"/>
      <c r="V1319" s="160"/>
      <c r="W1319" s="160"/>
      <c r="X1319" s="160"/>
      <c r="Y1319" s="160"/>
      <c r="Z1319" s="160"/>
      <c r="AA1319" s="160"/>
      <c r="AB1319" s="160"/>
      <c r="AC1319" s="160"/>
      <c r="AD1319" s="160"/>
      <c r="AE1319" s="160"/>
      <c r="AF1319" s="160"/>
      <c r="AG1319" s="160"/>
      <c r="AH1319" s="160"/>
      <c r="AI1319" s="160"/>
      <c r="AJ1319" s="160"/>
      <c r="AK1319" s="160"/>
      <c r="AL1319" s="160"/>
      <c r="AM1319" s="160"/>
      <c r="AN1319" s="164"/>
      <c r="AO1319" s="160"/>
      <c r="AP1319" s="160"/>
      <c r="AQ1319" s="160"/>
      <c r="AR1319" s="160"/>
      <c r="AS1319" s="160"/>
      <c r="AT1319" s="160"/>
      <c r="AU1319" s="160"/>
      <c r="AV1319" s="160"/>
      <c r="AW1319" s="160"/>
      <c r="AX1319" s="160"/>
      <c r="AY1319" s="160"/>
      <c r="AZ1319" s="160"/>
      <c r="BA1319" s="160"/>
      <c r="BB1319" s="160"/>
      <c r="BC1319" s="160"/>
      <c r="BD1319" s="160"/>
      <c r="BE1319" s="160"/>
      <c r="BF1319" s="160"/>
      <c r="BG1319" s="160"/>
      <c r="BH1319" s="160"/>
      <c r="BI1319" s="160"/>
      <c r="BJ1319" s="160"/>
      <c r="BK1319" s="160"/>
      <c r="BL1319" s="160"/>
      <c r="BM1319" s="160"/>
      <c r="BN1319" s="160"/>
      <c r="BO1319" s="160"/>
      <c r="BP1319" s="160"/>
      <c r="BQ1319" s="160"/>
      <c r="BR1319" s="160"/>
      <c r="BS1319" s="160"/>
      <c r="BT1319" s="160"/>
      <c r="BU1319" s="160"/>
      <c r="BV1319" s="160"/>
      <c r="BW1319" s="160"/>
      <c r="BX1319" s="160"/>
      <c r="BY1319" s="160"/>
      <c r="BZ1319" s="160"/>
      <c r="CA1319" s="160"/>
      <c r="CB1319" s="160"/>
      <c r="CC1319" s="160"/>
      <c r="CD1319" s="160"/>
      <c r="CE1319" s="160"/>
      <c r="CF1319" s="160"/>
      <c r="CG1319" s="160"/>
      <c r="CH1319" s="160"/>
      <c r="CI1319" s="160"/>
      <c r="CJ1319" s="160"/>
      <c r="CK1319" s="160"/>
      <c r="CL1319" s="160"/>
    </row>
    <row r="1320">
      <c r="A1320" s="171"/>
      <c r="F1320" s="11"/>
      <c r="G1320" s="11"/>
      <c r="L1320" s="171"/>
      <c r="M1320" s="171"/>
      <c r="O1320" s="160"/>
      <c r="P1320" s="160"/>
      <c r="Q1320" s="160"/>
      <c r="R1320" s="160"/>
      <c r="S1320" s="160"/>
      <c r="T1320" s="207"/>
      <c r="U1320" s="160"/>
      <c r="V1320" s="160"/>
      <c r="W1320" s="160"/>
      <c r="X1320" s="160"/>
      <c r="Y1320" s="160"/>
      <c r="Z1320" s="160"/>
      <c r="AA1320" s="160"/>
      <c r="AB1320" s="160"/>
      <c r="AC1320" s="160"/>
      <c r="AD1320" s="160"/>
      <c r="AE1320" s="160"/>
      <c r="AF1320" s="160"/>
      <c r="AG1320" s="160"/>
      <c r="AH1320" s="160"/>
      <c r="AI1320" s="160"/>
      <c r="AJ1320" s="160"/>
      <c r="AK1320" s="160"/>
      <c r="AL1320" s="160"/>
      <c r="AM1320" s="160"/>
      <c r="AN1320" s="164"/>
      <c r="AO1320" s="160"/>
      <c r="AP1320" s="160"/>
      <c r="AQ1320" s="160"/>
      <c r="AR1320" s="160"/>
      <c r="AS1320" s="160"/>
      <c r="AT1320" s="160"/>
      <c r="AU1320" s="160"/>
      <c r="AV1320" s="160"/>
      <c r="AW1320" s="160"/>
      <c r="AX1320" s="160"/>
      <c r="AY1320" s="160"/>
      <c r="AZ1320" s="160"/>
      <c r="BA1320" s="160"/>
      <c r="BB1320" s="160"/>
      <c r="BC1320" s="160"/>
      <c r="BD1320" s="160"/>
      <c r="BE1320" s="160"/>
      <c r="BF1320" s="160"/>
      <c r="BG1320" s="160"/>
      <c r="BH1320" s="160"/>
      <c r="BI1320" s="160"/>
      <c r="BJ1320" s="160"/>
      <c r="BK1320" s="160"/>
      <c r="BL1320" s="160"/>
      <c r="BM1320" s="160"/>
      <c r="BN1320" s="160"/>
      <c r="BO1320" s="160"/>
      <c r="BP1320" s="160"/>
      <c r="BQ1320" s="160"/>
      <c r="BR1320" s="160"/>
      <c r="BS1320" s="160"/>
      <c r="BT1320" s="160"/>
      <c r="BU1320" s="160"/>
      <c r="BV1320" s="160"/>
      <c r="BW1320" s="160"/>
      <c r="BX1320" s="160"/>
      <c r="BY1320" s="160"/>
      <c r="BZ1320" s="160"/>
      <c r="CA1320" s="160"/>
      <c r="CB1320" s="160"/>
      <c r="CC1320" s="160"/>
      <c r="CD1320" s="160"/>
      <c r="CE1320" s="160"/>
      <c r="CF1320" s="160"/>
      <c r="CG1320" s="160"/>
      <c r="CH1320" s="160"/>
      <c r="CI1320" s="160"/>
      <c r="CJ1320" s="160"/>
      <c r="CK1320" s="160"/>
      <c r="CL1320" s="160"/>
    </row>
    <row r="1321">
      <c r="A1321" s="171"/>
      <c r="F1321" s="11"/>
      <c r="G1321" s="11"/>
      <c r="L1321" s="171"/>
      <c r="M1321" s="171"/>
      <c r="O1321" s="160"/>
      <c r="P1321" s="160"/>
      <c r="Q1321" s="160"/>
      <c r="R1321" s="160"/>
      <c r="S1321" s="160"/>
      <c r="T1321" s="207"/>
      <c r="U1321" s="160"/>
      <c r="V1321" s="160"/>
      <c r="W1321" s="160"/>
      <c r="X1321" s="160"/>
      <c r="Y1321" s="160"/>
      <c r="Z1321" s="160"/>
      <c r="AA1321" s="160"/>
      <c r="AB1321" s="160"/>
      <c r="AC1321" s="160"/>
      <c r="AD1321" s="160"/>
      <c r="AE1321" s="160"/>
      <c r="AF1321" s="160"/>
      <c r="AG1321" s="160"/>
      <c r="AH1321" s="160"/>
      <c r="AI1321" s="160"/>
      <c r="AJ1321" s="160"/>
      <c r="AK1321" s="160"/>
      <c r="AL1321" s="160"/>
      <c r="AM1321" s="160"/>
      <c r="AN1321" s="164"/>
      <c r="AO1321" s="160"/>
      <c r="AP1321" s="160"/>
      <c r="AQ1321" s="160"/>
      <c r="AR1321" s="160"/>
      <c r="AS1321" s="160"/>
      <c r="AT1321" s="160"/>
      <c r="AU1321" s="160"/>
      <c r="AV1321" s="160"/>
      <c r="AW1321" s="160"/>
      <c r="AX1321" s="160"/>
      <c r="AY1321" s="160"/>
      <c r="AZ1321" s="160"/>
      <c r="BA1321" s="160"/>
      <c r="BB1321" s="160"/>
      <c r="BC1321" s="160"/>
      <c r="BD1321" s="160"/>
      <c r="BE1321" s="160"/>
      <c r="BF1321" s="160"/>
      <c r="BG1321" s="160"/>
      <c r="BH1321" s="160"/>
      <c r="BI1321" s="160"/>
      <c r="BJ1321" s="160"/>
      <c r="BK1321" s="160"/>
      <c r="BL1321" s="160"/>
      <c r="BM1321" s="160"/>
      <c r="BN1321" s="160"/>
      <c r="BO1321" s="160"/>
      <c r="BP1321" s="160"/>
      <c r="BQ1321" s="160"/>
      <c r="BR1321" s="160"/>
      <c r="BS1321" s="160"/>
      <c r="BT1321" s="160"/>
      <c r="BU1321" s="160"/>
      <c r="BV1321" s="160"/>
      <c r="BW1321" s="160"/>
      <c r="BX1321" s="160"/>
      <c r="BY1321" s="160"/>
      <c r="BZ1321" s="160"/>
      <c r="CA1321" s="160"/>
      <c r="CB1321" s="160"/>
      <c r="CC1321" s="160"/>
      <c r="CD1321" s="160"/>
      <c r="CE1321" s="160"/>
      <c r="CF1321" s="160"/>
      <c r="CG1321" s="160"/>
      <c r="CH1321" s="160"/>
      <c r="CI1321" s="160"/>
      <c r="CJ1321" s="160"/>
      <c r="CK1321" s="160"/>
      <c r="CL1321" s="160"/>
    </row>
    <row r="1322">
      <c r="A1322" s="171"/>
      <c r="F1322" s="11"/>
      <c r="G1322" s="11"/>
      <c r="L1322" s="171"/>
      <c r="M1322" s="171"/>
      <c r="O1322" s="160"/>
      <c r="P1322" s="160"/>
      <c r="Q1322" s="160"/>
      <c r="R1322" s="160"/>
      <c r="S1322" s="160"/>
      <c r="T1322" s="207"/>
      <c r="U1322" s="160"/>
      <c r="V1322" s="160"/>
      <c r="W1322" s="160"/>
      <c r="X1322" s="160"/>
      <c r="Y1322" s="160"/>
      <c r="Z1322" s="160"/>
      <c r="AA1322" s="160"/>
      <c r="AB1322" s="160"/>
      <c r="AC1322" s="160"/>
      <c r="AD1322" s="160"/>
      <c r="AE1322" s="160"/>
      <c r="AF1322" s="160"/>
      <c r="AG1322" s="160"/>
      <c r="AH1322" s="160"/>
      <c r="AI1322" s="160"/>
      <c r="AJ1322" s="160"/>
      <c r="AK1322" s="160"/>
      <c r="AL1322" s="160"/>
      <c r="AM1322" s="160"/>
      <c r="AN1322" s="164"/>
      <c r="AO1322" s="160"/>
      <c r="AP1322" s="160"/>
      <c r="AQ1322" s="160"/>
      <c r="AR1322" s="160"/>
      <c r="AS1322" s="160"/>
      <c r="AT1322" s="160"/>
      <c r="AU1322" s="160"/>
      <c r="AV1322" s="160"/>
      <c r="AW1322" s="160"/>
      <c r="AX1322" s="160"/>
      <c r="AY1322" s="160"/>
      <c r="AZ1322" s="160"/>
      <c r="BA1322" s="160"/>
      <c r="BB1322" s="160"/>
      <c r="BC1322" s="160"/>
      <c r="BD1322" s="160"/>
      <c r="BE1322" s="160"/>
      <c r="BF1322" s="160"/>
      <c r="BG1322" s="160"/>
      <c r="BH1322" s="160"/>
      <c r="BI1322" s="160"/>
      <c r="BJ1322" s="160"/>
      <c r="BK1322" s="160"/>
      <c r="BL1322" s="160"/>
      <c r="BM1322" s="160"/>
      <c r="BN1322" s="160"/>
      <c r="BO1322" s="160"/>
      <c r="BP1322" s="160"/>
      <c r="BQ1322" s="160"/>
      <c r="BR1322" s="160"/>
      <c r="BS1322" s="160"/>
      <c r="BT1322" s="160"/>
      <c r="BU1322" s="160"/>
      <c r="BV1322" s="160"/>
      <c r="BW1322" s="160"/>
      <c r="BX1322" s="160"/>
      <c r="BY1322" s="160"/>
      <c r="BZ1322" s="160"/>
      <c r="CA1322" s="160"/>
      <c r="CB1322" s="160"/>
      <c r="CC1322" s="160"/>
      <c r="CD1322" s="160"/>
      <c r="CE1322" s="160"/>
      <c r="CF1322" s="160"/>
      <c r="CG1322" s="160"/>
      <c r="CH1322" s="160"/>
      <c r="CI1322" s="160"/>
      <c r="CJ1322" s="160"/>
      <c r="CK1322" s="160"/>
      <c r="CL1322" s="160"/>
    </row>
    <row r="1323">
      <c r="A1323" s="171"/>
      <c r="F1323" s="11"/>
      <c r="G1323" s="11"/>
      <c r="L1323" s="171"/>
      <c r="M1323" s="171"/>
      <c r="O1323" s="160"/>
      <c r="P1323" s="160"/>
      <c r="Q1323" s="160"/>
      <c r="R1323" s="160"/>
      <c r="S1323" s="160"/>
      <c r="T1323" s="207"/>
      <c r="U1323" s="160"/>
      <c r="V1323" s="160"/>
      <c r="W1323" s="160"/>
      <c r="X1323" s="160"/>
      <c r="Y1323" s="160"/>
      <c r="Z1323" s="160"/>
      <c r="AA1323" s="160"/>
      <c r="AB1323" s="160"/>
      <c r="AC1323" s="160"/>
      <c r="AD1323" s="160"/>
      <c r="AE1323" s="160"/>
      <c r="AF1323" s="160"/>
      <c r="AG1323" s="160"/>
      <c r="AH1323" s="160"/>
      <c r="AI1323" s="160"/>
      <c r="AJ1323" s="160"/>
      <c r="AK1323" s="160"/>
      <c r="AL1323" s="160"/>
      <c r="AM1323" s="160"/>
      <c r="AN1323" s="164"/>
      <c r="AO1323" s="160"/>
      <c r="AP1323" s="160"/>
      <c r="AQ1323" s="160"/>
      <c r="AR1323" s="160"/>
      <c r="AS1323" s="160"/>
      <c r="AT1323" s="160"/>
      <c r="AU1323" s="160"/>
      <c r="AV1323" s="160"/>
      <c r="AW1323" s="160"/>
      <c r="AX1323" s="160"/>
      <c r="AY1323" s="160"/>
      <c r="AZ1323" s="160"/>
      <c r="BA1323" s="160"/>
      <c r="BB1323" s="160"/>
      <c r="BC1323" s="160"/>
      <c r="BD1323" s="160"/>
      <c r="BE1323" s="160"/>
      <c r="BF1323" s="160"/>
      <c r="BG1323" s="160"/>
      <c r="BH1323" s="160"/>
      <c r="BI1323" s="160"/>
      <c r="BJ1323" s="160"/>
      <c r="BK1323" s="160"/>
      <c r="BL1323" s="160"/>
      <c r="BM1323" s="160"/>
      <c r="BN1323" s="160"/>
      <c r="BO1323" s="160"/>
      <c r="BP1323" s="160"/>
      <c r="BQ1323" s="160"/>
      <c r="BR1323" s="160"/>
      <c r="BS1323" s="160"/>
      <c r="BT1323" s="160"/>
      <c r="BU1323" s="160"/>
      <c r="BV1323" s="160"/>
      <c r="BW1323" s="160"/>
      <c r="BX1323" s="160"/>
      <c r="BY1323" s="160"/>
      <c r="BZ1323" s="160"/>
      <c r="CA1323" s="160"/>
      <c r="CB1323" s="160"/>
      <c r="CC1323" s="160"/>
      <c r="CD1323" s="160"/>
      <c r="CE1323" s="160"/>
      <c r="CF1323" s="160"/>
      <c r="CG1323" s="160"/>
      <c r="CH1323" s="160"/>
      <c r="CI1323" s="160"/>
      <c r="CJ1323" s="160"/>
      <c r="CK1323" s="160"/>
      <c r="CL1323" s="160"/>
    </row>
    <row r="1324">
      <c r="A1324" s="171"/>
      <c r="F1324" s="11"/>
      <c r="G1324" s="11"/>
      <c r="L1324" s="171"/>
      <c r="M1324" s="171"/>
      <c r="O1324" s="160"/>
      <c r="P1324" s="160"/>
      <c r="Q1324" s="160"/>
      <c r="R1324" s="160"/>
      <c r="S1324" s="160"/>
      <c r="T1324" s="207"/>
      <c r="U1324" s="160"/>
      <c r="V1324" s="160"/>
      <c r="W1324" s="160"/>
      <c r="X1324" s="160"/>
      <c r="Y1324" s="160"/>
      <c r="Z1324" s="160"/>
      <c r="AA1324" s="160"/>
      <c r="AB1324" s="160"/>
      <c r="AC1324" s="160"/>
      <c r="AD1324" s="160"/>
      <c r="AE1324" s="160"/>
      <c r="AF1324" s="160"/>
      <c r="AG1324" s="160"/>
      <c r="AH1324" s="160"/>
      <c r="AI1324" s="160"/>
      <c r="AJ1324" s="160"/>
      <c r="AK1324" s="160"/>
      <c r="AL1324" s="160"/>
      <c r="AM1324" s="160"/>
      <c r="AN1324" s="164"/>
      <c r="AO1324" s="160"/>
      <c r="AP1324" s="160"/>
      <c r="AQ1324" s="160"/>
      <c r="AR1324" s="160"/>
      <c r="AS1324" s="160"/>
      <c r="AT1324" s="160"/>
      <c r="AU1324" s="160"/>
      <c r="AV1324" s="160"/>
      <c r="AW1324" s="160"/>
      <c r="AX1324" s="160"/>
      <c r="AY1324" s="160"/>
      <c r="AZ1324" s="160"/>
      <c r="BA1324" s="160"/>
      <c r="BB1324" s="160"/>
      <c r="BC1324" s="160"/>
      <c r="BD1324" s="160"/>
      <c r="BE1324" s="160"/>
      <c r="BF1324" s="160"/>
      <c r="BG1324" s="160"/>
      <c r="BH1324" s="160"/>
      <c r="BI1324" s="160"/>
      <c r="BJ1324" s="160"/>
      <c r="BK1324" s="160"/>
      <c r="BL1324" s="160"/>
      <c r="BM1324" s="160"/>
      <c r="BN1324" s="160"/>
      <c r="BO1324" s="160"/>
      <c r="BP1324" s="160"/>
      <c r="BQ1324" s="160"/>
      <c r="BR1324" s="160"/>
      <c r="BS1324" s="160"/>
      <c r="BT1324" s="160"/>
      <c r="BU1324" s="160"/>
      <c r="BV1324" s="160"/>
      <c r="BW1324" s="160"/>
      <c r="BX1324" s="160"/>
      <c r="BY1324" s="160"/>
      <c r="BZ1324" s="160"/>
      <c r="CA1324" s="160"/>
      <c r="CB1324" s="160"/>
      <c r="CC1324" s="160"/>
      <c r="CD1324" s="160"/>
      <c r="CE1324" s="160"/>
      <c r="CF1324" s="160"/>
      <c r="CG1324" s="160"/>
      <c r="CH1324" s="160"/>
      <c r="CI1324" s="160"/>
      <c r="CJ1324" s="160"/>
      <c r="CK1324" s="160"/>
      <c r="CL1324" s="160"/>
    </row>
    <row r="1325">
      <c r="A1325" s="171"/>
      <c r="F1325" s="11"/>
      <c r="G1325" s="11"/>
      <c r="L1325" s="171"/>
      <c r="M1325" s="171"/>
      <c r="O1325" s="160"/>
      <c r="P1325" s="160"/>
      <c r="Q1325" s="160"/>
      <c r="R1325" s="160"/>
      <c r="S1325" s="160"/>
      <c r="T1325" s="207"/>
      <c r="U1325" s="160"/>
      <c r="V1325" s="160"/>
      <c r="W1325" s="160"/>
      <c r="X1325" s="160"/>
      <c r="Y1325" s="160"/>
      <c r="Z1325" s="160"/>
      <c r="AA1325" s="160"/>
      <c r="AB1325" s="160"/>
      <c r="AC1325" s="160"/>
      <c r="AD1325" s="160"/>
      <c r="AE1325" s="160"/>
      <c r="AF1325" s="160"/>
      <c r="AG1325" s="160"/>
      <c r="AH1325" s="160"/>
      <c r="AI1325" s="160"/>
      <c r="AJ1325" s="160"/>
      <c r="AK1325" s="160"/>
      <c r="AL1325" s="160"/>
      <c r="AM1325" s="160"/>
      <c r="AN1325" s="164"/>
      <c r="AO1325" s="160"/>
      <c r="AP1325" s="160"/>
      <c r="AQ1325" s="160"/>
      <c r="AR1325" s="160"/>
      <c r="AS1325" s="160"/>
      <c r="AT1325" s="160"/>
      <c r="AU1325" s="160"/>
      <c r="AV1325" s="160"/>
      <c r="AW1325" s="160"/>
      <c r="AX1325" s="160"/>
      <c r="AY1325" s="160"/>
      <c r="AZ1325" s="160"/>
      <c r="BA1325" s="160"/>
      <c r="BB1325" s="160"/>
      <c r="BC1325" s="160"/>
      <c r="BD1325" s="160"/>
      <c r="BE1325" s="160"/>
      <c r="BF1325" s="160"/>
      <c r="BG1325" s="160"/>
      <c r="BH1325" s="160"/>
      <c r="BI1325" s="160"/>
      <c r="BJ1325" s="160"/>
      <c r="BK1325" s="160"/>
      <c r="BL1325" s="160"/>
      <c r="BM1325" s="160"/>
      <c r="BN1325" s="160"/>
      <c r="BO1325" s="160"/>
      <c r="BP1325" s="160"/>
      <c r="BQ1325" s="160"/>
      <c r="BR1325" s="160"/>
      <c r="BS1325" s="160"/>
      <c r="BT1325" s="160"/>
      <c r="BU1325" s="160"/>
      <c r="BV1325" s="160"/>
      <c r="BW1325" s="160"/>
      <c r="BX1325" s="160"/>
      <c r="BY1325" s="160"/>
      <c r="BZ1325" s="160"/>
      <c r="CA1325" s="160"/>
      <c r="CB1325" s="160"/>
      <c r="CC1325" s="160"/>
      <c r="CD1325" s="160"/>
      <c r="CE1325" s="160"/>
      <c r="CF1325" s="160"/>
      <c r="CG1325" s="160"/>
      <c r="CH1325" s="160"/>
      <c r="CI1325" s="160"/>
      <c r="CJ1325" s="160"/>
      <c r="CK1325" s="160"/>
      <c r="CL1325" s="160"/>
    </row>
    <row r="1326">
      <c r="A1326" s="171"/>
      <c r="F1326" s="11"/>
      <c r="G1326" s="11"/>
      <c r="L1326" s="171"/>
      <c r="M1326" s="171"/>
      <c r="O1326" s="160"/>
      <c r="P1326" s="160"/>
      <c r="Q1326" s="160"/>
      <c r="R1326" s="160"/>
      <c r="S1326" s="160"/>
      <c r="T1326" s="207"/>
      <c r="U1326" s="160"/>
      <c r="V1326" s="160"/>
      <c r="W1326" s="160"/>
      <c r="X1326" s="160"/>
      <c r="Y1326" s="160"/>
      <c r="Z1326" s="160"/>
      <c r="AA1326" s="160"/>
      <c r="AB1326" s="160"/>
      <c r="AC1326" s="160"/>
      <c r="AD1326" s="160"/>
      <c r="AE1326" s="160"/>
      <c r="AF1326" s="160"/>
      <c r="AG1326" s="160"/>
      <c r="AH1326" s="160"/>
      <c r="AI1326" s="160"/>
      <c r="AJ1326" s="160"/>
      <c r="AK1326" s="160"/>
      <c r="AL1326" s="160"/>
      <c r="AM1326" s="160"/>
      <c r="AN1326" s="164"/>
      <c r="AO1326" s="160"/>
      <c r="AP1326" s="160"/>
      <c r="AQ1326" s="160"/>
      <c r="AR1326" s="160"/>
      <c r="AS1326" s="160"/>
      <c r="AT1326" s="160"/>
      <c r="AU1326" s="160"/>
      <c r="AV1326" s="160"/>
      <c r="AW1326" s="160"/>
      <c r="AX1326" s="160"/>
      <c r="AY1326" s="160"/>
      <c r="AZ1326" s="160"/>
      <c r="BA1326" s="160"/>
      <c r="BB1326" s="160"/>
      <c r="BC1326" s="160"/>
      <c r="BD1326" s="160"/>
      <c r="BE1326" s="160"/>
      <c r="BF1326" s="160"/>
      <c r="BG1326" s="160"/>
      <c r="BH1326" s="160"/>
      <c r="BI1326" s="160"/>
      <c r="BJ1326" s="160"/>
      <c r="BK1326" s="160"/>
      <c r="BL1326" s="160"/>
      <c r="BM1326" s="160"/>
      <c r="BN1326" s="160"/>
      <c r="BO1326" s="160"/>
      <c r="BP1326" s="160"/>
      <c r="BQ1326" s="160"/>
      <c r="BR1326" s="160"/>
      <c r="BS1326" s="160"/>
      <c r="BT1326" s="160"/>
      <c r="BU1326" s="160"/>
      <c r="BV1326" s="160"/>
      <c r="BW1326" s="160"/>
      <c r="BX1326" s="160"/>
      <c r="BY1326" s="160"/>
      <c r="BZ1326" s="160"/>
      <c r="CA1326" s="160"/>
      <c r="CB1326" s="160"/>
      <c r="CC1326" s="160"/>
      <c r="CD1326" s="160"/>
      <c r="CE1326" s="160"/>
      <c r="CF1326" s="160"/>
      <c r="CG1326" s="160"/>
      <c r="CH1326" s="160"/>
      <c r="CI1326" s="160"/>
      <c r="CJ1326" s="160"/>
      <c r="CK1326" s="160"/>
      <c r="CL1326" s="160"/>
    </row>
    <row r="1327">
      <c r="A1327" s="171"/>
      <c r="F1327" s="11"/>
      <c r="G1327" s="11"/>
      <c r="L1327" s="171"/>
      <c r="M1327" s="171"/>
      <c r="O1327" s="160"/>
      <c r="P1327" s="160"/>
      <c r="Q1327" s="160"/>
      <c r="R1327" s="160"/>
      <c r="S1327" s="160"/>
      <c r="T1327" s="207"/>
      <c r="U1327" s="160"/>
      <c r="V1327" s="160"/>
      <c r="W1327" s="160"/>
      <c r="X1327" s="160"/>
      <c r="Y1327" s="160"/>
      <c r="Z1327" s="160"/>
      <c r="AA1327" s="160"/>
      <c r="AB1327" s="160"/>
      <c r="AC1327" s="160"/>
      <c r="AD1327" s="160"/>
      <c r="AE1327" s="160"/>
      <c r="AF1327" s="160"/>
      <c r="AG1327" s="160"/>
      <c r="AH1327" s="160"/>
      <c r="AI1327" s="160"/>
      <c r="AJ1327" s="160"/>
      <c r="AK1327" s="160"/>
      <c r="AL1327" s="160"/>
      <c r="AM1327" s="160"/>
      <c r="AN1327" s="164"/>
      <c r="AO1327" s="160"/>
      <c r="AP1327" s="160"/>
      <c r="AQ1327" s="160"/>
      <c r="AR1327" s="160"/>
      <c r="AS1327" s="160"/>
      <c r="AT1327" s="160"/>
      <c r="AU1327" s="160"/>
      <c r="AV1327" s="160"/>
      <c r="AW1327" s="160"/>
      <c r="AX1327" s="160"/>
      <c r="AY1327" s="160"/>
      <c r="AZ1327" s="160"/>
      <c r="BA1327" s="160"/>
      <c r="BB1327" s="160"/>
      <c r="BC1327" s="160"/>
      <c r="BD1327" s="160"/>
      <c r="BE1327" s="160"/>
      <c r="BF1327" s="160"/>
      <c r="BG1327" s="160"/>
      <c r="BH1327" s="160"/>
      <c r="BI1327" s="160"/>
      <c r="BJ1327" s="160"/>
      <c r="BK1327" s="160"/>
      <c r="BL1327" s="160"/>
      <c r="BM1327" s="160"/>
      <c r="BN1327" s="160"/>
      <c r="BO1327" s="160"/>
      <c r="BP1327" s="160"/>
      <c r="BQ1327" s="160"/>
      <c r="BR1327" s="160"/>
      <c r="BS1327" s="160"/>
      <c r="BT1327" s="160"/>
      <c r="BU1327" s="160"/>
      <c r="BV1327" s="160"/>
      <c r="BW1327" s="160"/>
      <c r="BX1327" s="160"/>
      <c r="BY1327" s="160"/>
      <c r="BZ1327" s="160"/>
      <c r="CA1327" s="160"/>
      <c r="CB1327" s="160"/>
      <c r="CC1327" s="160"/>
      <c r="CD1327" s="160"/>
      <c r="CE1327" s="160"/>
      <c r="CF1327" s="160"/>
      <c r="CG1327" s="160"/>
      <c r="CH1327" s="160"/>
      <c r="CI1327" s="160"/>
      <c r="CJ1327" s="160"/>
      <c r="CK1327" s="160"/>
      <c r="CL1327" s="160"/>
    </row>
    <row r="1328">
      <c r="A1328" s="171"/>
      <c r="F1328" s="11"/>
      <c r="G1328" s="11"/>
      <c r="L1328" s="171"/>
      <c r="M1328" s="171"/>
      <c r="O1328" s="160"/>
      <c r="P1328" s="160"/>
      <c r="Q1328" s="160"/>
      <c r="R1328" s="160"/>
      <c r="S1328" s="160"/>
      <c r="T1328" s="207"/>
      <c r="U1328" s="160"/>
      <c r="V1328" s="160"/>
      <c r="W1328" s="160"/>
      <c r="X1328" s="160"/>
      <c r="Y1328" s="160"/>
      <c r="Z1328" s="160"/>
      <c r="AA1328" s="160"/>
      <c r="AB1328" s="160"/>
      <c r="AC1328" s="160"/>
      <c r="AD1328" s="160"/>
      <c r="AE1328" s="160"/>
      <c r="AF1328" s="160"/>
      <c r="AG1328" s="160"/>
      <c r="AH1328" s="160"/>
      <c r="AI1328" s="160"/>
      <c r="AJ1328" s="160"/>
      <c r="AK1328" s="160"/>
      <c r="AL1328" s="160"/>
      <c r="AM1328" s="160"/>
      <c r="AN1328" s="164"/>
      <c r="AO1328" s="160"/>
      <c r="AP1328" s="160"/>
      <c r="AQ1328" s="160"/>
      <c r="AR1328" s="160"/>
      <c r="AS1328" s="160"/>
      <c r="AT1328" s="160"/>
      <c r="AU1328" s="160"/>
      <c r="AV1328" s="160"/>
      <c r="AW1328" s="160"/>
      <c r="AX1328" s="160"/>
      <c r="AY1328" s="160"/>
      <c r="AZ1328" s="160"/>
      <c r="BA1328" s="160"/>
      <c r="BB1328" s="160"/>
      <c r="BC1328" s="160"/>
      <c r="BD1328" s="160"/>
      <c r="BE1328" s="160"/>
      <c r="BF1328" s="160"/>
      <c r="BG1328" s="160"/>
      <c r="BH1328" s="160"/>
      <c r="BI1328" s="160"/>
      <c r="BJ1328" s="160"/>
      <c r="BK1328" s="160"/>
      <c r="BL1328" s="160"/>
      <c r="BM1328" s="160"/>
      <c r="BN1328" s="160"/>
      <c r="BO1328" s="160"/>
      <c r="BP1328" s="160"/>
      <c r="BQ1328" s="160"/>
      <c r="BR1328" s="160"/>
      <c r="BS1328" s="160"/>
      <c r="BT1328" s="160"/>
      <c r="BU1328" s="160"/>
      <c r="BV1328" s="160"/>
      <c r="BW1328" s="160"/>
      <c r="BX1328" s="160"/>
      <c r="BY1328" s="160"/>
      <c r="BZ1328" s="160"/>
      <c r="CA1328" s="160"/>
      <c r="CB1328" s="160"/>
      <c r="CC1328" s="160"/>
      <c r="CD1328" s="160"/>
      <c r="CE1328" s="160"/>
      <c r="CF1328" s="160"/>
      <c r="CG1328" s="160"/>
      <c r="CH1328" s="160"/>
      <c r="CI1328" s="160"/>
      <c r="CJ1328" s="160"/>
      <c r="CK1328" s="160"/>
      <c r="CL1328" s="160"/>
    </row>
    <row r="1329">
      <c r="A1329" s="171"/>
      <c r="F1329" s="11"/>
      <c r="G1329" s="11"/>
      <c r="L1329" s="171"/>
      <c r="M1329" s="171"/>
      <c r="O1329" s="160"/>
      <c r="P1329" s="160"/>
      <c r="Q1329" s="160"/>
      <c r="R1329" s="160"/>
      <c r="S1329" s="160"/>
      <c r="T1329" s="207"/>
      <c r="U1329" s="160"/>
      <c r="V1329" s="160"/>
      <c r="W1329" s="160"/>
      <c r="X1329" s="160"/>
      <c r="Y1329" s="160"/>
      <c r="Z1329" s="160"/>
      <c r="AA1329" s="160"/>
      <c r="AB1329" s="160"/>
      <c r="AC1329" s="160"/>
      <c r="AD1329" s="160"/>
      <c r="AE1329" s="160"/>
      <c r="AF1329" s="160"/>
      <c r="AG1329" s="160"/>
      <c r="AH1329" s="160"/>
      <c r="AI1329" s="160"/>
      <c r="AJ1329" s="160"/>
      <c r="AK1329" s="160"/>
      <c r="AL1329" s="160"/>
      <c r="AM1329" s="160"/>
      <c r="AN1329" s="164"/>
      <c r="AO1329" s="160"/>
      <c r="AP1329" s="160"/>
      <c r="AQ1329" s="160"/>
      <c r="AR1329" s="160"/>
      <c r="AS1329" s="160"/>
      <c r="AT1329" s="160"/>
      <c r="AU1329" s="160"/>
      <c r="AV1329" s="160"/>
      <c r="AW1329" s="160"/>
      <c r="AX1329" s="160"/>
      <c r="AY1329" s="160"/>
      <c r="AZ1329" s="160"/>
      <c r="BA1329" s="160"/>
      <c r="BB1329" s="160"/>
      <c r="BC1329" s="160"/>
      <c r="BD1329" s="160"/>
      <c r="BE1329" s="160"/>
      <c r="BF1329" s="160"/>
      <c r="BG1329" s="160"/>
      <c r="BH1329" s="160"/>
      <c r="BI1329" s="160"/>
      <c r="BJ1329" s="160"/>
      <c r="BK1329" s="160"/>
      <c r="BL1329" s="160"/>
      <c r="BM1329" s="160"/>
      <c r="BN1329" s="160"/>
      <c r="BO1329" s="160"/>
      <c r="BP1329" s="160"/>
      <c r="BQ1329" s="160"/>
      <c r="BR1329" s="160"/>
      <c r="BS1329" s="160"/>
      <c r="BT1329" s="160"/>
      <c r="BU1329" s="160"/>
      <c r="BV1329" s="160"/>
      <c r="BW1329" s="160"/>
      <c r="BX1329" s="160"/>
      <c r="BY1329" s="160"/>
      <c r="BZ1329" s="160"/>
      <c r="CA1329" s="160"/>
      <c r="CB1329" s="160"/>
      <c r="CC1329" s="160"/>
      <c r="CD1329" s="160"/>
      <c r="CE1329" s="160"/>
      <c r="CF1329" s="160"/>
      <c r="CG1329" s="160"/>
      <c r="CH1329" s="160"/>
      <c r="CI1329" s="160"/>
      <c r="CJ1329" s="160"/>
      <c r="CK1329" s="160"/>
      <c r="CL1329" s="160"/>
    </row>
    <row r="1330">
      <c r="A1330" s="171"/>
      <c r="F1330" s="11"/>
      <c r="G1330" s="11"/>
      <c r="L1330" s="171"/>
      <c r="M1330" s="171"/>
      <c r="O1330" s="160"/>
      <c r="P1330" s="160"/>
      <c r="Q1330" s="160"/>
      <c r="R1330" s="160"/>
      <c r="S1330" s="160"/>
      <c r="T1330" s="207"/>
      <c r="U1330" s="160"/>
      <c r="V1330" s="160"/>
      <c r="W1330" s="160"/>
      <c r="X1330" s="160"/>
      <c r="Y1330" s="160"/>
      <c r="Z1330" s="160"/>
      <c r="AA1330" s="160"/>
      <c r="AB1330" s="160"/>
      <c r="AC1330" s="160"/>
      <c r="AD1330" s="160"/>
      <c r="AE1330" s="160"/>
      <c r="AF1330" s="160"/>
      <c r="AG1330" s="160"/>
      <c r="AH1330" s="160"/>
      <c r="AI1330" s="160"/>
      <c r="AJ1330" s="160"/>
      <c r="AK1330" s="160"/>
      <c r="AL1330" s="160"/>
      <c r="AM1330" s="160"/>
      <c r="AN1330" s="164"/>
      <c r="AO1330" s="160"/>
      <c r="AP1330" s="160"/>
      <c r="AQ1330" s="160"/>
      <c r="AR1330" s="160"/>
      <c r="AS1330" s="160"/>
      <c r="AT1330" s="160"/>
      <c r="AU1330" s="160"/>
      <c r="AV1330" s="160"/>
      <c r="AW1330" s="160"/>
      <c r="AX1330" s="160"/>
      <c r="AY1330" s="160"/>
      <c r="AZ1330" s="160"/>
      <c r="BA1330" s="160"/>
      <c r="BB1330" s="160"/>
      <c r="BC1330" s="160"/>
      <c r="BD1330" s="160"/>
      <c r="BE1330" s="160"/>
      <c r="BF1330" s="160"/>
      <c r="BG1330" s="160"/>
      <c r="BH1330" s="160"/>
      <c r="BI1330" s="160"/>
      <c r="BJ1330" s="160"/>
      <c r="BK1330" s="160"/>
      <c r="BL1330" s="160"/>
      <c r="BM1330" s="160"/>
      <c r="BN1330" s="160"/>
      <c r="BO1330" s="160"/>
      <c r="BP1330" s="160"/>
      <c r="BQ1330" s="160"/>
      <c r="BR1330" s="160"/>
      <c r="BS1330" s="160"/>
      <c r="BT1330" s="160"/>
      <c r="BU1330" s="160"/>
      <c r="BV1330" s="160"/>
      <c r="BW1330" s="160"/>
      <c r="BX1330" s="160"/>
      <c r="BY1330" s="160"/>
      <c r="BZ1330" s="160"/>
      <c r="CA1330" s="160"/>
      <c r="CB1330" s="160"/>
      <c r="CC1330" s="160"/>
      <c r="CD1330" s="160"/>
      <c r="CE1330" s="160"/>
      <c r="CF1330" s="160"/>
      <c r="CG1330" s="160"/>
      <c r="CH1330" s="160"/>
      <c r="CI1330" s="160"/>
      <c r="CJ1330" s="160"/>
      <c r="CK1330" s="160"/>
      <c r="CL1330" s="160"/>
    </row>
    <row r="1331">
      <c r="A1331" s="171"/>
      <c r="F1331" s="11"/>
      <c r="G1331" s="11"/>
      <c r="L1331" s="171"/>
      <c r="M1331" s="171"/>
      <c r="O1331" s="160"/>
      <c r="P1331" s="160"/>
      <c r="Q1331" s="160"/>
      <c r="R1331" s="160"/>
      <c r="S1331" s="160"/>
      <c r="T1331" s="207"/>
      <c r="U1331" s="160"/>
      <c r="V1331" s="160"/>
      <c r="W1331" s="160"/>
      <c r="X1331" s="160"/>
      <c r="Y1331" s="160"/>
      <c r="Z1331" s="160"/>
      <c r="AA1331" s="160"/>
      <c r="AB1331" s="160"/>
      <c r="AC1331" s="160"/>
      <c r="AD1331" s="160"/>
      <c r="AE1331" s="160"/>
      <c r="AF1331" s="160"/>
      <c r="AG1331" s="160"/>
      <c r="AH1331" s="160"/>
      <c r="AI1331" s="160"/>
      <c r="AJ1331" s="160"/>
      <c r="AK1331" s="160"/>
      <c r="AL1331" s="160"/>
      <c r="AM1331" s="160"/>
      <c r="AN1331" s="164"/>
      <c r="AO1331" s="160"/>
      <c r="AP1331" s="160"/>
      <c r="AQ1331" s="160"/>
      <c r="AR1331" s="160"/>
      <c r="AS1331" s="160"/>
      <c r="AT1331" s="160"/>
      <c r="AU1331" s="160"/>
      <c r="AV1331" s="160"/>
      <c r="AW1331" s="160"/>
      <c r="AX1331" s="160"/>
      <c r="AY1331" s="160"/>
      <c r="AZ1331" s="160"/>
      <c r="BA1331" s="160"/>
      <c r="BB1331" s="160"/>
      <c r="BC1331" s="160"/>
      <c r="BD1331" s="160"/>
      <c r="BE1331" s="160"/>
      <c r="BF1331" s="160"/>
      <c r="BG1331" s="160"/>
      <c r="BH1331" s="160"/>
      <c r="BI1331" s="160"/>
      <c r="BJ1331" s="160"/>
      <c r="BK1331" s="160"/>
      <c r="BL1331" s="160"/>
      <c r="BM1331" s="160"/>
      <c r="BN1331" s="160"/>
      <c r="BO1331" s="160"/>
      <c r="BP1331" s="160"/>
      <c r="BQ1331" s="160"/>
      <c r="BR1331" s="160"/>
      <c r="BS1331" s="160"/>
      <c r="BT1331" s="160"/>
      <c r="BU1331" s="160"/>
      <c r="BV1331" s="160"/>
      <c r="BW1331" s="160"/>
      <c r="BX1331" s="160"/>
      <c r="BY1331" s="160"/>
      <c r="BZ1331" s="160"/>
      <c r="CA1331" s="160"/>
      <c r="CB1331" s="160"/>
      <c r="CC1331" s="160"/>
      <c r="CD1331" s="160"/>
      <c r="CE1331" s="160"/>
      <c r="CF1331" s="160"/>
      <c r="CG1331" s="160"/>
      <c r="CH1331" s="160"/>
      <c r="CI1331" s="160"/>
      <c r="CJ1331" s="160"/>
      <c r="CK1331" s="160"/>
      <c r="CL1331" s="160"/>
    </row>
    <row r="1332">
      <c r="A1332" s="171"/>
      <c r="F1332" s="11"/>
      <c r="G1332" s="11"/>
      <c r="L1332" s="171"/>
      <c r="M1332" s="171"/>
      <c r="O1332" s="160"/>
      <c r="P1332" s="160"/>
      <c r="Q1332" s="160"/>
      <c r="R1332" s="160"/>
      <c r="S1332" s="160"/>
      <c r="T1332" s="207"/>
      <c r="U1332" s="160"/>
      <c r="V1332" s="160"/>
      <c r="W1332" s="160"/>
      <c r="X1332" s="160"/>
      <c r="Y1332" s="160"/>
      <c r="Z1332" s="160"/>
      <c r="AA1332" s="160"/>
      <c r="AB1332" s="160"/>
      <c r="AC1332" s="160"/>
      <c r="AD1332" s="160"/>
      <c r="AE1332" s="160"/>
      <c r="AF1332" s="160"/>
      <c r="AG1332" s="160"/>
      <c r="AH1332" s="160"/>
      <c r="AI1332" s="160"/>
      <c r="AJ1332" s="160"/>
      <c r="AK1332" s="160"/>
      <c r="AL1332" s="160"/>
      <c r="AM1332" s="160"/>
      <c r="AN1332" s="164"/>
      <c r="AO1332" s="160"/>
      <c r="AP1332" s="160"/>
      <c r="AQ1332" s="160"/>
      <c r="AR1332" s="160"/>
      <c r="AS1332" s="160"/>
      <c r="AT1332" s="160"/>
      <c r="AU1332" s="160"/>
      <c r="AV1332" s="160"/>
      <c r="AW1332" s="160"/>
      <c r="AX1332" s="160"/>
      <c r="AY1332" s="160"/>
      <c r="AZ1332" s="160"/>
      <c r="BA1332" s="160"/>
      <c r="BB1332" s="160"/>
      <c r="BC1332" s="160"/>
      <c r="BD1332" s="160"/>
      <c r="BE1332" s="160"/>
      <c r="BF1332" s="160"/>
      <c r="BG1332" s="160"/>
      <c r="BH1332" s="160"/>
      <c r="BI1332" s="160"/>
      <c r="BJ1332" s="160"/>
      <c r="BK1332" s="160"/>
      <c r="BL1332" s="160"/>
      <c r="BM1332" s="160"/>
      <c r="BN1332" s="160"/>
      <c r="BO1332" s="160"/>
      <c r="BP1332" s="160"/>
      <c r="BQ1332" s="160"/>
      <c r="BR1332" s="160"/>
      <c r="BS1332" s="160"/>
      <c r="BT1332" s="160"/>
      <c r="BU1332" s="160"/>
      <c r="BV1332" s="160"/>
      <c r="BW1332" s="160"/>
      <c r="BX1332" s="160"/>
      <c r="BY1332" s="160"/>
      <c r="BZ1332" s="160"/>
      <c r="CA1332" s="160"/>
      <c r="CB1332" s="160"/>
      <c r="CC1332" s="160"/>
      <c r="CD1332" s="160"/>
      <c r="CE1332" s="160"/>
      <c r="CF1332" s="160"/>
      <c r="CG1332" s="160"/>
      <c r="CH1332" s="160"/>
      <c r="CI1332" s="160"/>
      <c r="CJ1332" s="160"/>
      <c r="CK1332" s="160"/>
      <c r="CL1332" s="160"/>
    </row>
    <row r="1333">
      <c r="A1333" s="171"/>
      <c r="F1333" s="11"/>
      <c r="G1333" s="11"/>
      <c r="L1333" s="171"/>
      <c r="M1333" s="171"/>
      <c r="O1333" s="160"/>
      <c r="P1333" s="160"/>
      <c r="Q1333" s="160"/>
      <c r="R1333" s="160"/>
      <c r="S1333" s="160"/>
      <c r="T1333" s="207"/>
      <c r="U1333" s="160"/>
      <c r="V1333" s="160"/>
      <c r="W1333" s="160"/>
      <c r="X1333" s="160"/>
      <c r="Y1333" s="160"/>
      <c r="Z1333" s="160"/>
      <c r="AA1333" s="160"/>
      <c r="AB1333" s="160"/>
      <c r="AC1333" s="160"/>
      <c r="AD1333" s="160"/>
      <c r="AE1333" s="160"/>
      <c r="AF1333" s="160"/>
      <c r="AG1333" s="160"/>
      <c r="AH1333" s="160"/>
      <c r="AI1333" s="160"/>
      <c r="AJ1333" s="160"/>
      <c r="AK1333" s="160"/>
      <c r="AL1333" s="160"/>
      <c r="AM1333" s="160"/>
      <c r="AN1333" s="164"/>
      <c r="AO1333" s="160"/>
      <c r="AP1333" s="160"/>
      <c r="AQ1333" s="160"/>
      <c r="AR1333" s="160"/>
      <c r="AS1333" s="160"/>
      <c r="AT1333" s="160"/>
      <c r="AU1333" s="160"/>
      <c r="AV1333" s="160"/>
      <c r="AW1333" s="160"/>
      <c r="AX1333" s="160"/>
      <c r="AY1333" s="160"/>
      <c r="AZ1333" s="160"/>
      <c r="BA1333" s="160"/>
      <c r="BB1333" s="160"/>
      <c r="BC1333" s="160"/>
      <c r="BD1333" s="160"/>
      <c r="BE1333" s="160"/>
      <c r="BF1333" s="160"/>
      <c r="BG1333" s="160"/>
      <c r="BH1333" s="160"/>
      <c r="BI1333" s="160"/>
      <c r="BJ1333" s="160"/>
      <c r="BK1333" s="160"/>
      <c r="BL1333" s="160"/>
      <c r="BM1333" s="160"/>
      <c r="BN1333" s="160"/>
      <c r="BO1333" s="160"/>
      <c r="BP1333" s="160"/>
      <c r="BQ1333" s="160"/>
      <c r="BR1333" s="160"/>
      <c r="BS1333" s="160"/>
      <c r="BT1333" s="160"/>
      <c r="BU1333" s="160"/>
      <c r="BV1333" s="160"/>
      <c r="BW1333" s="160"/>
      <c r="BX1333" s="160"/>
      <c r="BY1333" s="160"/>
      <c r="BZ1333" s="160"/>
      <c r="CA1333" s="160"/>
      <c r="CB1333" s="160"/>
      <c r="CC1333" s="160"/>
      <c r="CD1333" s="160"/>
      <c r="CE1333" s="160"/>
      <c r="CF1333" s="160"/>
      <c r="CG1333" s="160"/>
      <c r="CH1333" s="160"/>
      <c r="CI1333" s="160"/>
      <c r="CJ1333" s="160"/>
      <c r="CK1333" s="160"/>
      <c r="CL1333" s="160"/>
    </row>
    <row r="1334">
      <c r="A1334" s="171"/>
      <c r="F1334" s="11"/>
      <c r="G1334" s="11"/>
      <c r="L1334" s="171"/>
      <c r="M1334" s="171"/>
      <c r="O1334" s="160"/>
      <c r="P1334" s="160"/>
      <c r="Q1334" s="160"/>
      <c r="R1334" s="160"/>
      <c r="S1334" s="160"/>
      <c r="T1334" s="207"/>
      <c r="U1334" s="160"/>
      <c r="V1334" s="160"/>
      <c r="W1334" s="160"/>
      <c r="X1334" s="160"/>
      <c r="Y1334" s="160"/>
      <c r="Z1334" s="160"/>
      <c r="AA1334" s="160"/>
      <c r="AB1334" s="160"/>
      <c r="AC1334" s="160"/>
      <c r="AD1334" s="160"/>
      <c r="AE1334" s="160"/>
      <c r="AF1334" s="160"/>
      <c r="AG1334" s="160"/>
      <c r="AH1334" s="160"/>
      <c r="AI1334" s="160"/>
      <c r="AJ1334" s="160"/>
      <c r="AK1334" s="160"/>
      <c r="AL1334" s="160"/>
      <c r="AM1334" s="160"/>
      <c r="AN1334" s="164"/>
      <c r="AO1334" s="160"/>
      <c r="AP1334" s="160"/>
      <c r="AQ1334" s="160"/>
      <c r="AR1334" s="160"/>
      <c r="AS1334" s="160"/>
      <c r="AT1334" s="160"/>
      <c r="AU1334" s="160"/>
      <c r="AV1334" s="160"/>
      <c r="AW1334" s="160"/>
      <c r="AX1334" s="160"/>
      <c r="AY1334" s="160"/>
      <c r="AZ1334" s="160"/>
      <c r="BA1334" s="160"/>
      <c r="BB1334" s="160"/>
      <c r="BC1334" s="160"/>
      <c r="BD1334" s="160"/>
      <c r="BE1334" s="160"/>
      <c r="BF1334" s="160"/>
      <c r="BG1334" s="160"/>
      <c r="BH1334" s="160"/>
      <c r="BI1334" s="160"/>
      <c r="BJ1334" s="160"/>
      <c r="BK1334" s="160"/>
      <c r="BL1334" s="160"/>
      <c r="BM1334" s="160"/>
      <c r="BN1334" s="160"/>
      <c r="BO1334" s="160"/>
      <c r="BP1334" s="160"/>
      <c r="BQ1334" s="160"/>
      <c r="BR1334" s="160"/>
      <c r="BS1334" s="160"/>
      <c r="BT1334" s="160"/>
      <c r="BU1334" s="160"/>
      <c r="BV1334" s="160"/>
      <c r="BW1334" s="160"/>
      <c r="BX1334" s="160"/>
      <c r="BY1334" s="160"/>
      <c r="BZ1334" s="160"/>
      <c r="CA1334" s="160"/>
      <c r="CB1334" s="160"/>
      <c r="CC1334" s="160"/>
      <c r="CD1334" s="160"/>
      <c r="CE1334" s="160"/>
      <c r="CF1334" s="160"/>
      <c r="CG1334" s="160"/>
      <c r="CH1334" s="160"/>
      <c r="CI1334" s="160"/>
      <c r="CJ1334" s="160"/>
      <c r="CK1334" s="160"/>
      <c r="CL1334" s="160"/>
    </row>
    <row r="1335">
      <c r="A1335" s="171"/>
      <c r="F1335" s="11"/>
      <c r="G1335" s="11"/>
      <c r="L1335" s="171"/>
      <c r="M1335" s="171"/>
      <c r="O1335" s="160"/>
      <c r="P1335" s="160"/>
      <c r="Q1335" s="160"/>
      <c r="R1335" s="160"/>
      <c r="S1335" s="160"/>
      <c r="T1335" s="207"/>
      <c r="U1335" s="160"/>
      <c r="V1335" s="160"/>
      <c r="W1335" s="160"/>
      <c r="X1335" s="160"/>
      <c r="Y1335" s="160"/>
      <c r="Z1335" s="160"/>
      <c r="AA1335" s="160"/>
      <c r="AB1335" s="160"/>
      <c r="AC1335" s="160"/>
      <c r="AD1335" s="160"/>
      <c r="AE1335" s="160"/>
      <c r="AF1335" s="160"/>
      <c r="AG1335" s="160"/>
      <c r="AH1335" s="160"/>
      <c r="AI1335" s="160"/>
      <c r="AJ1335" s="160"/>
      <c r="AK1335" s="160"/>
      <c r="AL1335" s="160"/>
      <c r="AM1335" s="160"/>
      <c r="AN1335" s="164"/>
      <c r="AO1335" s="160"/>
      <c r="AP1335" s="160"/>
      <c r="AQ1335" s="160"/>
      <c r="AR1335" s="160"/>
      <c r="AS1335" s="160"/>
      <c r="AT1335" s="160"/>
      <c r="AU1335" s="160"/>
      <c r="AV1335" s="160"/>
      <c r="AW1335" s="160"/>
      <c r="AX1335" s="160"/>
      <c r="AY1335" s="160"/>
      <c r="AZ1335" s="160"/>
      <c r="BA1335" s="160"/>
      <c r="BB1335" s="160"/>
      <c r="BC1335" s="160"/>
      <c r="BD1335" s="160"/>
      <c r="BE1335" s="160"/>
      <c r="BF1335" s="160"/>
      <c r="BG1335" s="160"/>
      <c r="BH1335" s="160"/>
      <c r="BI1335" s="160"/>
      <c r="BJ1335" s="160"/>
      <c r="BK1335" s="160"/>
      <c r="BL1335" s="160"/>
      <c r="BM1335" s="160"/>
      <c r="BN1335" s="160"/>
      <c r="BO1335" s="160"/>
      <c r="BP1335" s="160"/>
      <c r="BQ1335" s="160"/>
      <c r="BR1335" s="160"/>
      <c r="BS1335" s="160"/>
      <c r="BT1335" s="160"/>
      <c r="BU1335" s="160"/>
      <c r="BV1335" s="160"/>
      <c r="BW1335" s="160"/>
      <c r="BX1335" s="160"/>
      <c r="BY1335" s="160"/>
      <c r="BZ1335" s="160"/>
      <c r="CA1335" s="160"/>
      <c r="CB1335" s="160"/>
      <c r="CC1335" s="160"/>
      <c r="CD1335" s="160"/>
      <c r="CE1335" s="160"/>
      <c r="CF1335" s="160"/>
      <c r="CG1335" s="160"/>
      <c r="CH1335" s="160"/>
      <c r="CI1335" s="160"/>
      <c r="CJ1335" s="160"/>
      <c r="CK1335" s="160"/>
      <c r="CL1335" s="160"/>
    </row>
    <row r="1336">
      <c r="A1336" s="171"/>
      <c r="F1336" s="11"/>
      <c r="G1336" s="11"/>
      <c r="L1336" s="171"/>
      <c r="M1336" s="171"/>
      <c r="O1336" s="160"/>
      <c r="P1336" s="160"/>
      <c r="Q1336" s="160"/>
      <c r="R1336" s="160"/>
      <c r="S1336" s="160"/>
      <c r="T1336" s="207"/>
      <c r="U1336" s="160"/>
      <c r="V1336" s="160"/>
      <c r="W1336" s="160"/>
      <c r="X1336" s="160"/>
      <c r="Y1336" s="160"/>
      <c r="Z1336" s="160"/>
      <c r="AA1336" s="160"/>
      <c r="AB1336" s="160"/>
      <c r="AC1336" s="160"/>
      <c r="AD1336" s="160"/>
      <c r="AE1336" s="160"/>
      <c r="AF1336" s="160"/>
      <c r="AG1336" s="160"/>
      <c r="AH1336" s="160"/>
      <c r="AI1336" s="160"/>
      <c r="AJ1336" s="160"/>
      <c r="AK1336" s="160"/>
      <c r="AL1336" s="160"/>
      <c r="AM1336" s="160"/>
      <c r="AN1336" s="164"/>
      <c r="AO1336" s="160"/>
      <c r="AP1336" s="160"/>
      <c r="AQ1336" s="160"/>
      <c r="AR1336" s="160"/>
      <c r="AS1336" s="160"/>
      <c r="AT1336" s="160"/>
      <c r="AU1336" s="160"/>
      <c r="AV1336" s="160"/>
      <c r="AW1336" s="160"/>
      <c r="AX1336" s="160"/>
      <c r="AY1336" s="160"/>
      <c r="AZ1336" s="160"/>
      <c r="BA1336" s="160"/>
      <c r="BB1336" s="160"/>
      <c r="BC1336" s="160"/>
      <c r="BD1336" s="160"/>
      <c r="BE1336" s="160"/>
      <c r="BF1336" s="160"/>
      <c r="BG1336" s="160"/>
      <c r="BH1336" s="160"/>
      <c r="BI1336" s="160"/>
      <c r="BJ1336" s="160"/>
      <c r="BK1336" s="160"/>
      <c r="BL1336" s="160"/>
      <c r="BM1336" s="160"/>
      <c r="BN1336" s="160"/>
      <c r="BO1336" s="160"/>
      <c r="BP1336" s="160"/>
      <c r="BQ1336" s="160"/>
      <c r="BR1336" s="160"/>
      <c r="BS1336" s="160"/>
      <c r="BT1336" s="160"/>
      <c r="BU1336" s="160"/>
      <c r="BV1336" s="160"/>
      <c r="BW1336" s="160"/>
      <c r="BX1336" s="160"/>
      <c r="BY1336" s="160"/>
      <c r="BZ1336" s="160"/>
      <c r="CA1336" s="160"/>
      <c r="CB1336" s="160"/>
      <c r="CC1336" s="160"/>
      <c r="CD1336" s="160"/>
      <c r="CE1336" s="160"/>
      <c r="CF1336" s="160"/>
      <c r="CG1336" s="160"/>
      <c r="CH1336" s="160"/>
      <c r="CI1336" s="160"/>
      <c r="CJ1336" s="160"/>
      <c r="CK1336" s="160"/>
      <c r="CL1336" s="160"/>
    </row>
    <row r="1337">
      <c r="A1337" s="171"/>
      <c r="F1337" s="11"/>
      <c r="G1337" s="11"/>
      <c r="L1337" s="171"/>
      <c r="M1337" s="171"/>
      <c r="O1337" s="160"/>
      <c r="P1337" s="160"/>
      <c r="Q1337" s="160"/>
      <c r="R1337" s="160"/>
      <c r="S1337" s="160"/>
      <c r="T1337" s="207"/>
      <c r="U1337" s="160"/>
      <c r="V1337" s="160"/>
      <c r="W1337" s="160"/>
      <c r="X1337" s="160"/>
      <c r="Y1337" s="160"/>
      <c r="Z1337" s="160"/>
      <c r="AA1337" s="160"/>
      <c r="AB1337" s="160"/>
      <c r="AC1337" s="160"/>
      <c r="AD1337" s="160"/>
      <c r="AE1337" s="160"/>
      <c r="AF1337" s="160"/>
      <c r="AG1337" s="160"/>
      <c r="AH1337" s="160"/>
      <c r="AI1337" s="160"/>
      <c r="AJ1337" s="160"/>
      <c r="AK1337" s="160"/>
      <c r="AL1337" s="160"/>
      <c r="AM1337" s="160"/>
      <c r="AN1337" s="164"/>
      <c r="AO1337" s="160"/>
      <c r="AP1337" s="160"/>
      <c r="AQ1337" s="160"/>
      <c r="AR1337" s="160"/>
      <c r="AS1337" s="160"/>
      <c r="AT1337" s="160"/>
      <c r="AU1337" s="160"/>
      <c r="AV1337" s="160"/>
      <c r="AW1337" s="160"/>
      <c r="AX1337" s="160"/>
      <c r="AY1337" s="160"/>
      <c r="AZ1337" s="160"/>
      <c r="BA1337" s="160"/>
      <c r="BB1337" s="160"/>
      <c r="BC1337" s="160"/>
      <c r="BD1337" s="160"/>
      <c r="BE1337" s="160"/>
      <c r="BF1337" s="160"/>
      <c r="BG1337" s="160"/>
      <c r="BH1337" s="160"/>
      <c r="BI1337" s="160"/>
      <c r="BJ1337" s="160"/>
      <c r="BK1337" s="160"/>
      <c r="BL1337" s="160"/>
      <c r="BM1337" s="160"/>
      <c r="BN1337" s="160"/>
      <c r="BO1337" s="160"/>
      <c r="BP1337" s="160"/>
      <c r="BQ1337" s="160"/>
      <c r="BR1337" s="160"/>
      <c r="BS1337" s="160"/>
      <c r="BT1337" s="160"/>
      <c r="BU1337" s="160"/>
      <c r="BV1337" s="160"/>
      <c r="BW1337" s="160"/>
      <c r="BX1337" s="160"/>
      <c r="BY1337" s="160"/>
      <c r="BZ1337" s="160"/>
      <c r="CA1337" s="160"/>
      <c r="CB1337" s="160"/>
      <c r="CC1337" s="160"/>
      <c r="CD1337" s="160"/>
      <c r="CE1337" s="160"/>
      <c r="CF1337" s="160"/>
      <c r="CG1337" s="160"/>
      <c r="CH1337" s="160"/>
      <c r="CI1337" s="160"/>
      <c r="CJ1337" s="160"/>
      <c r="CK1337" s="160"/>
      <c r="CL1337" s="160"/>
    </row>
    <row r="1338">
      <c r="A1338" s="171"/>
      <c r="F1338" s="11"/>
      <c r="G1338" s="11"/>
      <c r="L1338" s="171"/>
      <c r="M1338" s="171"/>
      <c r="O1338" s="160"/>
      <c r="P1338" s="160"/>
      <c r="Q1338" s="160"/>
      <c r="R1338" s="160"/>
      <c r="S1338" s="160"/>
      <c r="T1338" s="207"/>
      <c r="U1338" s="160"/>
      <c r="V1338" s="160"/>
      <c r="W1338" s="160"/>
      <c r="X1338" s="160"/>
      <c r="Y1338" s="160"/>
      <c r="Z1338" s="160"/>
      <c r="AA1338" s="160"/>
      <c r="AB1338" s="160"/>
      <c r="AC1338" s="160"/>
      <c r="AD1338" s="160"/>
      <c r="AE1338" s="160"/>
      <c r="AF1338" s="160"/>
      <c r="AG1338" s="160"/>
      <c r="AH1338" s="160"/>
      <c r="AI1338" s="160"/>
      <c r="AJ1338" s="160"/>
      <c r="AK1338" s="160"/>
      <c r="AL1338" s="160"/>
      <c r="AM1338" s="160"/>
      <c r="AN1338" s="164"/>
      <c r="AO1338" s="160"/>
      <c r="AP1338" s="160"/>
      <c r="AQ1338" s="160"/>
      <c r="AR1338" s="160"/>
      <c r="AS1338" s="160"/>
      <c r="AT1338" s="160"/>
      <c r="AU1338" s="160"/>
      <c r="AV1338" s="160"/>
      <c r="AW1338" s="160"/>
      <c r="AX1338" s="160"/>
      <c r="AY1338" s="160"/>
      <c r="AZ1338" s="160"/>
      <c r="BA1338" s="160"/>
      <c r="BB1338" s="160"/>
      <c r="BC1338" s="160"/>
      <c r="BD1338" s="160"/>
      <c r="BE1338" s="160"/>
      <c r="BF1338" s="160"/>
      <c r="BG1338" s="160"/>
      <c r="BH1338" s="160"/>
      <c r="BI1338" s="160"/>
      <c r="BJ1338" s="160"/>
      <c r="BK1338" s="160"/>
      <c r="BL1338" s="160"/>
      <c r="BM1338" s="160"/>
      <c r="BN1338" s="160"/>
      <c r="BO1338" s="160"/>
      <c r="BP1338" s="160"/>
      <c r="BQ1338" s="160"/>
      <c r="BR1338" s="160"/>
      <c r="BS1338" s="160"/>
      <c r="BT1338" s="160"/>
      <c r="BU1338" s="160"/>
      <c r="BV1338" s="160"/>
      <c r="BW1338" s="160"/>
      <c r="BX1338" s="160"/>
      <c r="BY1338" s="160"/>
      <c r="BZ1338" s="160"/>
      <c r="CA1338" s="160"/>
      <c r="CB1338" s="160"/>
      <c r="CC1338" s="160"/>
      <c r="CD1338" s="160"/>
      <c r="CE1338" s="160"/>
      <c r="CF1338" s="160"/>
      <c r="CG1338" s="160"/>
      <c r="CH1338" s="160"/>
      <c r="CI1338" s="160"/>
      <c r="CJ1338" s="160"/>
      <c r="CK1338" s="160"/>
      <c r="CL1338" s="160"/>
    </row>
    <row r="1339">
      <c r="A1339" s="171"/>
      <c r="F1339" s="11"/>
      <c r="G1339" s="11"/>
      <c r="L1339" s="171"/>
      <c r="M1339" s="171"/>
      <c r="O1339" s="160"/>
      <c r="P1339" s="160"/>
      <c r="Q1339" s="160"/>
      <c r="R1339" s="160"/>
      <c r="S1339" s="160"/>
      <c r="T1339" s="207"/>
      <c r="U1339" s="160"/>
      <c r="V1339" s="160"/>
      <c r="W1339" s="160"/>
      <c r="X1339" s="160"/>
      <c r="Y1339" s="160"/>
      <c r="Z1339" s="160"/>
      <c r="AA1339" s="160"/>
      <c r="AB1339" s="160"/>
      <c r="AC1339" s="160"/>
      <c r="AD1339" s="160"/>
      <c r="AE1339" s="160"/>
      <c r="AF1339" s="160"/>
      <c r="AG1339" s="160"/>
      <c r="AH1339" s="160"/>
      <c r="AI1339" s="160"/>
      <c r="AJ1339" s="160"/>
      <c r="AK1339" s="160"/>
      <c r="AL1339" s="160"/>
      <c r="AM1339" s="160"/>
      <c r="AN1339" s="164"/>
      <c r="AO1339" s="160"/>
      <c r="AP1339" s="160"/>
      <c r="AQ1339" s="160"/>
      <c r="AR1339" s="160"/>
      <c r="AS1339" s="160"/>
      <c r="AT1339" s="160"/>
      <c r="AU1339" s="160"/>
      <c r="AV1339" s="160"/>
      <c r="AW1339" s="160"/>
      <c r="AX1339" s="160"/>
      <c r="AY1339" s="160"/>
      <c r="AZ1339" s="160"/>
      <c r="BA1339" s="160"/>
      <c r="BB1339" s="160"/>
      <c r="BC1339" s="160"/>
      <c r="BD1339" s="160"/>
      <c r="BE1339" s="160"/>
      <c r="BF1339" s="160"/>
      <c r="BG1339" s="160"/>
      <c r="BH1339" s="160"/>
      <c r="BI1339" s="160"/>
      <c r="BJ1339" s="160"/>
      <c r="BK1339" s="160"/>
      <c r="BL1339" s="160"/>
      <c r="BM1339" s="160"/>
      <c r="BN1339" s="160"/>
      <c r="BO1339" s="160"/>
      <c r="BP1339" s="160"/>
      <c r="BQ1339" s="160"/>
      <c r="BR1339" s="160"/>
      <c r="BS1339" s="160"/>
      <c r="BT1339" s="160"/>
      <c r="BU1339" s="160"/>
      <c r="BV1339" s="160"/>
      <c r="BW1339" s="160"/>
      <c r="BX1339" s="160"/>
      <c r="BY1339" s="160"/>
      <c r="BZ1339" s="160"/>
      <c r="CA1339" s="160"/>
      <c r="CB1339" s="160"/>
      <c r="CC1339" s="160"/>
      <c r="CD1339" s="160"/>
      <c r="CE1339" s="160"/>
      <c r="CF1339" s="160"/>
      <c r="CG1339" s="160"/>
      <c r="CH1339" s="160"/>
      <c r="CI1339" s="160"/>
      <c r="CJ1339" s="160"/>
      <c r="CK1339" s="160"/>
      <c r="CL1339" s="160"/>
    </row>
    <row r="1340">
      <c r="A1340" s="171"/>
      <c r="F1340" s="11"/>
      <c r="G1340" s="11"/>
      <c r="L1340" s="171"/>
      <c r="M1340" s="171"/>
      <c r="O1340" s="160"/>
      <c r="P1340" s="160"/>
      <c r="Q1340" s="160"/>
      <c r="R1340" s="160"/>
      <c r="S1340" s="160"/>
      <c r="T1340" s="207"/>
      <c r="U1340" s="160"/>
      <c r="V1340" s="160"/>
      <c r="W1340" s="160"/>
      <c r="X1340" s="160"/>
      <c r="Y1340" s="160"/>
      <c r="Z1340" s="160"/>
      <c r="AA1340" s="160"/>
      <c r="AB1340" s="160"/>
      <c r="AC1340" s="160"/>
      <c r="AD1340" s="160"/>
      <c r="AE1340" s="160"/>
      <c r="AF1340" s="160"/>
      <c r="AG1340" s="160"/>
      <c r="AH1340" s="160"/>
      <c r="AI1340" s="160"/>
      <c r="AJ1340" s="160"/>
      <c r="AK1340" s="160"/>
      <c r="AL1340" s="160"/>
      <c r="AM1340" s="160"/>
      <c r="AN1340" s="164"/>
      <c r="AO1340" s="160"/>
      <c r="AP1340" s="160"/>
      <c r="AQ1340" s="160"/>
      <c r="AR1340" s="160"/>
      <c r="AS1340" s="160"/>
      <c r="AT1340" s="160"/>
      <c r="AU1340" s="160"/>
      <c r="AV1340" s="160"/>
      <c r="AW1340" s="160"/>
      <c r="AX1340" s="160"/>
      <c r="AY1340" s="160"/>
      <c r="AZ1340" s="160"/>
      <c r="BA1340" s="160"/>
      <c r="BB1340" s="160"/>
      <c r="BC1340" s="160"/>
      <c r="BD1340" s="160"/>
      <c r="BE1340" s="160"/>
      <c r="BF1340" s="160"/>
      <c r="BG1340" s="160"/>
      <c r="BH1340" s="160"/>
      <c r="BI1340" s="160"/>
      <c r="BJ1340" s="160"/>
      <c r="BK1340" s="160"/>
      <c r="BL1340" s="160"/>
      <c r="BM1340" s="160"/>
      <c r="BN1340" s="160"/>
      <c r="BO1340" s="160"/>
      <c r="BP1340" s="160"/>
      <c r="BQ1340" s="160"/>
      <c r="BR1340" s="160"/>
      <c r="BS1340" s="160"/>
      <c r="BT1340" s="160"/>
      <c r="BU1340" s="160"/>
      <c r="BV1340" s="160"/>
      <c r="BW1340" s="160"/>
      <c r="BX1340" s="160"/>
      <c r="BY1340" s="160"/>
      <c r="BZ1340" s="160"/>
      <c r="CA1340" s="160"/>
      <c r="CB1340" s="160"/>
      <c r="CC1340" s="160"/>
      <c r="CD1340" s="160"/>
      <c r="CE1340" s="160"/>
      <c r="CF1340" s="160"/>
      <c r="CG1340" s="160"/>
      <c r="CH1340" s="160"/>
      <c r="CI1340" s="160"/>
      <c r="CJ1340" s="160"/>
      <c r="CK1340" s="160"/>
      <c r="CL1340" s="160"/>
    </row>
    <row r="1341">
      <c r="A1341" s="171"/>
      <c r="F1341" s="11"/>
      <c r="G1341" s="11"/>
      <c r="L1341" s="171"/>
      <c r="M1341" s="171"/>
      <c r="O1341" s="160"/>
      <c r="P1341" s="160"/>
      <c r="Q1341" s="160"/>
      <c r="R1341" s="160"/>
      <c r="S1341" s="160"/>
      <c r="T1341" s="207"/>
      <c r="U1341" s="160"/>
      <c r="V1341" s="160"/>
      <c r="W1341" s="160"/>
      <c r="X1341" s="160"/>
      <c r="Y1341" s="160"/>
      <c r="Z1341" s="160"/>
      <c r="AA1341" s="160"/>
      <c r="AB1341" s="160"/>
      <c r="AC1341" s="160"/>
      <c r="AD1341" s="160"/>
      <c r="AE1341" s="160"/>
      <c r="AF1341" s="160"/>
      <c r="AG1341" s="160"/>
      <c r="AH1341" s="160"/>
      <c r="AI1341" s="160"/>
      <c r="AJ1341" s="160"/>
      <c r="AK1341" s="160"/>
      <c r="AL1341" s="160"/>
      <c r="AM1341" s="160"/>
      <c r="AN1341" s="164"/>
      <c r="AO1341" s="160"/>
      <c r="AP1341" s="160"/>
      <c r="AQ1341" s="160"/>
      <c r="AR1341" s="160"/>
      <c r="AS1341" s="160"/>
      <c r="AT1341" s="160"/>
      <c r="AU1341" s="160"/>
      <c r="AV1341" s="160"/>
      <c r="AW1341" s="160"/>
      <c r="AX1341" s="160"/>
      <c r="AY1341" s="160"/>
      <c r="AZ1341" s="160"/>
      <c r="BA1341" s="160"/>
      <c r="BB1341" s="160"/>
      <c r="BC1341" s="160"/>
      <c r="BD1341" s="160"/>
      <c r="BE1341" s="160"/>
      <c r="BF1341" s="160"/>
      <c r="BG1341" s="160"/>
      <c r="BH1341" s="160"/>
      <c r="BI1341" s="160"/>
      <c r="BJ1341" s="160"/>
      <c r="BK1341" s="160"/>
      <c r="BL1341" s="160"/>
      <c r="BM1341" s="160"/>
      <c r="BN1341" s="160"/>
      <c r="BO1341" s="160"/>
      <c r="BP1341" s="160"/>
      <c r="BQ1341" s="160"/>
      <c r="BR1341" s="160"/>
      <c r="BS1341" s="160"/>
      <c r="BT1341" s="160"/>
      <c r="BU1341" s="160"/>
      <c r="BV1341" s="160"/>
      <c r="BW1341" s="160"/>
      <c r="BX1341" s="160"/>
      <c r="BY1341" s="160"/>
      <c r="BZ1341" s="160"/>
      <c r="CA1341" s="160"/>
      <c r="CB1341" s="160"/>
      <c r="CC1341" s="160"/>
      <c r="CD1341" s="160"/>
      <c r="CE1341" s="160"/>
      <c r="CF1341" s="160"/>
      <c r="CG1341" s="160"/>
      <c r="CH1341" s="160"/>
      <c r="CI1341" s="160"/>
      <c r="CJ1341" s="160"/>
      <c r="CK1341" s="160"/>
      <c r="CL1341" s="160"/>
    </row>
    <row r="1342">
      <c r="A1342" s="171"/>
      <c r="F1342" s="11"/>
      <c r="G1342" s="11"/>
      <c r="L1342" s="171"/>
      <c r="M1342" s="171"/>
      <c r="O1342" s="160"/>
      <c r="P1342" s="160"/>
      <c r="Q1342" s="160"/>
      <c r="R1342" s="160"/>
      <c r="S1342" s="160"/>
      <c r="T1342" s="207"/>
      <c r="U1342" s="160"/>
      <c r="V1342" s="160"/>
      <c r="W1342" s="160"/>
      <c r="X1342" s="160"/>
      <c r="Y1342" s="160"/>
      <c r="Z1342" s="160"/>
      <c r="AA1342" s="160"/>
      <c r="AB1342" s="160"/>
      <c r="AC1342" s="160"/>
      <c r="AD1342" s="160"/>
      <c r="AE1342" s="160"/>
      <c r="AF1342" s="160"/>
      <c r="AG1342" s="160"/>
      <c r="AH1342" s="160"/>
      <c r="AI1342" s="160"/>
      <c r="AJ1342" s="160"/>
      <c r="AK1342" s="160"/>
      <c r="AL1342" s="160"/>
      <c r="AM1342" s="160"/>
      <c r="AN1342" s="164"/>
      <c r="AO1342" s="160"/>
      <c r="AP1342" s="160"/>
      <c r="AQ1342" s="160"/>
      <c r="AR1342" s="160"/>
      <c r="AS1342" s="160"/>
      <c r="AT1342" s="160"/>
      <c r="AU1342" s="160"/>
      <c r="AV1342" s="160"/>
      <c r="AW1342" s="160"/>
      <c r="AX1342" s="160"/>
      <c r="AY1342" s="160"/>
      <c r="AZ1342" s="160"/>
      <c r="BA1342" s="160"/>
      <c r="BB1342" s="160"/>
      <c r="BC1342" s="160"/>
      <c r="BD1342" s="160"/>
      <c r="BE1342" s="160"/>
      <c r="BF1342" s="160"/>
      <c r="BG1342" s="160"/>
      <c r="BH1342" s="160"/>
      <c r="BI1342" s="160"/>
      <c r="BJ1342" s="160"/>
      <c r="BK1342" s="160"/>
      <c r="BL1342" s="160"/>
      <c r="BM1342" s="160"/>
      <c r="BN1342" s="160"/>
      <c r="BO1342" s="160"/>
      <c r="BP1342" s="160"/>
      <c r="BQ1342" s="160"/>
      <c r="BR1342" s="160"/>
      <c r="BS1342" s="160"/>
      <c r="BT1342" s="160"/>
      <c r="BU1342" s="160"/>
      <c r="BV1342" s="160"/>
      <c r="BW1342" s="160"/>
      <c r="BX1342" s="160"/>
      <c r="BY1342" s="160"/>
      <c r="BZ1342" s="160"/>
      <c r="CA1342" s="160"/>
      <c r="CB1342" s="160"/>
      <c r="CC1342" s="160"/>
      <c r="CD1342" s="160"/>
      <c r="CE1342" s="160"/>
      <c r="CF1342" s="160"/>
      <c r="CG1342" s="160"/>
      <c r="CH1342" s="160"/>
      <c r="CI1342" s="160"/>
      <c r="CJ1342" s="160"/>
      <c r="CK1342" s="160"/>
      <c r="CL1342" s="160"/>
    </row>
    <row r="1343">
      <c r="A1343" s="171"/>
      <c r="F1343" s="11"/>
      <c r="G1343" s="11"/>
      <c r="L1343" s="171"/>
      <c r="M1343" s="171"/>
      <c r="O1343" s="160"/>
      <c r="P1343" s="160"/>
      <c r="Q1343" s="160"/>
      <c r="R1343" s="160"/>
      <c r="S1343" s="160"/>
      <c r="T1343" s="207"/>
      <c r="U1343" s="160"/>
      <c r="V1343" s="160"/>
      <c r="W1343" s="160"/>
      <c r="X1343" s="160"/>
      <c r="Y1343" s="160"/>
      <c r="Z1343" s="160"/>
      <c r="AA1343" s="160"/>
      <c r="AB1343" s="160"/>
      <c r="AC1343" s="160"/>
      <c r="AD1343" s="160"/>
      <c r="AE1343" s="160"/>
      <c r="AF1343" s="160"/>
      <c r="AG1343" s="160"/>
      <c r="AH1343" s="160"/>
      <c r="AI1343" s="160"/>
      <c r="AJ1343" s="160"/>
      <c r="AK1343" s="160"/>
      <c r="AL1343" s="160"/>
      <c r="AM1343" s="160"/>
      <c r="AN1343" s="164"/>
      <c r="AO1343" s="160"/>
      <c r="AP1343" s="160"/>
      <c r="AQ1343" s="160"/>
      <c r="AR1343" s="160"/>
      <c r="AS1343" s="160"/>
      <c r="AT1343" s="160"/>
      <c r="AU1343" s="160"/>
      <c r="AV1343" s="160"/>
      <c r="AW1343" s="160"/>
      <c r="AX1343" s="160"/>
      <c r="AY1343" s="160"/>
      <c r="AZ1343" s="160"/>
      <c r="BA1343" s="160"/>
      <c r="BB1343" s="160"/>
      <c r="BC1343" s="160"/>
      <c r="BD1343" s="160"/>
      <c r="BE1343" s="160"/>
      <c r="BF1343" s="160"/>
      <c r="BG1343" s="160"/>
      <c r="BH1343" s="160"/>
      <c r="BI1343" s="160"/>
      <c r="BJ1343" s="160"/>
      <c r="BK1343" s="160"/>
      <c r="BL1343" s="160"/>
      <c r="BM1343" s="160"/>
      <c r="BN1343" s="160"/>
      <c r="BO1343" s="160"/>
      <c r="BP1343" s="160"/>
      <c r="BQ1343" s="160"/>
      <c r="BR1343" s="160"/>
      <c r="BS1343" s="160"/>
      <c r="BT1343" s="160"/>
      <c r="BU1343" s="160"/>
      <c r="BV1343" s="160"/>
      <c r="BW1343" s="160"/>
      <c r="BX1343" s="160"/>
      <c r="BY1343" s="160"/>
      <c r="BZ1343" s="160"/>
      <c r="CA1343" s="160"/>
      <c r="CB1343" s="160"/>
      <c r="CC1343" s="160"/>
      <c r="CD1343" s="160"/>
      <c r="CE1343" s="160"/>
      <c r="CF1343" s="160"/>
      <c r="CG1343" s="160"/>
      <c r="CH1343" s="160"/>
      <c r="CI1343" s="160"/>
      <c r="CJ1343" s="160"/>
      <c r="CK1343" s="160"/>
      <c r="CL1343" s="160"/>
    </row>
    <row r="1344">
      <c r="A1344" s="171"/>
      <c r="F1344" s="11"/>
      <c r="G1344" s="11"/>
      <c r="L1344" s="171"/>
      <c r="M1344" s="171"/>
      <c r="O1344" s="160"/>
      <c r="P1344" s="160"/>
      <c r="Q1344" s="160"/>
      <c r="R1344" s="160"/>
      <c r="S1344" s="160"/>
      <c r="T1344" s="207"/>
      <c r="U1344" s="160"/>
      <c r="V1344" s="160"/>
      <c r="W1344" s="160"/>
      <c r="X1344" s="160"/>
      <c r="Y1344" s="160"/>
      <c r="Z1344" s="160"/>
      <c r="AA1344" s="160"/>
      <c r="AB1344" s="160"/>
      <c r="AC1344" s="160"/>
      <c r="AD1344" s="160"/>
      <c r="AE1344" s="160"/>
      <c r="AF1344" s="160"/>
      <c r="AG1344" s="160"/>
      <c r="AH1344" s="160"/>
      <c r="AI1344" s="160"/>
      <c r="AJ1344" s="160"/>
      <c r="AK1344" s="160"/>
      <c r="AL1344" s="160"/>
      <c r="AM1344" s="160"/>
      <c r="AN1344" s="164"/>
      <c r="AO1344" s="160"/>
      <c r="AP1344" s="160"/>
      <c r="AQ1344" s="160"/>
      <c r="AR1344" s="160"/>
      <c r="AS1344" s="160"/>
      <c r="AT1344" s="160"/>
      <c r="AU1344" s="160"/>
      <c r="AV1344" s="160"/>
      <c r="AW1344" s="160"/>
      <c r="AX1344" s="160"/>
      <c r="AY1344" s="160"/>
      <c r="AZ1344" s="160"/>
      <c r="BA1344" s="160"/>
      <c r="BB1344" s="160"/>
      <c r="BC1344" s="160"/>
      <c r="BD1344" s="160"/>
      <c r="BE1344" s="160"/>
      <c r="BF1344" s="160"/>
      <c r="BG1344" s="160"/>
      <c r="BH1344" s="160"/>
      <c r="BI1344" s="160"/>
      <c r="BJ1344" s="160"/>
      <c r="BK1344" s="160"/>
      <c r="BL1344" s="160"/>
      <c r="BM1344" s="160"/>
      <c r="BN1344" s="160"/>
      <c r="BO1344" s="160"/>
      <c r="BP1344" s="160"/>
      <c r="BQ1344" s="160"/>
      <c r="BR1344" s="160"/>
      <c r="BS1344" s="160"/>
      <c r="BT1344" s="160"/>
      <c r="BU1344" s="160"/>
      <c r="BV1344" s="160"/>
      <c r="BW1344" s="160"/>
      <c r="BX1344" s="160"/>
      <c r="BY1344" s="160"/>
      <c r="BZ1344" s="160"/>
      <c r="CA1344" s="160"/>
      <c r="CB1344" s="160"/>
      <c r="CC1344" s="160"/>
      <c r="CD1344" s="160"/>
      <c r="CE1344" s="160"/>
      <c r="CF1344" s="160"/>
      <c r="CG1344" s="160"/>
      <c r="CH1344" s="160"/>
      <c r="CI1344" s="160"/>
      <c r="CJ1344" s="160"/>
      <c r="CK1344" s="160"/>
      <c r="CL1344" s="160"/>
    </row>
    <row r="1345">
      <c r="A1345" s="171"/>
      <c r="F1345" s="11"/>
      <c r="G1345" s="11"/>
      <c r="L1345" s="171"/>
      <c r="M1345" s="171"/>
      <c r="O1345" s="160"/>
      <c r="P1345" s="160"/>
      <c r="Q1345" s="160"/>
      <c r="R1345" s="160"/>
      <c r="S1345" s="160"/>
      <c r="T1345" s="207"/>
      <c r="U1345" s="160"/>
      <c r="V1345" s="160"/>
      <c r="W1345" s="160"/>
      <c r="X1345" s="160"/>
      <c r="Y1345" s="160"/>
      <c r="Z1345" s="160"/>
      <c r="AA1345" s="160"/>
      <c r="AB1345" s="160"/>
      <c r="AC1345" s="160"/>
      <c r="AD1345" s="160"/>
      <c r="AE1345" s="160"/>
      <c r="AF1345" s="160"/>
      <c r="AG1345" s="160"/>
      <c r="AH1345" s="160"/>
      <c r="AI1345" s="160"/>
      <c r="AJ1345" s="160"/>
      <c r="AK1345" s="160"/>
      <c r="AL1345" s="160"/>
      <c r="AM1345" s="160"/>
      <c r="AN1345" s="164"/>
      <c r="AO1345" s="160"/>
      <c r="AP1345" s="160"/>
      <c r="AQ1345" s="160"/>
      <c r="AR1345" s="160"/>
      <c r="AS1345" s="160"/>
      <c r="AT1345" s="160"/>
      <c r="AU1345" s="160"/>
      <c r="AV1345" s="160"/>
      <c r="AW1345" s="160"/>
      <c r="AX1345" s="160"/>
      <c r="AY1345" s="160"/>
      <c r="AZ1345" s="160"/>
      <c r="BA1345" s="160"/>
      <c r="BB1345" s="160"/>
      <c r="BC1345" s="160"/>
      <c r="BD1345" s="160"/>
      <c r="BE1345" s="160"/>
      <c r="BF1345" s="160"/>
      <c r="BG1345" s="160"/>
      <c r="BH1345" s="160"/>
      <c r="BI1345" s="160"/>
      <c r="BJ1345" s="160"/>
      <c r="BK1345" s="160"/>
      <c r="BL1345" s="160"/>
      <c r="BM1345" s="160"/>
      <c r="BN1345" s="160"/>
      <c r="BO1345" s="160"/>
      <c r="BP1345" s="160"/>
      <c r="BQ1345" s="160"/>
      <c r="BR1345" s="160"/>
      <c r="BS1345" s="160"/>
      <c r="BT1345" s="160"/>
      <c r="BU1345" s="160"/>
      <c r="BV1345" s="160"/>
      <c r="BW1345" s="160"/>
      <c r="BX1345" s="160"/>
      <c r="BY1345" s="160"/>
      <c r="BZ1345" s="160"/>
      <c r="CA1345" s="160"/>
      <c r="CB1345" s="160"/>
      <c r="CC1345" s="160"/>
      <c r="CD1345" s="160"/>
      <c r="CE1345" s="160"/>
      <c r="CF1345" s="160"/>
      <c r="CG1345" s="160"/>
      <c r="CH1345" s="160"/>
      <c r="CI1345" s="160"/>
      <c r="CJ1345" s="160"/>
      <c r="CK1345" s="160"/>
      <c r="CL1345" s="160"/>
    </row>
    <row r="1346">
      <c r="A1346" s="171"/>
      <c r="F1346" s="11"/>
      <c r="G1346" s="11"/>
      <c r="L1346" s="171"/>
      <c r="M1346" s="171"/>
      <c r="O1346" s="160"/>
      <c r="P1346" s="160"/>
      <c r="Q1346" s="160"/>
      <c r="R1346" s="160"/>
      <c r="S1346" s="160"/>
      <c r="T1346" s="207"/>
      <c r="U1346" s="160"/>
      <c r="V1346" s="160"/>
      <c r="W1346" s="160"/>
      <c r="X1346" s="160"/>
      <c r="Y1346" s="160"/>
      <c r="Z1346" s="160"/>
      <c r="AA1346" s="160"/>
      <c r="AB1346" s="160"/>
      <c r="AC1346" s="160"/>
      <c r="AD1346" s="160"/>
      <c r="AE1346" s="160"/>
      <c r="AF1346" s="160"/>
      <c r="AG1346" s="160"/>
      <c r="AH1346" s="160"/>
      <c r="AI1346" s="160"/>
      <c r="AJ1346" s="160"/>
      <c r="AK1346" s="160"/>
      <c r="AL1346" s="160"/>
      <c r="AM1346" s="160"/>
      <c r="AN1346" s="164"/>
      <c r="AO1346" s="160"/>
      <c r="AP1346" s="160"/>
      <c r="AQ1346" s="160"/>
      <c r="AR1346" s="160"/>
      <c r="AS1346" s="160"/>
      <c r="AT1346" s="160"/>
      <c r="AU1346" s="160"/>
      <c r="AV1346" s="160"/>
      <c r="AW1346" s="160"/>
      <c r="AX1346" s="160"/>
      <c r="AY1346" s="160"/>
      <c r="AZ1346" s="160"/>
      <c r="BA1346" s="160"/>
      <c r="BB1346" s="160"/>
      <c r="BC1346" s="160"/>
      <c r="BD1346" s="160"/>
      <c r="BE1346" s="160"/>
      <c r="BF1346" s="160"/>
      <c r="BG1346" s="160"/>
      <c r="BH1346" s="160"/>
      <c r="BI1346" s="160"/>
      <c r="BJ1346" s="160"/>
      <c r="BK1346" s="160"/>
      <c r="BL1346" s="160"/>
      <c r="BM1346" s="160"/>
      <c r="BN1346" s="160"/>
      <c r="BO1346" s="160"/>
      <c r="BP1346" s="160"/>
      <c r="BQ1346" s="160"/>
      <c r="BR1346" s="160"/>
      <c r="BS1346" s="160"/>
      <c r="BT1346" s="160"/>
      <c r="BU1346" s="160"/>
      <c r="BV1346" s="160"/>
      <c r="BW1346" s="160"/>
      <c r="BX1346" s="160"/>
      <c r="BY1346" s="160"/>
      <c r="BZ1346" s="160"/>
      <c r="CA1346" s="160"/>
      <c r="CB1346" s="160"/>
      <c r="CC1346" s="160"/>
      <c r="CD1346" s="160"/>
      <c r="CE1346" s="160"/>
      <c r="CF1346" s="160"/>
      <c r="CG1346" s="160"/>
      <c r="CH1346" s="160"/>
      <c r="CI1346" s="160"/>
      <c r="CJ1346" s="160"/>
      <c r="CK1346" s="160"/>
      <c r="CL1346" s="160"/>
    </row>
    <row r="1347">
      <c r="A1347" s="171"/>
      <c r="F1347" s="11"/>
      <c r="G1347" s="11"/>
      <c r="L1347" s="171"/>
      <c r="M1347" s="171"/>
      <c r="O1347" s="160"/>
      <c r="P1347" s="160"/>
      <c r="Q1347" s="160"/>
      <c r="R1347" s="160"/>
      <c r="S1347" s="160"/>
      <c r="T1347" s="207"/>
      <c r="U1347" s="160"/>
      <c r="V1347" s="160"/>
      <c r="W1347" s="160"/>
      <c r="X1347" s="160"/>
      <c r="Y1347" s="160"/>
      <c r="Z1347" s="160"/>
      <c r="AA1347" s="160"/>
      <c r="AB1347" s="160"/>
      <c r="AC1347" s="160"/>
      <c r="AD1347" s="160"/>
      <c r="AE1347" s="160"/>
      <c r="AF1347" s="160"/>
      <c r="AG1347" s="160"/>
      <c r="AH1347" s="160"/>
      <c r="AI1347" s="160"/>
      <c r="AJ1347" s="160"/>
      <c r="AK1347" s="160"/>
      <c r="AL1347" s="160"/>
      <c r="AM1347" s="160"/>
      <c r="AN1347" s="164"/>
      <c r="AO1347" s="160"/>
      <c r="AP1347" s="160"/>
      <c r="AQ1347" s="160"/>
      <c r="AR1347" s="160"/>
      <c r="AS1347" s="160"/>
      <c r="AT1347" s="160"/>
      <c r="AU1347" s="160"/>
      <c r="AV1347" s="160"/>
      <c r="AW1347" s="160"/>
      <c r="AX1347" s="160"/>
      <c r="AY1347" s="160"/>
      <c r="AZ1347" s="160"/>
      <c r="BA1347" s="160"/>
      <c r="BB1347" s="160"/>
      <c r="BC1347" s="160"/>
      <c r="BD1347" s="160"/>
      <c r="BE1347" s="160"/>
      <c r="BF1347" s="160"/>
      <c r="BG1347" s="160"/>
      <c r="BH1347" s="160"/>
      <c r="BI1347" s="160"/>
      <c r="BJ1347" s="160"/>
      <c r="BK1347" s="160"/>
      <c r="BL1347" s="160"/>
      <c r="BM1347" s="160"/>
      <c r="BN1347" s="160"/>
      <c r="BO1347" s="160"/>
      <c r="BP1347" s="160"/>
      <c r="BQ1347" s="160"/>
      <c r="BR1347" s="160"/>
      <c r="BS1347" s="160"/>
      <c r="BT1347" s="160"/>
      <c r="BU1347" s="160"/>
      <c r="BV1347" s="160"/>
      <c r="BW1347" s="160"/>
      <c r="BX1347" s="160"/>
      <c r="BY1347" s="160"/>
      <c r="BZ1347" s="160"/>
      <c r="CA1347" s="160"/>
      <c r="CB1347" s="160"/>
      <c r="CC1347" s="160"/>
      <c r="CD1347" s="160"/>
      <c r="CE1347" s="160"/>
      <c r="CF1347" s="160"/>
      <c r="CG1347" s="160"/>
      <c r="CH1347" s="160"/>
      <c r="CI1347" s="160"/>
      <c r="CJ1347" s="160"/>
      <c r="CK1347" s="160"/>
      <c r="CL1347" s="160"/>
    </row>
    <row r="1348">
      <c r="A1348" s="171"/>
      <c r="F1348" s="11"/>
      <c r="G1348" s="11"/>
      <c r="L1348" s="171"/>
      <c r="M1348" s="171"/>
      <c r="O1348" s="160"/>
      <c r="P1348" s="160"/>
      <c r="Q1348" s="160"/>
      <c r="R1348" s="160"/>
      <c r="S1348" s="160"/>
      <c r="T1348" s="207"/>
      <c r="U1348" s="160"/>
      <c r="V1348" s="160"/>
      <c r="W1348" s="160"/>
      <c r="X1348" s="160"/>
      <c r="Y1348" s="160"/>
      <c r="Z1348" s="160"/>
      <c r="AA1348" s="160"/>
      <c r="AB1348" s="160"/>
      <c r="AC1348" s="160"/>
      <c r="AD1348" s="160"/>
      <c r="AE1348" s="160"/>
      <c r="AF1348" s="160"/>
      <c r="AG1348" s="160"/>
      <c r="AH1348" s="160"/>
      <c r="AI1348" s="160"/>
      <c r="AJ1348" s="160"/>
      <c r="AK1348" s="160"/>
      <c r="AL1348" s="160"/>
      <c r="AM1348" s="160"/>
      <c r="AN1348" s="164"/>
      <c r="AO1348" s="160"/>
      <c r="AP1348" s="160"/>
      <c r="AQ1348" s="160"/>
      <c r="AR1348" s="160"/>
      <c r="AS1348" s="160"/>
      <c r="AT1348" s="160"/>
      <c r="AU1348" s="160"/>
      <c r="AV1348" s="160"/>
      <c r="AW1348" s="160"/>
      <c r="AX1348" s="160"/>
      <c r="AY1348" s="160"/>
      <c r="AZ1348" s="160"/>
      <c r="BA1348" s="160"/>
      <c r="BB1348" s="160"/>
      <c r="BC1348" s="160"/>
      <c r="BD1348" s="160"/>
      <c r="BE1348" s="160"/>
      <c r="BF1348" s="160"/>
      <c r="BG1348" s="160"/>
      <c r="BH1348" s="160"/>
      <c r="BI1348" s="160"/>
      <c r="BJ1348" s="160"/>
      <c r="BK1348" s="160"/>
      <c r="BL1348" s="160"/>
      <c r="BM1348" s="160"/>
      <c r="BN1348" s="160"/>
      <c r="BO1348" s="160"/>
      <c r="BP1348" s="160"/>
      <c r="BQ1348" s="160"/>
      <c r="BR1348" s="160"/>
      <c r="BS1348" s="160"/>
      <c r="BT1348" s="160"/>
      <c r="BU1348" s="160"/>
      <c r="BV1348" s="160"/>
      <c r="BW1348" s="160"/>
      <c r="BX1348" s="160"/>
      <c r="BY1348" s="160"/>
      <c r="BZ1348" s="160"/>
      <c r="CA1348" s="160"/>
      <c r="CB1348" s="160"/>
      <c r="CC1348" s="160"/>
      <c r="CD1348" s="160"/>
      <c r="CE1348" s="160"/>
      <c r="CF1348" s="160"/>
      <c r="CG1348" s="160"/>
      <c r="CH1348" s="160"/>
      <c r="CI1348" s="160"/>
      <c r="CJ1348" s="160"/>
      <c r="CK1348" s="160"/>
      <c r="CL1348" s="160"/>
    </row>
    <row r="1349">
      <c r="A1349" s="171"/>
      <c r="F1349" s="11"/>
      <c r="G1349" s="11"/>
      <c r="L1349" s="171"/>
      <c r="M1349" s="171"/>
      <c r="O1349" s="160"/>
      <c r="P1349" s="160"/>
      <c r="Q1349" s="160"/>
      <c r="R1349" s="160"/>
      <c r="S1349" s="160"/>
      <c r="T1349" s="207"/>
      <c r="U1349" s="160"/>
      <c r="V1349" s="160"/>
      <c r="W1349" s="160"/>
      <c r="X1349" s="160"/>
      <c r="Y1349" s="160"/>
      <c r="Z1349" s="160"/>
      <c r="AA1349" s="160"/>
      <c r="AB1349" s="160"/>
      <c r="AC1349" s="160"/>
      <c r="AD1349" s="160"/>
      <c r="AE1349" s="160"/>
      <c r="AF1349" s="160"/>
      <c r="AG1349" s="160"/>
      <c r="AH1349" s="160"/>
      <c r="AI1349" s="160"/>
      <c r="AJ1349" s="160"/>
      <c r="AK1349" s="160"/>
      <c r="AL1349" s="160"/>
      <c r="AM1349" s="160"/>
      <c r="AN1349" s="164"/>
      <c r="AO1349" s="160"/>
      <c r="AP1349" s="160"/>
      <c r="AQ1349" s="160"/>
      <c r="AR1349" s="160"/>
      <c r="AS1349" s="160"/>
      <c r="AT1349" s="160"/>
      <c r="AU1349" s="160"/>
      <c r="AV1349" s="160"/>
      <c r="AW1349" s="160"/>
      <c r="AX1349" s="160"/>
      <c r="AY1349" s="160"/>
      <c r="AZ1349" s="160"/>
      <c r="BA1349" s="160"/>
      <c r="BB1349" s="160"/>
      <c r="BC1349" s="160"/>
      <c r="BD1349" s="160"/>
      <c r="BE1349" s="160"/>
      <c r="BF1349" s="160"/>
      <c r="BG1349" s="160"/>
      <c r="BH1349" s="160"/>
      <c r="BI1349" s="160"/>
      <c r="BJ1349" s="160"/>
      <c r="BK1349" s="160"/>
      <c r="BL1349" s="160"/>
      <c r="BM1349" s="160"/>
      <c r="BN1349" s="160"/>
      <c r="BO1349" s="160"/>
      <c r="BP1349" s="160"/>
      <c r="BQ1349" s="160"/>
      <c r="BR1349" s="160"/>
      <c r="BS1349" s="160"/>
      <c r="BT1349" s="160"/>
      <c r="BU1349" s="160"/>
      <c r="BV1349" s="160"/>
      <c r="BW1349" s="160"/>
      <c r="BX1349" s="160"/>
      <c r="BY1349" s="160"/>
      <c r="BZ1349" s="160"/>
      <c r="CA1349" s="160"/>
      <c r="CB1349" s="160"/>
      <c r="CC1349" s="160"/>
      <c r="CD1349" s="160"/>
      <c r="CE1349" s="160"/>
      <c r="CF1349" s="160"/>
      <c r="CG1349" s="160"/>
      <c r="CH1349" s="160"/>
      <c r="CI1349" s="160"/>
      <c r="CJ1349" s="160"/>
      <c r="CK1349" s="160"/>
      <c r="CL1349" s="160"/>
    </row>
    <row r="1350">
      <c r="A1350" s="171"/>
      <c r="F1350" s="11"/>
      <c r="G1350" s="11"/>
      <c r="L1350" s="171"/>
      <c r="M1350" s="171"/>
      <c r="O1350" s="160"/>
      <c r="P1350" s="160"/>
      <c r="Q1350" s="160"/>
      <c r="R1350" s="160"/>
      <c r="S1350" s="160"/>
      <c r="T1350" s="207"/>
      <c r="U1350" s="160"/>
      <c r="V1350" s="160"/>
      <c r="W1350" s="160"/>
      <c r="X1350" s="160"/>
      <c r="Y1350" s="160"/>
      <c r="Z1350" s="160"/>
      <c r="AA1350" s="160"/>
      <c r="AB1350" s="160"/>
      <c r="AC1350" s="160"/>
      <c r="AD1350" s="160"/>
      <c r="AE1350" s="160"/>
      <c r="AF1350" s="160"/>
      <c r="AG1350" s="160"/>
      <c r="AH1350" s="160"/>
      <c r="AI1350" s="160"/>
      <c r="AJ1350" s="160"/>
      <c r="AK1350" s="160"/>
      <c r="AL1350" s="160"/>
      <c r="AM1350" s="160"/>
      <c r="AN1350" s="164"/>
      <c r="AO1350" s="160"/>
      <c r="AP1350" s="160"/>
      <c r="AQ1350" s="160"/>
      <c r="AR1350" s="160"/>
      <c r="AS1350" s="160"/>
      <c r="AT1350" s="160"/>
      <c r="AU1350" s="160"/>
      <c r="AV1350" s="160"/>
      <c r="AW1350" s="160"/>
      <c r="AX1350" s="160"/>
      <c r="AY1350" s="160"/>
      <c r="AZ1350" s="160"/>
      <c r="BA1350" s="160"/>
      <c r="BB1350" s="160"/>
      <c r="BC1350" s="160"/>
      <c r="BD1350" s="160"/>
      <c r="BE1350" s="160"/>
      <c r="BF1350" s="160"/>
      <c r="BG1350" s="160"/>
      <c r="BH1350" s="160"/>
      <c r="BI1350" s="160"/>
      <c r="BJ1350" s="160"/>
      <c r="BK1350" s="160"/>
      <c r="BL1350" s="160"/>
      <c r="BM1350" s="160"/>
      <c r="BN1350" s="160"/>
      <c r="BO1350" s="160"/>
      <c r="BP1350" s="160"/>
      <c r="BQ1350" s="160"/>
      <c r="BR1350" s="160"/>
      <c r="BS1350" s="160"/>
      <c r="BT1350" s="160"/>
      <c r="BU1350" s="160"/>
      <c r="BV1350" s="160"/>
      <c r="BW1350" s="160"/>
      <c r="BX1350" s="160"/>
      <c r="BY1350" s="160"/>
      <c r="BZ1350" s="160"/>
      <c r="CA1350" s="160"/>
      <c r="CB1350" s="160"/>
      <c r="CC1350" s="160"/>
      <c r="CD1350" s="160"/>
      <c r="CE1350" s="160"/>
      <c r="CF1350" s="160"/>
      <c r="CG1350" s="160"/>
      <c r="CH1350" s="160"/>
      <c r="CI1350" s="160"/>
      <c r="CJ1350" s="160"/>
      <c r="CK1350" s="160"/>
      <c r="CL1350" s="160"/>
    </row>
    <row r="1351">
      <c r="A1351" s="171"/>
      <c r="F1351" s="11"/>
      <c r="G1351" s="11"/>
      <c r="L1351" s="171"/>
      <c r="M1351" s="171"/>
      <c r="O1351" s="160"/>
      <c r="P1351" s="160"/>
      <c r="Q1351" s="160"/>
      <c r="R1351" s="160"/>
      <c r="S1351" s="160"/>
      <c r="T1351" s="207"/>
      <c r="U1351" s="160"/>
      <c r="V1351" s="160"/>
      <c r="W1351" s="160"/>
      <c r="X1351" s="160"/>
      <c r="Y1351" s="160"/>
      <c r="Z1351" s="160"/>
      <c r="AA1351" s="160"/>
      <c r="AB1351" s="160"/>
      <c r="AC1351" s="160"/>
      <c r="AD1351" s="160"/>
      <c r="AE1351" s="160"/>
      <c r="AF1351" s="160"/>
      <c r="AG1351" s="160"/>
      <c r="AH1351" s="160"/>
      <c r="AI1351" s="160"/>
      <c r="AJ1351" s="160"/>
      <c r="AK1351" s="160"/>
      <c r="AL1351" s="160"/>
      <c r="AM1351" s="160"/>
      <c r="AN1351" s="164"/>
      <c r="AO1351" s="160"/>
      <c r="AP1351" s="160"/>
      <c r="AQ1351" s="160"/>
      <c r="AR1351" s="160"/>
      <c r="AS1351" s="160"/>
      <c r="AT1351" s="160"/>
      <c r="AU1351" s="160"/>
      <c r="AV1351" s="160"/>
      <c r="AW1351" s="160"/>
      <c r="AX1351" s="160"/>
      <c r="AY1351" s="160"/>
      <c r="AZ1351" s="160"/>
      <c r="BA1351" s="160"/>
      <c r="BB1351" s="160"/>
      <c r="BC1351" s="160"/>
      <c r="BD1351" s="160"/>
      <c r="BE1351" s="160"/>
      <c r="BF1351" s="160"/>
      <c r="BG1351" s="160"/>
      <c r="BH1351" s="160"/>
      <c r="BI1351" s="160"/>
      <c r="BJ1351" s="160"/>
      <c r="BK1351" s="160"/>
      <c r="BL1351" s="160"/>
      <c r="BM1351" s="160"/>
      <c r="BN1351" s="160"/>
      <c r="BO1351" s="160"/>
      <c r="BP1351" s="160"/>
      <c r="BQ1351" s="160"/>
      <c r="BR1351" s="160"/>
      <c r="BS1351" s="160"/>
      <c r="BT1351" s="160"/>
      <c r="BU1351" s="160"/>
      <c r="BV1351" s="160"/>
      <c r="BW1351" s="160"/>
      <c r="BX1351" s="160"/>
      <c r="BY1351" s="160"/>
      <c r="BZ1351" s="160"/>
      <c r="CA1351" s="160"/>
      <c r="CB1351" s="160"/>
      <c r="CC1351" s="160"/>
      <c r="CD1351" s="160"/>
      <c r="CE1351" s="160"/>
      <c r="CF1351" s="160"/>
      <c r="CG1351" s="160"/>
      <c r="CH1351" s="160"/>
      <c r="CI1351" s="160"/>
      <c r="CJ1351" s="160"/>
      <c r="CK1351" s="160"/>
      <c r="CL1351" s="160"/>
    </row>
    <row r="1352">
      <c r="A1352" s="171"/>
      <c r="F1352" s="11"/>
      <c r="G1352" s="11"/>
      <c r="L1352" s="171"/>
      <c r="M1352" s="171"/>
      <c r="O1352" s="160"/>
      <c r="P1352" s="160"/>
      <c r="Q1352" s="160"/>
      <c r="R1352" s="160"/>
      <c r="S1352" s="160"/>
      <c r="T1352" s="207"/>
      <c r="U1352" s="160"/>
      <c r="V1352" s="160"/>
      <c r="W1352" s="160"/>
      <c r="X1352" s="160"/>
      <c r="Y1352" s="160"/>
      <c r="Z1352" s="160"/>
      <c r="AA1352" s="160"/>
      <c r="AB1352" s="160"/>
      <c r="AC1352" s="160"/>
      <c r="AD1352" s="160"/>
      <c r="AE1352" s="160"/>
      <c r="AF1352" s="160"/>
      <c r="AG1352" s="160"/>
      <c r="AH1352" s="160"/>
      <c r="AI1352" s="160"/>
      <c r="AJ1352" s="160"/>
      <c r="AK1352" s="160"/>
      <c r="AL1352" s="160"/>
      <c r="AM1352" s="160"/>
      <c r="AN1352" s="164"/>
      <c r="AO1352" s="160"/>
      <c r="AP1352" s="160"/>
      <c r="AQ1352" s="160"/>
      <c r="AR1352" s="160"/>
      <c r="AS1352" s="160"/>
      <c r="AT1352" s="160"/>
      <c r="AU1352" s="160"/>
      <c r="AV1352" s="160"/>
      <c r="AW1352" s="160"/>
      <c r="AX1352" s="160"/>
      <c r="AY1352" s="160"/>
      <c r="AZ1352" s="160"/>
      <c r="BA1352" s="160"/>
      <c r="BB1352" s="160"/>
      <c r="BC1352" s="160"/>
      <c r="BD1352" s="160"/>
      <c r="BE1352" s="160"/>
      <c r="BF1352" s="160"/>
      <c r="BG1352" s="160"/>
      <c r="BH1352" s="160"/>
      <c r="BI1352" s="160"/>
      <c r="BJ1352" s="160"/>
      <c r="BK1352" s="160"/>
      <c r="BL1352" s="160"/>
      <c r="BM1352" s="160"/>
      <c r="BN1352" s="160"/>
      <c r="BO1352" s="160"/>
      <c r="BP1352" s="160"/>
      <c r="BQ1352" s="160"/>
      <c r="BR1352" s="160"/>
      <c r="BS1352" s="160"/>
      <c r="BT1352" s="160"/>
      <c r="BU1352" s="160"/>
      <c r="BV1352" s="160"/>
      <c r="BW1352" s="160"/>
      <c r="BX1352" s="160"/>
      <c r="BY1352" s="160"/>
      <c r="BZ1352" s="160"/>
      <c r="CA1352" s="160"/>
      <c r="CB1352" s="160"/>
      <c r="CC1352" s="160"/>
      <c r="CD1352" s="160"/>
      <c r="CE1352" s="160"/>
      <c r="CF1352" s="160"/>
      <c r="CG1352" s="160"/>
      <c r="CH1352" s="160"/>
      <c r="CI1352" s="160"/>
      <c r="CJ1352" s="160"/>
      <c r="CK1352" s="160"/>
      <c r="CL1352" s="160"/>
    </row>
    <row r="1353">
      <c r="A1353" s="171"/>
      <c r="F1353" s="11"/>
      <c r="G1353" s="11"/>
      <c r="L1353" s="171"/>
      <c r="M1353" s="171"/>
      <c r="O1353" s="160"/>
      <c r="P1353" s="160"/>
      <c r="Q1353" s="160"/>
      <c r="R1353" s="160"/>
      <c r="S1353" s="160"/>
      <c r="T1353" s="207"/>
      <c r="U1353" s="160"/>
      <c r="V1353" s="160"/>
      <c r="W1353" s="160"/>
      <c r="X1353" s="160"/>
      <c r="Y1353" s="160"/>
      <c r="Z1353" s="160"/>
      <c r="AA1353" s="160"/>
      <c r="AB1353" s="160"/>
      <c r="AC1353" s="160"/>
      <c r="AD1353" s="160"/>
      <c r="AE1353" s="160"/>
      <c r="AF1353" s="160"/>
      <c r="AG1353" s="160"/>
      <c r="AH1353" s="160"/>
      <c r="AI1353" s="160"/>
      <c r="AJ1353" s="160"/>
      <c r="AK1353" s="160"/>
      <c r="AL1353" s="160"/>
      <c r="AM1353" s="160"/>
      <c r="AN1353" s="164"/>
      <c r="AO1353" s="160"/>
      <c r="AP1353" s="160"/>
      <c r="AQ1353" s="160"/>
      <c r="AR1353" s="160"/>
      <c r="AS1353" s="160"/>
      <c r="AT1353" s="160"/>
      <c r="AU1353" s="160"/>
      <c r="AV1353" s="160"/>
      <c r="AW1353" s="160"/>
      <c r="AX1353" s="160"/>
      <c r="AY1353" s="160"/>
      <c r="AZ1353" s="160"/>
      <c r="BA1353" s="160"/>
      <c r="BB1353" s="160"/>
      <c r="BC1353" s="160"/>
      <c r="BD1353" s="160"/>
      <c r="BE1353" s="160"/>
      <c r="BF1353" s="160"/>
      <c r="BG1353" s="160"/>
      <c r="BH1353" s="160"/>
      <c r="BI1353" s="160"/>
      <c r="BJ1353" s="160"/>
      <c r="BK1353" s="160"/>
      <c r="BL1353" s="160"/>
      <c r="BM1353" s="160"/>
      <c r="BN1353" s="160"/>
      <c r="BO1353" s="160"/>
      <c r="BP1353" s="160"/>
      <c r="BQ1353" s="160"/>
      <c r="BR1353" s="160"/>
      <c r="BS1353" s="160"/>
      <c r="BT1353" s="160"/>
      <c r="BU1353" s="160"/>
      <c r="BV1353" s="160"/>
      <c r="BW1353" s="160"/>
      <c r="BX1353" s="160"/>
      <c r="BY1353" s="160"/>
      <c r="BZ1353" s="160"/>
      <c r="CA1353" s="160"/>
      <c r="CB1353" s="160"/>
      <c r="CC1353" s="160"/>
      <c r="CD1353" s="160"/>
      <c r="CE1353" s="160"/>
      <c r="CF1353" s="160"/>
      <c r="CG1353" s="160"/>
      <c r="CH1353" s="160"/>
      <c r="CI1353" s="160"/>
      <c r="CJ1353" s="160"/>
      <c r="CK1353" s="160"/>
      <c r="CL1353" s="160"/>
    </row>
    <row r="1354">
      <c r="A1354" s="171"/>
      <c r="F1354" s="11"/>
      <c r="G1354" s="11"/>
      <c r="L1354" s="171"/>
      <c r="M1354" s="171"/>
      <c r="O1354" s="160"/>
      <c r="P1354" s="160"/>
      <c r="Q1354" s="160"/>
      <c r="R1354" s="160"/>
      <c r="S1354" s="160"/>
      <c r="T1354" s="207"/>
      <c r="U1354" s="160"/>
      <c r="V1354" s="160"/>
      <c r="W1354" s="160"/>
      <c r="X1354" s="160"/>
      <c r="Y1354" s="160"/>
      <c r="Z1354" s="160"/>
      <c r="AA1354" s="160"/>
      <c r="AB1354" s="160"/>
      <c r="AC1354" s="160"/>
      <c r="AD1354" s="160"/>
      <c r="AE1354" s="160"/>
      <c r="AF1354" s="160"/>
      <c r="AG1354" s="160"/>
      <c r="AH1354" s="160"/>
      <c r="AI1354" s="160"/>
      <c r="AJ1354" s="160"/>
      <c r="AK1354" s="160"/>
      <c r="AL1354" s="160"/>
      <c r="AM1354" s="160"/>
      <c r="AN1354" s="164"/>
      <c r="AO1354" s="160"/>
      <c r="AP1354" s="160"/>
      <c r="AQ1354" s="160"/>
      <c r="AR1354" s="160"/>
      <c r="AS1354" s="160"/>
      <c r="AT1354" s="160"/>
      <c r="AU1354" s="160"/>
      <c r="AV1354" s="160"/>
      <c r="AW1354" s="160"/>
      <c r="AX1354" s="160"/>
      <c r="AY1354" s="160"/>
      <c r="AZ1354" s="160"/>
      <c r="BA1354" s="160"/>
      <c r="BB1354" s="160"/>
      <c r="BC1354" s="160"/>
      <c r="BD1354" s="160"/>
      <c r="BE1354" s="160"/>
      <c r="BF1354" s="160"/>
      <c r="BG1354" s="160"/>
      <c r="BH1354" s="160"/>
      <c r="BI1354" s="160"/>
      <c r="BJ1354" s="160"/>
      <c r="BK1354" s="160"/>
      <c r="BL1354" s="160"/>
      <c r="BM1354" s="160"/>
      <c r="BN1354" s="160"/>
      <c r="BO1354" s="160"/>
      <c r="BP1354" s="160"/>
      <c r="BQ1354" s="160"/>
      <c r="BR1354" s="160"/>
      <c r="BS1354" s="160"/>
      <c r="BT1354" s="160"/>
      <c r="BU1354" s="160"/>
      <c r="BV1354" s="160"/>
      <c r="BW1354" s="160"/>
      <c r="BX1354" s="160"/>
      <c r="BY1354" s="160"/>
      <c r="BZ1354" s="160"/>
      <c r="CA1354" s="160"/>
      <c r="CB1354" s="160"/>
      <c r="CC1354" s="160"/>
      <c r="CD1354" s="160"/>
      <c r="CE1354" s="160"/>
      <c r="CF1354" s="160"/>
      <c r="CG1354" s="160"/>
      <c r="CH1354" s="160"/>
      <c r="CI1354" s="160"/>
      <c r="CJ1354" s="160"/>
      <c r="CK1354" s="160"/>
      <c r="CL1354" s="160"/>
    </row>
    <row r="1355">
      <c r="A1355" s="171"/>
      <c r="F1355" s="11"/>
      <c r="G1355" s="11"/>
      <c r="L1355" s="171"/>
      <c r="M1355" s="171"/>
      <c r="O1355" s="160"/>
      <c r="P1355" s="160"/>
      <c r="Q1355" s="160"/>
      <c r="R1355" s="160"/>
      <c r="S1355" s="160"/>
      <c r="T1355" s="207"/>
      <c r="U1355" s="160"/>
      <c r="V1355" s="160"/>
      <c r="W1355" s="160"/>
      <c r="X1355" s="160"/>
      <c r="Y1355" s="160"/>
      <c r="Z1355" s="160"/>
      <c r="AA1355" s="160"/>
      <c r="AB1355" s="160"/>
      <c r="AC1355" s="160"/>
      <c r="AD1355" s="160"/>
      <c r="AE1355" s="160"/>
      <c r="AF1355" s="160"/>
      <c r="AG1355" s="160"/>
      <c r="AH1355" s="160"/>
      <c r="AI1355" s="160"/>
      <c r="AJ1355" s="160"/>
      <c r="AK1355" s="160"/>
      <c r="AL1355" s="160"/>
      <c r="AM1355" s="160"/>
      <c r="AN1355" s="164"/>
      <c r="AO1355" s="160"/>
      <c r="AP1355" s="160"/>
      <c r="AQ1355" s="160"/>
      <c r="AR1355" s="160"/>
      <c r="AS1355" s="160"/>
      <c r="AT1355" s="160"/>
      <c r="AU1355" s="160"/>
      <c r="AV1355" s="160"/>
      <c r="AW1355" s="160"/>
      <c r="AX1355" s="160"/>
      <c r="AY1355" s="160"/>
      <c r="AZ1355" s="160"/>
      <c r="BA1355" s="160"/>
      <c r="BB1355" s="160"/>
      <c r="BC1355" s="160"/>
      <c r="BD1355" s="160"/>
      <c r="BE1355" s="160"/>
      <c r="BF1355" s="160"/>
      <c r="BG1355" s="160"/>
      <c r="BH1355" s="160"/>
      <c r="BI1355" s="160"/>
      <c r="BJ1355" s="160"/>
      <c r="BK1355" s="160"/>
      <c r="BL1355" s="160"/>
      <c r="BM1355" s="160"/>
      <c r="BN1355" s="160"/>
      <c r="BO1355" s="160"/>
      <c r="BP1355" s="160"/>
      <c r="BQ1355" s="160"/>
      <c r="BR1355" s="160"/>
      <c r="BS1355" s="160"/>
      <c r="BT1355" s="160"/>
      <c r="BU1355" s="160"/>
      <c r="BV1355" s="160"/>
      <c r="BW1355" s="160"/>
      <c r="BX1355" s="160"/>
      <c r="BY1355" s="160"/>
      <c r="BZ1355" s="160"/>
      <c r="CA1355" s="160"/>
      <c r="CB1355" s="160"/>
      <c r="CC1355" s="160"/>
      <c r="CD1355" s="160"/>
      <c r="CE1355" s="160"/>
      <c r="CF1355" s="160"/>
      <c r="CG1355" s="160"/>
      <c r="CH1355" s="160"/>
      <c r="CI1355" s="160"/>
      <c r="CJ1355" s="160"/>
      <c r="CK1355" s="160"/>
      <c r="CL1355" s="160"/>
    </row>
    <row r="1356">
      <c r="A1356" s="171"/>
      <c r="F1356" s="11"/>
      <c r="G1356" s="11"/>
      <c r="L1356" s="171"/>
      <c r="M1356" s="171"/>
      <c r="O1356" s="160"/>
      <c r="P1356" s="160"/>
      <c r="Q1356" s="160"/>
      <c r="R1356" s="160"/>
      <c r="S1356" s="160"/>
      <c r="T1356" s="207"/>
      <c r="U1356" s="160"/>
      <c r="V1356" s="160"/>
      <c r="W1356" s="160"/>
      <c r="X1356" s="160"/>
      <c r="Y1356" s="160"/>
      <c r="Z1356" s="160"/>
      <c r="AA1356" s="160"/>
      <c r="AB1356" s="160"/>
      <c r="AC1356" s="160"/>
      <c r="AD1356" s="160"/>
      <c r="AE1356" s="160"/>
      <c r="AF1356" s="160"/>
      <c r="AG1356" s="160"/>
      <c r="AH1356" s="160"/>
      <c r="AI1356" s="160"/>
      <c r="AJ1356" s="160"/>
      <c r="AK1356" s="160"/>
      <c r="AL1356" s="160"/>
      <c r="AM1356" s="160"/>
      <c r="AN1356" s="164"/>
      <c r="AO1356" s="160"/>
      <c r="AP1356" s="160"/>
      <c r="AQ1356" s="160"/>
      <c r="AR1356" s="160"/>
      <c r="AS1356" s="160"/>
      <c r="AT1356" s="160"/>
      <c r="AU1356" s="160"/>
      <c r="AV1356" s="160"/>
      <c r="AW1356" s="160"/>
      <c r="AX1356" s="160"/>
      <c r="AY1356" s="160"/>
      <c r="AZ1356" s="160"/>
      <c r="BA1356" s="160"/>
      <c r="BB1356" s="160"/>
      <c r="BC1356" s="160"/>
      <c r="BD1356" s="160"/>
      <c r="BE1356" s="160"/>
      <c r="BF1356" s="160"/>
      <c r="BG1356" s="160"/>
      <c r="BH1356" s="160"/>
      <c r="BI1356" s="160"/>
      <c r="BJ1356" s="160"/>
      <c r="BK1356" s="160"/>
      <c r="BL1356" s="160"/>
      <c r="BM1356" s="160"/>
      <c r="BN1356" s="160"/>
      <c r="BO1356" s="160"/>
      <c r="BP1356" s="160"/>
      <c r="BQ1356" s="160"/>
      <c r="BR1356" s="160"/>
      <c r="BS1356" s="160"/>
      <c r="BT1356" s="160"/>
      <c r="BU1356" s="160"/>
      <c r="BV1356" s="160"/>
      <c r="BW1356" s="160"/>
      <c r="BX1356" s="160"/>
      <c r="BY1356" s="160"/>
      <c r="BZ1356" s="160"/>
      <c r="CA1356" s="160"/>
      <c r="CB1356" s="160"/>
      <c r="CC1356" s="160"/>
      <c r="CD1356" s="160"/>
      <c r="CE1356" s="160"/>
      <c r="CF1356" s="160"/>
      <c r="CG1356" s="160"/>
      <c r="CH1356" s="160"/>
      <c r="CI1356" s="160"/>
      <c r="CJ1356" s="160"/>
      <c r="CK1356" s="160"/>
      <c r="CL1356" s="160"/>
    </row>
    <row r="1357">
      <c r="A1357" s="171"/>
      <c r="F1357" s="11"/>
      <c r="G1357" s="11"/>
      <c r="L1357" s="171"/>
      <c r="M1357" s="171"/>
      <c r="O1357" s="160"/>
      <c r="P1357" s="160"/>
      <c r="Q1357" s="160"/>
      <c r="R1357" s="160"/>
      <c r="S1357" s="160"/>
      <c r="T1357" s="207"/>
      <c r="U1357" s="160"/>
      <c r="V1357" s="160"/>
      <c r="W1357" s="160"/>
      <c r="X1357" s="160"/>
      <c r="Y1357" s="160"/>
      <c r="Z1357" s="160"/>
      <c r="AA1357" s="160"/>
      <c r="AB1357" s="160"/>
      <c r="AC1357" s="160"/>
      <c r="AD1357" s="160"/>
      <c r="AE1357" s="160"/>
      <c r="AF1357" s="160"/>
      <c r="AG1357" s="160"/>
      <c r="AH1357" s="160"/>
      <c r="AI1357" s="160"/>
      <c r="AJ1357" s="160"/>
      <c r="AK1357" s="160"/>
      <c r="AL1357" s="160"/>
      <c r="AM1357" s="160"/>
      <c r="AN1357" s="164"/>
      <c r="AO1357" s="160"/>
      <c r="AP1357" s="160"/>
      <c r="AQ1357" s="160"/>
      <c r="AR1357" s="160"/>
      <c r="AS1357" s="160"/>
      <c r="AT1357" s="160"/>
      <c r="AU1357" s="160"/>
      <c r="AV1357" s="160"/>
      <c r="AW1357" s="160"/>
      <c r="AX1357" s="160"/>
      <c r="AY1357" s="160"/>
      <c r="AZ1357" s="160"/>
      <c r="BA1357" s="160"/>
      <c r="BB1357" s="160"/>
      <c r="BC1357" s="160"/>
      <c r="BD1357" s="160"/>
      <c r="BE1357" s="160"/>
      <c r="BF1357" s="160"/>
      <c r="BG1357" s="160"/>
      <c r="BH1357" s="160"/>
      <c r="BI1357" s="160"/>
      <c r="BJ1357" s="160"/>
      <c r="BK1357" s="160"/>
      <c r="BL1357" s="160"/>
      <c r="BM1357" s="160"/>
      <c r="BN1357" s="160"/>
      <c r="BO1357" s="160"/>
      <c r="BP1357" s="160"/>
      <c r="BQ1357" s="160"/>
      <c r="BR1357" s="160"/>
      <c r="BS1357" s="160"/>
      <c r="BT1357" s="160"/>
      <c r="BU1357" s="160"/>
      <c r="BV1357" s="160"/>
      <c r="BW1357" s="160"/>
      <c r="BX1357" s="160"/>
      <c r="BY1357" s="160"/>
      <c r="BZ1357" s="160"/>
      <c r="CA1357" s="160"/>
      <c r="CB1357" s="160"/>
      <c r="CC1357" s="160"/>
      <c r="CD1357" s="160"/>
      <c r="CE1357" s="160"/>
      <c r="CF1357" s="160"/>
      <c r="CG1357" s="160"/>
      <c r="CH1357" s="160"/>
      <c r="CI1357" s="160"/>
      <c r="CJ1357" s="160"/>
      <c r="CK1357" s="160"/>
      <c r="CL1357" s="160"/>
    </row>
    <row r="1358">
      <c r="A1358" s="171"/>
      <c r="F1358" s="11"/>
      <c r="G1358" s="11"/>
      <c r="L1358" s="171"/>
      <c r="M1358" s="171"/>
      <c r="O1358" s="160"/>
      <c r="P1358" s="160"/>
      <c r="Q1358" s="160"/>
      <c r="R1358" s="160"/>
      <c r="S1358" s="160"/>
      <c r="T1358" s="207"/>
      <c r="U1358" s="160"/>
      <c r="V1358" s="160"/>
      <c r="W1358" s="160"/>
      <c r="X1358" s="160"/>
      <c r="Y1358" s="160"/>
      <c r="Z1358" s="160"/>
      <c r="AA1358" s="160"/>
      <c r="AB1358" s="160"/>
      <c r="AC1358" s="160"/>
      <c r="AD1358" s="160"/>
      <c r="AE1358" s="160"/>
      <c r="AF1358" s="160"/>
      <c r="AG1358" s="160"/>
      <c r="AH1358" s="160"/>
      <c r="AI1358" s="160"/>
      <c r="AJ1358" s="160"/>
      <c r="AK1358" s="160"/>
      <c r="AL1358" s="160"/>
      <c r="AM1358" s="160"/>
      <c r="AN1358" s="164"/>
      <c r="AO1358" s="160"/>
      <c r="AP1358" s="160"/>
      <c r="AQ1358" s="160"/>
      <c r="AR1358" s="160"/>
      <c r="AS1358" s="160"/>
      <c r="AT1358" s="160"/>
      <c r="AU1358" s="160"/>
      <c r="AV1358" s="160"/>
      <c r="AW1358" s="160"/>
      <c r="AX1358" s="160"/>
      <c r="AY1358" s="160"/>
      <c r="AZ1358" s="160"/>
      <c r="BA1358" s="160"/>
      <c r="BB1358" s="160"/>
      <c r="BC1358" s="160"/>
      <c r="BD1358" s="160"/>
      <c r="BE1358" s="160"/>
      <c r="BF1358" s="160"/>
      <c r="BG1358" s="160"/>
      <c r="BH1358" s="160"/>
      <c r="BI1358" s="160"/>
      <c r="BJ1358" s="160"/>
      <c r="BK1358" s="160"/>
      <c r="BL1358" s="160"/>
      <c r="BM1358" s="160"/>
      <c r="BN1358" s="160"/>
      <c r="BO1358" s="160"/>
      <c r="BP1358" s="160"/>
      <c r="BQ1358" s="160"/>
      <c r="BR1358" s="160"/>
      <c r="BS1358" s="160"/>
      <c r="BT1358" s="160"/>
      <c r="BU1358" s="160"/>
      <c r="BV1358" s="160"/>
      <c r="BW1358" s="160"/>
      <c r="BX1358" s="160"/>
      <c r="BY1358" s="160"/>
      <c r="BZ1358" s="160"/>
      <c r="CA1358" s="160"/>
      <c r="CB1358" s="160"/>
      <c r="CC1358" s="160"/>
      <c r="CD1358" s="160"/>
      <c r="CE1358" s="160"/>
      <c r="CF1358" s="160"/>
      <c r="CG1358" s="160"/>
      <c r="CH1358" s="160"/>
      <c r="CI1358" s="160"/>
      <c r="CJ1358" s="160"/>
      <c r="CK1358" s="160"/>
      <c r="CL1358" s="160"/>
    </row>
    <row r="1359">
      <c r="A1359" s="171"/>
      <c r="F1359" s="11"/>
      <c r="G1359" s="11"/>
      <c r="L1359" s="171"/>
      <c r="M1359" s="171"/>
      <c r="O1359" s="160"/>
      <c r="P1359" s="160"/>
      <c r="Q1359" s="160"/>
      <c r="R1359" s="160"/>
      <c r="S1359" s="160"/>
      <c r="T1359" s="207"/>
      <c r="U1359" s="160"/>
      <c r="V1359" s="160"/>
      <c r="W1359" s="160"/>
      <c r="X1359" s="160"/>
      <c r="Y1359" s="160"/>
      <c r="Z1359" s="160"/>
      <c r="AA1359" s="160"/>
      <c r="AB1359" s="160"/>
      <c r="AC1359" s="160"/>
      <c r="AD1359" s="160"/>
      <c r="AE1359" s="160"/>
      <c r="AF1359" s="160"/>
      <c r="AG1359" s="160"/>
      <c r="AH1359" s="160"/>
      <c r="AI1359" s="160"/>
      <c r="AJ1359" s="160"/>
      <c r="AK1359" s="160"/>
      <c r="AL1359" s="160"/>
      <c r="AM1359" s="160"/>
      <c r="AN1359" s="164"/>
      <c r="AO1359" s="160"/>
      <c r="AP1359" s="160"/>
      <c r="AQ1359" s="160"/>
      <c r="AR1359" s="160"/>
      <c r="AS1359" s="160"/>
      <c r="AT1359" s="160"/>
      <c r="AU1359" s="160"/>
      <c r="AV1359" s="160"/>
      <c r="AW1359" s="160"/>
      <c r="AX1359" s="160"/>
      <c r="AY1359" s="160"/>
      <c r="AZ1359" s="160"/>
      <c r="BA1359" s="160"/>
      <c r="BB1359" s="160"/>
      <c r="BC1359" s="160"/>
      <c r="BD1359" s="160"/>
      <c r="BE1359" s="160"/>
      <c r="BF1359" s="160"/>
      <c r="BG1359" s="160"/>
      <c r="BH1359" s="160"/>
      <c r="BI1359" s="160"/>
      <c r="BJ1359" s="160"/>
      <c r="BK1359" s="160"/>
      <c r="BL1359" s="160"/>
      <c r="BM1359" s="160"/>
      <c r="BN1359" s="160"/>
      <c r="BO1359" s="160"/>
      <c r="BP1359" s="160"/>
      <c r="BQ1359" s="160"/>
      <c r="BR1359" s="160"/>
      <c r="BS1359" s="160"/>
      <c r="BT1359" s="160"/>
      <c r="BU1359" s="160"/>
      <c r="BV1359" s="160"/>
      <c r="BW1359" s="160"/>
      <c r="BX1359" s="160"/>
      <c r="BY1359" s="160"/>
      <c r="BZ1359" s="160"/>
      <c r="CA1359" s="160"/>
      <c r="CB1359" s="160"/>
      <c r="CC1359" s="160"/>
      <c r="CD1359" s="160"/>
      <c r="CE1359" s="160"/>
      <c r="CF1359" s="160"/>
      <c r="CG1359" s="160"/>
      <c r="CH1359" s="160"/>
      <c r="CI1359" s="160"/>
      <c r="CJ1359" s="160"/>
      <c r="CK1359" s="160"/>
      <c r="CL1359" s="160"/>
    </row>
    <row r="1360">
      <c r="A1360" s="171"/>
      <c r="F1360" s="11"/>
      <c r="G1360" s="11"/>
      <c r="L1360" s="171"/>
      <c r="M1360" s="171"/>
      <c r="O1360" s="160"/>
      <c r="P1360" s="160"/>
      <c r="Q1360" s="160"/>
      <c r="R1360" s="160"/>
      <c r="S1360" s="160"/>
      <c r="T1360" s="207"/>
      <c r="U1360" s="160"/>
      <c r="V1360" s="160"/>
      <c r="W1360" s="160"/>
      <c r="X1360" s="160"/>
      <c r="Y1360" s="160"/>
      <c r="Z1360" s="160"/>
      <c r="AA1360" s="160"/>
      <c r="AB1360" s="160"/>
      <c r="AC1360" s="160"/>
      <c r="AD1360" s="160"/>
      <c r="AE1360" s="160"/>
      <c r="AF1360" s="160"/>
      <c r="AG1360" s="160"/>
      <c r="AH1360" s="160"/>
      <c r="AI1360" s="160"/>
      <c r="AJ1360" s="160"/>
      <c r="AK1360" s="160"/>
      <c r="AL1360" s="160"/>
      <c r="AM1360" s="160"/>
      <c r="AN1360" s="164"/>
      <c r="AO1360" s="160"/>
      <c r="AP1360" s="160"/>
      <c r="AQ1360" s="160"/>
      <c r="AR1360" s="160"/>
      <c r="AS1360" s="160"/>
      <c r="AT1360" s="160"/>
      <c r="AU1360" s="160"/>
      <c r="AV1360" s="160"/>
      <c r="AW1360" s="160"/>
      <c r="AX1360" s="160"/>
      <c r="AY1360" s="160"/>
      <c r="AZ1360" s="160"/>
      <c r="BA1360" s="160"/>
      <c r="BB1360" s="160"/>
      <c r="BC1360" s="160"/>
      <c r="BD1360" s="160"/>
      <c r="BE1360" s="160"/>
      <c r="BF1360" s="160"/>
      <c r="BG1360" s="160"/>
      <c r="BH1360" s="160"/>
      <c r="BI1360" s="160"/>
      <c r="BJ1360" s="160"/>
      <c r="BK1360" s="160"/>
      <c r="BL1360" s="160"/>
      <c r="BM1360" s="160"/>
      <c r="BN1360" s="160"/>
      <c r="BO1360" s="160"/>
      <c r="BP1360" s="160"/>
      <c r="BQ1360" s="160"/>
      <c r="BR1360" s="160"/>
      <c r="BS1360" s="160"/>
      <c r="BT1360" s="160"/>
      <c r="BU1360" s="160"/>
      <c r="BV1360" s="160"/>
      <c r="BW1360" s="160"/>
      <c r="BX1360" s="160"/>
      <c r="BY1360" s="160"/>
      <c r="BZ1360" s="160"/>
      <c r="CA1360" s="160"/>
      <c r="CB1360" s="160"/>
      <c r="CC1360" s="160"/>
      <c r="CD1360" s="160"/>
      <c r="CE1360" s="160"/>
      <c r="CF1360" s="160"/>
      <c r="CG1360" s="160"/>
      <c r="CH1360" s="160"/>
      <c r="CI1360" s="160"/>
      <c r="CJ1360" s="160"/>
      <c r="CK1360" s="160"/>
      <c r="CL1360" s="160"/>
    </row>
    <row r="1361">
      <c r="A1361" s="171"/>
      <c r="F1361" s="11"/>
      <c r="G1361" s="11"/>
      <c r="L1361" s="171"/>
      <c r="M1361" s="171"/>
      <c r="O1361" s="160"/>
      <c r="P1361" s="160"/>
      <c r="Q1361" s="160"/>
      <c r="R1361" s="160"/>
      <c r="S1361" s="160"/>
      <c r="T1361" s="207"/>
      <c r="U1361" s="160"/>
      <c r="V1361" s="160"/>
      <c r="W1361" s="160"/>
      <c r="X1361" s="160"/>
      <c r="Y1361" s="160"/>
      <c r="Z1361" s="160"/>
      <c r="AA1361" s="160"/>
      <c r="AB1361" s="160"/>
      <c r="AC1361" s="160"/>
      <c r="AD1361" s="160"/>
      <c r="AE1361" s="160"/>
      <c r="AF1361" s="160"/>
      <c r="AG1361" s="160"/>
      <c r="AH1361" s="160"/>
      <c r="AI1361" s="160"/>
      <c r="AJ1361" s="160"/>
      <c r="AK1361" s="160"/>
      <c r="AL1361" s="160"/>
      <c r="AM1361" s="160"/>
      <c r="AN1361" s="164"/>
      <c r="AO1361" s="160"/>
      <c r="AP1361" s="160"/>
      <c r="AQ1361" s="160"/>
      <c r="AR1361" s="160"/>
      <c r="AS1361" s="160"/>
      <c r="AT1361" s="160"/>
      <c r="AU1361" s="160"/>
      <c r="AV1361" s="160"/>
      <c r="AW1361" s="160"/>
      <c r="AX1361" s="160"/>
      <c r="AY1361" s="160"/>
      <c r="AZ1361" s="160"/>
      <c r="BA1361" s="160"/>
      <c r="BB1361" s="160"/>
      <c r="BC1361" s="160"/>
      <c r="BD1361" s="160"/>
      <c r="BE1361" s="160"/>
      <c r="BF1361" s="160"/>
      <c r="BG1361" s="160"/>
      <c r="BH1361" s="160"/>
      <c r="BI1361" s="160"/>
      <c r="BJ1361" s="160"/>
      <c r="BK1361" s="160"/>
      <c r="BL1361" s="160"/>
      <c r="BM1361" s="160"/>
      <c r="BN1361" s="160"/>
      <c r="BO1361" s="160"/>
      <c r="BP1361" s="160"/>
      <c r="BQ1361" s="160"/>
      <c r="BR1361" s="160"/>
      <c r="BS1361" s="160"/>
      <c r="BT1361" s="160"/>
      <c r="BU1361" s="160"/>
      <c r="BV1361" s="160"/>
      <c r="BW1361" s="160"/>
      <c r="BX1361" s="160"/>
      <c r="BY1361" s="160"/>
      <c r="BZ1361" s="160"/>
      <c r="CA1361" s="160"/>
      <c r="CB1361" s="160"/>
      <c r="CC1361" s="160"/>
      <c r="CD1361" s="160"/>
      <c r="CE1361" s="160"/>
      <c r="CF1361" s="160"/>
      <c r="CG1361" s="160"/>
      <c r="CH1361" s="160"/>
      <c r="CI1361" s="160"/>
      <c r="CJ1361" s="160"/>
      <c r="CK1361" s="160"/>
      <c r="CL1361" s="160"/>
    </row>
    <row r="1362">
      <c r="A1362" s="171"/>
      <c r="F1362" s="11"/>
      <c r="G1362" s="11"/>
      <c r="L1362" s="171"/>
      <c r="M1362" s="171"/>
      <c r="O1362" s="160"/>
      <c r="P1362" s="160"/>
      <c r="Q1362" s="160"/>
      <c r="R1362" s="160"/>
      <c r="S1362" s="160"/>
      <c r="T1362" s="207"/>
      <c r="U1362" s="160"/>
      <c r="V1362" s="160"/>
      <c r="W1362" s="160"/>
      <c r="X1362" s="160"/>
      <c r="Y1362" s="160"/>
      <c r="Z1362" s="160"/>
      <c r="AA1362" s="160"/>
      <c r="AB1362" s="160"/>
      <c r="AC1362" s="160"/>
      <c r="AD1362" s="160"/>
      <c r="AE1362" s="160"/>
      <c r="AF1362" s="160"/>
      <c r="AG1362" s="160"/>
      <c r="AH1362" s="160"/>
      <c r="AI1362" s="160"/>
      <c r="AJ1362" s="160"/>
      <c r="AK1362" s="160"/>
      <c r="AL1362" s="160"/>
      <c r="AM1362" s="160"/>
      <c r="AN1362" s="164"/>
      <c r="AO1362" s="160"/>
      <c r="AP1362" s="160"/>
      <c r="AQ1362" s="160"/>
      <c r="AR1362" s="160"/>
      <c r="AS1362" s="160"/>
      <c r="AT1362" s="160"/>
      <c r="AU1362" s="160"/>
      <c r="AV1362" s="160"/>
      <c r="AW1362" s="160"/>
      <c r="AX1362" s="160"/>
      <c r="AY1362" s="160"/>
      <c r="AZ1362" s="160"/>
      <c r="BA1362" s="160"/>
      <c r="BB1362" s="160"/>
      <c r="BC1362" s="160"/>
      <c r="BD1362" s="160"/>
      <c r="BE1362" s="160"/>
      <c r="BF1362" s="160"/>
      <c r="BG1362" s="160"/>
      <c r="BH1362" s="160"/>
      <c r="BI1362" s="160"/>
      <c r="BJ1362" s="160"/>
      <c r="BK1362" s="160"/>
      <c r="BL1362" s="160"/>
      <c r="BM1362" s="160"/>
      <c r="BN1362" s="160"/>
      <c r="BO1362" s="160"/>
      <c r="BP1362" s="160"/>
      <c r="BQ1362" s="160"/>
      <c r="BR1362" s="160"/>
      <c r="BS1362" s="160"/>
      <c r="BT1362" s="160"/>
      <c r="BU1362" s="160"/>
      <c r="BV1362" s="160"/>
      <c r="BW1362" s="160"/>
      <c r="BX1362" s="160"/>
      <c r="BY1362" s="160"/>
      <c r="BZ1362" s="160"/>
      <c r="CA1362" s="160"/>
      <c r="CB1362" s="160"/>
      <c r="CC1362" s="160"/>
      <c r="CD1362" s="160"/>
      <c r="CE1362" s="160"/>
      <c r="CF1362" s="160"/>
      <c r="CG1362" s="160"/>
      <c r="CH1362" s="160"/>
      <c r="CI1362" s="160"/>
      <c r="CJ1362" s="160"/>
      <c r="CK1362" s="160"/>
      <c r="CL1362" s="160"/>
    </row>
    <row r="1363">
      <c r="A1363" s="171"/>
      <c r="F1363" s="11"/>
      <c r="G1363" s="11"/>
      <c r="L1363" s="171"/>
      <c r="M1363" s="171"/>
      <c r="O1363" s="160"/>
      <c r="P1363" s="160"/>
      <c r="Q1363" s="160"/>
      <c r="R1363" s="160"/>
      <c r="S1363" s="160"/>
      <c r="T1363" s="207"/>
      <c r="U1363" s="160"/>
      <c r="V1363" s="160"/>
      <c r="W1363" s="160"/>
      <c r="X1363" s="160"/>
      <c r="Y1363" s="160"/>
      <c r="Z1363" s="160"/>
      <c r="AA1363" s="160"/>
      <c r="AB1363" s="160"/>
      <c r="AC1363" s="160"/>
      <c r="AD1363" s="160"/>
      <c r="AE1363" s="160"/>
      <c r="AF1363" s="160"/>
      <c r="AG1363" s="160"/>
      <c r="AH1363" s="160"/>
      <c r="AI1363" s="160"/>
      <c r="AJ1363" s="160"/>
      <c r="AK1363" s="160"/>
      <c r="AL1363" s="160"/>
      <c r="AM1363" s="160"/>
      <c r="AN1363" s="164"/>
      <c r="AO1363" s="160"/>
      <c r="AP1363" s="160"/>
      <c r="AQ1363" s="160"/>
      <c r="AR1363" s="160"/>
      <c r="AS1363" s="160"/>
      <c r="AT1363" s="160"/>
      <c r="AU1363" s="160"/>
      <c r="AV1363" s="160"/>
      <c r="AW1363" s="160"/>
      <c r="AX1363" s="160"/>
      <c r="AY1363" s="160"/>
      <c r="AZ1363" s="160"/>
      <c r="BA1363" s="160"/>
      <c r="BB1363" s="160"/>
      <c r="BC1363" s="160"/>
      <c r="BD1363" s="160"/>
      <c r="BE1363" s="160"/>
      <c r="BF1363" s="160"/>
      <c r="BG1363" s="160"/>
      <c r="BH1363" s="160"/>
      <c r="BI1363" s="160"/>
      <c r="BJ1363" s="160"/>
      <c r="BK1363" s="160"/>
      <c r="BL1363" s="160"/>
      <c r="BM1363" s="160"/>
      <c r="BN1363" s="160"/>
      <c r="BO1363" s="160"/>
      <c r="BP1363" s="160"/>
      <c r="BQ1363" s="160"/>
      <c r="BR1363" s="160"/>
      <c r="BS1363" s="160"/>
      <c r="BT1363" s="160"/>
      <c r="BU1363" s="160"/>
      <c r="BV1363" s="160"/>
      <c r="BW1363" s="160"/>
      <c r="BX1363" s="160"/>
      <c r="BY1363" s="160"/>
      <c r="BZ1363" s="160"/>
      <c r="CA1363" s="160"/>
      <c r="CB1363" s="160"/>
      <c r="CC1363" s="160"/>
      <c r="CD1363" s="160"/>
      <c r="CE1363" s="160"/>
      <c r="CF1363" s="160"/>
      <c r="CG1363" s="160"/>
      <c r="CH1363" s="160"/>
      <c r="CI1363" s="160"/>
      <c r="CJ1363" s="160"/>
      <c r="CK1363" s="160"/>
      <c r="CL1363" s="160"/>
    </row>
    <row r="1364">
      <c r="A1364" s="171"/>
      <c r="F1364" s="11"/>
      <c r="G1364" s="11"/>
      <c r="L1364" s="171"/>
      <c r="M1364" s="171"/>
      <c r="O1364" s="160"/>
      <c r="P1364" s="160"/>
      <c r="Q1364" s="160"/>
      <c r="R1364" s="160"/>
      <c r="S1364" s="160"/>
      <c r="T1364" s="207"/>
      <c r="U1364" s="160"/>
      <c r="V1364" s="160"/>
      <c r="W1364" s="160"/>
      <c r="X1364" s="160"/>
      <c r="Y1364" s="160"/>
      <c r="Z1364" s="160"/>
      <c r="AA1364" s="160"/>
      <c r="AB1364" s="160"/>
      <c r="AC1364" s="160"/>
      <c r="AD1364" s="160"/>
      <c r="AE1364" s="160"/>
      <c r="AF1364" s="160"/>
      <c r="AG1364" s="160"/>
      <c r="AH1364" s="160"/>
      <c r="AI1364" s="160"/>
      <c r="AJ1364" s="160"/>
      <c r="AK1364" s="160"/>
      <c r="AL1364" s="160"/>
      <c r="AM1364" s="160"/>
      <c r="AN1364" s="164"/>
      <c r="AO1364" s="160"/>
      <c r="AP1364" s="160"/>
      <c r="AQ1364" s="160"/>
      <c r="AR1364" s="160"/>
      <c r="AS1364" s="160"/>
      <c r="AT1364" s="160"/>
      <c r="AU1364" s="160"/>
      <c r="AV1364" s="160"/>
      <c r="AW1364" s="160"/>
      <c r="AX1364" s="160"/>
      <c r="AY1364" s="160"/>
      <c r="AZ1364" s="160"/>
      <c r="BA1364" s="160"/>
      <c r="BB1364" s="160"/>
      <c r="BC1364" s="160"/>
      <c r="BD1364" s="160"/>
      <c r="BE1364" s="160"/>
      <c r="BF1364" s="160"/>
      <c r="BG1364" s="160"/>
      <c r="BH1364" s="160"/>
      <c r="BI1364" s="160"/>
      <c r="BJ1364" s="160"/>
      <c r="BK1364" s="160"/>
      <c r="BL1364" s="160"/>
      <c r="BM1364" s="160"/>
      <c r="BN1364" s="160"/>
      <c r="BO1364" s="160"/>
      <c r="BP1364" s="160"/>
      <c r="BQ1364" s="160"/>
      <c r="BR1364" s="160"/>
      <c r="BS1364" s="160"/>
      <c r="BT1364" s="160"/>
      <c r="BU1364" s="160"/>
      <c r="BV1364" s="160"/>
      <c r="BW1364" s="160"/>
      <c r="BX1364" s="160"/>
      <c r="BY1364" s="160"/>
      <c r="BZ1364" s="160"/>
      <c r="CA1364" s="160"/>
      <c r="CB1364" s="160"/>
      <c r="CC1364" s="160"/>
      <c r="CD1364" s="160"/>
      <c r="CE1364" s="160"/>
      <c r="CF1364" s="160"/>
      <c r="CG1364" s="160"/>
      <c r="CH1364" s="160"/>
      <c r="CI1364" s="160"/>
      <c r="CJ1364" s="160"/>
      <c r="CK1364" s="160"/>
      <c r="CL1364" s="160"/>
    </row>
    <row r="1365">
      <c r="A1365" s="171"/>
      <c r="F1365" s="11"/>
      <c r="G1365" s="11"/>
      <c r="L1365" s="171"/>
      <c r="M1365" s="171"/>
      <c r="O1365" s="160"/>
      <c r="P1365" s="160"/>
      <c r="Q1365" s="160"/>
      <c r="R1365" s="160"/>
      <c r="S1365" s="160"/>
      <c r="T1365" s="207"/>
      <c r="U1365" s="160"/>
      <c r="V1365" s="160"/>
      <c r="W1365" s="160"/>
      <c r="X1365" s="160"/>
      <c r="Y1365" s="160"/>
      <c r="Z1365" s="160"/>
      <c r="AA1365" s="160"/>
      <c r="AB1365" s="160"/>
      <c r="AC1365" s="160"/>
      <c r="AD1365" s="160"/>
      <c r="AE1365" s="160"/>
      <c r="AF1365" s="160"/>
      <c r="AG1365" s="160"/>
      <c r="AH1365" s="160"/>
      <c r="AI1365" s="160"/>
      <c r="AJ1365" s="160"/>
      <c r="AK1365" s="160"/>
      <c r="AL1365" s="160"/>
      <c r="AM1365" s="160"/>
      <c r="AN1365" s="164"/>
      <c r="AO1365" s="160"/>
      <c r="AP1365" s="160"/>
      <c r="AQ1365" s="160"/>
      <c r="AR1365" s="160"/>
      <c r="AS1365" s="160"/>
      <c r="AT1365" s="160"/>
      <c r="AU1365" s="160"/>
      <c r="AV1365" s="160"/>
      <c r="AW1365" s="160"/>
      <c r="AX1365" s="160"/>
      <c r="AY1365" s="160"/>
      <c r="AZ1365" s="160"/>
      <c r="BA1365" s="160"/>
      <c r="BB1365" s="160"/>
      <c r="BC1365" s="160"/>
      <c r="BD1365" s="160"/>
      <c r="BE1365" s="160"/>
      <c r="BF1365" s="160"/>
      <c r="BG1365" s="160"/>
      <c r="BH1365" s="160"/>
      <c r="BI1365" s="160"/>
      <c r="BJ1365" s="160"/>
      <c r="BK1365" s="160"/>
      <c r="BL1365" s="160"/>
      <c r="BM1365" s="160"/>
      <c r="BN1365" s="160"/>
      <c r="BO1365" s="160"/>
      <c r="BP1365" s="160"/>
      <c r="BQ1365" s="160"/>
      <c r="BR1365" s="160"/>
      <c r="BS1365" s="160"/>
      <c r="BT1365" s="160"/>
      <c r="BU1365" s="160"/>
      <c r="BV1365" s="160"/>
      <c r="BW1365" s="160"/>
      <c r="BX1365" s="160"/>
      <c r="BY1365" s="160"/>
      <c r="BZ1365" s="160"/>
      <c r="CA1365" s="160"/>
      <c r="CB1365" s="160"/>
      <c r="CC1365" s="160"/>
      <c r="CD1365" s="160"/>
      <c r="CE1365" s="160"/>
      <c r="CF1365" s="160"/>
      <c r="CG1365" s="160"/>
      <c r="CH1365" s="160"/>
      <c r="CI1365" s="160"/>
      <c r="CJ1365" s="160"/>
      <c r="CK1365" s="160"/>
      <c r="CL1365" s="160"/>
    </row>
    <row r="1366">
      <c r="A1366" s="171"/>
      <c r="F1366" s="11"/>
      <c r="G1366" s="11"/>
      <c r="L1366" s="171"/>
      <c r="M1366" s="171"/>
      <c r="O1366" s="160"/>
      <c r="P1366" s="160"/>
      <c r="Q1366" s="160"/>
      <c r="R1366" s="160"/>
      <c r="S1366" s="160"/>
      <c r="T1366" s="207"/>
      <c r="U1366" s="160"/>
      <c r="V1366" s="160"/>
      <c r="W1366" s="160"/>
      <c r="X1366" s="160"/>
      <c r="Y1366" s="160"/>
      <c r="Z1366" s="160"/>
      <c r="AA1366" s="160"/>
      <c r="AB1366" s="160"/>
      <c r="AC1366" s="160"/>
      <c r="AD1366" s="160"/>
      <c r="AE1366" s="160"/>
      <c r="AF1366" s="160"/>
      <c r="AG1366" s="160"/>
      <c r="AH1366" s="160"/>
      <c r="AI1366" s="160"/>
      <c r="AJ1366" s="160"/>
      <c r="AK1366" s="160"/>
      <c r="AL1366" s="160"/>
      <c r="AM1366" s="160"/>
      <c r="AN1366" s="164"/>
      <c r="AO1366" s="160"/>
      <c r="AP1366" s="160"/>
      <c r="AQ1366" s="160"/>
      <c r="AR1366" s="160"/>
      <c r="AS1366" s="160"/>
      <c r="AT1366" s="160"/>
      <c r="AU1366" s="160"/>
      <c r="AV1366" s="160"/>
      <c r="AW1366" s="160"/>
      <c r="AX1366" s="160"/>
      <c r="AY1366" s="160"/>
      <c r="AZ1366" s="160"/>
      <c r="BA1366" s="160"/>
      <c r="BB1366" s="160"/>
      <c r="BC1366" s="160"/>
      <c r="BD1366" s="160"/>
      <c r="BE1366" s="160"/>
      <c r="BF1366" s="160"/>
      <c r="BG1366" s="160"/>
      <c r="BH1366" s="160"/>
      <c r="BI1366" s="160"/>
      <c r="BJ1366" s="160"/>
      <c r="BK1366" s="160"/>
      <c r="BL1366" s="160"/>
      <c r="BM1366" s="160"/>
      <c r="BN1366" s="160"/>
      <c r="BO1366" s="160"/>
      <c r="BP1366" s="160"/>
      <c r="BQ1366" s="160"/>
      <c r="BR1366" s="160"/>
      <c r="BS1366" s="160"/>
      <c r="BT1366" s="160"/>
      <c r="BU1366" s="160"/>
      <c r="BV1366" s="160"/>
      <c r="BW1366" s="160"/>
      <c r="BX1366" s="160"/>
      <c r="BY1366" s="160"/>
      <c r="BZ1366" s="160"/>
      <c r="CA1366" s="160"/>
      <c r="CB1366" s="160"/>
      <c r="CC1366" s="160"/>
      <c r="CD1366" s="160"/>
      <c r="CE1366" s="160"/>
      <c r="CF1366" s="160"/>
      <c r="CG1366" s="160"/>
      <c r="CH1366" s="160"/>
      <c r="CI1366" s="160"/>
      <c r="CJ1366" s="160"/>
      <c r="CK1366" s="160"/>
      <c r="CL1366" s="160"/>
    </row>
    <row r="1367">
      <c r="A1367" s="171"/>
      <c r="F1367" s="11"/>
      <c r="G1367" s="11"/>
      <c r="L1367" s="171"/>
      <c r="M1367" s="171"/>
      <c r="O1367" s="160"/>
      <c r="P1367" s="160"/>
      <c r="Q1367" s="160"/>
      <c r="R1367" s="160"/>
      <c r="S1367" s="160"/>
      <c r="T1367" s="207"/>
      <c r="U1367" s="160"/>
      <c r="V1367" s="160"/>
      <c r="W1367" s="160"/>
      <c r="X1367" s="160"/>
      <c r="Y1367" s="160"/>
      <c r="Z1367" s="160"/>
      <c r="AA1367" s="160"/>
      <c r="AB1367" s="160"/>
      <c r="AC1367" s="160"/>
      <c r="AD1367" s="160"/>
      <c r="AE1367" s="160"/>
      <c r="AF1367" s="160"/>
      <c r="AG1367" s="160"/>
      <c r="AH1367" s="160"/>
      <c r="AI1367" s="160"/>
      <c r="AJ1367" s="160"/>
      <c r="AK1367" s="160"/>
      <c r="AL1367" s="160"/>
      <c r="AM1367" s="160"/>
      <c r="AN1367" s="164"/>
      <c r="AO1367" s="160"/>
      <c r="AP1367" s="160"/>
      <c r="AQ1367" s="160"/>
      <c r="AR1367" s="160"/>
      <c r="AS1367" s="160"/>
      <c r="AT1367" s="160"/>
      <c r="AU1367" s="160"/>
      <c r="AV1367" s="160"/>
      <c r="AW1367" s="160"/>
      <c r="AX1367" s="160"/>
      <c r="AY1367" s="160"/>
      <c r="AZ1367" s="160"/>
      <c r="BA1367" s="160"/>
      <c r="BB1367" s="160"/>
      <c r="BC1367" s="160"/>
      <c r="BD1367" s="160"/>
      <c r="BE1367" s="160"/>
      <c r="BF1367" s="160"/>
      <c r="BG1367" s="160"/>
      <c r="BH1367" s="160"/>
      <c r="BI1367" s="160"/>
      <c r="BJ1367" s="160"/>
      <c r="BK1367" s="160"/>
      <c r="BL1367" s="160"/>
      <c r="BM1367" s="160"/>
      <c r="BN1367" s="160"/>
      <c r="BO1367" s="160"/>
      <c r="BP1367" s="160"/>
      <c r="BQ1367" s="160"/>
      <c r="BR1367" s="160"/>
      <c r="BS1367" s="160"/>
      <c r="BT1367" s="160"/>
      <c r="BU1367" s="160"/>
      <c r="BV1367" s="160"/>
      <c r="BW1367" s="160"/>
      <c r="BX1367" s="160"/>
      <c r="BY1367" s="160"/>
      <c r="BZ1367" s="160"/>
      <c r="CA1367" s="160"/>
      <c r="CB1367" s="160"/>
      <c r="CC1367" s="160"/>
      <c r="CD1367" s="160"/>
      <c r="CE1367" s="160"/>
      <c r="CF1367" s="160"/>
      <c r="CG1367" s="160"/>
      <c r="CH1367" s="160"/>
      <c r="CI1367" s="160"/>
      <c r="CJ1367" s="160"/>
      <c r="CK1367" s="160"/>
      <c r="CL1367" s="160"/>
    </row>
    <row r="1368">
      <c r="A1368" s="171"/>
      <c r="F1368" s="11"/>
      <c r="G1368" s="11"/>
      <c r="L1368" s="171"/>
      <c r="M1368" s="171"/>
      <c r="O1368" s="160"/>
      <c r="P1368" s="160"/>
      <c r="Q1368" s="160"/>
      <c r="R1368" s="160"/>
      <c r="S1368" s="160"/>
      <c r="T1368" s="207"/>
      <c r="U1368" s="160"/>
      <c r="V1368" s="160"/>
      <c r="W1368" s="160"/>
      <c r="X1368" s="160"/>
      <c r="Y1368" s="160"/>
      <c r="Z1368" s="160"/>
      <c r="AA1368" s="160"/>
      <c r="AB1368" s="160"/>
      <c r="AC1368" s="160"/>
      <c r="AD1368" s="160"/>
      <c r="AE1368" s="160"/>
      <c r="AF1368" s="160"/>
      <c r="AG1368" s="160"/>
      <c r="AH1368" s="160"/>
      <c r="AI1368" s="160"/>
      <c r="AJ1368" s="160"/>
      <c r="AK1368" s="160"/>
      <c r="AL1368" s="160"/>
      <c r="AM1368" s="160"/>
      <c r="AN1368" s="164"/>
      <c r="AO1368" s="160"/>
      <c r="AP1368" s="160"/>
      <c r="AQ1368" s="160"/>
      <c r="AR1368" s="160"/>
      <c r="AS1368" s="160"/>
      <c r="AT1368" s="160"/>
      <c r="AU1368" s="160"/>
      <c r="AV1368" s="160"/>
      <c r="AW1368" s="160"/>
      <c r="AX1368" s="160"/>
      <c r="AY1368" s="160"/>
      <c r="AZ1368" s="160"/>
      <c r="BA1368" s="160"/>
      <c r="BB1368" s="160"/>
      <c r="BC1368" s="160"/>
      <c r="BD1368" s="160"/>
      <c r="BE1368" s="160"/>
      <c r="BF1368" s="160"/>
      <c r="BG1368" s="160"/>
      <c r="BH1368" s="160"/>
      <c r="BI1368" s="160"/>
      <c r="BJ1368" s="160"/>
      <c r="BK1368" s="160"/>
      <c r="BL1368" s="160"/>
      <c r="BM1368" s="160"/>
      <c r="BN1368" s="160"/>
      <c r="BO1368" s="160"/>
      <c r="BP1368" s="160"/>
      <c r="BQ1368" s="160"/>
      <c r="BR1368" s="160"/>
      <c r="BS1368" s="160"/>
      <c r="BT1368" s="160"/>
      <c r="BU1368" s="160"/>
      <c r="BV1368" s="160"/>
      <c r="BW1368" s="160"/>
      <c r="BX1368" s="160"/>
      <c r="BY1368" s="160"/>
      <c r="BZ1368" s="160"/>
      <c r="CA1368" s="160"/>
      <c r="CB1368" s="160"/>
      <c r="CC1368" s="160"/>
      <c r="CD1368" s="160"/>
      <c r="CE1368" s="160"/>
      <c r="CF1368" s="160"/>
      <c r="CG1368" s="160"/>
      <c r="CH1368" s="160"/>
      <c r="CI1368" s="160"/>
      <c r="CJ1368" s="160"/>
      <c r="CK1368" s="160"/>
      <c r="CL1368" s="160"/>
    </row>
    <row r="1369">
      <c r="A1369" s="171"/>
      <c r="F1369" s="11"/>
      <c r="G1369" s="11"/>
      <c r="L1369" s="171"/>
      <c r="M1369" s="171"/>
      <c r="O1369" s="160"/>
      <c r="P1369" s="160"/>
      <c r="Q1369" s="160"/>
      <c r="R1369" s="160"/>
      <c r="S1369" s="160"/>
      <c r="T1369" s="207"/>
      <c r="U1369" s="160"/>
      <c r="V1369" s="160"/>
      <c r="W1369" s="160"/>
      <c r="X1369" s="160"/>
      <c r="Y1369" s="160"/>
      <c r="Z1369" s="160"/>
      <c r="AA1369" s="160"/>
      <c r="AB1369" s="160"/>
      <c r="AC1369" s="160"/>
      <c r="AD1369" s="160"/>
      <c r="AE1369" s="160"/>
      <c r="AF1369" s="160"/>
      <c r="AG1369" s="160"/>
      <c r="AH1369" s="160"/>
      <c r="AI1369" s="160"/>
      <c r="AJ1369" s="160"/>
      <c r="AK1369" s="160"/>
      <c r="AL1369" s="160"/>
      <c r="AM1369" s="160"/>
      <c r="AN1369" s="164"/>
      <c r="AO1369" s="160"/>
      <c r="AP1369" s="160"/>
      <c r="AQ1369" s="160"/>
      <c r="AR1369" s="160"/>
      <c r="AS1369" s="160"/>
      <c r="AT1369" s="160"/>
      <c r="AU1369" s="160"/>
      <c r="AV1369" s="160"/>
      <c r="AW1369" s="160"/>
      <c r="AX1369" s="160"/>
      <c r="AY1369" s="160"/>
      <c r="AZ1369" s="160"/>
      <c r="BA1369" s="160"/>
      <c r="BB1369" s="160"/>
      <c r="BC1369" s="160"/>
      <c r="BD1369" s="160"/>
      <c r="BE1369" s="160"/>
      <c r="BF1369" s="160"/>
      <c r="BG1369" s="160"/>
      <c r="BH1369" s="160"/>
      <c r="BI1369" s="160"/>
      <c r="BJ1369" s="160"/>
      <c r="BK1369" s="160"/>
      <c r="BL1369" s="160"/>
      <c r="BM1369" s="160"/>
      <c r="BN1369" s="160"/>
      <c r="BO1369" s="160"/>
      <c r="BP1369" s="160"/>
      <c r="BQ1369" s="160"/>
      <c r="BR1369" s="160"/>
      <c r="BS1369" s="160"/>
      <c r="BT1369" s="160"/>
      <c r="BU1369" s="160"/>
      <c r="BV1369" s="160"/>
      <c r="BW1369" s="160"/>
      <c r="BX1369" s="160"/>
      <c r="BY1369" s="160"/>
      <c r="BZ1369" s="160"/>
      <c r="CA1369" s="160"/>
      <c r="CB1369" s="160"/>
      <c r="CC1369" s="160"/>
      <c r="CD1369" s="160"/>
      <c r="CE1369" s="160"/>
      <c r="CF1369" s="160"/>
      <c r="CG1369" s="160"/>
      <c r="CH1369" s="160"/>
      <c r="CI1369" s="160"/>
      <c r="CJ1369" s="160"/>
      <c r="CK1369" s="160"/>
      <c r="CL1369" s="160"/>
    </row>
    <row r="1370">
      <c r="A1370" s="171"/>
      <c r="F1370" s="11"/>
      <c r="G1370" s="11"/>
      <c r="L1370" s="171"/>
      <c r="M1370" s="171"/>
      <c r="O1370" s="160"/>
      <c r="P1370" s="160"/>
      <c r="Q1370" s="160"/>
      <c r="R1370" s="160"/>
      <c r="S1370" s="160"/>
      <c r="T1370" s="207"/>
      <c r="U1370" s="160"/>
      <c r="V1370" s="160"/>
      <c r="W1370" s="160"/>
      <c r="X1370" s="160"/>
      <c r="Y1370" s="160"/>
      <c r="Z1370" s="160"/>
      <c r="AA1370" s="160"/>
      <c r="AB1370" s="160"/>
      <c r="AC1370" s="160"/>
      <c r="AD1370" s="160"/>
      <c r="AE1370" s="160"/>
      <c r="AF1370" s="160"/>
      <c r="AG1370" s="160"/>
      <c r="AH1370" s="160"/>
      <c r="AI1370" s="160"/>
      <c r="AJ1370" s="160"/>
      <c r="AK1370" s="160"/>
      <c r="AL1370" s="160"/>
      <c r="AM1370" s="160"/>
      <c r="AN1370" s="164"/>
      <c r="AO1370" s="160"/>
      <c r="AP1370" s="160"/>
      <c r="AQ1370" s="160"/>
      <c r="AR1370" s="160"/>
      <c r="AS1370" s="160"/>
      <c r="AT1370" s="160"/>
      <c r="AU1370" s="160"/>
      <c r="AV1370" s="160"/>
      <c r="AW1370" s="160"/>
      <c r="AX1370" s="160"/>
      <c r="AY1370" s="160"/>
      <c r="AZ1370" s="160"/>
      <c r="BA1370" s="160"/>
      <c r="BB1370" s="160"/>
      <c r="BC1370" s="160"/>
      <c r="BD1370" s="160"/>
      <c r="BE1370" s="160"/>
      <c r="BF1370" s="160"/>
      <c r="BG1370" s="160"/>
      <c r="BH1370" s="160"/>
      <c r="BI1370" s="160"/>
      <c r="BJ1370" s="160"/>
      <c r="BK1370" s="160"/>
      <c r="BL1370" s="160"/>
      <c r="BM1370" s="160"/>
      <c r="BN1370" s="160"/>
      <c r="BO1370" s="160"/>
      <c r="BP1370" s="160"/>
      <c r="BQ1370" s="160"/>
      <c r="BR1370" s="160"/>
      <c r="BS1370" s="160"/>
      <c r="BT1370" s="160"/>
      <c r="BU1370" s="160"/>
      <c r="BV1370" s="160"/>
      <c r="BW1370" s="160"/>
      <c r="BX1370" s="160"/>
      <c r="BY1370" s="160"/>
      <c r="BZ1370" s="160"/>
      <c r="CA1370" s="160"/>
      <c r="CB1370" s="160"/>
      <c r="CC1370" s="160"/>
      <c r="CD1370" s="160"/>
      <c r="CE1370" s="160"/>
      <c r="CF1370" s="160"/>
      <c r="CG1370" s="160"/>
      <c r="CH1370" s="160"/>
      <c r="CI1370" s="160"/>
      <c r="CJ1370" s="160"/>
      <c r="CK1370" s="160"/>
      <c r="CL1370" s="160"/>
    </row>
    <row r="1371">
      <c r="A1371" s="171"/>
      <c r="F1371" s="11"/>
      <c r="G1371" s="11"/>
      <c r="L1371" s="171"/>
      <c r="M1371" s="171"/>
      <c r="O1371" s="160"/>
      <c r="P1371" s="160"/>
      <c r="Q1371" s="160"/>
      <c r="R1371" s="160"/>
      <c r="S1371" s="160"/>
      <c r="T1371" s="207"/>
      <c r="U1371" s="160"/>
      <c r="V1371" s="160"/>
      <c r="W1371" s="160"/>
      <c r="X1371" s="160"/>
      <c r="Y1371" s="160"/>
      <c r="Z1371" s="160"/>
      <c r="AA1371" s="160"/>
      <c r="AB1371" s="160"/>
      <c r="AC1371" s="160"/>
      <c r="AD1371" s="160"/>
      <c r="AE1371" s="160"/>
      <c r="AF1371" s="160"/>
      <c r="AG1371" s="160"/>
      <c r="AH1371" s="160"/>
      <c r="AI1371" s="160"/>
      <c r="AJ1371" s="160"/>
      <c r="AK1371" s="160"/>
      <c r="AL1371" s="160"/>
      <c r="AM1371" s="160"/>
      <c r="AN1371" s="164"/>
      <c r="AO1371" s="160"/>
      <c r="AP1371" s="160"/>
      <c r="AQ1371" s="160"/>
      <c r="AR1371" s="160"/>
      <c r="AS1371" s="160"/>
      <c r="AT1371" s="160"/>
      <c r="AU1371" s="160"/>
      <c r="AV1371" s="160"/>
      <c r="AW1371" s="160"/>
      <c r="AX1371" s="160"/>
      <c r="AY1371" s="160"/>
      <c r="AZ1371" s="160"/>
      <c r="BA1371" s="160"/>
      <c r="BB1371" s="160"/>
      <c r="BC1371" s="160"/>
      <c r="BD1371" s="160"/>
      <c r="BE1371" s="160"/>
      <c r="BF1371" s="160"/>
      <c r="BG1371" s="160"/>
      <c r="BH1371" s="160"/>
      <c r="BI1371" s="160"/>
      <c r="BJ1371" s="160"/>
      <c r="BK1371" s="160"/>
      <c r="BL1371" s="160"/>
      <c r="BM1371" s="160"/>
      <c r="BN1371" s="160"/>
      <c r="BO1371" s="160"/>
      <c r="BP1371" s="160"/>
      <c r="BQ1371" s="160"/>
      <c r="BR1371" s="160"/>
      <c r="BS1371" s="160"/>
      <c r="BT1371" s="160"/>
      <c r="BU1371" s="160"/>
      <c r="BV1371" s="160"/>
      <c r="BW1371" s="160"/>
      <c r="BX1371" s="160"/>
      <c r="BY1371" s="160"/>
      <c r="BZ1371" s="160"/>
      <c r="CA1371" s="160"/>
      <c r="CB1371" s="160"/>
      <c r="CC1371" s="160"/>
      <c r="CD1371" s="160"/>
      <c r="CE1371" s="160"/>
      <c r="CF1371" s="160"/>
      <c r="CG1371" s="160"/>
      <c r="CH1371" s="160"/>
      <c r="CI1371" s="160"/>
      <c r="CJ1371" s="160"/>
      <c r="CK1371" s="160"/>
      <c r="CL1371" s="160"/>
    </row>
    <row r="1372">
      <c r="A1372" s="171"/>
      <c r="F1372" s="11"/>
      <c r="G1372" s="11"/>
      <c r="L1372" s="171"/>
      <c r="M1372" s="171"/>
      <c r="O1372" s="160"/>
      <c r="P1372" s="160"/>
      <c r="Q1372" s="160"/>
      <c r="R1372" s="160"/>
      <c r="S1372" s="160"/>
      <c r="T1372" s="207"/>
      <c r="U1372" s="160"/>
      <c r="V1372" s="160"/>
      <c r="W1372" s="160"/>
      <c r="X1372" s="160"/>
      <c r="Y1372" s="160"/>
      <c r="Z1372" s="160"/>
      <c r="AA1372" s="160"/>
      <c r="AB1372" s="160"/>
      <c r="AC1372" s="160"/>
      <c r="AD1372" s="160"/>
      <c r="AE1372" s="160"/>
      <c r="AF1372" s="160"/>
      <c r="AG1372" s="160"/>
      <c r="AH1372" s="160"/>
      <c r="AI1372" s="160"/>
      <c r="AJ1372" s="160"/>
      <c r="AK1372" s="160"/>
      <c r="AL1372" s="160"/>
      <c r="AM1372" s="160"/>
      <c r="AN1372" s="164"/>
      <c r="AO1372" s="160"/>
      <c r="AP1372" s="160"/>
      <c r="AQ1372" s="160"/>
      <c r="AR1372" s="160"/>
      <c r="AS1372" s="160"/>
      <c r="AT1372" s="160"/>
      <c r="AU1372" s="160"/>
      <c r="AV1372" s="160"/>
      <c r="AW1372" s="160"/>
      <c r="AX1372" s="160"/>
      <c r="AY1372" s="160"/>
      <c r="AZ1372" s="160"/>
      <c r="BA1372" s="160"/>
      <c r="BB1372" s="160"/>
      <c r="BC1372" s="160"/>
      <c r="BD1372" s="160"/>
      <c r="BE1372" s="160"/>
      <c r="BF1372" s="160"/>
      <c r="BG1372" s="160"/>
      <c r="BH1372" s="160"/>
      <c r="BI1372" s="160"/>
      <c r="BJ1372" s="160"/>
      <c r="BK1372" s="160"/>
      <c r="BL1372" s="160"/>
      <c r="BM1372" s="160"/>
      <c r="BN1372" s="160"/>
      <c r="BO1372" s="160"/>
      <c r="BP1372" s="160"/>
      <c r="BQ1372" s="160"/>
      <c r="BR1372" s="160"/>
      <c r="BS1372" s="160"/>
      <c r="BT1372" s="160"/>
      <c r="BU1372" s="160"/>
      <c r="BV1372" s="160"/>
      <c r="BW1372" s="160"/>
      <c r="BX1372" s="160"/>
      <c r="BY1372" s="160"/>
      <c r="BZ1372" s="160"/>
      <c r="CA1372" s="160"/>
      <c r="CB1372" s="160"/>
      <c r="CC1372" s="160"/>
      <c r="CD1372" s="160"/>
      <c r="CE1372" s="160"/>
      <c r="CF1372" s="160"/>
      <c r="CG1372" s="160"/>
      <c r="CH1372" s="160"/>
      <c r="CI1372" s="160"/>
      <c r="CJ1372" s="160"/>
      <c r="CK1372" s="160"/>
      <c r="CL1372" s="160"/>
    </row>
    <row r="1373">
      <c r="A1373" s="171"/>
      <c r="F1373" s="11"/>
      <c r="G1373" s="11"/>
      <c r="L1373" s="171"/>
      <c r="M1373" s="171"/>
      <c r="O1373" s="160"/>
      <c r="P1373" s="160"/>
      <c r="Q1373" s="160"/>
      <c r="R1373" s="160"/>
      <c r="S1373" s="160"/>
      <c r="T1373" s="207"/>
      <c r="U1373" s="160"/>
      <c r="V1373" s="160"/>
      <c r="W1373" s="160"/>
      <c r="X1373" s="160"/>
      <c r="Y1373" s="160"/>
      <c r="Z1373" s="160"/>
      <c r="AA1373" s="160"/>
      <c r="AB1373" s="160"/>
      <c r="AC1373" s="160"/>
      <c r="AD1373" s="160"/>
      <c r="AE1373" s="160"/>
      <c r="AF1373" s="160"/>
      <c r="AG1373" s="160"/>
      <c r="AH1373" s="160"/>
      <c r="AI1373" s="160"/>
      <c r="AJ1373" s="160"/>
      <c r="AK1373" s="160"/>
      <c r="AL1373" s="160"/>
      <c r="AM1373" s="160"/>
      <c r="AN1373" s="164"/>
      <c r="AO1373" s="160"/>
      <c r="AP1373" s="160"/>
      <c r="AQ1373" s="160"/>
      <c r="AR1373" s="160"/>
      <c r="AS1373" s="160"/>
      <c r="AT1373" s="160"/>
      <c r="AU1373" s="160"/>
      <c r="AV1373" s="160"/>
      <c r="AW1373" s="160"/>
      <c r="AX1373" s="160"/>
      <c r="AY1373" s="160"/>
      <c r="AZ1373" s="160"/>
      <c r="BA1373" s="160"/>
      <c r="BB1373" s="160"/>
      <c r="BC1373" s="160"/>
      <c r="BD1373" s="160"/>
      <c r="BE1373" s="160"/>
      <c r="BF1373" s="160"/>
      <c r="BG1373" s="160"/>
      <c r="BH1373" s="160"/>
      <c r="BI1373" s="160"/>
      <c r="BJ1373" s="160"/>
      <c r="BK1373" s="160"/>
      <c r="BL1373" s="160"/>
      <c r="BM1373" s="160"/>
      <c r="BN1373" s="160"/>
      <c r="BO1373" s="160"/>
      <c r="BP1373" s="160"/>
      <c r="BQ1373" s="160"/>
      <c r="BR1373" s="160"/>
      <c r="BS1373" s="160"/>
      <c r="BT1373" s="160"/>
      <c r="BU1373" s="160"/>
      <c r="BV1373" s="160"/>
      <c r="BW1373" s="160"/>
      <c r="BX1373" s="160"/>
      <c r="BY1373" s="160"/>
      <c r="BZ1373" s="160"/>
      <c r="CA1373" s="160"/>
      <c r="CB1373" s="160"/>
      <c r="CC1373" s="160"/>
      <c r="CD1373" s="160"/>
      <c r="CE1373" s="160"/>
      <c r="CF1373" s="160"/>
      <c r="CG1373" s="160"/>
      <c r="CH1373" s="160"/>
      <c r="CI1373" s="160"/>
      <c r="CJ1373" s="160"/>
      <c r="CK1373" s="160"/>
      <c r="CL1373" s="160"/>
    </row>
    <row r="1374">
      <c r="A1374" s="171"/>
      <c r="F1374" s="11"/>
      <c r="G1374" s="11"/>
      <c r="L1374" s="171"/>
      <c r="M1374" s="171"/>
      <c r="O1374" s="160"/>
      <c r="P1374" s="160"/>
      <c r="Q1374" s="160"/>
      <c r="R1374" s="160"/>
      <c r="S1374" s="160"/>
      <c r="T1374" s="207"/>
      <c r="U1374" s="160"/>
      <c r="V1374" s="160"/>
      <c r="W1374" s="160"/>
      <c r="X1374" s="160"/>
      <c r="Y1374" s="160"/>
      <c r="Z1374" s="160"/>
      <c r="AA1374" s="160"/>
      <c r="AB1374" s="160"/>
      <c r="AC1374" s="160"/>
      <c r="AD1374" s="160"/>
      <c r="AE1374" s="160"/>
      <c r="AF1374" s="160"/>
      <c r="AG1374" s="160"/>
      <c r="AH1374" s="160"/>
      <c r="AI1374" s="160"/>
      <c r="AJ1374" s="160"/>
      <c r="AK1374" s="160"/>
      <c r="AL1374" s="160"/>
      <c r="AM1374" s="160"/>
      <c r="AN1374" s="164"/>
      <c r="AO1374" s="160"/>
      <c r="AP1374" s="160"/>
      <c r="AQ1374" s="160"/>
      <c r="AR1374" s="160"/>
      <c r="AS1374" s="160"/>
      <c r="AT1374" s="160"/>
      <c r="AU1374" s="160"/>
      <c r="AV1374" s="160"/>
      <c r="AW1374" s="160"/>
      <c r="AX1374" s="160"/>
      <c r="AY1374" s="160"/>
      <c r="AZ1374" s="160"/>
      <c r="BA1374" s="160"/>
      <c r="BB1374" s="160"/>
      <c r="BC1374" s="160"/>
      <c r="BD1374" s="160"/>
      <c r="BE1374" s="160"/>
      <c r="BF1374" s="160"/>
      <c r="BG1374" s="160"/>
      <c r="BH1374" s="160"/>
      <c r="BI1374" s="160"/>
      <c r="BJ1374" s="160"/>
      <c r="BK1374" s="160"/>
      <c r="BL1374" s="160"/>
      <c r="BM1374" s="160"/>
      <c r="BN1374" s="160"/>
      <c r="BO1374" s="160"/>
      <c r="BP1374" s="160"/>
      <c r="BQ1374" s="160"/>
      <c r="BR1374" s="160"/>
      <c r="BS1374" s="160"/>
      <c r="BT1374" s="160"/>
      <c r="BU1374" s="160"/>
      <c r="BV1374" s="160"/>
      <c r="BW1374" s="160"/>
      <c r="BX1374" s="160"/>
      <c r="BY1374" s="160"/>
      <c r="BZ1374" s="160"/>
      <c r="CA1374" s="160"/>
      <c r="CB1374" s="160"/>
      <c r="CC1374" s="160"/>
      <c r="CD1374" s="160"/>
      <c r="CE1374" s="160"/>
      <c r="CF1374" s="160"/>
      <c r="CG1374" s="160"/>
      <c r="CH1374" s="160"/>
      <c r="CI1374" s="160"/>
      <c r="CJ1374" s="160"/>
      <c r="CK1374" s="160"/>
      <c r="CL1374" s="160"/>
    </row>
    <row r="1375">
      <c r="A1375" s="171"/>
      <c r="F1375" s="11"/>
      <c r="G1375" s="11"/>
      <c r="L1375" s="171"/>
      <c r="M1375" s="171"/>
      <c r="O1375" s="160"/>
      <c r="P1375" s="160"/>
      <c r="Q1375" s="160"/>
      <c r="R1375" s="160"/>
      <c r="S1375" s="160"/>
      <c r="T1375" s="207"/>
      <c r="U1375" s="160"/>
      <c r="V1375" s="160"/>
      <c r="W1375" s="160"/>
      <c r="X1375" s="160"/>
      <c r="Y1375" s="160"/>
      <c r="Z1375" s="160"/>
      <c r="AA1375" s="160"/>
      <c r="AB1375" s="160"/>
      <c r="AC1375" s="160"/>
      <c r="AD1375" s="160"/>
      <c r="AE1375" s="160"/>
      <c r="AF1375" s="160"/>
      <c r="AG1375" s="160"/>
      <c r="AH1375" s="160"/>
      <c r="AI1375" s="160"/>
      <c r="AJ1375" s="160"/>
      <c r="AK1375" s="160"/>
      <c r="AL1375" s="160"/>
      <c r="AM1375" s="160"/>
      <c r="AN1375" s="164"/>
      <c r="AO1375" s="160"/>
      <c r="AP1375" s="160"/>
      <c r="AQ1375" s="160"/>
      <c r="AR1375" s="160"/>
      <c r="AS1375" s="160"/>
      <c r="AT1375" s="160"/>
      <c r="AU1375" s="160"/>
      <c r="AV1375" s="160"/>
      <c r="AW1375" s="160"/>
      <c r="AX1375" s="160"/>
      <c r="AY1375" s="160"/>
      <c r="AZ1375" s="160"/>
      <c r="BA1375" s="160"/>
      <c r="BB1375" s="160"/>
      <c r="BC1375" s="160"/>
      <c r="BD1375" s="160"/>
      <c r="BE1375" s="160"/>
      <c r="BF1375" s="160"/>
      <c r="BG1375" s="160"/>
      <c r="BH1375" s="160"/>
      <c r="BI1375" s="160"/>
      <c r="BJ1375" s="160"/>
      <c r="BK1375" s="160"/>
      <c r="BL1375" s="160"/>
      <c r="BM1375" s="160"/>
      <c r="BN1375" s="160"/>
      <c r="BO1375" s="160"/>
      <c r="BP1375" s="160"/>
      <c r="BQ1375" s="160"/>
      <c r="BR1375" s="160"/>
      <c r="BS1375" s="160"/>
      <c r="BT1375" s="160"/>
      <c r="BU1375" s="160"/>
      <c r="BV1375" s="160"/>
      <c r="BW1375" s="160"/>
      <c r="BX1375" s="160"/>
      <c r="BY1375" s="160"/>
      <c r="BZ1375" s="160"/>
      <c r="CA1375" s="160"/>
      <c r="CB1375" s="160"/>
      <c r="CC1375" s="160"/>
      <c r="CD1375" s="160"/>
      <c r="CE1375" s="160"/>
      <c r="CF1375" s="160"/>
      <c r="CG1375" s="160"/>
      <c r="CH1375" s="160"/>
      <c r="CI1375" s="160"/>
      <c r="CJ1375" s="160"/>
      <c r="CK1375" s="160"/>
      <c r="CL1375" s="160"/>
    </row>
    <row r="1376">
      <c r="A1376" s="171"/>
      <c r="F1376" s="11"/>
      <c r="G1376" s="11"/>
      <c r="L1376" s="171"/>
      <c r="M1376" s="171"/>
      <c r="O1376" s="160"/>
      <c r="P1376" s="160"/>
      <c r="Q1376" s="160"/>
      <c r="R1376" s="160"/>
      <c r="S1376" s="160"/>
      <c r="T1376" s="207"/>
      <c r="U1376" s="160"/>
      <c r="V1376" s="160"/>
      <c r="W1376" s="160"/>
      <c r="X1376" s="160"/>
      <c r="Y1376" s="160"/>
      <c r="Z1376" s="160"/>
      <c r="AA1376" s="160"/>
      <c r="AB1376" s="160"/>
      <c r="AC1376" s="160"/>
      <c r="AD1376" s="160"/>
      <c r="AE1376" s="160"/>
      <c r="AF1376" s="160"/>
      <c r="AG1376" s="160"/>
      <c r="AH1376" s="160"/>
      <c r="AI1376" s="160"/>
      <c r="AJ1376" s="160"/>
      <c r="AK1376" s="160"/>
      <c r="AL1376" s="160"/>
      <c r="AM1376" s="160"/>
      <c r="AN1376" s="164"/>
      <c r="AO1376" s="160"/>
      <c r="AP1376" s="160"/>
      <c r="AQ1376" s="160"/>
      <c r="AR1376" s="160"/>
      <c r="AS1376" s="160"/>
      <c r="AT1376" s="160"/>
      <c r="AU1376" s="160"/>
      <c r="AV1376" s="160"/>
      <c r="AW1376" s="160"/>
      <c r="AX1376" s="160"/>
      <c r="AY1376" s="160"/>
      <c r="AZ1376" s="160"/>
      <c r="BA1376" s="160"/>
      <c r="BB1376" s="160"/>
      <c r="BC1376" s="160"/>
      <c r="BD1376" s="160"/>
      <c r="BE1376" s="160"/>
      <c r="BF1376" s="160"/>
      <c r="BG1376" s="160"/>
      <c r="BH1376" s="160"/>
      <c r="BI1376" s="160"/>
      <c r="BJ1376" s="160"/>
      <c r="BK1376" s="160"/>
      <c r="BL1376" s="160"/>
      <c r="BM1376" s="160"/>
      <c r="BN1376" s="160"/>
      <c r="BO1376" s="160"/>
      <c r="BP1376" s="160"/>
      <c r="BQ1376" s="160"/>
      <c r="BR1376" s="160"/>
      <c r="BS1376" s="160"/>
      <c r="BT1376" s="160"/>
      <c r="BU1376" s="160"/>
      <c r="BV1376" s="160"/>
      <c r="BW1376" s="160"/>
      <c r="BX1376" s="160"/>
      <c r="BY1376" s="160"/>
      <c r="BZ1376" s="160"/>
      <c r="CA1376" s="160"/>
      <c r="CB1376" s="160"/>
      <c r="CC1376" s="160"/>
      <c r="CD1376" s="160"/>
      <c r="CE1376" s="160"/>
      <c r="CF1376" s="160"/>
      <c r="CG1376" s="160"/>
      <c r="CH1376" s="160"/>
      <c r="CI1376" s="160"/>
      <c r="CJ1376" s="160"/>
      <c r="CK1376" s="160"/>
      <c r="CL1376" s="160"/>
    </row>
    <row r="1377">
      <c r="A1377" s="171"/>
      <c r="F1377" s="11"/>
      <c r="G1377" s="11"/>
      <c r="L1377" s="171"/>
      <c r="M1377" s="171"/>
      <c r="O1377" s="160"/>
      <c r="P1377" s="160"/>
      <c r="Q1377" s="160"/>
      <c r="R1377" s="160"/>
      <c r="S1377" s="160"/>
      <c r="T1377" s="207"/>
      <c r="U1377" s="160"/>
      <c r="V1377" s="160"/>
      <c r="W1377" s="160"/>
      <c r="X1377" s="160"/>
      <c r="Y1377" s="160"/>
      <c r="Z1377" s="160"/>
      <c r="AA1377" s="160"/>
      <c r="AB1377" s="160"/>
      <c r="AC1377" s="160"/>
      <c r="AD1377" s="160"/>
      <c r="AE1377" s="160"/>
      <c r="AF1377" s="160"/>
      <c r="AG1377" s="160"/>
      <c r="AH1377" s="160"/>
      <c r="AI1377" s="160"/>
      <c r="AJ1377" s="160"/>
      <c r="AK1377" s="160"/>
      <c r="AL1377" s="160"/>
      <c r="AM1377" s="160"/>
      <c r="AN1377" s="164"/>
      <c r="AO1377" s="160"/>
      <c r="AP1377" s="160"/>
      <c r="AQ1377" s="160"/>
      <c r="AR1377" s="160"/>
      <c r="AS1377" s="160"/>
      <c r="AT1377" s="160"/>
      <c r="AU1377" s="160"/>
      <c r="AV1377" s="160"/>
      <c r="AW1377" s="160"/>
      <c r="AX1377" s="160"/>
      <c r="AY1377" s="160"/>
      <c r="AZ1377" s="160"/>
      <c r="BA1377" s="160"/>
      <c r="BB1377" s="160"/>
      <c r="BC1377" s="160"/>
      <c r="BD1377" s="160"/>
      <c r="BE1377" s="160"/>
      <c r="BF1377" s="160"/>
      <c r="BG1377" s="160"/>
      <c r="BH1377" s="160"/>
      <c r="BI1377" s="160"/>
      <c r="BJ1377" s="160"/>
      <c r="BK1377" s="160"/>
      <c r="BL1377" s="160"/>
      <c r="BM1377" s="160"/>
      <c r="BN1377" s="160"/>
      <c r="BO1377" s="160"/>
      <c r="BP1377" s="160"/>
      <c r="BQ1377" s="160"/>
      <c r="BR1377" s="160"/>
      <c r="BS1377" s="160"/>
      <c r="BT1377" s="160"/>
      <c r="BU1377" s="160"/>
      <c r="BV1377" s="160"/>
      <c r="BW1377" s="160"/>
      <c r="BX1377" s="160"/>
      <c r="BY1377" s="160"/>
      <c r="BZ1377" s="160"/>
      <c r="CA1377" s="160"/>
      <c r="CB1377" s="160"/>
      <c r="CC1377" s="160"/>
      <c r="CD1377" s="160"/>
      <c r="CE1377" s="160"/>
      <c r="CF1377" s="160"/>
      <c r="CG1377" s="160"/>
      <c r="CH1377" s="160"/>
      <c r="CI1377" s="160"/>
      <c r="CJ1377" s="160"/>
      <c r="CK1377" s="160"/>
      <c r="CL1377" s="160"/>
    </row>
    <row r="1378">
      <c r="A1378" s="171"/>
      <c r="F1378" s="11"/>
      <c r="G1378" s="11"/>
      <c r="L1378" s="171"/>
      <c r="M1378" s="171"/>
      <c r="O1378" s="160"/>
      <c r="P1378" s="160"/>
      <c r="Q1378" s="160"/>
      <c r="R1378" s="160"/>
      <c r="S1378" s="160"/>
      <c r="T1378" s="207"/>
      <c r="U1378" s="160"/>
      <c r="V1378" s="160"/>
      <c r="W1378" s="160"/>
      <c r="X1378" s="160"/>
      <c r="Y1378" s="160"/>
      <c r="Z1378" s="160"/>
      <c r="AA1378" s="160"/>
      <c r="AB1378" s="160"/>
      <c r="AC1378" s="160"/>
      <c r="AD1378" s="160"/>
      <c r="AE1378" s="160"/>
      <c r="AF1378" s="160"/>
      <c r="AG1378" s="160"/>
      <c r="AH1378" s="160"/>
      <c r="AI1378" s="160"/>
      <c r="AJ1378" s="160"/>
      <c r="AK1378" s="160"/>
      <c r="AL1378" s="160"/>
      <c r="AM1378" s="160"/>
      <c r="AN1378" s="164"/>
      <c r="AO1378" s="160"/>
      <c r="AP1378" s="160"/>
      <c r="AQ1378" s="160"/>
      <c r="AR1378" s="160"/>
      <c r="AS1378" s="160"/>
      <c r="AT1378" s="160"/>
      <c r="AU1378" s="160"/>
      <c r="AV1378" s="160"/>
      <c r="AW1378" s="160"/>
      <c r="AX1378" s="160"/>
      <c r="AY1378" s="160"/>
      <c r="AZ1378" s="160"/>
      <c r="BA1378" s="160"/>
      <c r="BB1378" s="160"/>
      <c r="BC1378" s="160"/>
      <c r="BD1378" s="160"/>
      <c r="BE1378" s="160"/>
      <c r="BF1378" s="160"/>
      <c r="BG1378" s="160"/>
      <c r="BH1378" s="160"/>
      <c r="BI1378" s="160"/>
      <c r="BJ1378" s="160"/>
      <c r="BK1378" s="160"/>
      <c r="BL1378" s="160"/>
      <c r="BM1378" s="160"/>
      <c r="BN1378" s="160"/>
      <c r="BO1378" s="160"/>
      <c r="BP1378" s="160"/>
      <c r="BQ1378" s="160"/>
      <c r="BR1378" s="160"/>
      <c r="BS1378" s="160"/>
      <c r="BT1378" s="160"/>
      <c r="BU1378" s="160"/>
      <c r="BV1378" s="160"/>
      <c r="BW1378" s="160"/>
      <c r="BX1378" s="160"/>
      <c r="BY1378" s="160"/>
      <c r="BZ1378" s="160"/>
      <c r="CA1378" s="160"/>
      <c r="CB1378" s="160"/>
      <c r="CC1378" s="160"/>
      <c r="CD1378" s="160"/>
      <c r="CE1378" s="160"/>
      <c r="CF1378" s="160"/>
      <c r="CG1378" s="160"/>
      <c r="CH1378" s="160"/>
      <c r="CI1378" s="160"/>
      <c r="CJ1378" s="160"/>
      <c r="CK1378" s="160"/>
      <c r="CL1378" s="160"/>
    </row>
    <row r="1379">
      <c r="A1379" s="171"/>
      <c r="F1379" s="11"/>
      <c r="G1379" s="11"/>
      <c r="L1379" s="171"/>
      <c r="M1379" s="171"/>
      <c r="O1379" s="160"/>
      <c r="P1379" s="160"/>
      <c r="Q1379" s="160"/>
      <c r="R1379" s="160"/>
      <c r="S1379" s="160"/>
      <c r="T1379" s="207"/>
      <c r="U1379" s="160"/>
      <c r="V1379" s="160"/>
      <c r="W1379" s="160"/>
      <c r="X1379" s="160"/>
      <c r="Y1379" s="160"/>
      <c r="Z1379" s="160"/>
      <c r="AA1379" s="160"/>
      <c r="AB1379" s="160"/>
      <c r="AC1379" s="160"/>
      <c r="AD1379" s="160"/>
      <c r="AE1379" s="160"/>
      <c r="AF1379" s="160"/>
      <c r="AG1379" s="160"/>
      <c r="AH1379" s="160"/>
      <c r="AI1379" s="160"/>
      <c r="AJ1379" s="160"/>
      <c r="AK1379" s="160"/>
      <c r="AL1379" s="160"/>
      <c r="AM1379" s="160"/>
      <c r="AN1379" s="164"/>
      <c r="AO1379" s="160"/>
      <c r="AP1379" s="160"/>
      <c r="AQ1379" s="160"/>
      <c r="AR1379" s="160"/>
      <c r="AS1379" s="160"/>
      <c r="AT1379" s="160"/>
      <c r="AU1379" s="160"/>
      <c r="AV1379" s="160"/>
      <c r="AW1379" s="160"/>
      <c r="AX1379" s="160"/>
      <c r="AY1379" s="160"/>
      <c r="AZ1379" s="160"/>
      <c r="BA1379" s="160"/>
      <c r="BB1379" s="160"/>
      <c r="BC1379" s="160"/>
      <c r="BD1379" s="160"/>
      <c r="BE1379" s="160"/>
      <c r="BF1379" s="160"/>
      <c r="BG1379" s="160"/>
      <c r="BH1379" s="160"/>
      <c r="BI1379" s="160"/>
      <c r="BJ1379" s="160"/>
      <c r="BK1379" s="160"/>
      <c r="BL1379" s="160"/>
      <c r="BM1379" s="160"/>
      <c r="BN1379" s="160"/>
      <c r="BO1379" s="160"/>
      <c r="BP1379" s="160"/>
      <c r="BQ1379" s="160"/>
      <c r="BR1379" s="160"/>
      <c r="BS1379" s="160"/>
      <c r="BT1379" s="160"/>
      <c r="BU1379" s="160"/>
      <c r="BV1379" s="160"/>
      <c r="BW1379" s="160"/>
      <c r="BX1379" s="160"/>
      <c r="BY1379" s="160"/>
      <c r="BZ1379" s="160"/>
      <c r="CA1379" s="160"/>
      <c r="CB1379" s="160"/>
      <c r="CC1379" s="160"/>
      <c r="CD1379" s="160"/>
      <c r="CE1379" s="160"/>
      <c r="CF1379" s="160"/>
      <c r="CG1379" s="160"/>
      <c r="CH1379" s="160"/>
      <c r="CI1379" s="160"/>
      <c r="CJ1379" s="160"/>
      <c r="CK1379" s="160"/>
      <c r="CL1379" s="160"/>
    </row>
    <row r="1380">
      <c r="A1380" s="171"/>
      <c r="F1380" s="11"/>
      <c r="G1380" s="11"/>
      <c r="L1380" s="171"/>
      <c r="M1380" s="171"/>
      <c r="O1380" s="160"/>
      <c r="P1380" s="160"/>
      <c r="Q1380" s="160"/>
      <c r="R1380" s="160"/>
      <c r="S1380" s="160"/>
      <c r="T1380" s="207"/>
      <c r="U1380" s="160"/>
      <c r="V1380" s="160"/>
      <c r="W1380" s="160"/>
      <c r="X1380" s="160"/>
      <c r="Y1380" s="160"/>
      <c r="Z1380" s="160"/>
      <c r="AA1380" s="160"/>
      <c r="AB1380" s="160"/>
      <c r="AC1380" s="160"/>
      <c r="AD1380" s="160"/>
      <c r="AE1380" s="160"/>
      <c r="AF1380" s="160"/>
      <c r="AG1380" s="160"/>
      <c r="AH1380" s="160"/>
      <c r="AI1380" s="160"/>
      <c r="AJ1380" s="160"/>
      <c r="AK1380" s="160"/>
      <c r="AL1380" s="160"/>
      <c r="AM1380" s="160"/>
      <c r="AN1380" s="164"/>
      <c r="AO1380" s="160"/>
      <c r="AP1380" s="160"/>
      <c r="AQ1380" s="160"/>
      <c r="AR1380" s="160"/>
      <c r="AS1380" s="160"/>
      <c r="AT1380" s="160"/>
      <c r="AU1380" s="160"/>
      <c r="AV1380" s="160"/>
      <c r="AW1380" s="160"/>
      <c r="AX1380" s="160"/>
      <c r="AY1380" s="160"/>
      <c r="AZ1380" s="160"/>
      <c r="BA1380" s="160"/>
      <c r="BB1380" s="160"/>
      <c r="BC1380" s="160"/>
      <c r="BD1380" s="160"/>
      <c r="BE1380" s="160"/>
      <c r="BF1380" s="160"/>
      <c r="BG1380" s="160"/>
      <c r="BH1380" s="160"/>
      <c r="BI1380" s="160"/>
      <c r="BJ1380" s="160"/>
      <c r="BK1380" s="160"/>
      <c r="BL1380" s="160"/>
      <c r="BM1380" s="160"/>
      <c r="BN1380" s="160"/>
      <c r="BO1380" s="160"/>
      <c r="BP1380" s="160"/>
      <c r="BQ1380" s="160"/>
      <c r="BR1380" s="160"/>
      <c r="BS1380" s="160"/>
      <c r="BT1380" s="160"/>
      <c r="BU1380" s="160"/>
      <c r="BV1380" s="160"/>
      <c r="BW1380" s="160"/>
      <c r="BX1380" s="160"/>
      <c r="BY1380" s="160"/>
      <c r="BZ1380" s="160"/>
      <c r="CA1380" s="160"/>
      <c r="CB1380" s="160"/>
      <c r="CC1380" s="160"/>
      <c r="CD1380" s="160"/>
      <c r="CE1380" s="160"/>
      <c r="CF1380" s="160"/>
      <c r="CG1380" s="160"/>
      <c r="CH1380" s="160"/>
      <c r="CI1380" s="160"/>
      <c r="CJ1380" s="160"/>
      <c r="CK1380" s="160"/>
      <c r="CL1380" s="160"/>
    </row>
    <row r="1381">
      <c r="A1381" s="171"/>
      <c r="F1381" s="11"/>
      <c r="G1381" s="11"/>
      <c r="L1381" s="171"/>
      <c r="M1381" s="171"/>
      <c r="O1381" s="160"/>
      <c r="P1381" s="160"/>
      <c r="Q1381" s="160"/>
      <c r="R1381" s="160"/>
      <c r="S1381" s="160"/>
      <c r="T1381" s="207"/>
      <c r="U1381" s="160"/>
      <c r="V1381" s="160"/>
      <c r="W1381" s="160"/>
      <c r="X1381" s="160"/>
      <c r="Y1381" s="160"/>
      <c r="Z1381" s="160"/>
      <c r="AA1381" s="160"/>
      <c r="AB1381" s="160"/>
      <c r="AC1381" s="160"/>
      <c r="AD1381" s="160"/>
      <c r="AE1381" s="160"/>
      <c r="AF1381" s="160"/>
      <c r="AG1381" s="160"/>
      <c r="AH1381" s="160"/>
      <c r="AI1381" s="160"/>
      <c r="AJ1381" s="160"/>
      <c r="AK1381" s="160"/>
      <c r="AL1381" s="160"/>
      <c r="AM1381" s="160"/>
      <c r="AN1381" s="164"/>
      <c r="AO1381" s="160"/>
      <c r="AP1381" s="160"/>
      <c r="AQ1381" s="160"/>
      <c r="AR1381" s="160"/>
      <c r="AS1381" s="160"/>
      <c r="AT1381" s="160"/>
      <c r="AU1381" s="160"/>
      <c r="AV1381" s="160"/>
      <c r="AW1381" s="160"/>
      <c r="AX1381" s="160"/>
      <c r="AY1381" s="160"/>
      <c r="AZ1381" s="160"/>
      <c r="BA1381" s="160"/>
      <c r="BB1381" s="160"/>
      <c r="BC1381" s="160"/>
      <c r="BD1381" s="160"/>
      <c r="BE1381" s="160"/>
      <c r="BF1381" s="160"/>
      <c r="BG1381" s="160"/>
      <c r="BH1381" s="160"/>
      <c r="BI1381" s="160"/>
      <c r="BJ1381" s="160"/>
      <c r="BK1381" s="160"/>
      <c r="BL1381" s="160"/>
      <c r="BM1381" s="160"/>
      <c r="BN1381" s="160"/>
      <c r="BO1381" s="160"/>
      <c r="BP1381" s="160"/>
      <c r="BQ1381" s="160"/>
      <c r="BR1381" s="160"/>
      <c r="BS1381" s="160"/>
      <c r="BT1381" s="160"/>
      <c r="BU1381" s="160"/>
      <c r="BV1381" s="160"/>
      <c r="BW1381" s="160"/>
      <c r="BX1381" s="160"/>
      <c r="BY1381" s="160"/>
      <c r="BZ1381" s="160"/>
      <c r="CA1381" s="160"/>
      <c r="CB1381" s="160"/>
      <c r="CC1381" s="160"/>
      <c r="CD1381" s="160"/>
      <c r="CE1381" s="160"/>
      <c r="CF1381" s="160"/>
      <c r="CG1381" s="160"/>
      <c r="CH1381" s="160"/>
      <c r="CI1381" s="160"/>
      <c r="CJ1381" s="160"/>
      <c r="CK1381" s="160"/>
      <c r="CL1381" s="160"/>
    </row>
    <row r="1382">
      <c r="A1382" s="171"/>
      <c r="F1382" s="11"/>
      <c r="G1382" s="11"/>
      <c r="L1382" s="171"/>
      <c r="M1382" s="171"/>
      <c r="O1382" s="160"/>
      <c r="P1382" s="160"/>
      <c r="Q1382" s="160"/>
      <c r="R1382" s="160"/>
      <c r="S1382" s="160"/>
      <c r="T1382" s="207"/>
      <c r="U1382" s="160"/>
      <c r="V1382" s="160"/>
      <c r="W1382" s="160"/>
      <c r="X1382" s="160"/>
      <c r="Y1382" s="160"/>
      <c r="Z1382" s="160"/>
      <c r="AA1382" s="160"/>
      <c r="AB1382" s="160"/>
      <c r="AC1382" s="160"/>
      <c r="AD1382" s="160"/>
      <c r="AE1382" s="160"/>
      <c r="AF1382" s="160"/>
      <c r="AG1382" s="160"/>
      <c r="AH1382" s="160"/>
      <c r="AI1382" s="160"/>
      <c r="AJ1382" s="160"/>
      <c r="AK1382" s="160"/>
      <c r="AL1382" s="160"/>
      <c r="AM1382" s="160"/>
      <c r="AN1382" s="164"/>
      <c r="AO1382" s="160"/>
      <c r="AP1382" s="160"/>
      <c r="AQ1382" s="160"/>
      <c r="AR1382" s="160"/>
      <c r="AS1382" s="160"/>
      <c r="AT1382" s="160"/>
      <c r="AU1382" s="160"/>
      <c r="AV1382" s="160"/>
      <c r="AW1382" s="160"/>
      <c r="AX1382" s="160"/>
      <c r="AY1382" s="160"/>
      <c r="AZ1382" s="160"/>
      <c r="BA1382" s="160"/>
      <c r="BB1382" s="160"/>
      <c r="BC1382" s="160"/>
      <c r="BD1382" s="160"/>
      <c r="BE1382" s="160"/>
      <c r="BF1382" s="160"/>
      <c r="BG1382" s="160"/>
      <c r="BH1382" s="160"/>
      <c r="BI1382" s="160"/>
      <c r="BJ1382" s="160"/>
      <c r="BK1382" s="160"/>
      <c r="BL1382" s="160"/>
      <c r="BM1382" s="160"/>
      <c r="BN1382" s="160"/>
      <c r="BO1382" s="160"/>
      <c r="BP1382" s="160"/>
      <c r="BQ1382" s="160"/>
      <c r="BR1382" s="160"/>
      <c r="BS1382" s="160"/>
      <c r="BT1382" s="160"/>
      <c r="BU1382" s="160"/>
      <c r="BV1382" s="160"/>
      <c r="BW1382" s="160"/>
      <c r="BX1382" s="160"/>
      <c r="BY1382" s="160"/>
      <c r="BZ1382" s="160"/>
      <c r="CA1382" s="160"/>
      <c r="CB1382" s="160"/>
      <c r="CC1382" s="160"/>
      <c r="CD1382" s="160"/>
      <c r="CE1382" s="160"/>
      <c r="CF1382" s="160"/>
      <c r="CG1382" s="160"/>
      <c r="CH1382" s="160"/>
      <c r="CI1382" s="160"/>
      <c r="CJ1382" s="160"/>
      <c r="CK1382" s="160"/>
      <c r="CL1382" s="160"/>
    </row>
    <row r="1383">
      <c r="A1383" s="171"/>
      <c r="F1383" s="11"/>
      <c r="G1383" s="11"/>
      <c r="L1383" s="171"/>
      <c r="M1383" s="171"/>
      <c r="O1383" s="160"/>
      <c r="P1383" s="160"/>
      <c r="Q1383" s="160"/>
      <c r="R1383" s="160"/>
      <c r="S1383" s="160"/>
      <c r="T1383" s="207"/>
      <c r="U1383" s="160"/>
      <c r="V1383" s="160"/>
      <c r="W1383" s="160"/>
      <c r="X1383" s="160"/>
      <c r="Y1383" s="160"/>
      <c r="Z1383" s="160"/>
      <c r="AA1383" s="160"/>
      <c r="AB1383" s="160"/>
      <c r="AC1383" s="160"/>
      <c r="AD1383" s="160"/>
      <c r="AE1383" s="160"/>
      <c r="AF1383" s="160"/>
      <c r="AG1383" s="160"/>
      <c r="AH1383" s="160"/>
      <c r="AI1383" s="160"/>
      <c r="AJ1383" s="160"/>
      <c r="AK1383" s="160"/>
      <c r="AL1383" s="160"/>
      <c r="AM1383" s="160"/>
      <c r="AN1383" s="164"/>
      <c r="AO1383" s="160"/>
      <c r="AP1383" s="160"/>
      <c r="AQ1383" s="160"/>
      <c r="AR1383" s="160"/>
      <c r="AS1383" s="160"/>
      <c r="AT1383" s="160"/>
      <c r="AU1383" s="160"/>
      <c r="AV1383" s="160"/>
      <c r="AW1383" s="160"/>
      <c r="AX1383" s="160"/>
      <c r="AY1383" s="160"/>
      <c r="AZ1383" s="160"/>
      <c r="BA1383" s="160"/>
      <c r="BB1383" s="160"/>
      <c r="BC1383" s="160"/>
      <c r="BD1383" s="160"/>
      <c r="BE1383" s="160"/>
      <c r="BF1383" s="160"/>
      <c r="BG1383" s="160"/>
      <c r="BH1383" s="160"/>
      <c r="BI1383" s="160"/>
      <c r="BJ1383" s="160"/>
      <c r="BK1383" s="160"/>
      <c r="BL1383" s="160"/>
      <c r="BM1383" s="160"/>
      <c r="BN1383" s="160"/>
      <c r="BO1383" s="160"/>
      <c r="BP1383" s="160"/>
      <c r="BQ1383" s="160"/>
      <c r="BR1383" s="160"/>
      <c r="BS1383" s="160"/>
      <c r="BT1383" s="160"/>
      <c r="BU1383" s="160"/>
      <c r="BV1383" s="160"/>
      <c r="BW1383" s="160"/>
      <c r="BX1383" s="160"/>
      <c r="BY1383" s="160"/>
      <c r="BZ1383" s="160"/>
      <c r="CA1383" s="160"/>
      <c r="CB1383" s="160"/>
      <c r="CC1383" s="160"/>
      <c r="CD1383" s="160"/>
      <c r="CE1383" s="160"/>
      <c r="CF1383" s="160"/>
      <c r="CG1383" s="160"/>
      <c r="CH1383" s="160"/>
      <c r="CI1383" s="160"/>
      <c r="CJ1383" s="160"/>
      <c r="CK1383" s="160"/>
      <c r="CL1383" s="160"/>
    </row>
    <row r="1384">
      <c r="A1384" s="171"/>
      <c r="F1384" s="11"/>
      <c r="G1384" s="11"/>
      <c r="L1384" s="171"/>
      <c r="M1384" s="171"/>
      <c r="O1384" s="160"/>
      <c r="P1384" s="160"/>
      <c r="Q1384" s="160"/>
      <c r="R1384" s="160"/>
      <c r="S1384" s="160"/>
      <c r="T1384" s="207"/>
      <c r="U1384" s="160"/>
      <c r="V1384" s="160"/>
      <c r="W1384" s="160"/>
      <c r="X1384" s="160"/>
      <c r="Y1384" s="160"/>
      <c r="Z1384" s="160"/>
      <c r="AA1384" s="160"/>
      <c r="AB1384" s="160"/>
      <c r="AC1384" s="160"/>
      <c r="AD1384" s="160"/>
      <c r="AE1384" s="160"/>
      <c r="AF1384" s="160"/>
      <c r="AG1384" s="160"/>
      <c r="AH1384" s="160"/>
      <c r="AI1384" s="160"/>
      <c r="AJ1384" s="160"/>
      <c r="AK1384" s="160"/>
      <c r="AL1384" s="160"/>
      <c r="AM1384" s="160"/>
      <c r="AN1384" s="164"/>
      <c r="AO1384" s="160"/>
      <c r="AP1384" s="160"/>
      <c r="AQ1384" s="160"/>
      <c r="AR1384" s="160"/>
      <c r="AS1384" s="160"/>
      <c r="AT1384" s="160"/>
      <c r="AU1384" s="160"/>
      <c r="AV1384" s="160"/>
      <c r="AW1384" s="160"/>
      <c r="AX1384" s="160"/>
      <c r="AY1384" s="160"/>
      <c r="AZ1384" s="160"/>
      <c r="BA1384" s="160"/>
      <c r="BB1384" s="160"/>
      <c r="BC1384" s="160"/>
      <c r="BD1384" s="160"/>
      <c r="BE1384" s="160"/>
      <c r="BF1384" s="160"/>
      <c r="BG1384" s="160"/>
      <c r="BH1384" s="160"/>
      <c r="BI1384" s="160"/>
      <c r="BJ1384" s="160"/>
      <c r="BK1384" s="160"/>
      <c r="BL1384" s="160"/>
      <c r="BM1384" s="160"/>
      <c r="BN1384" s="160"/>
      <c r="BO1384" s="160"/>
      <c r="BP1384" s="160"/>
      <c r="BQ1384" s="160"/>
      <c r="BR1384" s="160"/>
      <c r="BS1384" s="160"/>
      <c r="BT1384" s="160"/>
      <c r="BU1384" s="160"/>
      <c r="BV1384" s="160"/>
      <c r="BW1384" s="160"/>
      <c r="BX1384" s="160"/>
      <c r="BY1384" s="160"/>
      <c r="BZ1384" s="160"/>
      <c r="CA1384" s="160"/>
      <c r="CB1384" s="160"/>
      <c r="CC1384" s="160"/>
      <c r="CD1384" s="160"/>
      <c r="CE1384" s="160"/>
      <c r="CF1384" s="160"/>
      <c r="CG1384" s="160"/>
      <c r="CH1384" s="160"/>
      <c r="CI1384" s="160"/>
      <c r="CJ1384" s="160"/>
      <c r="CK1384" s="160"/>
      <c r="CL1384" s="160"/>
    </row>
    <row r="1385">
      <c r="A1385" s="171"/>
      <c r="F1385" s="11"/>
      <c r="G1385" s="11"/>
      <c r="L1385" s="171"/>
      <c r="M1385" s="171"/>
      <c r="O1385" s="160"/>
      <c r="P1385" s="160"/>
      <c r="Q1385" s="160"/>
      <c r="R1385" s="160"/>
      <c r="S1385" s="160"/>
      <c r="T1385" s="207"/>
      <c r="U1385" s="160"/>
      <c r="V1385" s="160"/>
      <c r="W1385" s="160"/>
      <c r="X1385" s="160"/>
      <c r="Y1385" s="160"/>
      <c r="Z1385" s="160"/>
      <c r="AA1385" s="160"/>
      <c r="AB1385" s="160"/>
      <c r="AC1385" s="160"/>
      <c r="AD1385" s="160"/>
      <c r="AE1385" s="160"/>
      <c r="AF1385" s="160"/>
      <c r="AG1385" s="160"/>
      <c r="AH1385" s="160"/>
      <c r="AI1385" s="160"/>
      <c r="AJ1385" s="160"/>
      <c r="AK1385" s="160"/>
      <c r="AL1385" s="160"/>
      <c r="AM1385" s="160"/>
      <c r="AN1385" s="164"/>
      <c r="AO1385" s="160"/>
      <c r="AP1385" s="160"/>
      <c r="AQ1385" s="160"/>
      <c r="AR1385" s="160"/>
      <c r="AS1385" s="160"/>
      <c r="AT1385" s="160"/>
      <c r="AU1385" s="160"/>
      <c r="AV1385" s="160"/>
      <c r="AW1385" s="160"/>
      <c r="AX1385" s="160"/>
      <c r="AY1385" s="160"/>
      <c r="AZ1385" s="160"/>
      <c r="BA1385" s="160"/>
      <c r="BB1385" s="160"/>
      <c r="BC1385" s="160"/>
      <c r="BD1385" s="160"/>
      <c r="BE1385" s="160"/>
      <c r="BF1385" s="160"/>
      <c r="BG1385" s="160"/>
      <c r="BH1385" s="160"/>
      <c r="BI1385" s="160"/>
      <c r="BJ1385" s="160"/>
      <c r="BK1385" s="160"/>
      <c r="BL1385" s="160"/>
      <c r="BM1385" s="160"/>
      <c r="BN1385" s="160"/>
      <c r="BO1385" s="160"/>
      <c r="BP1385" s="160"/>
      <c r="BQ1385" s="160"/>
      <c r="BR1385" s="160"/>
      <c r="BS1385" s="160"/>
      <c r="BT1385" s="160"/>
      <c r="BU1385" s="160"/>
      <c r="BV1385" s="160"/>
      <c r="BW1385" s="160"/>
      <c r="BX1385" s="160"/>
      <c r="BY1385" s="160"/>
      <c r="BZ1385" s="160"/>
      <c r="CA1385" s="160"/>
      <c r="CB1385" s="160"/>
      <c r="CC1385" s="160"/>
      <c r="CD1385" s="160"/>
      <c r="CE1385" s="160"/>
      <c r="CF1385" s="160"/>
      <c r="CG1385" s="160"/>
      <c r="CH1385" s="160"/>
      <c r="CI1385" s="160"/>
      <c r="CJ1385" s="160"/>
      <c r="CK1385" s="160"/>
      <c r="CL1385" s="160"/>
    </row>
    <row r="1386">
      <c r="A1386" s="171"/>
      <c r="F1386" s="11"/>
      <c r="G1386" s="11"/>
      <c r="L1386" s="171"/>
      <c r="M1386" s="171"/>
      <c r="O1386" s="160"/>
      <c r="P1386" s="160"/>
      <c r="Q1386" s="160"/>
      <c r="R1386" s="160"/>
      <c r="S1386" s="160"/>
      <c r="T1386" s="207"/>
      <c r="U1386" s="160"/>
      <c r="V1386" s="160"/>
      <c r="W1386" s="160"/>
      <c r="X1386" s="160"/>
      <c r="Y1386" s="160"/>
      <c r="Z1386" s="160"/>
      <c r="AA1386" s="160"/>
      <c r="AB1386" s="160"/>
      <c r="AC1386" s="160"/>
      <c r="AD1386" s="160"/>
      <c r="AE1386" s="160"/>
      <c r="AF1386" s="160"/>
      <c r="AG1386" s="160"/>
      <c r="AH1386" s="160"/>
      <c r="AI1386" s="160"/>
      <c r="AJ1386" s="160"/>
      <c r="AK1386" s="160"/>
      <c r="AL1386" s="160"/>
      <c r="AM1386" s="160"/>
      <c r="AN1386" s="164"/>
      <c r="AO1386" s="160"/>
      <c r="AP1386" s="160"/>
      <c r="AQ1386" s="160"/>
      <c r="AR1386" s="160"/>
      <c r="AS1386" s="160"/>
      <c r="AT1386" s="160"/>
      <c r="AU1386" s="160"/>
      <c r="AV1386" s="160"/>
      <c r="AW1386" s="160"/>
      <c r="AX1386" s="160"/>
      <c r="AY1386" s="160"/>
      <c r="AZ1386" s="160"/>
      <c r="BA1386" s="160"/>
      <c r="BB1386" s="160"/>
      <c r="BC1386" s="160"/>
      <c r="BD1386" s="160"/>
      <c r="BE1386" s="160"/>
      <c r="BF1386" s="160"/>
      <c r="BG1386" s="160"/>
      <c r="BH1386" s="160"/>
      <c r="BI1386" s="160"/>
      <c r="BJ1386" s="160"/>
      <c r="BK1386" s="160"/>
      <c r="BL1386" s="160"/>
      <c r="BM1386" s="160"/>
      <c r="BN1386" s="160"/>
      <c r="BO1386" s="160"/>
      <c r="BP1386" s="160"/>
      <c r="BQ1386" s="160"/>
      <c r="BR1386" s="160"/>
      <c r="BS1386" s="160"/>
      <c r="BT1386" s="160"/>
      <c r="BU1386" s="160"/>
      <c r="BV1386" s="160"/>
      <c r="BW1386" s="160"/>
      <c r="BX1386" s="160"/>
      <c r="BY1386" s="160"/>
      <c r="BZ1386" s="160"/>
      <c r="CA1386" s="160"/>
      <c r="CB1386" s="160"/>
      <c r="CC1386" s="160"/>
      <c r="CD1386" s="160"/>
      <c r="CE1386" s="160"/>
      <c r="CF1386" s="160"/>
      <c r="CG1386" s="160"/>
      <c r="CH1386" s="160"/>
      <c r="CI1386" s="160"/>
      <c r="CJ1386" s="160"/>
      <c r="CK1386" s="160"/>
      <c r="CL1386" s="160"/>
    </row>
    <row r="1387">
      <c r="A1387" s="171"/>
      <c r="F1387" s="11"/>
      <c r="G1387" s="11"/>
      <c r="L1387" s="171"/>
      <c r="M1387" s="171"/>
      <c r="O1387" s="160"/>
      <c r="P1387" s="160"/>
      <c r="Q1387" s="160"/>
      <c r="R1387" s="160"/>
      <c r="S1387" s="160"/>
      <c r="T1387" s="207"/>
      <c r="U1387" s="160"/>
      <c r="V1387" s="160"/>
      <c r="W1387" s="160"/>
      <c r="X1387" s="160"/>
      <c r="Y1387" s="160"/>
      <c r="Z1387" s="160"/>
      <c r="AA1387" s="160"/>
      <c r="AB1387" s="160"/>
      <c r="AC1387" s="160"/>
      <c r="AD1387" s="160"/>
      <c r="AE1387" s="160"/>
      <c r="AF1387" s="160"/>
      <c r="AG1387" s="160"/>
      <c r="AH1387" s="160"/>
      <c r="AI1387" s="160"/>
      <c r="AJ1387" s="160"/>
      <c r="AK1387" s="160"/>
      <c r="AL1387" s="160"/>
      <c r="AM1387" s="160"/>
      <c r="AN1387" s="164"/>
      <c r="AO1387" s="160"/>
      <c r="AP1387" s="160"/>
      <c r="AQ1387" s="160"/>
      <c r="AR1387" s="160"/>
      <c r="AS1387" s="160"/>
      <c r="AT1387" s="160"/>
      <c r="AU1387" s="160"/>
      <c r="AV1387" s="160"/>
      <c r="AW1387" s="160"/>
      <c r="AX1387" s="160"/>
      <c r="AY1387" s="160"/>
      <c r="AZ1387" s="160"/>
      <c r="BA1387" s="160"/>
      <c r="BB1387" s="160"/>
      <c r="BC1387" s="160"/>
      <c r="BD1387" s="160"/>
      <c r="BE1387" s="160"/>
      <c r="BF1387" s="160"/>
      <c r="BG1387" s="160"/>
      <c r="BH1387" s="160"/>
      <c r="BI1387" s="160"/>
      <c r="BJ1387" s="160"/>
      <c r="BK1387" s="160"/>
      <c r="BL1387" s="160"/>
      <c r="BM1387" s="160"/>
      <c r="BN1387" s="160"/>
      <c r="BO1387" s="160"/>
      <c r="BP1387" s="160"/>
      <c r="BQ1387" s="160"/>
      <c r="BR1387" s="160"/>
      <c r="BS1387" s="160"/>
      <c r="BT1387" s="160"/>
      <c r="BU1387" s="160"/>
      <c r="BV1387" s="160"/>
      <c r="BW1387" s="160"/>
      <c r="BX1387" s="160"/>
      <c r="BY1387" s="160"/>
      <c r="BZ1387" s="160"/>
      <c r="CA1387" s="160"/>
      <c r="CB1387" s="160"/>
      <c r="CC1387" s="160"/>
      <c r="CD1387" s="160"/>
      <c r="CE1387" s="160"/>
      <c r="CF1387" s="160"/>
      <c r="CG1387" s="160"/>
      <c r="CH1387" s="160"/>
      <c r="CI1387" s="160"/>
      <c r="CJ1387" s="160"/>
      <c r="CK1387" s="160"/>
      <c r="CL1387" s="160"/>
    </row>
    <row r="1388">
      <c r="A1388" s="171"/>
      <c r="F1388" s="11"/>
      <c r="G1388" s="11"/>
      <c r="L1388" s="171"/>
      <c r="M1388" s="171"/>
      <c r="O1388" s="160"/>
      <c r="P1388" s="160"/>
      <c r="Q1388" s="160"/>
      <c r="R1388" s="160"/>
      <c r="S1388" s="160"/>
      <c r="T1388" s="207"/>
      <c r="U1388" s="160"/>
      <c r="V1388" s="160"/>
      <c r="W1388" s="160"/>
      <c r="X1388" s="160"/>
      <c r="Y1388" s="160"/>
      <c r="Z1388" s="160"/>
      <c r="AA1388" s="160"/>
      <c r="AB1388" s="160"/>
      <c r="AC1388" s="160"/>
      <c r="AD1388" s="160"/>
      <c r="AE1388" s="160"/>
      <c r="AF1388" s="160"/>
      <c r="AG1388" s="160"/>
      <c r="AH1388" s="160"/>
      <c r="AI1388" s="160"/>
      <c r="AJ1388" s="160"/>
      <c r="AK1388" s="160"/>
      <c r="AL1388" s="160"/>
      <c r="AM1388" s="160"/>
      <c r="AN1388" s="164"/>
      <c r="AO1388" s="160"/>
      <c r="AP1388" s="160"/>
      <c r="AQ1388" s="160"/>
      <c r="AR1388" s="160"/>
      <c r="AS1388" s="160"/>
      <c r="AT1388" s="160"/>
      <c r="AU1388" s="160"/>
      <c r="AV1388" s="160"/>
      <c r="AW1388" s="160"/>
      <c r="AX1388" s="160"/>
      <c r="AY1388" s="160"/>
      <c r="AZ1388" s="160"/>
      <c r="BA1388" s="160"/>
      <c r="BB1388" s="160"/>
      <c r="BC1388" s="160"/>
      <c r="BD1388" s="160"/>
      <c r="BE1388" s="160"/>
      <c r="BF1388" s="160"/>
      <c r="BG1388" s="160"/>
      <c r="BH1388" s="160"/>
      <c r="BI1388" s="160"/>
      <c r="BJ1388" s="160"/>
      <c r="BK1388" s="160"/>
      <c r="BL1388" s="160"/>
      <c r="BM1388" s="160"/>
      <c r="BN1388" s="160"/>
      <c r="BO1388" s="160"/>
      <c r="BP1388" s="160"/>
      <c r="BQ1388" s="160"/>
      <c r="BR1388" s="160"/>
      <c r="BS1388" s="160"/>
      <c r="BT1388" s="160"/>
      <c r="BU1388" s="160"/>
      <c r="BV1388" s="160"/>
      <c r="BW1388" s="160"/>
      <c r="BX1388" s="160"/>
      <c r="BY1388" s="160"/>
      <c r="BZ1388" s="160"/>
      <c r="CA1388" s="160"/>
      <c r="CB1388" s="160"/>
      <c r="CC1388" s="160"/>
      <c r="CD1388" s="160"/>
      <c r="CE1388" s="160"/>
      <c r="CF1388" s="160"/>
      <c r="CG1388" s="160"/>
      <c r="CH1388" s="160"/>
      <c r="CI1388" s="160"/>
      <c r="CJ1388" s="160"/>
      <c r="CK1388" s="160"/>
      <c r="CL1388" s="160"/>
    </row>
    <row r="1389">
      <c r="A1389" s="171"/>
      <c r="F1389" s="11"/>
      <c r="G1389" s="11"/>
      <c r="L1389" s="171"/>
      <c r="M1389" s="171"/>
      <c r="O1389" s="160"/>
      <c r="P1389" s="160"/>
      <c r="Q1389" s="160"/>
      <c r="R1389" s="160"/>
      <c r="S1389" s="160"/>
      <c r="T1389" s="207"/>
      <c r="U1389" s="160"/>
      <c r="V1389" s="160"/>
      <c r="W1389" s="160"/>
      <c r="X1389" s="160"/>
      <c r="Y1389" s="160"/>
      <c r="Z1389" s="160"/>
      <c r="AA1389" s="160"/>
      <c r="AB1389" s="160"/>
      <c r="AC1389" s="160"/>
      <c r="AD1389" s="160"/>
      <c r="AE1389" s="160"/>
      <c r="AF1389" s="160"/>
      <c r="AG1389" s="160"/>
      <c r="AH1389" s="160"/>
      <c r="AI1389" s="160"/>
      <c r="AJ1389" s="160"/>
      <c r="AK1389" s="160"/>
      <c r="AL1389" s="160"/>
      <c r="AM1389" s="160"/>
      <c r="AN1389" s="164"/>
      <c r="AO1389" s="160"/>
      <c r="AP1389" s="160"/>
      <c r="AQ1389" s="160"/>
      <c r="AR1389" s="160"/>
      <c r="AS1389" s="160"/>
      <c r="AT1389" s="160"/>
      <c r="AU1389" s="160"/>
      <c r="AV1389" s="160"/>
      <c r="AW1389" s="160"/>
      <c r="AX1389" s="160"/>
      <c r="AY1389" s="160"/>
      <c r="AZ1389" s="160"/>
      <c r="BA1389" s="160"/>
      <c r="BB1389" s="160"/>
      <c r="BC1389" s="160"/>
      <c r="BD1389" s="160"/>
      <c r="BE1389" s="160"/>
      <c r="BF1389" s="160"/>
      <c r="BG1389" s="160"/>
      <c r="BH1389" s="160"/>
      <c r="BI1389" s="160"/>
      <c r="BJ1389" s="160"/>
      <c r="BK1389" s="160"/>
      <c r="BL1389" s="160"/>
      <c r="BM1389" s="160"/>
      <c r="BN1389" s="160"/>
      <c r="BO1389" s="160"/>
      <c r="BP1389" s="160"/>
      <c r="BQ1389" s="160"/>
      <c r="BR1389" s="160"/>
      <c r="BS1389" s="160"/>
      <c r="BT1389" s="160"/>
      <c r="BU1389" s="160"/>
      <c r="BV1389" s="160"/>
      <c r="BW1389" s="160"/>
      <c r="BX1389" s="160"/>
      <c r="BY1389" s="160"/>
      <c r="BZ1389" s="160"/>
      <c r="CA1389" s="160"/>
      <c r="CB1389" s="160"/>
      <c r="CC1389" s="160"/>
      <c r="CD1389" s="160"/>
      <c r="CE1389" s="160"/>
      <c r="CF1389" s="160"/>
      <c r="CG1389" s="160"/>
      <c r="CH1389" s="160"/>
      <c r="CI1389" s="160"/>
      <c r="CJ1389" s="160"/>
      <c r="CK1389" s="160"/>
      <c r="CL1389" s="160"/>
    </row>
    <row r="1390">
      <c r="A1390" s="171"/>
      <c r="F1390" s="11"/>
      <c r="G1390" s="11"/>
      <c r="L1390" s="171"/>
      <c r="M1390" s="171"/>
      <c r="O1390" s="160"/>
      <c r="P1390" s="160"/>
      <c r="Q1390" s="160"/>
      <c r="R1390" s="160"/>
      <c r="S1390" s="160"/>
      <c r="T1390" s="207"/>
      <c r="U1390" s="160"/>
      <c r="V1390" s="160"/>
      <c r="W1390" s="160"/>
      <c r="X1390" s="160"/>
      <c r="Y1390" s="160"/>
      <c r="Z1390" s="160"/>
      <c r="AA1390" s="160"/>
      <c r="AB1390" s="160"/>
      <c r="AC1390" s="160"/>
      <c r="AD1390" s="160"/>
      <c r="AE1390" s="160"/>
      <c r="AF1390" s="160"/>
      <c r="AG1390" s="160"/>
      <c r="AH1390" s="160"/>
      <c r="AI1390" s="160"/>
      <c r="AJ1390" s="160"/>
      <c r="AK1390" s="160"/>
      <c r="AL1390" s="160"/>
      <c r="AM1390" s="160"/>
      <c r="AN1390" s="164"/>
      <c r="AO1390" s="160"/>
      <c r="AP1390" s="160"/>
      <c r="AQ1390" s="160"/>
      <c r="AR1390" s="160"/>
      <c r="AS1390" s="160"/>
      <c r="AT1390" s="160"/>
      <c r="AU1390" s="160"/>
      <c r="AV1390" s="160"/>
      <c r="AW1390" s="160"/>
      <c r="AX1390" s="160"/>
      <c r="AY1390" s="160"/>
      <c r="AZ1390" s="160"/>
      <c r="BA1390" s="160"/>
      <c r="BB1390" s="160"/>
      <c r="BC1390" s="160"/>
      <c r="BD1390" s="160"/>
      <c r="BE1390" s="160"/>
      <c r="BF1390" s="160"/>
      <c r="BG1390" s="160"/>
      <c r="BH1390" s="160"/>
      <c r="BI1390" s="160"/>
      <c r="BJ1390" s="160"/>
      <c r="BK1390" s="160"/>
      <c r="BL1390" s="160"/>
      <c r="BM1390" s="160"/>
      <c r="BN1390" s="160"/>
      <c r="BO1390" s="160"/>
      <c r="BP1390" s="160"/>
      <c r="BQ1390" s="160"/>
      <c r="BR1390" s="160"/>
      <c r="BS1390" s="160"/>
      <c r="BT1390" s="160"/>
      <c r="BU1390" s="160"/>
      <c r="BV1390" s="160"/>
      <c r="BW1390" s="160"/>
      <c r="BX1390" s="160"/>
      <c r="BY1390" s="160"/>
      <c r="BZ1390" s="160"/>
      <c r="CA1390" s="160"/>
      <c r="CB1390" s="160"/>
      <c r="CC1390" s="160"/>
      <c r="CD1390" s="160"/>
      <c r="CE1390" s="160"/>
      <c r="CF1390" s="160"/>
      <c r="CG1390" s="160"/>
      <c r="CH1390" s="160"/>
      <c r="CI1390" s="160"/>
      <c r="CJ1390" s="160"/>
      <c r="CK1390" s="160"/>
      <c r="CL1390" s="160"/>
    </row>
    <row r="1391">
      <c r="A1391" s="171"/>
      <c r="F1391" s="11"/>
      <c r="G1391" s="11"/>
      <c r="L1391" s="171"/>
      <c r="M1391" s="171"/>
      <c r="O1391" s="160"/>
      <c r="P1391" s="160"/>
      <c r="Q1391" s="160"/>
      <c r="R1391" s="160"/>
      <c r="S1391" s="160"/>
      <c r="T1391" s="207"/>
      <c r="U1391" s="160"/>
      <c r="V1391" s="160"/>
      <c r="W1391" s="160"/>
      <c r="X1391" s="160"/>
      <c r="Y1391" s="160"/>
      <c r="Z1391" s="160"/>
      <c r="AA1391" s="160"/>
      <c r="AB1391" s="160"/>
      <c r="AC1391" s="160"/>
      <c r="AD1391" s="160"/>
      <c r="AE1391" s="160"/>
      <c r="AF1391" s="160"/>
      <c r="AG1391" s="160"/>
      <c r="AH1391" s="160"/>
      <c r="AI1391" s="160"/>
      <c r="AJ1391" s="160"/>
      <c r="AK1391" s="160"/>
      <c r="AL1391" s="160"/>
      <c r="AM1391" s="160"/>
      <c r="AN1391" s="164"/>
      <c r="AO1391" s="160"/>
      <c r="AP1391" s="160"/>
      <c r="AQ1391" s="160"/>
      <c r="AR1391" s="160"/>
      <c r="AS1391" s="160"/>
      <c r="AT1391" s="160"/>
      <c r="AU1391" s="160"/>
      <c r="AV1391" s="160"/>
      <c r="AW1391" s="160"/>
      <c r="AX1391" s="160"/>
      <c r="AY1391" s="160"/>
      <c r="AZ1391" s="160"/>
      <c r="BA1391" s="160"/>
      <c r="BB1391" s="160"/>
      <c r="BC1391" s="160"/>
      <c r="BD1391" s="160"/>
      <c r="BE1391" s="160"/>
      <c r="BF1391" s="160"/>
      <c r="BG1391" s="160"/>
      <c r="BH1391" s="160"/>
      <c r="BI1391" s="160"/>
      <c r="BJ1391" s="160"/>
      <c r="BK1391" s="160"/>
      <c r="BL1391" s="160"/>
      <c r="BM1391" s="160"/>
      <c r="BN1391" s="160"/>
      <c r="BO1391" s="160"/>
      <c r="BP1391" s="160"/>
      <c r="BQ1391" s="160"/>
      <c r="BR1391" s="160"/>
      <c r="BS1391" s="160"/>
      <c r="BT1391" s="160"/>
      <c r="BU1391" s="160"/>
      <c r="BV1391" s="160"/>
      <c r="BW1391" s="160"/>
      <c r="BX1391" s="160"/>
      <c r="BY1391" s="160"/>
      <c r="BZ1391" s="160"/>
      <c r="CA1391" s="160"/>
      <c r="CB1391" s="160"/>
      <c r="CC1391" s="160"/>
      <c r="CD1391" s="160"/>
      <c r="CE1391" s="160"/>
      <c r="CF1391" s="160"/>
      <c r="CG1391" s="160"/>
      <c r="CH1391" s="160"/>
      <c r="CI1391" s="160"/>
      <c r="CJ1391" s="160"/>
      <c r="CK1391" s="160"/>
      <c r="CL1391" s="160"/>
    </row>
    <row r="1392">
      <c r="A1392" s="171"/>
      <c r="F1392" s="11"/>
      <c r="G1392" s="11"/>
      <c r="L1392" s="171"/>
      <c r="M1392" s="171"/>
      <c r="O1392" s="160"/>
      <c r="P1392" s="160"/>
      <c r="Q1392" s="160"/>
      <c r="R1392" s="160"/>
      <c r="S1392" s="160"/>
      <c r="T1392" s="207"/>
      <c r="U1392" s="160"/>
      <c r="V1392" s="160"/>
      <c r="W1392" s="160"/>
      <c r="X1392" s="160"/>
      <c r="Y1392" s="160"/>
      <c r="Z1392" s="160"/>
      <c r="AA1392" s="160"/>
      <c r="AB1392" s="160"/>
      <c r="AC1392" s="160"/>
      <c r="AD1392" s="160"/>
      <c r="AE1392" s="160"/>
      <c r="AF1392" s="160"/>
      <c r="AG1392" s="160"/>
      <c r="AH1392" s="160"/>
      <c r="AI1392" s="160"/>
      <c r="AJ1392" s="160"/>
      <c r="AK1392" s="160"/>
      <c r="AL1392" s="160"/>
      <c r="AM1392" s="160"/>
      <c r="AN1392" s="164"/>
      <c r="AO1392" s="160"/>
      <c r="AP1392" s="160"/>
      <c r="AQ1392" s="160"/>
      <c r="AR1392" s="160"/>
      <c r="AS1392" s="160"/>
      <c r="AT1392" s="160"/>
      <c r="AU1392" s="160"/>
      <c r="AV1392" s="160"/>
      <c r="AW1392" s="160"/>
      <c r="AX1392" s="160"/>
      <c r="AY1392" s="160"/>
      <c r="AZ1392" s="160"/>
      <c r="BA1392" s="160"/>
      <c r="BB1392" s="160"/>
      <c r="BC1392" s="160"/>
      <c r="BD1392" s="160"/>
      <c r="BE1392" s="160"/>
      <c r="BF1392" s="160"/>
      <c r="BG1392" s="160"/>
      <c r="BH1392" s="160"/>
      <c r="BI1392" s="160"/>
      <c r="BJ1392" s="160"/>
      <c r="BK1392" s="160"/>
      <c r="BL1392" s="160"/>
      <c r="BM1392" s="160"/>
      <c r="BN1392" s="160"/>
      <c r="BO1392" s="160"/>
      <c r="BP1392" s="160"/>
      <c r="BQ1392" s="160"/>
      <c r="BR1392" s="160"/>
      <c r="BS1392" s="160"/>
      <c r="BT1392" s="160"/>
      <c r="BU1392" s="160"/>
      <c r="BV1392" s="160"/>
      <c r="BW1392" s="160"/>
      <c r="BX1392" s="160"/>
      <c r="BY1392" s="160"/>
      <c r="BZ1392" s="160"/>
      <c r="CA1392" s="160"/>
      <c r="CB1392" s="160"/>
      <c r="CC1392" s="160"/>
      <c r="CD1392" s="160"/>
      <c r="CE1392" s="160"/>
      <c r="CF1392" s="160"/>
      <c r="CG1392" s="160"/>
      <c r="CH1392" s="160"/>
      <c r="CI1392" s="160"/>
      <c r="CJ1392" s="160"/>
      <c r="CK1392" s="160"/>
      <c r="CL1392" s="160"/>
    </row>
    <row r="1393">
      <c r="A1393" s="171"/>
      <c r="F1393" s="11"/>
      <c r="G1393" s="11"/>
      <c r="L1393" s="171"/>
      <c r="M1393" s="171"/>
      <c r="O1393" s="160"/>
      <c r="P1393" s="160"/>
      <c r="Q1393" s="160"/>
      <c r="R1393" s="160"/>
      <c r="S1393" s="160"/>
      <c r="T1393" s="207"/>
      <c r="U1393" s="160"/>
      <c r="V1393" s="160"/>
      <c r="W1393" s="160"/>
      <c r="X1393" s="160"/>
      <c r="Y1393" s="160"/>
      <c r="Z1393" s="160"/>
      <c r="AA1393" s="160"/>
      <c r="AB1393" s="160"/>
      <c r="AC1393" s="160"/>
      <c r="AD1393" s="160"/>
      <c r="AE1393" s="160"/>
      <c r="AF1393" s="160"/>
      <c r="AG1393" s="160"/>
      <c r="AH1393" s="160"/>
      <c r="AI1393" s="160"/>
      <c r="AJ1393" s="160"/>
      <c r="AK1393" s="160"/>
      <c r="AL1393" s="160"/>
      <c r="AM1393" s="160"/>
      <c r="AN1393" s="164"/>
      <c r="AO1393" s="160"/>
      <c r="AP1393" s="160"/>
      <c r="AQ1393" s="160"/>
      <c r="AR1393" s="160"/>
      <c r="AS1393" s="160"/>
      <c r="AT1393" s="160"/>
      <c r="AU1393" s="160"/>
      <c r="AV1393" s="160"/>
      <c r="AW1393" s="160"/>
      <c r="AX1393" s="160"/>
      <c r="AY1393" s="160"/>
      <c r="AZ1393" s="160"/>
      <c r="BA1393" s="160"/>
      <c r="BB1393" s="160"/>
      <c r="BC1393" s="160"/>
      <c r="BD1393" s="160"/>
      <c r="BE1393" s="160"/>
      <c r="BF1393" s="160"/>
      <c r="BG1393" s="160"/>
      <c r="BH1393" s="160"/>
      <c r="BI1393" s="160"/>
      <c r="BJ1393" s="160"/>
      <c r="BK1393" s="160"/>
      <c r="BL1393" s="160"/>
      <c r="BM1393" s="160"/>
      <c r="BN1393" s="160"/>
      <c r="BO1393" s="160"/>
      <c r="BP1393" s="160"/>
      <c r="BQ1393" s="160"/>
      <c r="BR1393" s="160"/>
      <c r="BS1393" s="160"/>
      <c r="BT1393" s="160"/>
      <c r="BU1393" s="160"/>
      <c r="BV1393" s="160"/>
      <c r="BW1393" s="160"/>
      <c r="BX1393" s="160"/>
      <c r="BY1393" s="160"/>
      <c r="BZ1393" s="160"/>
      <c r="CA1393" s="160"/>
      <c r="CB1393" s="160"/>
      <c r="CC1393" s="160"/>
      <c r="CD1393" s="160"/>
      <c r="CE1393" s="160"/>
      <c r="CF1393" s="160"/>
      <c r="CG1393" s="160"/>
      <c r="CH1393" s="160"/>
      <c r="CI1393" s="160"/>
      <c r="CJ1393" s="160"/>
      <c r="CK1393" s="160"/>
      <c r="CL1393" s="160"/>
    </row>
    <row r="1394">
      <c r="A1394" s="171"/>
      <c r="F1394" s="11"/>
      <c r="G1394" s="11"/>
      <c r="L1394" s="171"/>
      <c r="M1394" s="171"/>
      <c r="O1394" s="160"/>
      <c r="P1394" s="160"/>
      <c r="Q1394" s="160"/>
      <c r="R1394" s="160"/>
      <c r="S1394" s="160"/>
      <c r="T1394" s="207"/>
      <c r="U1394" s="160"/>
      <c r="V1394" s="160"/>
      <c r="W1394" s="160"/>
      <c r="X1394" s="160"/>
      <c r="Y1394" s="160"/>
      <c r="Z1394" s="160"/>
      <c r="AA1394" s="160"/>
      <c r="AB1394" s="160"/>
      <c r="AC1394" s="160"/>
      <c r="AD1394" s="160"/>
      <c r="AE1394" s="160"/>
      <c r="AF1394" s="160"/>
      <c r="AG1394" s="160"/>
      <c r="AH1394" s="160"/>
      <c r="AI1394" s="160"/>
      <c r="AJ1394" s="160"/>
      <c r="AK1394" s="160"/>
      <c r="AL1394" s="160"/>
      <c r="AM1394" s="160"/>
      <c r="AN1394" s="164"/>
      <c r="AO1394" s="160"/>
      <c r="AP1394" s="160"/>
      <c r="AQ1394" s="160"/>
      <c r="AR1394" s="160"/>
      <c r="AS1394" s="160"/>
      <c r="AT1394" s="160"/>
      <c r="AU1394" s="160"/>
      <c r="AV1394" s="160"/>
      <c r="AW1394" s="160"/>
      <c r="AX1394" s="160"/>
      <c r="AY1394" s="160"/>
      <c r="AZ1394" s="160"/>
      <c r="BA1394" s="160"/>
      <c r="BB1394" s="160"/>
      <c r="BC1394" s="160"/>
      <c r="BD1394" s="160"/>
      <c r="BE1394" s="160"/>
      <c r="BF1394" s="160"/>
      <c r="BG1394" s="160"/>
      <c r="BH1394" s="160"/>
      <c r="BI1394" s="160"/>
      <c r="BJ1394" s="160"/>
      <c r="BK1394" s="160"/>
      <c r="BL1394" s="160"/>
      <c r="BM1394" s="160"/>
      <c r="BN1394" s="160"/>
      <c r="BO1394" s="160"/>
      <c r="BP1394" s="160"/>
      <c r="BQ1394" s="160"/>
      <c r="BR1394" s="160"/>
      <c r="BS1394" s="160"/>
      <c r="BT1394" s="160"/>
      <c r="BU1394" s="160"/>
      <c r="BV1394" s="160"/>
      <c r="BW1394" s="160"/>
      <c r="BX1394" s="160"/>
      <c r="BY1394" s="160"/>
      <c r="BZ1394" s="160"/>
      <c r="CA1394" s="160"/>
      <c r="CB1394" s="160"/>
      <c r="CC1394" s="160"/>
      <c r="CD1394" s="160"/>
      <c r="CE1394" s="160"/>
      <c r="CF1394" s="160"/>
      <c r="CG1394" s="160"/>
      <c r="CH1394" s="160"/>
      <c r="CI1394" s="160"/>
      <c r="CJ1394" s="160"/>
      <c r="CK1394" s="160"/>
      <c r="CL1394" s="160"/>
    </row>
    <row r="1395">
      <c r="A1395" s="171"/>
      <c r="F1395" s="11"/>
      <c r="G1395" s="11"/>
      <c r="L1395" s="171"/>
      <c r="M1395" s="171"/>
      <c r="O1395" s="160"/>
      <c r="P1395" s="160"/>
      <c r="Q1395" s="160"/>
      <c r="R1395" s="160"/>
      <c r="S1395" s="160"/>
      <c r="T1395" s="207"/>
      <c r="U1395" s="160"/>
      <c r="V1395" s="160"/>
      <c r="W1395" s="160"/>
      <c r="X1395" s="160"/>
      <c r="Y1395" s="160"/>
      <c r="Z1395" s="160"/>
      <c r="AA1395" s="160"/>
      <c r="AB1395" s="160"/>
      <c r="AC1395" s="160"/>
      <c r="AD1395" s="160"/>
      <c r="AE1395" s="160"/>
      <c r="AF1395" s="160"/>
      <c r="AG1395" s="160"/>
      <c r="AH1395" s="160"/>
      <c r="AI1395" s="160"/>
      <c r="AJ1395" s="160"/>
      <c r="AK1395" s="160"/>
      <c r="AL1395" s="160"/>
      <c r="AM1395" s="160"/>
      <c r="AN1395" s="164"/>
      <c r="AO1395" s="160"/>
      <c r="AP1395" s="160"/>
      <c r="AQ1395" s="160"/>
      <c r="AR1395" s="160"/>
      <c r="AS1395" s="160"/>
      <c r="AT1395" s="160"/>
      <c r="AU1395" s="160"/>
      <c r="AV1395" s="160"/>
      <c r="AW1395" s="160"/>
      <c r="AX1395" s="160"/>
      <c r="AY1395" s="160"/>
      <c r="AZ1395" s="160"/>
      <c r="BA1395" s="160"/>
      <c r="BB1395" s="160"/>
      <c r="BC1395" s="160"/>
      <c r="BD1395" s="160"/>
      <c r="BE1395" s="160"/>
      <c r="BF1395" s="160"/>
      <c r="BG1395" s="160"/>
      <c r="BH1395" s="160"/>
      <c r="BI1395" s="160"/>
      <c r="BJ1395" s="160"/>
      <c r="BK1395" s="160"/>
      <c r="BL1395" s="160"/>
      <c r="BM1395" s="160"/>
      <c r="BN1395" s="160"/>
      <c r="BO1395" s="160"/>
      <c r="BP1395" s="160"/>
      <c r="BQ1395" s="160"/>
      <c r="BR1395" s="160"/>
      <c r="BS1395" s="160"/>
      <c r="BT1395" s="160"/>
      <c r="BU1395" s="160"/>
      <c r="BV1395" s="160"/>
      <c r="BW1395" s="160"/>
      <c r="BX1395" s="160"/>
      <c r="BY1395" s="160"/>
      <c r="BZ1395" s="160"/>
      <c r="CA1395" s="160"/>
      <c r="CB1395" s="160"/>
      <c r="CC1395" s="160"/>
      <c r="CD1395" s="160"/>
      <c r="CE1395" s="160"/>
      <c r="CF1395" s="160"/>
      <c r="CG1395" s="160"/>
      <c r="CH1395" s="160"/>
      <c r="CI1395" s="160"/>
      <c r="CJ1395" s="160"/>
      <c r="CK1395" s="160"/>
      <c r="CL1395" s="160"/>
    </row>
    <row r="1396">
      <c r="A1396" s="171"/>
      <c r="F1396" s="11"/>
      <c r="G1396" s="11"/>
      <c r="L1396" s="171"/>
      <c r="M1396" s="171"/>
      <c r="O1396" s="160"/>
      <c r="P1396" s="160"/>
      <c r="Q1396" s="160"/>
      <c r="R1396" s="160"/>
      <c r="S1396" s="160"/>
      <c r="T1396" s="207"/>
      <c r="U1396" s="160"/>
      <c r="V1396" s="160"/>
      <c r="W1396" s="160"/>
      <c r="X1396" s="160"/>
      <c r="Y1396" s="160"/>
      <c r="Z1396" s="160"/>
      <c r="AA1396" s="160"/>
      <c r="AB1396" s="160"/>
      <c r="AC1396" s="160"/>
      <c r="AD1396" s="160"/>
      <c r="AE1396" s="160"/>
      <c r="AF1396" s="160"/>
      <c r="AG1396" s="160"/>
      <c r="AH1396" s="160"/>
      <c r="AI1396" s="160"/>
      <c r="AJ1396" s="160"/>
      <c r="AK1396" s="160"/>
      <c r="AL1396" s="160"/>
      <c r="AM1396" s="160"/>
      <c r="AN1396" s="164"/>
      <c r="AO1396" s="160"/>
      <c r="AP1396" s="160"/>
      <c r="AQ1396" s="160"/>
      <c r="AR1396" s="160"/>
      <c r="AS1396" s="160"/>
      <c r="AT1396" s="160"/>
      <c r="AU1396" s="160"/>
      <c r="AV1396" s="160"/>
      <c r="AW1396" s="160"/>
      <c r="AX1396" s="160"/>
      <c r="AY1396" s="160"/>
      <c r="AZ1396" s="160"/>
      <c r="BA1396" s="160"/>
      <c r="BB1396" s="160"/>
      <c r="BC1396" s="160"/>
      <c r="BD1396" s="160"/>
      <c r="BE1396" s="160"/>
      <c r="BF1396" s="160"/>
      <c r="BG1396" s="160"/>
      <c r="BH1396" s="160"/>
      <c r="BI1396" s="160"/>
      <c r="BJ1396" s="160"/>
      <c r="BK1396" s="160"/>
      <c r="BL1396" s="160"/>
      <c r="BM1396" s="160"/>
      <c r="BN1396" s="160"/>
      <c r="BO1396" s="160"/>
      <c r="BP1396" s="160"/>
      <c r="BQ1396" s="160"/>
      <c r="BR1396" s="160"/>
      <c r="BS1396" s="160"/>
      <c r="BT1396" s="160"/>
      <c r="BU1396" s="160"/>
      <c r="BV1396" s="160"/>
      <c r="BW1396" s="160"/>
      <c r="BX1396" s="160"/>
      <c r="BY1396" s="160"/>
      <c r="BZ1396" s="160"/>
      <c r="CA1396" s="160"/>
      <c r="CB1396" s="160"/>
      <c r="CC1396" s="160"/>
      <c r="CD1396" s="160"/>
      <c r="CE1396" s="160"/>
      <c r="CF1396" s="160"/>
      <c r="CG1396" s="160"/>
      <c r="CH1396" s="160"/>
      <c r="CI1396" s="160"/>
      <c r="CJ1396" s="160"/>
      <c r="CK1396" s="160"/>
      <c r="CL1396" s="160"/>
    </row>
    <row r="1397">
      <c r="A1397" s="171"/>
      <c r="F1397" s="11"/>
      <c r="G1397" s="11"/>
      <c r="L1397" s="171"/>
      <c r="M1397" s="171"/>
      <c r="O1397" s="160"/>
      <c r="P1397" s="160"/>
      <c r="Q1397" s="160"/>
      <c r="R1397" s="160"/>
      <c r="S1397" s="160"/>
      <c r="T1397" s="207"/>
      <c r="U1397" s="160"/>
      <c r="V1397" s="160"/>
      <c r="W1397" s="160"/>
      <c r="X1397" s="160"/>
      <c r="Y1397" s="160"/>
      <c r="Z1397" s="160"/>
      <c r="AA1397" s="160"/>
      <c r="AB1397" s="160"/>
      <c r="AC1397" s="160"/>
      <c r="AD1397" s="160"/>
      <c r="AE1397" s="160"/>
      <c r="AF1397" s="160"/>
      <c r="AG1397" s="160"/>
      <c r="AH1397" s="160"/>
      <c r="AI1397" s="160"/>
      <c r="AJ1397" s="160"/>
      <c r="AK1397" s="160"/>
      <c r="AL1397" s="160"/>
      <c r="AM1397" s="160"/>
      <c r="AN1397" s="164"/>
      <c r="AO1397" s="160"/>
      <c r="AP1397" s="160"/>
      <c r="AQ1397" s="160"/>
      <c r="AR1397" s="160"/>
      <c r="AS1397" s="160"/>
      <c r="AT1397" s="160"/>
      <c r="AU1397" s="160"/>
      <c r="AV1397" s="160"/>
      <c r="AW1397" s="160"/>
      <c r="AX1397" s="160"/>
      <c r="AY1397" s="160"/>
      <c r="AZ1397" s="160"/>
      <c r="BA1397" s="160"/>
      <c r="BB1397" s="160"/>
      <c r="BC1397" s="160"/>
      <c r="BD1397" s="160"/>
      <c r="BE1397" s="160"/>
      <c r="BF1397" s="160"/>
      <c r="BG1397" s="160"/>
      <c r="BH1397" s="160"/>
      <c r="BI1397" s="160"/>
      <c r="BJ1397" s="160"/>
      <c r="BK1397" s="160"/>
      <c r="BL1397" s="160"/>
      <c r="BM1397" s="160"/>
      <c r="BN1397" s="160"/>
      <c r="BO1397" s="160"/>
      <c r="BP1397" s="160"/>
      <c r="BQ1397" s="160"/>
      <c r="BR1397" s="160"/>
      <c r="BS1397" s="160"/>
      <c r="BT1397" s="160"/>
      <c r="BU1397" s="160"/>
      <c r="BV1397" s="160"/>
      <c r="BW1397" s="160"/>
      <c r="BX1397" s="160"/>
      <c r="BY1397" s="160"/>
      <c r="BZ1397" s="160"/>
      <c r="CA1397" s="160"/>
      <c r="CB1397" s="160"/>
      <c r="CC1397" s="160"/>
      <c r="CD1397" s="160"/>
      <c r="CE1397" s="160"/>
      <c r="CF1397" s="160"/>
      <c r="CG1397" s="160"/>
      <c r="CH1397" s="160"/>
      <c r="CI1397" s="160"/>
      <c r="CJ1397" s="160"/>
      <c r="CK1397" s="160"/>
      <c r="CL1397" s="160"/>
    </row>
    <row r="1398">
      <c r="A1398" s="171"/>
      <c r="F1398" s="11"/>
      <c r="G1398" s="11"/>
      <c r="L1398" s="171"/>
      <c r="M1398" s="171"/>
      <c r="O1398" s="160"/>
      <c r="P1398" s="160"/>
      <c r="Q1398" s="160"/>
      <c r="R1398" s="160"/>
      <c r="S1398" s="160"/>
      <c r="T1398" s="207"/>
      <c r="U1398" s="160"/>
      <c r="V1398" s="160"/>
      <c r="W1398" s="160"/>
      <c r="X1398" s="160"/>
      <c r="Y1398" s="160"/>
      <c r="Z1398" s="160"/>
      <c r="AA1398" s="160"/>
      <c r="AB1398" s="160"/>
      <c r="AC1398" s="160"/>
      <c r="AD1398" s="160"/>
      <c r="AE1398" s="160"/>
      <c r="AF1398" s="160"/>
      <c r="AG1398" s="160"/>
      <c r="AH1398" s="160"/>
      <c r="AI1398" s="160"/>
      <c r="AJ1398" s="160"/>
      <c r="AK1398" s="160"/>
      <c r="AL1398" s="160"/>
      <c r="AM1398" s="160"/>
      <c r="AN1398" s="164"/>
      <c r="AO1398" s="160"/>
      <c r="AP1398" s="160"/>
      <c r="AQ1398" s="160"/>
      <c r="AR1398" s="160"/>
      <c r="AS1398" s="160"/>
      <c r="AT1398" s="160"/>
      <c r="AU1398" s="160"/>
      <c r="AV1398" s="160"/>
      <c r="AW1398" s="160"/>
      <c r="AX1398" s="160"/>
      <c r="AY1398" s="160"/>
      <c r="AZ1398" s="160"/>
      <c r="BA1398" s="160"/>
      <c r="BB1398" s="160"/>
      <c r="BC1398" s="160"/>
      <c r="BD1398" s="160"/>
      <c r="BE1398" s="160"/>
      <c r="BF1398" s="160"/>
      <c r="BG1398" s="160"/>
      <c r="BH1398" s="160"/>
      <c r="BI1398" s="160"/>
      <c r="BJ1398" s="160"/>
      <c r="BK1398" s="160"/>
      <c r="BL1398" s="160"/>
      <c r="BM1398" s="160"/>
      <c r="BN1398" s="160"/>
      <c r="BO1398" s="160"/>
      <c r="BP1398" s="160"/>
      <c r="BQ1398" s="160"/>
      <c r="BR1398" s="160"/>
      <c r="BS1398" s="160"/>
      <c r="BT1398" s="160"/>
      <c r="BU1398" s="160"/>
      <c r="BV1398" s="160"/>
      <c r="BW1398" s="160"/>
      <c r="BX1398" s="160"/>
      <c r="BY1398" s="160"/>
      <c r="BZ1398" s="160"/>
      <c r="CA1398" s="160"/>
      <c r="CB1398" s="160"/>
      <c r="CC1398" s="160"/>
      <c r="CD1398" s="160"/>
      <c r="CE1398" s="160"/>
      <c r="CF1398" s="160"/>
      <c r="CG1398" s="160"/>
      <c r="CH1398" s="160"/>
      <c r="CI1398" s="160"/>
      <c r="CJ1398" s="160"/>
      <c r="CK1398" s="160"/>
      <c r="CL1398" s="160"/>
    </row>
    <row r="1399">
      <c r="A1399" s="171"/>
      <c r="F1399" s="11"/>
      <c r="G1399" s="11"/>
      <c r="L1399" s="171"/>
      <c r="M1399" s="171"/>
      <c r="O1399" s="160"/>
      <c r="P1399" s="160"/>
      <c r="Q1399" s="160"/>
      <c r="R1399" s="160"/>
      <c r="S1399" s="160"/>
      <c r="T1399" s="207"/>
      <c r="U1399" s="160"/>
      <c r="V1399" s="160"/>
      <c r="W1399" s="160"/>
      <c r="X1399" s="160"/>
      <c r="Y1399" s="160"/>
      <c r="Z1399" s="160"/>
      <c r="AA1399" s="160"/>
      <c r="AB1399" s="160"/>
      <c r="AC1399" s="160"/>
      <c r="AD1399" s="160"/>
      <c r="AE1399" s="160"/>
      <c r="AF1399" s="160"/>
      <c r="AG1399" s="160"/>
      <c r="AH1399" s="160"/>
      <c r="AI1399" s="160"/>
      <c r="AJ1399" s="160"/>
      <c r="AK1399" s="160"/>
      <c r="AL1399" s="160"/>
      <c r="AM1399" s="160"/>
      <c r="AN1399" s="164"/>
      <c r="AO1399" s="160"/>
      <c r="AP1399" s="160"/>
      <c r="AQ1399" s="160"/>
      <c r="AR1399" s="160"/>
      <c r="AS1399" s="160"/>
      <c r="AT1399" s="160"/>
      <c r="AU1399" s="160"/>
      <c r="AV1399" s="160"/>
      <c r="AW1399" s="160"/>
      <c r="AX1399" s="160"/>
      <c r="AY1399" s="160"/>
      <c r="AZ1399" s="160"/>
      <c r="BA1399" s="160"/>
      <c r="BB1399" s="160"/>
      <c r="BC1399" s="160"/>
      <c r="BD1399" s="160"/>
      <c r="BE1399" s="160"/>
      <c r="BF1399" s="160"/>
      <c r="BG1399" s="160"/>
      <c r="BH1399" s="160"/>
      <c r="BI1399" s="160"/>
      <c r="BJ1399" s="160"/>
      <c r="BK1399" s="160"/>
      <c r="BL1399" s="160"/>
      <c r="BM1399" s="160"/>
      <c r="BN1399" s="160"/>
      <c r="BO1399" s="160"/>
      <c r="BP1399" s="160"/>
      <c r="BQ1399" s="160"/>
      <c r="BR1399" s="160"/>
      <c r="BS1399" s="160"/>
      <c r="BT1399" s="160"/>
      <c r="BU1399" s="160"/>
      <c r="BV1399" s="160"/>
      <c r="BW1399" s="160"/>
      <c r="BX1399" s="160"/>
      <c r="BY1399" s="160"/>
      <c r="BZ1399" s="160"/>
      <c r="CA1399" s="160"/>
      <c r="CB1399" s="160"/>
      <c r="CC1399" s="160"/>
      <c r="CD1399" s="160"/>
      <c r="CE1399" s="160"/>
      <c r="CF1399" s="160"/>
      <c r="CG1399" s="160"/>
      <c r="CH1399" s="160"/>
      <c r="CI1399" s="160"/>
      <c r="CJ1399" s="160"/>
      <c r="CK1399" s="160"/>
      <c r="CL1399" s="160"/>
    </row>
    <row r="1400">
      <c r="A1400" s="171"/>
      <c r="F1400" s="11"/>
      <c r="G1400" s="11"/>
      <c r="L1400" s="171"/>
      <c r="M1400" s="171"/>
      <c r="O1400" s="160"/>
      <c r="P1400" s="160"/>
      <c r="Q1400" s="160"/>
      <c r="R1400" s="160"/>
      <c r="S1400" s="160"/>
      <c r="T1400" s="207"/>
      <c r="U1400" s="160"/>
      <c r="V1400" s="160"/>
      <c r="W1400" s="160"/>
      <c r="X1400" s="160"/>
      <c r="Y1400" s="160"/>
      <c r="Z1400" s="160"/>
      <c r="AA1400" s="160"/>
      <c r="AB1400" s="160"/>
      <c r="AC1400" s="160"/>
      <c r="AD1400" s="160"/>
      <c r="AE1400" s="160"/>
      <c r="AF1400" s="160"/>
      <c r="AG1400" s="160"/>
      <c r="AH1400" s="160"/>
      <c r="AI1400" s="160"/>
      <c r="AJ1400" s="160"/>
      <c r="AK1400" s="160"/>
      <c r="AL1400" s="160"/>
      <c r="AM1400" s="160"/>
      <c r="AN1400" s="164"/>
      <c r="AO1400" s="160"/>
      <c r="AP1400" s="160"/>
      <c r="AQ1400" s="160"/>
      <c r="AR1400" s="160"/>
      <c r="AS1400" s="160"/>
      <c r="AT1400" s="160"/>
      <c r="AU1400" s="160"/>
      <c r="AV1400" s="160"/>
      <c r="AW1400" s="160"/>
      <c r="AX1400" s="160"/>
      <c r="AY1400" s="160"/>
      <c r="AZ1400" s="160"/>
      <c r="BA1400" s="160"/>
      <c r="BB1400" s="160"/>
      <c r="BC1400" s="160"/>
      <c r="BD1400" s="160"/>
      <c r="BE1400" s="160"/>
      <c r="BF1400" s="160"/>
      <c r="BG1400" s="160"/>
      <c r="BH1400" s="160"/>
      <c r="BI1400" s="160"/>
      <c r="BJ1400" s="160"/>
      <c r="BK1400" s="160"/>
      <c r="BL1400" s="160"/>
      <c r="BM1400" s="160"/>
      <c r="BN1400" s="160"/>
      <c r="BO1400" s="160"/>
      <c r="BP1400" s="160"/>
      <c r="BQ1400" s="160"/>
      <c r="BR1400" s="160"/>
      <c r="BS1400" s="160"/>
      <c r="BT1400" s="160"/>
      <c r="BU1400" s="160"/>
      <c r="BV1400" s="160"/>
      <c r="BW1400" s="160"/>
      <c r="BX1400" s="160"/>
      <c r="BY1400" s="160"/>
      <c r="BZ1400" s="160"/>
      <c r="CA1400" s="160"/>
      <c r="CB1400" s="160"/>
      <c r="CC1400" s="160"/>
      <c r="CD1400" s="160"/>
      <c r="CE1400" s="160"/>
      <c r="CF1400" s="160"/>
      <c r="CG1400" s="160"/>
      <c r="CH1400" s="160"/>
      <c r="CI1400" s="160"/>
      <c r="CJ1400" s="160"/>
      <c r="CK1400" s="160"/>
      <c r="CL1400" s="160"/>
    </row>
    <row r="1401">
      <c r="A1401" s="171"/>
      <c r="F1401" s="11"/>
      <c r="G1401" s="11"/>
      <c r="L1401" s="171"/>
      <c r="M1401" s="171"/>
      <c r="O1401" s="160"/>
      <c r="P1401" s="160"/>
      <c r="Q1401" s="160"/>
      <c r="R1401" s="160"/>
      <c r="S1401" s="160"/>
      <c r="T1401" s="207"/>
      <c r="U1401" s="160"/>
      <c r="V1401" s="160"/>
      <c r="W1401" s="160"/>
      <c r="X1401" s="160"/>
      <c r="Y1401" s="160"/>
      <c r="Z1401" s="160"/>
      <c r="AA1401" s="160"/>
      <c r="AB1401" s="160"/>
      <c r="AC1401" s="160"/>
      <c r="AD1401" s="160"/>
      <c r="AE1401" s="160"/>
      <c r="AF1401" s="160"/>
      <c r="AG1401" s="160"/>
      <c r="AH1401" s="160"/>
      <c r="AI1401" s="160"/>
      <c r="AJ1401" s="160"/>
      <c r="AK1401" s="160"/>
      <c r="AL1401" s="160"/>
      <c r="AM1401" s="160"/>
      <c r="AN1401" s="164"/>
      <c r="AO1401" s="160"/>
      <c r="AP1401" s="160"/>
      <c r="AQ1401" s="160"/>
      <c r="AR1401" s="160"/>
      <c r="AS1401" s="160"/>
      <c r="AT1401" s="160"/>
      <c r="AU1401" s="160"/>
      <c r="AV1401" s="160"/>
      <c r="AW1401" s="160"/>
      <c r="AX1401" s="160"/>
      <c r="AY1401" s="160"/>
      <c r="AZ1401" s="160"/>
      <c r="BA1401" s="160"/>
      <c r="BB1401" s="160"/>
      <c r="BC1401" s="160"/>
      <c r="BD1401" s="160"/>
      <c r="BE1401" s="160"/>
      <c r="BF1401" s="160"/>
      <c r="BG1401" s="160"/>
      <c r="BH1401" s="160"/>
      <c r="BI1401" s="160"/>
      <c r="BJ1401" s="160"/>
      <c r="BK1401" s="160"/>
      <c r="BL1401" s="160"/>
      <c r="BM1401" s="160"/>
      <c r="BN1401" s="160"/>
      <c r="BO1401" s="160"/>
      <c r="BP1401" s="160"/>
      <c r="BQ1401" s="160"/>
      <c r="BR1401" s="160"/>
      <c r="BS1401" s="160"/>
      <c r="BT1401" s="160"/>
      <c r="BU1401" s="160"/>
      <c r="BV1401" s="160"/>
      <c r="BW1401" s="160"/>
      <c r="BX1401" s="160"/>
      <c r="BY1401" s="160"/>
      <c r="BZ1401" s="160"/>
      <c r="CA1401" s="160"/>
      <c r="CB1401" s="160"/>
      <c r="CC1401" s="160"/>
      <c r="CD1401" s="160"/>
      <c r="CE1401" s="160"/>
      <c r="CF1401" s="160"/>
      <c r="CG1401" s="160"/>
      <c r="CH1401" s="160"/>
      <c r="CI1401" s="160"/>
      <c r="CJ1401" s="160"/>
      <c r="CK1401" s="160"/>
      <c r="CL1401" s="160"/>
    </row>
    <row r="1402">
      <c r="A1402" s="171"/>
      <c r="F1402" s="11"/>
      <c r="G1402" s="11"/>
      <c r="L1402" s="171"/>
      <c r="M1402" s="171"/>
      <c r="O1402" s="160"/>
      <c r="P1402" s="160"/>
      <c r="Q1402" s="160"/>
      <c r="R1402" s="160"/>
      <c r="S1402" s="160"/>
      <c r="T1402" s="207"/>
      <c r="U1402" s="160"/>
      <c r="V1402" s="160"/>
      <c r="W1402" s="160"/>
      <c r="X1402" s="160"/>
      <c r="Y1402" s="160"/>
      <c r="Z1402" s="160"/>
      <c r="AA1402" s="160"/>
      <c r="AB1402" s="160"/>
      <c r="AC1402" s="160"/>
      <c r="AD1402" s="160"/>
      <c r="AE1402" s="160"/>
      <c r="AF1402" s="160"/>
      <c r="AG1402" s="160"/>
      <c r="AH1402" s="160"/>
      <c r="AI1402" s="160"/>
      <c r="AJ1402" s="160"/>
      <c r="AK1402" s="160"/>
      <c r="AL1402" s="160"/>
      <c r="AM1402" s="160"/>
      <c r="AN1402" s="164"/>
      <c r="AO1402" s="160"/>
      <c r="AP1402" s="160"/>
      <c r="AQ1402" s="160"/>
      <c r="AR1402" s="160"/>
      <c r="AS1402" s="160"/>
      <c r="AT1402" s="160"/>
      <c r="AU1402" s="160"/>
      <c r="AV1402" s="160"/>
      <c r="AW1402" s="160"/>
      <c r="AX1402" s="160"/>
      <c r="AY1402" s="160"/>
      <c r="AZ1402" s="160"/>
      <c r="BA1402" s="160"/>
      <c r="BB1402" s="160"/>
      <c r="BC1402" s="160"/>
      <c r="BD1402" s="160"/>
      <c r="BE1402" s="160"/>
      <c r="BF1402" s="160"/>
      <c r="BG1402" s="160"/>
      <c r="BH1402" s="160"/>
      <c r="BI1402" s="160"/>
      <c r="BJ1402" s="160"/>
      <c r="BK1402" s="160"/>
      <c r="BL1402" s="160"/>
      <c r="BM1402" s="160"/>
      <c r="BN1402" s="160"/>
      <c r="BO1402" s="160"/>
      <c r="BP1402" s="160"/>
      <c r="BQ1402" s="160"/>
      <c r="BR1402" s="160"/>
      <c r="BS1402" s="160"/>
      <c r="BT1402" s="160"/>
      <c r="BU1402" s="160"/>
      <c r="BV1402" s="160"/>
      <c r="BW1402" s="160"/>
      <c r="BX1402" s="160"/>
      <c r="BY1402" s="160"/>
      <c r="BZ1402" s="160"/>
      <c r="CA1402" s="160"/>
      <c r="CB1402" s="160"/>
      <c r="CC1402" s="160"/>
      <c r="CD1402" s="160"/>
      <c r="CE1402" s="160"/>
      <c r="CF1402" s="160"/>
      <c r="CG1402" s="160"/>
      <c r="CH1402" s="160"/>
      <c r="CI1402" s="160"/>
      <c r="CJ1402" s="160"/>
      <c r="CK1402" s="160"/>
      <c r="CL1402" s="160"/>
    </row>
    <row r="1403">
      <c r="A1403" s="171"/>
      <c r="F1403" s="11"/>
      <c r="G1403" s="11"/>
      <c r="L1403" s="171"/>
      <c r="M1403" s="171"/>
      <c r="O1403" s="160"/>
      <c r="P1403" s="160"/>
      <c r="Q1403" s="160"/>
      <c r="R1403" s="160"/>
      <c r="S1403" s="160"/>
      <c r="T1403" s="207"/>
      <c r="U1403" s="160"/>
      <c r="V1403" s="160"/>
      <c r="W1403" s="160"/>
      <c r="X1403" s="160"/>
      <c r="Y1403" s="160"/>
      <c r="Z1403" s="160"/>
      <c r="AA1403" s="160"/>
      <c r="AB1403" s="160"/>
      <c r="AC1403" s="160"/>
      <c r="AD1403" s="160"/>
      <c r="AE1403" s="160"/>
      <c r="AF1403" s="160"/>
      <c r="AG1403" s="160"/>
      <c r="AH1403" s="160"/>
      <c r="AI1403" s="160"/>
      <c r="AJ1403" s="160"/>
      <c r="AK1403" s="160"/>
      <c r="AL1403" s="160"/>
      <c r="AM1403" s="160"/>
      <c r="AN1403" s="164"/>
      <c r="AO1403" s="160"/>
      <c r="AP1403" s="160"/>
      <c r="AQ1403" s="160"/>
      <c r="AR1403" s="160"/>
      <c r="AS1403" s="160"/>
      <c r="AT1403" s="160"/>
      <c r="AU1403" s="160"/>
      <c r="AV1403" s="160"/>
      <c r="AW1403" s="160"/>
      <c r="AX1403" s="160"/>
      <c r="AY1403" s="160"/>
      <c r="AZ1403" s="160"/>
      <c r="BA1403" s="160"/>
      <c r="BB1403" s="160"/>
      <c r="BC1403" s="160"/>
      <c r="BD1403" s="160"/>
      <c r="BE1403" s="160"/>
      <c r="BF1403" s="160"/>
      <c r="BG1403" s="160"/>
      <c r="BH1403" s="160"/>
      <c r="BI1403" s="160"/>
      <c r="BJ1403" s="160"/>
      <c r="BK1403" s="160"/>
      <c r="BL1403" s="160"/>
      <c r="BM1403" s="160"/>
      <c r="BN1403" s="160"/>
      <c r="BO1403" s="160"/>
      <c r="BP1403" s="160"/>
      <c r="BQ1403" s="160"/>
      <c r="BR1403" s="160"/>
      <c r="BS1403" s="160"/>
      <c r="BT1403" s="160"/>
      <c r="BU1403" s="160"/>
      <c r="BV1403" s="160"/>
      <c r="BW1403" s="160"/>
      <c r="BX1403" s="160"/>
      <c r="BY1403" s="160"/>
      <c r="BZ1403" s="160"/>
      <c r="CA1403" s="160"/>
      <c r="CB1403" s="160"/>
      <c r="CC1403" s="160"/>
      <c r="CD1403" s="160"/>
      <c r="CE1403" s="160"/>
      <c r="CF1403" s="160"/>
      <c r="CG1403" s="160"/>
      <c r="CH1403" s="160"/>
      <c r="CI1403" s="160"/>
      <c r="CJ1403" s="160"/>
      <c r="CK1403" s="160"/>
      <c r="CL1403" s="160"/>
    </row>
    <row r="1404">
      <c r="A1404" s="171"/>
      <c r="F1404" s="11"/>
      <c r="G1404" s="11"/>
      <c r="L1404" s="171"/>
      <c r="M1404" s="171"/>
      <c r="O1404" s="160"/>
      <c r="P1404" s="160"/>
      <c r="Q1404" s="160"/>
      <c r="R1404" s="160"/>
      <c r="S1404" s="160"/>
      <c r="T1404" s="207"/>
      <c r="U1404" s="160"/>
      <c r="V1404" s="160"/>
      <c r="W1404" s="160"/>
      <c r="X1404" s="160"/>
      <c r="Y1404" s="160"/>
      <c r="Z1404" s="160"/>
      <c r="AA1404" s="160"/>
      <c r="AB1404" s="160"/>
      <c r="AC1404" s="160"/>
      <c r="AD1404" s="160"/>
      <c r="AE1404" s="160"/>
      <c r="AF1404" s="160"/>
      <c r="AG1404" s="160"/>
      <c r="AH1404" s="160"/>
      <c r="AI1404" s="160"/>
      <c r="AJ1404" s="160"/>
      <c r="AK1404" s="160"/>
      <c r="AL1404" s="160"/>
      <c r="AM1404" s="160"/>
      <c r="AN1404" s="164"/>
      <c r="AO1404" s="160"/>
      <c r="AP1404" s="160"/>
      <c r="AQ1404" s="160"/>
      <c r="AR1404" s="160"/>
      <c r="AS1404" s="160"/>
      <c r="AT1404" s="160"/>
      <c r="AU1404" s="160"/>
      <c r="AV1404" s="160"/>
      <c r="AW1404" s="160"/>
      <c r="AX1404" s="160"/>
      <c r="AY1404" s="160"/>
      <c r="AZ1404" s="160"/>
      <c r="BA1404" s="160"/>
      <c r="BB1404" s="160"/>
      <c r="BC1404" s="160"/>
      <c r="BD1404" s="160"/>
      <c r="BE1404" s="160"/>
      <c r="BF1404" s="160"/>
      <c r="BG1404" s="160"/>
      <c r="BH1404" s="160"/>
      <c r="BI1404" s="160"/>
      <c r="BJ1404" s="160"/>
      <c r="BK1404" s="160"/>
      <c r="BL1404" s="160"/>
      <c r="BM1404" s="160"/>
      <c r="BN1404" s="160"/>
      <c r="BO1404" s="160"/>
      <c r="BP1404" s="160"/>
      <c r="BQ1404" s="160"/>
      <c r="BR1404" s="160"/>
      <c r="BS1404" s="160"/>
      <c r="BT1404" s="160"/>
      <c r="BU1404" s="160"/>
      <c r="BV1404" s="160"/>
      <c r="BW1404" s="160"/>
      <c r="BX1404" s="160"/>
      <c r="BY1404" s="160"/>
      <c r="BZ1404" s="160"/>
      <c r="CA1404" s="160"/>
      <c r="CB1404" s="160"/>
      <c r="CC1404" s="160"/>
      <c r="CD1404" s="160"/>
      <c r="CE1404" s="160"/>
      <c r="CF1404" s="160"/>
      <c r="CG1404" s="160"/>
      <c r="CH1404" s="160"/>
      <c r="CI1404" s="160"/>
      <c r="CJ1404" s="160"/>
      <c r="CK1404" s="160"/>
      <c r="CL1404" s="160"/>
    </row>
    <row r="1405">
      <c r="A1405" s="171"/>
      <c r="F1405" s="11"/>
      <c r="G1405" s="11"/>
      <c r="L1405" s="171"/>
      <c r="M1405" s="171"/>
      <c r="O1405" s="160"/>
      <c r="P1405" s="160"/>
      <c r="Q1405" s="160"/>
      <c r="R1405" s="160"/>
      <c r="S1405" s="160"/>
      <c r="T1405" s="207"/>
      <c r="U1405" s="160"/>
      <c r="V1405" s="160"/>
      <c r="W1405" s="160"/>
      <c r="X1405" s="160"/>
      <c r="Y1405" s="160"/>
      <c r="Z1405" s="160"/>
      <c r="AA1405" s="160"/>
      <c r="AB1405" s="160"/>
      <c r="AC1405" s="160"/>
      <c r="AD1405" s="160"/>
      <c r="AE1405" s="160"/>
      <c r="AF1405" s="160"/>
      <c r="AG1405" s="160"/>
      <c r="AH1405" s="160"/>
      <c r="AI1405" s="160"/>
      <c r="AJ1405" s="160"/>
      <c r="AK1405" s="160"/>
      <c r="AL1405" s="160"/>
      <c r="AM1405" s="160"/>
      <c r="AN1405" s="164"/>
      <c r="AO1405" s="160"/>
      <c r="AP1405" s="160"/>
      <c r="AQ1405" s="160"/>
      <c r="AR1405" s="160"/>
      <c r="AS1405" s="160"/>
      <c r="AT1405" s="160"/>
      <c r="AU1405" s="160"/>
      <c r="AV1405" s="160"/>
      <c r="AW1405" s="160"/>
      <c r="AX1405" s="160"/>
      <c r="AY1405" s="160"/>
      <c r="AZ1405" s="160"/>
      <c r="BA1405" s="160"/>
      <c r="BB1405" s="160"/>
      <c r="BC1405" s="160"/>
      <c r="BD1405" s="160"/>
      <c r="BE1405" s="160"/>
      <c r="BF1405" s="160"/>
      <c r="BG1405" s="160"/>
      <c r="BH1405" s="160"/>
      <c r="BI1405" s="160"/>
      <c r="BJ1405" s="160"/>
      <c r="BK1405" s="160"/>
      <c r="BL1405" s="160"/>
      <c r="BM1405" s="160"/>
      <c r="BN1405" s="160"/>
      <c r="BO1405" s="160"/>
      <c r="BP1405" s="160"/>
      <c r="BQ1405" s="160"/>
      <c r="BR1405" s="160"/>
      <c r="BS1405" s="160"/>
      <c r="BT1405" s="160"/>
      <c r="BU1405" s="160"/>
      <c r="BV1405" s="160"/>
      <c r="BW1405" s="160"/>
      <c r="BX1405" s="160"/>
      <c r="BY1405" s="160"/>
      <c r="BZ1405" s="160"/>
      <c r="CA1405" s="160"/>
      <c r="CB1405" s="160"/>
      <c r="CC1405" s="160"/>
      <c r="CD1405" s="160"/>
      <c r="CE1405" s="160"/>
      <c r="CF1405" s="160"/>
      <c r="CG1405" s="160"/>
      <c r="CH1405" s="160"/>
      <c r="CI1405" s="160"/>
      <c r="CJ1405" s="160"/>
      <c r="CK1405" s="160"/>
      <c r="CL1405" s="160"/>
    </row>
    <row r="1406">
      <c r="A1406" s="171"/>
      <c r="F1406" s="11"/>
      <c r="G1406" s="11"/>
      <c r="L1406" s="171"/>
      <c r="M1406" s="171"/>
      <c r="O1406" s="160"/>
      <c r="P1406" s="160"/>
      <c r="Q1406" s="160"/>
      <c r="R1406" s="160"/>
      <c r="S1406" s="160"/>
      <c r="T1406" s="207"/>
      <c r="U1406" s="160"/>
      <c r="V1406" s="160"/>
      <c r="W1406" s="160"/>
      <c r="X1406" s="160"/>
      <c r="Y1406" s="160"/>
      <c r="Z1406" s="160"/>
      <c r="AA1406" s="160"/>
      <c r="AB1406" s="160"/>
      <c r="AC1406" s="160"/>
      <c r="AD1406" s="160"/>
      <c r="AE1406" s="160"/>
      <c r="AF1406" s="160"/>
      <c r="AG1406" s="160"/>
      <c r="AH1406" s="160"/>
      <c r="AI1406" s="160"/>
      <c r="AJ1406" s="160"/>
      <c r="AK1406" s="160"/>
      <c r="AL1406" s="160"/>
      <c r="AM1406" s="160"/>
      <c r="AN1406" s="164"/>
      <c r="AO1406" s="160"/>
      <c r="AP1406" s="160"/>
      <c r="AQ1406" s="160"/>
      <c r="AR1406" s="160"/>
      <c r="AS1406" s="160"/>
      <c r="AT1406" s="160"/>
      <c r="AU1406" s="160"/>
      <c r="AV1406" s="160"/>
      <c r="AW1406" s="160"/>
      <c r="AX1406" s="160"/>
      <c r="AY1406" s="160"/>
      <c r="AZ1406" s="160"/>
      <c r="BA1406" s="160"/>
      <c r="BB1406" s="160"/>
      <c r="BC1406" s="160"/>
      <c r="BD1406" s="160"/>
      <c r="BE1406" s="160"/>
      <c r="BF1406" s="160"/>
      <c r="BG1406" s="160"/>
      <c r="BH1406" s="160"/>
      <c r="BI1406" s="160"/>
      <c r="BJ1406" s="160"/>
      <c r="BK1406" s="160"/>
      <c r="BL1406" s="160"/>
      <c r="BM1406" s="160"/>
      <c r="BN1406" s="160"/>
      <c r="BO1406" s="160"/>
      <c r="BP1406" s="160"/>
      <c r="BQ1406" s="160"/>
      <c r="BR1406" s="160"/>
      <c r="BS1406" s="160"/>
      <c r="BT1406" s="160"/>
      <c r="BU1406" s="160"/>
      <c r="BV1406" s="160"/>
      <c r="BW1406" s="160"/>
      <c r="BX1406" s="160"/>
      <c r="BY1406" s="160"/>
      <c r="BZ1406" s="160"/>
      <c r="CA1406" s="160"/>
      <c r="CB1406" s="160"/>
      <c r="CC1406" s="160"/>
      <c r="CD1406" s="160"/>
      <c r="CE1406" s="160"/>
      <c r="CF1406" s="160"/>
      <c r="CG1406" s="160"/>
      <c r="CH1406" s="160"/>
      <c r="CI1406" s="160"/>
      <c r="CJ1406" s="160"/>
      <c r="CK1406" s="160"/>
      <c r="CL1406" s="160"/>
    </row>
    <row r="1407">
      <c r="A1407" s="171"/>
      <c r="F1407" s="11"/>
      <c r="G1407" s="11"/>
      <c r="L1407" s="171"/>
      <c r="M1407" s="171"/>
      <c r="O1407" s="160"/>
      <c r="P1407" s="160"/>
      <c r="Q1407" s="160"/>
      <c r="R1407" s="160"/>
      <c r="S1407" s="160"/>
      <c r="T1407" s="207"/>
      <c r="U1407" s="160"/>
      <c r="V1407" s="160"/>
      <c r="W1407" s="160"/>
      <c r="X1407" s="160"/>
      <c r="Y1407" s="160"/>
      <c r="Z1407" s="160"/>
      <c r="AA1407" s="160"/>
      <c r="AB1407" s="160"/>
      <c r="AC1407" s="160"/>
      <c r="AD1407" s="160"/>
      <c r="AE1407" s="160"/>
      <c r="AF1407" s="160"/>
      <c r="AG1407" s="160"/>
      <c r="AH1407" s="160"/>
      <c r="AI1407" s="160"/>
      <c r="AJ1407" s="160"/>
      <c r="AK1407" s="160"/>
      <c r="AL1407" s="160"/>
      <c r="AM1407" s="160"/>
      <c r="AN1407" s="164"/>
      <c r="AO1407" s="160"/>
      <c r="AP1407" s="160"/>
      <c r="AQ1407" s="160"/>
      <c r="AR1407" s="160"/>
      <c r="AS1407" s="160"/>
      <c r="AT1407" s="160"/>
      <c r="AU1407" s="160"/>
      <c r="AV1407" s="160"/>
      <c r="AW1407" s="160"/>
      <c r="AX1407" s="160"/>
      <c r="AY1407" s="160"/>
      <c r="AZ1407" s="160"/>
      <c r="BA1407" s="160"/>
      <c r="BB1407" s="160"/>
      <c r="BC1407" s="160"/>
      <c r="BD1407" s="160"/>
      <c r="BE1407" s="160"/>
      <c r="BF1407" s="160"/>
      <c r="BG1407" s="160"/>
      <c r="BH1407" s="160"/>
      <c r="BI1407" s="160"/>
      <c r="BJ1407" s="160"/>
      <c r="BK1407" s="160"/>
      <c r="BL1407" s="160"/>
      <c r="BM1407" s="160"/>
      <c r="BN1407" s="160"/>
      <c r="BO1407" s="160"/>
      <c r="BP1407" s="160"/>
      <c r="BQ1407" s="160"/>
      <c r="BR1407" s="160"/>
      <c r="BS1407" s="160"/>
      <c r="BT1407" s="160"/>
      <c r="BU1407" s="160"/>
      <c r="BV1407" s="160"/>
      <c r="BW1407" s="160"/>
      <c r="BX1407" s="160"/>
      <c r="BY1407" s="160"/>
      <c r="BZ1407" s="160"/>
      <c r="CA1407" s="160"/>
      <c r="CB1407" s="160"/>
      <c r="CC1407" s="160"/>
      <c r="CD1407" s="160"/>
      <c r="CE1407" s="160"/>
      <c r="CF1407" s="160"/>
      <c r="CG1407" s="160"/>
      <c r="CH1407" s="160"/>
      <c r="CI1407" s="160"/>
      <c r="CJ1407" s="160"/>
      <c r="CK1407" s="160"/>
      <c r="CL1407" s="160"/>
    </row>
    <row r="1408">
      <c r="A1408" s="171"/>
      <c r="F1408" s="11"/>
      <c r="G1408" s="11"/>
      <c r="L1408" s="171"/>
      <c r="M1408" s="171"/>
      <c r="O1408" s="160"/>
      <c r="P1408" s="160"/>
      <c r="Q1408" s="160"/>
      <c r="R1408" s="160"/>
      <c r="S1408" s="160"/>
      <c r="T1408" s="207"/>
      <c r="U1408" s="160"/>
      <c r="V1408" s="160"/>
      <c r="W1408" s="160"/>
      <c r="X1408" s="160"/>
      <c r="Y1408" s="160"/>
      <c r="Z1408" s="160"/>
      <c r="AA1408" s="160"/>
      <c r="AB1408" s="160"/>
      <c r="AC1408" s="160"/>
      <c r="AD1408" s="160"/>
      <c r="AE1408" s="160"/>
      <c r="AF1408" s="160"/>
      <c r="AG1408" s="160"/>
      <c r="AH1408" s="160"/>
      <c r="AI1408" s="160"/>
      <c r="AJ1408" s="160"/>
      <c r="AK1408" s="160"/>
      <c r="AL1408" s="160"/>
      <c r="AM1408" s="160"/>
      <c r="AN1408" s="164"/>
      <c r="AO1408" s="160"/>
      <c r="AP1408" s="160"/>
      <c r="AQ1408" s="160"/>
      <c r="AR1408" s="160"/>
      <c r="AS1408" s="160"/>
      <c r="AT1408" s="160"/>
      <c r="AU1408" s="160"/>
      <c r="AV1408" s="160"/>
      <c r="AW1408" s="160"/>
      <c r="AX1408" s="160"/>
      <c r="AY1408" s="160"/>
      <c r="AZ1408" s="160"/>
      <c r="BA1408" s="160"/>
      <c r="BB1408" s="160"/>
      <c r="BC1408" s="160"/>
      <c r="BD1408" s="160"/>
      <c r="BE1408" s="160"/>
      <c r="BF1408" s="160"/>
      <c r="BG1408" s="160"/>
      <c r="BH1408" s="160"/>
      <c r="BI1408" s="160"/>
      <c r="BJ1408" s="160"/>
      <c r="BK1408" s="160"/>
      <c r="BL1408" s="160"/>
      <c r="BM1408" s="160"/>
      <c r="BN1408" s="160"/>
      <c r="BO1408" s="160"/>
      <c r="BP1408" s="160"/>
      <c r="BQ1408" s="160"/>
      <c r="BR1408" s="160"/>
      <c r="BS1408" s="160"/>
      <c r="BT1408" s="160"/>
      <c r="BU1408" s="160"/>
      <c r="BV1408" s="160"/>
      <c r="BW1408" s="160"/>
      <c r="BX1408" s="160"/>
      <c r="BY1408" s="160"/>
      <c r="BZ1408" s="160"/>
      <c r="CA1408" s="160"/>
      <c r="CB1408" s="160"/>
      <c r="CC1408" s="160"/>
      <c r="CD1408" s="160"/>
      <c r="CE1408" s="160"/>
      <c r="CF1408" s="160"/>
      <c r="CG1408" s="160"/>
      <c r="CH1408" s="160"/>
      <c r="CI1408" s="160"/>
      <c r="CJ1408" s="160"/>
      <c r="CK1408" s="160"/>
      <c r="CL1408" s="160"/>
    </row>
    <row r="1409">
      <c r="A1409" s="171"/>
      <c r="F1409" s="11"/>
      <c r="G1409" s="11"/>
      <c r="L1409" s="171"/>
      <c r="M1409" s="171"/>
      <c r="O1409" s="160"/>
      <c r="P1409" s="160"/>
      <c r="Q1409" s="160"/>
      <c r="R1409" s="160"/>
      <c r="S1409" s="160"/>
      <c r="T1409" s="207"/>
      <c r="U1409" s="160"/>
      <c r="V1409" s="160"/>
      <c r="W1409" s="160"/>
      <c r="X1409" s="160"/>
      <c r="Y1409" s="160"/>
      <c r="Z1409" s="160"/>
      <c r="AA1409" s="160"/>
      <c r="AB1409" s="160"/>
      <c r="AC1409" s="160"/>
      <c r="AD1409" s="160"/>
      <c r="AE1409" s="160"/>
      <c r="AF1409" s="160"/>
      <c r="AG1409" s="160"/>
      <c r="AH1409" s="160"/>
      <c r="AI1409" s="160"/>
      <c r="AJ1409" s="160"/>
      <c r="AK1409" s="160"/>
      <c r="AL1409" s="160"/>
      <c r="AM1409" s="160"/>
      <c r="AN1409" s="164"/>
      <c r="AO1409" s="160"/>
      <c r="AP1409" s="160"/>
      <c r="AQ1409" s="160"/>
      <c r="AR1409" s="160"/>
      <c r="AS1409" s="160"/>
      <c r="AT1409" s="160"/>
      <c r="AU1409" s="160"/>
      <c r="AV1409" s="160"/>
      <c r="AW1409" s="160"/>
      <c r="AX1409" s="160"/>
      <c r="AY1409" s="160"/>
      <c r="AZ1409" s="160"/>
      <c r="BA1409" s="160"/>
      <c r="BB1409" s="160"/>
      <c r="BC1409" s="160"/>
      <c r="BD1409" s="160"/>
      <c r="BE1409" s="160"/>
      <c r="BF1409" s="160"/>
      <c r="BG1409" s="160"/>
      <c r="BH1409" s="160"/>
      <c r="BI1409" s="160"/>
      <c r="BJ1409" s="160"/>
      <c r="BK1409" s="160"/>
      <c r="BL1409" s="160"/>
      <c r="BM1409" s="160"/>
      <c r="BN1409" s="160"/>
      <c r="BO1409" s="160"/>
      <c r="BP1409" s="160"/>
      <c r="BQ1409" s="160"/>
      <c r="BR1409" s="160"/>
      <c r="BS1409" s="160"/>
      <c r="BT1409" s="160"/>
      <c r="BU1409" s="160"/>
      <c r="BV1409" s="160"/>
      <c r="BW1409" s="160"/>
      <c r="BX1409" s="160"/>
      <c r="BY1409" s="160"/>
      <c r="BZ1409" s="160"/>
      <c r="CA1409" s="160"/>
      <c r="CB1409" s="160"/>
      <c r="CC1409" s="160"/>
      <c r="CD1409" s="160"/>
      <c r="CE1409" s="160"/>
      <c r="CF1409" s="160"/>
      <c r="CG1409" s="160"/>
      <c r="CH1409" s="160"/>
      <c r="CI1409" s="160"/>
      <c r="CJ1409" s="160"/>
      <c r="CK1409" s="160"/>
      <c r="CL1409" s="160"/>
    </row>
    <row r="1410">
      <c r="A1410" s="171"/>
      <c r="F1410" s="11"/>
      <c r="G1410" s="11"/>
      <c r="L1410" s="171"/>
      <c r="M1410" s="171"/>
      <c r="O1410" s="160"/>
      <c r="P1410" s="160"/>
      <c r="Q1410" s="160"/>
      <c r="R1410" s="160"/>
      <c r="S1410" s="160"/>
      <c r="T1410" s="207"/>
      <c r="U1410" s="160"/>
      <c r="V1410" s="160"/>
      <c r="W1410" s="160"/>
      <c r="X1410" s="160"/>
      <c r="Y1410" s="160"/>
      <c r="Z1410" s="160"/>
      <c r="AA1410" s="160"/>
      <c r="AB1410" s="160"/>
      <c r="AC1410" s="160"/>
      <c r="AD1410" s="160"/>
      <c r="AE1410" s="160"/>
      <c r="AF1410" s="160"/>
      <c r="AG1410" s="160"/>
      <c r="AH1410" s="160"/>
      <c r="AI1410" s="160"/>
      <c r="AJ1410" s="160"/>
      <c r="AK1410" s="160"/>
      <c r="AL1410" s="160"/>
      <c r="AM1410" s="160"/>
      <c r="AN1410" s="164"/>
      <c r="AO1410" s="160"/>
      <c r="AP1410" s="160"/>
      <c r="AQ1410" s="160"/>
      <c r="AR1410" s="160"/>
      <c r="AS1410" s="160"/>
      <c r="AT1410" s="160"/>
      <c r="AU1410" s="160"/>
      <c r="AV1410" s="160"/>
      <c r="AW1410" s="160"/>
      <c r="AX1410" s="160"/>
      <c r="AY1410" s="160"/>
      <c r="AZ1410" s="160"/>
      <c r="BA1410" s="160"/>
      <c r="BB1410" s="160"/>
      <c r="BC1410" s="160"/>
      <c r="BD1410" s="160"/>
      <c r="BE1410" s="160"/>
      <c r="BF1410" s="160"/>
      <c r="BG1410" s="160"/>
      <c r="BH1410" s="160"/>
      <c r="BI1410" s="160"/>
      <c r="BJ1410" s="160"/>
      <c r="BK1410" s="160"/>
      <c r="BL1410" s="160"/>
      <c r="BM1410" s="160"/>
      <c r="BN1410" s="160"/>
      <c r="BO1410" s="160"/>
      <c r="BP1410" s="160"/>
      <c r="BQ1410" s="160"/>
      <c r="BR1410" s="160"/>
      <c r="BS1410" s="160"/>
      <c r="BT1410" s="160"/>
      <c r="BU1410" s="160"/>
      <c r="BV1410" s="160"/>
      <c r="BW1410" s="160"/>
      <c r="BX1410" s="160"/>
      <c r="BY1410" s="160"/>
      <c r="BZ1410" s="160"/>
      <c r="CA1410" s="160"/>
      <c r="CB1410" s="160"/>
      <c r="CC1410" s="160"/>
      <c r="CD1410" s="160"/>
      <c r="CE1410" s="160"/>
      <c r="CF1410" s="160"/>
      <c r="CG1410" s="160"/>
      <c r="CH1410" s="160"/>
      <c r="CI1410" s="160"/>
      <c r="CJ1410" s="160"/>
      <c r="CK1410" s="160"/>
      <c r="CL1410" s="160"/>
    </row>
    <row r="1411">
      <c r="A1411" s="171"/>
      <c r="F1411" s="11"/>
      <c r="G1411" s="11"/>
      <c r="L1411" s="171"/>
      <c r="M1411" s="171"/>
      <c r="O1411" s="160"/>
      <c r="P1411" s="160"/>
      <c r="Q1411" s="160"/>
      <c r="R1411" s="160"/>
      <c r="S1411" s="160"/>
      <c r="T1411" s="207"/>
      <c r="U1411" s="160"/>
      <c r="V1411" s="160"/>
      <c r="W1411" s="160"/>
      <c r="X1411" s="160"/>
      <c r="Y1411" s="160"/>
      <c r="Z1411" s="160"/>
      <c r="AA1411" s="160"/>
      <c r="AB1411" s="160"/>
      <c r="AC1411" s="160"/>
      <c r="AD1411" s="160"/>
      <c r="AE1411" s="160"/>
      <c r="AF1411" s="160"/>
      <c r="AG1411" s="160"/>
      <c r="AH1411" s="160"/>
      <c r="AI1411" s="160"/>
      <c r="AJ1411" s="160"/>
      <c r="AK1411" s="160"/>
      <c r="AL1411" s="160"/>
      <c r="AM1411" s="160"/>
      <c r="AN1411" s="164"/>
      <c r="AO1411" s="160"/>
      <c r="AP1411" s="160"/>
      <c r="AQ1411" s="160"/>
      <c r="AR1411" s="160"/>
      <c r="AS1411" s="160"/>
      <c r="AT1411" s="160"/>
      <c r="AU1411" s="160"/>
      <c r="AV1411" s="160"/>
      <c r="AW1411" s="160"/>
      <c r="AX1411" s="160"/>
      <c r="AY1411" s="160"/>
      <c r="AZ1411" s="160"/>
      <c r="BA1411" s="160"/>
      <c r="BB1411" s="160"/>
      <c r="BC1411" s="160"/>
      <c r="BD1411" s="160"/>
      <c r="BE1411" s="160"/>
      <c r="BF1411" s="160"/>
      <c r="BG1411" s="160"/>
      <c r="BH1411" s="160"/>
      <c r="BI1411" s="160"/>
      <c r="BJ1411" s="160"/>
      <c r="BK1411" s="160"/>
      <c r="BL1411" s="160"/>
      <c r="BM1411" s="160"/>
      <c r="BN1411" s="160"/>
      <c r="BO1411" s="160"/>
      <c r="BP1411" s="160"/>
      <c r="BQ1411" s="160"/>
      <c r="BR1411" s="160"/>
      <c r="BS1411" s="160"/>
      <c r="BT1411" s="160"/>
      <c r="BU1411" s="160"/>
      <c r="BV1411" s="160"/>
      <c r="BW1411" s="160"/>
      <c r="BX1411" s="160"/>
      <c r="BY1411" s="160"/>
      <c r="BZ1411" s="160"/>
      <c r="CA1411" s="160"/>
      <c r="CB1411" s="160"/>
      <c r="CC1411" s="160"/>
      <c r="CD1411" s="160"/>
      <c r="CE1411" s="160"/>
      <c r="CF1411" s="160"/>
      <c r="CG1411" s="160"/>
      <c r="CH1411" s="160"/>
      <c r="CI1411" s="160"/>
      <c r="CJ1411" s="160"/>
      <c r="CK1411" s="160"/>
      <c r="CL1411" s="160"/>
    </row>
    <row r="1412">
      <c r="A1412" s="171"/>
      <c r="F1412" s="11"/>
      <c r="G1412" s="11"/>
      <c r="L1412" s="171"/>
      <c r="M1412" s="171"/>
      <c r="O1412" s="160"/>
      <c r="P1412" s="160"/>
      <c r="Q1412" s="160"/>
      <c r="R1412" s="160"/>
      <c r="S1412" s="160"/>
      <c r="T1412" s="207"/>
      <c r="U1412" s="160"/>
      <c r="V1412" s="160"/>
      <c r="W1412" s="160"/>
      <c r="X1412" s="160"/>
      <c r="Y1412" s="160"/>
      <c r="Z1412" s="160"/>
      <c r="AA1412" s="160"/>
      <c r="AB1412" s="160"/>
      <c r="AC1412" s="160"/>
      <c r="AD1412" s="160"/>
      <c r="AE1412" s="160"/>
      <c r="AF1412" s="160"/>
      <c r="AG1412" s="160"/>
      <c r="AH1412" s="160"/>
      <c r="AI1412" s="160"/>
      <c r="AJ1412" s="160"/>
      <c r="AK1412" s="160"/>
      <c r="AL1412" s="160"/>
      <c r="AM1412" s="160"/>
      <c r="AN1412" s="164"/>
      <c r="AO1412" s="160"/>
      <c r="AP1412" s="160"/>
      <c r="AQ1412" s="160"/>
      <c r="AR1412" s="160"/>
      <c r="AS1412" s="160"/>
      <c r="AT1412" s="160"/>
      <c r="AU1412" s="160"/>
      <c r="AV1412" s="160"/>
      <c r="AW1412" s="160"/>
      <c r="AX1412" s="160"/>
      <c r="AY1412" s="160"/>
      <c r="AZ1412" s="160"/>
      <c r="BA1412" s="160"/>
      <c r="BB1412" s="160"/>
      <c r="BC1412" s="160"/>
      <c r="BD1412" s="160"/>
      <c r="BE1412" s="160"/>
      <c r="BF1412" s="160"/>
      <c r="BG1412" s="160"/>
      <c r="BH1412" s="160"/>
      <c r="BI1412" s="160"/>
      <c r="BJ1412" s="160"/>
      <c r="BK1412" s="160"/>
      <c r="BL1412" s="160"/>
      <c r="BM1412" s="160"/>
      <c r="BN1412" s="160"/>
      <c r="BO1412" s="160"/>
      <c r="BP1412" s="160"/>
      <c r="BQ1412" s="160"/>
      <c r="BR1412" s="160"/>
      <c r="BS1412" s="160"/>
      <c r="BT1412" s="160"/>
      <c r="BU1412" s="160"/>
      <c r="BV1412" s="160"/>
      <c r="BW1412" s="160"/>
      <c r="BX1412" s="160"/>
      <c r="BY1412" s="160"/>
      <c r="BZ1412" s="160"/>
      <c r="CA1412" s="160"/>
      <c r="CB1412" s="160"/>
      <c r="CC1412" s="160"/>
      <c r="CD1412" s="160"/>
      <c r="CE1412" s="160"/>
      <c r="CF1412" s="160"/>
      <c r="CG1412" s="160"/>
      <c r="CH1412" s="160"/>
      <c r="CI1412" s="160"/>
      <c r="CJ1412" s="160"/>
      <c r="CK1412" s="160"/>
      <c r="CL1412" s="160"/>
    </row>
    <row r="1413">
      <c r="A1413" s="171"/>
      <c r="F1413" s="11"/>
      <c r="G1413" s="11"/>
      <c r="L1413" s="171"/>
      <c r="M1413" s="171"/>
      <c r="O1413" s="160"/>
      <c r="P1413" s="160"/>
      <c r="Q1413" s="160"/>
      <c r="R1413" s="160"/>
      <c r="S1413" s="160"/>
      <c r="T1413" s="207"/>
      <c r="U1413" s="160"/>
      <c r="V1413" s="160"/>
      <c r="W1413" s="160"/>
      <c r="X1413" s="160"/>
      <c r="Y1413" s="160"/>
      <c r="Z1413" s="160"/>
      <c r="AA1413" s="160"/>
      <c r="AB1413" s="160"/>
      <c r="AC1413" s="160"/>
      <c r="AD1413" s="160"/>
      <c r="AE1413" s="160"/>
      <c r="AF1413" s="160"/>
      <c r="AG1413" s="160"/>
      <c r="AH1413" s="160"/>
      <c r="AI1413" s="160"/>
      <c r="AJ1413" s="160"/>
      <c r="AK1413" s="160"/>
      <c r="AL1413" s="160"/>
      <c r="AM1413" s="160"/>
      <c r="AN1413" s="164"/>
      <c r="AO1413" s="160"/>
      <c r="AP1413" s="160"/>
      <c r="AQ1413" s="160"/>
      <c r="AR1413" s="160"/>
      <c r="AS1413" s="160"/>
      <c r="AT1413" s="160"/>
      <c r="AU1413" s="160"/>
      <c r="AV1413" s="160"/>
      <c r="AW1413" s="160"/>
      <c r="AX1413" s="160"/>
      <c r="AY1413" s="160"/>
      <c r="AZ1413" s="160"/>
      <c r="BA1413" s="160"/>
      <c r="BB1413" s="160"/>
      <c r="BC1413" s="160"/>
      <c r="BD1413" s="160"/>
      <c r="BE1413" s="160"/>
      <c r="BF1413" s="160"/>
      <c r="BG1413" s="160"/>
      <c r="BH1413" s="160"/>
      <c r="BI1413" s="160"/>
      <c r="BJ1413" s="160"/>
      <c r="BK1413" s="160"/>
      <c r="BL1413" s="160"/>
      <c r="BM1413" s="160"/>
      <c r="BN1413" s="160"/>
      <c r="BO1413" s="160"/>
      <c r="BP1413" s="160"/>
      <c r="BQ1413" s="160"/>
      <c r="BR1413" s="160"/>
      <c r="BS1413" s="160"/>
      <c r="BT1413" s="160"/>
      <c r="BU1413" s="160"/>
      <c r="BV1413" s="160"/>
      <c r="BW1413" s="160"/>
      <c r="BX1413" s="160"/>
      <c r="BY1413" s="160"/>
      <c r="BZ1413" s="160"/>
      <c r="CA1413" s="160"/>
      <c r="CB1413" s="160"/>
      <c r="CC1413" s="160"/>
      <c r="CD1413" s="160"/>
      <c r="CE1413" s="160"/>
      <c r="CF1413" s="160"/>
      <c r="CG1413" s="160"/>
      <c r="CH1413" s="160"/>
      <c r="CI1413" s="160"/>
      <c r="CJ1413" s="160"/>
      <c r="CK1413" s="160"/>
      <c r="CL1413" s="160"/>
    </row>
    <row r="1414">
      <c r="A1414" s="171"/>
      <c r="F1414" s="11"/>
      <c r="G1414" s="11"/>
      <c r="L1414" s="171"/>
      <c r="M1414" s="171"/>
      <c r="O1414" s="160"/>
      <c r="P1414" s="160"/>
      <c r="Q1414" s="160"/>
      <c r="R1414" s="160"/>
      <c r="S1414" s="160"/>
      <c r="T1414" s="207"/>
      <c r="U1414" s="160"/>
      <c r="V1414" s="160"/>
      <c r="W1414" s="160"/>
      <c r="X1414" s="160"/>
      <c r="Y1414" s="160"/>
      <c r="Z1414" s="160"/>
      <c r="AA1414" s="160"/>
      <c r="AB1414" s="160"/>
      <c r="AC1414" s="160"/>
      <c r="AD1414" s="160"/>
      <c r="AE1414" s="160"/>
      <c r="AF1414" s="160"/>
      <c r="AG1414" s="160"/>
      <c r="AH1414" s="160"/>
      <c r="AI1414" s="160"/>
      <c r="AJ1414" s="160"/>
      <c r="AK1414" s="160"/>
      <c r="AL1414" s="160"/>
      <c r="AM1414" s="160"/>
      <c r="AN1414" s="164"/>
      <c r="AO1414" s="160"/>
      <c r="AP1414" s="160"/>
      <c r="AQ1414" s="160"/>
      <c r="AR1414" s="160"/>
      <c r="AS1414" s="160"/>
      <c r="AT1414" s="160"/>
      <c r="AU1414" s="160"/>
      <c r="AV1414" s="160"/>
      <c r="AW1414" s="160"/>
      <c r="AX1414" s="160"/>
      <c r="AY1414" s="160"/>
      <c r="AZ1414" s="160"/>
      <c r="BA1414" s="160"/>
      <c r="BB1414" s="160"/>
      <c r="BC1414" s="160"/>
      <c r="BD1414" s="160"/>
      <c r="BE1414" s="160"/>
      <c r="BF1414" s="160"/>
      <c r="BG1414" s="160"/>
      <c r="BH1414" s="160"/>
      <c r="BI1414" s="160"/>
      <c r="BJ1414" s="160"/>
      <c r="BK1414" s="160"/>
      <c r="BL1414" s="160"/>
      <c r="BM1414" s="160"/>
      <c r="BN1414" s="160"/>
      <c r="BO1414" s="160"/>
      <c r="BP1414" s="160"/>
      <c r="BQ1414" s="160"/>
      <c r="BR1414" s="160"/>
      <c r="BS1414" s="160"/>
      <c r="BT1414" s="160"/>
      <c r="BU1414" s="160"/>
      <c r="BV1414" s="160"/>
      <c r="BW1414" s="160"/>
      <c r="BX1414" s="160"/>
      <c r="BY1414" s="160"/>
      <c r="BZ1414" s="160"/>
      <c r="CA1414" s="160"/>
      <c r="CB1414" s="160"/>
      <c r="CC1414" s="160"/>
      <c r="CD1414" s="160"/>
      <c r="CE1414" s="160"/>
      <c r="CF1414" s="160"/>
      <c r="CG1414" s="160"/>
      <c r="CH1414" s="160"/>
      <c r="CI1414" s="160"/>
      <c r="CJ1414" s="160"/>
      <c r="CK1414" s="160"/>
      <c r="CL1414" s="160"/>
    </row>
    <row r="1415">
      <c r="A1415" s="171"/>
      <c r="F1415" s="11"/>
      <c r="G1415" s="11"/>
      <c r="L1415" s="171"/>
      <c r="M1415" s="171"/>
      <c r="O1415" s="160"/>
      <c r="P1415" s="160"/>
      <c r="Q1415" s="160"/>
      <c r="R1415" s="160"/>
      <c r="S1415" s="160"/>
      <c r="T1415" s="207"/>
      <c r="U1415" s="160"/>
      <c r="V1415" s="160"/>
      <c r="W1415" s="160"/>
      <c r="X1415" s="160"/>
      <c r="Y1415" s="160"/>
      <c r="Z1415" s="160"/>
      <c r="AA1415" s="160"/>
      <c r="AB1415" s="160"/>
      <c r="AC1415" s="160"/>
      <c r="AD1415" s="160"/>
      <c r="AE1415" s="160"/>
      <c r="AF1415" s="160"/>
      <c r="AG1415" s="160"/>
      <c r="AH1415" s="160"/>
      <c r="AI1415" s="160"/>
      <c r="AJ1415" s="160"/>
      <c r="AK1415" s="160"/>
      <c r="AL1415" s="160"/>
      <c r="AM1415" s="160"/>
      <c r="AN1415" s="164"/>
      <c r="AO1415" s="160"/>
      <c r="AP1415" s="160"/>
      <c r="AQ1415" s="160"/>
      <c r="AR1415" s="160"/>
      <c r="AS1415" s="160"/>
      <c r="AT1415" s="160"/>
      <c r="AU1415" s="160"/>
      <c r="AV1415" s="160"/>
      <c r="AW1415" s="160"/>
      <c r="AX1415" s="160"/>
      <c r="AY1415" s="160"/>
      <c r="AZ1415" s="160"/>
      <c r="BA1415" s="160"/>
      <c r="BB1415" s="160"/>
      <c r="BC1415" s="160"/>
      <c r="BD1415" s="160"/>
      <c r="BE1415" s="160"/>
      <c r="BF1415" s="160"/>
      <c r="BG1415" s="160"/>
      <c r="BH1415" s="160"/>
      <c r="BI1415" s="160"/>
      <c r="BJ1415" s="160"/>
      <c r="BK1415" s="160"/>
      <c r="BL1415" s="160"/>
      <c r="BM1415" s="160"/>
      <c r="BN1415" s="160"/>
      <c r="BO1415" s="160"/>
      <c r="BP1415" s="160"/>
      <c r="BQ1415" s="160"/>
      <c r="BR1415" s="160"/>
      <c r="BS1415" s="160"/>
      <c r="BT1415" s="160"/>
      <c r="BU1415" s="160"/>
      <c r="BV1415" s="160"/>
      <c r="BW1415" s="160"/>
      <c r="BX1415" s="160"/>
      <c r="BY1415" s="160"/>
      <c r="BZ1415" s="160"/>
      <c r="CA1415" s="160"/>
      <c r="CB1415" s="160"/>
      <c r="CC1415" s="160"/>
      <c r="CD1415" s="160"/>
      <c r="CE1415" s="160"/>
      <c r="CF1415" s="160"/>
      <c r="CG1415" s="160"/>
      <c r="CH1415" s="160"/>
      <c r="CI1415" s="160"/>
      <c r="CJ1415" s="160"/>
      <c r="CK1415" s="160"/>
      <c r="CL1415" s="160"/>
    </row>
    <row r="1416">
      <c r="A1416" s="171"/>
      <c r="F1416" s="11"/>
      <c r="G1416" s="11"/>
      <c r="L1416" s="171"/>
      <c r="M1416" s="171"/>
      <c r="O1416" s="160"/>
      <c r="P1416" s="160"/>
      <c r="Q1416" s="160"/>
      <c r="R1416" s="160"/>
      <c r="S1416" s="160"/>
      <c r="T1416" s="207"/>
      <c r="U1416" s="160"/>
      <c r="V1416" s="160"/>
      <c r="W1416" s="160"/>
      <c r="X1416" s="160"/>
      <c r="Y1416" s="160"/>
      <c r="Z1416" s="160"/>
      <c r="AA1416" s="160"/>
      <c r="AB1416" s="160"/>
      <c r="AC1416" s="160"/>
      <c r="AD1416" s="160"/>
      <c r="AE1416" s="160"/>
      <c r="AF1416" s="160"/>
      <c r="AG1416" s="160"/>
      <c r="AH1416" s="160"/>
      <c r="AI1416" s="160"/>
      <c r="AJ1416" s="160"/>
      <c r="AK1416" s="160"/>
      <c r="AL1416" s="160"/>
      <c r="AM1416" s="160"/>
      <c r="AN1416" s="164"/>
      <c r="AO1416" s="160"/>
      <c r="AP1416" s="160"/>
      <c r="AQ1416" s="160"/>
      <c r="AR1416" s="160"/>
      <c r="AS1416" s="160"/>
      <c r="AT1416" s="160"/>
      <c r="AU1416" s="160"/>
      <c r="AV1416" s="160"/>
      <c r="AW1416" s="160"/>
      <c r="AX1416" s="160"/>
      <c r="AY1416" s="160"/>
      <c r="AZ1416" s="160"/>
      <c r="BA1416" s="160"/>
      <c r="BB1416" s="160"/>
      <c r="BC1416" s="160"/>
      <c r="BD1416" s="160"/>
      <c r="BE1416" s="160"/>
      <c r="BF1416" s="160"/>
      <c r="BG1416" s="160"/>
      <c r="BH1416" s="160"/>
      <c r="BI1416" s="160"/>
      <c r="BJ1416" s="160"/>
      <c r="BK1416" s="160"/>
      <c r="BL1416" s="160"/>
      <c r="BM1416" s="160"/>
      <c r="BN1416" s="160"/>
      <c r="BO1416" s="160"/>
      <c r="BP1416" s="160"/>
      <c r="BQ1416" s="160"/>
      <c r="BR1416" s="160"/>
      <c r="BS1416" s="160"/>
      <c r="BT1416" s="160"/>
      <c r="BU1416" s="160"/>
      <c r="BV1416" s="160"/>
      <c r="BW1416" s="160"/>
      <c r="BX1416" s="160"/>
      <c r="BY1416" s="160"/>
      <c r="BZ1416" s="160"/>
      <c r="CA1416" s="160"/>
      <c r="CB1416" s="160"/>
      <c r="CC1416" s="160"/>
      <c r="CD1416" s="160"/>
      <c r="CE1416" s="160"/>
      <c r="CF1416" s="160"/>
      <c r="CG1416" s="160"/>
      <c r="CH1416" s="160"/>
      <c r="CI1416" s="160"/>
      <c r="CJ1416" s="160"/>
      <c r="CK1416" s="160"/>
      <c r="CL1416" s="160"/>
    </row>
    <row r="1417">
      <c r="A1417" s="171"/>
      <c r="F1417" s="11"/>
      <c r="G1417" s="11"/>
      <c r="L1417" s="171"/>
      <c r="M1417" s="171"/>
      <c r="O1417" s="160"/>
      <c r="P1417" s="160"/>
      <c r="Q1417" s="160"/>
      <c r="R1417" s="160"/>
      <c r="S1417" s="160"/>
      <c r="T1417" s="207"/>
      <c r="U1417" s="160"/>
      <c r="V1417" s="160"/>
      <c r="W1417" s="160"/>
      <c r="X1417" s="160"/>
      <c r="Y1417" s="160"/>
      <c r="Z1417" s="160"/>
      <c r="AA1417" s="160"/>
      <c r="AB1417" s="160"/>
      <c r="AC1417" s="160"/>
      <c r="AD1417" s="160"/>
      <c r="AE1417" s="160"/>
      <c r="AF1417" s="160"/>
      <c r="AG1417" s="160"/>
      <c r="AH1417" s="160"/>
      <c r="AI1417" s="160"/>
      <c r="AJ1417" s="160"/>
      <c r="AK1417" s="160"/>
      <c r="AL1417" s="160"/>
      <c r="AM1417" s="160"/>
      <c r="AN1417" s="164"/>
      <c r="AO1417" s="160"/>
      <c r="AP1417" s="160"/>
      <c r="AQ1417" s="160"/>
      <c r="AR1417" s="160"/>
      <c r="AS1417" s="160"/>
      <c r="AT1417" s="160"/>
      <c r="AU1417" s="160"/>
      <c r="AV1417" s="160"/>
      <c r="AW1417" s="160"/>
      <c r="AX1417" s="160"/>
      <c r="AY1417" s="160"/>
      <c r="AZ1417" s="160"/>
      <c r="BA1417" s="160"/>
      <c r="BB1417" s="160"/>
      <c r="BC1417" s="160"/>
      <c r="BD1417" s="160"/>
      <c r="BE1417" s="160"/>
      <c r="BF1417" s="160"/>
      <c r="BG1417" s="160"/>
      <c r="BH1417" s="160"/>
      <c r="BI1417" s="160"/>
      <c r="BJ1417" s="160"/>
      <c r="BK1417" s="160"/>
      <c r="BL1417" s="160"/>
      <c r="BM1417" s="160"/>
      <c r="BN1417" s="160"/>
      <c r="BO1417" s="160"/>
      <c r="BP1417" s="160"/>
      <c r="BQ1417" s="160"/>
      <c r="BR1417" s="160"/>
      <c r="BS1417" s="160"/>
      <c r="BT1417" s="160"/>
      <c r="BU1417" s="160"/>
      <c r="BV1417" s="160"/>
      <c r="BW1417" s="160"/>
      <c r="BX1417" s="160"/>
      <c r="BY1417" s="160"/>
      <c r="BZ1417" s="160"/>
      <c r="CA1417" s="160"/>
      <c r="CB1417" s="160"/>
      <c r="CC1417" s="160"/>
      <c r="CD1417" s="160"/>
      <c r="CE1417" s="160"/>
      <c r="CF1417" s="160"/>
      <c r="CG1417" s="160"/>
      <c r="CH1417" s="160"/>
      <c r="CI1417" s="160"/>
      <c r="CJ1417" s="160"/>
      <c r="CK1417" s="160"/>
      <c r="CL1417" s="160"/>
    </row>
    <row r="1418">
      <c r="A1418" s="171"/>
      <c r="F1418" s="11"/>
      <c r="G1418" s="11"/>
      <c r="L1418" s="171"/>
      <c r="M1418" s="171"/>
      <c r="O1418" s="160"/>
      <c r="P1418" s="160"/>
      <c r="Q1418" s="160"/>
      <c r="R1418" s="160"/>
      <c r="S1418" s="160"/>
      <c r="T1418" s="207"/>
      <c r="U1418" s="160"/>
      <c r="V1418" s="160"/>
      <c r="W1418" s="160"/>
      <c r="X1418" s="160"/>
      <c r="Y1418" s="160"/>
      <c r="Z1418" s="160"/>
      <c r="AA1418" s="160"/>
      <c r="AB1418" s="160"/>
      <c r="AC1418" s="160"/>
      <c r="AD1418" s="160"/>
      <c r="AE1418" s="160"/>
      <c r="AF1418" s="160"/>
      <c r="AG1418" s="160"/>
      <c r="AH1418" s="160"/>
      <c r="AI1418" s="160"/>
      <c r="AJ1418" s="160"/>
      <c r="AK1418" s="160"/>
      <c r="AL1418" s="160"/>
      <c r="AM1418" s="160"/>
      <c r="AN1418" s="164"/>
      <c r="AO1418" s="160"/>
      <c r="AP1418" s="160"/>
      <c r="AQ1418" s="160"/>
      <c r="AR1418" s="160"/>
      <c r="AS1418" s="160"/>
      <c r="AT1418" s="160"/>
      <c r="AU1418" s="160"/>
      <c r="AV1418" s="160"/>
      <c r="AW1418" s="160"/>
      <c r="AX1418" s="160"/>
      <c r="AY1418" s="160"/>
      <c r="AZ1418" s="160"/>
      <c r="BA1418" s="160"/>
      <c r="BB1418" s="160"/>
      <c r="BC1418" s="160"/>
      <c r="BD1418" s="160"/>
      <c r="BE1418" s="160"/>
      <c r="BF1418" s="160"/>
      <c r="BG1418" s="160"/>
      <c r="BH1418" s="160"/>
      <c r="BI1418" s="160"/>
      <c r="BJ1418" s="160"/>
      <c r="BK1418" s="160"/>
      <c r="BL1418" s="160"/>
      <c r="BM1418" s="160"/>
      <c r="BN1418" s="160"/>
      <c r="BO1418" s="160"/>
      <c r="BP1418" s="160"/>
      <c r="BQ1418" s="160"/>
      <c r="BR1418" s="160"/>
      <c r="BS1418" s="160"/>
      <c r="BT1418" s="160"/>
      <c r="BU1418" s="160"/>
      <c r="BV1418" s="160"/>
      <c r="BW1418" s="160"/>
      <c r="BX1418" s="160"/>
      <c r="BY1418" s="160"/>
      <c r="BZ1418" s="160"/>
      <c r="CA1418" s="160"/>
      <c r="CB1418" s="160"/>
      <c r="CC1418" s="160"/>
      <c r="CD1418" s="160"/>
      <c r="CE1418" s="160"/>
      <c r="CF1418" s="160"/>
      <c r="CG1418" s="160"/>
      <c r="CH1418" s="160"/>
      <c r="CI1418" s="160"/>
      <c r="CJ1418" s="160"/>
      <c r="CK1418" s="160"/>
      <c r="CL1418" s="160"/>
    </row>
    <row r="1419">
      <c r="A1419" s="171"/>
      <c r="F1419" s="11"/>
      <c r="G1419" s="11"/>
      <c r="L1419" s="171"/>
      <c r="M1419" s="171"/>
      <c r="O1419" s="160"/>
      <c r="P1419" s="160"/>
      <c r="Q1419" s="160"/>
      <c r="R1419" s="160"/>
      <c r="S1419" s="160"/>
      <c r="T1419" s="207"/>
      <c r="U1419" s="160"/>
      <c r="V1419" s="160"/>
      <c r="W1419" s="160"/>
      <c r="X1419" s="160"/>
      <c r="Y1419" s="160"/>
      <c r="Z1419" s="160"/>
      <c r="AA1419" s="160"/>
      <c r="AB1419" s="160"/>
      <c r="AC1419" s="160"/>
      <c r="AD1419" s="160"/>
      <c r="AE1419" s="160"/>
      <c r="AF1419" s="160"/>
      <c r="AG1419" s="160"/>
      <c r="AH1419" s="160"/>
      <c r="AI1419" s="160"/>
      <c r="AJ1419" s="160"/>
      <c r="AK1419" s="160"/>
      <c r="AL1419" s="160"/>
      <c r="AM1419" s="160"/>
      <c r="AN1419" s="164"/>
      <c r="AO1419" s="160"/>
      <c r="AP1419" s="160"/>
      <c r="AQ1419" s="160"/>
      <c r="AR1419" s="160"/>
      <c r="AS1419" s="160"/>
      <c r="AT1419" s="160"/>
      <c r="AU1419" s="160"/>
      <c r="AV1419" s="160"/>
      <c r="AW1419" s="160"/>
      <c r="AX1419" s="160"/>
      <c r="AY1419" s="160"/>
      <c r="AZ1419" s="160"/>
      <c r="BA1419" s="160"/>
      <c r="BB1419" s="160"/>
      <c r="BC1419" s="160"/>
      <c r="BD1419" s="160"/>
      <c r="BE1419" s="160"/>
      <c r="BF1419" s="160"/>
      <c r="BG1419" s="160"/>
      <c r="BH1419" s="160"/>
      <c r="BI1419" s="160"/>
      <c r="BJ1419" s="160"/>
      <c r="BK1419" s="160"/>
      <c r="BL1419" s="160"/>
      <c r="BM1419" s="160"/>
      <c r="BN1419" s="160"/>
      <c r="BO1419" s="160"/>
      <c r="BP1419" s="160"/>
      <c r="BQ1419" s="160"/>
      <c r="BR1419" s="160"/>
      <c r="BS1419" s="160"/>
      <c r="BT1419" s="160"/>
      <c r="BU1419" s="160"/>
      <c r="BV1419" s="160"/>
      <c r="BW1419" s="160"/>
      <c r="BX1419" s="160"/>
      <c r="BY1419" s="160"/>
      <c r="BZ1419" s="160"/>
      <c r="CA1419" s="160"/>
      <c r="CB1419" s="160"/>
      <c r="CC1419" s="160"/>
      <c r="CD1419" s="160"/>
      <c r="CE1419" s="160"/>
      <c r="CF1419" s="160"/>
      <c r="CG1419" s="160"/>
      <c r="CH1419" s="160"/>
      <c r="CI1419" s="160"/>
      <c r="CJ1419" s="160"/>
      <c r="CK1419" s="160"/>
      <c r="CL1419" s="160"/>
    </row>
    <row r="1420">
      <c r="A1420" s="171"/>
      <c r="F1420" s="11"/>
      <c r="G1420" s="11"/>
      <c r="L1420" s="171"/>
      <c r="M1420" s="171"/>
      <c r="O1420" s="160"/>
      <c r="P1420" s="160"/>
      <c r="Q1420" s="160"/>
      <c r="R1420" s="160"/>
      <c r="S1420" s="160"/>
      <c r="T1420" s="207"/>
      <c r="U1420" s="160"/>
      <c r="V1420" s="160"/>
      <c r="W1420" s="160"/>
      <c r="X1420" s="160"/>
      <c r="Y1420" s="160"/>
      <c r="Z1420" s="160"/>
      <c r="AA1420" s="160"/>
      <c r="AB1420" s="160"/>
      <c r="AC1420" s="160"/>
      <c r="AD1420" s="160"/>
      <c r="AE1420" s="160"/>
      <c r="AF1420" s="160"/>
      <c r="AG1420" s="160"/>
      <c r="AH1420" s="160"/>
      <c r="AI1420" s="160"/>
      <c r="AJ1420" s="160"/>
      <c r="AK1420" s="160"/>
      <c r="AL1420" s="160"/>
      <c r="AM1420" s="160"/>
      <c r="AN1420" s="164"/>
      <c r="AO1420" s="160"/>
      <c r="AP1420" s="160"/>
      <c r="AQ1420" s="160"/>
      <c r="AR1420" s="160"/>
      <c r="AS1420" s="160"/>
      <c r="AT1420" s="160"/>
      <c r="AU1420" s="160"/>
      <c r="AV1420" s="160"/>
      <c r="AW1420" s="160"/>
      <c r="AX1420" s="160"/>
      <c r="AY1420" s="160"/>
      <c r="AZ1420" s="160"/>
      <c r="BA1420" s="160"/>
      <c r="BB1420" s="160"/>
      <c r="BC1420" s="160"/>
      <c r="BD1420" s="160"/>
      <c r="BE1420" s="160"/>
      <c r="BF1420" s="160"/>
      <c r="BG1420" s="160"/>
      <c r="BH1420" s="160"/>
      <c r="BI1420" s="160"/>
      <c r="BJ1420" s="160"/>
      <c r="BK1420" s="160"/>
      <c r="BL1420" s="160"/>
      <c r="BM1420" s="160"/>
      <c r="BN1420" s="160"/>
      <c r="BO1420" s="160"/>
      <c r="BP1420" s="160"/>
      <c r="BQ1420" s="160"/>
      <c r="BR1420" s="160"/>
      <c r="BS1420" s="160"/>
      <c r="BT1420" s="160"/>
      <c r="BU1420" s="160"/>
      <c r="BV1420" s="160"/>
      <c r="BW1420" s="160"/>
      <c r="BX1420" s="160"/>
      <c r="BY1420" s="160"/>
      <c r="BZ1420" s="160"/>
      <c r="CA1420" s="160"/>
      <c r="CB1420" s="160"/>
      <c r="CC1420" s="160"/>
      <c r="CD1420" s="160"/>
      <c r="CE1420" s="160"/>
      <c r="CF1420" s="160"/>
      <c r="CG1420" s="160"/>
      <c r="CH1420" s="160"/>
      <c r="CI1420" s="160"/>
      <c r="CJ1420" s="160"/>
      <c r="CK1420" s="160"/>
      <c r="CL1420" s="160"/>
    </row>
    <row r="1421">
      <c r="A1421" s="171"/>
      <c r="F1421" s="11"/>
      <c r="G1421" s="11"/>
      <c r="L1421" s="171"/>
      <c r="M1421" s="171"/>
      <c r="O1421" s="160"/>
      <c r="P1421" s="160"/>
      <c r="Q1421" s="160"/>
      <c r="R1421" s="160"/>
      <c r="S1421" s="160"/>
      <c r="T1421" s="207"/>
      <c r="U1421" s="160"/>
      <c r="V1421" s="160"/>
      <c r="W1421" s="160"/>
      <c r="X1421" s="160"/>
      <c r="Y1421" s="160"/>
      <c r="Z1421" s="160"/>
      <c r="AA1421" s="160"/>
      <c r="AB1421" s="160"/>
      <c r="AC1421" s="160"/>
      <c r="AD1421" s="160"/>
      <c r="AE1421" s="160"/>
      <c r="AF1421" s="160"/>
      <c r="AG1421" s="160"/>
      <c r="AH1421" s="160"/>
      <c r="AI1421" s="160"/>
      <c r="AJ1421" s="160"/>
      <c r="AK1421" s="160"/>
      <c r="AL1421" s="160"/>
      <c r="AM1421" s="160"/>
      <c r="AN1421" s="164"/>
      <c r="AO1421" s="160"/>
      <c r="AP1421" s="160"/>
      <c r="AQ1421" s="160"/>
      <c r="AR1421" s="160"/>
      <c r="AS1421" s="160"/>
      <c r="AT1421" s="160"/>
      <c r="AU1421" s="160"/>
      <c r="AV1421" s="160"/>
      <c r="AW1421" s="160"/>
      <c r="AX1421" s="160"/>
      <c r="AY1421" s="160"/>
      <c r="AZ1421" s="160"/>
      <c r="BA1421" s="160"/>
      <c r="BB1421" s="160"/>
      <c r="BC1421" s="160"/>
      <c r="BD1421" s="160"/>
      <c r="BE1421" s="160"/>
      <c r="BF1421" s="160"/>
      <c r="BG1421" s="160"/>
      <c r="BH1421" s="160"/>
      <c r="BI1421" s="160"/>
      <c r="BJ1421" s="160"/>
      <c r="BK1421" s="160"/>
      <c r="BL1421" s="160"/>
      <c r="BM1421" s="160"/>
      <c r="BN1421" s="160"/>
      <c r="BO1421" s="160"/>
      <c r="BP1421" s="160"/>
      <c r="BQ1421" s="160"/>
      <c r="BR1421" s="160"/>
      <c r="BS1421" s="160"/>
      <c r="BT1421" s="160"/>
      <c r="BU1421" s="160"/>
      <c r="BV1421" s="160"/>
      <c r="BW1421" s="160"/>
      <c r="BX1421" s="160"/>
      <c r="BY1421" s="160"/>
      <c r="BZ1421" s="160"/>
      <c r="CA1421" s="160"/>
      <c r="CB1421" s="160"/>
      <c r="CC1421" s="160"/>
      <c r="CD1421" s="160"/>
      <c r="CE1421" s="160"/>
      <c r="CF1421" s="160"/>
      <c r="CG1421" s="160"/>
      <c r="CH1421" s="160"/>
      <c r="CI1421" s="160"/>
      <c r="CJ1421" s="160"/>
      <c r="CK1421" s="160"/>
      <c r="CL1421" s="160"/>
    </row>
    <row r="1422">
      <c r="A1422" s="171"/>
      <c r="F1422" s="11"/>
      <c r="G1422" s="11"/>
      <c r="L1422" s="171"/>
      <c r="M1422" s="171"/>
      <c r="O1422" s="160"/>
      <c r="P1422" s="160"/>
      <c r="Q1422" s="160"/>
      <c r="R1422" s="160"/>
      <c r="S1422" s="160"/>
      <c r="T1422" s="207"/>
      <c r="U1422" s="160"/>
      <c r="V1422" s="160"/>
      <c r="W1422" s="160"/>
      <c r="X1422" s="160"/>
      <c r="Y1422" s="160"/>
      <c r="Z1422" s="160"/>
      <c r="AA1422" s="160"/>
      <c r="AB1422" s="160"/>
      <c r="AC1422" s="160"/>
      <c r="AD1422" s="160"/>
      <c r="AE1422" s="160"/>
      <c r="AF1422" s="160"/>
      <c r="AG1422" s="160"/>
      <c r="AH1422" s="160"/>
      <c r="AI1422" s="160"/>
      <c r="AJ1422" s="160"/>
      <c r="AK1422" s="160"/>
      <c r="AL1422" s="160"/>
      <c r="AM1422" s="160"/>
      <c r="AN1422" s="164"/>
      <c r="AO1422" s="160"/>
      <c r="AP1422" s="160"/>
      <c r="AQ1422" s="160"/>
      <c r="AR1422" s="160"/>
      <c r="AS1422" s="160"/>
      <c r="AT1422" s="160"/>
      <c r="AU1422" s="160"/>
      <c r="AV1422" s="160"/>
      <c r="AW1422" s="160"/>
      <c r="AX1422" s="160"/>
      <c r="AY1422" s="160"/>
      <c r="AZ1422" s="160"/>
      <c r="BA1422" s="160"/>
      <c r="BB1422" s="160"/>
      <c r="BC1422" s="160"/>
      <c r="BD1422" s="160"/>
      <c r="BE1422" s="160"/>
      <c r="BF1422" s="160"/>
      <c r="BG1422" s="160"/>
      <c r="BH1422" s="160"/>
      <c r="BI1422" s="160"/>
      <c r="BJ1422" s="160"/>
      <c r="BK1422" s="160"/>
      <c r="BL1422" s="160"/>
      <c r="BM1422" s="160"/>
      <c r="BN1422" s="160"/>
      <c r="BO1422" s="160"/>
      <c r="BP1422" s="160"/>
      <c r="BQ1422" s="160"/>
      <c r="BR1422" s="160"/>
      <c r="BS1422" s="160"/>
      <c r="BT1422" s="160"/>
      <c r="BU1422" s="160"/>
      <c r="BV1422" s="160"/>
      <c r="BW1422" s="160"/>
      <c r="BX1422" s="160"/>
      <c r="BY1422" s="160"/>
      <c r="BZ1422" s="160"/>
      <c r="CA1422" s="160"/>
      <c r="CB1422" s="160"/>
      <c r="CC1422" s="160"/>
      <c r="CD1422" s="160"/>
      <c r="CE1422" s="160"/>
      <c r="CF1422" s="160"/>
      <c r="CG1422" s="160"/>
      <c r="CH1422" s="160"/>
      <c r="CI1422" s="160"/>
      <c r="CJ1422" s="160"/>
      <c r="CK1422" s="160"/>
      <c r="CL1422" s="160"/>
    </row>
    <row r="1423">
      <c r="A1423" s="171"/>
      <c r="F1423" s="11"/>
      <c r="G1423" s="11"/>
      <c r="L1423" s="171"/>
      <c r="M1423" s="171"/>
      <c r="O1423" s="160"/>
      <c r="P1423" s="160"/>
      <c r="Q1423" s="160"/>
      <c r="R1423" s="160"/>
      <c r="S1423" s="160"/>
      <c r="T1423" s="207"/>
      <c r="U1423" s="160"/>
      <c r="V1423" s="160"/>
      <c r="W1423" s="160"/>
      <c r="X1423" s="160"/>
      <c r="Y1423" s="160"/>
      <c r="Z1423" s="160"/>
      <c r="AA1423" s="160"/>
      <c r="AB1423" s="160"/>
      <c r="AC1423" s="160"/>
      <c r="AD1423" s="160"/>
      <c r="AE1423" s="160"/>
      <c r="AF1423" s="160"/>
      <c r="AG1423" s="160"/>
      <c r="AH1423" s="160"/>
      <c r="AI1423" s="160"/>
      <c r="AJ1423" s="160"/>
      <c r="AK1423" s="160"/>
      <c r="AL1423" s="160"/>
      <c r="AM1423" s="160"/>
      <c r="AN1423" s="164"/>
      <c r="AO1423" s="160"/>
      <c r="AP1423" s="160"/>
      <c r="AQ1423" s="160"/>
      <c r="AR1423" s="160"/>
      <c r="AS1423" s="160"/>
      <c r="AT1423" s="160"/>
      <c r="AU1423" s="160"/>
      <c r="AV1423" s="160"/>
      <c r="AW1423" s="160"/>
      <c r="AX1423" s="160"/>
      <c r="AY1423" s="160"/>
      <c r="AZ1423" s="160"/>
      <c r="BA1423" s="160"/>
      <c r="BB1423" s="160"/>
      <c r="BC1423" s="160"/>
      <c r="BD1423" s="160"/>
      <c r="BE1423" s="160"/>
      <c r="BF1423" s="160"/>
      <c r="BG1423" s="160"/>
      <c r="BH1423" s="160"/>
      <c r="BI1423" s="160"/>
      <c r="BJ1423" s="160"/>
      <c r="BK1423" s="160"/>
      <c r="BL1423" s="160"/>
      <c r="BM1423" s="160"/>
      <c r="BN1423" s="160"/>
      <c r="BO1423" s="160"/>
      <c r="BP1423" s="160"/>
      <c r="BQ1423" s="160"/>
      <c r="BR1423" s="160"/>
      <c r="BS1423" s="160"/>
      <c r="BT1423" s="160"/>
      <c r="BU1423" s="160"/>
      <c r="BV1423" s="160"/>
      <c r="BW1423" s="160"/>
      <c r="BX1423" s="160"/>
      <c r="BY1423" s="160"/>
      <c r="BZ1423" s="160"/>
      <c r="CA1423" s="160"/>
      <c r="CB1423" s="160"/>
      <c r="CC1423" s="160"/>
      <c r="CD1423" s="160"/>
      <c r="CE1423" s="160"/>
      <c r="CF1423" s="160"/>
      <c r="CG1423" s="160"/>
      <c r="CH1423" s="160"/>
      <c r="CI1423" s="160"/>
      <c r="CJ1423" s="160"/>
      <c r="CK1423" s="160"/>
      <c r="CL1423" s="160"/>
    </row>
    <row r="1424">
      <c r="A1424" s="171"/>
      <c r="F1424" s="11"/>
      <c r="G1424" s="11"/>
      <c r="L1424" s="171"/>
      <c r="M1424" s="171"/>
      <c r="O1424" s="160"/>
      <c r="P1424" s="160"/>
      <c r="Q1424" s="160"/>
      <c r="R1424" s="160"/>
      <c r="S1424" s="160"/>
      <c r="T1424" s="207"/>
      <c r="U1424" s="160"/>
      <c r="V1424" s="160"/>
      <c r="W1424" s="160"/>
      <c r="X1424" s="160"/>
      <c r="Y1424" s="160"/>
      <c r="Z1424" s="160"/>
      <c r="AA1424" s="160"/>
      <c r="AB1424" s="160"/>
      <c r="AC1424" s="160"/>
      <c r="AD1424" s="160"/>
      <c r="AE1424" s="160"/>
      <c r="AF1424" s="160"/>
      <c r="AG1424" s="160"/>
      <c r="AH1424" s="160"/>
      <c r="AI1424" s="160"/>
      <c r="AJ1424" s="160"/>
      <c r="AK1424" s="160"/>
      <c r="AL1424" s="160"/>
      <c r="AM1424" s="160"/>
      <c r="AN1424" s="164"/>
      <c r="AO1424" s="160"/>
      <c r="AP1424" s="160"/>
      <c r="AQ1424" s="160"/>
      <c r="AR1424" s="160"/>
      <c r="AS1424" s="160"/>
      <c r="AT1424" s="160"/>
      <c r="AU1424" s="160"/>
      <c r="AV1424" s="160"/>
      <c r="AW1424" s="160"/>
      <c r="AX1424" s="160"/>
      <c r="AY1424" s="160"/>
      <c r="AZ1424" s="160"/>
      <c r="BA1424" s="160"/>
      <c r="BB1424" s="160"/>
      <c r="BC1424" s="160"/>
      <c r="BD1424" s="160"/>
      <c r="BE1424" s="160"/>
      <c r="BF1424" s="160"/>
      <c r="BG1424" s="160"/>
      <c r="BH1424" s="160"/>
      <c r="BI1424" s="160"/>
      <c r="BJ1424" s="160"/>
      <c r="BK1424" s="160"/>
      <c r="BL1424" s="160"/>
      <c r="BM1424" s="160"/>
      <c r="BN1424" s="160"/>
      <c r="BO1424" s="160"/>
      <c r="BP1424" s="160"/>
      <c r="BQ1424" s="160"/>
      <c r="BR1424" s="160"/>
      <c r="BS1424" s="160"/>
      <c r="BT1424" s="160"/>
      <c r="BU1424" s="160"/>
      <c r="BV1424" s="160"/>
      <c r="BW1424" s="160"/>
      <c r="BX1424" s="160"/>
      <c r="BY1424" s="160"/>
      <c r="BZ1424" s="160"/>
      <c r="CA1424" s="160"/>
      <c r="CB1424" s="160"/>
      <c r="CC1424" s="160"/>
      <c r="CD1424" s="160"/>
      <c r="CE1424" s="160"/>
      <c r="CF1424" s="160"/>
      <c r="CG1424" s="160"/>
      <c r="CH1424" s="160"/>
      <c r="CI1424" s="160"/>
      <c r="CJ1424" s="160"/>
      <c r="CK1424" s="160"/>
      <c r="CL1424" s="160"/>
    </row>
    <row r="1425">
      <c r="A1425" s="171"/>
      <c r="F1425" s="11"/>
      <c r="G1425" s="11"/>
      <c r="L1425" s="171"/>
      <c r="M1425" s="171"/>
      <c r="O1425" s="160"/>
      <c r="P1425" s="160"/>
      <c r="Q1425" s="160"/>
      <c r="R1425" s="160"/>
      <c r="S1425" s="160"/>
      <c r="T1425" s="207"/>
      <c r="U1425" s="160"/>
      <c r="V1425" s="160"/>
      <c r="W1425" s="160"/>
      <c r="X1425" s="160"/>
      <c r="Y1425" s="160"/>
      <c r="Z1425" s="160"/>
      <c r="AA1425" s="160"/>
      <c r="AB1425" s="160"/>
      <c r="AC1425" s="160"/>
      <c r="AD1425" s="160"/>
      <c r="AE1425" s="160"/>
      <c r="AF1425" s="160"/>
      <c r="AG1425" s="160"/>
      <c r="AH1425" s="160"/>
      <c r="AI1425" s="160"/>
      <c r="AJ1425" s="160"/>
      <c r="AK1425" s="160"/>
      <c r="AL1425" s="160"/>
      <c r="AM1425" s="160"/>
      <c r="AN1425" s="164"/>
      <c r="AO1425" s="160"/>
      <c r="AP1425" s="160"/>
      <c r="AQ1425" s="160"/>
      <c r="AR1425" s="160"/>
      <c r="AS1425" s="160"/>
      <c r="AT1425" s="160"/>
      <c r="AU1425" s="160"/>
      <c r="AV1425" s="160"/>
      <c r="AW1425" s="160"/>
      <c r="AX1425" s="160"/>
      <c r="AY1425" s="160"/>
      <c r="AZ1425" s="160"/>
      <c r="BA1425" s="160"/>
      <c r="BB1425" s="160"/>
      <c r="BC1425" s="160"/>
      <c r="BD1425" s="160"/>
      <c r="BE1425" s="160"/>
      <c r="BF1425" s="160"/>
      <c r="BG1425" s="160"/>
      <c r="BH1425" s="160"/>
      <c r="BI1425" s="160"/>
      <c r="BJ1425" s="160"/>
      <c r="BK1425" s="160"/>
      <c r="BL1425" s="160"/>
      <c r="BM1425" s="160"/>
      <c r="BN1425" s="160"/>
      <c r="BO1425" s="160"/>
      <c r="BP1425" s="160"/>
      <c r="BQ1425" s="160"/>
      <c r="BR1425" s="160"/>
      <c r="BS1425" s="160"/>
      <c r="BT1425" s="160"/>
      <c r="BU1425" s="160"/>
      <c r="BV1425" s="160"/>
      <c r="BW1425" s="160"/>
      <c r="BX1425" s="160"/>
      <c r="BY1425" s="160"/>
      <c r="BZ1425" s="160"/>
      <c r="CA1425" s="160"/>
      <c r="CB1425" s="160"/>
      <c r="CC1425" s="160"/>
      <c r="CD1425" s="160"/>
      <c r="CE1425" s="160"/>
      <c r="CF1425" s="160"/>
      <c r="CG1425" s="160"/>
      <c r="CH1425" s="160"/>
      <c r="CI1425" s="160"/>
      <c r="CJ1425" s="160"/>
      <c r="CK1425" s="160"/>
      <c r="CL1425" s="160"/>
    </row>
    <row r="1426">
      <c r="A1426" s="171"/>
      <c r="F1426" s="11"/>
      <c r="G1426" s="11"/>
      <c r="L1426" s="171"/>
      <c r="M1426" s="171"/>
      <c r="O1426" s="160"/>
      <c r="P1426" s="160"/>
      <c r="Q1426" s="160"/>
      <c r="R1426" s="160"/>
      <c r="S1426" s="160"/>
      <c r="T1426" s="207"/>
      <c r="U1426" s="160"/>
      <c r="V1426" s="160"/>
      <c r="W1426" s="160"/>
      <c r="X1426" s="160"/>
      <c r="Y1426" s="160"/>
      <c r="Z1426" s="160"/>
      <c r="AA1426" s="160"/>
      <c r="AB1426" s="160"/>
      <c r="AC1426" s="160"/>
      <c r="AD1426" s="160"/>
      <c r="AE1426" s="160"/>
      <c r="AF1426" s="160"/>
      <c r="AG1426" s="160"/>
      <c r="AH1426" s="160"/>
      <c r="AI1426" s="160"/>
      <c r="AJ1426" s="160"/>
      <c r="AK1426" s="160"/>
      <c r="AL1426" s="160"/>
      <c r="AM1426" s="160"/>
      <c r="AN1426" s="164"/>
      <c r="AO1426" s="160"/>
      <c r="AP1426" s="160"/>
      <c r="AQ1426" s="160"/>
      <c r="AR1426" s="160"/>
      <c r="AS1426" s="160"/>
      <c r="AT1426" s="160"/>
      <c r="AU1426" s="160"/>
      <c r="AV1426" s="160"/>
      <c r="AW1426" s="160"/>
      <c r="AX1426" s="160"/>
      <c r="AY1426" s="160"/>
      <c r="AZ1426" s="160"/>
      <c r="BA1426" s="160"/>
      <c r="BB1426" s="160"/>
      <c r="BC1426" s="160"/>
      <c r="BD1426" s="160"/>
      <c r="BE1426" s="160"/>
      <c r="BF1426" s="160"/>
      <c r="BG1426" s="160"/>
      <c r="BH1426" s="160"/>
      <c r="BI1426" s="160"/>
      <c r="BJ1426" s="160"/>
      <c r="BK1426" s="160"/>
      <c r="BL1426" s="160"/>
      <c r="BM1426" s="160"/>
      <c r="BN1426" s="160"/>
      <c r="BO1426" s="160"/>
      <c r="BP1426" s="160"/>
      <c r="BQ1426" s="160"/>
      <c r="BR1426" s="160"/>
      <c r="BS1426" s="160"/>
      <c r="BT1426" s="160"/>
      <c r="BU1426" s="160"/>
      <c r="BV1426" s="160"/>
      <c r="BW1426" s="160"/>
      <c r="BX1426" s="160"/>
      <c r="BY1426" s="160"/>
      <c r="BZ1426" s="160"/>
      <c r="CA1426" s="160"/>
      <c r="CB1426" s="160"/>
      <c r="CC1426" s="160"/>
      <c r="CD1426" s="160"/>
      <c r="CE1426" s="160"/>
      <c r="CF1426" s="160"/>
      <c r="CG1426" s="160"/>
      <c r="CH1426" s="160"/>
      <c r="CI1426" s="160"/>
      <c r="CJ1426" s="160"/>
      <c r="CK1426" s="160"/>
      <c r="CL1426" s="160"/>
    </row>
    <row r="1427">
      <c r="A1427" s="171"/>
      <c r="F1427" s="11"/>
      <c r="G1427" s="11"/>
      <c r="L1427" s="171"/>
      <c r="M1427" s="171"/>
      <c r="O1427" s="160"/>
      <c r="P1427" s="160"/>
      <c r="Q1427" s="160"/>
      <c r="R1427" s="160"/>
      <c r="S1427" s="160"/>
      <c r="T1427" s="207"/>
      <c r="U1427" s="160"/>
      <c r="V1427" s="160"/>
      <c r="W1427" s="160"/>
      <c r="X1427" s="160"/>
      <c r="Y1427" s="160"/>
      <c r="Z1427" s="160"/>
      <c r="AA1427" s="160"/>
      <c r="AB1427" s="160"/>
      <c r="AC1427" s="160"/>
      <c r="AD1427" s="160"/>
      <c r="AE1427" s="160"/>
      <c r="AF1427" s="160"/>
      <c r="AG1427" s="160"/>
      <c r="AH1427" s="160"/>
      <c r="AI1427" s="160"/>
      <c r="AJ1427" s="160"/>
      <c r="AK1427" s="160"/>
      <c r="AL1427" s="160"/>
      <c r="AM1427" s="160"/>
      <c r="AN1427" s="164"/>
      <c r="AO1427" s="160"/>
      <c r="AP1427" s="160"/>
      <c r="AQ1427" s="160"/>
      <c r="AR1427" s="160"/>
      <c r="AS1427" s="160"/>
      <c r="AT1427" s="160"/>
      <c r="AU1427" s="160"/>
      <c r="AV1427" s="160"/>
      <c r="AW1427" s="160"/>
      <c r="AX1427" s="160"/>
      <c r="AY1427" s="160"/>
      <c r="AZ1427" s="160"/>
      <c r="BA1427" s="160"/>
      <c r="BB1427" s="160"/>
      <c r="BC1427" s="160"/>
      <c r="BD1427" s="160"/>
      <c r="BE1427" s="160"/>
      <c r="BF1427" s="160"/>
      <c r="BG1427" s="160"/>
      <c r="BH1427" s="160"/>
      <c r="BI1427" s="160"/>
      <c r="BJ1427" s="160"/>
      <c r="BK1427" s="160"/>
      <c r="BL1427" s="160"/>
      <c r="BM1427" s="160"/>
      <c r="BN1427" s="160"/>
      <c r="BO1427" s="160"/>
      <c r="BP1427" s="160"/>
      <c r="BQ1427" s="160"/>
      <c r="BR1427" s="160"/>
      <c r="BS1427" s="160"/>
      <c r="BT1427" s="160"/>
      <c r="BU1427" s="160"/>
      <c r="BV1427" s="160"/>
      <c r="BW1427" s="160"/>
      <c r="BX1427" s="160"/>
      <c r="BY1427" s="160"/>
      <c r="BZ1427" s="160"/>
      <c r="CA1427" s="160"/>
      <c r="CB1427" s="160"/>
      <c r="CC1427" s="160"/>
      <c r="CD1427" s="160"/>
      <c r="CE1427" s="160"/>
      <c r="CF1427" s="160"/>
      <c r="CG1427" s="160"/>
      <c r="CH1427" s="160"/>
      <c r="CI1427" s="160"/>
      <c r="CJ1427" s="160"/>
      <c r="CK1427" s="160"/>
      <c r="CL1427" s="160"/>
    </row>
    <row r="1428">
      <c r="A1428" s="171"/>
      <c r="F1428" s="11"/>
      <c r="G1428" s="11"/>
      <c r="L1428" s="171"/>
      <c r="M1428" s="171"/>
      <c r="O1428" s="160"/>
      <c r="P1428" s="160"/>
      <c r="Q1428" s="160"/>
      <c r="R1428" s="160"/>
      <c r="S1428" s="160"/>
      <c r="T1428" s="207"/>
      <c r="U1428" s="160"/>
      <c r="V1428" s="160"/>
      <c r="W1428" s="160"/>
      <c r="X1428" s="160"/>
      <c r="Y1428" s="160"/>
      <c r="Z1428" s="160"/>
      <c r="AA1428" s="160"/>
      <c r="AB1428" s="160"/>
      <c r="AC1428" s="160"/>
      <c r="AD1428" s="160"/>
      <c r="AE1428" s="160"/>
      <c r="AF1428" s="160"/>
      <c r="AG1428" s="160"/>
      <c r="AH1428" s="160"/>
      <c r="AI1428" s="160"/>
      <c r="AJ1428" s="160"/>
      <c r="AK1428" s="160"/>
      <c r="AL1428" s="160"/>
      <c r="AM1428" s="160"/>
      <c r="AN1428" s="164"/>
      <c r="AO1428" s="160"/>
      <c r="AP1428" s="160"/>
      <c r="AQ1428" s="160"/>
      <c r="AR1428" s="160"/>
      <c r="AS1428" s="160"/>
      <c r="AT1428" s="160"/>
      <c r="AU1428" s="160"/>
      <c r="AV1428" s="160"/>
      <c r="AW1428" s="160"/>
      <c r="AX1428" s="160"/>
      <c r="AY1428" s="160"/>
      <c r="AZ1428" s="160"/>
      <c r="BA1428" s="160"/>
      <c r="BB1428" s="160"/>
      <c r="BC1428" s="160"/>
      <c r="BD1428" s="160"/>
      <c r="BE1428" s="160"/>
      <c r="BF1428" s="160"/>
      <c r="BG1428" s="160"/>
      <c r="BH1428" s="160"/>
      <c r="BI1428" s="160"/>
      <c r="BJ1428" s="160"/>
      <c r="BK1428" s="160"/>
      <c r="BL1428" s="160"/>
      <c r="BM1428" s="160"/>
      <c r="BN1428" s="160"/>
      <c r="BO1428" s="160"/>
      <c r="BP1428" s="160"/>
      <c r="BQ1428" s="160"/>
      <c r="BR1428" s="160"/>
      <c r="BS1428" s="160"/>
      <c r="BT1428" s="160"/>
      <c r="BU1428" s="160"/>
      <c r="BV1428" s="160"/>
      <c r="BW1428" s="160"/>
      <c r="BX1428" s="160"/>
      <c r="BY1428" s="160"/>
      <c r="BZ1428" s="160"/>
      <c r="CA1428" s="160"/>
      <c r="CB1428" s="160"/>
      <c r="CC1428" s="160"/>
      <c r="CD1428" s="160"/>
      <c r="CE1428" s="160"/>
      <c r="CF1428" s="160"/>
      <c r="CG1428" s="160"/>
      <c r="CH1428" s="160"/>
      <c r="CI1428" s="160"/>
      <c r="CJ1428" s="160"/>
      <c r="CK1428" s="160"/>
      <c r="CL1428" s="160"/>
    </row>
    <row r="1429">
      <c r="A1429" s="171"/>
      <c r="F1429" s="11"/>
      <c r="G1429" s="11"/>
      <c r="L1429" s="171"/>
      <c r="M1429" s="171"/>
      <c r="O1429" s="160"/>
      <c r="P1429" s="160"/>
      <c r="Q1429" s="160"/>
      <c r="R1429" s="160"/>
      <c r="S1429" s="160"/>
      <c r="T1429" s="207"/>
      <c r="U1429" s="160"/>
      <c r="V1429" s="160"/>
      <c r="W1429" s="160"/>
      <c r="X1429" s="160"/>
      <c r="Y1429" s="160"/>
      <c r="Z1429" s="160"/>
      <c r="AA1429" s="160"/>
      <c r="AB1429" s="160"/>
      <c r="AC1429" s="160"/>
      <c r="AD1429" s="160"/>
      <c r="AE1429" s="160"/>
      <c r="AF1429" s="160"/>
      <c r="AG1429" s="160"/>
      <c r="AH1429" s="160"/>
      <c r="AI1429" s="160"/>
      <c r="AJ1429" s="160"/>
      <c r="AK1429" s="160"/>
      <c r="AL1429" s="160"/>
      <c r="AM1429" s="160"/>
      <c r="AN1429" s="164"/>
      <c r="AO1429" s="160"/>
      <c r="AP1429" s="160"/>
      <c r="AQ1429" s="160"/>
      <c r="AR1429" s="160"/>
      <c r="AS1429" s="160"/>
      <c r="AT1429" s="160"/>
      <c r="AU1429" s="160"/>
      <c r="AV1429" s="160"/>
      <c r="AW1429" s="160"/>
      <c r="AX1429" s="160"/>
      <c r="AY1429" s="160"/>
      <c r="AZ1429" s="160"/>
      <c r="BA1429" s="160"/>
      <c r="BB1429" s="160"/>
      <c r="BC1429" s="160"/>
      <c r="BD1429" s="160"/>
      <c r="BE1429" s="160"/>
      <c r="BF1429" s="160"/>
      <c r="BG1429" s="160"/>
      <c r="BH1429" s="160"/>
      <c r="BI1429" s="160"/>
      <c r="BJ1429" s="160"/>
      <c r="BK1429" s="160"/>
      <c r="BL1429" s="160"/>
      <c r="BM1429" s="160"/>
      <c r="BN1429" s="160"/>
      <c r="BO1429" s="160"/>
      <c r="BP1429" s="160"/>
      <c r="BQ1429" s="160"/>
      <c r="BR1429" s="160"/>
      <c r="BS1429" s="160"/>
      <c r="BT1429" s="160"/>
      <c r="BU1429" s="160"/>
      <c r="BV1429" s="160"/>
      <c r="BW1429" s="160"/>
      <c r="BX1429" s="160"/>
      <c r="BY1429" s="160"/>
      <c r="BZ1429" s="160"/>
      <c r="CA1429" s="160"/>
      <c r="CB1429" s="160"/>
      <c r="CC1429" s="160"/>
      <c r="CD1429" s="160"/>
      <c r="CE1429" s="160"/>
      <c r="CF1429" s="160"/>
      <c r="CG1429" s="160"/>
      <c r="CH1429" s="160"/>
      <c r="CI1429" s="160"/>
      <c r="CJ1429" s="160"/>
      <c r="CK1429" s="160"/>
      <c r="CL1429" s="160"/>
    </row>
    <row r="1430">
      <c r="A1430" s="171"/>
      <c r="F1430" s="11"/>
      <c r="G1430" s="11"/>
      <c r="L1430" s="171"/>
      <c r="M1430" s="171"/>
      <c r="O1430" s="160"/>
      <c r="P1430" s="160"/>
      <c r="Q1430" s="160"/>
      <c r="R1430" s="160"/>
      <c r="S1430" s="160"/>
      <c r="T1430" s="207"/>
      <c r="U1430" s="160"/>
      <c r="V1430" s="160"/>
      <c r="W1430" s="160"/>
      <c r="X1430" s="160"/>
      <c r="Y1430" s="160"/>
      <c r="Z1430" s="160"/>
      <c r="AA1430" s="160"/>
      <c r="AB1430" s="160"/>
      <c r="AC1430" s="160"/>
      <c r="AD1430" s="160"/>
      <c r="AE1430" s="160"/>
      <c r="AF1430" s="160"/>
      <c r="AG1430" s="160"/>
      <c r="AH1430" s="160"/>
      <c r="AI1430" s="160"/>
      <c r="AJ1430" s="160"/>
      <c r="AK1430" s="160"/>
      <c r="AL1430" s="160"/>
      <c r="AM1430" s="160"/>
      <c r="AN1430" s="164"/>
      <c r="AO1430" s="160"/>
      <c r="AP1430" s="160"/>
      <c r="AQ1430" s="160"/>
      <c r="AR1430" s="160"/>
      <c r="AS1430" s="160"/>
      <c r="AT1430" s="160"/>
      <c r="AU1430" s="160"/>
      <c r="AV1430" s="160"/>
      <c r="AW1430" s="160"/>
      <c r="AX1430" s="160"/>
      <c r="AY1430" s="160"/>
      <c r="AZ1430" s="160"/>
      <c r="BA1430" s="160"/>
      <c r="BB1430" s="160"/>
      <c r="BC1430" s="160"/>
      <c r="BD1430" s="160"/>
      <c r="BE1430" s="160"/>
      <c r="BF1430" s="160"/>
      <c r="BG1430" s="160"/>
      <c r="BH1430" s="160"/>
      <c r="BI1430" s="160"/>
      <c r="BJ1430" s="160"/>
      <c r="BK1430" s="160"/>
      <c r="BL1430" s="160"/>
      <c r="BM1430" s="160"/>
      <c r="BN1430" s="160"/>
      <c r="BO1430" s="160"/>
      <c r="BP1430" s="160"/>
      <c r="BQ1430" s="160"/>
      <c r="BR1430" s="160"/>
      <c r="BS1430" s="160"/>
      <c r="BT1430" s="160"/>
      <c r="BU1430" s="160"/>
      <c r="BV1430" s="160"/>
      <c r="BW1430" s="160"/>
      <c r="BX1430" s="160"/>
      <c r="BY1430" s="160"/>
      <c r="BZ1430" s="160"/>
      <c r="CA1430" s="160"/>
      <c r="CB1430" s="160"/>
      <c r="CC1430" s="160"/>
      <c r="CD1430" s="160"/>
      <c r="CE1430" s="160"/>
      <c r="CF1430" s="160"/>
      <c r="CG1430" s="160"/>
      <c r="CH1430" s="160"/>
      <c r="CI1430" s="160"/>
      <c r="CJ1430" s="160"/>
      <c r="CK1430" s="160"/>
      <c r="CL1430" s="160"/>
    </row>
    <row r="1431">
      <c r="A1431" s="171"/>
      <c r="F1431" s="11"/>
      <c r="G1431" s="11"/>
      <c r="L1431" s="171"/>
      <c r="M1431" s="171"/>
      <c r="O1431" s="160"/>
      <c r="P1431" s="160"/>
      <c r="Q1431" s="160"/>
      <c r="R1431" s="160"/>
      <c r="S1431" s="160"/>
      <c r="T1431" s="207"/>
      <c r="U1431" s="160"/>
      <c r="V1431" s="160"/>
      <c r="W1431" s="160"/>
      <c r="X1431" s="160"/>
      <c r="Y1431" s="160"/>
      <c r="Z1431" s="160"/>
      <c r="AA1431" s="160"/>
      <c r="AB1431" s="160"/>
      <c r="AC1431" s="160"/>
      <c r="AD1431" s="160"/>
      <c r="AE1431" s="160"/>
      <c r="AF1431" s="160"/>
      <c r="AG1431" s="160"/>
      <c r="AH1431" s="160"/>
      <c r="AI1431" s="160"/>
      <c r="AJ1431" s="160"/>
      <c r="AK1431" s="160"/>
      <c r="AL1431" s="160"/>
      <c r="AM1431" s="160"/>
      <c r="AN1431" s="164"/>
      <c r="AO1431" s="160"/>
      <c r="AP1431" s="160"/>
      <c r="AQ1431" s="160"/>
      <c r="AR1431" s="160"/>
      <c r="AS1431" s="160"/>
      <c r="AT1431" s="160"/>
      <c r="AU1431" s="160"/>
      <c r="AV1431" s="160"/>
      <c r="AW1431" s="160"/>
      <c r="AX1431" s="160"/>
      <c r="AY1431" s="160"/>
      <c r="AZ1431" s="160"/>
      <c r="BA1431" s="160"/>
      <c r="BB1431" s="160"/>
      <c r="BC1431" s="160"/>
      <c r="BD1431" s="160"/>
      <c r="BE1431" s="160"/>
      <c r="BF1431" s="160"/>
      <c r="BG1431" s="160"/>
      <c r="BH1431" s="160"/>
      <c r="BI1431" s="160"/>
      <c r="BJ1431" s="160"/>
      <c r="BK1431" s="160"/>
      <c r="BL1431" s="160"/>
      <c r="BM1431" s="160"/>
      <c r="BN1431" s="160"/>
      <c r="BO1431" s="160"/>
      <c r="BP1431" s="160"/>
      <c r="BQ1431" s="160"/>
      <c r="BR1431" s="160"/>
      <c r="BS1431" s="160"/>
      <c r="BT1431" s="160"/>
      <c r="BU1431" s="160"/>
      <c r="BV1431" s="160"/>
      <c r="BW1431" s="160"/>
      <c r="BX1431" s="160"/>
      <c r="BY1431" s="160"/>
      <c r="BZ1431" s="160"/>
      <c r="CA1431" s="160"/>
      <c r="CB1431" s="160"/>
      <c r="CC1431" s="160"/>
      <c r="CD1431" s="160"/>
      <c r="CE1431" s="160"/>
      <c r="CF1431" s="160"/>
      <c r="CG1431" s="160"/>
      <c r="CH1431" s="160"/>
      <c r="CI1431" s="160"/>
      <c r="CJ1431" s="160"/>
      <c r="CK1431" s="160"/>
      <c r="CL1431" s="160"/>
    </row>
    <row r="1432">
      <c r="A1432" s="171"/>
      <c r="F1432" s="11"/>
      <c r="G1432" s="11"/>
      <c r="L1432" s="171"/>
      <c r="M1432" s="171"/>
      <c r="O1432" s="160"/>
      <c r="P1432" s="160"/>
      <c r="Q1432" s="160"/>
      <c r="R1432" s="160"/>
      <c r="S1432" s="160"/>
      <c r="T1432" s="207"/>
      <c r="U1432" s="160"/>
      <c r="V1432" s="160"/>
      <c r="W1432" s="160"/>
      <c r="X1432" s="160"/>
      <c r="Y1432" s="160"/>
      <c r="Z1432" s="160"/>
      <c r="AA1432" s="160"/>
      <c r="AB1432" s="160"/>
      <c r="AC1432" s="160"/>
      <c r="AD1432" s="160"/>
      <c r="AE1432" s="160"/>
      <c r="AF1432" s="160"/>
      <c r="AG1432" s="160"/>
      <c r="AH1432" s="160"/>
      <c r="AI1432" s="160"/>
      <c r="AJ1432" s="160"/>
      <c r="AK1432" s="160"/>
      <c r="AL1432" s="160"/>
      <c r="AM1432" s="160"/>
      <c r="AN1432" s="164"/>
      <c r="AO1432" s="160"/>
      <c r="AP1432" s="160"/>
      <c r="AQ1432" s="160"/>
      <c r="AR1432" s="160"/>
      <c r="AS1432" s="160"/>
      <c r="AT1432" s="160"/>
      <c r="AU1432" s="160"/>
      <c r="AV1432" s="160"/>
      <c r="AW1432" s="160"/>
      <c r="AX1432" s="160"/>
      <c r="AY1432" s="160"/>
      <c r="AZ1432" s="160"/>
      <c r="BA1432" s="160"/>
      <c r="BB1432" s="160"/>
      <c r="BC1432" s="160"/>
      <c r="BD1432" s="160"/>
      <c r="BE1432" s="160"/>
      <c r="BF1432" s="160"/>
      <c r="BG1432" s="160"/>
      <c r="BH1432" s="160"/>
      <c r="BI1432" s="160"/>
      <c r="BJ1432" s="160"/>
      <c r="BK1432" s="160"/>
      <c r="BL1432" s="160"/>
      <c r="BM1432" s="160"/>
      <c r="BN1432" s="160"/>
      <c r="BO1432" s="160"/>
      <c r="BP1432" s="160"/>
      <c r="BQ1432" s="160"/>
      <c r="BR1432" s="160"/>
      <c r="BS1432" s="160"/>
      <c r="BT1432" s="160"/>
      <c r="BU1432" s="160"/>
      <c r="BV1432" s="160"/>
      <c r="BW1432" s="160"/>
      <c r="BX1432" s="160"/>
      <c r="BY1432" s="160"/>
      <c r="BZ1432" s="160"/>
      <c r="CA1432" s="160"/>
      <c r="CB1432" s="160"/>
      <c r="CC1432" s="160"/>
      <c r="CD1432" s="160"/>
      <c r="CE1432" s="160"/>
      <c r="CF1432" s="160"/>
      <c r="CG1432" s="160"/>
      <c r="CH1432" s="160"/>
      <c r="CI1432" s="160"/>
      <c r="CJ1432" s="160"/>
      <c r="CK1432" s="160"/>
      <c r="CL1432" s="160"/>
    </row>
    <row r="1433">
      <c r="A1433" s="171"/>
      <c r="F1433" s="11"/>
      <c r="G1433" s="11"/>
      <c r="L1433" s="171"/>
      <c r="M1433" s="171"/>
      <c r="O1433" s="160"/>
      <c r="P1433" s="160"/>
      <c r="Q1433" s="160"/>
      <c r="R1433" s="160"/>
      <c r="S1433" s="160"/>
      <c r="T1433" s="207"/>
      <c r="U1433" s="160"/>
      <c r="V1433" s="160"/>
      <c r="W1433" s="160"/>
      <c r="X1433" s="160"/>
      <c r="Y1433" s="160"/>
      <c r="Z1433" s="160"/>
      <c r="AA1433" s="160"/>
      <c r="AB1433" s="160"/>
      <c r="AC1433" s="160"/>
      <c r="AD1433" s="160"/>
      <c r="AE1433" s="160"/>
      <c r="AF1433" s="160"/>
      <c r="AG1433" s="160"/>
      <c r="AH1433" s="160"/>
      <c r="AI1433" s="160"/>
      <c r="AJ1433" s="160"/>
      <c r="AK1433" s="160"/>
      <c r="AL1433" s="160"/>
      <c r="AM1433" s="160"/>
      <c r="AN1433" s="164"/>
      <c r="AO1433" s="160"/>
      <c r="AP1433" s="160"/>
      <c r="AQ1433" s="160"/>
      <c r="AR1433" s="160"/>
      <c r="AS1433" s="160"/>
      <c r="AT1433" s="160"/>
      <c r="AU1433" s="160"/>
      <c r="AV1433" s="160"/>
      <c r="AW1433" s="160"/>
      <c r="AX1433" s="160"/>
      <c r="AY1433" s="160"/>
      <c r="AZ1433" s="160"/>
      <c r="BA1433" s="160"/>
      <c r="BB1433" s="160"/>
      <c r="BC1433" s="160"/>
      <c r="BD1433" s="160"/>
      <c r="BE1433" s="160"/>
      <c r="BF1433" s="160"/>
      <c r="BG1433" s="160"/>
      <c r="BH1433" s="160"/>
      <c r="BI1433" s="160"/>
      <c r="BJ1433" s="160"/>
      <c r="BK1433" s="160"/>
      <c r="BL1433" s="160"/>
      <c r="BM1433" s="160"/>
      <c r="BN1433" s="160"/>
      <c r="BO1433" s="160"/>
      <c r="BP1433" s="160"/>
      <c r="BQ1433" s="160"/>
      <c r="BR1433" s="160"/>
      <c r="BS1433" s="160"/>
      <c r="BT1433" s="160"/>
      <c r="BU1433" s="160"/>
      <c r="BV1433" s="160"/>
      <c r="BW1433" s="160"/>
      <c r="BX1433" s="160"/>
      <c r="BY1433" s="160"/>
      <c r="BZ1433" s="160"/>
      <c r="CA1433" s="160"/>
      <c r="CB1433" s="160"/>
      <c r="CC1433" s="160"/>
      <c r="CD1433" s="160"/>
      <c r="CE1433" s="160"/>
      <c r="CF1433" s="160"/>
      <c r="CG1433" s="160"/>
      <c r="CH1433" s="160"/>
      <c r="CI1433" s="160"/>
      <c r="CJ1433" s="160"/>
      <c r="CK1433" s="160"/>
      <c r="CL1433" s="160"/>
    </row>
    <row r="1434">
      <c r="A1434" s="171"/>
      <c r="F1434" s="11"/>
      <c r="G1434" s="11"/>
      <c r="L1434" s="171"/>
      <c r="M1434" s="171"/>
      <c r="O1434" s="160"/>
      <c r="P1434" s="160"/>
      <c r="Q1434" s="160"/>
      <c r="R1434" s="160"/>
      <c r="S1434" s="160"/>
      <c r="T1434" s="207"/>
      <c r="U1434" s="160"/>
      <c r="V1434" s="160"/>
      <c r="W1434" s="160"/>
      <c r="X1434" s="160"/>
      <c r="Y1434" s="160"/>
      <c r="Z1434" s="160"/>
      <c r="AA1434" s="160"/>
      <c r="AB1434" s="160"/>
      <c r="AC1434" s="160"/>
      <c r="AD1434" s="160"/>
      <c r="AE1434" s="160"/>
      <c r="AF1434" s="160"/>
      <c r="AG1434" s="160"/>
      <c r="AH1434" s="160"/>
      <c r="AI1434" s="160"/>
      <c r="AJ1434" s="160"/>
      <c r="AK1434" s="160"/>
      <c r="AL1434" s="160"/>
      <c r="AM1434" s="160"/>
      <c r="AN1434" s="164"/>
      <c r="AO1434" s="160"/>
      <c r="AP1434" s="160"/>
      <c r="AQ1434" s="160"/>
      <c r="AR1434" s="160"/>
      <c r="AS1434" s="160"/>
      <c r="AT1434" s="160"/>
      <c r="AU1434" s="160"/>
      <c r="AV1434" s="160"/>
      <c r="AW1434" s="160"/>
      <c r="AX1434" s="160"/>
      <c r="AY1434" s="160"/>
      <c r="AZ1434" s="160"/>
      <c r="BA1434" s="160"/>
      <c r="BB1434" s="160"/>
      <c r="BC1434" s="160"/>
      <c r="BD1434" s="160"/>
      <c r="BE1434" s="160"/>
      <c r="BF1434" s="160"/>
      <c r="BG1434" s="160"/>
      <c r="BH1434" s="160"/>
      <c r="BI1434" s="160"/>
      <c r="BJ1434" s="160"/>
      <c r="BK1434" s="160"/>
      <c r="BL1434" s="160"/>
      <c r="BM1434" s="160"/>
      <c r="BN1434" s="160"/>
      <c r="BO1434" s="160"/>
      <c r="BP1434" s="160"/>
      <c r="BQ1434" s="160"/>
      <c r="BR1434" s="160"/>
      <c r="BS1434" s="160"/>
      <c r="BT1434" s="160"/>
      <c r="BU1434" s="160"/>
      <c r="BV1434" s="160"/>
      <c r="BW1434" s="160"/>
      <c r="BX1434" s="160"/>
      <c r="BY1434" s="160"/>
      <c r="BZ1434" s="160"/>
      <c r="CA1434" s="160"/>
      <c r="CB1434" s="160"/>
      <c r="CC1434" s="160"/>
      <c r="CD1434" s="160"/>
      <c r="CE1434" s="160"/>
      <c r="CF1434" s="160"/>
      <c r="CG1434" s="160"/>
      <c r="CH1434" s="160"/>
      <c r="CI1434" s="160"/>
      <c r="CJ1434" s="160"/>
      <c r="CK1434" s="160"/>
      <c r="CL1434" s="160"/>
    </row>
    <row r="1435">
      <c r="A1435" s="171"/>
      <c r="F1435" s="11"/>
      <c r="G1435" s="11"/>
      <c r="L1435" s="171"/>
      <c r="M1435" s="171"/>
      <c r="O1435" s="160"/>
      <c r="P1435" s="160"/>
      <c r="Q1435" s="160"/>
      <c r="R1435" s="160"/>
      <c r="S1435" s="160"/>
      <c r="T1435" s="207"/>
      <c r="U1435" s="160"/>
      <c r="V1435" s="160"/>
      <c r="W1435" s="160"/>
      <c r="X1435" s="160"/>
      <c r="Y1435" s="160"/>
      <c r="Z1435" s="160"/>
      <c r="AA1435" s="160"/>
      <c r="AB1435" s="160"/>
      <c r="AC1435" s="160"/>
      <c r="AD1435" s="160"/>
      <c r="AE1435" s="160"/>
      <c r="AF1435" s="160"/>
      <c r="AG1435" s="160"/>
      <c r="AH1435" s="160"/>
      <c r="AI1435" s="160"/>
      <c r="AJ1435" s="160"/>
      <c r="AK1435" s="160"/>
      <c r="AL1435" s="160"/>
      <c r="AM1435" s="160"/>
      <c r="AN1435" s="164"/>
      <c r="AO1435" s="160"/>
      <c r="AP1435" s="160"/>
      <c r="AQ1435" s="160"/>
      <c r="AR1435" s="160"/>
      <c r="AS1435" s="160"/>
      <c r="AT1435" s="160"/>
      <c r="AU1435" s="160"/>
      <c r="AV1435" s="160"/>
      <c r="AW1435" s="160"/>
      <c r="AX1435" s="160"/>
      <c r="AY1435" s="160"/>
      <c r="AZ1435" s="160"/>
      <c r="BA1435" s="160"/>
      <c r="BB1435" s="160"/>
      <c r="BC1435" s="160"/>
      <c r="BD1435" s="160"/>
      <c r="BE1435" s="160"/>
      <c r="BF1435" s="160"/>
      <c r="BG1435" s="160"/>
      <c r="BH1435" s="160"/>
      <c r="BI1435" s="160"/>
      <c r="BJ1435" s="160"/>
      <c r="BK1435" s="160"/>
      <c r="BL1435" s="160"/>
      <c r="BM1435" s="160"/>
      <c r="BN1435" s="160"/>
      <c r="BO1435" s="160"/>
      <c r="BP1435" s="160"/>
      <c r="BQ1435" s="160"/>
      <c r="BR1435" s="160"/>
      <c r="BS1435" s="160"/>
      <c r="BT1435" s="160"/>
      <c r="BU1435" s="160"/>
      <c r="BV1435" s="160"/>
      <c r="BW1435" s="160"/>
      <c r="BX1435" s="160"/>
      <c r="BY1435" s="160"/>
      <c r="BZ1435" s="160"/>
      <c r="CA1435" s="160"/>
      <c r="CB1435" s="160"/>
      <c r="CC1435" s="160"/>
      <c r="CD1435" s="160"/>
      <c r="CE1435" s="160"/>
      <c r="CF1435" s="160"/>
      <c r="CG1435" s="160"/>
      <c r="CH1435" s="160"/>
      <c r="CI1435" s="160"/>
      <c r="CJ1435" s="160"/>
      <c r="CK1435" s="160"/>
      <c r="CL1435" s="160"/>
    </row>
    <row r="1436">
      <c r="A1436" s="171"/>
      <c r="F1436" s="11"/>
      <c r="G1436" s="11"/>
      <c r="L1436" s="171"/>
      <c r="M1436" s="171"/>
      <c r="O1436" s="160"/>
      <c r="P1436" s="160"/>
      <c r="Q1436" s="160"/>
      <c r="R1436" s="160"/>
      <c r="S1436" s="160"/>
      <c r="T1436" s="207"/>
      <c r="U1436" s="160"/>
      <c r="V1436" s="160"/>
      <c r="W1436" s="160"/>
      <c r="X1436" s="160"/>
      <c r="Y1436" s="160"/>
      <c r="Z1436" s="160"/>
      <c r="AA1436" s="160"/>
      <c r="AB1436" s="160"/>
      <c r="AC1436" s="160"/>
      <c r="AD1436" s="160"/>
      <c r="AE1436" s="160"/>
      <c r="AF1436" s="160"/>
      <c r="AG1436" s="160"/>
      <c r="AH1436" s="160"/>
      <c r="AI1436" s="160"/>
      <c r="AJ1436" s="160"/>
      <c r="AK1436" s="160"/>
      <c r="AL1436" s="160"/>
      <c r="AM1436" s="160"/>
      <c r="AN1436" s="164"/>
      <c r="AO1436" s="160"/>
      <c r="AP1436" s="160"/>
      <c r="AQ1436" s="160"/>
      <c r="AR1436" s="160"/>
      <c r="AS1436" s="160"/>
      <c r="AT1436" s="160"/>
      <c r="AU1436" s="160"/>
      <c r="AV1436" s="160"/>
      <c r="AW1436" s="160"/>
      <c r="AX1436" s="160"/>
      <c r="AY1436" s="160"/>
      <c r="AZ1436" s="160"/>
      <c r="BA1436" s="160"/>
      <c r="BB1436" s="160"/>
      <c r="BC1436" s="160"/>
      <c r="BD1436" s="160"/>
      <c r="BE1436" s="160"/>
      <c r="BF1436" s="160"/>
      <c r="BG1436" s="160"/>
      <c r="BH1436" s="160"/>
      <c r="BI1436" s="160"/>
      <c r="BJ1436" s="160"/>
      <c r="BK1436" s="160"/>
      <c r="BL1436" s="160"/>
      <c r="BM1436" s="160"/>
      <c r="BN1436" s="160"/>
      <c r="BO1436" s="160"/>
      <c r="BP1436" s="160"/>
      <c r="BQ1436" s="160"/>
      <c r="BR1436" s="160"/>
      <c r="BS1436" s="160"/>
      <c r="BT1436" s="160"/>
      <c r="BU1436" s="160"/>
      <c r="BV1436" s="160"/>
      <c r="BW1436" s="160"/>
      <c r="BX1436" s="160"/>
      <c r="BY1436" s="160"/>
      <c r="BZ1436" s="160"/>
      <c r="CA1436" s="160"/>
      <c r="CB1436" s="160"/>
      <c r="CC1436" s="160"/>
      <c r="CD1436" s="160"/>
      <c r="CE1436" s="160"/>
      <c r="CF1436" s="160"/>
      <c r="CG1436" s="160"/>
      <c r="CH1436" s="160"/>
      <c r="CI1436" s="160"/>
      <c r="CJ1436" s="160"/>
      <c r="CK1436" s="160"/>
      <c r="CL1436" s="160"/>
    </row>
    <row r="1437">
      <c r="A1437" s="171"/>
      <c r="F1437" s="11"/>
      <c r="G1437" s="11"/>
      <c r="L1437" s="171"/>
      <c r="M1437" s="171"/>
      <c r="O1437" s="160"/>
      <c r="P1437" s="160"/>
      <c r="Q1437" s="160"/>
      <c r="R1437" s="160"/>
      <c r="S1437" s="160"/>
      <c r="T1437" s="207"/>
      <c r="U1437" s="160"/>
      <c r="V1437" s="160"/>
      <c r="W1437" s="160"/>
      <c r="X1437" s="160"/>
      <c r="Y1437" s="160"/>
      <c r="Z1437" s="160"/>
      <c r="AA1437" s="160"/>
      <c r="AB1437" s="160"/>
      <c r="AC1437" s="160"/>
      <c r="AD1437" s="160"/>
      <c r="AE1437" s="160"/>
      <c r="AF1437" s="160"/>
      <c r="AG1437" s="160"/>
      <c r="AH1437" s="160"/>
      <c r="AI1437" s="160"/>
      <c r="AJ1437" s="160"/>
      <c r="AK1437" s="160"/>
      <c r="AL1437" s="160"/>
      <c r="AM1437" s="160"/>
      <c r="AN1437" s="164"/>
      <c r="AO1437" s="160"/>
      <c r="AP1437" s="160"/>
      <c r="AQ1437" s="160"/>
      <c r="AR1437" s="160"/>
      <c r="AS1437" s="160"/>
      <c r="AT1437" s="160"/>
      <c r="AU1437" s="160"/>
      <c r="AV1437" s="160"/>
      <c r="AW1437" s="160"/>
      <c r="AX1437" s="160"/>
      <c r="AY1437" s="160"/>
      <c r="AZ1437" s="160"/>
      <c r="BA1437" s="160"/>
      <c r="BB1437" s="160"/>
      <c r="BC1437" s="160"/>
      <c r="BD1437" s="160"/>
      <c r="BE1437" s="160"/>
      <c r="BF1437" s="160"/>
      <c r="BG1437" s="160"/>
      <c r="BH1437" s="160"/>
      <c r="BI1437" s="160"/>
      <c r="BJ1437" s="160"/>
      <c r="BK1437" s="160"/>
      <c r="BL1437" s="160"/>
      <c r="BM1437" s="160"/>
      <c r="BN1437" s="160"/>
      <c r="BO1437" s="160"/>
      <c r="BP1437" s="160"/>
      <c r="BQ1437" s="160"/>
      <c r="BR1437" s="160"/>
      <c r="BS1437" s="160"/>
      <c r="BT1437" s="160"/>
      <c r="BU1437" s="160"/>
      <c r="BV1437" s="160"/>
      <c r="BW1437" s="160"/>
      <c r="BX1437" s="160"/>
      <c r="BY1437" s="160"/>
      <c r="BZ1437" s="160"/>
      <c r="CA1437" s="160"/>
      <c r="CB1437" s="160"/>
      <c r="CC1437" s="160"/>
      <c r="CD1437" s="160"/>
      <c r="CE1437" s="160"/>
      <c r="CF1437" s="160"/>
      <c r="CG1437" s="160"/>
      <c r="CH1437" s="160"/>
      <c r="CI1437" s="160"/>
      <c r="CJ1437" s="160"/>
      <c r="CK1437" s="160"/>
      <c r="CL1437" s="160"/>
    </row>
    <row r="1438">
      <c r="A1438" s="171"/>
      <c r="F1438" s="11"/>
      <c r="G1438" s="11"/>
      <c r="L1438" s="171"/>
      <c r="M1438" s="171"/>
      <c r="O1438" s="160"/>
      <c r="P1438" s="160"/>
      <c r="Q1438" s="160"/>
      <c r="R1438" s="160"/>
      <c r="S1438" s="160"/>
      <c r="T1438" s="207"/>
      <c r="U1438" s="160"/>
      <c r="V1438" s="160"/>
      <c r="W1438" s="160"/>
      <c r="X1438" s="160"/>
      <c r="Y1438" s="160"/>
      <c r="Z1438" s="160"/>
      <c r="AA1438" s="160"/>
      <c r="AB1438" s="160"/>
      <c r="AC1438" s="160"/>
      <c r="AD1438" s="160"/>
      <c r="AE1438" s="160"/>
      <c r="AF1438" s="160"/>
      <c r="AG1438" s="160"/>
      <c r="AH1438" s="160"/>
      <c r="AI1438" s="160"/>
      <c r="AJ1438" s="160"/>
      <c r="AK1438" s="160"/>
      <c r="AL1438" s="160"/>
      <c r="AM1438" s="160"/>
      <c r="AN1438" s="164"/>
      <c r="AO1438" s="160"/>
      <c r="AP1438" s="160"/>
      <c r="AQ1438" s="160"/>
      <c r="AR1438" s="160"/>
      <c r="AS1438" s="160"/>
      <c r="AT1438" s="160"/>
      <c r="AU1438" s="160"/>
      <c r="AV1438" s="160"/>
      <c r="AW1438" s="160"/>
      <c r="AX1438" s="160"/>
      <c r="AY1438" s="160"/>
      <c r="AZ1438" s="160"/>
      <c r="BA1438" s="160"/>
      <c r="BB1438" s="160"/>
      <c r="BC1438" s="160"/>
      <c r="BD1438" s="160"/>
      <c r="BE1438" s="160"/>
      <c r="BF1438" s="160"/>
      <c r="BG1438" s="160"/>
      <c r="BH1438" s="160"/>
      <c r="BI1438" s="160"/>
      <c r="BJ1438" s="160"/>
      <c r="BK1438" s="160"/>
      <c r="BL1438" s="160"/>
      <c r="BM1438" s="160"/>
      <c r="BN1438" s="160"/>
      <c r="BO1438" s="160"/>
      <c r="BP1438" s="160"/>
      <c r="BQ1438" s="160"/>
      <c r="BR1438" s="160"/>
      <c r="BS1438" s="160"/>
      <c r="BT1438" s="160"/>
      <c r="BU1438" s="160"/>
      <c r="BV1438" s="160"/>
      <c r="BW1438" s="160"/>
      <c r="BX1438" s="160"/>
      <c r="BY1438" s="160"/>
      <c r="BZ1438" s="160"/>
      <c r="CA1438" s="160"/>
      <c r="CB1438" s="160"/>
      <c r="CC1438" s="160"/>
      <c r="CD1438" s="160"/>
      <c r="CE1438" s="160"/>
      <c r="CF1438" s="160"/>
      <c r="CG1438" s="160"/>
      <c r="CH1438" s="160"/>
      <c r="CI1438" s="160"/>
      <c r="CJ1438" s="160"/>
      <c r="CK1438" s="160"/>
      <c r="CL1438" s="160"/>
    </row>
    <row r="1439">
      <c r="A1439" s="171"/>
      <c r="F1439" s="11"/>
      <c r="G1439" s="11"/>
      <c r="L1439" s="171"/>
      <c r="M1439" s="171"/>
      <c r="O1439" s="160"/>
      <c r="P1439" s="160"/>
      <c r="Q1439" s="160"/>
      <c r="R1439" s="160"/>
      <c r="S1439" s="160"/>
      <c r="T1439" s="207"/>
      <c r="U1439" s="160"/>
      <c r="V1439" s="160"/>
      <c r="W1439" s="160"/>
      <c r="X1439" s="160"/>
      <c r="Y1439" s="160"/>
      <c r="Z1439" s="160"/>
      <c r="AA1439" s="160"/>
      <c r="AB1439" s="160"/>
      <c r="AC1439" s="160"/>
      <c r="AD1439" s="160"/>
      <c r="AE1439" s="160"/>
      <c r="AF1439" s="160"/>
      <c r="AG1439" s="160"/>
      <c r="AH1439" s="160"/>
      <c r="AI1439" s="160"/>
      <c r="AJ1439" s="160"/>
      <c r="AK1439" s="160"/>
      <c r="AL1439" s="160"/>
      <c r="AM1439" s="160"/>
      <c r="AN1439" s="164"/>
      <c r="AO1439" s="160"/>
      <c r="AP1439" s="160"/>
      <c r="AQ1439" s="160"/>
      <c r="AR1439" s="160"/>
      <c r="AS1439" s="160"/>
      <c r="AT1439" s="160"/>
      <c r="AU1439" s="160"/>
      <c r="AV1439" s="160"/>
      <c r="AW1439" s="160"/>
      <c r="AX1439" s="160"/>
      <c r="AY1439" s="160"/>
      <c r="AZ1439" s="160"/>
      <c r="BA1439" s="160"/>
      <c r="BB1439" s="160"/>
      <c r="BC1439" s="160"/>
      <c r="BD1439" s="160"/>
      <c r="BE1439" s="160"/>
      <c r="BF1439" s="160"/>
      <c r="BG1439" s="160"/>
      <c r="BH1439" s="160"/>
      <c r="BI1439" s="160"/>
      <c r="BJ1439" s="160"/>
      <c r="BK1439" s="160"/>
      <c r="BL1439" s="160"/>
      <c r="BM1439" s="160"/>
      <c r="BN1439" s="160"/>
      <c r="BO1439" s="160"/>
      <c r="BP1439" s="160"/>
      <c r="BQ1439" s="160"/>
      <c r="BR1439" s="160"/>
      <c r="BS1439" s="160"/>
      <c r="BT1439" s="160"/>
      <c r="BU1439" s="160"/>
      <c r="BV1439" s="160"/>
      <c r="BW1439" s="160"/>
      <c r="BX1439" s="160"/>
      <c r="BY1439" s="160"/>
      <c r="BZ1439" s="160"/>
      <c r="CA1439" s="160"/>
      <c r="CB1439" s="160"/>
      <c r="CC1439" s="160"/>
      <c r="CD1439" s="160"/>
      <c r="CE1439" s="160"/>
      <c r="CF1439" s="160"/>
      <c r="CG1439" s="160"/>
      <c r="CH1439" s="160"/>
      <c r="CI1439" s="160"/>
      <c r="CJ1439" s="160"/>
      <c r="CK1439" s="160"/>
      <c r="CL1439" s="160"/>
    </row>
    <row r="1440">
      <c r="A1440" s="171"/>
      <c r="F1440" s="11"/>
      <c r="G1440" s="11"/>
      <c r="L1440" s="171"/>
      <c r="M1440" s="171"/>
      <c r="O1440" s="160"/>
      <c r="P1440" s="160"/>
      <c r="Q1440" s="160"/>
      <c r="R1440" s="160"/>
      <c r="S1440" s="160"/>
      <c r="T1440" s="207"/>
      <c r="U1440" s="160"/>
      <c r="V1440" s="160"/>
      <c r="W1440" s="160"/>
      <c r="X1440" s="160"/>
      <c r="Y1440" s="160"/>
      <c r="Z1440" s="160"/>
      <c r="AA1440" s="160"/>
      <c r="AB1440" s="160"/>
      <c r="AC1440" s="160"/>
      <c r="AD1440" s="160"/>
      <c r="AE1440" s="160"/>
      <c r="AF1440" s="160"/>
      <c r="AG1440" s="160"/>
      <c r="AH1440" s="160"/>
      <c r="AI1440" s="160"/>
      <c r="AJ1440" s="160"/>
      <c r="AK1440" s="160"/>
      <c r="AL1440" s="160"/>
      <c r="AM1440" s="160"/>
      <c r="AN1440" s="164"/>
      <c r="AO1440" s="160"/>
      <c r="AP1440" s="160"/>
      <c r="AQ1440" s="160"/>
      <c r="AR1440" s="160"/>
      <c r="AS1440" s="160"/>
      <c r="AT1440" s="160"/>
      <c r="AU1440" s="160"/>
      <c r="AV1440" s="160"/>
      <c r="AW1440" s="160"/>
      <c r="AX1440" s="160"/>
      <c r="AY1440" s="160"/>
      <c r="AZ1440" s="160"/>
      <c r="BA1440" s="160"/>
      <c r="BB1440" s="160"/>
      <c r="BC1440" s="160"/>
      <c r="BD1440" s="160"/>
      <c r="BE1440" s="160"/>
      <c r="BF1440" s="160"/>
      <c r="BG1440" s="160"/>
      <c r="BH1440" s="160"/>
      <c r="BI1440" s="160"/>
      <c r="BJ1440" s="160"/>
      <c r="BK1440" s="160"/>
      <c r="BL1440" s="160"/>
      <c r="BM1440" s="160"/>
      <c r="BN1440" s="160"/>
      <c r="BO1440" s="160"/>
      <c r="BP1440" s="160"/>
      <c r="BQ1440" s="160"/>
      <c r="BR1440" s="160"/>
      <c r="BS1440" s="160"/>
      <c r="BT1440" s="160"/>
      <c r="BU1440" s="160"/>
      <c r="BV1440" s="160"/>
      <c r="BW1440" s="160"/>
      <c r="BX1440" s="160"/>
      <c r="BY1440" s="160"/>
      <c r="BZ1440" s="160"/>
      <c r="CA1440" s="160"/>
      <c r="CB1440" s="160"/>
      <c r="CC1440" s="160"/>
      <c r="CD1440" s="160"/>
      <c r="CE1440" s="160"/>
      <c r="CF1440" s="160"/>
      <c r="CG1440" s="160"/>
      <c r="CH1440" s="160"/>
      <c r="CI1440" s="160"/>
      <c r="CJ1440" s="160"/>
      <c r="CK1440" s="160"/>
      <c r="CL1440" s="160"/>
    </row>
    <row r="1441">
      <c r="A1441" s="171"/>
      <c r="F1441" s="11"/>
      <c r="G1441" s="11"/>
      <c r="L1441" s="171"/>
      <c r="M1441" s="171"/>
      <c r="O1441" s="160"/>
      <c r="P1441" s="160"/>
      <c r="Q1441" s="160"/>
      <c r="R1441" s="160"/>
      <c r="S1441" s="160"/>
      <c r="T1441" s="207"/>
      <c r="U1441" s="160"/>
      <c r="V1441" s="160"/>
      <c r="W1441" s="160"/>
      <c r="X1441" s="160"/>
      <c r="Y1441" s="160"/>
      <c r="Z1441" s="160"/>
      <c r="AA1441" s="160"/>
      <c r="AB1441" s="160"/>
      <c r="AC1441" s="160"/>
      <c r="AD1441" s="160"/>
      <c r="AE1441" s="160"/>
      <c r="AF1441" s="160"/>
      <c r="AG1441" s="160"/>
      <c r="AH1441" s="160"/>
      <c r="AI1441" s="160"/>
      <c r="AJ1441" s="160"/>
      <c r="AK1441" s="160"/>
      <c r="AL1441" s="160"/>
      <c r="AM1441" s="160"/>
      <c r="AN1441" s="164"/>
      <c r="AO1441" s="160"/>
      <c r="AP1441" s="160"/>
      <c r="AQ1441" s="160"/>
      <c r="AR1441" s="160"/>
      <c r="AS1441" s="160"/>
      <c r="AT1441" s="160"/>
      <c r="AU1441" s="160"/>
      <c r="AV1441" s="160"/>
      <c r="AW1441" s="160"/>
      <c r="AX1441" s="160"/>
      <c r="AY1441" s="160"/>
      <c r="AZ1441" s="160"/>
      <c r="BA1441" s="160"/>
      <c r="BB1441" s="160"/>
      <c r="BC1441" s="160"/>
      <c r="BD1441" s="160"/>
      <c r="BE1441" s="160"/>
      <c r="BF1441" s="160"/>
      <c r="BG1441" s="160"/>
      <c r="BH1441" s="160"/>
      <c r="BI1441" s="160"/>
      <c r="BJ1441" s="160"/>
      <c r="BK1441" s="160"/>
      <c r="BL1441" s="160"/>
      <c r="BM1441" s="160"/>
      <c r="BN1441" s="160"/>
      <c r="BO1441" s="160"/>
      <c r="BP1441" s="160"/>
      <c r="BQ1441" s="160"/>
      <c r="BR1441" s="160"/>
      <c r="BS1441" s="160"/>
      <c r="BT1441" s="160"/>
      <c r="BU1441" s="160"/>
      <c r="BV1441" s="160"/>
      <c r="BW1441" s="160"/>
      <c r="BX1441" s="160"/>
      <c r="BY1441" s="160"/>
      <c r="BZ1441" s="160"/>
      <c r="CA1441" s="160"/>
      <c r="CB1441" s="160"/>
      <c r="CC1441" s="160"/>
      <c r="CD1441" s="160"/>
      <c r="CE1441" s="160"/>
      <c r="CF1441" s="160"/>
      <c r="CG1441" s="160"/>
      <c r="CH1441" s="160"/>
      <c r="CI1441" s="160"/>
      <c r="CJ1441" s="160"/>
      <c r="CK1441" s="160"/>
      <c r="CL1441" s="160"/>
    </row>
    <row r="1442">
      <c r="A1442" s="171"/>
      <c r="F1442" s="11"/>
      <c r="G1442" s="11"/>
      <c r="L1442" s="171"/>
      <c r="M1442" s="171"/>
      <c r="O1442" s="160"/>
      <c r="P1442" s="160"/>
      <c r="Q1442" s="160"/>
      <c r="R1442" s="160"/>
      <c r="S1442" s="160"/>
      <c r="T1442" s="207"/>
      <c r="U1442" s="160"/>
      <c r="V1442" s="160"/>
      <c r="W1442" s="160"/>
      <c r="X1442" s="160"/>
      <c r="Y1442" s="160"/>
      <c r="Z1442" s="160"/>
      <c r="AA1442" s="160"/>
      <c r="AB1442" s="160"/>
      <c r="AC1442" s="160"/>
      <c r="AD1442" s="160"/>
      <c r="AE1442" s="160"/>
      <c r="AF1442" s="160"/>
      <c r="AG1442" s="160"/>
      <c r="AH1442" s="160"/>
      <c r="AI1442" s="160"/>
      <c r="AJ1442" s="160"/>
      <c r="AK1442" s="160"/>
      <c r="AL1442" s="160"/>
      <c r="AM1442" s="160"/>
      <c r="AN1442" s="164"/>
      <c r="AO1442" s="160"/>
      <c r="AP1442" s="160"/>
      <c r="AQ1442" s="160"/>
      <c r="AR1442" s="160"/>
      <c r="AS1442" s="160"/>
      <c r="AT1442" s="160"/>
      <c r="AU1442" s="160"/>
      <c r="AV1442" s="160"/>
      <c r="AW1442" s="160"/>
      <c r="AX1442" s="160"/>
      <c r="AY1442" s="160"/>
      <c r="AZ1442" s="160"/>
      <c r="BA1442" s="160"/>
      <c r="BB1442" s="160"/>
      <c r="BC1442" s="160"/>
      <c r="BD1442" s="160"/>
      <c r="BE1442" s="160"/>
      <c r="BF1442" s="160"/>
      <c r="BG1442" s="160"/>
      <c r="BH1442" s="160"/>
      <c r="BI1442" s="160"/>
      <c r="BJ1442" s="160"/>
      <c r="BK1442" s="160"/>
      <c r="BL1442" s="160"/>
      <c r="BM1442" s="160"/>
      <c r="BN1442" s="160"/>
      <c r="BO1442" s="160"/>
      <c r="BP1442" s="160"/>
      <c r="BQ1442" s="160"/>
      <c r="BR1442" s="160"/>
      <c r="BS1442" s="160"/>
      <c r="BT1442" s="160"/>
      <c r="BU1442" s="160"/>
      <c r="BV1442" s="160"/>
      <c r="BW1442" s="160"/>
      <c r="BX1442" s="160"/>
      <c r="BY1442" s="160"/>
      <c r="BZ1442" s="160"/>
      <c r="CA1442" s="160"/>
      <c r="CB1442" s="160"/>
      <c r="CC1442" s="160"/>
      <c r="CD1442" s="160"/>
      <c r="CE1442" s="160"/>
      <c r="CF1442" s="160"/>
      <c r="CG1442" s="160"/>
      <c r="CH1442" s="160"/>
      <c r="CI1442" s="160"/>
      <c r="CJ1442" s="160"/>
      <c r="CK1442" s="160"/>
      <c r="CL1442" s="160"/>
    </row>
    <row r="1443">
      <c r="A1443" s="171"/>
      <c r="F1443" s="11"/>
      <c r="G1443" s="11"/>
      <c r="L1443" s="171"/>
      <c r="M1443" s="171"/>
      <c r="O1443" s="160"/>
      <c r="P1443" s="160"/>
      <c r="Q1443" s="160"/>
      <c r="R1443" s="160"/>
      <c r="S1443" s="160"/>
      <c r="T1443" s="207"/>
      <c r="U1443" s="160"/>
      <c r="V1443" s="160"/>
      <c r="W1443" s="160"/>
      <c r="X1443" s="160"/>
      <c r="Y1443" s="160"/>
      <c r="Z1443" s="160"/>
      <c r="AA1443" s="160"/>
      <c r="AB1443" s="160"/>
      <c r="AC1443" s="160"/>
      <c r="AD1443" s="160"/>
      <c r="AE1443" s="160"/>
      <c r="AF1443" s="160"/>
      <c r="AG1443" s="160"/>
      <c r="AH1443" s="160"/>
      <c r="AI1443" s="160"/>
      <c r="AJ1443" s="160"/>
      <c r="AK1443" s="160"/>
      <c r="AL1443" s="160"/>
      <c r="AM1443" s="160"/>
      <c r="AN1443" s="164"/>
      <c r="AO1443" s="160"/>
      <c r="AP1443" s="160"/>
      <c r="AQ1443" s="160"/>
      <c r="AR1443" s="160"/>
      <c r="AS1443" s="160"/>
      <c r="AT1443" s="160"/>
      <c r="AU1443" s="160"/>
      <c r="AV1443" s="160"/>
      <c r="AW1443" s="160"/>
      <c r="AX1443" s="160"/>
      <c r="AY1443" s="160"/>
      <c r="AZ1443" s="160"/>
      <c r="BA1443" s="160"/>
      <c r="BB1443" s="160"/>
      <c r="BC1443" s="160"/>
      <c r="BD1443" s="160"/>
      <c r="BE1443" s="160"/>
      <c r="BF1443" s="160"/>
      <c r="BG1443" s="160"/>
      <c r="BH1443" s="160"/>
      <c r="BI1443" s="160"/>
      <c r="BJ1443" s="160"/>
      <c r="BK1443" s="160"/>
      <c r="BL1443" s="160"/>
      <c r="BM1443" s="160"/>
      <c r="BN1443" s="160"/>
      <c r="BO1443" s="160"/>
      <c r="BP1443" s="160"/>
      <c r="BQ1443" s="160"/>
      <c r="BR1443" s="160"/>
      <c r="BS1443" s="160"/>
      <c r="BT1443" s="160"/>
      <c r="BU1443" s="160"/>
      <c r="BV1443" s="160"/>
      <c r="BW1443" s="160"/>
      <c r="BX1443" s="160"/>
      <c r="BY1443" s="160"/>
      <c r="BZ1443" s="160"/>
      <c r="CA1443" s="160"/>
      <c r="CB1443" s="160"/>
      <c r="CC1443" s="160"/>
      <c r="CD1443" s="160"/>
      <c r="CE1443" s="160"/>
      <c r="CF1443" s="160"/>
      <c r="CG1443" s="160"/>
      <c r="CH1443" s="160"/>
      <c r="CI1443" s="160"/>
      <c r="CJ1443" s="160"/>
      <c r="CK1443" s="160"/>
      <c r="CL1443" s="160"/>
    </row>
    <row r="1444">
      <c r="A1444" s="171"/>
      <c r="F1444" s="11"/>
      <c r="G1444" s="11"/>
      <c r="L1444" s="171"/>
      <c r="M1444" s="171"/>
      <c r="O1444" s="160"/>
      <c r="P1444" s="160"/>
      <c r="Q1444" s="160"/>
      <c r="R1444" s="160"/>
      <c r="S1444" s="160"/>
      <c r="T1444" s="207"/>
      <c r="U1444" s="160"/>
      <c r="V1444" s="160"/>
      <c r="W1444" s="160"/>
      <c r="X1444" s="160"/>
      <c r="Y1444" s="160"/>
      <c r="Z1444" s="160"/>
      <c r="AA1444" s="160"/>
      <c r="AB1444" s="160"/>
      <c r="AC1444" s="160"/>
      <c r="AD1444" s="160"/>
      <c r="AE1444" s="160"/>
      <c r="AF1444" s="160"/>
      <c r="AG1444" s="160"/>
      <c r="AH1444" s="160"/>
      <c r="AI1444" s="160"/>
      <c r="AJ1444" s="160"/>
      <c r="AK1444" s="160"/>
      <c r="AL1444" s="160"/>
      <c r="AM1444" s="160"/>
      <c r="AN1444" s="164"/>
      <c r="AO1444" s="160"/>
      <c r="AP1444" s="160"/>
      <c r="AQ1444" s="160"/>
      <c r="AR1444" s="160"/>
      <c r="AS1444" s="160"/>
      <c r="AT1444" s="160"/>
      <c r="AU1444" s="160"/>
      <c r="AV1444" s="160"/>
      <c r="AW1444" s="160"/>
      <c r="AX1444" s="160"/>
      <c r="AY1444" s="160"/>
      <c r="AZ1444" s="160"/>
      <c r="BA1444" s="160"/>
      <c r="BB1444" s="160"/>
      <c r="BC1444" s="160"/>
      <c r="BD1444" s="160"/>
      <c r="BE1444" s="160"/>
      <c r="BF1444" s="160"/>
      <c r="BG1444" s="160"/>
      <c r="BH1444" s="160"/>
      <c r="BI1444" s="160"/>
      <c r="BJ1444" s="160"/>
      <c r="BK1444" s="160"/>
      <c r="BL1444" s="160"/>
      <c r="BM1444" s="160"/>
      <c r="BN1444" s="160"/>
      <c r="BO1444" s="160"/>
      <c r="BP1444" s="160"/>
      <c r="BQ1444" s="160"/>
      <c r="BR1444" s="160"/>
      <c r="BS1444" s="160"/>
      <c r="BT1444" s="160"/>
      <c r="BU1444" s="160"/>
      <c r="BV1444" s="160"/>
      <c r="BW1444" s="160"/>
      <c r="BX1444" s="160"/>
      <c r="BY1444" s="160"/>
      <c r="BZ1444" s="160"/>
      <c r="CA1444" s="160"/>
      <c r="CB1444" s="160"/>
      <c r="CC1444" s="160"/>
      <c r="CD1444" s="160"/>
      <c r="CE1444" s="160"/>
      <c r="CF1444" s="160"/>
      <c r="CG1444" s="160"/>
      <c r="CH1444" s="160"/>
      <c r="CI1444" s="160"/>
      <c r="CJ1444" s="160"/>
      <c r="CK1444" s="160"/>
      <c r="CL1444" s="160"/>
    </row>
    <row r="1445">
      <c r="A1445" s="171"/>
      <c r="F1445" s="11"/>
      <c r="G1445" s="11"/>
      <c r="L1445" s="171"/>
      <c r="M1445" s="171"/>
      <c r="O1445" s="160"/>
      <c r="P1445" s="160"/>
      <c r="Q1445" s="160"/>
      <c r="R1445" s="160"/>
      <c r="S1445" s="160"/>
      <c r="T1445" s="207"/>
      <c r="U1445" s="160"/>
      <c r="V1445" s="160"/>
      <c r="W1445" s="160"/>
      <c r="X1445" s="160"/>
      <c r="Y1445" s="160"/>
      <c r="Z1445" s="160"/>
      <c r="AA1445" s="160"/>
      <c r="AB1445" s="160"/>
      <c r="AC1445" s="160"/>
      <c r="AD1445" s="160"/>
      <c r="AE1445" s="160"/>
      <c r="AF1445" s="160"/>
      <c r="AG1445" s="160"/>
      <c r="AH1445" s="160"/>
      <c r="AI1445" s="160"/>
      <c r="AJ1445" s="160"/>
      <c r="AK1445" s="160"/>
      <c r="AL1445" s="160"/>
      <c r="AM1445" s="160"/>
      <c r="AN1445" s="164"/>
      <c r="AO1445" s="160"/>
      <c r="AP1445" s="160"/>
      <c r="AQ1445" s="160"/>
      <c r="AR1445" s="160"/>
      <c r="AS1445" s="160"/>
      <c r="AT1445" s="160"/>
      <c r="AU1445" s="160"/>
      <c r="AV1445" s="160"/>
      <c r="AW1445" s="160"/>
      <c r="AX1445" s="160"/>
      <c r="AY1445" s="160"/>
      <c r="AZ1445" s="160"/>
      <c r="BA1445" s="160"/>
      <c r="BB1445" s="160"/>
      <c r="BC1445" s="160"/>
      <c r="BD1445" s="160"/>
      <c r="BE1445" s="160"/>
      <c r="BF1445" s="160"/>
      <c r="BG1445" s="160"/>
      <c r="BH1445" s="160"/>
      <c r="BI1445" s="160"/>
      <c r="BJ1445" s="160"/>
      <c r="BK1445" s="160"/>
      <c r="BL1445" s="160"/>
      <c r="BM1445" s="160"/>
      <c r="BN1445" s="160"/>
      <c r="BO1445" s="160"/>
      <c r="BP1445" s="160"/>
      <c r="BQ1445" s="160"/>
      <c r="BR1445" s="160"/>
      <c r="BS1445" s="160"/>
      <c r="BT1445" s="160"/>
      <c r="BU1445" s="160"/>
      <c r="BV1445" s="160"/>
      <c r="BW1445" s="160"/>
      <c r="BX1445" s="160"/>
      <c r="BY1445" s="160"/>
      <c r="BZ1445" s="160"/>
      <c r="CA1445" s="160"/>
      <c r="CB1445" s="160"/>
      <c r="CC1445" s="160"/>
      <c r="CD1445" s="160"/>
      <c r="CE1445" s="160"/>
      <c r="CF1445" s="160"/>
      <c r="CG1445" s="160"/>
      <c r="CH1445" s="160"/>
      <c r="CI1445" s="160"/>
      <c r="CJ1445" s="160"/>
      <c r="CK1445" s="160"/>
      <c r="CL1445" s="160"/>
    </row>
    <row r="1446">
      <c r="A1446" s="171"/>
      <c r="F1446" s="11"/>
      <c r="G1446" s="11"/>
      <c r="L1446" s="171"/>
      <c r="M1446" s="171"/>
      <c r="O1446" s="160"/>
      <c r="P1446" s="160"/>
      <c r="Q1446" s="160"/>
      <c r="R1446" s="160"/>
      <c r="S1446" s="160"/>
      <c r="T1446" s="207"/>
      <c r="U1446" s="160"/>
      <c r="V1446" s="160"/>
      <c r="W1446" s="160"/>
      <c r="X1446" s="160"/>
      <c r="Y1446" s="160"/>
      <c r="Z1446" s="160"/>
      <c r="AA1446" s="160"/>
      <c r="AB1446" s="160"/>
      <c r="AC1446" s="160"/>
      <c r="AD1446" s="160"/>
      <c r="AE1446" s="160"/>
      <c r="AF1446" s="160"/>
      <c r="AG1446" s="160"/>
      <c r="AH1446" s="160"/>
      <c r="AI1446" s="160"/>
      <c r="AJ1446" s="160"/>
      <c r="AK1446" s="160"/>
      <c r="AL1446" s="160"/>
      <c r="AM1446" s="160"/>
      <c r="AN1446" s="164"/>
      <c r="AO1446" s="160"/>
      <c r="AP1446" s="160"/>
      <c r="AQ1446" s="160"/>
      <c r="AR1446" s="160"/>
      <c r="AS1446" s="160"/>
      <c r="AT1446" s="160"/>
      <c r="AU1446" s="160"/>
      <c r="AV1446" s="160"/>
      <c r="AW1446" s="160"/>
      <c r="AX1446" s="160"/>
      <c r="AY1446" s="160"/>
      <c r="AZ1446" s="160"/>
      <c r="BA1446" s="160"/>
      <c r="BB1446" s="160"/>
      <c r="BC1446" s="160"/>
      <c r="BD1446" s="160"/>
      <c r="BE1446" s="160"/>
      <c r="BF1446" s="160"/>
      <c r="BG1446" s="160"/>
      <c r="BH1446" s="160"/>
      <c r="BI1446" s="160"/>
      <c r="BJ1446" s="160"/>
      <c r="BK1446" s="160"/>
      <c r="BL1446" s="160"/>
      <c r="BM1446" s="160"/>
      <c r="BN1446" s="160"/>
      <c r="BO1446" s="160"/>
      <c r="BP1446" s="160"/>
      <c r="BQ1446" s="160"/>
      <c r="BR1446" s="160"/>
      <c r="BS1446" s="160"/>
      <c r="BT1446" s="160"/>
      <c r="BU1446" s="160"/>
      <c r="BV1446" s="160"/>
      <c r="BW1446" s="160"/>
      <c r="BX1446" s="160"/>
      <c r="BY1446" s="160"/>
      <c r="BZ1446" s="160"/>
      <c r="CA1446" s="160"/>
      <c r="CB1446" s="160"/>
      <c r="CC1446" s="160"/>
      <c r="CD1446" s="160"/>
      <c r="CE1446" s="160"/>
      <c r="CF1446" s="160"/>
      <c r="CG1446" s="160"/>
      <c r="CH1446" s="160"/>
      <c r="CI1446" s="160"/>
      <c r="CJ1446" s="160"/>
      <c r="CK1446" s="160"/>
      <c r="CL1446" s="160"/>
    </row>
    <row r="1447">
      <c r="A1447" s="171"/>
      <c r="F1447" s="11"/>
      <c r="G1447" s="11"/>
      <c r="L1447" s="171"/>
      <c r="M1447" s="171"/>
      <c r="O1447" s="160"/>
      <c r="P1447" s="160"/>
      <c r="Q1447" s="160"/>
      <c r="R1447" s="160"/>
      <c r="S1447" s="160"/>
      <c r="T1447" s="207"/>
      <c r="U1447" s="160"/>
      <c r="V1447" s="160"/>
      <c r="W1447" s="160"/>
      <c r="X1447" s="160"/>
      <c r="Y1447" s="160"/>
      <c r="Z1447" s="160"/>
      <c r="AA1447" s="160"/>
      <c r="AB1447" s="160"/>
      <c r="AC1447" s="160"/>
      <c r="AD1447" s="160"/>
      <c r="AE1447" s="160"/>
      <c r="AF1447" s="160"/>
      <c r="AG1447" s="160"/>
      <c r="AH1447" s="160"/>
      <c r="AI1447" s="160"/>
      <c r="AJ1447" s="160"/>
      <c r="AK1447" s="160"/>
      <c r="AL1447" s="160"/>
      <c r="AM1447" s="160"/>
      <c r="AN1447" s="164"/>
      <c r="AO1447" s="160"/>
      <c r="AP1447" s="160"/>
      <c r="AQ1447" s="160"/>
      <c r="AR1447" s="160"/>
      <c r="AS1447" s="160"/>
      <c r="AT1447" s="160"/>
      <c r="AU1447" s="160"/>
      <c r="AV1447" s="160"/>
      <c r="AW1447" s="160"/>
      <c r="AX1447" s="160"/>
      <c r="AY1447" s="160"/>
      <c r="AZ1447" s="160"/>
      <c r="BA1447" s="160"/>
      <c r="BB1447" s="160"/>
      <c r="BC1447" s="160"/>
      <c r="BD1447" s="160"/>
      <c r="BE1447" s="160"/>
      <c r="BF1447" s="160"/>
      <c r="BG1447" s="160"/>
      <c r="BH1447" s="160"/>
      <c r="BI1447" s="160"/>
      <c r="BJ1447" s="160"/>
      <c r="BK1447" s="160"/>
      <c r="BL1447" s="160"/>
      <c r="BM1447" s="160"/>
      <c r="BN1447" s="160"/>
      <c r="BO1447" s="160"/>
      <c r="BP1447" s="160"/>
      <c r="BQ1447" s="160"/>
      <c r="BR1447" s="160"/>
      <c r="BS1447" s="160"/>
      <c r="BT1447" s="160"/>
      <c r="BU1447" s="160"/>
      <c r="BV1447" s="160"/>
      <c r="BW1447" s="160"/>
      <c r="BX1447" s="160"/>
      <c r="BY1447" s="160"/>
      <c r="BZ1447" s="160"/>
      <c r="CA1447" s="160"/>
      <c r="CB1447" s="160"/>
      <c r="CC1447" s="160"/>
      <c r="CD1447" s="160"/>
      <c r="CE1447" s="160"/>
      <c r="CF1447" s="160"/>
      <c r="CG1447" s="160"/>
      <c r="CH1447" s="160"/>
      <c r="CI1447" s="160"/>
      <c r="CJ1447" s="160"/>
      <c r="CK1447" s="160"/>
      <c r="CL1447" s="160"/>
    </row>
    <row r="1448">
      <c r="A1448" s="171"/>
      <c r="F1448" s="11"/>
      <c r="G1448" s="11"/>
      <c r="L1448" s="171"/>
      <c r="M1448" s="171"/>
      <c r="O1448" s="160"/>
      <c r="P1448" s="160"/>
      <c r="Q1448" s="160"/>
      <c r="R1448" s="160"/>
      <c r="S1448" s="160"/>
      <c r="T1448" s="207"/>
      <c r="U1448" s="160"/>
      <c r="V1448" s="160"/>
      <c r="W1448" s="160"/>
      <c r="X1448" s="160"/>
      <c r="Y1448" s="160"/>
      <c r="Z1448" s="160"/>
      <c r="AA1448" s="160"/>
      <c r="AB1448" s="160"/>
      <c r="AC1448" s="160"/>
      <c r="AD1448" s="160"/>
      <c r="AE1448" s="160"/>
      <c r="AF1448" s="160"/>
      <c r="AG1448" s="160"/>
      <c r="AH1448" s="160"/>
      <c r="AI1448" s="160"/>
      <c r="AJ1448" s="160"/>
      <c r="AK1448" s="160"/>
      <c r="AL1448" s="160"/>
      <c r="AM1448" s="160"/>
      <c r="AN1448" s="164"/>
      <c r="AO1448" s="160"/>
      <c r="AP1448" s="160"/>
      <c r="AQ1448" s="160"/>
      <c r="AR1448" s="160"/>
      <c r="AS1448" s="160"/>
      <c r="AT1448" s="160"/>
      <c r="AU1448" s="160"/>
      <c r="AV1448" s="160"/>
      <c r="AW1448" s="160"/>
      <c r="AX1448" s="160"/>
      <c r="AY1448" s="160"/>
      <c r="AZ1448" s="160"/>
      <c r="BA1448" s="160"/>
      <c r="BB1448" s="160"/>
      <c r="BC1448" s="160"/>
      <c r="BD1448" s="160"/>
      <c r="BE1448" s="160"/>
      <c r="BF1448" s="160"/>
      <c r="BG1448" s="160"/>
      <c r="BH1448" s="160"/>
      <c r="BI1448" s="160"/>
      <c r="BJ1448" s="160"/>
      <c r="BK1448" s="160"/>
      <c r="BL1448" s="160"/>
      <c r="BM1448" s="160"/>
      <c r="BN1448" s="160"/>
      <c r="BO1448" s="160"/>
      <c r="BP1448" s="160"/>
      <c r="BQ1448" s="160"/>
      <c r="BR1448" s="160"/>
      <c r="BS1448" s="160"/>
      <c r="BT1448" s="160"/>
      <c r="BU1448" s="160"/>
      <c r="BV1448" s="160"/>
      <c r="BW1448" s="160"/>
      <c r="BX1448" s="160"/>
      <c r="BY1448" s="160"/>
      <c r="BZ1448" s="160"/>
      <c r="CA1448" s="160"/>
      <c r="CB1448" s="160"/>
      <c r="CC1448" s="160"/>
      <c r="CD1448" s="160"/>
      <c r="CE1448" s="160"/>
      <c r="CF1448" s="160"/>
      <c r="CG1448" s="160"/>
      <c r="CH1448" s="160"/>
      <c r="CI1448" s="160"/>
      <c r="CJ1448" s="160"/>
      <c r="CK1448" s="160"/>
      <c r="CL1448" s="160"/>
    </row>
    <row r="1449">
      <c r="A1449" s="171"/>
      <c r="F1449" s="11"/>
      <c r="G1449" s="11"/>
      <c r="L1449" s="171"/>
      <c r="M1449" s="171"/>
      <c r="O1449" s="160"/>
      <c r="P1449" s="160"/>
      <c r="Q1449" s="160"/>
      <c r="R1449" s="160"/>
      <c r="S1449" s="160"/>
      <c r="T1449" s="207"/>
      <c r="U1449" s="160"/>
      <c r="V1449" s="160"/>
      <c r="W1449" s="160"/>
      <c r="X1449" s="160"/>
      <c r="Y1449" s="160"/>
      <c r="Z1449" s="160"/>
      <c r="AA1449" s="160"/>
      <c r="AB1449" s="160"/>
      <c r="AC1449" s="160"/>
      <c r="AD1449" s="160"/>
      <c r="AE1449" s="160"/>
      <c r="AF1449" s="160"/>
      <c r="AG1449" s="160"/>
      <c r="AH1449" s="160"/>
      <c r="AI1449" s="160"/>
      <c r="AJ1449" s="160"/>
      <c r="AK1449" s="160"/>
      <c r="AL1449" s="160"/>
      <c r="AM1449" s="160"/>
      <c r="AN1449" s="164"/>
      <c r="AO1449" s="160"/>
      <c r="AP1449" s="160"/>
      <c r="AQ1449" s="160"/>
      <c r="AR1449" s="160"/>
      <c r="AS1449" s="160"/>
      <c r="AT1449" s="160"/>
      <c r="AU1449" s="160"/>
      <c r="AV1449" s="160"/>
      <c r="AW1449" s="160"/>
      <c r="AX1449" s="160"/>
      <c r="AY1449" s="160"/>
      <c r="AZ1449" s="160"/>
      <c r="BA1449" s="160"/>
      <c r="BB1449" s="160"/>
      <c r="BC1449" s="160"/>
      <c r="BD1449" s="160"/>
      <c r="BE1449" s="160"/>
      <c r="BF1449" s="160"/>
      <c r="BG1449" s="160"/>
      <c r="BH1449" s="160"/>
      <c r="BI1449" s="160"/>
      <c r="BJ1449" s="160"/>
      <c r="BK1449" s="160"/>
      <c r="BL1449" s="160"/>
      <c r="BM1449" s="160"/>
      <c r="BN1449" s="160"/>
      <c r="BO1449" s="160"/>
      <c r="BP1449" s="160"/>
      <c r="BQ1449" s="160"/>
      <c r="BR1449" s="160"/>
      <c r="BS1449" s="160"/>
      <c r="BT1449" s="160"/>
      <c r="BU1449" s="160"/>
      <c r="BV1449" s="160"/>
      <c r="BW1449" s="160"/>
      <c r="BX1449" s="160"/>
      <c r="BY1449" s="160"/>
      <c r="BZ1449" s="160"/>
      <c r="CA1449" s="160"/>
      <c r="CB1449" s="160"/>
      <c r="CC1449" s="160"/>
      <c r="CD1449" s="160"/>
      <c r="CE1449" s="160"/>
      <c r="CF1449" s="160"/>
      <c r="CG1449" s="160"/>
      <c r="CH1449" s="160"/>
      <c r="CI1449" s="160"/>
      <c r="CJ1449" s="160"/>
      <c r="CK1449" s="160"/>
      <c r="CL1449" s="160"/>
    </row>
    <row r="1450">
      <c r="A1450" s="171"/>
      <c r="F1450" s="11"/>
      <c r="G1450" s="11"/>
      <c r="L1450" s="171"/>
      <c r="M1450" s="171"/>
      <c r="O1450" s="160"/>
      <c r="P1450" s="160"/>
      <c r="Q1450" s="160"/>
      <c r="R1450" s="160"/>
      <c r="S1450" s="160"/>
      <c r="T1450" s="207"/>
      <c r="U1450" s="160"/>
      <c r="V1450" s="160"/>
      <c r="W1450" s="160"/>
      <c r="X1450" s="160"/>
      <c r="Y1450" s="160"/>
      <c r="Z1450" s="160"/>
      <c r="AA1450" s="160"/>
      <c r="AB1450" s="160"/>
      <c r="AC1450" s="160"/>
      <c r="AD1450" s="160"/>
      <c r="AE1450" s="160"/>
      <c r="AF1450" s="160"/>
      <c r="AG1450" s="160"/>
      <c r="AH1450" s="160"/>
      <c r="AI1450" s="160"/>
      <c r="AJ1450" s="160"/>
      <c r="AK1450" s="160"/>
      <c r="AL1450" s="160"/>
      <c r="AM1450" s="160"/>
      <c r="AN1450" s="164"/>
      <c r="AO1450" s="160"/>
      <c r="AP1450" s="160"/>
      <c r="AQ1450" s="160"/>
      <c r="AR1450" s="160"/>
      <c r="AS1450" s="160"/>
      <c r="AT1450" s="160"/>
      <c r="AU1450" s="160"/>
      <c r="AV1450" s="160"/>
      <c r="AW1450" s="160"/>
      <c r="AX1450" s="160"/>
      <c r="AY1450" s="160"/>
      <c r="AZ1450" s="160"/>
      <c r="BA1450" s="160"/>
      <c r="BB1450" s="160"/>
      <c r="BC1450" s="160"/>
      <c r="BD1450" s="160"/>
      <c r="BE1450" s="160"/>
      <c r="BF1450" s="160"/>
      <c r="BG1450" s="160"/>
      <c r="BH1450" s="160"/>
      <c r="BI1450" s="160"/>
      <c r="BJ1450" s="160"/>
      <c r="BK1450" s="160"/>
      <c r="BL1450" s="160"/>
      <c r="BM1450" s="160"/>
      <c r="BN1450" s="160"/>
      <c r="BO1450" s="160"/>
      <c r="BP1450" s="160"/>
      <c r="BQ1450" s="160"/>
      <c r="BR1450" s="160"/>
      <c r="BS1450" s="160"/>
      <c r="BT1450" s="160"/>
      <c r="BU1450" s="160"/>
      <c r="BV1450" s="160"/>
      <c r="BW1450" s="160"/>
      <c r="BX1450" s="160"/>
      <c r="BY1450" s="160"/>
      <c r="BZ1450" s="160"/>
      <c r="CA1450" s="160"/>
      <c r="CB1450" s="160"/>
      <c r="CC1450" s="160"/>
      <c r="CD1450" s="160"/>
      <c r="CE1450" s="160"/>
      <c r="CF1450" s="160"/>
      <c r="CG1450" s="160"/>
      <c r="CH1450" s="160"/>
      <c r="CI1450" s="160"/>
      <c r="CJ1450" s="160"/>
      <c r="CK1450" s="160"/>
      <c r="CL1450" s="160"/>
    </row>
    <row r="1451">
      <c r="A1451" s="171"/>
      <c r="F1451" s="11"/>
      <c r="G1451" s="11"/>
      <c r="L1451" s="171"/>
      <c r="M1451" s="171"/>
      <c r="O1451" s="160"/>
      <c r="P1451" s="160"/>
      <c r="Q1451" s="160"/>
      <c r="R1451" s="160"/>
      <c r="S1451" s="160"/>
      <c r="T1451" s="207"/>
      <c r="U1451" s="160"/>
      <c r="V1451" s="160"/>
      <c r="W1451" s="160"/>
      <c r="X1451" s="160"/>
      <c r="Y1451" s="160"/>
      <c r="Z1451" s="160"/>
      <c r="AA1451" s="160"/>
      <c r="AB1451" s="160"/>
      <c r="AC1451" s="160"/>
      <c r="AD1451" s="160"/>
      <c r="AE1451" s="160"/>
      <c r="AF1451" s="160"/>
      <c r="AG1451" s="160"/>
      <c r="AH1451" s="160"/>
      <c r="AI1451" s="160"/>
      <c r="AJ1451" s="160"/>
      <c r="AK1451" s="160"/>
      <c r="AL1451" s="160"/>
      <c r="AM1451" s="160"/>
      <c r="AN1451" s="164"/>
      <c r="AO1451" s="160"/>
      <c r="AP1451" s="160"/>
      <c r="AQ1451" s="160"/>
      <c r="AR1451" s="160"/>
      <c r="AS1451" s="160"/>
      <c r="AT1451" s="160"/>
      <c r="AU1451" s="160"/>
      <c r="AV1451" s="160"/>
      <c r="AW1451" s="160"/>
      <c r="AX1451" s="160"/>
      <c r="AY1451" s="160"/>
      <c r="AZ1451" s="160"/>
      <c r="BA1451" s="160"/>
      <c r="BB1451" s="160"/>
      <c r="BC1451" s="160"/>
      <c r="BD1451" s="160"/>
      <c r="BE1451" s="160"/>
      <c r="BF1451" s="160"/>
      <c r="BG1451" s="160"/>
      <c r="BH1451" s="160"/>
      <c r="BI1451" s="160"/>
      <c r="BJ1451" s="160"/>
      <c r="BK1451" s="160"/>
      <c r="BL1451" s="160"/>
      <c r="BM1451" s="160"/>
      <c r="BN1451" s="160"/>
      <c r="BO1451" s="160"/>
      <c r="BP1451" s="160"/>
      <c r="BQ1451" s="160"/>
      <c r="BR1451" s="160"/>
      <c r="BS1451" s="160"/>
      <c r="BT1451" s="160"/>
      <c r="BU1451" s="160"/>
      <c r="BV1451" s="160"/>
      <c r="BW1451" s="160"/>
      <c r="BX1451" s="160"/>
      <c r="BY1451" s="160"/>
      <c r="BZ1451" s="160"/>
      <c r="CA1451" s="160"/>
      <c r="CB1451" s="160"/>
      <c r="CC1451" s="160"/>
      <c r="CD1451" s="160"/>
      <c r="CE1451" s="160"/>
      <c r="CF1451" s="160"/>
      <c r="CG1451" s="160"/>
      <c r="CH1451" s="160"/>
      <c r="CI1451" s="160"/>
      <c r="CJ1451" s="160"/>
      <c r="CK1451" s="160"/>
      <c r="CL1451" s="160"/>
    </row>
    <row r="1452">
      <c r="A1452" s="171"/>
      <c r="F1452" s="11"/>
      <c r="G1452" s="11"/>
      <c r="L1452" s="171"/>
      <c r="M1452" s="171"/>
      <c r="O1452" s="160"/>
      <c r="P1452" s="160"/>
      <c r="Q1452" s="160"/>
      <c r="R1452" s="160"/>
      <c r="S1452" s="160"/>
      <c r="T1452" s="207"/>
      <c r="U1452" s="160"/>
      <c r="V1452" s="160"/>
      <c r="W1452" s="160"/>
      <c r="X1452" s="160"/>
      <c r="Y1452" s="160"/>
      <c r="Z1452" s="160"/>
      <c r="AA1452" s="160"/>
      <c r="AB1452" s="160"/>
      <c r="AC1452" s="160"/>
      <c r="AD1452" s="160"/>
      <c r="AE1452" s="160"/>
      <c r="AF1452" s="160"/>
      <c r="AG1452" s="160"/>
      <c r="AH1452" s="160"/>
      <c r="AI1452" s="160"/>
      <c r="AJ1452" s="160"/>
      <c r="AK1452" s="160"/>
      <c r="AL1452" s="160"/>
      <c r="AM1452" s="160"/>
      <c r="AN1452" s="164"/>
      <c r="AO1452" s="160"/>
      <c r="AP1452" s="160"/>
      <c r="AQ1452" s="160"/>
      <c r="AR1452" s="160"/>
      <c r="AS1452" s="160"/>
      <c r="AT1452" s="160"/>
      <c r="AU1452" s="160"/>
      <c r="AV1452" s="160"/>
      <c r="AW1452" s="160"/>
      <c r="AX1452" s="160"/>
      <c r="AY1452" s="160"/>
      <c r="AZ1452" s="160"/>
      <c r="BA1452" s="160"/>
      <c r="BB1452" s="160"/>
      <c r="BC1452" s="160"/>
      <c r="BD1452" s="160"/>
      <c r="BE1452" s="160"/>
      <c r="BF1452" s="160"/>
      <c r="BG1452" s="160"/>
      <c r="BH1452" s="160"/>
      <c r="BI1452" s="160"/>
      <c r="BJ1452" s="160"/>
      <c r="BK1452" s="160"/>
      <c r="BL1452" s="160"/>
      <c r="BM1452" s="160"/>
      <c r="BN1452" s="160"/>
      <c r="BO1452" s="160"/>
      <c r="BP1452" s="160"/>
      <c r="BQ1452" s="160"/>
      <c r="BR1452" s="160"/>
      <c r="BS1452" s="160"/>
      <c r="BT1452" s="160"/>
      <c r="BU1452" s="160"/>
      <c r="BV1452" s="160"/>
      <c r="BW1452" s="160"/>
      <c r="BX1452" s="160"/>
      <c r="BY1452" s="160"/>
      <c r="BZ1452" s="160"/>
      <c r="CA1452" s="160"/>
      <c r="CB1452" s="160"/>
      <c r="CC1452" s="160"/>
      <c r="CD1452" s="160"/>
      <c r="CE1452" s="160"/>
      <c r="CF1452" s="160"/>
      <c r="CG1452" s="160"/>
      <c r="CH1452" s="160"/>
      <c r="CI1452" s="160"/>
      <c r="CJ1452" s="160"/>
      <c r="CK1452" s="160"/>
      <c r="CL1452" s="160"/>
    </row>
    <row r="1453">
      <c r="A1453" s="171"/>
      <c r="F1453" s="11"/>
      <c r="G1453" s="11"/>
      <c r="L1453" s="171"/>
      <c r="M1453" s="171"/>
      <c r="O1453" s="160"/>
      <c r="P1453" s="160"/>
      <c r="Q1453" s="160"/>
      <c r="R1453" s="160"/>
      <c r="S1453" s="160"/>
      <c r="T1453" s="207"/>
      <c r="U1453" s="160"/>
      <c r="V1453" s="160"/>
      <c r="W1453" s="160"/>
      <c r="X1453" s="160"/>
      <c r="Y1453" s="160"/>
      <c r="Z1453" s="160"/>
      <c r="AA1453" s="160"/>
      <c r="AB1453" s="160"/>
      <c r="AC1453" s="160"/>
      <c r="AD1453" s="160"/>
      <c r="AE1453" s="160"/>
      <c r="AF1453" s="160"/>
      <c r="AG1453" s="160"/>
      <c r="AH1453" s="160"/>
      <c r="AI1453" s="160"/>
      <c r="AJ1453" s="160"/>
      <c r="AK1453" s="160"/>
      <c r="AL1453" s="160"/>
      <c r="AM1453" s="160"/>
      <c r="AN1453" s="164"/>
      <c r="AO1453" s="160"/>
      <c r="AP1453" s="160"/>
      <c r="AQ1453" s="160"/>
      <c r="AR1453" s="160"/>
      <c r="AS1453" s="160"/>
      <c r="AT1453" s="160"/>
      <c r="AU1453" s="160"/>
      <c r="AV1453" s="160"/>
      <c r="AW1453" s="160"/>
      <c r="AX1453" s="160"/>
      <c r="AY1453" s="160"/>
      <c r="AZ1453" s="160"/>
      <c r="BA1453" s="160"/>
      <c r="BB1453" s="160"/>
      <c r="BC1453" s="160"/>
      <c r="BD1453" s="160"/>
      <c r="BE1453" s="160"/>
      <c r="BF1453" s="160"/>
      <c r="BG1453" s="160"/>
      <c r="BH1453" s="160"/>
      <c r="BI1453" s="160"/>
      <c r="BJ1453" s="160"/>
      <c r="BK1453" s="160"/>
      <c r="BL1453" s="160"/>
      <c r="BM1453" s="160"/>
      <c r="BN1453" s="160"/>
      <c r="BO1453" s="160"/>
      <c r="BP1453" s="160"/>
      <c r="BQ1453" s="160"/>
      <c r="BR1453" s="160"/>
      <c r="BS1453" s="160"/>
      <c r="BT1453" s="160"/>
      <c r="BU1453" s="160"/>
      <c r="BV1453" s="160"/>
      <c r="BW1453" s="160"/>
      <c r="BX1453" s="160"/>
      <c r="BY1453" s="160"/>
      <c r="BZ1453" s="160"/>
      <c r="CA1453" s="160"/>
      <c r="CB1453" s="160"/>
      <c r="CC1453" s="160"/>
      <c r="CD1453" s="160"/>
      <c r="CE1453" s="160"/>
      <c r="CF1453" s="160"/>
      <c r="CG1453" s="160"/>
      <c r="CH1453" s="160"/>
      <c r="CI1453" s="160"/>
      <c r="CJ1453" s="160"/>
      <c r="CK1453" s="160"/>
      <c r="CL1453" s="160"/>
    </row>
    <row r="1454">
      <c r="A1454" s="171"/>
      <c r="F1454" s="11"/>
      <c r="G1454" s="11"/>
      <c r="L1454" s="171"/>
      <c r="M1454" s="171"/>
      <c r="O1454" s="160"/>
      <c r="P1454" s="160"/>
      <c r="Q1454" s="160"/>
      <c r="R1454" s="160"/>
      <c r="S1454" s="160"/>
      <c r="T1454" s="207"/>
      <c r="U1454" s="160"/>
      <c r="V1454" s="160"/>
      <c r="W1454" s="160"/>
      <c r="X1454" s="160"/>
      <c r="Y1454" s="160"/>
      <c r="Z1454" s="160"/>
      <c r="AA1454" s="160"/>
      <c r="AB1454" s="160"/>
      <c r="AC1454" s="160"/>
      <c r="AD1454" s="160"/>
      <c r="AE1454" s="160"/>
      <c r="AF1454" s="160"/>
      <c r="AG1454" s="160"/>
      <c r="AH1454" s="160"/>
      <c r="AI1454" s="160"/>
      <c r="AJ1454" s="160"/>
      <c r="AK1454" s="160"/>
      <c r="AL1454" s="160"/>
      <c r="AM1454" s="160"/>
      <c r="AN1454" s="164"/>
      <c r="AO1454" s="160"/>
      <c r="AP1454" s="160"/>
      <c r="AQ1454" s="160"/>
      <c r="AR1454" s="160"/>
      <c r="AS1454" s="160"/>
      <c r="AT1454" s="160"/>
      <c r="AU1454" s="160"/>
      <c r="AV1454" s="160"/>
      <c r="AW1454" s="160"/>
      <c r="AX1454" s="160"/>
      <c r="AY1454" s="160"/>
      <c r="AZ1454" s="160"/>
      <c r="BA1454" s="160"/>
      <c r="BB1454" s="160"/>
      <c r="BC1454" s="160"/>
      <c r="BD1454" s="160"/>
      <c r="BE1454" s="160"/>
      <c r="BF1454" s="160"/>
      <c r="BG1454" s="160"/>
      <c r="BH1454" s="160"/>
      <c r="BI1454" s="160"/>
      <c r="BJ1454" s="160"/>
      <c r="BK1454" s="160"/>
      <c r="BL1454" s="160"/>
      <c r="BM1454" s="160"/>
      <c r="BN1454" s="160"/>
      <c r="BO1454" s="160"/>
      <c r="BP1454" s="160"/>
      <c r="BQ1454" s="160"/>
      <c r="BR1454" s="160"/>
      <c r="BS1454" s="160"/>
      <c r="BT1454" s="160"/>
      <c r="BU1454" s="160"/>
      <c r="BV1454" s="160"/>
      <c r="BW1454" s="160"/>
      <c r="BX1454" s="160"/>
      <c r="BY1454" s="160"/>
      <c r="BZ1454" s="160"/>
      <c r="CA1454" s="160"/>
      <c r="CB1454" s="160"/>
      <c r="CC1454" s="160"/>
      <c r="CD1454" s="160"/>
      <c r="CE1454" s="160"/>
      <c r="CF1454" s="160"/>
      <c r="CG1454" s="160"/>
      <c r="CH1454" s="160"/>
      <c r="CI1454" s="160"/>
      <c r="CJ1454" s="160"/>
      <c r="CK1454" s="160"/>
      <c r="CL1454" s="160"/>
    </row>
    <row r="1455">
      <c r="A1455" s="171"/>
      <c r="F1455" s="11"/>
      <c r="G1455" s="11"/>
      <c r="L1455" s="171"/>
      <c r="M1455" s="171"/>
      <c r="O1455" s="160"/>
      <c r="P1455" s="160"/>
      <c r="Q1455" s="160"/>
      <c r="R1455" s="160"/>
      <c r="S1455" s="160"/>
      <c r="T1455" s="207"/>
      <c r="U1455" s="160"/>
      <c r="V1455" s="160"/>
      <c r="W1455" s="160"/>
      <c r="X1455" s="160"/>
      <c r="Y1455" s="160"/>
      <c r="Z1455" s="160"/>
      <c r="AA1455" s="160"/>
      <c r="AB1455" s="160"/>
      <c r="AC1455" s="160"/>
      <c r="AD1455" s="160"/>
      <c r="AE1455" s="160"/>
      <c r="AF1455" s="160"/>
      <c r="AG1455" s="160"/>
      <c r="AH1455" s="160"/>
      <c r="AI1455" s="160"/>
      <c r="AJ1455" s="160"/>
      <c r="AK1455" s="160"/>
      <c r="AL1455" s="160"/>
      <c r="AM1455" s="160"/>
      <c r="AN1455" s="164"/>
      <c r="AO1455" s="160"/>
      <c r="AP1455" s="160"/>
      <c r="AQ1455" s="160"/>
      <c r="AR1455" s="160"/>
      <c r="AS1455" s="160"/>
      <c r="AT1455" s="160"/>
      <c r="AU1455" s="160"/>
      <c r="AV1455" s="160"/>
      <c r="AW1455" s="160"/>
      <c r="AX1455" s="160"/>
      <c r="AY1455" s="160"/>
      <c r="AZ1455" s="160"/>
      <c r="BA1455" s="160"/>
      <c r="BB1455" s="160"/>
      <c r="BC1455" s="160"/>
      <c r="BD1455" s="160"/>
      <c r="BE1455" s="160"/>
      <c r="BF1455" s="160"/>
      <c r="BG1455" s="160"/>
      <c r="BH1455" s="160"/>
      <c r="BI1455" s="160"/>
      <c r="BJ1455" s="160"/>
      <c r="BK1455" s="160"/>
      <c r="BL1455" s="160"/>
      <c r="BM1455" s="160"/>
      <c r="BN1455" s="160"/>
      <c r="BO1455" s="160"/>
      <c r="BP1455" s="160"/>
      <c r="BQ1455" s="160"/>
      <c r="BR1455" s="160"/>
      <c r="BS1455" s="160"/>
      <c r="BT1455" s="160"/>
      <c r="BU1455" s="160"/>
      <c r="BV1455" s="160"/>
      <c r="BW1455" s="160"/>
      <c r="BX1455" s="160"/>
      <c r="BY1455" s="160"/>
      <c r="BZ1455" s="160"/>
      <c r="CA1455" s="160"/>
      <c r="CB1455" s="160"/>
      <c r="CC1455" s="160"/>
      <c r="CD1455" s="160"/>
      <c r="CE1455" s="160"/>
      <c r="CF1455" s="160"/>
      <c r="CG1455" s="160"/>
      <c r="CH1455" s="160"/>
      <c r="CI1455" s="160"/>
      <c r="CJ1455" s="160"/>
      <c r="CK1455" s="160"/>
      <c r="CL1455" s="160"/>
    </row>
    <row r="1456">
      <c r="A1456" s="171"/>
      <c r="F1456" s="11"/>
      <c r="G1456" s="11"/>
      <c r="L1456" s="171"/>
      <c r="M1456" s="171"/>
      <c r="O1456" s="160"/>
      <c r="P1456" s="160"/>
      <c r="Q1456" s="160"/>
      <c r="R1456" s="160"/>
      <c r="S1456" s="160"/>
      <c r="T1456" s="207"/>
      <c r="U1456" s="160"/>
      <c r="V1456" s="160"/>
      <c r="W1456" s="160"/>
      <c r="X1456" s="160"/>
      <c r="Y1456" s="160"/>
      <c r="Z1456" s="160"/>
      <c r="AA1456" s="160"/>
      <c r="AB1456" s="160"/>
      <c r="AC1456" s="160"/>
      <c r="AD1456" s="160"/>
      <c r="AE1456" s="160"/>
      <c r="AF1456" s="160"/>
      <c r="AG1456" s="160"/>
      <c r="AH1456" s="160"/>
      <c r="AI1456" s="160"/>
      <c r="AJ1456" s="160"/>
      <c r="AK1456" s="160"/>
      <c r="AL1456" s="160"/>
      <c r="AM1456" s="160"/>
      <c r="AN1456" s="164"/>
      <c r="AO1456" s="160"/>
      <c r="AP1456" s="160"/>
      <c r="AQ1456" s="160"/>
      <c r="AR1456" s="160"/>
      <c r="AS1456" s="160"/>
      <c r="AT1456" s="160"/>
      <c r="AU1456" s="160"/>
      <c r="AV1456" s="160"/>
      <c r="AW1456" s="160"/>
      <c r="AX1456" s="160"/>
      <c r="AY1456" s="160"/>
      <c r="AZ1456" s="160"/>
      <c r="BA1456" s="160"/>
      <c r="BB1456" s="160"/>
      <c r="BC1456" s="160"/>
      <c r="BD1456" s="160"/>
      <c r="BE1456" s="160"/>
      <c r="BF1456" s="160"/>
      <c r="BG1456" s="160"/>
      <c r="BH1456" s="160"/>
      <c r="BI1456" s="160"/>
      <c r="BJ1456" s="160"/>
      <c r="BK1456" s="160"/>
      <c r="BL1456" s="160"/>
      <c r="BM1456" s="160"/>
      <c r="BN1456" s="160"/>
      <c r="BO1456" s="160"/>
      <c r="BP1456" s="160"/>
      <c r="BQ1456" s="160"/>
      <c r="BR1456" s="160"/>
      <c r="BS1456" s="160"/>
      <c r="BT1456" s="160"/>
      <c r="BU1456" s="160"/>
      <c r="BV1456" s="160"/>
      <c r="BW1456" s="160"/>
      <c r="BX1456" s="160"/>
      <c r="BY1456" s="160"/>
      <c r="BZ1456" s="160"/>
      <c r="CA1456" s="160"/>
      <c r="CB1456" s="160"/>
      <c r="CC1456" s="160"/>
      <c r="CD1456" s="160"/>
      <c r="CE1456" s="160"/>
      <c r="CF1456" s="160"/>
      <c r="CG1456" s="160"/>
      <c r="CH1456" s="160"/>
      <c r="CI1456" s="160"/>
      <c r="CJ1456" s="160"/>
      <c r="CK1456" s="160"/>
      <c r="CL1456" s="160"/>
    </row>
    <row r="1457">
      <c r="A1457" s="171"/>
      <c r="F1457" s="11"/>
      <c r="G1457" s="11"/>
      <c r="L1457" s="171"/>
      <c r="M1457" s="171"/>
      <c r="O1457" s="160"/>
      <c r="P1457" s="160"/>
      <c r="Q1457" s="160"/>
      <c r="R1457" s="160"/>
      <c r="S1457" s="160"/>
      <c r="T1457" s="207"/>
      <c r="U1457" s="160"/>
      <c r="V1457" s="160"/>
      <c r="W1457" s="160"/>
      <c r="X1457" s="160"/>
      <c r="Y1457" s="160"/>
      <c r="Z1457" s="160"/>
      <c r="AA1457" s="160"/>
      <c r="AB1457" s="160"/>
      <c r="AC1457" s="160"/>
      <c r="AD1457" s="160"/>
      <c r="AE1457" s="160"/>
      <c r="AF1457" s="160"/>
      <c r="AG1457" s="160"/>
      <c r="AH1457" s="160"/>
      <c r="AI1457" s="160"/>
      <c r="AJ1457" s="160"/>
      <c r="AK1457" s="160"/>
      <c r="AL1457" s="160"/>
      <c r="AM1457" s="160"/>
      <c r="AN1457" s="164"/>
      <c r="AO1457" s="160"/>
      <c r="AP1457" s="160"/>
      <c r="AQ1457" s="160"/>
      <c r="AR1457" s="160"/>
      <c r="AS1457" s="160"/>
      <c r="AT1457" s="160"/>
      <c r="AU1457" s="160"/>
      <c r="AV1457" s="160"/>
      <c r="AW1457" s="160"/>
      <c r="AX1457" s="160"/>
      <c r="AY1457" s="160"/>
      <c r="AZ1457" s="160"/>
      <c r="BA1457" s="160"/>
      <c r="BB1457" s="160"/>
      <c r="BC1457" s="160"/>
      <c r="BD1457" s="160"/>
      <c r="BE1457" s="160"/>
      <c r="BF1457" s="160"/>
      <c r="BG1457" s="160"/>
      <c r="BH1457" s="160"/>
      <c r="BI1457" s="160"/>
      <c r="BJ1457" s="160"/>
      <c r="BK1457" s="160"/>
      <c r="BL1457" s="160"/>
      <c r="BM1457" s="160"/>
      <c r="BN1457" s="160"/>
      <c r="BO1457" s="160"/>
      <c r="BP1457" s="160"/>
      <c r="BQ1457" s="160"/>
      <c r="BR1457" s="160"/>
      <c r="BS1457" s="160"/>
      <c r="BT1457" s="160"/>
      <c r="BU1457" s="160"/>
      <c r="BV1457" s="160"/>
      <c r="BW1457" s="160"/>
      <c r="BX1457" s="160"/>
      <c r="BY1457" s="160"/>
      <c r="BZ1457" s="160"/>
      <c r="CA1457" s="160"/>
      <c r="CB1457" s="160"/>
      <c r="CC1457" s="160"/>
      <c r="CD1457" s="160"/>
      <c r="CE1457" s="160"/>
      <c r="CF1457" s="160"/>
      <c r="CG1457" s="160"/>
      <c r="CH1457" s="160"/>
      <c r="CI1457" s="160"/>
      <c r="CJ1457" s="160"/>
      <c r="CK1457" s="160"/>
      <c r="CL1457" s="160"/>
    </row>
    <row r="1458">
      <c r="A1458" s="171"/>
      <c r="F1458" s="11"/>
      <c r="G1458" s="11"/>
      <c r="L1458" s="171"/>
      <c r="M1458" s="171"/>
      <c r="O1458" s="160"/>
      <c r="P1458" s="160"/>
      <c r="Q1458" s="160"/>
      <c r="R1458" s="160"/>
      <c r="S1458" s="160"/>
      <c r="T1458" s="207"/>
      <c r="U1458" s="160"/>
      <c r="V1458" s="160"/>
      <c r="W1458" s="160"/>
      <c r="X1458" s="160"/>
      <c r="Y1458" s="160"/>
      <c r="Z1458" s="160"/>
      <c r="AA1458" s="160"/>
      <c r="AB1458" s="160"/>
      <c r="AC1458" s="160"/>
      <c r="AD1458" s="160"/>
      <c r="AE1458" s="160"/>
      <c r="AF1458" s="160"/>
      <c r="AG1458" s="160"/>
      <c r="AH1458" s="160"/>
      <c r="AI1458" s="160"/>
      <c r="AJ1458" s="160"/>
      <c r="AK1458" s="160"/>
      <c r="AL1458" s="160"/>
      <c r="AM1458" s="160"/>
      <c r="AN1458" s="164"/>
      <c r="AO1458" s="160"/>
      <c r="AP1458" s="160"/>
      <c r="AQ1458" s="160"/>
      <c r="AR1458" s="160"/>
      <c r="AS1458" s="160"/>
      <c r="AT1458" s="160"/>
      <c r="AU1458" s="160"/>
      <c r="AV1458" s="160"/>
      <c r="AW1458" s="160"/>
      <c r="AX1458" s="160"/>
      <c r="AY1458" s="160"/>
      <c r="AZ1458" s="160"/>
      <c r="BA1458" s="160"/>
      <c r="BB1458" s="160"/>
      <c r="BC1458" s="160"/>
      <c r="BD1458" s="160"/>
      <c r="BE1458" s="160"/>
      <c r="BF1458" s="160"/>
      <c r="BG1458" s="160"/>
      <c r="BH1458" s="160"/>
      <c r="BI1458" s="160"/>
      <c r="BJ1458" s="160"/>
      <c r="BK1458" s="160"/>
      <c r="BL1458" s="160"/>
      <c r="BM1458" s="160"/>
      <c r="BN1458" s="160"/>
      <c r="BO1458" s="160"/>
      <c r="BP1458" s="160"/>
      <c r="BQ1458" s="160"/>
      <c r="BR1458" s="160"/>
      <c r="BS1458" s="160"/>
      <c r="BT1458" s="160"/>
      <c r="BU1458" s="160"/>
      <c r="BV1458" s="160"/>
      <c r="BW1458" s="160"/>
      <c r="BX1458" s="160"/>
      <c r="BY1458" s="160"/>
      <c r="BZ1458" s="160"/>
      <c r="CA1458" s="160"/>
      <c r="CB1458" s="160"/>
      <c r="CC1458" s="160"/>
      <c r="CD1458" s="160"/>
      <c r="CE1458" s="160"/>
      <c r="CF1458" s="160"/>
      <c r="CG1458" s="160"/>
      <c r="CH1458" s="160"/>
      <c r="CI1458" s="160"/>
      <c r="CJ1458" s="160"/>
      <c r="CK1458" s="160"/>
      <c r="CL1458" s="160"/>
    </row>
    <row r="1459">
      <c r="A1459" s="171"/>
      <c r="F1459" s="11"/>
      <c r="G1459" s="11"/>
      <c r="L1459" s="171"/>
      <c r="M1459" s="171"/>
      <c r="O1459" s="160"/>
      <c r="P1459" s="160"/>
      <c r="Q1459" s="160"/>
      <c r="R1459" s="160"/>
      <c r="S1459" s="160"/>
      <c r="T1459" s="207"/>
      <c r="U1459" s="160"/>
      <c r="V1459" s="160"/>
      <c r="W1459" s="160"/>
      <c r="X1459" s="160"/>
      <c r="Y1459" s="160"/>
      <c r="Z1459" s="160"/>
      <c r="AA1459" s="160"/>
      <c r="AB1459" s="160"/>
      <c r="AC1459" s="160"/>
      <c r="AD1459" s="160"/>
      <c r="AE1459" s="160"/>
      <c r="AF1459" s="160"/>
      <c r="AG1459" s="160"/>
      <c r="AH1459" s="160"/>
      <c r="AI1459" s="160"/>
      <c r="AJ1459" s="160"/>
      <c r="AK1459" s="160"/>
      <c r="AL1459" s="160"/>
      <c r="AM1459" s="160"/>
      <c r="AN1459" s="164"/>
      <c r="AO1459" s="160"/>
      <c r="AP1459" s="160"/>
      <c r="AQ1459" s="160"/>
      <c r="AR1459" s="160"/>
      <c r="AS1459" s="160"/>
      <c r="AT1459" s="160"/>
      <c r="AU1459" s="160"/>
      <c r="AV1459" s="160"/>
      <c r="AW1459" s="160"/>
      <c r="AX1459" s="160"/>
      <c r="AY1459" s="160"/>
      <c r="AZ1459" s="160"/>
      <c r="BA1459" s="160"/>
      <c r="BB1459" s="160"/>
      <c r="BC1459" s="160"/>
      <c r="BD1459" s="160"/>
      <c r="BE1459" s="160"/>
      <c r="BF1459" s="160"/>
      <c r="BG1459" s="160"/>
      <c r="BH1459" s="160"/>
      <c r="BI1459" s="160"/>
      <c r="BJ1459" s="160"/>
      <c r="BK1459" s="160"/>
      <c r="BL1459" s="160"/>
      <c r="BM1459" s="160"/>
      <c r="BN1459" s="160"/>
      <c r="BO1459" s="160"/>
      <c r="BP1459" s="160"/>
      <c r="BQ1459" s="160"/>
      <c r="BR1459" s="160"/>
      <c r="BS1459" s="160"/>
      <c r="BT1459" s="160"/>
      <c r="BU1459" s="160"/>
      <c r="BV1459" s="160"/>
      <c r="BW1459" s="160"/>
      <c r="BX1459" s="160"/>
      <c r="BY1459" s="160"/>
      <c r="BZ1459" s="160"/>
      <c r="CA1459" s="160"/>
      <c r="CB1459" s="160"/>
      <c r="CC1459" s="160"/>
      <c r="CD1459" s="160"/>
      <c r="CE1459" s="160"/>
      <c r="CF1459" s="160"/>
      <c r="CG1459" s="160"/>
      <c r="CH1459" s="160"/>
      <c r="CI1459" s="160"/>
      <c r="CJ1459" s="160"/>
      <c r="CK1459" s="160"/>
      <c r="CL1459" s="160"/>
    </row>
    <row r="1460">
      <c r="A1460" s="171"/>
      <c r="F1460" s="11"/>
      <c r="G1460" s="11"/>
      <c r="L1460" s="171"/>
      <c r="M1460" s="171"/>
      <c r="O1460" s="160"/>
      <c r="P1460" s="160"/>
      <c r="Q1460" s="160"/>
      <c r="R1460" s="160"/>
      <c r="S1460" s="160"/>
      <c r="T1460" s="207"/>
      <c r="U1460" s="160"/>
      <c r="V1460" s="160"/>
      <c r="W1460" s="160"/>
      <c r="X1460" s="160"/>
      <c r="Y1460" s="160"/>
      <c r="Z1460" s="160"/>
      <c r="AA1460" s="160"/>
      <c r="AB1460" s="160"/>
      <c r="AC1460" s="160"/>
      <c r="AD1460" s="160"/>
      <c r="AE1460" s="160"/>
      <c r="AF1460" s="160"/>
      <c r="AG1460" s="160"/>
      <c r="AH1460" s="160"/>
      <c r="AI1460" s="160"/>
      <c r="AJ1460" s="160"/>
      <c r="AK1460" s="160"/>
      <c r="AL1460" s="160"/>
      <c r="AM1460" s="160"/>
      <c r="AN1460" s="164"/>
      <c r="AO1460" s="160"/>
      <c r="AP1460" s="160"/>
      <c r="AQ1460" s="160"/>
      <c r="AR1460" s="160"/>
      <c r="AS1460" s="160"/>
      <c r="AT1460" s="160"/>
      <c r="AU1460" s="160"/>
      <c r="AV1460" s="160"/>
      <c r="AW1460" s="160"/>
      <c r="AX1460" s="160"/>
      <c r="AY1460" s="160"/>
      <c r="AZ1460" s="160"/>
      <c r="BA1460" s="160"/>
      <c r="BB1460" s="160"/>
      <c r="BC1460" s="160"/>
      <c r="BD1460" s="160"/>
      <c r="BE1460" s="160"/>
      <c r="BF1460" s="160"/>
      <c r="BG1460" s="160"/>
      <c r="BH1460" s="160"/>
      <c r="BI1460" s="160"/>
      <c r="BJ1460" s="160"/>
      <c r="BK1460" s="160"/>
      <c r="BL1460" s="160"/>
      <c r="BM1460" s="160"/>
      <c r="BN1460" s="160"/>
      <c r="BO1460" s="160"/>
      <c r="BP1460" s="160"/>
      <c r="BQ1460" s="160"/>
      <c r="BR1460" s="160"/>
      <c r="BS1460" s="160"/>
      <c r="BT1460" s="160"/>
      <c r="BU1460" s="160"/>
      <c r="BV1460" s="160"/>
      <c r="BW1460" s="160"/>
      <c r="BX1460" s="160"/>
      <c r="BY1460" s="160"/>
      <c r="BZ1460" s="160"/>
      <c r="CA1460" s="160"/>
      <c r="CB1460" s="160"/>
      <c r="CC1460" s="160"/>
      <c r="CD1460" s="160"/>
      <c r="CE1460" s="160"/>
      <c r="CF1460" s="160"/>
      <c r="CG1460" s="160"/>
      <c r="CH1460" s="160"/>
      <c r="CI1460" s="160"/>
      <c r="CJ1460" s="160"/>
      <c r="CK1460" s="160"/>
      <c r="CL1460" s="160"/>
    </row>
    <row r="1461">
      <c r="A1461" s="171"/>
      <c r="F1461" s="11"/>
      <c r="G1461" s="11"/>
      <c r="L1461" s="171"/>
      <c r="M1461" s="171"/>
      <c r="O1461" s="160"/>
      <c r="P1461" s="160"/>
      <c r="Q1461" s="160"/>
      <c r="R1461" s="160"/>
      <c r="S1461" s="160"/>
      <c r="T1461" s="207"/>
      <c r="U1461" s="160"/>
      <c r="V1461" s="160"/>
      <c r="W1461" s="160"/>
      <c r="X1461" s="160"/>
      <c r="Y1461" s="160"/>
      <c r="Z1461" s="160"/>
      <c r="AA1461" s="160"/>
      <c r="AB1461" s="160"/>
      <c r="AC1461" s="160"/>
      <c r="AD1461" s="160"/>
      <c r="AE1461" s="160"/>
      <c r="AF1461" s="160"/>
      <c r="AG1461" s="160"/>
      <c r="AH1461" s="160"/>
      <c r="AI1461" s="160"/>
      <c r="AJ1461" s="160"/>
      <c r="AK1461" s="160"/>
      <c r="AL1461" s="160"/>
      <c r="AM1461" s="160"/>
      <c r="AN1461" s="164"/>
      <c r="AO1461" s="160"/>
      <c r="AP1461" s="160"/>
      <c r="AQ1461" s="160"/>
      <c r="AR1461" s="160"/>
      <c r="AS1461" s="160"/>
      <c r="AT1461" s="160"/>
      <c r="AU1461" s="160"/>
      <c r="AV1461" s="160"/>
      <c r="AW1461" s="160"/>
      <c r="AX1461" s="160"/>
      <c r="AY1461" s="160"/>
      <c r="AZ1461" s="160"/>
      <c r="BA1461" s="160"/>
      <c r="BB1461" s="160"/>
      <c r="BC1461" s="160"/>
      <c r="BD1461" s="160"/>
      <c r="BE1461" s="160"/>
      <c r="BF1461" s="160"/>
      <c r="BG1461" s="160"/>
      <c r="BH1461" s="160"/>
      <c r="BI1461" s="160"/>
      <c r="BJ1461" s="160"/>
      <c r="BK1461" s="160"/>
      <c r="BL1461" s="160"/>
      <c r="BM1461" s="160"/>
      <c r="BN1461" s="160"/>
      <c r="BO1461" s="160"/>
      <c r="BP1461" s="160"/>
      <c r="BQ1461" s="160"/>
      <c r="BR1461" s="160"/>
      <c r="BS1461" s="160"/>
      <c r="BT1461" s="160"/>
      <c r="BU1461" s="160"/>
      <c r="BV1461" s="160"/>
      <c r="BW1461" s="160"/>
      <c r="BX1461" s="160"/>
      <c r="BY1461" s="160"/>
      <c r="BZ1461" s="160"/>
      <c r="CA1461" s="160"/>
      <c r="CB1461" s="160"/>
      <c r="CC1461" s="160"/>
      <c r="CD1461" s="160"/>
      <c r="CE1461" s="160"/>
      <c r="CF1461" s="160"/>
      <c r="CG1461" s="160"/>
      <c r="CH1461" s="160"/>
      <c r="CI1461" s="160"/>
      <c r="CJ1461" s="160"/>
      <c r="CK1461" s="160"/>
      <c r="CL1461" s="160"/>
    </row>
    <row r="1462">
      <c r="A1462" s="171"/>
      <c r="F1462" s="11"/>
      <c r="G1462" s="11"/>
      <c r="L1462" s="171"/>
      <c r="M1462" s="171"/>
      <c r="O1462" s="160"/>
      <c r="P1462" s="160"/>
      <c r="Q1462" s="160"/>
      <c r="R1462" s="160"/>
      <c r="S1462" s="160"/>
      <c r="T1462" s="207"/>
      <c r="U1462" s="160"/>
      <c r="V1462" s="160"/>
      <c r="W1462" s="160"/>
      <c r="X1462" s="160"/>
      <c r="Y1462" s="160"/>
      <c r="Z1462" s="160"/>
      <c r="AA1462" s="160"/>
      <c r="AB1462" s="160"/>
      <c r="AC1462" s="160"/>
      <c r="AD1462" s="160"/>
      <c r="AE1462" s="160"/>
      <c r="AF1462" s="160"/>
      <c r="AG1462" s="160"/>
      <c r="AH1462" s="160"/>
      <c r="AI1462" s="160"/>
      <c r="AJ1462" s="160"/>
      <c r="AK1462" s="160"/>
      <c r="AL1462" s="160"/>
      <c r="AM1462" s="160"/>
      <c r="AN1462" s="164"/>
      <c r="AO1462" s="160"/>
      <c r="AP1462" s="160"/>
      <c r="AQ1462" s="160"/>
      <c r="AR1462" s="160"/>
      <c r="AS1462" s="160"/>
      <c r="AT1462" s="160"/>
      <c r="AU1462" s="160"/>
      <c r="AV1462" s="160"/>
      <c r="AW1462" s="160"/>
      <c r="AX1462" s="160"/>
      <c r="AY1462" s="160"/>
      <c r="AZ1462" s="160"/>
      <c r="BA1462" s="160"/>
      <c r="BB1462" s="160"/>
      <c r="BC1462" s="160"/>
      <c r="BD1462" s="160"/>
      <c r="BE1462" s="160"/>
      <c r="BF1462" s="160"/>
      <c r="BG1462" s="160"/>
      <c r="BH1462" s="160"/>
      <c r="BI1462" s="160"/>
      <c r="BJ1462" s="160"/>
      <c r="BK1462" s="160"/>
      <c r="BL1462" s="160"/>
      <c r="BM1462" s="160"/>
      <c r="BN1462" s="160"/>
      <c r="BO1462" s="160"/>
      <c r="BP1462" s="160"/>
      <c r="BQ1462" s="160"/>
      <c r="BR1462" s="160"/>
      <c r="BS1462" s="160"/>
      <c r="BT1462" s="160"/>
      <c r="BU1462" s="160"/>
      <c r="BV1462" s="160"/>
      <c r="BW1462" s="160"/>
      <c r="BX1462" s="160"/>
      <c r="BY1462" s="160"/>
      <c r="BZ1462" s="160"/>
      <c r="CA1462" s="160"/>
      <c r="CB1462" s="160"/>
      <c r="CC1462" s="160"/>
      <c r="CD1462" s="160"/>
      <c r="CE1462" s="160"/>
      <c r="CF1462" s="160"/>
      <c r="CG1462" s="160"/>
      <c r="CH1462" s="160"/>
      <c r="CI1462" s="160"/>
      <c r="CJ1462" s="160"/>
      <c r="CK1462" s="160"/>
      <c r="CL1462" s="160"/>
    </row>
    <row r="1463">
      <c r="A1463" s="171"/>
      <c r="F1463" s="11"/>
      <c r="G1463" s="11"/>
      <c r="L1463" s="171"/>
      <c r="M1463" s="171"/>
      <c r="O1463" s="160"/>
      <c r="P1463" s="160"/>
      <c r="Q1463" s="160"/>
      <c r="R1463" s="160"/>
      <c r="S1463" s="160"/>
      <c r="T1463" s="207"/>
      <c r="U1463" s="160"/>
      <c r="V1463" s="160"/>
      <c r="W1463" s="160"/>
      <c r="X1463" s="160"/>
      <c r="Y1463" s="160"/>
      <c r="Z1463" s="160"/>
      <c r="AA1463" s="160"/>
      <c r="AB1463" s="160"/>
      <c r="AC1463" s="160"/>
      <c r="AD1463" s="160"/>
      <c r="AE1463" s="160"/>
      <c r="AF1463" s="160"/>
      <c r="AG1463" s="160"/>
      <c r="AH1463" s="160"/>
      <c r="AI1463" s="160"/>
      <c r="AJ1463" s="160"/>
      <c r="AK1463" s="160"/>
      <c r="AL1463" s="160"/>
      <c r="AM1463" s="160"/>
      <c r="AN1463" s="164"/>
      <c r="AO1463" s="160"/>
      <c r="AP1463" s="160"/>
      <c r="AQ1463" s="160"/>
      <c r="AR1463" s="160"/>
      <c r="AS1463" s="160"/>
      <c r="AT1463" s="160"/>
      <c r="AU1463" s="160"/>
      <c r="AV1463" s="160"/>
      <c r="AW1463" s="160"/>
      <c r="AX1463" s="160"/>
      <c r="AY1463" s="160"/>
      <c r="AZ1463" s="160"/>
      <c r="BA1463" s="160"/>
      <c r="BB1463" s="160"/>
      <c r="BC1463" s="160"/>
      <c r="BD1463" s="160"/>
      <c r="BE1463" s="160"/>
      <c r="BF1463" s="160"/>
      <c r="BG1463" s="160"/>
      <c r="BH1463" s="160"/>
      <c r="BI1463" s="160"/>
      <c r="BJ1463" s="160"/>
      <c r="BK1463" s="160"/>
      <c r="BL1463" s="160"/>
      <c r="BM1463" s="160"/>
      <c r="BN1463" s="160"/>
      <c r="BO1463" s="160"/>
      <c r="BP1463" s="160"/>
      <c r="BQ1463" s="160"/>
      <c r="BR1463" s="160"/>
      <c r="BS1463" s="160"/>
      <c r="BT1463" s="160"/>
      <c r="BU1463" s="160"/>
      <c r="BV1463" s="160"/>
      <c r="BW1463" s="160"/>
      <c r="BX1463" s="160"/>
      <c r="BY1463" s="160"/>
      <c r="BZ1463" s="160"/>
      <c r="CA1463" s="160"/>
      <c r="CB1463" s="160"/>
      <c r="CC1463" s="160"/>
      <c r="CD1463" s="160"/>
      <c r="CE1463" s="160"/>
      <c r="CF1463" s="160"/>
      <c r="CG1463" s="160"/>
      <c r="CH1463" s="160"/>
      <c r="CI1463" s="160"/>
      <c r="CJ1463" s="160"/>
      <c r="CK1463" s="160"/>
      <c r="CL1463" s="160"/>
    </row>
    <row r="1464">
      <c r="A1464" s="171"/>
      <c r="F1464" s="11"/>
      <c r="G1464" s="11"/>
      <c r="L1464" s="171"/>
      <c r="M1464" s="171"/>
      <c r="O1464" s="160"/>
      <c r="P1464" s="160"/>
      <c r="Q1464" s="160"/>
      <c r="R1464" s="160"/>
      <c r="S1464" s="160"/>
      <c r="T1464" s="207"/>
      <c r="U1464" s="160"/>
      <c r="V1464" s="160"/>
      <c r="W1464" s="160"/>
      <c r="X1464" s="160"/>
      <c r="Y1464" s="160"/>
      <c r="Z1464" s="160"/>
      <c r="AA1464" s="160"/>
      <c r="AB1464" s="160"/>
      <c r="AC1464" s="160"/>
      <c r="AD1464" s="160"/>
      <c r="AE1464" s="160"/>
      <c r="AF1464" s="160"/>
      <c r="AG1464" s="160"/>
      <c r="AH1464" s="160"/>
      <c r="AI1464" s="160"/>
      <c r="AJ1464" s="160"/>
      <c r="AK1464" s="160"/>
      <c r="AL1464" s="160"/>
      <c r="AM1464" s="160"/>
      <c r="AN1464" s="164"/>
      <c r="AO1464" s="160"/>
      <c r="AP1464" s="160"/>
      <c r="AQ1464" s="160"/>
      <c r="AR1464" s="160"/>
      <c r="AS1464" s="160"/>
      <c r="AT1464" s="160"/>
      <c r="AU1464" s="160"/>
      <c r="AV1464" s="160"/>
      <c r="AW1464" s="160"/>
      <c r="AX1464" s="160"/>
      <c r="AY1464" s="160"/>
      <c r="AZ1464" s="160"/>
      <c r="BA1464" s="160"/>
      <c r="BB1464" s="160"/>
      <c r="BC1464" s="160"/>
      <c r="BD1464" s="160"/>
      <c r="BE1464" s="160"/>
      <c r="BF1464" s="160"/>
      <c r="BG1464" s="160"/>
      <c r="BH1464" s="160"/>
      <c r="BI1464" s="160"/>
      <c r="BJ1464" s="160"/>
      <c r="BK1464" s="160"/>
      <c r="BL1464" s="160"/>
      <c r="BM1464" s="160"/>
      <c r="BN1464" s="160"/>
      <c r="BO1464" s="160"/>
      <c r="BP1464" s="160"/>
      <c r="BQ1464" s="160"/>
      <c r="BR1464" s="160"/>
      <c r="BS1464" s="160"/>
      <c r="BT1464" s="160"/>
      <c r="BU1464" s="160"/>
      <c r="BV1464" s="160"/>
      <c r="BW1464" s="160"/>
      <c r="BX1464" s="160"/>
      <c r="BY1464" s="160"/>
      <c r="BZ1464" s="160"/>
      <c r="CA1464" s="160"/>
      <c r="CB1464" s="160"/>
      <c r="CC1464" s="160"/>
      <c r="CD1464" s="160"/>
      <c r="CE1464" s="160"/>
      <c r="CF1464" s="160"/>
      <c r="CG1464" s="160"/>
      <c r="CH1464" s="160"/>
      <c r="CI1464" s="160"/>
      <c r="CJ1464" s="160"/>
      <c r="CK1464" s="160"/>
      <c r="CL1464" s="160"/>
    </row>
    <row r="1465">
      <c r="A1465" s="171"/>
      <c r="F1465" s="11"/>
      <c r="G1465" s="11"/>
      <c r="L1465" s="171"/>
      <c r="M1465" s="171"/>
      <c r="O1465" s="160"/>
      <c r="P1465" s="160"/>
      <c r="Q1465" s="160"/>
      <c r="R1465" s="160"/>
      <c r="S1465" s="160"/>
      <c r="T1465" s="207"/>
      <c r="U1465" s="160"/>
      <c r="V1465" s="160"/>
      <c r="W1465" s="160"/>
      <c r="X1465" s="160"/>
      <c r="Y1465" s="160"/>
      <c r="Z1465" s="160"/>
      <c r="AA1465" s="160"/>
      <c r="AB1465" s="160"/>
      <c r="AC1465" s="160"/>
      <c r="AD1465" s="160"/>
      <c r="AE1465" s="160"/>
      <c r="AF1465" s="160"/>
      <c r="AG1465" s="160"/>
      <c r="AH1465" s="160"/>
      <c r="AI1465" s="160"/>
      <c r="AJ1465" s="160"/>
      <c r="AK1465" s="160"/>
      <c r="AL1465" s="160"/>
      <c r="AM1465" s="160"/>
      <c r="AN1465" s="164"/>
      <c r="AO1465" s="160"/>
      <c r="AP1465" s="160"/>
      <c r="AQ1465" s="160"/>
      <c r="AR1465" s="160"/>
      <c r="AS1465" s="160"/>
      <c r="AT1465" s="160"/>
      <c r="AU1465" s="160"/>
      <c r="AV1465" s="160"/>
      <c r="AW1465" s="160"/>
      <c r="AX1465" s="160"/>
      <c r="AY1465" s="160"/>
      <c r="AZ1465" s="160"/>
      <c r="BA1465" s="160"/>
      <c r="BB1465" s="160"/>
      <c r="BC1465" s="160"/>
      <c r="BD1465" s="160"/>
      <c r="BE1465" s="160"/>
      <c r="BF1465" s="160"/>
      <c r="BG1465" s="160"/>
      <c r="BH1465" s="160"/>
      <c r="BI1465" s="160"/>
      <c r="BJ1465" s="160"/>
      <c r="BK1465" s="160"/>
      <c r="BL1465" s="160"/>
      <c r="BM1465" s="160"/>
      <c r="BN1465" s="160"/>
      <c r="BO1465" s="160"/>
      <c r="BP1465" s="160"/>
      <c r="BQ1465" s="160"/>
      <c r="BR1465" s="160"/>
      <c r="BS1465" s="160"/>
      <c r="BT1465" s="160"/>
      <c r="BU1465" s="160"/>
      <c r="BV1465" s="160"/>
      <c r="BW1465" s="160"/>
      <c r="BX1465" s="160"/>
      <c r="BY1465" s="160"/>
      <c r="BZ1465" s="160"/>
      <c r="CA1465" s="160"/>
      <c r="CB1465" s="160"/>
      <c r="CC1465" s="160"/>
      <c r="CD1465" s="160"/>
      <c r="CE1465" s="160"/>
      <c r="CF1465" s="160"/>
      <c r="CG1465" s="160"/>
      <c r="CH1465" s="160"/>
      <c r="CI1465" s="160"/>
      <c r="CJ1465" s="160"/>
      <c r="CK1465" s="160"/>
      <c r="CL1465" s="160"/>
    </row>
    <row r="1466">
      <c r="A1466" s="171"/>
      <c r="F1466" s="11"/>
      <c r="G1466" s="11"/>
      <c r="L1466" s="171"/>
      <c r="M1466" s="171"/>
      <c r="O1466" s="160"/>
      <c r="P1466" s="160"/>
      <c r="Q1466" s="160"/>
      <c r="R1466" s="160"/>
      <c r="S1466" s="160"/>
      <c r="T1466" s="207"/>
      <c r="U1466" s="160"/>
      <c r="V1466" s="160"/>
      <c r="W1466" s="160"/>
      <c r="X1466" s="160"/>
      <c r="Y1466" s="160"/>
      <c r="Z1466" s="160"/>
      <c r="AA1466" s="160"/>
      <c r="AB1466" s="160"/>
      <c r="AC1466" s="160"/>
      <c r="AD1466" s="160"/>
      <c r="AE1466" s="160"/>
      <c r="AF1466" s="160"/>
      <c r="AG1466" s="160"/>
      <c r="AH1466" s="160"/>
      <c r="AI1466" s="160"/>
      <c r="AJ1466" s="160"/>
      <c r="AK1466" s="160"/>
      <c r="AL1466" s="160"/>
      <c r="AM1466" s="160"/>
      <c r="AN1466" s="164"/>
      <c r="AO1466" s="160"/>
      <c r="AP1466" s="160"/>
      <c r="AQ1466" s="160"/>
      <c r="AR1466" s="160"/>
      <c r="AS1466" s="160"/>
      <c r="AT1466" s="160"/>
      <c r="AU1466" s="160"/>
      <c r="AV1466" s="160"/>
      <c r="AW1466" s="160"/>
      <c r="AX1466" s="160"/>
      <c r="AY1466" s="160"/>
      <c r="AZ1466" s="160"/>
      <c r="BA1466" s="160"/>
      <c r="BB1466" s="160"/>
      <c r="BC1466" s="160"/>
      <c r="BD1466" s="160"/>
      <c r="BE1466" s="160"/>
      <c r="BF1466" s="160"/>
      <c r="BG1466" s="160"/>
      <c r="BH1466" s="160"/>
      <c r="BI1466" s="160"/>
      <c r="BJ1466" s="160"/>
      <c r="BK1466" s="160"/>
      <c r="BL1466" s="160"/>
      <c r="BM1466" s="160"/>
      <c r="BN1466" s="160"/>
      <c r="BO1466" s="160"/>
      <c r="BP1466" s="160"/>
      <c r="BQ1466" s="160"/>
      <c r="BR1466" s="160"/>
      <c r="BS1466" s="160"/>
      <c r="BT1466" s="160"/>
      <c r="BU1466" s="160"/>
      <c r="BV1466" s="160"/>
      <c r="BW1466" s="160"/>
      <c r="BX1466" s="160"/>
      <c r="BY1466" s="160"/>
      <c r="BZ1466" s="160"/>
      <c r="CA1466" s="160"/>
      <c r="CB1466" s="160"/>
      <c r="CC1466" s="160"/>
      <c r="CD1466" s="160"/>
      <c r="CE1466" s="160"/>
      <c r="CF1466" s="160"/>
      <c r="CG1466" s="160"/>
      <c r="CH1466" s="160"/>
      <c r="CI1466" s="160"/>
      <c r="CJ1466" s="160"/>
      <c r="CK1466" s="160"/>
      <c r="CL1466" s="160"/>
    </row>
    <row r="1467">
      <c r="A1467" s="171"/>
      <c r="F1467" s="11"/>
      <c r="G1467" s="11"/>
      <c r="L1467" s="171"/>
      <c r="M1467" s="171"/>
      <c r="O1467" s="160"/>
      <c r="P1467" s="160"/>
      <c r="Q1467" s="160"/>
      <c r="R1467" s="160"/>
      <c r="S1467" s="160"/>
      <c r="T1467" s="207"/>
      <c r="U1467" s="160"/>
      <c r="V1467" s="160"/>
      <c r="W1467" s="160"/>
      <c r="X1467" s="160"/>
      <c r="Y1467" s="160"/>
      <c r="Z1467" s="160"/>
      <c r="AA1467" s="160"/>
      <c r="AB1467" s="160"/>
      <c r="AC1467" s="160"/>
      <c r="AD1467" s="160"/>
      <c r="AE1467" s="160"/>
      <c r="AF1467" s="160"/>
      <c r="AG1467" s="160"/>
      <c r="AH1467" s="160"/>
      <c r="AI1467" s="160"/>
      <c r="AJ1467" s="160"/>
      <c r="AK1467" s="160"/>
      <c r="AL1467" s="160"/>
      <c r="AM1467" s="160"/>
      <c r="AN1467" s="164"/>
      <c r="AO1467" s="160"/>
      <c r="AP1467" s="160"/>
      <c r="AQ1467" s="160"/>
      <c r="AR1467" s="160"/>
      <c r="AS1467" s="160"/>
      <c r="AT1467" s="160"/>
      <c r="AU1467" s="160"/>
      <c r="AV1467" s="160"/>
      <c r="AW1467" s="160"/>
      <c r="AX1467" s="160"/>
      <c r="AY1467" s="160"/>
      <c r="AZ1467" s="160"/>
      <c r="BA1467" s="160"/>
      <c r="BB1467" s="160"/>
      <c r="BC1467" s="160"/>
      <c r="BD1467" s="160"/>
      <c r="BE1467" s="160"/>
      <c r="BF1467" s="160"/>
      <c r="BG1467" s="160"/>
      <c r="BH1467" s="160"/>
      <c r="BI1467" s="160"/>
      <c r="BJ1467" s="160"/>
      <c r="BK1467" s="160"/>
      <c r="BL1467" s="160"/>
      <c r="BM1467" s="160"/>
      <c r="BN1467" s="160"/>
      <c r="BO1467" s="160"/>
      <c r="BP1467" s="160"/>
      <c r="BQ1467" s="160"/>
      <c r="BR1467" s="160"/>
      <c r="BS1467" s="160"/>
      <c r="BT1467" s="160"/>
      <c r="BU1467" s="160"/>
      <c r="BV1467" s="160"/>
      <c r="BW1467" s="160"/>
      <c r="BX1467" s="160"/>
      <c r="BY1467" s="160"/>
      <c r="BZ1467" s="160"/>
      <c r="CA1467" s="160"/>
      <c r="CB1467" s="160"/>
      <c r="CC1467" s="160"/>
      <c r="CD1467" s="160"/>
      <c r="CE1467" s="160"/>
      <c r="CF1467" s="160"/>
      <c r="CG1467" s="160"/>
      <c r="CH1467" s="160"/>
      <c r="CI1467" s="160"/>
      <c r="CJ1467" s="160"/>
      <c r="CK1467" s="160"/>
      <c r="CL1467" s="160"/>
    </row>
    <row r="1468">
      <c r="A1468" s="171"/>
      <c r="F1468" s="11"/>
      <c r="G1468" s="11"/>
      <c r="L1468" s="171"/>
      <c r="M1468" s="171"/>
      <c r="O1468" s="160"/>
      <c r="P1468" s="160"/>
      <c r="Q1468" s="160"/>
      <c r="R1468" s="160"/>
      <c r="S1468" s="160"/>
      <c r="T1468" s="207"/>
      <c r="U1468" s="160"/>
      <c r="V1468" s="160"/>
      <c r="W1468" s="160"/>
      <c r="X1468" s="160"/>
      <c r="Y1468" s="160"/>
      <c r="Z1468" s="160"/>
      <c r="AA1468" s="160"/>
      <c r="AB1468" s="160"/>
      <c r="AC1468" s="160"/>
      <c r="AD1468" s="160"/>
      <c r="AE1468" s="160"/>
      <c r="AF1468" s="160"/>
      <c r="AG1468" s="160"/>
      <c r="AH1468" s="160"/>
      <c r="AI1468" s="160"/>
      <c r="AJ1468" s="160"/>
      <c r="AK1468" s="160"/>
      <c r="AL1468" s="160"/>
      <c r="AM1468" s="160"/>
      <c r="AN1468" s="164"/>
      <c r="AO1468" s="160"/>
      <c r="AP1468" s="160"/>
      <c r="AQ1468" s="160"/>
      <c r="AR1468" s="160"/>
      <c r="AS1468" s="160"/>
      <c r="AT1468" s="160"/>
      <c r="AU1468" s="160"/>
      <c r="AV1468" s="160"/>
      <c r="AW1468" s="160"/>
      <c r="AX1468" s="160"/>
      <c r="AY1468" s="160"/>
      <c r="AZ1468" s="160"/>
      <c r="BA1468" s="160"/>
      <c r="BB1468" s="160"/>
      <c r="BC1468" s="160"/>
      <c r="BD1468" s="160"/>
      <c r="BE1468" s="160"/>
      <c r="BF1468" s="160"/>
      <c r="BG1468" s="160"/>
      <c r="BH1468" s="160"/>
      <c r="BI1468" s="160"/>
      <c r="BJ1468" s="160"/>
      <c r="BK1468" s="160"/>
      <c r="BL1468" s="160"/>
      <c r="BM1468" s="160"/>
      <c r="BN1468" s="160"/>
      <c r="BO1468" s="160"/>
      <c r="BP1468" s="160"/>
      <c r="BQ1468" s="160"/>
      <c r="BR1468" s="160"/>
      <c r="BS1468" s="160"/>
      <c r="BT1468" s="160"/>
      <c r="BU1468" s="160"/>
      <c r="BV1468" s="160"/>
      <c r="BW1468" s="160"/>
      <c r="BX1468" s="160"/>
      <c r="BY1468" s="160"/>
      <c r="BZ1468" s="160"/>
      <c r="CA1468" s="160"/>
      <c r="CB1468" s="160"/>
      <c r="CC1468" s="160"/>
      <c r="CD1468" s="160"/>
      <c r="CE1468" s="160"/>
      <c r="CF1468" s="160"/>
      <c r="CG1468" s="160"/>
      <c r="CH1468" s="160"/>
      <c r="CI1468" s="160"/>
      <c r="CJ1468" s="160"/>
      <c r="CK1468" s="160"/>
      <c r="CL1468" s="160"/>
    </row>
    <row r="1469">
      <c r="A1469" s="171"/>
      <c r="F1469" s="11"/>
      <c r="G1469" s="11"/>
      <c r="L1469" s="171"/>
      <c r="M1469" s="171"/>
      <c r="O1469" s="160"/>
      <c r="P1469" s="160"/>
      <c r="Q1469" s="160"/>
      <c r="R1469" s="160"/>
      <c r="S1469" s="160"/>
      <c r="T1469" s="207"/>
      <c r="U1469" s="160"/>
      <c r="V1469" s="160"/>
      <c r="W1469" s="160"/>
      <c r="X1469" s="160"/>
      <c r="Y1469" s="160"/>
      <c r="Z1469" s="160"/>
      <c r="AA1469" s="160"/>
      <c r="AB1469" s="160"/>
      <c r="AC1469" s="160"/>
      <c r="AD1469" s="160"/>
      <c r="AE1469" s="160"/>
      <c r="AF1469" s="160"/>
      <c r="AG1469" s="160"/>
      <c r="AH1469" s="160"/>
      <c r="AI1469" s="160"/>
      <c r="AJ1469" s="160"/>
      <c r="AK1469" s="160"/>
      <c r="AL1469" s="160"/>
      <c r="AM1469" s="160"/>
      <c r="AN1469" s="164"/>
      <c r="AO1469" s="160"/>
      <c r="AP1469" s="160"/>
      <c r="AQ1469" s="160"/>
      <c r="AR1469" s="160"/>
      <c r="AS1469" s="160"/>
      <c r="AT1469" s="160"/>
      <c r="AU1469" s="160"/>
      <c r="AV1469" s="160"/>
      <c r="AW1469" s="160"/>
      <c r="AX1469" s="160"/>
      <c r="AY1469" s="160"/>
      <c r="AZ1469" s="160"/>
      <c r="BA1469" s="160"/>
      <c r="BB1469" s="160"/>
      <c r="BC1469" s="160"/>
      <c r="BD1469" s="160"/>
      <c r="BE1469" s="160"/>
      <c r="BF1469" s="160"/>
      <c r="BG1469" s="160"/>
      <c r="BH1469" s="160"/>
      <c r="BI1469" s="160"/>
      <c r="BJ1469" s="160"/>
      <c r="BK1469" s="160"/>
      <c r="BL1469" s="160"/>
      <c r="BM1469" s="160"/>
      <c r="BN1469" s="160"/>
      <c r="BO1469" s="160"/>
      <c r="BP1469" s="160"/>
      <c r="BQ1469" s="160"/>
      <c r="BR1469" s="160"/>
      <c r="BS1469" s="160"/>
      <c r="BT1469" s="160"/>
      <c r="BU1469" s="160"/>
      <c r="BV1469" s="160"/>
      <c r="BW1469" s="160"/>
      <c r="BX1469" s="160"/>
      <c r="BY1469" s="160"/>
      <c r="BZ1469" s="160"/>
      <c r="CA1469" s="160"/>
      <c r="CB1469" s="160"/>
      <c r="CC1469" s="160"/>
      <c r="CD1469" s="160"/>
      <c r="CE1469" s="160"/>
      <c r="CF1469" s="160"/>
      <c r="CG1469" s="160"/>
      <c r="CH1469" s="160"/>
      <c r="CI1469" s="160"/>
      <c r="CJ1469" s="160"/>
      <c r="CK1469" s="160"/>
      <c r="CL1469" s="160"/>
    </row>
    <row r="1470">
      <c r="A1470" s="171"/>
      <c r="F1470" s="11"/>
      <c r="G1470" s="11"/>
      <c r="L1470" s="171"/>
      <c r="M1470" s="171"/>
      <c r="O1470" s="160"/>
      <c r="P1470" s="160"/>
      <c r="Q1470" s="160"/>
      <c r="R1470" s="160"/>
      <c r="S1470" s="160"/>
      <c r="T1470" s="207"/>
      <c r="U1470" s="160"/>
      <c r="V1470" s="160"/>
      <c r="W1470" s="160"/>
      <c r="X1470" s="160"/>
      <c r="Y1470" s="160"/>
      <c r="Z1470" s="160"/>
      <c r="AA1470" s="160"/>
      <c r="AB1470" s="160"/>
      <c r="AC1470" s="160"/>
      <c r="AD1470" s="160"/>
      <c r="AE1470" s="160"/>
      <c r="AF1470" s="160"/>
      <c r="AG1470" s="160"/>
      <c r="AH1470" s="160"/>
      <c r="AI1470" s="160"/>
      <c r="AJ1470" s="160"/>
      <c r="AK1470" s="160"/>
      <c r="AL1470" s="160"/>
      <c r="AM1470" s="160"/>
      <c r="AN1470" s="164"/>
      <c r="AO1470" s="160"/>
      <c r="AP1470" s="160"/>
      <c r="AQ1470" s="160"/>
      <c r="AR1470" s="160"/>
      <c r="AS1470" s="160"/>
      <c r="AT1470" s="160"/>
      <c r="AU1470" s="160"/>
      <c r="AV1470" s="160"/>
      <c r="AW1470" s="160"/>
      <c r="AX1470" s="160"/>
      <c r="AY1470" s="160"/>
      <c r="AZ1470" s="160"/>
      <c r="BA1470" s="160"/>
      <c r="BB1470" s="160"/>
      <c r="BC1470" s="160"/>
      <c r="BD1470" s="160"/>
      <c r="BE1470" s="160"/>
      <c r="BF1470" s="160"/>
      <c r="BG1470" s="160"/>
      <c r="BH1470" s="160"/>
      <c r="BI1470" s="160"/>
      <c r="BJ1470" s="160"/>
      <c r="BK1470" s="160"/>
      <c r="BL1470" s="160"/>
      <c r="BM1470" s="160"/>
      <c r="BN1470" s="160"/>
      <c r="BO1470" s="160"/>
      <c r="BP1470" s="160"/>
      <c r="BQ1470" s="160"/>
      <c r="BR1470" s="160"/>
      <c r="BS1470" s="160"/>
      <c r="BT1470" s="160"/>
      <c r="BU1470" s="160"/>
      <c r="BV1470" s="160"/>
      <c r="BW1470" s="160"/>
      <c r="BX1470" s="160"/>
      <c r="BY1470" s="160"/>
      <c r="BZ1470" s="160"/>
      <c r="CA1470" s="160"/>
      <c r="CB1470" s="160"/>
      <c r="CC1470" s="160"/>
      <c r="CD1470" s="160"/>
      <c r="CE1470" s="160"/>
      <c r="CF1470" s="160"/>
      <c r="CG1470" s="160"/>
      <c r="CH1470" s="160"/>
      <c r="CI1470" s="160"/>
      <c r="CJ1470" s="160"/>
      <c r="CK1470" s="160"/>
      <c r="CL1470" s="160"/>
    </row>
    <row r="1471">
      <c r="A1471" s="171"/>
      <c r="F1471" s="11"/>
      <c r="G1471" s="11"/>
      <c r="L1471" s="171"/>
      <c r="M1471" s="171"/>
      <c r="O1471" s="160"/>
      <c r="P1471" s="160"/>
      <c r="Q1471" s="160"/>
      <c r="R1471" s="160"/>
      <c r="S1471" s="160"/>
      <c r="T1471" s="207"/>
      <c r="U1471" s="160"/>
      <c r="V1471" s="160"/>
      <c r="W1471" s="160"/>
      <c r="X1471" s="160"/>
      <c r="Y1471" s="160"/>
      <c r="Z1471" s="160"/>
      <c r="AA1471" s="160"/>
      <c r="AB1471" s="160"/>
      <c r="AC1471" s="160"/>
      <c r="AD1471" s="160"/>
      <c r="AE1471" s="160"/>
      <c r="AF1471" s="160"/>
      <c r="AG1471" s="160"/>
      <c r="AH1471" s="160"/>
      <c r="AI1471" s="160"/>
      <c r="AJ1471" s="160"/>
      <c r="AK1471" s="160"/>
      <c r="AL1471" s="160"/>
      <c r="AM1471" s="160"/>
      <c r="AN1471" s="164"/>
      <c r="AO1471" s="160"/>
      <c r="AP1471" s="160"/>
      <c r="AQ1471" s="160"/>
      <c r="AR1471" s="160"/>
      <c r="AS1471" s="160"/>
      <c r="AT1471" s="160"/>
      <c r="AU1471" s="160"/>
      <c r="AV1471" s="160"/>
      <c r="AW1471" s="160"/>
      <c r="AX1471" s="160"/>
      <c r="AY1471" s="160"/>
      <c r="AZ1471" s="160"/>
      <c r="BA1471" s="160"/>
      <c r="BB1471" s="160"/>
      <c r="BC1471" s="160"/>
      <c r="BD1471" s="160"/>
      <c r="BE1471" s="160"/>
      <c r="BF1471" s="160"/>
      <c r="BG1471" s="160"/>
      <c r="BH1471" s="160"/>
      <c r="BI1471" s="160"/>
      <c r="BJ1471" s="160"/>
      <c r="BK1471" s="160"/>
      <c r="BL1471" s="160"/>
      <c r="BM1471" s="160"/>
      <c r="BN1471" s="160"/>
      <c r="BO1471" s="160"/>
      <c r="BP1471" s="160"/>
      <c r="BQ1471" s="160"/>
      <c r="BR1471" s="160"/>
      <c r="BS1471" s="160"/>
      <c r="BT1471" s="160"/>
      <c r="BU1471" s="160"/>
      <c r="BV1471" s="160"/>
      <c r="BW1471" s="160"/>
      <c r="BX1471" s="160"/>
      <c r="BY1471" s="160"/>
      <c r="BZ1471" s="160"/>
      <c r="CA1471" s="160"/>
      <c r="CB1471" s="160"/>
      <c r="CC1471" s="160"/>
      <c r="CD1471" s="160"/>
      <c r="CE1471" s="160"/>
      <c r="CF1471" s="160"/>
      <c r="CG1471" s="160"/>
      <c r="CH1471" s="160"/>
      <c r="CI1471" s="160"/>
      <c r="CJ1471" s="160"/>
      <c r="CK1471" s="160"/>
      <c r="CL1471" s="160"/>
    </row>
    <row r="1472">
      <c r="A1472" s="171"/>
      <c r="F1472" s="11"/>
      <c r="G1472" s="11"/>
      <c r="L1472" s="171"/>
      <c r="M1472" s="171"/>
      <c r="O1472" s="160"/>
      <c r="P1472" s="160"/>
      <c r="Q1472" s="160"/>
      <c r="R1472" s="160"/>
      <c r="S1472" s="160"/>
      <c r="T1472" s="207"/>
      <c r="U1472" s="160"/>
      <c r="V1472" s="160"/>
      <c r="W1472" s="160"/>
      <c r="X1472" s="160"/>
      <c r="Y1472" s="160"/>
      <c r="Z1472" s="160"/>
      <c r="AA1472" s="160"/>
      <c r="AB1472" s="160"/>
      <c r="AC1472" s="160"/>
      <c r="AD1472" s="160"/>
      <c r="AE1472" s="160"/>
      <c r="AF1472" s="160"/>
      <c r="AG1472" s="160"/>
      <c r="AH1472" s="160"/>
      <c r="AI1472" s="160"/>
      <c r="AJ1472" s="160"/>
      <c r="AK1472" s="160"/>
      <c r="AL1472" s="160"/>
      <c r="AM1472" s="160"/>
      <c r="AN1472" s="164"/>
      <c r="AO1472" s="160"/>
      <c r="AP1472" s="160"/>
      <c r="AQ1472" s="160"/>
      <c r="AR1472" s="160"/>
      <c r="AS1472" s="160"/>
      <c r="AT1472" s="160"/>
      <c r="AU1472" s="160"/>
      <c r="AV1472" s="160"/>
      <c r="AW1472" s="160"/>
      <c r="AX1472" s="160"/>
      <c r="AY1472" s="160"/>
      <c r="AZ1472" s="160"/>
      <c r="BA1472" s="160"/>
      <c r="BB1472" s="160"/>
      <c r="BC1472" s="160"/>
      <c r="BD1472" s="160"/>
      <c r="BE1472" s="160"/>
      <c r="BF1472" s="160"/>
      <c r="BG1472" s="160"/>
      <c r="BH1472" s="160"/>
      <c r="BI1472" s="160"/>
      <c r="BJ1472" s="160"/>
      <c r="BK1472" s="160"/>
      <c r="BL1472" s="160"/>
      <c r="BM1472" s="160"/>
      <c r="BN1472" s="160"/>
      <c r="BO1472" s="160"/>
      <c r="BP1472" s="160"/>
      <c r="BQ1472" s="160"/>
      <c r="BR1472" s="160"/>
      <c r="BS1472" s="160"/>
      <c r="BT1472" s="160"/>
      <c r="BU1472" s="160"/>
      <c r="BV1472" s="160"/>
      <c r="BW1472" s="160"/>
      <c r="BX1472" s="160"/>
      <c r="BY1472" s="160"/>
      <c r="BZ1472" s="160"/>
      <c r="CA1472" s="160"/>
      <c r="CB1472" s="160"/>
      <c r="CC1472" s="160"/>
      <c r="CD1472" s="160"/>
      <c r="CE1472" s="160"/>
      <c r="CF1472" s="160"/>
      <c r="CG1472" s="160"/>
      <c r="CH1472" s="160"/>
      <c r="CI1472" s="160"/>
      <c r="CJ1472" s="160"/>
      <c r="CK1472" s="160"/>
      <c r="CL1472" s="160"/>
    </row>
    <row r="1473">
      <c r="A1473" s="171"/>
      <c r="F1473" s="11"/>
      <c r="G1473" s="11"/>
      <c r="L1473" s="171"/>
      <c r="M1473" s="171"/>
      <c r="O1473" s="160"/>
      <c r="P1473" s="160"/>
      <c r="Q1473" s="160"/>
      <c r="R1473" s="160"/>
      <c r="S1473" s="160"/>
      <c r="T1473" s="207"/>
      <c r="U1473" s="160"/>
      <c r="V1473" s="160"/>
      <c r="W1473" s="160"/>
      <c r="X1473" s="160"/>
      <c r="Y1473" s="160"/>
      <c r="Z1473" s="160"/>
      <c r="AA1473" s="160"/>
      <c r="AB1473" s="160"/>
      <c r="AC1473" s="160"/>
      <c r="AD1473" s="160"/>
      <c r="AE1473" s="160"/>
      <c r="AF1473" s="160"/>
      <c r="AG1473" s="160"/>
      <c r="AH1473" s="160"/>
      <c r="AI1473" s="160"/>
      <c r="AJ1473" s="160"/>
      <c r="AK1473" s="160"/>
      <c r="AL1473" s="160"/>
      <c r="AM1473" s="160"/>
      <c r="AN1473" s="164"/>
      <c r="AO1473" s="160"/>
      <c r="AP1473" s="160"/>
      <c r="AQ1473" s="160"/>
      <c r="AR1473" s="160"/>
      <c r="AS1473" s="160"/>
      <c r="AT1473" s="160"/>
      <c r="AU1473" s="160"/>
      <c r="AV1473" s="160"/>
      <c r="AW1473" s="160"/>
      <c r="AX1473" s="160"/>
      <c r="AY1473" s="160"/>
      <c r="AZ1473" s="160"/>
      <c r="BA1473" s="160"/>
      <c r="BB1473" s="160"/>
      <c r="BC1473" s="160"/>
      <c r="BD1473" s="160"/>
      <c r="BE1473" s="160"/>
      <c r="BF1473" s="160"/>
      <c r="BG1473" s="160"/>
      <c r="BH1473" s="160"/>
      <c r="BI1473" s="160"/>
      <c r="BJ1473" s="160"/>
      <c r="BK1473" s="160"/>
      <c r="BL1473" s="160"/>
      <c r="BM1473" s="160"/>
      <c r="BN1473" s="160"/>
      <c r="BO1473" s="160"/>
      <c r="BP1473" s="160"/>
      <c r="BQ1473" s="160"/>
      <c r="BR1473" s="160"/>
      <c r="BS1473" s="160"/>
      <c r="BT1473" s="160"/>
      <c r="BU1473" s="160"/>
      <c r="BV1473" s="160"/>
      <c r="BW1473" s="160"/>
      <c r="BX1473" s="160"/>
      <c r="BY1473" s="160"/>
      <c r="BZ1473" s="160"/>
      <c r="CA1473" s="160"/>
      <c r="CB1473" s="160"/>
      <c r="CC1473" s="160"/>
      <c r="CD1473" s="160"/>
      <c r="CE1473" s="160"/>
      <c r="CF1473" s="160"/>
      <c r="CG1473" s="160"/>
      <c r="CH1473" s="160"/>
      <c r="CI1473" s="160"/>
      <c r="CJ1473" s="160"/>
      <c r="CK1473" s="160"/>
      <c r="CL1473" s="160"/>
    </row>
    <row r="1474">
      <c r="A1474" s="171"/>
      <c r="F1474" s="11"/>
      <c r="G1474" s="11"/>
      <c r="L1474" s="171"/>
      <c r="M1474" s="171"/>
      <c r="O1474" s="160"/>
      <c r="P1474" s="160"/>
      <c r="Q1474" s="160"/>
      <c r="R1474" s="160"/>
      <c r="S1474" s="160"/>
      <c r="T1474" s="207"/>
      <c r="U1474" s="160"/>
      <c r="V1474" s="160"/>
      <c r="W1474" s="160"/>
      <c r="X1474" s="160"/>
      <c r="Y1474" s="160"/>
      <c r="Z1474" s="160"/>
      <c r="AA1474" s="160"/>
      <c r="AB1474" s="160"/>
      <c r="AC1474" s="160"/>
      <c r="AD1474" s="160"/>
      <c r="AE1474" s="160"/>
      <c r="AF1474" s="160"/>
      <c r="AG1474" s="160"/>
      <c r="AH1474" s="160"/>
      <c r="AI1474" s="160"/>
      <c r="AJ1474" s="160"/>
      <c r="AK1474" s="160"/>
      <c r="AL1474" s="160"/>
      <c r="AM1474" s="160"/>
      <c r="AN1474" s="164"/>
      <c r="AO1474" s="160"/>
      <c r="AP1474" s="160"/>
      <c r="AQ1474" s="160"/>
      <c r="AR1474" s="160"/>
      <c r="AS1474" s="160"/>
      <c r="AT1474" s="160"/>
      <c r="AU1474" s="160"/>
      <c r="AV1474" s="160"/>
      <c r="AW1474" s="160"/>
      <c r="AX1474" s="160"/>
      <c r="AY1474" s="160"/>
      <c r="AZ1474" s="160"/>
      <c r="BA1474" s="160"/>
      <c r="BB1474" s="160"/>
      <c r="BC1474" s="160"/>
      <c r="BD1474" s="160"/>
      <c r="BE1474" s="160"/>
      <c r="BF1474" s="160"/>
      <c r="BG1474" s="160"/>
      <c r="BH1474" s="160"/>
      <c r="BI1474" s="160"/>
      <c r="BJ1474" s="160"/>
      <c r="BK1474" s="160"/>
      <c r="BL1474" s="160"/>
      <c r="BM1474" s="160"/>
      <c r="BN1474" s="160"/>
      <c r="BO1474" s="160"/>
      <c r="BP1474" s="160"/>
      <c r="BQ1474" s="160"/>
      <c r="BR1474" s="160"/>
      <c r="BS1474" s="160"/>
      <c r="BT1474" s="160"/>
      <c r="BU1474" s="160"/>
      <c r="BV1474" s="160"/>
      <c r="BW1474" s="160"/>
      <c r="BX1474" s="160"/>
      <c r="BY1474" s="160"/>
      <c r="BZ1474" s="160"/>
      <c r="CA1474" s="160"/>
      <c r="CB1474" s="160"/>
      <c r="CC1474" s="160"/>
      <c r="CD1474" s="160"/>
      <c r="CE1474" s="160"/>
      <c r="CF1474" s="160"/>
      <c r="CG1474" s="160"/>
      <c r="CH1474" s="160"/>
      <c r="CI1474" s="160"/>
      <c r="CJ1474" s="160"/>
      <c r="CK1474" s="160"/>
      <c r="CL1474" s="160"/>
    </row>
    <row r="1475">
      <c r="A1475" s="171"/>
      <c r="F1475" s="11"/>
      <c r="G1475" s="11"/>
      <c r="L1475" s="171"/>
      <c r="M1475" s="171"/>
      <c r="O1475" s="160"/>
      <c r="P1475" s="160"/>
      <c r="Q1475" s="160"/>
      <c r="R1475" s="160"/>
      <c r="S1475" s="160"/>
      <c r="T1475" s="207"/>
      <c r="U1475" s="160"/>
      <c r="V1475" s="160"/>
      <c r="W1475" s="160"/>
      <c r="X1475" s="160"/>
      <c r="Y1475" s="160"/>
      <c r="Z1475" s="160"/>
      <c r="AA1475" s="160"/>
      <c r="AB1475" s="160"/>
      <c r="AC1475" s="160"/>
      <c r="AD1475" s="160"/>
      <c r="AE1475" s="160"/>
      <c r="AF1475" s="160"/>
      <c r="AG1475" s="160"/>
      <c r="AH1475" s="160"/>
      <c r="AI1475" s="160"/>
      <c r="AJ1475" s="160"/>
      <c r="AK1475" s="160"/>
      <c r="AL1475" s="160"/>
      <c r="AM1475" s="160"/>
      <c r="AN1475" s="164"/>
      <c r="AO1475" s="160"/>
      <c r="AP1475" s="160"/>
      <c r="AQ1475" s="160"/>
      <c r="AR1475" s="160"/>
      <c r="AS1475" s="160"/>
      <c r="AT1475" s="160"/>
      <c r="AU1475" s="160"/>
      <c r="AV1475" s="160"/>
      <c r="AW1475" s="160"/>
      <c r="AX1475" s="160"/>
      <c r="AY1475" s="160"/>
      <c r="AZ1475" s="160"/>
      <c r="BA1475" s="160"/>
      <c r="BB1475" s="160"/>
      <c r="BC1475" s="160"/>
      <c r="BD1475" s="160"/>
      <c r="BE1475" s="160"/>
      <c r="BF1475" s="160"/>
      <c r="BG1475" s="160"/>
      <c r="BH1475" s="160"/>
      <c r="BI1475" s="160"/>
      <c r="BJ1475" s="160"/>
      <c r="BK1475" s="160"/>
      <c r="BL1475" s="160"/>
      <c r="BM1475" s="160"/>
      <c r="BN1475" s="160"/>
      <c r="BO1475" s="160"/>
      <c r="BP1475" s="160"/>
      <c r="BQ1475" s="160"/>
      <c r="BR1475" s="160"/>
      <c r="BS1475" s="160"/>
      <c r="BT1475" s="160"/>
      <c r="BU1475" s="160"/>
      <c r="BV1475" s="160"/>
      <c r="BW1475" s="160"/>
      <c r="BX1475" s="160"/>
      <c r="BY1475" s="160"/>
      <c r="BZ1475" s="160"/>
      <c r="CA1475" s="160"/>
      <c r="CB1475" s="160"/>
      <c r="CC1475" s="160"/>
      <c r="CD1475" s="160"/>
      <c r="CE1475" s="160"/>
      <c r="CF1475" s="160"/>
      <c r="CG1475" s="160"/>
      <c r="CH1475" s="160"/>
      <c r="CI1475" s="160"/>
      <c r="CJ1475" s="160"/>
      <c r="CK1475" s="160"/>
      <c r="CL1475" s="160"/>
    </row>
    <row r="1476">
      <c r="A1476" s="171"/>
      <c r="F1476" s="11"/>
      <c r="G1476" s="11"/>
      <c r="L1476" s="171"/>
      <c r="M1476" s="171"/>
      <c r="O1476" s="160"/>
      <c r="P1476" s="160"/>
      <c r="Q1476" s="160"/>
      <c r="R1476" s="160"/>
      <c r="S1476" s="160"/>
      <c r="T1476" s="207"/>
      <c r="U1476" s="160"/>
      <c r="V1476" s="160"/>
      <c r="W1476" s="160"/>
      <c r="X1476" s="160"/>
      <c r="Y1476" s="160"/>
      <c r="Z1476" s="160"/>
      <c r="AA1476" s="160"/>
      <c r="AB1476" s="160"/>
      <c r="AC1476" s="160"/>
      <c r="AD1476" s="160"/>
      <c r="AE1476" s="160"/>
      <c r="AF1476" s="160"/>
      <c r="AG1476" s="160"/>
      <c r="AH1476" s="160"/>
      <c r="AI1476" s="160"/>
      <c r="AJ1476" s="160"/>
      <c r="AK1476" s="160"/>
      <c r="AL1476" s="160"/>
      <c r="AM1476" s="160"/>
      <c r="AN1476" s="164"/>
      <c r="AO1476" s="160"/>
      <c r="AP1476" s="160"/>
      <c r="AQ1476" s="160"/>
      <c r="AR1476" s="160"/>
      <c r="AS1476" s="160"/>
      <c r="AT1476" s="160"/>
      <c r="AU1476" s="160"/>
      <c r="AV1476" s="160"/>
      <c r="AW1476" s="160"/>
      <c r="AX1476" s="160"/>
      <c r="AY1476" s="160"/>
      <c r="AZ1476" s="160"/>
      <c r="BA1476" s="160"/>
      <c r="BB1476" s="160"/>
      <c r="BC1476" s="160"/>
      <c r="BD1476" s="160"/>
      <c r="BE1476" s="160"/>
      <c r="BF1476" s="160"/>
      <c r="BG1476" s="160"/>
      <c r="BH1476" s="160"/>
      <c r="BI1476" s="160"/>
      <c r="BJ1476" s="160"/>
      <c r="BK1476" s="160"/>
      <c r="BL1476" s="160"/>
      <c r="BM1476" s="160"/>
      <c r="BN1476" s="160"/>
      <c r="BO1476" s="160"/>
      <c r="BP1476" s="160"/>
      <c r="BQ1476" s="160"/>
      <c r="BR1476" s="160"/>
      <c r="BS1476" s="160"/>
      <c r="BT1476" s="160"/>
      <c r="BU1476" s="160"/>
      <c r="BV1476" s="160"/>
      <c r="BW1476" s="160"/>
      <c r="BX1476" s="160"/>
      <c r="BY1476" s="160"/>
      <c r="BZ1476" s="160"/>
      <c r="CA1476" s="160"/>
      <c r="CB1476" s="160"/>
      <c r="CC1476" s="160"/>
      <c r="CD1476" s="160"/>
      <c r="CE1476" s="160"/>
      <c r="CF1476" s="160"/>
      <c r="CG1476" s="160"/>
      <c r="CH1476" s="160"/>
      <c r="CI1476" s="160"/>
      <c r="CJ1476" s="160"/>
      <c r="CK1476" s="160"/>
      <c r="CL1476" s="160"/>
    </row>
    <row r="1477">
      <c r="A1477" s="171"/>
      <c r="F1477" s="11"/>
      <c r="G1477" s="11"/>
      <c r="L1477" s="171"/>
      <c r="M1477" s="171"/>
      <c r="O1477" s="160"/>
      <c r="P1477" s="160"/>
      <c r="Q1477" s="160"/>
      <c r="R1477" s="160"/>
      <c r="S1477" s="160"/>
      <c r="T1477" s="207"/>
      <c r="U1477" s="160"/>
      <c r="V1477" s="160"/>
      <c r="W1477" s="160"/>
      <c r="X1477" s="160"/>
      <c r="Y1477" s="160"/>
      <c r="Z1477" s="160"/>
      <c r="AA1477" s="160"/>
      <c r="AB1477" s="160"/>
      <c r="AC1477" s="160"/>
      <c r="AD1477" s="160"/>
      <c r="AE1477" s="160"/>
      <c r="AF1477" s="160"/>
      <c r="AG1477" s="160"/>
      <c r="AH1477" s="160"/>
      <c r="AI1477" s="160"/>
      <c r="AJ1477" s="160"/>
      <c r="AK1477" s="160"/>
      <c r="AL1477" s="160"/>
      <c r="AM1477" s="160"/>
      <c r="AN1477" s="164"/>
      <c r="AO1477" s="160"/>
      <c r="AP1477" s="160"/>
      <c r="AQ1477" s="160"/>
      <c r="AR1477" s="160"/>
      <c r="AS1477" s="160"/>
      <c r="AT1477" s="160"/>
      <c r="AU1477" s="160"/>
      <c r="AV1477" s="160"/>
      <c r="AW1477" s="160"/>
      <c r="AX1477" s="160"/>
      <c r="AY1477" s="160"/>
      <c r="AZ1477" s="160"/>
      <c r="BA1477" s="160"/>
      <c r="BB1477" s="160"/>
      <c r="BC1477" s="160"/>
      <c r="BD1477" s="160"/>
      <c r="BE1477" s="160"/>
      <c r="BF1477" s="160"/>
      <c r="BG1477" s="160"/>
      <c r="BH1477" s="160"/>
      <c r="BI1477" s="160"/>
      <c r="BJ1477" s="160"/>
      <c r="BK1477" s="160"/>
      <c r="BL1477" s="160"/>
      <c r="BM1477" s="160"/>
      <c r="BN1477" s="160"/>
      <c r="BO1477" s="160"/>
      <c r="BP1477" s="160"/>
      <c r="BQ1477" s="160"/>
      <c r="BR1477" s="160"/>
      <c r="BS1477" s="160"/>
      <c r="BT1477" s="160"/>
      <c r="BU1477" s="160"/>
      <c r="BV1477" s="160"/>
      <c r="BW1477" s="160"/>
      <c r="BX1477" s="160"/>
      <c r="BY1477" s="160"/>
      <c r="BZ1477" s="160"/>
      <c r="CA1477" s="160"/>
      <c r="CB1477" s="160"/>
      <c r="CC1477" s="160"/>
      <c r="CD1477" s="160"/>
      <c r="CE1477" s="160"/>
      <c r="CF1477" s="160"/>
      <c r="CG1477" s="160"/>
      <c r="CH1477" s="160"/>
      <c r="CI1477" s="160"/>
      <c r="CJ1477" s="160"/>
      <c r="CK1477" s="160"/>
      <c r="CL1477" s="160"/>
    </row>
    <row r="1478">
      <c r="A1478" s="171"/>
      <c r="F1478" s="11"/>
      <c r="G1478" s="11"/>
      <c r="L1478" s="171"/>
      <c r="M1478" s="171"/>
      <c r="O1478" s="160"/>
      <c r="P1478" s="160"/>
      <c r="Q1478" s="160"/>
      <c r="R1478" s="160"/>
      <c r="S1478" s="160"/>
      <c r="T1478" s="207"/>
      <c r="U1478" s="160"/>
      <c r="V1478" s="160"/>
      <c r="W1478" s="160"/>
      <c r="X1478" s="160"/>
      <c r="Y1478" s="160"/>
      <c r="Z1478" s="160"/>
      <c r="AA1478" s="160"/>
      <c r="AB1478" s="160"/>
      <c r="AC1478" s="160"/>
      <c r="AD1478" s="160"/>
      <c r="AE1478" s="160"/>
      <c r="AF1478" s="160"/>
      <c r="AG1478" s="160"/>
      <c r="AH1478" s="160"/>
      <c r="AI1478" s="160"/>
      <c r="AJ1478" s="160"/>
      <c r="AK1478" s="160"/>
      <c r="AL1478" s="160"/>
      <c r="AM1478" s="160"/>
      <c r="AN1478" s="164"/>
      <c r="AO1478" s="160"/>
      <c r="AP1478" s="160"/>
      <c r="AQ1478" s="160"/>
      <c r="AR1478" s="160"/>
      <c r="AS1478" s="160"/>
      <c r="AT1478" s="160"/>
      <c r="AU1478" s="160"/>
      <c r="AV1478" s="160"/>
      <c r="AW1478" s="160"/>
      <c r="AX1478" s="160"/>
      <c r="AY1478" s="160"/>
      <c r="AZ1478" s="160"/>
      <c r="BA1478" s="160"/>
      <c r="BB1478" s="160"/>
      <c r="BC1478" s="160"/>
      <c r="BD1478" s="160"/>
      <c r="BE1478" s="160"/>
      <c r="BF1478" s="160"/>
      <c r="BG1478" s="160"/>
      <c r="BH1478" s="160"/>
      <c r="BI1478" s="160"/>
      <c r="BJ1478" s="160"/>
      <c r="BK1478" s="160"/>
      <c r="BL1478" s="160"/>
      <c r="BM1478" s="160"/>
      <c r="BN1478" s="160"/>
      <c r="BO1478" s="160"/>
      <c r="BP1478" s="160"/>
      <c r="BQ1478" s="160"/>
      <c r="BR1478" s="160"/>
      <c r="BS1478" s="160"/>
      <c r="BT1478" s="160"/>
      <c r="BU1478" s="160"/>
      <c r="BV1478" s="160"/>
      <c r="BW1478" s="160"/>
      <c r="BX1478" s="160"/>
      <c r="BY1478" s="160"/>
      <c r="BZ1478" s="160"/>
      <c r="CA1478" s="160"/>
      <c r="CB1478" s="160"/>
      <c r="CC1478" s="160"/>
      <c r="CD1478" s="160"/>
      <c r="CE1478" s="160"/>
      <c r="CF1478" s="160"/>
      <c r="CG1478" s="160"/>
      <c r="CH1478" s="160"/>
      <c r="CI1478" s="160"/>
      <c r="CJ1478" s="160"/>
      <c r="CK1478" s="160"/>
      <c r="CL1478" s="160"/>
    </row>
    <row r="1479">
      <c r="A1479" s="171"/>
      <c r="F1479" s="11"/>
      <c r="G1479" s="11"/>
      <c r="L1479" s="171"/>
      <c r="M1479" s="171"/>
      <c r="O1479" s="160"/>
      <c r="P1479" s="160"/>
      <c r="Q1479" s="160"/>
      <c r="R1479" s="160"/>
      <c r="S1479" s="160"/>
      <c r="T1479" s="207"/>
      <c r="U1479" s="160"/>
      <c r="V1479" s="160"/>
      <c r="W1479" s="160"/>
      <c r="X1479" s="160"/>
      <c r="Y1479" s="160"/>
      <c r="Z1479" s="160"/>
      <c r="AA1479" s="160"/>
      <c r="AB1479" s="160"/>
      <c r="AC1479" s="160"/>
      <c r="AD1479" s="160"/>
      <c r="AE1479" s="160"/>
      <c r="AF1479" s="160"/>
      <c r="AG1479" s="160"/>
      <c r="AH1479" s="160"/>
      <c r="AI1479" s="160"/>
      <c r="AJ1479" s="160"/>
      <c r="AK1479" s="160"/>
      <c r="AL1479" s="160"/>
      <c r="AM1479" s="160"/>
      <c r="AN1479" s="164"/>
      <c r="AO1479" s="160"/>
      <c r="AP1479" s="160"/>
      <c r="AQ1479" s="160"/>
      <c r="AR1479" s="160"/>
      <c r="AS1479" s="160"/>
      <c r="AT1479" s="160"/>
      <c r="AU1479" s="160"/>
      <c r="AV1479" s="160"/>
      <c r="AW1479" s="160"/>
      <c r="AX1479" s="160"/>
      <c r="AY1479" s="160"/>
      <c r="AZ1479" s="160"/>
      <c r="BA1479" s="160"/>
      <c r="BB1479" s="160"/>
      <c r="BC1479" s="160"/>
      <c r="BD1479" s="160"/>
      <c r="BE1479" s="160"/>
      <c r="BF1479" s="160"/>
      <c r="BG1479" s="160"/>
      <c r="BH1479" s="160"/>
      <c r="BI1479" s="160"/>
      <c r="BJ1479" s="160"/>
      <c r="BK1479" s="160"/>
      <c r="BL1479" s="160"/>
      <c r="BM1479" s="160"/>
      <c r="BN1479" s="160"/>
      <c r="BO1479" s="160"/>
      <c r="BP1479" s="160"/>
      <c r="BQ1479" s="160"/>
      <c r="BR1479" s="160"/>
      <c r="BS1479" s="160"/>
      <c r="BT1479" s="160"/>
      <c r="BU1479" s="160"/>
      <c r="BV1479" s="160"/>
      <c r="BW1479" s="160"/>
      <c r="BX1479" s="160"/>
      <c r="BY1479" s="160"/>
      <c r="BZ1479" s="160"/>
      <c r="CA1479" s="160"/>
      <c r="CB1479" s="160"/>
      <c r="CC1479" s="160"/>
      <c r="CD1479" s="160"/>
      <c r="CE1479" s="160"/>
      <c r="CF1479" s="160"/>
      <c r="CG1479" s="160"/>
      <c r="CH1479" s="160"/>
      <c r="CI1479" s="160"/>
      <c r="CJ1479" s="160"/>
      <c r="CK1479" s="160"/>
      <c r="CL1479" s="160"/>
    </row>
    <row r="1480">
      <c r="A1480" s="171"/>
      <c r="F1480" s="11"/>
      <c r="G1480" s="11"/>
      <c r="L1480" s="171"/>
      <c r="M1480" s="171"/>
      <c r="O1480" s="160"/>
      <c r="P1480" s="160"/>
      <c r="Q1480" s="160"/>
      <c r="R1480" s="160"/>
      <c r="S1480" s="160"/>
      <c r="T1480" s="207"/>
      <c r="U1480" s="160"/>
      <c r="V1480" s="160"/>
      <c r="W1480" s="160"/>
      <c r="X1480" s="160"/>
      <c r="Y1480" s="160"/>
      <c r="Z1480" s="160"/>
      <c r="AA1480" s="160"/>
      <c r="AB1480" s="160"/>
      <c r="AC1480" s="160"/>
      <c r="AD1480" s="160"/>
      <c r="AE1480" s="160"/>
      <c r="AF1480" s="160"/>
      <c r="AG1480" s="160"/>
      <c r="AH1480" s="160"/>
      <c r="AI1480" s="160"/>
      <c r="AJ1480" s="160"/>
      <c r="AK1480" s="160"/>
      <c r="AL1480" s="160"/>
      <c r="AM1480" s="160"/>
      <c r="AN1480" s="164"/>
      <c r="AO1480" s="160"/>
      <c r="AP1480" s="160"/>
      <c r="AQ1480" s="160"/>
      <c r="AR1480" s="160"/>
      <c r="AS1480" s="160"/>
      <c r="AT1480" s="160"/>
      <c r="AU1480" s="160"/>
      <c r="AV1480" s="160"/>
      <c r="AW1480" s="160"/>
      <c r="AX1480" s="160"/>
      <c r="AY1480" s="160"/>
      <c r="AZ1480" s="160"/>
      <c r="BA1480" s="160"/>
      <c r="BB1480" s="160"/>
      <c r="BC1480" s="160"/>
      <c r="BD1480" s="160"/>
      <c r="BE1480" s="160"/>
      <c r="BF1480" s="160"/>
      <c r="BG1480" s="160"/>
      <c r="BH1480" s="160"/>
      <c r="BI1480" s="160"/>
      <c r="BJ1480" s="160"/>
      <c r="BK1480" s="160"/>
      <c r="BL1480" s="160"/>
      <c r="BM1480" s="160"/>
      <c r="BN1480" s="160"/>
      <c r="BO1480" s="160"/>
      <c r="BP1480" s="160"/>
      <c r="BQ1480" s="160"/>
      <c r="BR1480" s="160"/>
      <c r="BS1480" s="160"/>
      <c r="BT1480" s="160"/>
      <c r="BU1480" s="160"/>
      <c r="BV1480" s="160"/>
      <c r="BW1480" s="160"/>
      <c r="BX1480" s="160"/>
      <c r="BY1480" s="160"/>
      <c r="BZ1480" s="160"/>
      <c r="CA1480" s="160"/>
      <c r="CB1480" s="160"/>
      <c r="CC1480" s="160"/>
      <c r="CD1480" s="160"/>
      <c r="CE1480" s="160"/>
      <c r="CF1480" s="160"/>
      <c r="CG1480" s="160"/>
      <c r="CH1480" s="160"/>
      <c r="CI1480" s="160"/>
      <c r="CJ1480" s="160"/>
      <c r="CK1480" s="160"/>
      <c r="CL1480" s="160"/>
    </row>
    <row r="1481">
      <c r="A1481" s="171"/>
      <c r="F1481" s="11"/>
      <c r="G1481" s="11"/>
      <c r="L1481" s="171"/>
      <c r="M1481" s="171"/>
      <c r="O1481" s="160"/>
      <c r="P1481" s="160"/>
      <c r="Q1481" s="160"/>
      <c r="R1481" s="160"/>
      <c r="S1481" s="160"/>
      <c r="T1481" s="207"/>
      <c r="U1481" s="160"/>
      <c r="V1481" s="160"/>
      <c r="W1481" s="160"/>
      <c r="X1481" s="160"/>
      <c r="Y1481" s="160"/>
      <c r="Z1481" s="160"/>
      <c r="AA1481" s="160"/>
      <c r="AB1481" s="160"/>
      <c r="AC1481" s="160"/>
      <c r="AD1481" s="160"/>
      <c r="AE1481" s="160"/>
      <c r="AF1481" s="160"/>
      <c r="AG1481" s="160"/>
      <c r="AH1481" s="160"/>
      <c r="AI1481" s="160"/>
      <c r="AJ1481" s="160"/>
      <c r="AK1481" s="160"/>
      <c r="AL1481" s="160"/>
      <c r="AM1481" s="160"/>
      <c r="AN1481" s="164"/>
      <c r="AO1481" s="160"/>
      <c r="AP1481" s="160"/>
      <c r="AQ1481" s="160"/>
      <c r="AR1481" s="160"/>
      <c r="AS1481" s="160"/>
      <c r="AT1481" s="160"/>
      <c r="AU1481" s="160"/>
      <c r="AV1481" s="160"/>
      <c r="AW1481" s="160"/>
      <c r="AX1481" s="160"/>
      <c r="AY1481" s="160"/>
      <c r="AZ1481" s="160"/>
      <c r="BA1481" s="160"/>
      <c r="BB1481" s="160"/>
      <c r="BC1481" s="160"/>
      <c r="BD1481" s="160"/>
      <c r="BE1481" s="160"/>
      <c r="BF1481" s="160"/>
      <c r="BG1481" s="160"/>
      <c r="BH1481" s="160"/>
      <c r="BI1481" s="160"/>
      <c r="BJ1481" s="160"/>
      <c r="BK1481" s="160"/>
      <c r="BL1481" s="160"/>
      <c r="BM1481" s="160"/>
      <c r="BN1481" s="160"/>
      <c r="BO1481" s="160"/>
      <c r="BP1481" s="160"/>
      <c r="BQ1481" s="160"/>
      <c r="BR1481" s="160"/>
      <c r="BS1481" s="160"/>
      <c r="BT1481" s="160"/>
      <c r="BU1481" s="160"/>
      <c r="BV1481" s="160"/>
      <c r="BW1481" s="160"/>
      <c r="BX1481" s="160"/>
      <c r="BY1481" s="160"/>
      <c r="BZ1481" s="160"/>
      <c r="CA1481" s="160"/>
      <c r="CB1481" s="160"/>
      <c r="CC1481" s="160"/>
      <c r="CD1481" s="160"/>
      <c r="CE1481" s="160"/>
      <c r="CF1481" s="160"/>
      <c r="CG1481" s="160"/>
      <c r="CH1481" s="160"/>
      <c r="CI1481" s="160"/>
      <c r="CJ1481" s="160"/>
      <c r="CK1481" s="160"/>
      <c r="CL1481" s="160"/>
    </row>
    <row r="1482">
      <c r="A1482" s="171"/>
      <c r="F1482" s="11"/>
      <c r="G1482" s="11"/>
      <c r="L1482" s="171"/>
      <c r="M1482" s="171"/>
      <c r="O1482" s="160"/>
      <c r="P1482" s="160"/>
      <c r="Q1482" s="160"/>
      <c r="R1482" s="160"/>
      <c r="S1482" s="160"/>
      <c r="T1482" s="207"/>
      <c r="U1482" s="160"/>
      <c r="V1482" s="160"/>
      <c r="W1482" s="160"/>
      <c r="X1482" s="160"/>
      <c r="Y1482" s="160"/>
      <c r="Z1482" s="160"/>
      <c r="AA1482" s="160"/>
      <c r="AB1482" s="160"/>
      <c r="AC1482" s="160"/>
      <c r="AD1482" s="160"/>
      <c r="AE1482" s="160"/>
      <c r="AF1482" s="160"/>
      <c r="AG1482" s="160"/>
      <c r="AH1482" s="160"/>
      <c r="AI1482" s="160"/>
      <c r="AJ1482" s="160"/>
      <c r="AK1482" s="160"/>
      <c r="AL1482" s="160"/>
      <c r="AM1482" s="160"/>
      <c r="AN1482" s="164"/>
      <c r="AO1482" s="160"/>
      <c r="AP1482" s="160"/>
      <c r="AQ1482" s="160"/>
      <c r="AR1482" s="160"/>
      <c r="AS1482" s="160"/>
      <c r="AT1482" s="160"/>
      <c r="AU1482" s="160"/>
      <c r="AV1482" s="160"/>
      <c r="AW1482" s="160"/>
      <c r="AX1482" s="160"/>
      <c r="AY1482" s="160"/>
      <c r="AZ1482" s="160"/>
      <c r="BA1482" s="160"/>
      <c r="BB1482" s="160"/>
      <c r="BC1482" s="160"/>
      <c r="BD1482" s="160"/>
      <c r="BE1482" s="160"/>
      <c r="BF1482" s="160"/>
      <c r="BG1482" s="160"/>
      <c r="BH1482" s="160"/>
      <c r="BI1482" s="160"/>
      <c r="BJ1482" s="160"/>
      <c r="BK1482" s="160"/>
      <c r="BL1482" s="160"/>
      <c r="BM1482" s="160"/>
      <c r="BN1482" s="160"/>
      <c r="BO1482" s="160"/>
      <c r="BP1482" s="160"/>
      <c r="BQ1482" s="160"/>
      <c r="BR1482" s="160"/>
      <c r="BS1482" s="160"/>
      <c r="BT1482" s="160"/>
      <c r="BU1482" s="160"/>
      <c r="BV1482" s="160"/>
      <c r="BW1482" s="160"/>
      <c r="BX1482" s="160"/>
      <c r="BY1482" s="160"/>
      <c r="BZ1482" s="160"/>
      <c r="CA1482" s="160"/>
      <c r="CB1482" s="160"/>
      <c r="CC1482" s="160"/>
      <c r="CD1482" s="160"/>
      <c r="CE1482" s="160"/>
      <c r="CF1482" s="160"/>
      <c r="CG1482" s="160"/>
      <c r="CH1482" s="160"/>
      <c r="CI1482" s="160"/>
      <c r="CJ1482" s="160"/>
      <c r="CK1482" s="160"/>
      <c r="CL1482" s="160"/>
    </row>
    <row r="1483">
      <c r="A1483" s="171"/>
      <c r="F1483" s="11"/>
      <c r="G1483" s="11"/>
      <c r="L1483" s="171"/>
      <c r="M1483" s="171"/>
      <c r="O1483" s="160"/>
      <c r="P1483" s="160"/>
      <c r="Q1483" s="160"/>
      <c r="R1483" s="160"/>
      <c r="S1483" s="160"/>
      <c r="T1483" s="207"/>
      <c r="U1483" s="160"/>
      <c r="V1483" s="160"/>
      <c r="W1483" s="160"/>
      <c r="X1483" s="160"/>
      <c r="Y1483" s="160"/>
      <c r="Z1483" s="160"/>
      <c r="AA1483" s="160"/>
      <c r="AB1483" s="160"/>
      <c r="AC1483" s="160"/>
      <c r="AD1483" s="160"/>
      <c r="AE1483" s="160"/>
      <c r="AF1483" s="160"/>
      <c r="AG1483" s="160"/>
      <c r="AH1483" s="160"/>
      <c r="AI1483" s="160"/>
      <c r="AJ1483" s="160"/>
      <c r="AK1483" s="160"/>
      <c r="AL1483" s="160"/>
      <c r="AM1483" s="160"/>
      <c r="AN1483" s="164"/>
      <c r="AO1483" s="160"/>
      <c r="AP1483" s="160"/>
      <c r="AQ1483" s="160"/>
      <c r="AR1483" s="160"/>
      <c r="AS1483" s="160"/>
      <c r="AT1483" s="160"/>
      <c r="AU1483" s="160"/>
      <c r="AV1483" s="160"/>
      <c r="AW1483" s="160"/>
      <c r="AX1483" s="160"/>
      <c r="AY1483" s="160"/>
      <c r="AZ1483" s="160"/>
      <c r="BA1483" s="160"/>
      <c r="BB1483" s="160"/>
      <c r="BC1483" s="160"/>
      <c r="BD1483" s="160"/>
      <c r="BE1483" s="160"/>
      <c r="BF1483" s="160"/>
      <c r="BG1483" s="160"/>
      <c r="BH1483" s="160"/>
      <c r="BI1483" s="160"/>
      <c r="BJ1483" s="160"/>
      <c r="BK1483" s="160"/>
      <c r="BL1483" s="160"/>
      <c r="BM1483" s="160"/>
      <c r="BN1483" s="160"/>
      <c r="BO1483" s="160"/>
      <c r="BP1483" s="160"/>
      <c r="BQ1483" s="160"/>
      <c r="BR1483" s="160"/>
      <c r="BS1483" s="160"/>
      <c r="BT1483" s="160"/>
      <c r="BU1483" s="160"/>
      <c r="BV1483" s="160"/>
      <c r="BW1483" s="160"/>
      <c r="BX1483" s="160"/>
      <c r="BY1483" s="160"/>
      <c r="BZ1483" s="160"/>
      <c r="CA1483" s="160"/>
      <c r="CB1483" s="160"/>
      <c r="CC1483" s="160"/>
      <c r="CD1483" s="160"/>
      <c r="CE1483" s="160"/>
      <c r="CF1483" s="160"/>
      <c r="CG1483" s="160"/>
      <c r="CH1483" s="160"/>
      <c r="CI1483" s="160"/>
      <c r="CJ1483" s="160"/>
      <c r="CK1483" s="160"/>
      <c r="CL1483" s="160"/>
    </row>
    <row r="1484">
      <c r="A1484" s="171"/>
      <c r="F1484" s="11"/>
      <c r="G1484" s="11"/>
      <c r="L1484" s="171"/>
      <c r="M1484" s="171"/>
      <c r="O1484" s="160"/>
      <c r="P1484" s="160"/>
      <c r="Q1484" s="160"/>
      <c r="R1484" s="160"/>
      <c r="S1484" s="160"/>
      <c r="T1484" s="207"/>
      <c r="U1484" s="160"/>
      <c r="V1484" s="160"/>
      <c r="W1484" s="160"/>
      <c r="X1484" s="160"/>
      <c r="Y1484" s="160"/>
      <c r="Z1484" s="160"/>
      <c r="AA1484" s="160"/>
      <c r="AB1484" s="160"/>
      <c r="AC1484" s="160"/>
      <c r="AD1484" s="160"/>
      <c r="AE1484" s="160"/>
      <c r="AF1484" s="160"/>
      <c r="AG1484" s="160"/>
      <c r="AH1484" s="160"/>
      <c r="AI1484" s="160"/>
      <c r="AJ1484" s="160"/>
      <c r="AK1484" s="160"/>
      <c r="AL1484" s="160"/>
      <c r="AM1484" s="160"/>
      <c r="AN1484" s="164"/>
      <c r="AO1484" s="160"/>
      <c r="AP1484" s="160"/>
      <c r="AQ1484" s="160"/>
      <c r="AR1484" s="160"/>
      <c r="AS1484" s="160"/>
      <c r="AT1484" s="160"/>
      <c r="AU1484" s="160"/>
      <c r="AV1484" s="160"/>
      <c r="AW1484" s="160"/>
      <c r="AX1484" s="160"/>
      <c r="AY1484" s="160"/>
      <c r="AZ1484" s="160"/>
      <c r="BA1484" s="160"/>
      <c r="BB1484" s="160"/>
      <c r="BC1484" s="160"/>
      <c r="BD1484" s="160"/>
      <c r="BE1484" s="160"/>
      <c r="BF1484" s="160"/>
      <c r="BG1484" s="160"/>
      <c r="BH1484" s="160"/>
      <c r="BI1484" s="160"/>
      <c r="BJ1484" s="160"/>
      <c r="BK1484" s="160"/>
      <c r="BL1484" s="160"/>
      <c r="BM1484" s="160"/>
      <c r="BN1484" s="160"/>
      <c r="BO1484" s="160"/>
      <c r="BP1484" s="160"/>
      <c r="BQ1484" s="160"/>
      <c r="BR1484" s="160"/>
      <c r="BS1484" s="160"/>
      <c r="BT1484" s="160"/>
      <c r="BU1484" s="160"/>
      <c r="BV1484" s="160"/>
      <c r="BW1484" s="160"/>
      <c r="BX1484" s="160"/>
      <c r="BY1484" s="160"/>
      <c r="BZ1484" s="160"/>
      <c r="CA1484" s="160"/>
      <c r="CB1484" s="160"/>
      <c r="CC1484" s="160"/>
      <c r="CD1484" s="160"/>
      <c r="CE1484" s="160"/>
      <c r="CF1484" s="160"/>
      <c r="CG1484" s="160"/>
      <c r="CH1484" s="160"/>
      <c r="CI1484" s="160"/>
      <c r="CJ1484" s="160"/>
      <c r="CK1484" s="160"/>
      <c r="CL1484" s="160"/>
    </row>
    <row r="1485">
      <c r="A1485" s="171"/>
      <c r="F1485" s="11"/>
      <c r="G1485" s="11"/>
      <c r="L1485" s="171"/>
      <c r="M1485" s="171"/>
      <c r="O1485" s="160"/>
      <c r="P1485" s="160"/>
      <c r="Q1485" s="160"/>
      <c r="R1485" s="160"/>
      <c r="S1485" s="160"/>
      <c r="T1485" s="207"/>
      <c r="U1485" s="160"/>
      <c r="V1485" s="160"/>
      <c r="W1485" s="160"/>
      <c r="X1485" s="160"/>
      <c r="Y1485" s="160"/>
      <c r="Z1485" s="160"/>
      <c r="AA1485" s="160"/>
      <c r="AB1485" s="160"/>
      <c r="AC1485" s="160"/>
      <c r="AD1485" s="160"/>
      <c r="AE1485" s="160"/>
      <c r="AF1485" s="160"/>
      <c r="AG1485" s="160"/>
      <c r="AH1485" s="160"/>
      <c r="AI1485" s="160"/>
      <c r="AJ1485" s="160"/>
      <c r="AK1485" s="160"/>
      <c r="AL1485" s="160"/>
      <c r="AM1485" s="160"/>
      <c r="AN1485" s="164"/>
      <c r="AO1485" s="160"/>
      <c r="AP1485" s="160"/>
      <c r="AQ1485" s="160"/>
      <c r="AR1485" s="160"/>
      <c r="AS1485" s="160"/>
      <c r="AT1485" s="160"/>
      <c r="AU1485" s="160"/>
      <c r="AV1485" s="160"/>
      <c r="AW1485" s="160"/>
      <c r="AX1485" s="160"/>
      <c r="AY1485" s="160"/>
      <c r="AZ1485" s="160"/>
      <c r="BA1485" s="160"/>
      <c r="BB1485" s="160"/>
      <c r="BC1485" s="160"/>
      <c r="BD1485" s="160"/>
      <c r="BE1485" s="160"/>
      <c r="BF1485" s="160"/>
      <c r="BG1485" s="160"/>
      <c r="BH1485" s="160"/>
      <c r="BI1485" s="160"/>
      <c r="BJ1485" s="160"/>
      <c r="BK1485" s="160"/>
      <c r="BL1485" s="160"/>
      <c r="BM1485" s="160"/>
      <c r="BN1485" s="160"/>
      <c r="BO1485" s="160"/>
      <c r="BP1485" s="160"/>
      <c r="BQ1485" s="160"/>
      <c r="BR1485" s="160"/>
      <c r="BS1485" s="160"/>
      <c r="BT1485" s="160"/>
      <c r="BU1485" s="160"/>
      <c r="BV1485" s="160"/>
      <c r="BW1485" s="160"/>
      <c r="BX1485" s="160"/>
      <c r="BY1485" s="160"/>
      <c r="BZ1485" s="160"/>
      <c r="CA1485" s="160"/>
      <c r="CB1485" s="160"/>
      <c r="CC1485" s="160"/>
      <c r="CD1485" s="160"/>
      <c r="CE1485" s="160"/>
      <c r="CF1485" s="160"/>
      <c r="CG1485" s="160"/>
      <c r="CH1485" s="160"/>
      <c r="CI1485" s="160"/>
      <c r="CJ1485" s="160"/>
      <c r="CK1485" s="160"/>
      <c r="CL1485" s="160"/>
    </row>
    <row r="1486">
      <c r="A1486" s="171"/>
      <c r="F1486" s="11"/>
      <c r="G1486" s="11"/>
      <c r="L1486" s="171"/>
      <c r="M1486" s="171"/>
      <c r="O1486" s="160"/>
      <c r="P1486" s="160"/>
      <c r="Q1486" s="160"/>
      <c r="R1486" s="160"/>
      <c r="S1486" s="160"/>
      <c r="T1486" s="207"/>
      <c r="U1486" s="160"/>
      <c r="V1486" s="160"/>
      <c r="W1486" s="160"/>
      <c r="X1486" s="160"/>
      <c r="Y1486" s="160"/>
      <c r="Z1486" s="160"/>
      <c r="AA1486" s="160"/>
      <c r="AB1486" s="160"/>
      <c r="AC1486" s="160"/>
      <c r="AD1486" s="160"/>
      <c r="AE1486" s="160"/>
      <c r="AF1486" s="160"/>
      <c r="AG1486" s="160"/>
      <c r="AH1486" s="160"/>
      <c r="AI1486" s="160"/>
      <c r="AJ1486" s="160"/>
      <c r="AK1486" s="160"/>
      <c r="AL1486" s="160"/>
      <c r="AM1486" s="160"/>
      <c r="AN1486" s="164"/>
      <c r="AO1486" s="160"/>
      <c r="AP1486" s="160"/>
      <c r="AQ1486" s="160"/>
      <c r="AR1486" s="160"/>
      <c r="AS1486" s="160"/>
      <c r="AT1486" s="160"/>
      <c r="AU1486" s="160"/>
      <c r="AV1486" s="160"/>
      <c r="AW1486" s="160"/>
      <c r="AX1486" s="160"/>
      <c r="AY1486" s="160"/>
      <c r="AZ1486" s="160"/>
      <c r="BA1486" s="160"/>
      <c r="BB1486" s="160"/>
      <c r="BC1486" s="160"/>
      <c r="BD1486" s="160"/>
      <c r="BE1486" s="160"/>
      <c r="BF1486" s="160"/>
      <c r="BG1486" s="160"/>
      <c r="BH1486" s="160"/>
      <c r="BI1486" s="160"/>
      <c r="BJ1486" s="160"/>
      <c r="BK1486" s="160"/>
      <c r="BL1486" s="160"/>
      <c r="BM1486" s="160"/>
      <c r="BN1486" s="160"/>
      <c r="BO1486" s="160"/>
      <c r="BP1486" s="160"/>
      <c r="BQ1486" s="160"/>
      <c r="BR1486" s="160"/>
      <c r="BS1486" s="160"/>
      <c r="BT1486" s="160"/>
      <c r="BU1486" s="160"/>
      <c r="BV1486" s="160"/>
      <c r="BW1486" s="160"/>
      <c r="BX1486" s="160"/>
      <c r="BY1486" s="160"/>
      <c r="BZ1486" s="160"/>
      <c r="CA1486" s="160"/>
      <c r="CB1486" s="160"/>
      <c r="CC1486" s="160"/>
      <c r="CD1486" s="160"/>
      <c r="CE1486" s="160"/>
      <c r="CF1486" s="160"/>
      <c r="CG1486" s="160"/>
      <c r="CH1486" s="160"/>
      <c r="CI1486" s="160"/>
      <c r="CJ1486" s="160"/>
      <c r="CK1486" s="160"/>
      <c r="CL1486" s="160"/>
    </row>
    <row r="1487">
      <c r="A1487" s="171"/>
      <c r="F1487" s="11"/>
      <c r="G1487" s="11"/>
      <c r="L1487" s="171"/>
      <c r="M1487" s="171"/>
      <c r="O1487" s="160"/>
      <c r="P1487" s="160"/>
      <c r="Q1487" s="160"/>
      <c r="R1487" s="160"/>
      <c r="S1487" s="160"/>
      <c r="T1487" s="207"/>
      <c r="U1487" s="160"/>
      <c r="V1487" s="160"/>
      <c r="W1487" s="160"/>
      <c r="X1487" s="160"/>
      <c r="Y1487" s="160"/>
      <c r="Z1487" s="160"/>
      <c r="AA1487" s="160"/>
      <c r="AB1487" s="160"/>
      <c r="AC1487" s="160"/>
      <c r="AD1487" s="160"/>
      <c r="AE1487" s="160"/>
      <c r="AF1487" s="160"/>
      <c r="AG1487" s="160"/>
      <c r="AH1487" s="160"/>
      <c r="AI1487" s="160"/>
      <c r="AJ1487" s="160"/>
      <c r="AK1487" s="160"/>
      <c r="AL1487" s="160"/>
      <c r="AM1487" s="160"/>
      <c r="AN1487" s="164"/>
      <c r="AO1487" s="160"/>
      <c r="AP1487" s="160"/>
      <c r="AQ1487" s="160"/>
      <c r="AR1487" s="160"/>
      <c r="AS1487" s="160"/>
      <c r="AT1487" s="160"/>
      <c r="AU1487" s="160"/>
      <c r="AV1487" s="160"/>
      <c r="AW1487" s="160"/>
      <c r="AX1487" s="160"/>
      <c r="AY1487" s="160"/>
      <c r="AZ1487" s="160"/>
      <c r="BA1487" s="160"/>
      <c r="BB1487" s="160"/>
      <c r="BC1487" s="160"/>
      <c r="BD1487" s="160"/>
      <c r="BE1487" s="160"/>
      <c r="BF1487" s="160"/>
      <c r="BG1487" s="160"/>
      <c r="BH1487" s="160"/>
      <c r="BI1487" s="160"/>
      <c r="BJ1487" s="160"/>
      <c r="BK1487" s="160"/>
      <c r="BL1487" s="160"/>
      <c r="BM1487" s="160"/>
      <c r="BN1487" s="160"/>
      <c r="BO1487" s="160"/>
      <c r="BP1487" s="160"/>
      <c r="BQ1487" s="160"/>
      <c r="BR1487" s="160"/>
      <c r="BS1487" s="160"/>
      <c r="BT1487" s="160"/>
      <c r="BU1487" s="160"/>
      <c r="BV1487" s="160"/>
      <c r="BW1487" s="160"/>
      <c r="BX1487" s="160"/>
      <c r="BY1487" s="160"/>
      <c r="BZ1487" s="160"/>
      <c r="CA1487" s="160"/>
      <c r="CB1487" s="160"/>
      <c r="CC1487" s="160"/>
      <c r="CD1487" s="160"/>
      <c r="CE1487" s="160"/>
      <c r="CF1487" s="160"/>
      <c r="CG1487" s="160"/>
      <c r="CH1487" s="160"/>
      <c r="CI1487" s="160"/>
      <c r="CJ1487" s="160"/>
      <c r="CK1487" s="160"/>
      <c r="CL1487" s="160"/>
    </row>
    <row r="1488">
      <c r="A1488" s="171"/>
      <c r="F1488" s="11"/>
      <c r="G1488" s="11"/>
      <c r="L1488" s="171"/>
      <c r="M1488" s="171"/>
      <c r="O1488" s="160"/>
      <c r="P1488" s="160"/>
      <c r="Q1488" s="160"/>
      <c r="R1488" s="160"/>
      <c r="S1488" s="160"/>
      <c r="T1488" s="207"/>
      <c r="U1488" s="160"/>
      <c r="V1488" s="160"/>
      <c r="W1488" s="160"/>
      <c r="X1488" s="160"/>
      <c r="Y1488" s="160"/>
      <c r="Z1488" s="160"/>
      <c r="AA1488" s="160"/>
      <c r="AB1488" s="160"/>
      <c r="AC1488" s="160"/>
      <c r="AD1488" s="160"/>
      <c r="AE1488" s="160"/>
      <c r="AF1488" s="160"/>
      <c r="AG1488" s="160"/>
      <c r="AH1488" s="160"/>
      <c r="AI1488" s="160"/>
      <c r="AJ1488" s="160"/>
      <c r="AK1488" s="160"/>
      <c r="AL1488" s="160"/>
      <c r="AM1488" s="160"/>
      <c r="AN1488" s="164"/>
      <c r="AO1488" s="160"/>
      <c r="AP1488" s="160"/>
      <c r="AQ1488" s="160"/>
      <c r="AR1488" s="160"/>
      <c r="AS1488" s="160"/>
      <c r="AT1488" s="160"/>
      <c r="AU1488" s="160"/>
      <c r="AV1488" s="160"/>
      <c r="AW1488" s="160"/>
      <c r="AX1488" s="160"/>
      <c r="AY1488" s="160"/>
      <c r="AZ1488" s="160"/>
      <c r="BA1488" s="160"/>
      <c r="BB1488" s="160"/>
      <c r="BC1488" s="160"/>
      <c r="BD1488" s="160"/>
      <c r="BE1488" s="160"/>
      <c r="BF1488" s="160"/>
      <c r="BG1488" s="160"/>
      <c r="BH1488" s="160"/>
      <c r="BI1488" s="160"/>
      <c r="BJ1488" s="160"/>
      <c r="BK1488" s="160"/>
      <c r="BL1488" s="160"/>
      <c r="BM1488" s="160"/>
      <c r="BN1488" s="160"/>
      <c r="BO1488" s="160"/>
      <c r="BP1488" s="160"/>
      <c r="BQ1488" s="160"/>
      <c r="BR1488" s="160"/>
      <c r="BS1488" s="160"/>
      <c r="BT1488" s="160"/>
      <c r="BU1488" s="160"/>
      <c r="BV1488" s="160"/>
      <c r="BW1488" s="160"/>
      <c r="BX1488" s="160"/>
      <c r="BY1488" s="160"/>
      <c r="BZ1488" s="160"/>
      <c r="CA1488" s="160"/>
      <c r="CB1488" s="160"/>
      <c r="CC1488" s="160"/>
      <c r="CD1488" s="160"/>
      <c r="CE1488" s="160"/>
      <c r="CF1488" s="160"/>
      <c r="CG1488" s="160"/>
      <c r="CH1488" s="160"/>
      <c r="CI1488" s="160"/>
      <c r="CJ1488" s="160"/>
      <c r="CK1488" s="160"/>
      <c r="CL1488" s="160"/>
    </row>
    <row r="1489">
      <c r="A1489" s="171"/>
      <c r="F1489" s="11"/>
      <c r="G1489" s="11"/>
      <c r="L1489" s="171"/>
      <c r="M1489" s="171"/>
      <c r="O1489" s="160"/>
      <c r="P1489" s="160"/>
      <c r="Q1489" s="160"/>
      <c r="R1489" s="160"/>
      <c r="S1489" s="160"/>
      <c r="T1489" s="207"/>
      <c r="U1489" s="160"/>
      <c r="V1489" s="160"/>
      <c r="W1489" s="160"/>
      <c r="X1489" s="160"/>
      <c r="Y1489" s="160"/>
      <c r="Z1489" s="160"/>
      <c r="AA1489" s="160"/>
      <c r="AB1489" s="160"/>
      <c r="AC1489" s="160"/>
      <c r="AD1489" s="160"/>
      <c r="AE1489" s="160"/>
      <c r="AF1489" s="160"/>
      <c r="AG1489" s="160"/>
      <c r="AH1489" s="160"/>
      <c r="AI1489" s="160"/>
      <c r="AJ1489" s="160"/>
      <c r="AK1489" s="160"/>
      <c r="AL1489" s="160"/>
      <c r="AM1489" s="160"/>
      <c r="AN1489" s="164"/>
      <c r="AO1489" s="160"/>
      <c r="AP1489" s="160"/>
      <c r="AQ1489" s="160"/>
      <c r="AR1489" s="160"/>
      <c r="AS1489" s="160"/>
      <c r="AT1489" s="160"/>
      <c r="AU1489" s="160"/>
      <c r="AV1489" s="160"/>
      <c r="AW1489" s="160"/>
      <c r="AX1489" s="160"/>
      <c r="AY1489" s="160"/>
      <c r="AZ1489" s="160"/>
      <c r="BA1489" s="160"/>
      <c r="BB1489" s="160"/>
      <c r="BC1489" s="160"/>
      <c r="BD1489" s="160"/>
      <c r="BE1489" s="160"/>
      <c r="BF1489" s="160"/>
      <c r="BG1489" s="160"/>
      <c r="BH1489" s="160"/>
      <c r="BI1489" s="160"/>
      <c r="BJ1489" s="160"/>
      <c r="BK1489" s="160"/>
      <c r="BL1489" s="160"/>
      <c r="BM1489" s="160"/>
      <c r="BN1489" s="160"/>
      <c r="BO1489" s="160"/>
      <c r="BP1489" s="160"/>
      <c r="BQ1489" s="160"/>
      <c r="BR1489" s="160"/>
      <c r="BS1489" s="160"/>
      <c r="BT1489" s="160"/>
      <c r="BU1489" s="160"/>
      <c r="BV1489" s="160"/>
      <c r="BW1489" s="160"/>
      <c r="BX1489" s="160"/>
      <c r="BY1489" s="160"/>
      <c r="BZ1489" s="160"/>
      <c r="CA1489" s="160"/>
      <c r="CB1489" s="160"/>
      <c r="CC1489" s="160"/>
      <c r="CD1489" s="160"/>
      <c r="CE1489" s="160"/>
      <c r="CF1489" s="160"/>
      <c r="CG1489" s="160"/>
      <c r="CH1489" s="160"/>
      <c r="CI1489" s="160"/>
      <c r="CJ1489" s="160"/>
      <c r="CK1489" s="160"/>
      <c r="CL1489" s="160"/>
    </row>
    <row r="1490">
      <c r="A1490" s="171"/>
      <c r="F1490" s="11"/>
      <c r="G1490" s="11"/>
      <c r="L1490" s="171"/>
      <c r="M1490" s="171"/>
      <c r="O1490" s="160"/>
      <c r="P1490" s="160"/>
      <c r="Q1490" s="160"/>
      <c r="R1490" s="160"/>
      <c r="S1490" s="160"/>
      <c r="T1490" s="207"/>
      <c r="U1490" s="160"/>
      <c r="V1490" s="160"/>
      <c r="W1490" s="160"/>
      <c r="X1490" s="160"/>
      <c r="Y1490" s="160"/>
      <c r="Z1490" s="160"/>
      <c r="AA1490" s="160"/>
      <c r="AB1490" s="160"/>
      <c r="AC1490" s="160"/>
      <c r="AD1490" s="160"/>
      <c r="AE1490" s="160"/>
      <c r="AF1490" s="160"/>
      <c r="AG1490" s="160"/>
      <c r="AH1490" s="160"/>
      <c r="AI1490" s="160"/>
      <c r="AJ1490" s="160"/>
      <c r="AK1490" s="160"/>
      <c r="AL1490" s="160"/>
      <c r="AM1490" s="160"/>
      <c r="AN1490" s="164"/>
      <c r="AO1490" s="160"/>
      <c r="AP1490" s="160"/>
      <c r="AQ1490" s="160"/>
      <c r="AR1490" s="160"/>
      <c r="AS1490" s="160"/>
      <c r="AT1490" s="160"/>
      <c r="AU1490" s="160"/>
      <c r="AV1490" s="160"/>
      <c r="AW1490" s="160"/>
      <c r="AX1490" s="160"/>
      <c r="AY1490" s="160"/>
      <c r="AZ1490" s="160"/>
      <c r="BA1490" s="160"/>
      <c r="BB1490" s="160"/>
      <c r="BC1490" s="160"/>
      <c r="BD1490" s="160"/>
      <c r="BE1490" s="160"/>
      <c r="BF1490" s="160"/>
      <c r="BG1490" s="160"/>
      <c r="BH1490" s="160"/>
      <c r="BI1490" s="160"/>
      <c r="BJ1490" s="160"/>
      <c r="BK1490" s="160"/>
      <c r="BL1490" s="160"/>
      <c r="BM1490" s="160"/>
      <c r="BN1490" s="160"/>
      <c r="BO1490" s="160"/>
      <c r="BP1490" s="160"/>
      <c r="BQ1490" s="160"/>
      <c r="BR1490" s="160"/>
      <c r="BS1490" s="160"/>
      <c r="BT1490" s="160"/>
      <c r="BU1490" s="160"/>
      <c r="BV1490" s="160"/>
      <c r="BW1490" s="160"/>
      <c r="BX1490" s="160"/>
      <c r="BY1490" s="160"/>
      <c r="BZ1490" s="160"/>
      <c r="CA1490" s="160"/>
      <c r="CB1490" s="160"/>
      <c r="CC1490" s="160"/>
      <c r="CD1490" s="160"/>
      <c r="CE1490" s="160"/>
      <c r="CF1490" s="160"/>
      <c r="CG1490" s="160"/>
      <c r="CH1490" s="160"/>
      <c r="CI1490" s="160"/>
      <c r="CJ1490" s="160"/>
      <c r="CK1490" s="160"/>
      <c r="CL1490" s="160"/>
    </row>
    <row r="1491">
      <c r="A1491" s="171"/>
      <c r="F1491" s="11"/>
      <c r="G1491" s="11"/>
      <c r="L1491" s="171"/>
      <c r="M1491" s="171"/>
      <c r="O1491" s="160"/>
      <c r="P1491" s="160"/>
      <c r="Q1491" s="160"/>
      <c r="R1491" s="160"/>
      <c r="S1491" s="160"/>
      <c r="T1491" s="207"/>
      <c r="U1491" s="160"/>
      <c r="V1491" s="160"/>
      <c r="W1491" s="160"/>
      <c r="X1491" s="160"/>
      <c r="Y1491" s="160"/>
      <c r="Z1491" s="160"/>
      <c r="AA1491" s="160"/>
      <c r="AB1491" s="160"/>
      <c r="AC1491" s="160"/>
      <c r="AD1491" s="160"/>
      <c r="AE1491" s="160"/>
      <c r="AF1491" s="160"/>
      <c r="AG1491" s="160"/>
      <c r="AH1491" s="160"/>
      <c r="AI1491" s="160"/>
      <c r="AJ1491" s="160"/>
      <c r="AK1491" s="160"/>
      <c r="AL1491" s="160"/>
      <c r="AM1491" s="160"/>
      <c r="AN1491" s="164"/>
      <c r="AO1491" s="160"/>
      <c r="AP1491" s="160"/>
      <c r="AQ1491" s="160"/>
      <c r="AR1491" s="160"/>
      <c r="AS1491" s="160"/>
      <c r="AT1491" s="160"/>
      <c r="AU1491" s="160"/>
      <c r="AV1491" s="160"/>
      <c r="AW1491" s="160"/>
      <c r="AX1491" s="160"/>
      <c r="AY1491" s="160"/>
      <c r="AZ1491" s="160"/>
      <c r="BA1491" s="160"/>
      <c r="BB1491" s="160"/>
      <c r="BC1491" s="160"/>
      <c r="BD1491" s="160"/>
      <c r="BE1491" s="160"/>
      <c r="BF1491" s="160"/>
      <c r="BG1491" s="160"/>
      <c r="BH1491" s="160"/>
      <c r="BI1491" s="160"/>
      <c r="BJ1491" s="160"/>
      <c r="BK1491" s="160"/>
      <c r="BL1491" s="160"/>
      <c r="BM1491" s="160"/>
      <c r="BN1491" s="160"/>
      <c r="BO1491" s="160"/>
      <c r="BP1491" s="160"/>
      <c r="BQ1491" s="160"/>
      <c r="BR1491" s="160"/>
      <c r="BS1491" s="160"/>
      <c r="BT1491" s="160"/>
      <c r="BU1491" s="160"/>
      <c r="BV1491" s="160"/>
      <c r="BW1491" s="160"/>
      <c r="BX1491" s="160"/>
      <c r="BY1491" s="160"/>
      <c r="BZ1491" s="160"/>
      <c r="CA1491" s="160"/>
      <c r="CB1491" s="160"/>
      <c r="CC1491" s="160"/>
      <c r="CD1491" s="160"/>
      <c r="CE1491" s="160"/>
      <c r="CF1491" s="160"/>
      <c r="CG1491" s="160"/>
      <c r="CH1491" s="160"/>
      <c r="CI1491" s="160"/>
      <c r="CJ1491" s="160"/>
      <c r="CK1491" s="160"/>
      <c r="CL1491" s="160"/>
    </row>
    <row r="1492">
      <c r="A1492" s="171"/>
      <c r="F1492" s="11"/>
      <c r="G1492" s="11"/>
      <c r="L1492" s="171"/>
      <c r="M1492" s="171"/>
      <c r="O1492" s="160"/>
      <c r="P1492" s="160"/>
      <c r="Q1492" s="160"/>
      <c r="R1492" s="160"/>
      <c r="S1492" s="160"/>
      <c r="T1492" s="207"/>
      <c r="U1492" s="160"/>
      <c r="V1492" s="160"/>
      <c r="W1492" s="160"/>
      <c r="X1492" s="160"/>
      <c r="Y1492" s="160"/>
      <c r="Z1492" s="160"/>
      <c r="AA1492" s="160"/>
      <c r="AB1492" s="160"/>
      <c r="AC1492" s="160"/>
      <c r="AD1492" s="160"/>
      <c r="AE1492" s="160"/>
      <c r="AF1492" s="160"/>
      <c r="AG1492" s="160"/>
      <c r="AH1492" s="160"/>
      <c r="AI1492" s="160"/>
      <c r="AJ1492" s="160"/>
      <c r="AK1492" s="160"/>
      <c r="AL1492" s="160"/>
      <c r="AM1492" s="160"/>
      <c r="AN1492" s="164"/>
      <c r="AO1492" s="160"/>
      <c r="AP1492" s="160"/>
      <c r="AQ1492" s="160"/>
      <c r="AR1492" s="160"/>
      <c r="AS1492" s="160"/>
      <c r="AT1492" s="160"/>
      <c r="AU1492" s="160"/>
      <c r="AV1492" s="160"/>
      <c r="AW1492" s="160"/>
      <c r="AX1492" s="160"/>
      <c r="AY1492" s="160"/>
      <c r="AZ1492" s="160"/>
      <c r="BA1492" s="160"/>
      <c r="BB1492" s="160"/>
      <c r="BC1492" s="160"/>
      <c r="BD1492" s="160"/>
      <c r="BE1492" s="160"/>
      <c r="BF1492" s="160"/>
      <c r="BG1492" s="160"/>
      <c r="BH1492" s="160"/>
      <c r="BI1492" s="160"/>
      <c r="BJ1492" s="160"/>
      <c r="BK1492" s="160"/>
      <c r="BL1492" s="160"/>
      <c r="BM1492" s="160"/>
      <c r="BN1492" s="160"/>
      <c r="BO1492" s="160"/>
      <c r="BP1492" s="160"/>
      <c r="BQ1492" s="160"/>
      <c r="BR1492" s="160"/>
      <c r="BS1492" s="160"/>
      <c r="BT1492" s="160"/>
      <c r="BU1492" s="160"/>
      <c r="BV1492" s="160"/>
      <c r="BW1492" s="160"/>
      <c r="BX1492" s="160"/>
      <c r="BY1492" s="160"/>
      <c r="BZ1492" s="160"/>
      <c r="CA1492" s="160"/>
      <c r="CB1492" s="160"/>
      <c r="CC1492" s="160"/>
      <c r="CD1492" s="160"/>
      <c r="CE1492" s="160"/>
      <c r="CF1492" s="160"/>
      <c r="CG1492" s="160"/>
      <c r="CH1492" s="160"/>
      <c r="CI1492" s="160"/>
      <c r="CJ1492" s="160"/>
      <c r="CK1492" s="160"/>
      <c r="CL1492" s="160"/>
    </row>
    <row r="1493">
      <c r="A1493" s="171"/>
      <c r="F1493" s="11"/>
      <c r="G1493" s="11"/>
      <c r="L1493" s="171"/>
      <c r="M1493" s="171"/>
      <c r="O1493" s="160"/>
      <c r="P1493" s="160"/>
      <c r="Q1493" s="160"/>
      <c r="R1493" s="160"/>
      <c r="S1493" s="160"/>
      <c r="T1493" s="207"/>
      <c r="U1493" s="160"/>
      <c r="V1493" s="160"/>
      <c r="W1493" s="160"/>
      <c r="X1493" s="160"/>
      <c r="Y1493" s="160"/>
      <c r="Z1493" s="160"/>
      <c r="AA1493" s="160"/>
      <c r="AB1493" s="160"/>
      <c r="AC1493" s="160"/>
      <c r="AD1493" s="160"/>
      <c r="AE1493" s="160"/>
      <c r="AF1493" s="160"/>
      <c r="AG1493" s="160"/>
      <c r="AH1493" s="160"/>
      <c r="AI1493" s="160"/>
      <c r="AJ1493" s="160"/>
      <c r="AK1493" s="160"/>
      <c r="AL1493" s="160"/>
      <c r="AM1493" s="160"/>
      <c r="AN1493" s="164"/>
      <c r="AO1493" s="160"/>
      <c r="AP1493" s="160"/>
      <c r="AQ1493" s="160"/>
      <c r="AR1493" s="160"/>
      <c r="AS1493" s="160"/>
      <c r="AT1493" s="160"/>
      <c r="AU1493" s="160"/>
      <c r="AV1493" s="160"/>
      <c r="AW1493" s="160"/>
      <c r="AX1493" s="160"/>
      <c r="AY1493" s="160"/>
      <c r="AZ1493" s="160"/>
      <c r="BA1493" s="160"/>
      <c r="BB1493" s="160"/>
      <c r="BC1493" s="160"/>
      <c r="BD1493" s="160"/>
      <c r="BE1493" s="160"/>
      <c r="BF1493" s="160"/>
      <c r="BG1493" s="160"/>
      <c r="BH1493" s="160"/>
      <c r="BI1493" s="160"/>
      <c r="BJ1493" s="160"/>
      <c r="BK1493" s="160"/>
      <c r="BL1493" s="160"/>
      <c r="BM1493" s="160"/>
      <c r="BN1493" s="160"/>
      <c r="BO1493" s="160"/>
      <c r="BP1493" s="160"/>
      <c r="BQ1493" s="160"/>
      <c r="BR1493" s="160"/>
      <c r="BS1493" s="160"/>
      <c r="BT1493" s="160"/>
      <c r="BU1493" s="160"/>
      <c r="BV1493" s="160"/>
      <c r="BW1493" s="160"/>
      <c r="BX1493" s="160"/>
      <c r="BY1493" s="160"/>
      <c r="BZ1493" s="160"/>
      <c r="CA1493" s="160"/>
      <c r="CB1493" s="160"/>
      <c r="CC1493" s="160"/>
      <c r="CD1493" s="160"/>
      <c r="CE1493" s="160"/>
      <c r="CF1493" s="160"/>
      <c r="CG1493" s="160"/>
      <c r="CH1493" s="160"/>
      <c r="CI1493" s="160"/>
      <c r="CJ1493" s="160"/>
      <c r="CK1493" s="160"/>
      <c r="CL1493" s="160"/>
    </row>
    <row r="1494">
      <c r="A1494" s="171"/>
      <c r="F1494" s="11"/>
      <c r="G1494" s="11"/>
      <c r="L1494" s="171"/>
      <c r="M1494" s="171"/>
      <c r="O1494" s="160"/>
      <c r="P1494" s="160"/>
      <c r="Q1494" s="160"/>
      <c r="R1494" s="160"/>
      <c r="S1494" s="160"/>
      <c r="T1494" s="207"/>
      <c r="U1494" s="160"/>
      <c r="V1494" s="160"/>
      <c r="W1494" s="160"/>
      <c r="X1494" s="160"/>
      <c r="Y1494" s="160"/>
      <c r="Z1494" s="160"/>
      <c r="AA1494" s="160"/>
      <c r="AB1494" s="160"/>
      <c r="AC1494" s="160"/>
      <c r="AD1494" s="160"/>
      <c r="AE1494" s="160"/>
      <c r="AF1494" s="160"/>
      <c r="AG1494" s="160"/>
      <c r="AH1494" s="160"/>
      <c r="AI1494" s="160"/>
      <c r="AJ1494" s="160"/>
      <c r="AK1494" s="160"/>
      <c r="AL1494" s="160"/>
      <c r="AM1494" s="160"/>
      <c r="AN1494" s="164"/>
      <c r="AO1494" s="160"/>
      <c r="AP1494" s="160"/>
      <c r="AQ1494" s="160"/>
      <c r="AR1494" s="160"/>
      <c r="AS1494" s="160"/>
      <c r="AT1494" s="160"/>
      <c r="AU1494" s="160"/>
      <c r="AV1494" s="160"/>
      <c r="AW1494" s="160"/>
      <c r="AX1494" s="160"/>
      <c r="AY1494" s="160"/>
      <c r="AZ1494" s="160"/>
      <c r="BA1494" s="160"/>
      <c r="BB1494" s="160"/>
      <c r="BC1494" s="160"/>
      <c r="BD1494" s="160"/>
      <c r="BE1494" s="160"/>
      <c r="BF1494" s="160"/>
      <c r="BG1494" s="160"/>
      <c r="BH1494" s="160"/>
      <c r="BI1494" s="160"/>
      <c r="BJ1494" s="160"/>
      <c r="BK1494" s="160"/>
      <c r="BL1494" s="160"/>
      <c r="BM1494" s="160"/>
      <c r="BN1494" s="160"/>
      <c r="BO1494" s="160"/>
      <c r="BP1494" s="160"/>
      <c r="BQ1494" s="160"/>
      <c r="BR1494" s="160"/>
      <c r="BS1494" s="160"/>
      <c r="BT1494" s="160"/>
      <c r="BU1494" s="160"/>
      <c r="BV1494" s="160"/>
      <c r="BW1494" s="160"/>
      <c r="BX1494" s="160"/>
      <c r="BY1494" s="160"/>
      <c r="BZ1494" s="160"/>
      <c r="CA1494" s="160"/>
      <c r="CB1494" s="160"/>
      <c r="CC1494" s="160"/>
      <c r="CD1494" s="160"/>
      <c r="CE1494" s="160"/>
      <c r="CF1494" s="160"/>
      <c r="CG1494" s="160"/>
      <c r="CH1494" s="160"/>
      <c r="CI1494" s="160"/>
      <c r="CJ1494" s="160"/>
      <c r="CK1494" s="160"/>
      <c r="CL1494" s="160"/>
    </row>
    <row r="1495">
      <c r="A1495" s="171"/>
      <c r="F1495" s="11"/>
      <c r="G1495" s="11"/>
      <c r="L1495" s="171"/>
      <c r="M1495" s="171"/>
      <c r="O1495" s="160"/>
      <c r="P1495" s="160"/>
      <c r="Q1495" s="160"/>
      <c r="R1495" s="160"/>
      <c r="S1495" s="160"/>
      <c r="T1495" s="207"/>
      <c r="U1495" s="160"/>
      <c r="V1495" s="160"/>
      <c r="W1495" s="160"/>
      <c r="X1495" s="160"/>
      <c r="Y1495" s="160"/>
      <c r="Z1495" s="160"/>
      <c r="AA1495" s="160"/>
      <c r="AB1495" s="160"/>
      <c r="AC1495" s="160"/>
      <c r="AD1495" s="160"/>
      <c r="AE1495" s="160"/>
      <c r="AF1495" s="160"/>
      <c r="AG1495" s="160"/>
      <c r="AH1495" s="160"/>
      <c r="AI1495" s="160"/>
      <c r="AJ1495" s="160"/>
      <c r="AK1495" s="160"/>
      <c r="AL1495" s="160"/>
      <c r="AM1495" s="160"/>
      <c r="AN1495" s="164"/>
      <c r="AO1495" s="160"/>
      <c r="AP1495" s="160"/>
      <c r="AQ1495" s="160"/>
      <c r="AR1495" s="160"/>
      <c r="AS1495" s="160"/>
      <c r="AT1495" s="160"/>
      <c r="AU1495" s="160"/>
      <c r="AV1495" s="160"/>
      <c r="AW1495" s="160"/>
      <c r="AX1495" s="160"/>
      <c r="AY1495" s="160"/>
      <c r="AZ1495" s="160"/>
      <c r="BA1495" s="160"/>
      <c r="BB1495" s="160"/>
      <c r="BC1495" s="160"/>
      <c r="BD1495" s="160"/>
      <c r="BE1495" s="160"/>
      <c r="BF1495" s="160"/>
      <c r="BG1495" s="160"/>
      <c r="BH1495" s="160"/>
      <c r="BI1495" s="160"/>
      <c r="BJ1495" s="160"/>
      <c r="BK1495" s="160"/>
      <c r="BL1495" s="160"/>
      <c r="BM1495" s="160"/>
      <c r="BN1495" s="160"/>
      <c r="BO1495" s="160"/>
      <c r="BP1495" s="160"/>
      <c r="BQ1495" s="160"/>
      <c r="BR1495" s="160"/>
      <c r="BS1495" s="160"/>
      <c r="BT1495" s="160"/>
      <c r="BU1495" s="160"/>
      <c r="BV1495" s="160"/>
      <c r="BW1495" s="160"/>
      <c r="BX1495" s="160"/>
      <c r="BY1495" s="160"/>
      <c r="BZ1495" s="160"/>
      <c r="CA1495" s="160"/>
      <c r="CB1495" s="160"/>
      <c r="CC1495" s="160"/>
      <c r="CD1495" s="160"/>
      <c r="CE1495" s="160"/>
      <c r="CF1495" s="160"/>
      <c r="CG1495" s="160"/>
      <c r="CH1495" s="160"/>
      <c r="CI1495" s="160"/>
      <c r="CJ1495" s="160"/>
      <c r="CK1495" s="160"/>
      <c r="CL1495" s="160"/>
    </row>
    <row r="1496">
      <c r="A1496" s="171"/>
      <c r="F1496" s="11"/>
      <c r="G1496" s="11"/>
      <c r="L1496" s="171"/>
      <c r="M1496" s="171"/>
      <c r="O1496" s="160"/>
      <c r="P1496" s="160"/>
      <c r="Q1496" s="160"/>
      <c r="R1496" s="160"/>
      <c r="S1496" s="160"/>
      <c r="T1496" s="207"/>
      <c r="U1496" s="160"/>
      <c r="V1496" s="160"/>
      <c r="W1496" s="160"/>
      <c r="X1496" s="160"/>
      <c r="Y1496" s="160"/>
      <c r="Z1496" s="160"/>
      <c r="AA1496" s="160"/>
      <c r="AB1496" s="160"/>
      <c r="AC1496" s="160"/>
      <c r="AD1496" s="160"/>
      <c r="AE1496" s="160"/>
      <c r="AF1496" s="160"/>
      <c r="AG1496" s="160"/>
      <c r="AH1496" s="160"/>
      <c r="AI1496" s="160"/>
      <c r="AJ1496" s="160"/>
      <c r="AK1496" s="160"/>
      <c r="AL1496" s="160"/>
      <c r="AM1496" s="160"/>
      <c r="AN1496" s="164"/>
      <c r="AO1496" s="160"/>
      <c r="AP1496" s="160"/>
      <c r="AQ1496" s="160"/>
      <c r="AR1496" s="160"/>
      <c r="AS1496" s="160"/>
      <c r="AT1496" s="160"/>
      <c r="AU1496" s="160"/>
      <c r="AV1496" s="160"/>
      <c r="AW1496" s="160"/>
      <c r="AX1496" s="160"/>
      <c r="AY1496" s="160"/>
      <c r="AZ1496" s="160"/>
      <c r="BA1496" s="160"/>
      <c r="BB1496" s="160"/>
      <c r="BC1496" s="160"/>
      <c r="BD1496" s="160"/>
      <c r="BE1496" s="160"/>
      <c r="BF1496" s="160"/>
      <c r="BG1496" s="160"/>
      <c r="BH1496" s="160"/>
      <c r="BI1496" s="160"/>
      <c r="BJ1496" s="160"/>
      <c r="BK1496" s="160"/>
      <c r="BL1496" s="160"/>
      <c r="BM1496" s="160"/>
      <c r="BN1496" s="160"/>
      <c r="BO1496" s="160"/>
      <c r="BP1496" s="160"/>
      <c r="BQ1496" s="160"/>
      <c r="BR1496" s="160"/>
      <c r="BS1496" s="160"/>
      <c r="BT1496" s="160"/>
      <c r="BU1496" s="160"/>
      <c r="BV1496" s="160"/>
      <c r="BW1496" s="160"/>
      <c r="BX1496" s="160"/>
      <c r="BY1496" s="160"/>
      <c r="BZ1496" s="160"/>
      <c r="CA1496" s="160"/>
      <c r="CB1496" s="160"/>
      <c r="CC1496" s="160"/>
      <c r="CD1496" s="160"/>
      <c r="CE1496" s="160"/>
      <c r="CF1496" s="160"/>
      <c r="CG1496" s="160"/>
      <c r="CH1496" s="160"/>
      <c r="CI1496" s="160"/>
      <c r="CJ1496" s="160"/>
      <c r="CK1496" s="160"/>
      <c r="CL1496" s="160"/>
    </row>
    <row r="1497">
      <c r="A1497" s="171"/>
      <c r="F1497" s="11"/>
      <c r="G1497" s="11"/>
      <c r="L1497" s="171"/>
      <c r="M1497" s="171"/>
      <c r="O1497" s="160"/>
      <c r="P1497" s="160"/>
      <c r="Q1497" s="160"/>
      <c r="R1497" s="160"/>
      <c r="S1497" s="160"/>
      <c r="T1497" s="207"/>
      <c r="U1497" s="160"/>
      <c r="V1497" s="160"/>
      <c r="W1497" s="160"/>
      <c r="X1497" s="160"/>
      <c r="Y1497" s="160"/>
      <c r="Z1497" s="160"/>
      <c r="AA1497" s="160"/>
      <c r="AB1497" s="160"/>
      <c r="AC1497" s="160"/>
      <c r="AD1497" s="160"/>
      <c r="AE1497" s="160"/>
      <c r="AF1497" s="160"/>
      <c r="AG1497" s="160"/>
      <c r="AH1497" s="160"/>
      <c r="AI1497" s="160"/>
      <c r="AJ1497" s="160"/>
      <c r="AK1497" s="160"/>
      <c r="AL1497" s="160"/>
      <c r="AM1497" s="160"/>
      <c r="AN1497" s="164"/>
      <c r="AO1497" s="160"/>
      <c r="AP1497" s="160"/>
      <c r="AQ1497" s="160"/>
      <c r="AR1497" s="160"/>
      <c r="AS1497" s="160"/>
      <c r="AT1497" s="160"/>
      <c r="AU1497" s="160"/>
      <c r="AV1497" s="160"/>
      <c r="AW1497" s="160"/>
      <c r="AX1497" s="160"/>
      <c r="AY1497" s="160"/>
      <c r="AZ1497" s="160"/>
      <c r="BA1497" s="160"/>
      <c r="BB1497" s="160"/>
      <c r="BC1497" s="160"/>
      <c r="BD1497" s="160"/>
      <c r="BE1497" s="160"/>
      <c r="BF1497" s="160"/>
      <c r="BG1497" s="160"/>
      <c r="BH1497" s="160"/>
      <c r="BI1497" s="160"/>
      <c r="BJ1497" s="160"/>
      <c r="BK1497" s="160"/>
      <c r="BL1497" s="160"/>
      <c r="BM1497" s="160"/>
      <c r="BN1497" s="160"/>
      <c r="BO1497" s="160"/>
      <c r="BP1497" s="160"/>
      <c r="BQ1497" s="160"/>
      <c r="BR1497" s="160"/>
      <c r="BS1497" s="160"/>
      <c r="BT1497" s="160"/>
      <c r="BU1497" s="160"/>
      <c r="BV1497" s="160"/>
      <c r="BW1497" s="160"/>
      <c r="BX1497" s="160"/>
      <c r="BY1497" s="160"/>
      <c r="BZ1497" s="160"/>
      <c r="CA1497" s="160"/>
      <c r="CB1497" s="160"/>
      <c r="CC1497" s="160"/>
      <c r="CD1497" s="160"/>
      <c r="CE1497" s="160"/>
      <c r="CF1497" s="160"/>
      <c r="CG1497" s="160"/>
      <c r="CH1497" s="160"/>
      <c r="CI1497" s="160"/>
      <c r="CJ1497" s="160"/>
      <c r="CK1497" s="160"/>
      <c r="CL1497" s="160"/>
    </row>
    <row r="1498">
      <c r="A1498" s="171"/>
      <c r="F1498" s="11"/>
      <c r="G1498" s="11"/>
      <c r="L1498" s="171"/>
      <c r="M1498" s="171"/>
      <c r="O1498" s="160"/>
      <c r="P1498" s="160"/>
      <c r="Q1498" s="160"/>
      <c r="R1498" s="160"/>
      <c r="S1498" s="160"/>
      <c r="T1498" s="207"/>
      <c r="U1498" s="160"/>
      <c r="V1498" s="160"/>
      <c r="W1498" s="160"/>
      <c r="X1498" s="160"/>
      <c r="Y1498" s="160"/>
      <c r="Z1498" s="160"/>
      <c r="AA1498" s="160"/>
      <c r="AB1498" s="160"/>
      <c r="AC1498" s="160"/>
      <c r="AD1498" s="160"/>
      <c r="AE1498" s="160"/>
      <c r="AF1498" s="160"/>
      <c r="AG1498" s="160"/>
      <c r="AH1498" s="160"/>
      <c r="AI1498" s="160"/>
      <c r="AJ1498" s="160"/>
      <c r="AK1498" s="160"/>
      <c r="AL1498" s="160"/>
      <c r="AM1498" s="160"/>
      <c r="AN1498" s="164"/>
      <c r="AO1498" s="160"/>
      <c r="AP1498" s="160"/>
      <c r="AQ1498" s="160"/>
      <c r="AR1498" s="160"/>
      <c r="AS1498" s="160"/>
      <c r="AT1498" s="160"/>
      <c r="AU1498" s="160"/>
      <c r="AV1498" s="160"/>
      <c r="AW1498" s="160"/>
      <c r="AX1498" s="160"/>
      <c r="AY1498" s="160"/>
      <c r="AZ1498" s="160"/>
      <c r="BA1498" s="160"/>
      <c r="BB1498" s="160"/>
      <c r="BC1498" s="160"/>
      <c r="BD1498" s="160"/>
      <c r="BE1498" s="160"/>
      <c r="BF1498" s="160"/>
      <c r="BG1498" s="160"/>
      <c r="BH1498" s="160"/>
      <c r="BI1498" s="160"/>
      <c r="BJ1498" s="160"/>
      <c r="BK1498" s="160"/>
      <c r="BL1498" s="160"/>
      <c r="BM1498" s="160"/>
      <c r="BN1498" s="160"/>
      <c r="BO1498" s="160"/>
      <c r="BP1498" s="160"/>
      <c r="BQ1498" s="160"/>
      <c r="BR1498" s="160"/>
      <c r="BS1498" s="160"/>
      <c r="BT1498" s="160"/>
      <c r="BU1498" s="160"/>
      <c r="BV1498" s="160"/>
      <c r="BW1498" s="160"/>
      <c r="BX1498" s="160"/>
      <c r="BY1498" s="160"/>
      <c r="BZ1498" s="160"/>
      <c r="CA1498" s="160"/>
      <c r="CB1498" s="160"/>
      <c r="CC1498" s="160"/>
      <c r="CD1498" s="160"/>
      <c r="CE1498" s="160"/>
      <c r="CF1498" s="160"/>
      <c r="CG1498" s="160"/>
      <c r="CH1498" s="160"/>
      <c r="CI1498" s="160"/>
      <c r="CJ1498" s="160"/>
      <c r="CK1498" s="160"/>
      <c r="CL1498" s="160"/>
    </row>
    <row r="1499">
      <c r="A1499" s="171"/>
      <c r="F1499" s="11"/>
      <c r="G1499" s="11"/>
      <c r="L1499" s="171"/>
      <c r="M1499" s="171"/>
      <c r="O1499" s="160"/>
      <c r="P1499" s="160"/>
      <c r="Q1499" s="160"/>
      <c r="R1499" s="160"/>
      <c r="S1499" s="160"/>
      <c r="T1499" s="207"/>
      <c r="U1499" s="160"/>
      <c r="V1499" s="160"/>
      <c r="W1499" s="160"/>
      <c r="X1499" s="160"/>
      <c r="Y1499" s="160"/>
      <c r="Z1499" s="160"/>
      <c r="AA1499" s="160"/>
      <c r="AB1499" s="160"/>
      <c r="AC1499" s="160"/>
      <c r="AD1499" s="160"/>
      <c r="AE1499" s="160"/>
      <c r="AF1499" s="160"/>
      <c r="AG1499" s="160"/>
      <c r="AH1499" s="160"/>
      <c r="AI1499" s="160"/>
      <c r="AJ1499" s="160"/>
      <c r="AK1499" s="160"/>
      <c r="AL1499" s="160"/>
      <c r="AM1499" s="160"/>
      <c r="AN1499" s="164"/>
      <c r="AO1499" s="160"/>
      <c r="AP1499" s="160"/>
      <c r="AQ1499" s="160"/>
      <c r="AR1499" s="160"/>
      <c r="AS1499" s="160"/>
      <c r="AT1499" s="160"/>
      <c r="AU1499" s="160"/>
      <c r="AV1499" s="160"/>
      <c r="AW1499" s="160"/>
      <c r="AX1499" s="160"/>
      <c r="AY1499" s="160"/>
      <c r="AZ1499" s="160"/>
      <c r="BA1499" s="160"/>
      <c r="BB1499" s="160"/>
      <c r="BC1499" s="160"/>
      <c r="BD1499" s="160"/>
      <c r="BE1499" s="160"/>
      <c r="BF1499" s="160"/>
      <c r="BG1499" s="160"/>
      <c r="BH1499" s="160"/>
      <c r="BI1499" s="160"/>
      <c r="BJ1499" s="160"/>
      <c r="BK1499" s="160"/>
      <c r="BL1499" s="160"/>
      <c r="BM1499" s="160"/>
      <c r="BN1499" s="160"/>
      <c r="BO1499" s="160"/>
      <c r="BP1499" s="160"/>
      <c r="BQ1499" s="160"/>
      <c r="BR1499" s="160"/>
      <c r="BS1499" s="160"/>
      <c r="BT1499" s="160"/>
      <c r="BU1499" s="160"/>
      <c r="BV1499" s="160"/>
      <c r="BW1499" s="160"/>
      <c r="BX1499" s="160"/>
      <c r="BY1499" s="160"/>
      <c r="BZ1499" s="160"/>
      <c r="CA1499" s="160"/>
      <c r="CB1499" s="160"/>
      <c r="CC1499" s="160"/>
      <c r="CD1499" s="160"/>
      <c r="CE1499" s="160"/>
      <c r="CF1499" s="160"/>
      <c r="CG1499" s="160"/>
      <c r="CH1499" s="160"/>
      <c r="CI1499" s="160"/>
      <c r="CJ1499" s="160"/>
      <c r="CK1499" s="160"/>
      <c r="CL1499" s="160"/>
    </row>
    <row r="1500">
      <c r="A1500" s="171"/>
      <c r="F1500" s="11"/>
      <c r="G1500" s="11"/>
      <c r="L1500" s="171"/>
      <c r="M1500" s="171"/>
      <c r="O1500" s="160"/>
      <c r="P1500" s="160"/>
      <c r="Q1500" s="160"/>
      <c r="R1500" s="160"/>
      <c r="S1500" s="160"/>
      <c r="T1500" s="207"/>
      <c r="U1500" s="160"/>
      <c r="V1500" s="160"/>
      <c r="W1500" s="160"/>
      <c r="X1500" s="160"/>
      <c r="Y1500" s="160"/>
      <c r="Z1500" s="160"/>
      <c r="AA1500" s="160"/>
      <c r="AB1500" s="160"/>
      <c r="AC1500" s="160"/>
      <c r="AD1500" s="160"/>
      <c r="AE1500" s="160"/>
      <c r="AF1500" s="160"/>
      <c r="AG1500" s="160"/>
      <c r="AH1500" s="160"/>
      <c r="AI1500" s="160"/>
      <c r="AJ1500" s="160"/>
      <c r="AK1500" s="160"/>
      <c r="AL1500" s="160"/>
      <c r="AM1500" s="160"/>
      <c r="AN1500" s="164"/>
      <c r="AO1500" s="160"/>
      <c r="AP1500" s="160"/>
      <c r="AQ1500" s="160"/>
      <c r="AR1500" s="160"/>
      <c r="AS1500" s="160"/>
      <c r="AT1500" s="160"/>
      <c r="AU1500" s="160"/>
      <c r="AV1500" s="160"/>
      <c r="AW1500" s="160"/>
      <c r="AX1500" s="160"/>
      <c r="AY1500" s="160"/>
      <c r="AZ1500" s="160"/>
      <c r="BA1500" s="160"/>
      <c r="BB1500" s="160"/>
      <c r="BC1500" s="160"/>
      <c r="BD1500" s="160"/>
      <c r="BE1500" s="160"/>
      <c r="BF1500" s="160"/>
      <c r="BG1500" s="160"/>
      <c r="BH1500" s="160"/>
      <c r="BI1500" s="160"/>
      <c r="BJ1500" s="160"/>
      <c r="BK1500" s="160"/>
      <c r="BL1500" s="160"/>
      <c r="BM1500" s="160"/>
      <c r="BN1500" s="160"/>
      <c r="BO1500" s="160"/>
      <c r="BP1500" s="160"/>
      <c r="BQ1500" s="160"/>
      <c r="BR1500" s="160"/>
      <c r="BS1500" s="160"/>
      <c r="BT1500" s="160"/>
      <c r="BU1500" s="160"/>
      <c r="BV1500" s="160"/>
      <c r="BW1500" s="160"/>
      <c r="BX1500" s="160"/>
      <c r="BY1500" s="160"/>
      <c r="BZ1500" s="160"/>
      <c r="CA1500" s="160"/>
      <c r="CB1500" s="160"/>
      <c r="CC1500" s="160"/>
      <c r="CD1500" s="160"/>
      <c r="CE1500" s="160"/>
      <c r="CF1500" s="160"/>
      <c r="CG1500" s="160"/>
      <c r="CH1500" s="160"/>
      <c r="CI1500" s="160"/>
      <c r="CJ1500" s="160"/>
      <c r="CK1500" s="160"/>
      <c r="CL1500" s="160"/>
    </row>
    <row r="1501">
      <c r="A1501" s="171"/>
      <c r="F1501" s="11"/>
      <c r="G1501" s="11"/>
      <c r="L1501" s="171"/>
      <c r="M1501" s="171"/>
      <c r="O1501" s="160"/>
      <c r="P1501" s="160"/>
      <c r="Q1501" s="160"/>
      <c r="R1501" s="160"/>
      <c r="S1501" s="160"/>
      <c r="T1501" s="207"/>
      <c r="U1501" s="160"/>
      <c r="V1501" s="160"/>
      <c r="W1501" s="160"/>
      <c r="X1501" s="160"/>
      <c r="Y1501" s="160"/>
      <c r="Z1501" s="160"/>
      <c r="AA1501" s="160"/>
      <c r="AB1501" s="160"/>
      <c r="AC1501" s="160"/>
      <c r="AD1501" s="160"/>
      <c r="AE1501" s="160"/>
      <c r="AF1501" s="160"/>
      <c r="AG1501" s="160"/>
      <c r="AH1501" s="160"/>
      <c r="AI1501" s="160"/>
      <c r="AJ1501" s="160"/>
      <c r="AK1501" s="160"/>
      <c r="AL1501" s="160"/>
      <c r="AM1501" s="160"/>
      <c r="AN1501" s="164"/>
      <c r="AO1501" s="160"/>
      <c r="AP1501" s="160"/>
      <c r="AQ1501" s="160"/>
      <c r="AR1501" s="160"/>
      <c r="AS1501" s="160"/>
      <c r="AT1501" s="160"/>
      <c r="AU1501" s="160"/>
      <c r="AV1501" s="160"/>
      <c r="AW1501" s="160"/>
      <c r="AX1501" s="160"/>
      <c r="AY1501" s="160"/>
      <c r="AZ1501" s="160"/>
      <c r="BA1501" s="160"/>
      <c r="BB1501" s="160"/>
      <c r="BC1501" s="160"/>
      <c r="BD1501" s="160"/>
      <c r="BE1501" s="160"/>
      <c r="BF1501" s="160"/>
      <c r="BG1501" s="160"/>
      <c r="BH1501" s="160"/>
      <c r="BI1501" s="160"/>
      <c r="BJ1501" s="160"/>
      <c r="BK1501" s="160"/>
      <c r="BL1501" s="160"/>
      <c r="BM1501" s="160"/>
      <c r="BN1501" s="160"/>
      <c r="BO1501" s="160"/>
      <c r="BP1501" s="160"/>
      <c r="BQ1501" s="160"/>
      <c r="BR1501" s="160"/>
      <c r="BS1501" s="160"/>
      <c r="BT1501" s="160"/>
      <c r="BU1501" s="160"/>
      <c r="BV1501" s="160"/>
      <c r="BW1501" s="160"/>
      <c r="BX1501" s="160"/>
      <c r="BY1501" s="160"/>
      <c r="BZ1501" s="160"/>
      <c r="CA1501" s="160"/>
      <c r="CB1501" s="160"/>
      <c r="CC1501" s="160"/>
      <c r="CD1501" s="160"/>
      <c r="CE1501" s="160"/>
      <c r="CF1501" s="160"/>
      <c r="CG1501" s="160"/>
      <c r="CH1501" s="160"/>
      <c r="CI1501" s="160"/>
      <c r="CJ1501" s="160"/>
      <c r="CK1501" s="160"/>
      <c r="CL1501" s="160"/>
    </row>
    <row r="1502">
      <c r="A1502" s="171"/>
      <c r="F1502" s="11"/>
      <c r="G1502" s="11"/>
      <c r="L1502" s="171"/>
      <c r="M1502" s="171"/>
      <c r="O1502" s="160"/>
      <c r="P1502" s="160"/>
      <c r="Q1502" s="160"/>
      <c r="R1502" s="160"/>
      <c r="S1502" s="160"/>
      <c r="T1502" s="207"/>
      <c r="U1502" s="160"/>
      <c r="V1502" s="160"/>
      <c r="W1502" s="160"/>
      <c r="X1502" s="160"/>
      <c r="Y1502" s="160"/>
      <c r="Z1502" s="160"/>
      <c r="AA1502" s="160"/>
      <c r="AB1502" s="160"/>
      <c r="AC1502" s="160"/>
      <c r="AD1502" s="160"/>
      <c r="AE1502" s="160"/>
      <c r="AF1502" s="160"/>
      <c r="AG1502" s="160"/>
      <c r="AH1502" s="160"/>
      <c r="AI1502" s="160"/>
      <c r="AJ1502" s="160"/>
      <c r="AK1502" s="160"/>
      <c r="AL1502" s="160"/>
      <c r="AM1502" s="160"/>
      <c r="AN1502" s="164"/>
      <c r="AO1502" s="160"/>
      <c r="AP1502" s="160"/>
      <c r="AQ1502" s="160"/>
      <c r="AR1502" s="160"/>
      <c r="AS1502" s="160"/>
      <c r="AT1502" s="160"/>
      <c r="AU1502" s="160"/>
      <c r="AV1502" s="160"/>
      <c r="AW1502" s="160"/>
      <c r="AX1502" s="160"/>
      <c r="AY1502" s="160"/>
      <c r="AZ1502" s="160"/>
      <c r="BA1502" s="160"/>
      <c r="BB1502" s="160"/>
      <c r="BC1502" s="160"/>
      <c r="BD1502" s="160"/>
      <c r="BE1502" s="160"/>
      <c r="BF1502" s="160"/>
      <c r="BG1502" s="160"/>
      <c r="BH1502" s="160"/>
      <c r="BI1502" s="160"/>
      <c r="BJ1502" s="160"/>
      <c r="BK1502" s="160"/>
      <c r="BL1502" s="160"/>
      <c r="BM1502" s="160"/>
      <c r="BN1502" s="160"/>
      <c r="BO1502" s="160"/>
      <c r="BP1502" s="160"/>
      <c r="BQ1502" s="160"/>
      <c r="BR1502" s="160"/>
      <c r="BS1502" s="160"/>
      <c r="BT1502" s="160"/>
      <c r="BU1502" s="160"/>
      <c r="BV1502" s="160"/>
      <c r="BW1502" s="160"/>
      <c r="BX1502" s="160"/>
      <c r="BY1502" s="160"/>
      <c r="BZ1502" s="160"/>
      <c r="CA1502" s="160"/>
      <c r="CB1502" s="160"/>
      <c r="CC1502" s="160"/>
      <c r="CD1502" s="160"/>
      <c r="CE1502" s="160"/>
      <c r="CF1502" s="160"/>
      <c r="CG1502" s="160"/>
      <c r="CH1502" s="160"/>
      <c r="CI1502" s="160"/>
      <c r="CJ1502" s="160"/>
      <c r="CK1502" s="160"/>
      <c r="CL1502" s="160"/>
    </row>
    <row r="1503">
      <c r="A1503" s="171"/>
      <c r="F1503" s="11"/>
      <c r="G1503" s="11"/>
      <c r="L1503" s="171"/>
      <c r="M1503" s="171"/>
      <c r="O1503" s="160"/>
      <c r="P1503" s="160"/>
      <c r="Q1503" s="160"/>
      <c r="R1503" s="160"/>
      <c r="S1503" s="160"/>
      <c r="T1503" s="207"/>
      <c r="U1503" s="160"/>
      <c r="V1503" s="160"/>
      <c r="W1503" s="160"/>
      <c r="X1503" s="160"/>
      <c r="Y1503" s="160"/>
      <c r="Z1503" s="160"/>
      <c r="AA1503" s="160"/>
      <c r="AB1503" s="160"/>
      <c r="AC1503" s="160"/>
      <c r="AD1503" s="160"/>
      <c r="AE1503" s="160"/>
      <c r="AF1503" s="160"/>
      <c r="AG1503" s="160"/>
      <c r="AH1503" s="160"/>
      <c r="AI1503" s="160"/>
      <c r="AJ1503" s="160"/>
      <c r="AK1503" s="160"/>
      <c r="AL1503" s="160"/>
      <c r="AM1503" s="160"/>
      <c r="AN1503" s="164"/>
      <c r="AO1503" s="160"/>
      <c r="AP1503" s="160"/>
      <c r="AQ1503" s="160"/>
      <c r="AR1503" s="160"/>
      <c r="AS1503" s="160"/>
      <c r="AT1503" s="160"/>
      <c r="AU1503" s="160"/>
      <c r="AV1503" s="160"/>
      <c r="AW1503" s="160"/>
      <c r="AX1503" s="160"/>
      <c r="AY1503" s="160"/>
      <c r="AZ1503" s="160"/>
      <c r="BA1503" s="160"/>
      <c r="BB1503" s="160"/>
      <c r="BC1503" s="160"/>
      <c r="BD1503" s="160"/>
      <c r="BE1503" s="160"/>
      <c r="BF1503" s="160"/>
      <c r="BG1503" s="160"/>
      <c r="BH1503" s="160"/>
      <c r="BI1503" s="160"/>
      <c r="BJ1503" s="160"/>
      <c r="BK1503" s="160"/>
      <c r="BL1503" s="160"/>
      <c r="BM1503" s="160"/>
      <c r="BN1503" s="160"/>
      <c r="BO1503" s="160"/>
      <c r="BP1503" s="160"/>
      <c r="BQ1503" s="160"/>
      <c r="BR1503" s="160"/>
      <c r="BS1503" s="160"/>
      <c r="BT1503" s="160"/>
      <c r="BU1503" s="160"/>
      <c r="BV1503" s="160"/>
      <c r="BW1503" s="160"/>
      <c r="BX1503" s="160"/>
      <c r="BY1503" s="160"/>
      <c r="BZ1503" s="160"/>
      <c r="CA1503" s="160"/>
      <c r="CB1503" s="160"/>
      <c r="CC1503" s="160"/>
      <c r="CD1503" s="160"/>
      <c r="CE1503" s="160"/>
      <c r="CF1503" s="160"/>
      <c r="CG1503" s="160"/>
      <c r="CH1503" s="160"/>
      <c r="CI1503" s="160"/>
      <c r="CJ1503" s="160"/>
      <c r="CK1503" s="160"/>
      <c r="CL1503" s="160"/>
    </row>
    <row r="1504">
      <c r="A1504" s="171"/>
      <c r="F1504" s="11"/>
      <c r="G1504" s="11"/>
      <c r="L1504" s="171"/>
      <c r="M1504" s="171"/>
      <c r="O1504" s="160"/>
      <c r="P1504" s="160"/>
      <c r="Q1504" s="160"/>
      <c r="R1504" s="160"/>
      <c r="S1504" s="160"/>
      <c r="T1504" s="207"/>
      <c r="U1504" s="160"/>
      <c r="V1504" s="160"/>
      <c r="W1504" s="160"/>
      <c r="X1504" s="160"/>
      <c r="Y1504" s="160"/>
      <c r="Z1504" s="160"/>
      <c r="AA1504" s="160"/>
      <c r="AB1504" s="160"/>
      <c r="AC1504" s="160"/>
      <c r="AD1504" s="160"/>
      <c r="AE1504" s="160"/>
      <c r="AF1504" s="160"/>
      <c r="AG1504" s="160"/>
      <c r="AH1504" s="160"/>
      <c r="AI1504" s="160"/>
      <c r="AJ1504" s="160"/>
      <c r="AK1504" s="160"/>
      <c r="AL1504" s="160"/>
      <c r="AM1504" s="160"/>
      <c r="AN1504" s="164"/>
      <c r="AO1504" s="160"/>
      <c r="AP1504" s="160"/>
      <c r="AQ1504" s="160"/>
      <c r="AR1504" s="160"/>
      <c r="AS1504" s="160"/>
      <c r="AT1504" s="160"/>
      <c r="AU1504" s="160"/>
      <c r="AV1504" s="160"/>
      <c r="AW1504" s="160"/>
      <c r="AX1504" s="160"/>
      <c r="AY1504" s="160"/>
      <c r="AZ1504" s="160"/>
      <c r="BA1504" s="160"/>
      <c r="BB1504" s="160"/>
      <c r="BC1504" s="160"/>
      <c r="BD1504" s="160"/>
      <c r="BE1504" s="160"/>
      <c r="BF1504" s="160"/>
      <c r="BG1504" s="160"/>
      <c r="BH1504" s="160"/>
      <c r="BI1504" s="160"/>
      <c r="BJ1504" s="160"/>
      <c r="BK1504" s="160"/>
      <c r="BL1504" s="160"/>
      <c r="BM1504" s="160"/>
      <c r="BN1504" s="160"/>
      <c r="BO1504" s="160"/>
      <c r="BP1504" s="160"/>
      <c r="BQ1504" s="160"/>
      <c r="BR1504" s="160"/>
      <c r="BS1504" s="160"/>
      <c r="BT1504" s="160"/>
      <c r="BU1504" s="160"/>
      <c r="BV1504" s="160"/>
      <c r="BW1504" s="160"/>
      <c r="BX1504" s="160"/>
      <c r="BY1504" s="160"/>
      <c r="BZ1504" s="160"/>
      <c r="CA1504" s="160"/>
      <c r="CB1504" s="160"/>
      <c r="CC1504" s="160"/>
      <c r="CD1504" s="160"/>
      <c r="CE1504" s="160"/>
      <c r="CF1504" s="160"/>
      <c r="CG1504" s="160"/>
      <c r="CH1504" s="160"/>
      <c r="CI1504" s="160"/>
      <c r="CJ1504" s="160"/>
      <c r="CK1504" s="160"/>
      <c r="CL1504" s="160"/>
    </row>
    <row r="1505">
      <c r="A1505" s="171"/>
      <c r="F1505" s="11"/>
      <c r="G1505" s="11"/>
      <c r="L1505" s="171"/>
      <c r="M1505" s="171"/>
      <c r="O1505" s="160"/>
      <c r="P1505" s="160"/>
      <c r="Q1505" s="160"/>
      <c r="R1505" s="160"/>
      <c r="S1505" s="160"/>
      <c r="T1505" s="207"/>
      <c r="U1505" s="160"/>
      <c r="V1505" s="160"/>
      <c r="W1505" s="160"/>
      <c r="X1505" s="160"/>
      <c r="Y1505" s="160"/>
      <c r="Z1505" s="160"/>
      <c r="AA1505" s="160"/>
      <c r="AB1505" s="160"/>
      <c r="AC1505" s="160"/>
      <c r="AD1505" s="160"/>
      <c r="AE1505" s="160"/>
      <c r="AF1505" s="160"/>
      <c r="AG1505" s="160"/>
      <c r="AH1505" s="160"/>
      <c r="AI1505" s="160"/>
      <c r="AJ1505" s="160"/>
      <c r="AK1505" s="160"/>
      <c r="AL1505" s="160"/>
      <c r="AM1505" s="160"/>
      <c r="AN1505" s="164"/>
      <c r="AO1505" s="160"/>
      <c r="AP1505" s="160"/>
      <c r="AQ1505" s="160"/>
      <c r="AR1505" s="160"/>
      <c r="AS1505" s="160"/>
      <c r="AT1505" s="160"/>
      <c r="AU1505" s="160"/>
      <c r="AV1505" s="160"/>
      <c r="AW1505" s="160"/>
      <c r="AX1505" s="160"/>
      <c r="AY1505" s="160"/>
      <c r="AZ1505" s="160"/>
      <c r="BA1505" s="160"/>
      <c r="BB1505" s="160"/>
      <c r="BC1505" s="160"/>
      <c r="BD1505" s="160"/>
      <c r="BE1505" s="160"/>
      <c r="BF1505" s="160"/>
      <c r="BG1505" s="160"/>
      <c r="BH1505" s="160"/>
      <c r="BI1505" s="160"/>
      <c r="BJ1505" s="160"/>
      <c r="BK1505" s="160"/>
      <c r="BL1505" s="160"/>
      <c r="BM1505" s="160"/>
      <c r="BN1505" s="160"/>
      <c r="BO1505" s="160"/>
      <c r="BP1505" s="160"/>
      <c r="BQ1505" s="160"/>
      <c r="BR1505" s="160"/>
      <c r="BS1505" s="160"/>
      <c r="BT1505" s="160"/>
      <c r="BU1505" s="160"/>
      <c r="BV1505" s="160"/>
      <c r="BW1505" s="160"/>
      <c r="BX1505" s="160"/>
      <c r="BY1505" s="160"/>
      <c r="BZ1505" s="160"/>
      <c r="CA1505" s="160"/>
      <c r="CB1505" s="160"/>
      <c r="CC1505" s="160"/>
      <c r="CD1505" s="160"/>
      <c r="CE1505" s="160"/>
      <c r="CF1505" s="160"/>
      <c r="CG1505" s="160"/>
      <c r="CH1505" s="160"/>
      <c r="CI1505" s="160"/>
      <c r="CJ1505" s="160"/>
      <c r="CK1505" s="160"/>
      <c r="CL1505" s="160"/>
    </row>
    <row r="1506">
      <c r="A1506" s="171"/>
      <c r="F1506" s="11"/>
      <c r="G1506" s="11"/>
      <c r="L1506" s="171"/>
      <c r="M1506" s="171"/>
      <c r="O1506" s="160"/>
      <c r="P1506" s="160"/>
      <c r="Q1506" s="160"/>
      <c r="R1506" s="160"/>
      <c r="S1506" s="160"/>
      <c r="T1506" s="207"/>
      <c r="U1506" s="160"/>
      <c r="V1506" s="160"/>
      <c r="W1506" s="160"/>
      <c r="X1506" s="160"/>
      <c r="Y1506" s="160"/>
      <c r="Z1506" s="160"/>
      <c r="AA1506" s="160"/>
      <c r="AB1506" s="160"/>
      <c r="AC1506" s="160"/>
      <c r="AD1506" s="160"/>
      <c r="AE1506" s="160"/>
      <c r="AF1506" s="160"/>
      <c r="AG1506" s="160"/>
      <c r="AH1506" s="160"/>
      <c r="AI1506" s="160"/>
      <c r="AJ1506" s="160"/>
      <c r="AK1506" s="160"/>
      <c r="AL1506" s="160"/>
      <c r="AM1506" s="160"/>
      <c r="AN1506" s="164"/>
      <c r="AO1506" s="160"/>
      <c r="AP1506" s="160"/>
      <c r="AQ1506" s="160"/>
      <c r="AR1506" s="160"/>
      <c r="AS1506" s="160"/>
      <c r="AT1506" s="160"/>
      <c r="AU1506" s="160"/>
      <c r="AV1506" s="160"/>
      <c r="AW1506" s="160"/>
      <c r="AX1506" s="160"/>
      <c r="AY1506" s="160"/>
      <c r="AZ1506" s="160"/>
      <c r="BA1506" s="160"/>
      <c r="BB1506" s="160"/>
      <c r="BC1506" s="160"/>
      <c r="BD1506" s="160"/>
      <c r="BE1506" s="160"/>
      <c r="BF1506" s="160"/>
      <c r="BG1506" s="160"/>
      <c r="BH1506" s="160"/>
      <c r="BI1506" s="160"/>
      <c r="BJ1506" s="160"/>
      <c r="BK1506" s="160"/>
      <c r="BL1506" s="160"/>
      <c r="BM1506" s="160"/>
      <c r="BN1506" s="160"/>
      <c r="BO1506" s="160"/>
      <c r="BP1506" s="160"/>
      <c r="BQ1506" s="160"/>
      <c r="BR1506" s="160"/>
      <c r="BS1506" s="160"/>
      <c r="BT1506" s="160"/>
      <c r="BU1506" s="160"/>
      <c r="BV1506" s="160"/>
      <c r="BW1506" s="160"/>
      <c r="BX1506" s="160"/>
      <c r="BY1506" s="160"/>
      <c r="BZ1506" s="160"/>
      <c r="CA1506" s="160"/>
      <c r="CB1506" s="160"/>
      <c r="CC1506" s="160"/>
      <c r="CD1506" s="160"/>
      <c r="CE1506" s="160"/>
      <c r="CF1506" s="160"/>
      <c r="CG1506" s="160"/>
      <c r="CH1506" s="160"/>
      <c r="CI1506" s="160"/>
      <c r="CJ1506" s="160"/>
      <c r="CK1506" s="160"/>
      <c r="CL1506" s="160"/>
    </row>
    <row r="1507">
      <c r="A1507" s="171"/>
      <c r="F1507" s="11"/>
      <c r="G1507" s="11"/>
      <c r="L1507" s="171"/>
      <c r="M1507" s="171"/>
      <c r="O1507" s="160"/>
      <c r="P1507" s="160"/>
      <c r="Q1507" s="160"/>
      <c r="R1507" s="160"/>
      <c r="S1507" s="160"/>
      <c r="T1507" s="207"/>
      <c r="U1507" s="160"/>
      <c r="V1507" s="160"/>
      <c r="W1507" s="160"/>
      <c r="X1507" s="160"/>
      <c r="Y1507" s="160"/>
      <c r="Z1507" s="160"/>
      <c r="AA1507" s="160"/>
      <c r="AB1507" s="160"/>
      <c r="AC1507" s="160"/>
      <c r="AD1507" s="160"/>
      <c r="AE1507" s="160"/>
      <c r="AF1507" s="160"/>
      <c r="AG1507" s="160"/>
      <c r="AH1507" s="160"/>
      <c r="AI1507" s="160"/>
      <c r="AJ1507" s="160"/>
      <c r="AK1507" s="160"/>
      <c r="AL1507" s="160"/>
      <c r="AM1507" s="160"/>
      <c r="AN1507" s="164"/>
      <c r="AO1507" s="160"/>
      <c r="AP1507" s="160"/>
      <c r="AQ1507" s="160"/>
      <c r="AR1507" s="160"/>
      <c r="AS1507" s="160"/>
      <c r="AT1507" s="160"/>
      <c r="AU1507" s="160"/>
      <c r="AV1507" s="160"/>
      <c r="AW1507" s="160"/>
      <c r="AX1507" s="160"/>
      <c r="AY1507" s="160"/>
      <c r="AZ1507" s="160"/>
      <c r="BA1507" s="160"/>
      <c r="BB1507" s="160"/>
      <c r="BC1507" s="160"/>
      <c r="BD1507" s="160"/>
      <c r="BE1507" s="160"/>
      <c r="BF1507" s="160"/>
      <c r="BG1507" s="160"/>
      <c r="BH1507" s="160"/>
      <c r="BI1507" s="160"/>
      <c r="BJ1507" s="160"/>
      <c r="BK1507" s="160"/>
      <c r="BL1507" s="160"/>
      <c r="BM1507" s="160"/>
      <c r="BN1507" s="160"/>
      <c r="BO1507" s="160"/>
      <c r="BP1507" s="160"/>
      <c r="BQ1507" s="160"/>
      <c r="BR1507" s="160"/>
      <c r="BS1507" s="160"/>
      <c r="BT1507" s="160"/>
      <c r="BU1507" s="160"/>
      <c r="BV1507" s="160"/>
      <c r="BW1507" s="160"/>
      <c r="BX1507" s="160"/>
      <c r="BY1507" s="160"/>
      <c r="BZ1507" s="160"/>
      <c r="CA1507" s="160"/>
      <c r="CB1507" s="160"/>
      <c r="CC1507" s="160"/>
      <c r="CD1507" s="160"/>
      <c r="CE1507" s="160"/>
      <c r="CF1507" s="160"/>
      <c r="CG1507" s="160"/>
      <c r="CH1507" s="160"/>
      <c r="CI1507" s="160"/>
      <c r="CJ1507" s="160"/>
      <c r="CK1507" s="160"/>
      <c r="CL1507" s="160"/>
    </row>
    <row r="1508">
      <c r="A1508" s="171"/>
      <c r="F1508" s="11"/>
      <c r="G1508" s="11"/>
      <c r="L1508" s="171"/>
      <c r="M1508" s="171"/>
      <c r="O1508" s="160"/>
      <c r="P1508" s="160"/>
      <c r="Q1508" s="160"/>
      <c r="R1508" s="160"/>
      <c r="S1508" s="160"/>
      <c r="T1508" s="207"/>
      <c r="U1508" s="160"/>
      <c r="V1508" s="160"/>
      <c r="W1508" s="160"/>
      <c r="X1508" s="160"/>
      <c r="Y1508" s="160"/>
      <c r="Z1508" s="160"/>
      <c r="AA1508" s="160"/>
      <c r="AB1508" s="160"/>
      <c r="AC1508" s="160"/>
      <c r="AD1508" s="160"/>
      <c r="AE1508" s="160"/>
      <c r="AF1508" s="160"/>
      <c r="AG1508" s="160"/>
      <c r="AH1508" s="160"/>
      <c r="AI1508" s="160"/>
      <c r="AJ1508" s="160"/>
      <c r="AK1508" s="160"/>
      <c r="AL1508" s="160"/>
      <c r="AM1508" s="160"/>
      <c r="AN1508" s="164"/>
      <c r="AO1508" s="160"/>
      <c r="AP1508" s="160"/>
      <c r="AQ1508" s="160"/>
      <c r="AR1508" s="160"/>
      <c r="AS1508" s="160"/>
      <c r="AT1508" s="160"/>
      <c r="AU1508" s="160"/>
      <c r="AV1508" s="160"/>
      <c r="AW1508" s="160"/>
      <c r="AX1508" s="160"/>
      <c r="AY1508" s="160"/>
      <c r="AZ1508" s="160"/>
      <c r="BA1508" s="160"/>
      <c r="BB1508" s="160"/>
      <c r="BC1508" s="160"/>
      <c r="BD1508" s="160"/>
      <c r="BE1508" s="160"/>
      <c r="BF1508" s="160"/>
      <c r="BG1508" s="160"/>
      <c r="BH1508" s="160"/>
      <c r="BI1508" s="160"/>
      <c r="BJ1508" s="160"/>
      <c r="BK1508" s="160"/>
      <c r="BL1508" s="160"/>
      <c r="BM1508" s="160"/>
      <c r="BN1508" s="160"/>
      <c r="BO1508" s="160"/>
      <c r="BP1508" s="160"/>
      <c r="BQ1508" s="160"/>
      <c r="BR1508" s="160"/>
      <c r="BS1508" s="160"/>
      <c r="BT1508" s="160"/>
      <c r="BU1508" s="160"/>
      <c r="BV1508" s="160"/>
      <c r="BW1508" s="160"/>
      <c r="BX1508" s="160"/>
      <c r="BY1508" s="160"/>
      <c r="BZ1508" s="160"/>
      <c r="CA1508" s="160"/>
      <c r="CB1508" s="160"/>
      <c r="CC1508" s="160"/>
      <c r="CD1508" s="160"/>
      <c r="CE1508" s="160"/>
      <c r="CF1508" s="160"/>
      <c r="CG1508" s="160"/>
      <c r="CH1508" s="160"/>
      <c r="CI1508" s="160"/>
      <c r="CJ1508" s="160"/>
      <c r="CK1508" s="160"/>
      <c r="CL1508" s="160"/>
    </row>
    <row r="1509">
      <c r="A1509" s="171"/>
      <c r="F1509" s="11"/>
      <c r="G1509" s="11"/>
      <c r="L1509" s="171"/>
      <c r="M1509" s="171"/>
      <c r="O1509" s="160"/>
      <c r="P1509" s="160"/>
      <c r="Q1509" s="160"/>
      <c r="R1509" s="160"/>
      <c r="S1509" s="160"/>
      <c r="T1509" s="207"/>
      <c r="U1509" s="160"/>
      <c r="V1509" s="160"/>
      <c r="W1509" s="160"/>
      <c r="X1509" s="160"/>
      <c r="Y1509" s="160"/>
      <c r="Z1509" s="160"/>
      <c r="AA1509" s="160"/>
      <c r="AB1509" s="160"/>
      <c r="AC1509" s="160"/>
      <c r="AD1509" s="160"/>
      <c r="AE1509" s="160"/>
      <c r="AF1509" s="160"/>
      <c r="AG1509" s="160"/>
      <c r="AH1509" s="160"/>
      <c r="AI1509" s="160"/>
      <c r="AJ1509" s="160"/>
      <c r="AK1509" s="160"/>
      <c r="AL1509" s="160"/>
      <c r="AM1509" s="160"/>
      <c r="AN1509" s="164"/>
      <c r="AO1509" s="160"/>
      <c r="AP1509" s="160"/>
      <c r="AQ1509" s="160"/>
      <c r="AR1509" s="160"/>
      <c r="AS1509" s="160"/>
      <c r="AT1509" s="160"/>
      <c r="AU1509" s="160"/>
      <c r="AV1509" s="160"/>
      <c r="AW1509" s="160"/>
      <c r="AX1509" s="160"/>
      <c r="AY1509" s="160"/>
      <c r="AZ1509" s="160"/>
      <c r="BA1509" s="160"/>
      <c r="BB1509" s="160"/>
      <c r="BC1509" s="160"/>
      <c r="BD1509" s="160"/>
      <c r="BE1509" s="160"/>
      <c r="BF1509" s="160"/>
      <c r="BG1509" s="160"/>
      <c r="BH1509" s="160"/>
      <c r="BI1509" s="160"/>
      <c r="BJ1509" s="160"/>
      <c r="BK1509" s="160"/>
      <c r="BL1509" s="160"/>
      <c r="BM1509" s="160"/>
      <c r="BN1509" s="160"/>
      <c r="BO1509" s="160"/>
      <c r="BP1509" s="160"/>
      <c r="BQ1509" s="160"/>
      <c r="BR1509" s="160"/>
      <c r="BS1509" s="160"/>
      <c r="BT1509" s="160"/>
      <c r="BU1509" s="160"/>
      <c r="BV1509" s="160"/>
      <c r="BW1509" s="160"/>
      <c r="BX1509" s="160"/>
      <c r="BY1509" s="160"/>
      <c r="BZ1509" s="160"/>
      <c r="CA1509" s="160"/>
      <c r="CB1509" s="160"/>
      <c r="CC1509" s="160"/>
      <c r="CD1509" s="160"/>
      <c r="CE1509" s="160"/>
      <c r="CF1509" s="160"/>
      <c r="CG1509" s="160"/>
      <c r="CH1509" s="160"/>
      <c r="CI1509" s="160"/>
      <c r="CJ1509" s="160"/>
      <c r="CK1509" s="160"/>
      <c r="CL1509" s="160"/>
    </row>
    <row r="1510">
      <c r="A1510" s="171"/>
      <c r="F1510" s="11"/>
      <c r="G1510" s="11"/>
      <c r="L1510" s="171"/>
      <c r="M1510" s="171"/>
      <c r="O1510" s="160"/>
      <c r="P1510" s="160"/>
      <c r="Q1510" s="160"/>
      <c r="R1510" s="160"/>
      <c r="S1510" s="160"/>
      <c r="T1510" s="207"/>
      <c r="U1510" s="160"/>
      <c r="V1510" s="160"/>
      <c r="W1510" s="160"/>
      <c r="X1510" s="160"/>
      <c r="Y1510" s="160"/>
      <c r="Z1510" s="160"/>
      <c r="AA1510" s="160"/>
      <c r="AB1510" s="160"/>
      <c r="AC1510" s="160"/>
      <c r="AD1510" s="160"/>
      <c r="AE1510" s="160"/>
      <c r="AF1510" s="160"/>
      <c r="AG1510" s="160"/>
      <c r="AH1510" s="160"/>
      <c r="AI1510" s="160"/>
      <c r="AJ1510" s="160"/>
      <c r="AK1510" s="160"/>
      <c r="AL1510" s="160"/>
      <c r="AM1510" s="160"/>
      <c r="AN1510" s="164"/>
      <c r="AO1510" s="160"/>
      <c r="AP1510" s="160"/>
      <c r="AQ1510" s="160"/>
      <c r="AR1510" s="160"/>
      <c r="AS1510" s="160"/>
      <c r="AT1510" s="160"/>
      <c r="AU1510" s="160"/>
      <c r="AV1510" s="160"/>
      <c r="AW1510" s="160"/>
      <c r="AX1510" s="160"/>
      <c r="AY1510" s="160"/>
      <c r="AZ1510" s="160"/>
      <c r="BA1510" s="160"/>
      <c r="BB1510" s="160"/>
      <c r="BC1510" s="160"/>
      <c r="BD1510" s="160"/>
      <c r="BE1510" s="160"/>
      <c r="BF1510" s="160"/>
      <c r="BG1510" s="160"/>
      <c r="BH1510" s="160"/>
      <c r="BI1510" s="160"/>
      <c r="BJ1510" s="160"/>
      <c r="BK1510" s="160"/>
      <c r="BL1510" s="160"/>
      <c r="BM1510" s="160"/>
      <c r="BN1510" s="160"/>
      <c r="BO1510" s="160"/>
      <c r="BP1510" s="160"/>
      <c r="BQ1510" s="160"/>
      <c r="BR1510" s="160"/>
      <c r="BS1510" s="160"/>
      <c r="BT1510" s="160"/>
      <c r="BU1510" s="160"/>
      <c r="BV1510" s="160"/>
      <c r="BW1510" s="160"/>
      <c r="BX1510" s="160"/>
      <c r="BY1510" s="160"/>
      <c r="BZ1510" s="160"/>
      <c r="CA1510" s="160"/>
      <c r="CB1510" s="160"/>
      <c r="CC1510" s="160"/>
      <c r="CD1510" s="160"/>
      <c r="CE1510" s="160"/>
      <c r="CF1510" s="160"/>
      <c r="CG1510" s="160"/>
      <c r="CH1510" s="160"/>
      <c r="CI1510" s="160"/>
      <c r="CJ1510" s="160"/>
      <c r="CK1510" s="160"/>
      <c r="CL1510" s="160"/>
    </row>
    <row r="1511">
      <c r="A1511" s="171"/>
      <c r="F1511" s="11"/>
      <c r="G1511" s="11"/>
      <c r="L1511" s="171"/>
      <c r="M1511" s="171"/>
      <c r="O1511" s="160"/>
      <c r="P1511" s="160"/>
      <c r="Q1511" s="160"/>
      <c r="R1511" s="160"/>
      <c r="S1511" s="160"/>
      <c r="T1511" s="207"/>
      <c r="U1511" s="160"/>
      <c r="V1511" s="160"/>
      <c r="W1511" s="160"/>
      <c r="X1511" s="160"/>
      <c r="Y1511" s="160"/>
      <c r="Z1511" s="160"/>
      <c r="AA1511" s="160"/>
      <c r="AB1511" s="160"/>
      <c r="AC1511" s="160"/>
      <c r="AD1511" s="160"/>
      <c r="AE1511" s="160"/>
      <c r="AF1511" s="160"/>
      <c r="AG1511" s="160"/>
      <c r="AH1511" s="160"/>
      <c r="AI1511" s="160"/>
      <c r="AJ1511" s="160"/>
      <c r="AK1511" s="160"/>
      <c r="AL1511" s="160"/>
      <c r="AM1511" s="160"/>
      <c r="AN1511" s="164"/>
      <c r="AO1511" s="160"/>
      <c r="AP1511" s="160"/>
      <c r="AQ1511" s="160"/>
      <c r="AR1511" s="160"/>
      <c r="AS1511" s="160"/>
      <c r="AT1511" s="160"/>
      <c r="AU1511" s="160"/>
      <c r="AV1511" s="160"/>
      <c r="AW1511" s="160"/>
      <c r="AX1511" s="160"/>
      <c r="AY1511" s="160"/>
      <c r="AZ1511" s="160"/>
      <c r="BA1511" s="160"/>
      <c r="BB1511" s="160"/>
      <c r="BC1511" s="160"/>
      <c r="BD1511" s="160"/>
      <c r="BE1511" s="160"/>
      <c r="BF1511" s="160"/>
      <c r="BG1511" s="160"/>
      <c r="BH1511" s="160"/>
      <c r="BI1511" s="160"/>
      <c r="BJ1511" s="160"/>
      <c r="BK1511" s="160"/>
      <c r="BL1511" s="160"/>
      <c r="BM1511" s="160"/>
      <c r="BN1511" s="160"/>
      <c r="BO1511" s="160"/>
      <c r="BP1511" s="160"/>
      <c r="BQ1511" s="160"/>
      <c r="BR1511" s="160"/>
      <c r="BS1511" s="160"/>
      <c r="BT1511" s="160"/>
      <c r="BU1511" s="160"/>
      <c r="BV1511" s="160"/>
      <c r="BW1511" s="160"/>
      <c r="BX1511" s="160"/>
      <c r="BY1511" s="160"/>
      <c r="BZ1511" s="160"/>
      <c r="CA1511" s="160"/>
      <c r="CB1511" s="160"/>
      <c r="CC1511" s="160"/>
      <c r="CD1511" s="160"/>
      <c r="CE1511" s="160"/>
      <c r="CF1511" s="160"/>
      <c r="CG1511" s="160"/>
      <c r="CH1511" s="160"/>
      <c r="CI1511" s="160"/>
      <c r="CJ1511" s="160"/>
      <c r="CK1511" s="160"/>
      <c r="CL1511" s="160"/>
    </row>
    <row r="1512">
      <c r="A1512" s="171"/>
      <c r="F1512" s="11"/>
      <c r="G1512" s="11"/>
      <c r="L1512" s="171"/>
      <c r="M1512" s="171"/>
      <c r="O1512" s="160"/>
      <c r="P1512" s="160"/>
      <c r="Q1512" s="160"/>
      <c r="R1512" s="160"/>
      <c r="S1512" s="160"/>
      <c r="T1512" s="207"/>
      <c r="U1512" s="160"/>
      <c r="V1512" s="160"/>
      <c r="W1512" s="160"/>
      <c r="X1512" s="160"/>
      <c r="Y1512" s="160"/>
      <c r="Z1512" s="160"/>
      <c r="AA1512" s="160"/>
      <c r="AB1512" s="160"/>
      <c r="AC1512" s="160"/>
      <c r="AD1512" s="160"/>
      <c r="AE1512" s="160"/>
      <c r="AF1512" s="160"/>
      <c r="AG1512" s="160"/>
      <c r="AH1512" s="160"/>
      <c r="AI1512" s="160"/>
      <c r="AJ1512" s="160"/>
      <c r="AK1512" s="160"/>
      <c r="AL1512" s="160"/>
      <c r="AM1512" s="160"/>
      <c r="AN1512" s="164"/>
      <c r="AO1512" s="160"/>
      <c r="AP1512" s="160"/>
      <c r="AQ1512" s="160"/>
      <c r="AR1512" s="160"/>
      <c r="AS1512" s="160"/>
      <c r="AT1512" s="160"/>
      <c r="AU1512" s="160"/>
      <c r="AV1512" s="160"/>
      <c r="AW1512" s="160"/>
      <c r="AX1512" s="160"/>
      <c r="AY1512" s="160"/>
      <c r="AZ1512" s="160"/>
      <c r="BA1512" s="160"/>
      <c r="BB1512" s="160"/>
      <c r="BC1512" s="160"/>
      <c r="BD1512" s="160"/>
      <c r="BE1512" s="160"/>
      <c r="BF1512" s="160"/>
      <c r="BG1512" s="160"/>
      <c r="BH1512" s="160"/>
      <c r="BI1512" s="160"/>
      <c r="BJ1512" s="160"/>
      <c r="BK1512" s="160"/>
      <c r="BL1512" s="160"/>
      <c r="BM1512" s="160"/>
      <c r="BN1512" s="160"/>
      <c r="BO1512" s="160"/>
      <c r="BP1512" s="160"/>
      <c r="BQ1512" s="160"/>
      <c r="BR1512" s="160"/>
      <c r="BS1512" s="160"/>
      <c r="BT1512" s="160"/>
      <c r="BU1512" s="160"/>
      <c r="BV1512" s="160"/>
      <c r="BW1512" s="160"/>
      <c r="BX1512" s="160"/>
      <c r="BY1512" s="160"/>
      <c r="BZ1512" s="160"/>
      <c r="CA1512" s="160"/>
      <c r="CB1512" s="160"/>
      <c r="CC1512" s="160"/>
      <c r="CD1512" s="160"/>
      <c r="CE1512" s="160"/>
      <c r="CF1512" s="160"/>
      <c r="CG1512" s="160"/>
      <c r="CH1512" s="160"/>
      <c r="CI1512" s="160"/>
      <c r="CJ1512" s="160"/>
      <c r="CK1512" s="160"/>
      <c r="CL1512" s="160"/>
    </row>
    <row r="1513">
      <c r="A1513" s="171"/>
      <c r="F1513" s="11"/>
      <c r="G1513" s="11"/>
      <c r="L1513" s="171"/>
      <c r="M1513" s="171"/>
      <c r="O1513" s="160"/>
      <c r="P1513" s="160"/>
      <c r="Q1513" s="160"/>
      <c r="R1513" s="160"/>
      <c r="S1513" s="160"/>
      <c r="T1513" s="207"/>
      <c r="U1513" s="160"/>
      <c r="V1513" s="160"/>
      <c r="W1513" s="160"/>
      <c r="X1513" s="160"/>
      <c r="Y1513" s="160"/>
      <c r="Z1513" s="160"/>
      <c r="AA1513" s="160"/>
      <c r="AB1513" s="160"/>
      <c r="AC1513" s="160"/>
      <c r="AD1513" s="160"/>
      <c r="AE1513" s="160"/>
      <c r="AF1513" s="160"/>
      <c r="AG1513" s="160"/>
      <c r="AH1513" s="160"/>
      <c r="AI1513" s="160"/>
      <c r="AJ1513" s="160"/>
      <c r="AK1513" s="160"/>
      <c r="AL1513" s="160"/>
      <c r="AM1513" s="160"/>
      <c r="AN1513" s="164"/>
      <c r="AO1513" s="160"/>
      <c r="AP1513" s="160"/>
      <c r="AQ1513" s="160"/>
      <c r="AR1513" s="160"/>
      <c r="AS1513" s="160"/>
      <c r="AT1513" s="160"/>
      <c r="AU1513" s="160"/>
      <c r="AV1513" s="160"/>
      <c r="AW1513" s="160"/>
      <c r="AX1513" s="160"/>
      <c r="AY1513" s="160"/>
      <c r="AZ1513" s="160"/>
      <c r="BA1513" s="160"/>
      <c r="BB1513" s="160"/>
      <c r="BC1513" s="160"/>
      <c r="BD1513" s="160"/>
      <c r="BE1513" s="160"/>
      <c r="BF1513" s="160"/>
      <c r="BG1513" s="160"/>
      <c r="BH1513" s="160"/>
      <c r="BI1513" s="160"/>
      <c r="BJ1513" s="160"/>
      <c r="BK1513" s="160"/>
      <c r="BL1513" s="160"/>
      <c r="BM1513" s="160"/>
      <c r="BN1513" s="160"/>
      <c r="BO1513" s="160"/>
      <c r="BP1513" s="160"/>
      <c r="BQ1513" s="160"/>
      <c r="BR1513" s="160"/>
      <c r="BS1513" s="160"/>
      <c r="BT1513" s="160"/>
      <c r="BU1513" s="160"/>
      <c r="BV1513" s="160"/>
      <c r="BW1513" s="160"/>
      <c r="BX1513" s="160"/>
      <c r="BY1513" s="160"/>
      <c r="BZ1513" s="160"/>
      <c r="CA1513" s="160"/>
      <c r="CB1513" s="160"/>
      <c r="CC1513" s="160"/>
      <c r="CD1513" s="160"/>
      <c r="CE1513" s="160"/>
      <c r="CF1513" s="160"/>
      <c r="CG1513" s="160"/>
      <c r="CH1513" s="160"/>
      <c r="CI1513" s="160"/>
      <c r="CJ1513" s="160"/>
      <c r="CK1513" s="160"/>
      <c r="CL1513" s="160"/>
    </row>
    <row r="1514">
      <c r="A1514" s="171"/>
      <c r="F1514" s="11"/>
      <c r="G1514" s="11"/>
      <c r="L1514" s="171"/>
      <c r="M1514" s="171"/>
      <c r="O1514" s="160"/>
      <c r="P1514" s="160"/>
      <c r="Q1514" s="160"/>
      <c r="R1514" s="160"/>
      <c r="S1514" s="160"/>
      <c r="T1514" s="207"/>
      <c r="U1514" s="160"/>
      <c r="V1514" s="160"/>
      <c r="W1514" s="160"/>
      <c r="X1514" s="160"/>
      <c r="Y1514" s="160"/>
      <c r="Z1514" s="160"/>
      <c r="AA1514" s="160"/>
      <c r="AB1514" s="160"/>
      <c r="AC1514" s="160"/>
      <c r="AD1514" s="160"/>
      <c r="AE1514" s="160"/>
      <c r="AF1514" s="160"/>
      <c r="AG1514" s="160"/>
      <c r="AH1514" s="160"/>
      <c r="AI1514" s="160"/>
      <c r="AJ1514" s="160"/>
      <c r="AK1514" s="160"/>
      <c r="AL1514" s="160"/>
      <c r="AM1514" s="160"/>
      <c r="AN1514" s="164"/>
      <c r="AO1514" s="160"/>
      <c r="AP1514" s="160"/>
      <c r="AQ1514" s="160"/>
      <c r="AR1514" s="160"/>
      <c r="AS1514" s="160"/>
      <c r="AT1514" s="160"/>
      <c r="AU1514" s="160"/>
      <c r="AV1514" s="160"/>
      <c r="AW1514" s="160"/>
      <c r="AX1514" s="160"/>
      <c r="AY1514" s="160"/>
      <c r="AZ1514" s="160"/>
      <c r="BA1514" s="160"/>
      <c r="BB1514" s="160"/>
      <c r="BC1514" s="160"/>
      <c r="BD1514" s="160"/>
      <c r="BE1514" s="160"/>
      <c r="BF1514" s="160"/>
      <c r="BG1514" s="160"/>
      <c r="BH1514" s="160"/>
      <c r="BI1514" s="160"/>
      <c r="BJ1514" s="160"/>
      <c r="BK1514" s="160"/>
      <c r="BL1514" s="160"/>
      <c r="BM1514" s="160"/>
      <c r="BN1514" s="160"/>
      <c r="BO1514" s="160"/>
      <c r="BP1514" s="160"/>
      <c r="BQ1514" s="160"/>
      <c r="BR1514" s="160"/>
      <c r="BS1514" s="160"/>
      <c r="BT1514" s="160"/>
      <c r="BU1514" s="160"/>
      <c r="BV1514" s="160"/>
      <c r="BW1514" s="160"/>
      <c r="BX1514" s="160"/>
      <c r="BY1514" s="160"/>
      <c r="BZ1514" s="160"/>
      <c r="CA1514" s="160"/>
      <c r="CB1514" s="160"/>
      <c r="CC1514" s="160"/>
      <c r="CD1514" s="160"/>
      <c r="CE1514" s="160"/>
      <c r="CF1514" s="160"/>
      <c r="CG1514" s="160"/>
      <c r="CH1514" s="160"/>
      <c r="CI1514" s="160"/>
      <c r="CJ1514" s="160"/>
      <c r="CK1514" s="160"/>
      <c r="CL1514" s="160"/>
    </row>
    <row r="1515">
      <c r="A1515" s="171"/>
      <c r="F1515" s="11"/>
      <c r="G1515" s="11"/>
      <c r="L1515" s="171"/>
      <c r="M1515" s="171"/>
      <c r="O1515" s="160"/>
      <c r="P1515" s="160"/>
      <c r="Q1515" s="160"/>
      <c r="R1515" s="160"/>
      <c r="S1515" s="160"/>
      <c r="T1515" s="207"/>
      <c r="U1515" s="160"/>
      <c r="V1515" s="160"/>
      <c r="W1515" s="160"/>
      <c r="X1515" s="160"/>
      <c r="Y1515" s="160"/>
      <c r="Z1515" s="160"/>
      <c r="AA1515" s="160"/>
      <c r="AB1515" s="160"/>
      <c r="AC1515" s="160"/>
      <c r="AD1515" s="160"/>
      <c r="AE1515" s="160"/>
      <c r="AF1515" s="160"/>
      <c r="AG1515" s="160"/>
      <c r="AH1515" s="160"/>
      <c r="AI1515" s="160"/>
      <c r="AJ1515" s="160"/>
      <c r="AK1515" s="160"/>
      <c r="AL1515" s="160"/>
      <c r="AM1515" s="160"/>
      <c r="AN1515" s="164"/>
      <c r="AO1515" s="160"/>
      <c r="AP1515" s="160"/>
      <c r="AQ1515" s="160"/>
      <c r="AR1515" s="160"/>
      <c r="AS1515" s="160"/>
      <c r="AT1515" s="160"/>
      <c r="AU1515" s="160"/>
      <c r="AV1515" s="160"/>
      <c r="AW1515" s="160"/>
      <c r="AX1515" s="160"/>
      <c r="AY1515" s="160"/>
      <c r="AZ1515" s="160"/>
      <c r="BA1515" s="160"/>
      <c r="BB1515" s="160"/>
      <c r="BC1515" s="160"/>
      <c r="BD1515" s="160"/>
      <c r="BE1515" s="160"/>
      <c r="BF1515" s="160"/>
      <c r="BG1515" s="160"/>
      <c r="BH1515" s="160"/>
      <c r="BI1515" s="160"/>
      <c r="BJ1515" s="160"/>
      <c r="BK1515" s="160"/>
      <c r="BL1515" s="160"/>
      <c r="BM1515" s="160"/>
      <c r="BN1515" s="160"/>
      <c r="BO1515" s="160"/>
      <c r="BP1515" s="160"/>
      <c r="BQ1515" s="160"/>
      <c r="BR1515" s="160"/>
      <c r="BS1515" s="160"/>
      <c r="BT1515" s="160"/>
      <c r="BU1515" s="160"/>
      <c r="BV1515" s="160"/>
      <c r="BW1515" s="160"/>
      <c r="BX1515" s="160"/>
      <c r="BY1515" s="160"/>
      <c r="BZ1515" s="160"/>
      <c r="CA1515" s="160"/>
      <c r="CB1515" s="160"/>
      <c r="CC1515" s="160"/>
      <c r="CD1515" s="160"/>
      <c r="CE1515" s="160"/>
      <c r="CF1515" s="160"/>
      <c r="CG1515" s="160"/>
      <c r="CH1515" s="160"/>
      <c r="CI1515" s="160"/>
      <c r="CJ1515" s="160"/>
      <c r="CK1515" s="160"/>
      <c r="CL1515" s="160"/>
    </row>
    <row r="1516">
      <c r="A1516" s="171"/>
      <c r="F1516" s="11"/>
      <c r="G1516" s="11"/>
      <c r="L1516" s="171"/>
      <c r="M1516" s="171"/>
      <c r="O1516" s="160"/>
      <c r="P1516" s="160"/>
      <c r="Q1516" s="160"/>
      <c r="R1516" s="160"/>
      <c r="S1516" s="160"/>
      <c r="T1516" s="207"/>
      <c r="U1516" s="160"/>
      <c r="V1516" s="160"/>
      <c r="W1516" s="160"/>
      <c r="X1516" s="160"/>
      <c r="Y1516" s="160"/>
      <c r="Z1516" s="160"/>
      <c r="AA1516" s="160"/>
      <c r="AB1516" s="160"/>
      <c r="AC1516" s="160"/>
      <c r="AD1516" s="160"/>
      <c r="AE1516" s="160"/>
      <c r="AF1516" s="160"/>
      <c r="AG1516" s="160"/>
      <c r="AH1516" s="160"/>
      <c r="AI1516" s="160"/>
      <c r="AJ1516" s="160"/>
      <c r="AK1516" s="160"/>
      <c r="AL1516" s="160"/>
      <c r="AM1516" s="160"/>
      <c r="AN1516" s="164"/>
      <c r="AO1516" s="160"/>
      <c r="AP1516" s="160"/>
      <c r="AQ1516" s="160"/>
      <c r="AR1516" s="160"/>
      <c r="AS1516" s="160"/>
      <c r="AT1516" s="160"/>
      <c r="AU1516" s="160"/>
      <c r="AV1516" s="160"/>
      <c r="AW1516" s="160"/>
      <c r="AX1516" s="160"/>
      <c r="AY1516" s="160"/>
      <c r="AZ1516" s="160"/>
      <c r="BA1516" s="160"/>
      <c r="BB1516" s="160"/>
      <c r="BC1516" s="160"/>
      <c r="BD1516" s="160"/>
      <c r="BE1516" s="160"/>
      <c r="BF1516" s="160"/>
      <c r="BG1516" s="160"/>
      <c r="BH1516" s="160"/>
      <c r="BI1516" s="160"/>
      <c r="BJ1516" s="160"/>
      <c r="BK1516" s="160"/>
      <c r="BL1516" s="160"/>
      <c r="BM1516" s="160"/>
      <c r="BN1516" s="160"/>
      <c r="BO1516" s="160"/>
      <c r="BP1516" s="160"/>
      <c r="BQ1516" s="160"/>
      <c r="BR1516" s="160"/>
      <c r="BS1516" s="160"/>
      <c r="BT1516" s="160"/>
      <c r="BU1516" s="160"/>
      <c r="BV1516" s="160"/>
      <c r="BW1516" s="160"/>
      <c r="BX1516" s="160"/>
      <c r="BY1516" s="160"/>
      <c r="BZ1516" s="160"/>
      <c r="CA1516" s="160"/>
      <c r="CB1516" s="160"/>
      <c r="CC1516" s="160"/>
      <c r="CD1516" s="160"/>
      <c r="CE1516" s="160"/>
      <c r="CF1516" s="160"/>
      <c r="CG1516" s="160"/>
      <c r="CH1516" s="160"/>
      <c r="CI1516" s="160"/>
      <c r="CJ1516" s="160"/>
      <c r="CK1516" s="160"/>
      <c r="CL1516" s="160"/>
    </row>
    <row r="1517">
      <c r="A1517" s="171"/>
      <c r="F1517" s="11"/>
      <c r="G1517" s="11"/>
      <c r="L1517" s="171"/>
      <c r="M1517" s="171"/>
      <c r="O1517" s="160"/>
      <c r="P1517" s="160"/>
      <c r="Q1517" s="160"/>
      <c r="R1517" s="160"/>
      <c r="S1517" s="160"/>
      <c r="T1517" s="207"/>
      <c r="U1517" s="160"/>
      <c r="V1517" s="160"/>
      <c r="W1517" s="160"/>
      <c r="X1517" s="160"/>
      <c r="Y1517" s="160"/>
      <c r="Z1517" s="160"/>
      <c r="AA1517" s="160"/>
      <c r="AB1517" s="160"/>
      <c r="AC1517" s="160"/>
      <c r="AD1517" s="160"/>
      <c r="AE1517" s="160"/>
      <c r="AF1517" s="160"/>
      <c r="AG1517" s="160"/>
      <c r="AH1517" s="160"/>
      <c r="AI1517" s="160"/>
      <c r="AJ1517" s="160"/>
      <c r="AK1517" s="160"/>
      <c r="AL1517" s="160"/>
      <c r="AM1517" s="160"/>
      <c r="AN1517" s="164"/>
      <c r="AO1517" s="160"/>
      <c r="AP1517" s="160"/>
      <c r="AQ1517" s="160"/>
      <c r="AR1517" s="160"/>
      <c r="AS1517" s="160"/>
      <c r="AT1517" s="160"/>
      <c r="AU1517" s="160"/>
      <c r="AV1517" s="160"/>
      <c r="AW1517" s="160"/>
      <c r="AX1517" s="160"/>
      <c r="AY1517" s="160"/>
      <c r="AZ1517" s="160"/>
      <c r="BA1517" s="160"/>
      <c r="BB1517" s="160"/>
      <c r="BC1517" s="160"/>
      <c r="BD1517" s="160"/>
      <c r="BE1517" s="160"/>
      <c r="BF1517" s="160"/>
      <c r="BG1517" s="160"/>
      <c r="BH1517" s="160"/>
      <c r="BI1517" s="160"/>
      <c r="BJ1517" s="160"/>
      <c r="BK1517" s="160"/>
      <c r="BL1517" s="160"/>
      <c r="BM1517" s="160"/>
      <c r="BN1517" s="160"/>
      <c r="BO1517" s="160"/>
      <c r="BP1517" s="160"/>
      <c r="BQ1517" s="160"/>
      <c r="BR1517" s="160"/>
      <c r="BS1517" s="160"/>
      <c r="BT1517" s="160"/>
      <c r="BU1517" s="160"/>
      <c r="BV1517" s="160"/>
      <c r="BW1517" s="160"/>
      <c r="BX1517" s="160"/>
      <c r="BY1517" s="160"/>
      <c r="BZ1517" s="160"/>
      <c r="CA1517" s="160"/>
      <c r="CB1517" s="160"/>
      <c r="CC1517" s="160"/>
      <c r="CD1517" s="160"/>
      <c r="CE1517" s="160"/>
      <c r="CF1517" s="160"/>
      <c r="CG1517" s="160"/>
      <c r="CH1517" s="160"/>
      <c r="CI1517" s="160"/>
      <c r="CJ1517" s="160"/>
      <c r="CK1517" s="160"/>
      <c r="CL1517" s="160"/>
    </row>
    <row r="1518">
      <c r="A1518" s="171"/>
      <c r="F1518" s="11"/>
      <c r="G1518" s="11"/>
      <c r="L1518" s="171"/>
      <c r="M1518" s="171"/>
      <c r="O1518" s="160"/>
      <c r="P1518" s="160"/>
      <c r="Q1518" s="160"/>
      <c r="R1518" s="160"/>
      <c r="S1518" s="160"/>
      <c r="T1518" s="207"/>
      <c r="U1518" s="160"/>
      <c r="V1518" s="160"/>
      <c r="W1518" s="160"/>
      <c r="X1518" s="160"/>
      <c r="Y1518" s="160"/>
      <c r="Z1518" s="160"/>
      <c r="AA1518" s="160"/>
      <c r="AB1518" s="160"/>
      <c r="AC1518" s="160"/>
      <c r="AD1518" s="160"/>
      <c r="AE1518" s="160"/>
      <c r="AF1518" s="160"/>
      <c r="AG1518" s="160"/>
      <c r="AH1518" s="160"/>
      <c r="AI1518" s="160"/>
      <c r="AJ1518" s="160"/>
      <c r="AK1518" s="160"/>
      <c r="AL1518" s="160"/>
      <c r="AM1518" s="160"/>
      <c r="AN1518" s="164"/>
      <c r="AO1518" s="160"/>
      <c r="AP1518" s="160"/>
      <c r="AQ1518" s="160"/>
      <c r="AR1518" s="160"/>
      <c r="AS1518" s="160"/>
      <c r="AT1518" s="160"/>
      <c r="AU1518" s="160"/>
      <c r="AV1518" s="160"/>
      <c r="AW1518" s="160"/>
      <c r="AX1518" s="160"/>
      <c r="AY1518" s="160"/>
      <c r="AZ1518" s="160"/>
      <c r="BA1518" s="160"/>
      <c r="BB1518" s="160"/>
      <c r="BC1518" s="160"/>
      <c r="BD1518" s="160"/>
      <c r="BE1518" s="160"/>
      <c r="BF1518" s="160"/>
      <c r="BG1518" s="160"/>
      <c r="BH1518" s="160"/>
      <c r="BI1518" s="160"/>
      <c r="BJ1518" s="160"/>
      <c r="BK1518" s="160"/>
      <c r="BL1518" s="160"/>
      <c r="BM1518" s="160"/>
      <c r="BN1518" s="160"/>
      <c r="BO1518" s="160"/>
      <c r="BP1518" s="160"/>
      <c r="BQ1518" s="160"/>
      <c r="BR1518" s="160"/>
      <c r="BS1518" s="160"/>
      <c r="BT1518" s="160"/>
      <c r="BU1518" s="160"/>
      <c r="BV1518" s="160"/>
      <c r="BW1518" s="160"/>
      <c r="BX1518" s="160"/>
      <c r="BY1518" s="160"/>
      <c r="BZ1518" s="160"/>
      <c r="CA1518" s="160"/>
      <c r="CB1518" s="160"/>
      <c r="CC1518" s="160"/>
      <c r="CD1518" s="160"/>
      <c r="CE1518" s="160"/>
      <c r="CF1518" s="160"/>
      <c r="CG1518" s="160"/>
      <c r="CH1518" s="160"/>
      <c r="CI1518" s="160"/>
      <c r="CJ1518" s="160"/>
      <c r="CK1518" s="160"/>
      <c r="CL1518" s="160"/>
    </row>
    <row r="1519">
      <c r="A1519" s="171"/>
      <c r="F1519" s="11"/>
      <c r="G1519" s="11"/>
      <c r="L1519" s="171"/>
      <c r="M1519" s="171"/>
      <c r="O1519" s="160"/>
      <c r="P1519" s="160"/>
      <c r="Q1519" s="160"/>
      <c r="R1519" s="160"/>
      <c r="S1519" s="160"/>
      <c r="T1519" s="207"/>
      <c r="U1519" s="160"/>
      <c r="V1519" s="160"/>
      <c r="W1519" s="160"/>
      <c r="X1519" s="160"/>
      <c r="Y1519" s="160"/>
      <c r="Z1519" s="160"/>
      <c r="AA1519" s="160"/>
      <c r="AB1519" s="160"/>
      <c r="AC1519" s="160"/>
      <c r="AD1519" s="160"/>
      <c r="AE1519" s="160"/>
      <c r="AF1519" s="160"/>
      <c r="AG1519" s="160"/>
      <c r="AH1519" s="160"/>
      <c r="AI1519" s="160"/>
      <c r="AJ1519" s="160"/>
      <c r="AK1519" s="160"/>
      <c r="AL1519" s="160"/>
      <c r="AM1519" s="160"/>
      <c r="AN1519" s="164"/>
      <c r="AO1519" s="160"/>
      <c r="AP1519" s="160"/>
      <c r="AQ1519" s="160"/>
      <c r="AR1519" s="160"/>
      <c r="AS1519" s="160"/>
      <c r="AT1519" s="160"/>
      <c r="AU1519" s="160"/>
      <c r="AV1519" s="160"/>
      <c r="AW1519" s="160"/>
      <c r="AX1519" s="160"/>
      <c r="AY1519" s="160"/>
      <c r="AZ1519" s="160"/>
      <c r="BA1519" s="160"/>
      <c r="BB1519" s="160"/>
      <c r="BC1519" s="160"/>
      <c r="BD1519" s="160"/>
      <c r="BE1519" s="160"/>
      <c r="BF1519" s="160"/>
      <c r="BG1519" s="160"/>
      <c r="BH1519" s="160"/>
      <c r="BI1519" s="160"/>
      <c r="BJ1519" s="160"/>
      <c r="BK1519" s="160"/>
      <c r="BL1519" s="160"/>
      <c r="BM1519" s="160"/>
      <c r="BN1519" s="160"/>
      <c r="BO1519" s="160"/>
      <c r="BP1519" s="160"/>
      <c r="BQ1519" s="160"/>
      <c r="BR1519" s="160"/>
      <c r="BS1519" s="160"/>
      <c r="BT1519" s="160"/>
      <c r="BU1519" s="160"/>
      <c r="BV1519" s="160"/>
      <c r="BW1519" s="160"/>
      <c r="BX1519" s="160"/>
      <c r="BY1519" s="160"/>
      <c r="BZ1519" s="160"/>
      <c r="CA1519" s="160"/>
      <c r="CB1519" s="160"/>
      <c r="CC1519" s="160"/>
      <c r="CD1519" s="160"/>
      <c r="CE1519" s="160"/>
      <c r="CF1519" s="160"/>
      <c r="CG1519" s="160"/>
      <c r="CH1519" s="160"/>
      <c r="CI1519" s="160"/>
      <c r="CJ1519" s="160"/>
      <c r="CK1519" s="160"/>
      <c r="CL1519" s="160"/>
    </row>
    <row r="1520">
      <c r="A1520" s="171"/>
      <c r="F1520" s="11"/>
      <c r="G1520" s="11"/>
      <c r="L1520" s="171"/>
      <c r="M1520" s="171"/>
      <c r="O1520" s="160"/>
      <c r="P1520" s="160"/>
      <c r="Q1520" s="160"/>
      <c r="R1520" s="160"/>
      <c r="S1520" s="160"/>
      <c r="T1520" s="207"/>
      <c r="U1520" s="160"/>
      <c r="V1520" s="160"/>
      <c r="W1520" s="160"/>
      <c r="X1520" s="160"/>
      <c r="Y1520" s="160"/>
      <c r="Z1520" s="160"/>
      <c r="AA1520" s="160"/>
      <c r="AB1520" s="160"/>
      <c r="AC1520" s="160"/>
      <c r="AD1520" s="160"/>
      <c r="AE1520" s="160"/>
      <c r="AF1520" s="160"/>
      <c r="AG1520" s="160"/>
      <c r="AH1520" s="160"/>
      <c r="AI1520" s="160"/>
      <c r="AJ1520" s="160"/>
      <c r="AK1520" s="160"/>
      <c r="AL1520" s="160"/>
      <c r="AM1520" s="160"/>
      <c r="AN1520" s="164"/>
      <c r="AO1520" s="160"/>
      <c r="AP1520" s="160"/>
      <c r="AQ1520" s="160"/>
      <c r="AR1520" s="160"/>
      <c r="AS1520" s="160"/>
      <c r="AT1520" s="160"/>
      <c r="AU1520" s="160"/>
      <c r="AV1520" s="160"/>
      <c r="AW1520" s="160"/>
      <c r="AX1520" s="160"/>
      <c r="AY1520" s="160"/>
      <c r="AZ1520" s="160"/>
      <c r="BA1520" s="160"/>
      <c r="BB1520" s="160"/>
      <c r="BC1520" s="160"/>
      <c r="BD1520" s="160"/>
      <c r="BE1520" s="160"/>
      <c r="BF1520" s="160"/>
      <c r="BG1520" s="160"/>
      <c r="BH1520" s="160"/>
      <c r="BI1520" s="160"/>
      <c r="BJ1520" s="160"/>
      <c r="BK1520" s="160"/>
      <c r="BL1520" s="160"/>
      <c r="BM1520" s="160"/>
      <c r="BN1520" s="160"/>
      <c r="BO1520" s="160"/>
      <c r="BP1520" s="160"/>
      <c r="BQ1520" s="160"/>
      <c r="BR1520" s="160"/>
      <c r="BS1520" s="160"/>
      <c r="BT1520" s="160"/>
      <c r="BU1520" s="160"/>
      <c r="BV1520" s="160"/>
      <c r="BW1520" s="160"/>
      <c r="BX1520" s="160"/>
      <c r="BY1520" s="160"/>
      <c r="BZ1520" s="160"/>
      <c r="CA1520" s="160"/>
      <c r="CB1520" s="160"/>
      <c r="CC1520" s="160"/>
      <c r="CD1520" s="160"/>
      <c r="CE1520" s="160"/>
      <c r="CF1520" s="160"/>
      <c r="CG1520" s="160"/>
      <c r="CH1520" s="160"/>
      <c r="CI1520" s="160"/>
      <c r="CJ1520" s="160"/>
      <c r="CK1520" s="160"/>
      <c r="CL1520" s="160"/>
    </row>
    <row r="1521">
      <c r="A1521" s="171"/>
      <c r="F1521" s="11"/>
      <c r="G1521" s="11"/>
      <c r="L1521" s="171"/>
      <c r="M1521" s="171"/>
      <c r="O1521" s="160"/>
      <c r="P1521" s="160"/>
      <c r="Q1521" s="160"/>
      <c r="R1521" s="160"/>
      <c r="S1521" s="160"/>
      <c r="T1521" s="207"/>
      <c r="U1521" s="160"/>
      <c r="V1521" s="160"/>
      <c r="W1521" s="160"/>
      <c r="X1521" s="160"/>
      <c r="Y1521" s="160"/>
      <c r="Z1521" s="160"/>
      <c r="AA1521" s="160"/>
      <c r="AB1521" s="160"/>
      <c r="AC1521" s="160"/>
      <c r="AD1521" s="160"/>
      <c r="AE1521" s="160"/>
      <c r="AF1521" s="160"/>
      <c r="AG1521" s="160"/>
      <c r="AH1521" s="160"/>
      <c r="AI1521" s="160"/>
      <c r="AJ1521" s="160"/>
      <c r="AK1521" s="160"/>
      <c r="AL1521" s="160"/>
      <c r="AM1521" s="160"/>
      <c r="AN1521" s="164"/>
      <c r="AO1521" s="160"/>
      <c r="AP1521" s="160"/>
      <c r="AQ1521" s="160"/>
      <c r="AR1521" s="160"/>
      <c r="AS1521" s="160"/>
      <c r="AT1521" s="160"/>
      <c r="AU1521" s="160"/>
      <c r="AV1521" s="160"/>
      <c r="AW1521" s="160"/>
      <c r="AX1521" s="160"/>
      <c r="AY1521" s="160"/>
      <c r="AZ1521" s="160"/>
      <c r="BA1521" s="160"/>
      <c r="BB1521" s="160"/>
      <c r="BC1521" s="160"/>
      <c r="BD1521" s="160"/>
      <c r="BE1521" s="160"/>
      <c r="BF1521" s="160"/>
      <c r="BG1521" s="160"/>
      <c r="BH1521" s="160"/>
      <c r="BI1521" s="160"/>
      <c r="BJ1521" s="160"/>
      <c r="BK1521" s="160"/>
      <c r="BL1521" s="160"/>
      <c r="BM1521" s="160"/>
      <c r="BN1521" s="160"/>
      <c r="BO1521" s="160"/>
      <c r="BP1521" s="160"/>
      <c r="BQ1521" s="160"/>
      <c r="BR1521" s="160"/>
      <c r="BS1521" s="160"/>
      <c r="BT1521" s="160"/>
      <c r="BU1521" s="160"/>
      <c r="BV1521" s="160"/>
      <c r="BW1521" s="160"/>
      <c r="BX1521" s="160"/>
      <c r="BY1521" s="160"/>
      <c r="BZ1521" s="160"/>
      <c r="CA1521" s="160"/>
      <c r="CB1521" s="160"/>
      <c r="CC1521" s="160"/>
      <c r="CD1521" s="160"/>
      <c r="CE1521" s="160"/>
      <c r="CF1521" s="160"/>
      <c r="CG1521" s="160"/>
      <c r="CH1521" s="160"/>
      <c r="CI1521" s="160"/>
      <c r="CJ1521" s="160"/>
      <c r="CK1521" s="160"/>
      <c r="CL1521" s="160"/>
    </row>
    <row r="1522">
      <c r="A1522" s="171"/>
      <c r="F1522" s="11"/>
      <c r="G1522" s="11"/>
      <c r="L1522" s="171"/>
      <c r="M1522" s="171"/>
      <c r="O1522" s="160"/>
      <c r="P1522" s="160"/>
      <c r="Q1522" s="160"/>
      <c r="R1522" s="160"/>
      <c r="S1522" s="160"/>
      <c r="T1522" s="207"/>
      <c r="U1522" s="160"/>
      <c r="V1522" s="160"/>
      <c r="W1522" s="160"/>
      <c r="X1522" s="160"/>
      <c r="Y1522" s="160"/>
      <c r="Z1522" s="160"/>
      <c r="AA1522" s="160"/>
      <c r="AB1522" s="160"/>
      <c r="AC1522" s="160"/>
      <c r="AD1522" s="160"/>
      <c r="AE1522" s="160"/>
      <c r="AF1522" s="160"/>
      <c r="AG1522" s="160"/>
      <c r="AH1522" s="160"/>
      <c r="AI1522" s="160"/>
      <c r="AJ1522" s="160"/>
      <c r="AK1522" s="160"/>
      <c r="AL1522" s="160"/>
      <c r="AM1522" s="160"/>
      <c r="AN1522" s="164"/>
      <c r="AO1522" s="160"/>
      <c r="AP1522" s="160"/>
      <c r="AQ1522" s="160"/>
      <c r="AR1522" s="160"/>
      <c r="AS1522" s="160"/>
      <c r="AT1522" s="160"/>
      <c r="AU1522" s="160"/>
      <c r="AV1522" s="160"/>
      <c r="AW1522" s="160"/>
      <c r="AX1522" s="160"/>
      <c r="AY1522" s="160"/>
      <c r="AZ1522" s="160"/>
      <c r="BA1522" s="160"/>
      <c r="BB1522" s="160"/>
      <c r="BC1522" s="160"/>
      <c r="BD1522" s="160"/>
      <c r="BE1522" s="160"/>
      <c r="BF1522" s="160"/>
      <c r="BG1522" s="160"/>
      <c r="BH1522" s="160"/>
      <c r="BI1522" s="160"/>
      <c r="BJ1522" s="160"/>
      <c r="BK1522" s="160"/>
      <c r="BL1522" s="160"/>
      <c r="BM1522" s="160"/>
      <c r="BN1522" s="160"/>
      <c r="BO1522" s="160"/>
      <c r="BP1522" s="160"/>
      <c r="BQ1522" s="160"/>
      <c r="BR1522" s="160"/>
      <c r="BS1522" s="160"/>
      <c r="BT1522" s="160"/>
      <c r="BU1522" s="160"/>
      <c r="BV1522" s="160"/>
      <c r="BW1522" s="160"/>
      <c r="BX1522" s="160"/>
      <c r="BY1522" s="160"/>
      <c r="BZ1522" s="160"/>
      <c r="CA1522" s="160"/>
      <c r="CB1522" s="160"/>
      <c r="CC1522" s="160"/>
      <c r="CD1522" s="160"/>
      <c r="CE1522" s="160"/>
      <c r="CF1522" s="160"/>
      <c r="CG1522" s="160"/>
      <c r="CH1522" s="160"/>
      <c r="CI1522" s="160"/>
      <c r="CJ1522" s="160"/>
      <c r="CK1522" s="160"/>
      <c r="CL1522" s="160"/>
    </row>
    <row r="1523">
      <c r="A1523" s="171"/>
      <c r="F1523" s="11"/>
      <c r="G1523" s="11"/>
      <c r="L1523" s="171"/>
      <c r="M1523" s="171"/>
      <c r="O1523" s="160"/>
      <c r="P1523" s="160"/>
      <c r="Q1523" s="160"/>
      <c r="R1523" s="160"/>
      <c r="S1523" s="160"/>
      <c r="T1523" s="207"/>
      <c r="U1523" s="160"/>
      <c r="V1523" s="160"/>
      <c r="W1523" s="160"/>
      <c r="X1523" s="160"/>
      <c r="Y1523" s="160"/>
      <c r="Z1523" s="160"/>
      <c r="AA1523" s="160"/>
      <c r="AB1523" s="160"/>
      <c r="AC1523" s="160"/>
      <c r="AD1523" s="160"/>
      <c r="AE1523" s="160"/>
      <c r="AF1523" s="160"/>
      <c r="AG1523" s="160"/>
      <c r="AH1523" s="160"/>
      <c r="AI1523" s="160"/>
      <c r="AJ1523" s="160"/>
      <c r="AK1523" s="160"/>
      <c r="AL1523" s="160"/>
      <c r="AM1523" s="160"/>
      <c r="AN1523" s="164"/>
      <c r="AO1523" s="160"/>
      <c r="AP1523" s="160"/>
      <c r="AQ1523" s="160"/>
      <c r="AR1523" s="160"/>
      <c r="AS1523" s="160"/>
      <c r="AT1523" s="160"/>
      <c r="AU1523" s="160"/>
      <c r="AV1523" s="160"/>
      <c r="AW1523" s="160"/>
      <c r="AX1523" s="160"/>
      <c r="AY1523" s="160"/>
      <c r="AZ1523" s="160"/>
      <c r="BA1523" s="160"/>
      <c r="BB1523" s="160"/>
      <c r="BC1523" s="160"/>
      <c r="BD1523" s="160"/>
      <c r="BE1523" s="160"/>
      <c r="BF1523" s="160"/>
      <c r="BG1523" s="160"/>
      <c r="BH1523" s="160"/>
      <c r="BI1523" s="160"/>
      <c r="BJ1523" s="160"/>
      <c r="BK1523" s="160"/>
      <c r="BL1523" s="160"/>
      <c r="BM1523" s="160"/>
      <c r="BN1523" s="160"/>
      <c r="BO1523" s="160"/>
      <c r="BP1523" s="160"/>
      <c r="BQ1523" s="160"/>
      <c r="BR1523" s="160"/>
      <c r="BS1523" s="160"/>
      <c r="BT1523" s="160"/>
      <c r="BU1523" s="160"/>
      <c r="BV1523" s="160"/>
      <c r="BW1523" s="160"/>
      <c r="BX1523" s="160"/>
      <c r="BY1523" s="160"/>
      <c r="BZ1523" s="160"/>
      <c r="CA1523" s="160"/>
      <c r="CB1523" s="160"/>
      <c r="CC1523" s="160"/>
      <c r="CD1523" s="160"/>
      <c r="CE1523" s="160"/>
      <c r="CF1523" s="160"/>
      <c r="CG1523" s="160"/>
      <c r="CH1523" s="160"/>
      <c r="CI1523" s="160"/>
      <c r="CJ1523" s="160"/>
      <c r="CK1523" s="160"/>
      <c r="CL1523" s="160"/>
    </row>
    <row r="1524">
      <c r="A1524" s="171"/>
      <c r="F1524" s="11"/>
      <c r="G1524" s="11"/>
      <c r="L1524" s="171"/>
      <c r="M1524" s="171"/>
      <c r="O1524" s="160"/>
      <c r="P1524" s="160"/>
      <c r="Q1524" s="160"/>
      <c r="R1524" s="160"/>
      <c r="S1524" s="160"/>
      <c r="T1524" s="207"/>
      <c r="U1524" s="160"/>
      <c r="V1524" s="160"/>
      <c r="W1524" s="160"/>
      <c r="X1524" s="160"/>
      <c r="Y1524" s="160"/>
      <c r="Z1524" s="160"/>
      <c r="AA1524" s="160"/>
      <c r="AB1524" s="160"/>
      <c r="AC1524" s="160"/>
      <c r="AD1524" s="160"/>
      <c r="AE1524" s="160"/>
      <c r="AF1524" s="160"/>
      <c r="AG1524" s="160"/>
      <c r="AH1524" s="160"/>
      <c r="AI1524" s="160"/>
      <c r="AJ1524" s="160"/>
      <c r="AK1524" s="160"/>
      <c r="AL1524" s="160"/>
      <c r="AM1524" s="160"/>
      <c r="AN1524" s="164"/>
      <c r="AO1524" s="160"/>
      <c r="AP1524" s="160"/>
      <c r="AQ1524" s="160"/>
      <c r="AR1524" s="160"/>
      <c r="AS1524" s="160"/>
      <c r="AT1524" s="160"/>
      <c r="AU1524" s="160"/>
      <c r="AV1524" s="160"/>
      <c r="AW1524" s="160"/>
      <c r="AX1524" s="160"/>
      <c r="AY1524" s="160"/>
      <c r="AZ1524" s="160"/>
      <c r="BA1524" s="160"/>
      <c r="BB1524" s="160"/>
      <c r="BC1524" s="160"/>
      <c r="BD1524" s="160"/>
      <c r="BE1524" s="160"/>
      <c r="BF1524" s="160"/>
      <c r="BG1524" s="160"/>
      <c r="BH1524" s="160"/>
      <c r="BI1524" s="160"/>
      <c r="BJ1524" s="160"/>
      <c r="BK1524" s="160"/>
      <c r="BL1524" s="160"/>
      <c r="BM1524" s="160"/>
      <c r="BN1524" s="160"/>
      <c r="BO1524" s="160"/>
      <c r="BP1524" s="160"/>
      <c r="BQ1524" s="160"/>
      <c r="BR1524" s="160"/>
      <c r="BS1524" s="160"/>
      <c r="BT1524" s="160"/>
      <c r="BU1524" s="160"/>
      <c r="BV1524" s="160"/>
      <c r="BW1524" s="160"/>
      <c r="BX1524" s="160"/>
      <c r="BY1524" s="160"/>
      <c r="BZ1524" s="160"/>
      <c r="CA1524" s="160"/>
      <c r="CB1524" s="160"/>
      <c r="CC1524" s="160"/>
      <c r="CD1524" s="160"/>
      <c r="CE1524" s="160"/>
      <c r="CF1524" s="160"/>
      <c r="CG1524" s="160"/>
      <c r="CH1524" s="160"/>
      <c r="CI1524" s="160"/>
      <c r="CJ1524" s="160"/>
      <c r="CK1524" s="160"/>
      <c r="CL1524" s="160"/>
    </row>
    <row r="1525">
      <c r="A1525" s="171"/>
      <c r="F1525" s="11"/>
      <c r="G1525" s="11"/>
      <c r="L1525" s="171"/>
      <c r="M1525" s="171"/>
      <c r="O1525" s="160"/>
      <c r="P1525" s="160"/>
      <c r="Q1525" s="160"/>
      <c r="R1525" s="160"/>
      <c r="S1525" s="160"/>
      <c r="T1525" s="207"/>
      <c r="U1525" s="160"/>
      <c r="V1525" s="160"/>
      <c r="W1525" s="160"/>
      <c r="X1525" s="160"/>
      <c r="Y1525" s="160"/>
      <c r="Z1525" s="160"/>
      <c r="AA1525" s="160"/>
      <c r="AB1525" s="160"/>
      <c r="AC1525" s="160"/>
      <c r="AD1525" s="160"/>
      <c r="AE1525" s="160"/>
      <c r="AF1525" s="160"/>
      <c r="AG1525" s="160"/>
      <c r="AH1525" s="160"/>
      <c r="AI1525" s="160"/>
      <c r="AJ1525" s="160"/>
      <c r="AK1525" s="160"/>
      <c r="AL1525" s="160"/>
      <c r="AM1525" s="160"/>
      <c r="AN1525" s="164"/>
      <c r="AO1525" s="160"/>
      <c r="AP1525" s="160"/>
      <c r="AQ1525" s="160"/>
      <c r="AR1525" s="160"/>
      <c r="AS1525" s="160"/>
      <c r="AT1525" s="160"/>
      <c r="AU1525" s="160"/>
      <c r="AV1525" s="160"/>
      <c r="AW1525" s="160"/>
      <c r="AX1525" s="160"/>
      <c r="AY1525" s="160"/>
      <c r="AZ1525" s="160"/>
      <c r="BA1525" s="160"/>
      <c r="BB1525" s="160"/>
      <c r="BC1525" s="160"/>
      <c r="BD1525" s="160"/>
      <c r="BE1525" s="160"/>
      <c r="BF1525" s="160"/>
      <c r="BG1525" s="160"/>
      <c r="BH1525" s="160"/>
      <c r="BI1525" s="160"/>
      <c r="BJ1525" s="160"/>
      <c r="BK1525" s="160"/>
      <c r="BL1525" s="160"/>
      <c r="BM1525" s="160"/>
      <c r="BN1525" s="160"/>
      <c r="BO1525" s="160"/>
      <c r="BP1525" s="160"/>
      <c r="BQ1525" s="160"/>
      <c r="BR1525" s="160"/>
      <c r="BS1525" s="160"/>
      <c r="BT1525" s="160"/>
      <c r="BU1525" s="160"/>
      <c r="BV1525" s="160"/>
      <c r="BW1525" s="160"/>
      <c r="BX1525" s="160"/>
      <c r="BY1525" s="160"/>
      <c r="BZ1525" s="160"/>
      <c r="CA1525" s="160"/>
      <c r="CB1525" s="160"/>
      <c r="CC1525" s="160"/>
      <c r="CD1525" s="160"/>
      <c r="CE1525" s="160"/>
      <c r="CF1525" s="160"/>
      <c r="CG1525" s="160"/>
      <c r="CH1525" s="160"/>
      <c r="CI1525" s="160"/>
      <c r="CJ1525" s="160"/>
      <c r="CK1525" s="160"/>
      <c r="CL1525" s="160"/>
    </row>
    <row r="1526">
      <c r="A1526" s="171"/>
      <c r="F1526" s="11"/>
      <c r="G1526" s="11"/>
      <c r="L1526" s="171"/>
      <c r="M1526" s="171"/>
      <c r="O1526" s="160"/>
      <c r="P1526" s="160"/>
      <c r="Q1526" s="160"/>
      <c r="R1526" s="160"/>
      <c r="S1526" s="160"/>
      <c r="T1526" s="207"/>
      <c r="U1526" s="160"/>
      <c r="V1526" s="160"/>
      <c r="W1526" s="160"/>
      <c r="X1526" s="160"/>
      <c r="Y1526" s="160"/>
      <c r="Z1526" s="160"/>
      <c r="AA1526" s="160"/>
      <c r="AB1526" s="160"/>
      <c r="AC1526" s="160"/>
      <c r="AD1526" s="160"/>
      <c r="AE1526" s="160"/>
      <c r="AF1526" s="160"/>
      <c r="AG1526" s="160"/>
      <c r="AH1526" s="160"/>
      <c r="AI1526" s="160"/>
      <c r="AJ1526" s="160"/>
      <c r="AK1526" s="160"/>
      <c r="AL1526" s="160"/>
      <c r="AM1526" s="160"/>
      <c r="AN1526" s="164"/>
      <c r="AO1526" s="160"/>
      <c r="AP1526" s="160"/>
      <c r="AQ1526" s="160"/>
      <c r="AR1526" s="160"/>
      <c r="AS1526" s="160"/>
      <c r="AT1526" s="160"/>
      <c r="AU1526" s="160"/>
      <c r="AV1526" s="160"/>
      <c r="AW1526" s="160"/>
      <c r="AX1526" s="160"/>
      <c r="AY1526" s="160"/>
      <c r="AZ1526" s="160"/>
      <c r="BA1526" s="160"/>
      <c r="BB1526" s="160"/>
      <c r="BC1526" s="160"/>
      <c r="BD1526" s="160"/>
      <c r="BE1526" s="160"/>
      <c r="BF1526" s="160"/>
      <c r="BG1526" s="160"/>
      <c r="BH1526" s="160"/>
      <c r="BI1526" s="160"/>
      <c r="BJ1526" s="160"/>
      <c r="BK1526" s="160"/>
      <c r="BL1526" s="160"/>
      <c r="BM1526" s="160"/>
      <c r="BN1526" s="160"/>
      <c r="BO1526" s="160"/>
      <c r="BP1526" s="160"/>
      <c r="BQ1526" s="160"/>
      <c r="BR1526" s="160"/>
      <c r="BS1526" s="160"/>
      <c r="BT1526" s="160"/>
      <c r="BU1526" s="160"/>
      <c r="BV1526" s="160"/>
      <c r="BW1526" s="160"/>
      <c r="BX1526" s="160"/>
      <c r="BY1526" s="160"/>
      <c r="BZ1526" s="160"/>
      <c r="CA1526" s="160"/>
      <c r="CB1526" s="160"/>
      <c r="CC1526" s="160"/>
      <c r="CD1526" s="160"/>
      <c r="CE1526" s="160"/>
      <c r="CF1526" s="160"/>
      <c r="CG1526" s="160"/>
      <c r="CH1526" s="160"/>
      <c r="CI1526" s="160"/>
      <c r="CJ1526" s="160"/>
      <c r="CK1526" s="160"/>
      <c r="CL1526" s="160"/>
    </row>
    <row r="1527">
      <c r="A1527" s="171"/>
      <c r="F1527" s="11"/>
      <c r="G1527" s="11"/>
      <c r="L1527" s="171"/>
      <c r="M1527" s="171"/>
      <c r="O1527" s="160"/>
      <c r="P1527" s="160"/>
      <c r="Q1527" s="160"/>
      <c r="R1527" s="160"/>
      <c r="S1527" s="160"/>
      <c r="T1527" s="207"/>
      <c r="U1527" s="160"/>
      <c r="V1527" s="160"/>
      <c r="W1527" s="160"/>
      <c r="X1527" s="160"/>
      <c r="Y1527" s="160"/>
      <c r="Z1527" s="160"/>
      <c r="AA1527" s="160"/>
      <c r="AB1527" s="160"/>
      <c r="AC1527" s="160"/>
      <c r="AD1527" s="160"/>
      <c r="AE1527" s="160"/>
      <c r="AF1527" s="160"/>
      <c r="AG1527" s="160"/>
      <c r="AH1527" s="160"/>
      <c r="AI1527" s="160"/>
      <c r="AJ1527" s="160"/>
      <c r="AK1527" s="160"/>
      <c r="AL1527" s="160"/>
      <c r="AM1527" s="160"/>
      <c r="AN1527" s="164"/>
      <c r="AO1527" s="160"/>
      <c r="AP1527" s="160"/>
      <c r="AQ1527" s="160"/>
      <c r="AR1527" s="160"/>
      <c r="AS1527" s="160"/>
      <c r="AT1527" s="160"/>
      <c r="AU1527" s="160"/>
      <c r="AV1527" s="160"/>
      <c r="AW1527" s="160"/>
      <c r="AX1527" s="160"/>
      <c r="AY1527" s="160"/>
      <c r="AZ1527" s="160"/>
      <c r="BA1527" s="160"/>
      <c r="BB1527" s="160"/>
      <c r="BC1527" s="160"/>
      <c r="BD1527" s="160"/>
      <c r="BE1527" s="160"/>
      <c r="BF1527" s="160"/>
      <c r="BG1527" s="160"/>
      <c r="BH1527" s="160"/>
      <c r="BI1527" s="160"/>
      <c r="BJ1527" s="160"/>
      <c r="BK1527" s="160"/>
      <c r="BL1527" s="160"/>
      <c r="BM1527" s="160"/>
      <c r="BN1527" s="160"/>
      <c r="BO1527" s="160"/>
      <c r="BP1527" s="160"/>
      <c r="BQ1527" s="160"/>
      <c r="BR1527" s="160"/>
      <c r="BS1527" s="160"/>
      <c r="BT1527" s="160"/>
      <c r="BU1527" s="160"/>
      <c r="BV1527" s="160"/>
      <c r="BW1527" s="160"/>
      <c r="BX1527" s="160"/>
      <c r="BY1527" s="160"/>
      <c r="BZ1527" s="160"/>
      <c r="CA1527" s="160"/>
      <c r="CB1527" s="160"/>
      <c r="CC1527" s="160"/>
      <c r="CD1527" s="160"/>
      <c r="CE1527" s="160"/>
      <c r="CF1527" s="160"/>
      <c r="CG1527" s="160"/>
      <c r="CH1527" s="160"/>
      <c r="CI1527" s="160"/>
      <c r="CJ1527" s="160"/>
      <c r="CK1527" s="160"/>
      <c r="CL1527" s="160"/>
    </row>
    <row r="1528">
      <c r="A1528" s="171"/>
      <c r="F1528" s="11"/>
      <c r="G1528" s="11"/>
      <c r="L1528" s="171"/>
      <c r="M1528" s="171"/>
      <c r="O1528" s="160"/>
      <c r="P1528" s="160"/>
      <c r="Q1528" s="160"/>
      <c r="R1528" s="160"/>
      <c r="S1528" s="160"/>
      <c r="T1528" s="207"/>
      <c r="U1528" s="160"/>
      <c r="V1528" s="160"/>
      <c r="W1528" s="160"/>
      <c r="X1528" s="160"/>
      <c r="Y1528" s="160"/>
      <c r="Z1528" s="160"/>
      <c r="AA1528" s="160"/>
      <c r="AB1528" s="160"/>
      <c r="AC1528" s="160"/>
      <c r="AD1528" s="160"/>
      <c r="AE1528" s="160"/>
      <c r="AF1528" s="160"/>
      <c r="AG1528" s="160"/>
      <c r="AH1528" s="160"/>
      <c r="AI1528" s="160"/>
      <c r="AJ1528" s="160"/>
      <c r="AK1528" s="160"/>
      <c r="AL1528" s="160"/>
      <c r="AM1528" s="160"/>
      <c r="AN1528" s="164"/>
      <c r="AO1528" s="160"/>
      <c r="AP1528" s="160"/>
      <c r="AQ1528" s="160"/>
      <c r="AR1528" s="160"/>
      <c r="AS1528" s="160"/>
      <c r="AT1528" s="160"/>
      <c r="AU1528" s="160"/>
      <c r="AV1528" s="160"/>
      <c r="AW1528" s="160"/>
      <c r="AX1528" s="160"/>
      <c r="AY1528" s="160"/>
      <c r="AZ1528" s="160"/>
      <c r="BA1528" s="160"/>
      <c r="BB1528" s="160"/>
      <c r="BC1528" s="160"/>
      <c r="BD1528" s="160"/>
      <c r="BE1528" s="160"/>
      <c r="BF1528" s="160"/>
      <c r="BG1528" s="160"/>
      <c r="BH1528" s="160"/>
      <c r="BI1528" s="160"/>
      <c r="BJ1528" s="160"/>
      <c r="BK1528" s="160"/>
      <c r="BL1528" s="160"/>
      <c r="BM1528" s="160"/>
      <c r="BN1528" s="160"/>
      <c r="BO1528" s="160"/>
      <c r="BP1528" s="160"/>
      <c r="BQ1528" s="160"/>
      <c r="BR1528" s="160"/>
      <c r="BS1528" s="160"/>
      <c r="BT1528" s="160"/>
      <c r="BU1528" s="160"/>
      <c r="BV1528" s="160"/>
      <c r="BW1528" s="160"/>
      <c r="BX1528" s="160"/>
      <c r="BY1528" s="160"/>
      <c r="BZ1528" s="160"/>
      <c r="CA1528" s="160"/>
      <c r="CB1528" s="160"/>
      <c r="CC1528" s="160"/>
      <c r="CD1528" s="160"/>
      <c r="CE1528" s="160"/>
      <c r="CF1528" s="160"/>
      <c r="CG1528" s="160"/>
      <c r="CH1528" s="160"/>
      <c r="CI1528" s="160"/>
      <c r="CJ1528" s="160"/>
      <c r="CK1528" s="160"/>
      <c r="CL1528" s="160"/>
    </row>
    <row r="1529">
      <c r="A1529" s="171"/>
      <c r="F1529" s="11"/>
      <c r="G1529" s="11"/>
      <c r="L1529" s="171"/>
      <c r="M1529" s="171"/>
      <c r="O1529" s="160"/>
      <c r="P1529" s="160"/>
      <c r="Q1529" s="160"/>
      <c r="R1529" s="160"/>
      <c r="S1529" s="160"/>
      <c r="T1529" s="207"/>
      <c r="U1529" s="160"/>
      <c r="V1529" s="160"/>
      <c r="W1529" s="160"/>
      <c r="X1529" s="160"/>
      <c r="Y1529" s="160"/>
      <c r="Z1529" s="160"/>
      <c r="AA1529" s="160"/>
      <c r="AB1529" s="160"/>
      <c r="AC1529" s="160"/>
      <c r="AD1529" s="160"/>
      <c r="AE1529" s="160"/>
      <c r="AF1529" s="160"/>
      <c r="AG1529" s="160"/>
      <c r="AH1529" s="160"/>
      <c r="AI1529" s="160"/>
      <c r="AJ1529" s="160"/>
      <c r="AK1529" s="160"/>
      <c r="AL1529" s="160"/>
      <c r="AM1529" s="160"/>
      <c r="AN1529" s="164"/>
      <c r="AO1529" s="160"/>
      <c r="AP1529" s="160"/>
      <c r="AQ1529" s="160"/>
      <c r="AR1529" s="160"/>
      <c r="AS1529" s="160"/>
      <c r="AT1529" s="160"/>
      <c r="AU1529" s="160"/>
      <c r="AV1529" s="160"/>
      <c r="AW1529" s="160"/>
      <c r="AX1529" s="160"/>
      <c r="AY1529" s="160"/>
      <c r="AZ1529" s="160"/>
      <c r="BA1529" s="160"/>
      <c r="BB1529" s="160"/>
      <c r="BC1529" s="160"/>
      <c r="BD1529" s="160"/>
      <c r="BE1529" s="160"/>
      <c r="BF1529" s="160"/>
      <c r="BG1529" s="160"/>
      <c r="BH1529" s="160"/>
      <c r="BI1529" s="160"/>
      <c r="BJ1529" s="160"/>
      <c r="BK1529" s="160"/>
      <c r="BL1529" s="160"/>
      <c r="BM1529" s="160"/>
      <c r="BN1529" s="160"/>
      <c r="BO1529" s="160"/>
      <c r="BP1529" s="160"/>
      <c r="BQ1529" s="160"/>
      <c r="BR1529" s="160"/>
      <c r="BS1529" s="160"/>
      <c r="BT1529" s="160"/>
      <c r="BU1529" s="160"/>
      <c r="BV1529" s="160"/>
      <c r="BW1529" s="160"/>
      <c r="BX1529" s="160"/>
      <c r="BY1529" s="160"/>
      <c r="BZ1529" s="160"/>
      <c r="CA1529" s="160"/>
      <c r="CB1529" s="160"/>
      <c r="CC1529" s="160"/>
      <c r="CD1529" s="160"/>
      <c r="CE1529" s="160"/>
      <c r="CF1529" s="160"/>
      <c r="CG1529" s="160"/>
      <c r="CH1529" s="160"/>
      <c r="CI1529" s="160"/>
      <c r="CJ1529" s="160"/>
      <c r="CK1529" s="160"/>
      <c r="CL1529" s="160"/>
    </row>
    <row r="1530">
      <c r="A1530" s="171"/>
      <c r="F1530" s="11"/>
      <c r="G1530" s="11"/>
      <c r="L1530" s="171"/>
      <c r="M1530" s="171"/>
      <c r="O1530" s="160"/>
      <c r="P1530" s="160"/>
      <c r="Q1530" s="160"/>
      <c r="R1530" s="160"/>
      <c r="S1530" s="160"/>
      <c r="T1530" s="207"/>
      <c r="U1530" s="160"/>
      <c r="V1530" s="160"/>
      <c r="W1530" s="160"/>
      <c r="X1530" s="160"/>
      <c r="Y1530" s="160"/>
      <c r="Z1530" s="160"/>
      <c r="AA1530" s="160"/>
      <c r="AB1530" s="160"/>
      <c r="AC1530" s="160"/>
      <c r="AD1530" s="160"/>
      <c r="AE1530" s="160"/>
      <c r="AF1530" s="160"/>
      <c r="AG1530" s="160"/>
      <c r="AH1530" s="160"/>
      <c r="AI1530" s="160"/>
      <c r="AJ1530" s="160"/>
      <c r="AK1530" s="160"/>
      <c r="AL1530" s="160"/>
      <c r="AM1530" s="160"/>
      <c r="AN1530" s="164"/>
      <c r="AO1530" s="160"/>
      <c r="AP1530" s="160"/>
      <c r="AQ1530" s="160"/>
      <c r="AR1530" s="160"/>
      <c r="AS1530" s="160"/>
      <c r="AT1530" s="160"/>
      <c r="AU1530" s="160"/>
      <c r="AV1530" s="160"/>
      <c r="AW1530" s="160"/>
      <c r="AX1530" s="160"/>
      <c r="AY1530" s="160"/>
      <c r="AZ1530" s="160"/>
      <c r="BA1530" s="160"/>
      <c r="BB1530" s="160"/>
      <c r="BC1530" s="160"/>
      <c r="BD1530" s="160"/>
      <c r="BE1530" s="160"/>
      <c r="BF1530" s="160"/>
      <c r="BG1530" s="160"/>
      <c r="BH1530" s="160"/>
      <c r="BI1530" s="160"/>
      <c r="BJ1530" s="160"/>
      <c r="BK1530" s="160"/>
      <c r="BL1530" s="160"/>
      <c r="BM1530" s="160"/>
      <c r="BN1530" s="160"/>
      <c r="BO1530" s="160"/>
      <c r="BP1530" s="160"/>
      <c r="BQ1530" s="160"/>
      <c r="BR1530" s="160"/>
      <c r="BS1530" s="160"/>
      <c r="BT1530" s="160"/>
      <c r="BU1530" s="160"/>
      <c r="BV1530" s="160"/>
      <c r="BW1530" s="160"/>
      <c r="BX1530" s="160"/>
      <c r="BY1530" s="160"/>
      <c r="BZ1530" s="160"/>
      <c r="CA1530" s="160"/>
      <c r="CB1530" s="160"/>
      <c r="CC1530" s="160"/>
      <c r="CD1530" s="160"/>
      <c r="CE1530" s="160"/>
      <c r="CF1530" s="160"/>
      <c r="CG1530" s="160"/>
      <c r="CH1530" s="160"/>
      <c r="CI1530" s="160"/>
      <c r="CJ1530" s="160"/>
      <c r="CK1530" s="160"/>
      <c r="CL1530" s="160"/>
    </row>
    <row r="1531">
      <c r="A1531" s="171"/>
      <c r="F1531" s="11"/>
      <c r="G1531" s="11"/>
      <c r="L1531" s="171"/>
      <c r="M1531" s="171"/>
      <c r="O1531" s="160"/>
      <c r="P1531" s="160"/>
      <c r="Q1531" s="160"/>
      <c r="R1531" s="160"/>
      <c r="S1531" s="160"/>
      <c r="T1531" s="207"/>
      <c r="U1531" s="160"/>
      <c r="V1531" s="160"/>
      <c r="W1531" s="160"/>
      <c r="X1531" s="160"/>
      <c r="Y1531" s="160"/>
      <c r="Z1531" s="160"/>
      <c r="AA1531" s="160"/>
      <c r="AB1531" s="160"/>
      <c r="AC1531" s="160"/>
      <c r="AD1531" s="160"/>
      <c r="AE1531" s="160"/>
      <c r="AF1531" s="160"/>
      <c r="AG1531" s="160"/>
      <c r="AH1531" s="160"/>
      <c r="AI1531" s="160"/>
      <c r="AJ1531" s="160"/>
      <c r="AK1531" s="160"/>
      <c r="AL1531" s="160"/>
      <c r="AM1531" s="160"/>
      <c r="AN1531" s="164"/>
      <c r="AO1531" s="160"/>
      <c r="AP1531" s="160"/>
      <c r="AQ1531" s="160"/>
      <c r="AR1531" s="160"/>
      <c r="AS1531" s="160"/>
      <c r="AT1531" s="160"/>
      <c r="AU1531" s="160"/>
      <c r="AV1531" s="160"/>
      <c r="AW1531" s="160"/>
      <c r="AX1531" s="160"/>
      <c r="AY1531" s="160"/>
      <c r="AZ1531" s="160"/>
      <c r="BA1531" s="160"/>
      <c r="BB1531" s="160"/>
      <c r="BC1531" s="160"/>
      <c r="BD1531" s="160"/>
      <c r="BE1531" s="160"/>
      <c r="BF1531" s="160"/>
      <c r="BG1531" s="160"/>
      <c r="BH1531" s="160"/>
      <c r="BI1531" s="160"/>
      <c r="BJ1531" s="160"/>
      <c r="BK1531" s="160"/>
      <c r="BL1531" s="160"/>
      <c r="BM1531" s="160"/>
      <c r="BN1531" s="160"/>
      <c r="BO1531" s="160"/>
      <c r="BP1531" s="160"/>
      <c r="BQ1531" s="160"/>
      <c r="BR1531" s="160"/>
      <c r="BS1531" s="160"/>
      <c r="BT1531" s="160"/>
      <c r="BU1531" s="160"/>
      <c r="BV1531" s="160"/>
      <c r="BW1531" s="160"/>
      <c r="BX1531" s="160"/>
      <c r="BY1531" s="160"/>
      <c r="BZ1531" s="160"/>
      <c r="CA1531" s="160"/>
      <c r="CB1531" s="160"/>
      <c r="CC1531" s="160"/>
      <c r="CD1531" s="160"/>
      <c r="CE1531" s="160"/>
      <c r="CF1531" s="160"/>
      <c r="CG1531" s="160"/>
      <c r="CH1531" s="160"/>
      <c r="CI1531" s="160"/>
      <c r="CJ1531" s="160"/>
      <c r="CK1531" s="160"/>
      <c r="CL1531" s="160"/>
    </row>
    <row r="1532">
      <c r="A1532" s="171"/>
      <c r="F1532" s="11"/>
      <c r="G1532" s="11"/>
      <c r="L1532" s="171"/>
      <c r="M1532" s="171"/>
      <c r="O1532" s="160"/>
      <c r="P1532" s="160"/>
      <c r="Q1532" s="160"/>
      <c r="R1532" s="160"/>
      <c r="S1532" s="160"/>
      <c r="T1532" s="207"/>
      <c r="U1532" s="160"/>
      <c r="V1532" s="160"/>
      <c r="W1532" s="160"/>
      <c r="X1532" s="160"/>
      <c r="Y1532" s="160"/>
      <c r="Z1532" s="160"/>
      <c r="AA1532" s="160"/>
      <c r="AB1532" s="160"/>
      <c r="AC1532" s="160"/>
      <c r="AD1532" s="160"/>
      <c r="AE1532" s="160"/>
      <c r="AF1532" s="160"/>
      <c r="AG1532" s="160"/>
      <c r="AH1532" s="160"/>
      <c r="AI1532" s="160"/>
      <c r="AJ1532" s="160"/>
      <c r="AK1532" s="160"/>
      <c r="AL1532" s="160"/>
      <c r="AM1532" s="160"/>
      <c r="AN1532" s="164"/>
      <c r="AO1532" s="160"/>
      <c r="AP1532" s="160"/>
      <c r="AQ1532" s="160"/>
      <c r="AR1532" s="160"/>
      <c r="AS1532" s="160"/>
      <c r="AT1532" s="160"/>
      <c r="AU1532" s="160"/>
      <c r="AV1532" s="160"/>
      <c r="AW1532" s="160"/>
      <c r="AX1532" s="160"/>
      <c r="AY1532" s="160"/>
      <c r="AZ1532" s="160"/>
      <c r="BA1532" s="160"/>
      <c r="BB1532" s="160"/>
      <c r="BC1532" s="160"/>
      <c r="BD1532" s="160"/>
      <c r="BE1532" s="160"/>
      <c r="BF1532" s="160"/>
      <c r="BG1532" s="160"/>
      <c r="BH1532" s="160"/>
      <c r="BI1532" s="160"/>
      <c r="BJ1532" s="160"/>
      <c r="BK1532" s="160"/>
      <c r="BL1532" s="160"/>
      <c r="BM1532" s="160"/>
      <c r="BN1532" s="160"/>
      <c r="BO1532" s="160"/>
      <c r="BP1532" s="160"/>
      <c r="BQ1532" s="160"/>
      <c r="BR1532" s="160"/>
      <c r="BS1532" s="160"/>
      <c r="BT1532" s="160"/>
      <c r="BU1532" s="160"/>
      <c r="BV1532" s="160"/>
      <c r="BW1532" s="160"/>
      <c r="BX1532" s="160"/>
      <c r="BY1532" s="160"/>
      <c r="BZ1532" s="160"/>
      <c r="CA1532" s="160"/>
      <c r="CB1532" s="160"/>
      <c r="CC1532" s="160"/>
      <c r="CD1532" s="160"/>
      <c r="CE1532" s="160"/>
      <c r="CF1532" s="160"/>
      <c r="CG1532" s="160"/>
      <c r="CH1532" s="160"/>
      <c r="CI1532" s="160"/>
      <c r="CJ1532" s="160"/>
      <c r="CK1532" s="160"/>
      <c r="CL1532" s="160"/>
    </row>
    <row r="1533">
      <c r="A1533" s="171"/>
      <c r="F1533" s="11"/>
      <c r="G1533" s="11"/>
      <c r="L1533" s="171"/>
      <c r="M1533" s="171"/>
      <c r="O1533" s="160"/>
      <c r="P1533" s="160"/>
      <c r="Q1533" s="160"/>
      <c r="R1533" s="160"/>
      <c r="S1533" s="160"/>
      <c r="T1533" s="207"/>
      <c r="U1533" s="160"/>
      <c r="V1533" s="160"/>
      <c r="W1533" s="160"/>
      <c r="X1533" s="160"/>
      <c r="Y1533" s="160"/>
      <c r="Z1533" s="160"/>
      <c r="AA1533" s="160"/>
      <c r="AB1533" s="160"/>
      <c r="AC1533" s="160"/>
      <c r="AD1533" s="160"/>
      <c r="AE1533" s="160"/>
      <c r="AF1533" s="160"/>
      <c r="AG1533" s="160"/>
      <c r="AH1533" s="160"/>
      <c r="AI1533" s="160"/>
      <c r="AJ1533" s="160"/>
      <c r="AK1533" s="160"/>
      <c r="AL1533" s="160"/>
      <c r="AM1533" s="160"/>
      <c r="AN1533" s="164"/>
      <c r="AO1533" s="160"/>
      <c r="AP1533" s="160"/>
      <c r="AQ1533" s="160"/>
      <c r="AR1533" s="160"/>
      <c r="AS1533" s="160"/>
      <c r="AT1533" s="160"/>
      <c r="AU1533" s="160"/>
      <c r="AV1533" s="160"/>
      <c r="AW1533" s="160"/>
      <c r="AX1533" s="160"/>
      <c r="AY1533" s="160"/>
      <c r="AZ1533" s="160"/>
      <c r="BA1533" s="160"/>
      <c r="BB1533" s="160"/>
      <c r="BC1533" s="160"/>
      <c r="BD1533" s="160"/>
      <c r="BE1533" s="160"/>
      <c r="BF1533" s="160"/>
      <c r="BG1533" s="160"/>
      <c r="BH1533" s="160"/>
      <c r="BI1533" s="160"/>
      <c r="BJ1533" s="160"/>
      <c r="BK1533" s="160"/>
      <c r="BL1533" s="160"/>
      <c r="BM1533" s="160"/>
      <c r="BN1533" s="160"/>
      <c r="BO1533" s="160"/>
      <c r="BP1533" s="160"/>
      <c r="BQ1533" s="160"/>
      <c r="BR1533" s="160"/>
      <c r="BS1533" s="160"/>
      <c r="BT1533" s="160"/>
      <c r="BU1533" s="160"/>
      <c r="BV1533" s="160"/>
      <c r="BW1533" s="160"/>
      <c r="BX1533" s="160"/>
      <c r="BY1533" s="160"/>
      <c r="BZ1533" s="160"/>
      <c r="CA1533" s="160"/>
      <c r="CB1533" s="160"/>
      <c r="CC1533" s="160"/>
      <c r="CD1533" s="160"/>
      <c r="CE1533" s="160"/>
      <c r="CF1533" s="160"/>
      <c r="CG1533" s="160"/>
      <c r="CH1533" s="160"/>
      <c r="CI1533" s="160"/>
      <c r="CJ1533" s="160"/>
      <c r="CK1533" s="160"/>
      <c r="CL1533" s="160"/>
    </row>
    <row r="1534">
      <c r="A1534" s="171"/>
      <c r="F1534" s="11"/>
      <c r="G1534" s="11"/>
      <c r="L1534" s="171"/>
      <c r="M1534" s="171"/>
      <c r="O1534" s="160"/>
      <c r="P1534" s="160"/>
      <c r="Q1534" s="160"/>
      <c r="R1534" s="160"/>
      <c r="S1534" s="160"/>
      <c r="T1534" s="207"/>
      <c r="U1534" s="160"/>
      <c r="V1534" s="160"/>
      <c r="W1534" s="160"/>
      <c r="X1534" s="160"/>
      <c r="Y1534" s="160"/>
      <c r="Z1534" s="160"/>
      <c r="AA1534" s="160"/>
      <c r="AB1534" s="160"/>
      <c r="AC1534" s="160"/>
      <c r="AD1534" s="160"/>
      <c r="AE1534" s="160"/>
      <c r="AF1534" s="160"/>
      <c r="AG1534" s="160"/>
      <c r="AH1534" s="160"/>
      <c r="AI1534" s="160"/>
      <c r="AJ1534" s="160"/>
      <c r="AK1534" s="160"/>
      <c r="AL1534" s="160"/>
      <c r="AM1534" s="160"/>
      <c r="AN1534" s="164"/>
      <c r="AO1534" s="160"/>
      <c r="AP1534" s="160"/>
      <c r="AQ1534" s="160"/>
      <c r="AR1534" s="160"/>
      <c r="AS1534" s="160"/>
      <c r="AT1534" s="160"/>
      <c r="AU1534" s="160"/>
      <c r="AV1534" s="160"/>
      <c r="AW1534" s="160"/>
      <c r="AX1534" s="160"/>
      <c r="AY1534" s="160"/>
      <c r="AZ1534" s="160"/>
      <c r="BA1534" s="160"/>
      <c r="BB1534" s="160"/>
      <c r="BC1534" s="160"/>
      <c r="BD1534" s="160"/>
      <c r="BE1534" s="160"/>
      <c r="BF1534" s="160"/>
      <c r="BG1534" s="160"/>
      <c r="BH1534" s="160"/>
      <c r="BI1534" s="160"/>
      <c r="BJ1534" s="160"/>
      <c r="BK1534" s="160"/>
      <c r="BL1534" s="160"/>
      <c r="BM1534" s="160"/>
      <c r="BN1534" s="160"/>
      <c r="BO1534" s="160"/>
      <c r="BP1534" s="160"/>
      <c r="BQ1534" s="160"/>
      <c r="BR1534" s="160"/>
      <c r="BS1534" s="160"/>
      <c r="BT1534" s="160"/>
      <c r="BU1534" s="160"/>
      <c r="BV1534" s="160"/>
      <c r="BW1534" s="160"/>
      <c r="BX1534" s="160"/>
      <c r="BY1534" s="160"/>
      <c r="BZ1534" s="160"/>
      <c r="CA1534" s="160"/>
      <c r="CB1534" s="160"/>
      <c r="CC1534" s="160"/>
      <c r="CD1534" s="160"/>
      <c r="CE1534" s="160"/>
      <c r="CF1534" s="160"/>
      <c r="CG1534" s="160"/>
      <c r="CH1534" s="160"/>
      <c r="CI1534" s="160"/>
      <c r="CJ1534" s="160"/>
      <c r="CK1534" s="160"/>
      <c r="CL1534" s="160"/>
    </row>
    <row r="1535">
      <c r="A1535" s="171"/>
      <c r="F1535" s="11"/>
      <c r="G1535" s="11"/>
      <c r="L1535" s="171"/>
      <c r="M1535" s="171"/>
      <c r="O1535" s="160"/>
      <c r="P1535" s="160"/>
      <c r="Q1535" s="160"/>
      <c r="R1535" s="160"/>
      <c r="S1535" s="160"/>
      <c r="T1535" s="207"/>
      <c r="U1535" s="160"/>
      <c r="V1535" s="160"/>
      <c r="W1535" s="160"/>
      <c r="X1535" s="160"/>
      <c r="Y1535" s="160"/>
      <c r="Z1535" s="160"/>
      <c r="AA1535" s="160"/>
      <c r="AB1535" s="160"/>
      <c r="AC1535" s="160"/>
      <c r="AD1535" s="160"/>
      <c r="AE1535" s="160"/>
      <c r="AF1535" s="160"/>
      <c r="AG1535" s="160"/>
      <c r="AH1535" s="160"/>
      <c r="AI1535" s="160"/>
      <c r="AJ1535" s="160"/>
      <c r="AK1535" s="160"/>
      <c r="AL1535" s="160"/>
      <c r="AM1535" s="160"/>
      <c r="AN1535" s="164"/>
      <c r="AO1535" s="160"/>
      <c r="AP1535" s="160"/>
      <c r="AQ1535" s="160"/>
      <c r="AR1535" s="160"/>
      <c r="AS1535" s="160"/>
      <c r="AT1535" s="160"/>
      <c r="AU1535" s="160"/>
      <c r="AV1535" s="160"/>
      <c r="AW1535" s="160"/>
      <c r="AX1535" s="160"/>
      <c r="AY1535" s="160"/>
      <c r="AZ1535" s="160"/>
      <c r="BA1535" s="160"/>
      <c r="BB1535" s="160"/>
      <c r="BC1535" s="160"/>
      <c r="BD1535" s="160"/>
      <c r="BE1535" s="160"/>
      <c r="BF1535" s="160"/>
      <c r="BG1535" s="160"/>
      <c r="BH1535" s="160"/>
      <c r="BI1535" s="160"/>
      <c r="BJ1535" s="160"/>
      <c r="BK1535" s="160"/>
      <c r="BL1535" s="160"/>
      <c r="BM1535" s="160"/>
      <c r="BN1535" s="160"/>
      <c r="BO1535" s="160"/>
      <c r="BP1535" s="160"/>
      <c r="BQ1535" s="160"/>
      <c r="BR1535" s="160"/>
      <c r="BS1535" s="160"/>
      <c r="BT1535" s="160"/>
      <c r="BU1535" s="160"/>
      <c r="BV1535" s="160"/>
      <c r="BW1535" s="160"/>
      <c r="BX1535" s="160"/>
      <c r="BY1535" s="160"/>
      <c r="BZ1535" s="160"/>
      <c r="CA1535" s="160"/>
      <c r="CB1535" s="160"/>
      <c r="CC1535" s="160"/>
      <c r="CD1535" s="160"/>
      <c r="CE1535" s="160"/>
      <c r="CF1535" s="160"/>
      <c r="CG1535" s="160"/>
      <c r="CH1535" s="160"/>
      <c r="CI1535" s="160"/>
      <c r="CJ1535" s="160"/>
      <c r="CK1535" s="160"/>
      <c r="CL1535" s="160"/>
    </row>
    <row r="1536">
      <c r="A1536" s="171"/>
      <c r="F1536" s="11"/>
      <c r="G1536" s="11"/>
      <c r="L1536" s="171"/>
      <c r="M1536" s="171"/>
      <c r="O1536" s="160"/>
      <c r="P1536" s="160"/>
      <c r="Q1536" s="160"/>
      <c r="R1536" s="160"/>
      <c r="S1536" s="160"/>
      <c r="T1536" s="207"/>
      <c r="U1536" s="160"/>
      <c r="V1536" s="160"/>
      <c r="W1536" s="160"/>
      <c r="X1536" s="160"/>
      <c r="Y1536" s="160"/>
      <c r="Z1536" s="160"/>
      <c r="AA1536" s="160"/>
      <c r="AB1536" s="160"/>
      <c r="AC1536" s="160"/>
      <c r="AD1536" s="160"/>
      <c r="AE1536" s="160"/>
      <c r="AF1536" s="160"/>
      <c r="AG1536" s="160"/>
      <c r="AH1536" s="160"/>
      <c r="AI1536" s="160"/>
      <c r="AJ1536" s="160"/>
      <c r="AK1536" s="160"/>
      <c r="AL1536" s="160"/>
      <c r="AM1536" s="160"/>
      <c r="AN1536" s="164"/>
      <c r="AO1536" s="160"/>
      <c r="AP1536" s="160"/>
      <c r="AQ1536" s="160"/>
      <c r="AR1536" s="160"/>
      <c r="AS1536" s="160"/>
      <c r="AT1536" s="160"/>
      <c r="AU1536" s="160"/>
      <c r="AV1536" s="160"/>
      <c r="AW1536" s="160"/>
      <c r="AX1536" s="160"/>
      <c r="AY1536" s="160"/>
      <c r="AZ1536" s="160"/>
      <c r="BA1536" s="160"/>
      <c r="BB1536" s="160"/>
      <c r="BC1536" s="160"/>
      <c r="BD1536" s="160"/>
      <c r="BE1536" s="160"/>
      <c r="BF1536" s="160"/>
      <c r="BG1536" s="160"/>
      <c r="BH1536" s="160"/>
      <c r="BI1536" s="160"/>
      <c r="BJ1536" s="160"/>
      <c r="BK1536" s="160"/>
      <c r="BL1536" s="160"/>
      <c r="BM1536" s="160"/>
      <c r="BN1536" s="160"/>
      <c r="BO1536" s="160"/>
      <c r="BP1536" s="160"/>
      <c r="BQ1536" s="160"/>
      <c r="BR1536" s="160"/>
      <c r="BS1536" s="160"/>
      <c r="BT1536" s="160"/>
      <c r="BU1536" s="160"/>
      <c r="BV1536" s="160"/>
      <c r="BW1536" s="160"/>
      <c r="BX1536" s="160"/>
      <c r="BY1536" s="160"/>
      <c r="BZ1536" s="160"/>
      <c r="CA1536" s="160"/>
      <c r="CB1536" s="160"/>
      <c r="CC1536" s="160"/>
      <c r="CD1536" s="160"/>
      <c r="CE1536" s="160"/>
      <c r="CF1536" s="160"/>
      <c r="CG1536" s="160"/>
      <c r="CH1536" s="160"/>
      <c r="CI1536" s="160"/>
      <c r="CJ1536" s="160"/>
      <c r="CK1536" s="160"/>
      <c r="CL1536" s="160"/>
    </row>
    <row r="1537">
      <c r="A1537" s="171"/>
      <c r="F1537" s="11"/>
      <c r="G1537" s="11"/>
      <c r="L1537" s="171"/>
      <c r="M1537" s="171"/>
      <c r="O1537" s="160"/>
      <c r="P1537" s="160"/>
      <c r="Q1537" s="160"/>
      <c r="R1537" s="160"/>
      <c r="S1537" s="160"/>
      <c r="T1537" s="207"/>
      <c r="U1537" s="160"/>
      <c r="V1537" s="160"/>
      <c r="W1537" s="160"/>
      <c r="X1537" s="160"/>
      <c r="Y1537" s="160"/>
      <c r="Z1537" s="160"/>
      <c r="AA1537" s="160"/>
      <c r="AB1537" s="160"/>
      <c r="AC1537" s="160"/>
      <c r="AD1537" s="160"/>
      <c r="AE1537" s="160"/>
      <c r="AF1537" s="160"/>
      <c r="AG1537" s="160"/>
      <c r="AH1537" s="160"/>
      <c r="AI1537" s="160"/>
      <c r="AJ1537" s="160"/>
      <c r="AK1537" s="160"/>
      <c r="AL1537" s="160"/>
      <c r="AM1537" s="160"/>
      <c r="AN1537" s="164"/>
      <c r="AO1537" s="160"/>
      <c r="AP1537" s="160"/>
      <c r="AQ1537" s="160"/>
      <c r="AR1537" s="160"/>
      <c r="AS1537" s="160"/>
      <c r="AT1537" s="160"/>
      <c r="AU1537" s="160"/>
      <c r="AV1537" s="160"/>
      <c r="AW1537" s="160"/>
      <c r="AX1537" s="160"/>
      <c r="AY1537" s="160"/>
      <c r="AZ1537" s="160"/>
      <c r="BA1537" s="160"/>
      <c r="BB1537" s="160"/>
      <c r="BC1537" s="160"/>
      <c r="BD1537" s="160"/>
      <c r="BE1537" s="160"/>
      <c r="BF1537" s="160"/>
      <c r="BG1537" s="160"/>
      <c r="BH1537" s="160"/>
      <c r="BI1537" s="160"/>
      <c r="BJ1537" s="160"/>
      <c r="BK1537" s="160"/>
      <c r="BL1537" s="160"/>
      <c r="BM1537" s="160"/>
      <c r="BN1537" s="160"/>
      <c r="BO1537" s="160"/>
      <c r="BP1537" s="160"/>
      <c r="BQ1537" s="160"/>
      <c r="BR1537" s="160"/>
      <c r="BS1537" s="160"/>
      <c r="BT1537" s="160"/>
      <c r="BU1537" s="160"/>
      <c r="BV1537" s="160"/>
      <c r="BW1537" s="160"/>
      <c r="BX1537" s="160"/>
      <c r="BY1537" s="160"/>
      <c r="BZ1537" s="160"/>
      <c r="CA1537" s="160"/>
      <c r="CB1537" s="160"/>
      <c r="CC1537" s="160"/>
      <c r="CD1537" s="160"/>
      <c r="CE1537" s="160"/>
      <c r="CF1537" s="160"/>
      <c r="CG1537" s="160"/>
      <c r="CH1537" s="160"/>
      <c r="CI1537" s="160"/>
      <c r="CJ1537" s="160"/>
      <c r="CK1537" s="160"/>
      <c r="CL1537" s="160"/>
    </row>
    <row r="1538">
      <c r="A1538" s="171"/>
      <c r="F1538" s="11"/>
      <c r="G1538" s="11"/>
      <c r="L1538" s="171"/>
      <c r="M1538" s="171"/>
      <c r="O1538" s="160"/>
      <c r="P1538" s="160"/>
      <c r="Q1538" s="160"/>
      <c r="R1538" s="160"/>
      <c r="S1538" s="160"/>
      <c r="T1538" s="207"/>
      <c r="U1538" s="160"/>
      <c r="V1538" s="160"/>
      <c r="W1538" s="160"/>
      <c r="X1538" s="160"/>
      <c r="Y1538" s="160"/>
      <c r="Z1538" s="160"/>
      <c r="AA1538" s="160"/>
      <c r="AB1538" s="160"/>
      <c r="AC1538" s="160"/>
      <c r="AD1538" s="160"/>
      <c r="AE1538" s="160"/>
      <c r="AF1538" s="160"/>
      <c r="AG1538" s="160"/>
      <c r="AH1538" s="160"/>
      <c r="AI1538" s="160"/>
      <c r="AJ1538" s="160"/>
      <c r="AK1538" s="160"/>
      <c r="AL1538" s="160"/>
      <c r="AM1538" s="160"/>
      <c r="AN1538" s="164"/>
      <c r="AO1538" s="160"/>
      <c r="AP1538" s="160"/>
      <c r="AQ1538" s="160"/>
      <c r="AR1538" s="160"/>
      <c r="AS1538" s="160"/>
      <c r="AT1538" s="160"/>
      <c r="AU1538" s="160"/>
      <c r="AV1538" s="160"/>
      <c r="AW1538" s="160"/>
      <c r="AX1538" s="160"/>
      <c r="AY1538" s="160"/>
      <c r="AZ1538" s="160"/>
      <c r="BA1538" s="160"/>
      <c r="BB1538" s="160"/>
      <c r="BC1538" s="160"/>
      <c r="BD1538" s="160"/>
      <c r="BE1538" s="160"/>
      <c r="BF1538" s="160"/>
      <c r="BG1538" s="160"/>
      <c r="BH1538" s="160"/>
      <c r="BI1538" s="160"/>
      <c r="BJ1538" s="160"/>
      <c r="BK1538" s="160"/>
      <c r="BL1538" s="160"/>
      <c r="BM1538" s="160"/>
      <c r="BN1538" s="160"/>
      <c r="BO1538" s="160"/>
      <c r="BP1538" s="160"/>
      <c r="BQ1538" s="160"/>
      <c r="BR1538" s="160"/>
      <c r="BS1538" s="160"/>
      <c r="BT1538" s="160"/>
      <c r="BU1538" s="160"/>
      <c r="BV1538" s="160"/>
      <c r="BW1538" s="160"/>
      <c r="BX1538" s="160"/>
      <c r="BY1538" s="160"/>
      <c r="BZ1538" s="160"/>
      <c r="CA1538" s="160"/>
      <c r="CB1538" s="160"/>
      <c r="CC1538" s="160"/>
      <c r="CD1538" s="160"/>
      <c r="CE1538" s="160"/>
      <c r="CF1538" s="160"/>
      <c r="CG1538" s="160"/>
      <c r="CH1538" s="160"/>
      <c r="CI1538" s="160"/>
      <c r="CJ1538" s="160"/>
      <c r="CK1538" s="160"/>
      <c r="CL1538" s="160"/>
    </row>
    <row r="1539">
      <c r="A1539" s="171"/>
      <c r="F1539" s="11"/>
      <c r="G1539" s="11"/>
      <c r="L1539" s="171"/>
      <c r="M1539" s="171"/>
      <c r="O1539" s="160"/>
      <c r="P1539" s="160"/>
      <c r="Q1539" s="160"/>
      <c r="R1539" s="160"/>
      <c r="S1539" s="160"/>
      <c r="T1539" s="207"/>
      <c r="U1539" s="160"/>
      <c r="V1539" s="160"/>
      <c r="W1539" s="160"/>
      <c r="X1539" s="160"/>
      <c r="Y1539" s="160"/>
      <c r="Z1539" s="160"/>
      <c r="AA1539" s="160"/>
      <c r="AB1539" s="160"/>
      <c r="AC1539" s="160"/>
      <c r="AD1539" s="160"/>
      <c r="AE1539" s="160"/>
      <c r="AF1539" s="160"/>
      <c r="AG1539" s="160"/>
      <c r="AH1539" s="160"/>
      <c r="AI1539" s="160"/>
      <c r="AJ1539" s="160"/>
      <c r="AK1539" s="160"/>
      <c r="AL1539" s="160"/>
      <c r="AM1539" s="160"/>
      <c r="AN1539" s="164"/>
      <c r="AO1539" s="160"/>
      <c r="AP1539" s="160"/>
      <c r="AQ1539" s="160"/>
      <c r="AR1539" s="160"/>
      <c r="AS1539" s="160"/>
      <c r="AT1539" s="160"/>
      <c r="AU1539" s="160"/>
      <c r="AV1539" s="160"/>
      <c r="AW1539" s="160"/>
      <c r="AX1539" s="160"/>
      <c r="AY1539" s="160"/>
      <c r="AZ1539" s="160"/>
      <c r="BA1539" s="160"/>
      <c r="BB1539" s="160"/>
      <c r="BC1539" s="160"/>
      <c r="BD1539" s="160"/>
      <c r="BE1539" s="160"/>
      <c r="BF1539" s="160"/>
      <c r="BG1539" s="160"/>
      <c r="BH1539" s="160"/>
      <c r="BI1539" s="160"/>
      <c r="BJ1539" s="160"/>
      <c r="BK1539" s="160"/>
      <c r="BL1539" s="160"/>
      <c r="BM1539" s="160"/>
      <c r="BN1539" s="160"/>
      <c r="BO1539" s="160"/>
      <c r="BP1539" s="160"/>
      <c r="BQ1539" s="160"/>
      <c r="BR1539" s="160"/>
      <c r="BS1539" s="160"/>
      <c r="BT1539" s="160"/>
      <c r="BU1539" s="160"/>
      <c r="BV1539" s="160"/>
      <c r="BW1539" s="160"/>
      <c r="BX1539" s="160"/>
      <c r="BY1539" s="160"/>
      <c r="BZ1539" s="160"/>
      <c r="CA1539" s="160"/>
      <c r="CB1539" s="160"/>
      <c r="CC1539" s="160"/>
      <c r="CD1539" s="160"/>
      <c r="CE1539" s="160"/>
      <c r="CF1539" s="160"/>
      <c r="CG1539" s="160"/>
      <c r="CH1539" s="160"/>
      <c r="CI1539" s="160"/>
      <c r="CJ1539" s="160"/>
      <c r="CK1539" s="160"/>
      <c r="CL1539" s="160"/>
    </row>
    <row r="1540">
      <c r="A1540" s="171"/>
      <c r="F1540" s="11"/>
      <c r="G1540" s="11"/>
      <c r="L1540" s="171"/>
      <c r="M1540" s="171"/>
      <c r="O1540" s="160"/>
      <c r="P1540" s="160"/>
      <c r="Q1540" s="160"/>
      <c r="R1540" s="160"/>
      <c r="S1540" s="160"/>
      <c r="T1540" s="207"/>
      <c r="U1540" s="160"/>
      <c r="V1540" s="160"/>
      <c r="W1540" s="160"/>
      <c r="X1540" s="160"/>
      <c r="Y1540" s="160"/>
      <c r="Z1540" s="160"/>
      <c r="AA1540" s="160"/>
      <c r="AB1540" s="160"/>
      <c r="AC1540" s="160"/>
      <c r="AD1540" s="160"/>
      <c r="AE1540" s="160"/>
      <c r="AF1540" s="160"/>
      <c r="AG1540" s="160"/>
      <c r="AH1540" s="160"/>
      <c r="AI1540" s="160"/>
      <c r="AJ1540" s="160"/>
      <c r="AK1540" s="160"/>
      <c r="AL1540" s="160"/>
      <c r="AM1540" s="160"/>
      <c r="AN1540" s="164"/>
      <c r="AO1540" s="160"/>
      <c r="AP1540" s="160"/>
      <c r="AQ1540" s="160"/>
      <c r="AR1540" s="160"/>
      <c r="AS1540" s="160"/>
      <c r="AT1540" s="160"/>
      <c r="AU1540" s="160"/>
      <c r="AV1540" s="160"/>
      <c r="AW1540" s="160"/>
      <c r="AX1540" s="160"/>
      <c r="AY1540" s="160"/>
      <c r="AZ1540" s="160"/>
      <c r="BA1540" s="160"/>
      <c r="BB1540" s="160"/>
      <c r="BC1540" s="160"/>
      <c r="BD1540" s="160"/>
      <c r="BE1540" s="160"/>
      <c r="BF1540" s="160"/>
      <c r="BG1540" s="160"/>
      <c r="BH1540" s="160"/>
      <c r="BI1540" s="160"/>
      <c r="BJ1540" s="160"/>
      <c r="BK1540" s="160"/>
      <c r="BL1540" s="160"/>
      <c r="BM1540" s="160"/>
      <c r="BN1540" s="160"/>
      <c r="BO1540" s="160"/>
      <c r="BP1540" s="160"/>
      <c r="BQ1540" s="160"/>
      <c r="BR1540" s="160"/>
      <c r="BS1540" s="160"/>
      <c r="BT1540" s="160"/>
      <c r="BU1540" s="160"/>
      <c r="BV1540" s="160"/>
      <c r="BW1540" s="160"/>
      <c r="BX1540" s="160"/>
      <c r="BY1540" s="160"/>
      <c r="BZ1540" s="160"/>
      <c r="CA1540" s="160"/>
      <c r="CB1540" s="160"/>
      <c r="CC1540" s="160"/>
      <c r="CD1540" s="160"/>
      <c r="CE1540" s="160"/>
      <c r="CF1540" s="160"/>
      <c r="CG1540" s="160"/>
      <c r="CH1540" s="160"/>
      <c r="CI1540" s="160"/>
      <c r="CJ1540" s="160"/>
      <c r="CK1540" s="160"/>
      <c r="CL1540" s="160"/>
    </row>
    <row r="1541">
      <c r="A1541" s="171"/>
      <c r="F1541" s="11"/>
      <c r="G1541" s="11"/>
      <c r="L1541" s="171"/>
      <c r="M1541" s="171"/>
      <c r="O1541" s="160"/>
      <c r="P1541" s="160"/>
      <c r="Q1541" s="160"/>
      <c r="R1541" s="160"/>
      <c r="S1541" s="160"/>
      <c r="T1541" s="207"/>
      <c r="U1541" s="160"/>
      <c r="V1541" s="160"/>
      <c r="W1541" s="160"/>
      <c r="X1541" s="160"/>
      <c r="Y1541" s="160"/>
      <c r="Z1541" s="160"/>
      <c r="AA1541" s="160"/>
      <c r="AB1541" s="160"/>
      <c r="AC1541" s="160"/>
      <c r="AD1541" s="160"/>
      <c r="AE1541" s="160"/>
      <c r="AF1541" s="160"/>
      <c r="AG1541" s="160"/>
      <c r="AH1541" s="160"/>
      <c r="AI1541" s="160"/>
      <c r="AJ1541" s="160"/>
      <c r="AK1541" s="160"/>
      <c r="AL1541" s="160"/>
      <c r="AM1541" s="160"/>
      <c r="AN1541" s="164"/>
      <c r="AO1541" s="160"/>
      <c r="AP1541" s="160"/>
      <c r="AQ1541" s="160"/>
      <c r="AR1541" s="160"/>
      <c r="AS1541" s="160"/>
      <c r="AT1541" s="160"/>
      <c r="AU1541" s="160"/>
      <c r="AV1541" s="160"/>
      <c r="AW1541" s="160"/>
      <c r="AX1541" s="160"/>
      <c r="AY1541" s="160"/>
      <c r="AZ1541" s="160"/>
      <c r="BA1541" s="160"/>
      <c r="BB1541" s="160"/>
      <c r="BC1541" s="160"/>
      <c r="BD1541" s="160"/>
      <c r="BE1541" s="160"/>
      <c r="BF1541" s="160"/>
      <c r="BG1541" s="160"/>
      <c r="BH1541" s="160"/>
      <c r="BI1541" s="160"/>
      <c r="BJ1541" s="160"/>
      <c r="BK1541" s="160"/>
      <c r="BL1541" s="160"/>
      <c r="BM1541" s="160"/>
      <c r="BN1541" s="160"/>
      <c r="BO1541" s="160"/>
      <c r="BP1541" s="160"/>
      <c r="BQ1541" s="160"/>
      <c r="BR1541" s="160"/>
      <c r="BS1541" s="160"/>
      <c r="BT1541" s="160"/>
      <c r="BU1541" s="160"/>
      <c r="BV1541" s="160"/>
      <c r="BW1541" s="160"/>
      <c r="BX1541" s="160"/>
      <c r="BY1541" s="160"/>
      <c r="BZ1541" s="160"/>
      <c r="CA1541" s="160"/>
      <c r="CB1541" s="160"/>
      <c r="CC1541" s="160"/>
      <c r="CD1541" s="160"/>
      <c r="CE1541" s="160"/>
      <c r="CF1541" s="160"/>
      <c r="CG1541" s="160"/>
      <c r="CH1541" s="160"/>
      <c r="CI1541" s="160"/>
      <c r="CJ1541" s="160"/>
      <c r="CK1541" s="160"/>
      <c r="CL1541" s="160"/>
    </row>
    <row r="1542">
      <c r="A1542" s="171"/>
      <c r="F1542" s="11"/>
      <c r="G1542" s="11"/>
      <c r="L1542" s="171"/>
      <c r="M1542" s="171"/>
      <c r="O1542" s="160"/>
      <c r="P1542" s="160"/>
      <c r="Q1542" s="160"/>
      <c r="R1542" s="160"/>
      <c r="S1542" s="160"/>
      <c r="T1542" s="207"/>
      <c r="U1542" s="160"/>
      <c r="V1542" s="160"/>
      <c r="W1542" s="160"/>
      <c r="X1542" s="160"/>
      <c r="Y1542" s="160"/>
      <c r="Z1542" s="160"/>
      <c r="AA1542" s="160"/>
      <c r="AB1542" s="160"/>
      <c r="AC1542" s="160"/>
      <c r="AD1542" s="160"/>
      <c r="AE1542" s="160"/>
      <c r="AF1542" s="160"/>
      <c r="AG1542" s="160"/>
      <c r="AH1542" s="160"/>
      <c r="AI1542" s="160"/>
      <c r="AJ1542" s="160"/>
      <c r="AK1542" s="160"/>
      <c r="AL1542" s="160"/>
      <c r="AM1542" s="160"/>
      <c r="AN1542" s="164"/>
      <c r="AO1542" s="160"/>
      <c r="AP1542" s="160"/>
      <c r="AQ1542" s="160"/>
      <c r="AR1542" s="160"/>
      <c r="AS1542" s="160"/>
      <c r="AT1542" s="160"/>
      <c r="AU1542" s="160"/>
      <c r="AV1542" s="160"/>
      <c r="AW1542" s="160"/>
      <c r="AX1542" s="160"/>
      <c r="AY1542" s="160"/>
      <c r="AZ1542" s="160"/>
      <c r="BA1542" s="160"/>
      <c r="BB1542" s="160"/>
      <c r="BC1542" s="160"/>
      <c r="BD1542" s="160"/>
      <c r="BE1542" s="160"/>
      <c r="BF1542" s="160"/>
      <c r="BG1542" s="160"/>
      <c r="BH1542" s="160"/>
      <c r="BI1542" s="160"/>
      <c r="BJ1542" s="160"/>
      <c r="BK1542" s="160"/>
      <c r="BL1542" s="160"/>
      <c r="BM1542" s="160"/>
      <c r="BN1542" s="160"/>
      <c r="BO1542" s="160"/>
      <c r="BP1542" s="160"/>
      <c r="BQ1542" s="160"/>
      <c r="BR1542" s="160"/>
      <c r="BS1542" s="160"/>
      <c r="BT1542" s="160"/>
      <c r="BU1542" s="160"/>
      <c r="BV1542" s="160"/>
      <c r="BW1542" s="160"/>
      <c r="BX1542" s="160"/>
      <c r="BY1542" s="160"/>
      <c r="BZ1542" s="160"/>
      <c r="CA1542" s="160"/>
      <c r="CB1542" s="160"/>
      <c r="CC1542" s="160"/>
      <c r="CD1542" s="160"/>
      <c r="CE1542" s="160"/>
      <c r="CF1542" s="160"/>
      <c r="CG1542" s="160"/>
      <c r="CH1542" s="160"/>
      <c r="CI1542" s="160"/>
      <c r="CJ1542" s="160"/>
      <c r="CK1542" s="160"/>
      <c r="CL1542" s="160"/>
    </row>
    <row r="1543">
      <c r="A1543" s="171"/>
      <c r="F1543" s="11"/>
      <c r="G1543" s="11"/>
      <c r="L1543" s="171"/>
      <c r="M1543" s="171"/>
      <c r="O1543" s="160"/>
      <c r="P1543" s="160"/>
      <c r="Q1543" s="160"/>
      <c r="R1543" s="160"/>
      <c r="S1543" s="160"/>
      <c r="T1543" s="207"/>
      <c r="U1543" s="160"/>
      <c r="V1543" s="160"/>
      <c r="W1543" s="160"/>
      <c r="X1543" s="160"/>
      <c r="Y1543" s="160"/>
      <c r="Z1543" s="160"/>
      <c r="AA1543" s="160"/>
      <c r="AB1543" s="160"/>
      <c r="AC1543" s="160"/>
      <c r="AD1543" s="160"/>
      <c r="AE1543" s="160"/>
      <c r="AF1543" s="160"/>
      <c r="AG1543" s="160"/>
      <c r="AH1543" s="160"/>
      <c r="AI1543" s="160"/>
      <c r="AJ1543" s="160"/>
      <c r="AK1543" s="160"/>
      <c r="AL1543" s="160"/>
      <c r="AM1543" s="160"/>
      <c r="AN1543" s="164"/>
      <c r="AO1543" s="160"/>
      <c r="AP1543" s="160"/>
      <c r="AQ1543" s="160"/>
      <c r="AR1543" s="160"/>
      <c r="AS1543" s="160"/>
      <c r="AT1543" s="160"/>
      <c r="AU1543" s="160"/>
      <c r="AV1543" s="160"/>
      <c r="AW1543" s="160"/>
      <c r="AX1543" s="160"/>
      <c r="AY1543" s="160"/>
      <c r="AZ1543" s="160"/>
      <c r="BA1543" s="160"/>
      <c r="BB1543" s="160"/>
      <c r="BC1543" s="160"/>
      <c r="BD1543" s="160"/>
      <c r="BE1543" s="160"/>
      <c r="BF1543" s="160"/>
      <c r="BG1543" s="160"/>
      <c r="BH1543" s="160"/>
      <c r="BI1543" s="160"/>
      <c r="BJ1543" s="160"/>
      <c r="BK1543" s="160"/>
      <c r="BL1543" s="160"/>
      <c r="BM1543" s="160"/>
      <c r="BN1543" s="160"/>
      <c r="BO1543" s="160"/>
      <c r="BP1543" s="160"/>
      <c r="BQ1543" s="160"/>
      <c r="BR1543" s="160"/>
      <c r="BS1543" s="160"/>
      <c r="BT1543" s="160"/>
      <c r="BU1543" s="160"/>
      <c r="BV1543" s="160"/>
      <c r="BW1543" s="160"/>
      <c r="BX1543" s="160"/>
      <c r="BY1543" s="160"/>
      <c r="BZ1543" s="160"/>
      <c r="CA1543" s="160"/>
      <c r="CB1543" s="160"/>
      <c r="CC1543" s="160"/>
      <c r="CD1543" s="160"/>
      <c r="CE1543" s="160"/>
      <c r="CF1543" s="160"/>
      <c r="CG1543" s="160"/>
      <c r="CH1543" s="160"/>
      <c r="CI1543" s="160"/>
      <c r="CJ1543" s="160"/>
      <c r="CK1543" s="160"/>
      <c r="CL1543" s="160"/>
    </row>
    <row r="1544">
      <c r="A1544" s="171"/>
      <c r="F1544" s="11"/>
      <c r="G1544" s="11"/>
      <c r="L1544" s="171"/>
      <c r="M1544" s="171"/>
      <c r="O1544" s="160"/>
      <c r="P1544" s="160"/>
      <c r="Q1544" s="160"/>
      <c r="R1544" s="160"/>
      <c r="S1544" s="160"/>
      <c r="T1544" s="207"/>
      <c r="U1544" s="160"/>
      <c r="V1544" s="160"/>
      <c r="W1544" s="160"/>
      <c r="X1544" s="160"/>
      <c r="Y1544" s="160"/>
      <c r="Z1544" s="160"/>
      <c r="AA1544" s="160"/>
      <c r="AB1544" s="160"/>
      <c r="AC1544" s="160"/>
      <c r="AD1544" s="160"/>
      <c r="AE1544" s="160"/>
      <c r="AF1544" s="160"/>
      <c r="AG1544" s="160"/>
      <c r="AH1544" s="160"/>
      <c r="AI1544" s="160"/>
      <c r="AJ1544" s="160"/>
      <c r="AK1544" s="160"/>
      <c r="AL1544" s="160"/>
      <c r="AM1544" s="160"/>
      <c r="AN1544" s="164"/>
      <c r="AO1544" s="160"/>
      <c r="AP1544" s="160"/>
      <c r="AQ1544" s="160"/>
      <c r="AR1544" s="160"/>
      <c r="AS1544" s="160"/>
      <c r="AT1544" s="160"/>
      <c r="AU1544" s="160"/>
      <c r="AV1544" s="160"/>
      <c r="AW1544" s="160"/>
      <c r="AX1544" s="160"/>
      <c r="AY1544" s="160"/>
      <c r="AZ1544" s="160"/>
      <c r="BA1544" s="160"/>
      <c r="BB1544" s="160"/>
      <c r="BC1544" s="160"/>
      <c r="BD1544" s="160"/>
      <c r="BE1544" s="160"/>
      <c r="BF1544" s="160"/>
      <c r="BG1544" s="160"/>
      <c r="BH1544" s="160"/>
      <c r="BI1544" s="160"/>
      <c r="BJ1544" s="160"/>
      <c r="BK1544" s="160"/>
      <c r="BL1544" s="160"/>
      <c r="BM1544" s="160"/>
      <c r="BN1544" s="160"/>
      <c r="BO1544" s="160"/>
      <c r="BP1544" s="160"/>
      <c r="BQ1544" s="160"/>
      <c r="BR1544" s="160"/>
      <c r="BS1544" s="160"/>
      <c r="BT1544" s="160"/>
      <c r="BU1544" s="160"/>
      <c r="BV1544" s="160"/>
      <c r="BW1544" s="160"/>
      <c r="BX1544" s="160"/>
      <c r="BY1544" s="160"/>
      <c r="BZ1544" s="160"/>
      <c r="CA1544" s="160"/>
      <c r="CB1544" s="160"/>
      <c r="CC1544" s="160"/>
      <c r="CD1544" s="160"/>
      <c r="CE1544" s="160"/>
      <c r="CF1544" s="160"/>
      <c r="CG1544" s="160"/>
      <c r="CH1544" s="160"/>
      <c r="CI1544" s="160"/>
      <c r="CJ1544" s="160"/>
      <c r="CK1544" s="160"/>
      <c r="CL1544" s="160"/>
    </row>
    <row r="1545">
      <c r="A1545" s="171"/>
      <c r="F1545" s="11"/>
      <c r="G1545" s="11"/>
      <c r="L1545" s="171"/>
      <c r="M1545" s="171"/>
      <c r="O1545" s="160"/>
      <c r="P1545" s="160"/>
      <c r="Q1545" s="160"/>
      <c r="R1545" s="160"/>
      <c r="S1545" s="160"/>
      <c r="T1545" s="207"/>
      <c r="U1545" s="160"/>
      <c r="V1545" s="160"/>
      <c r="W1545" s="160"/>
      <c r="X1545" s="160"/>
      <c r="Y1545" s="160"/>
      <c r="Z1545" s="160"/>
      <c r="AA1545" s="160"/>
      <c r="AB1545" s="160"/>
      <c r="AC1545" s="160"/>
      <c r="AD1545" s="160"/>
      <c r="AE1545" s="160"/>
      <c r="AF1545" s="160"/>
      <c r="AG1545" s="160"/>
      <c r="AH1545" s="160"/>
      <c r="AI1545" s="160"/>
      <c r="AJ1545" s="160"/>
      <c r="AK1545" s="160"/>
      <c r="AL1545" s="160"/>
      <c r="AM1545" s="160"/>
      <c r="AN1545" s="164"/>
      <c r="AO1545" s="160"/>
      <c r="AP1545" s="160"/>
      <c r="AQ1545" s="160"/>
      <c r="AR1545" s="160"/>
      <c r="AS1545" s="160"/>
      <c r="AT1545" s="160"/>
      <c r="AU1545" s="160"/>
      <c r="AV1545" s="160"/>
      <c r="AW1545" s="160"/>
      <c r="AX1545" s="160"/>
      <c r="AY1545" s="160"/>
      <c r="AZ1545" s="160"/>
      <c r="BA1545" s="160"/>
      <c r="BB1545" s="160"/>
      <c r="BC1545" s="160"/>
      <c r="BD1545" s="160"/>
      <c r="BE1545" s="160"/>
      <c r="BF1545" s="160"/>
      <c r="BG1545" s="160"/>
      <c r="BH1545" s="160"/>
      <c r="BI1545" s="160"/>
      <c r="BJ1545" s="160"/>
      <c r="BK1545" s="160"/>
      <c r="BL1545" s="160"/>
      <c r="BM1545" s="160"/>
      <c r="BN1545" s="160"/>
      <c r="BO1545" s="160"/>
      <c r="BP1545" s="160"/>
      <c r="BQ1545" s="160"/>
      <c r="BR1545" s="160"/>
      <c r="BS1545" s="160"/>
      <c r="BT1545" s="160"/>
      <c r="BU1545" s="160"/>
      <c r="BV1545" s="160"/>
      <c r="BW1545" s="160"/>
      <c r="BX1545" s="160"/>
      <c r="BY1545" s="160"/>
      <c r="BZ1545" s="160"/>
      <c r="CA1545" s="160"/>
      <c r="CB1545" s="160"/>
      <c r="CC1545" s="160"/>
      <c r="CD1545" s="160"/>
      <c r="CE1545" s="160"/>
      <c r="CF1545" s="160"/>
      <c r="CG1545" s="160"/>
      <c r="CH1545" s="160"/>
      <c r="CI1545" s="160"/>
      <c r="CJ1545" s="160"/>
      <c r="CK1545" s="160"/>
      <c r="CL1545" s="160"/>
    </row>
    <row r="1546">
      <c r="A1546" s="171"/>
      <c r="F1546" s="11"/>
      <c r="G1546" s="11"/>
      <c r="L1546" s="171"/>
      <c r="M1546" s="171"/>
      <c r="O1546" s="160"/>
      <c r="P1546" s="160"/>
      <c r="Q1546" s="160"/>
      <c r="R1546" s="160"/>
      <c r="S1546" s="160"/>
      <c r="T1546" s="207"/>
      <c r="U1546" s="160"/>
      <c r="V1546" s="160"/>
      <c r="W1546" s="160"/>
      <c r="X1546" s="160"/>
      <c r="Y1546" s="160"/>
      <c r="Z1546" s="160"/>
      <c r="AA1546" s="160"/>
      <c r="AB1546" s="160"/>
      <c r="AC1546" s="160"/>
      <c r="AD1546" s="160"/>
      <c r="AE1546" s="160"/>
      <c r="AF1546" s="160"/>
      <c r="AG1546" s="160"/>
      <c r="AH1546" s="160"/>
      <c r="AI1546" s="160"/>
      <c r="AJ1546" s="160"/>
      <c r="AK1546" s="160"/>
      <c r="AL1546" s="160"/>
      <c r="AM1546" s="160"/>
      <c r="AN1546" s="164"/>
      <c r="AO1546" s="160"/>
      <c r="AP1546" s="160"/>
      <c r="AQ1546" s="160"/>
      <c r="AR1546" s="160"/>
      <c r="AS1546" s="160"/>
      <c r="AT1546" s="160"/>
      <c r="AU1546" s="160"/>
      <c r="AV1546" s="160"/>
      <c r="AW1546" s="160"/>
      <c r="AX1546" s="160"/>
      <c r="AY1546" s="160"/>
      <c r="AZ1546" s="160"/>
      <c r="BA1546" s="160"/>
      <c r="BB1546" s="160"/>
      <c r="BC1546" s="160"/>
      <c r="BD1546" s="160"/>
      <c r="BE1546" s="160"/>
      <c r="BF1546" s="160"/>
      <c r="BG1546" s="160"/>
      <c r="BH1546" s="160"/>
      <c r="BI1546" s="160"/>
      <c r="BJ1546" s="160"/>
      <c r="BK1546" s="160"/>
      <c r="BL1546" s="160"/>
      <c r="BM1546" s="160"/>
      <c r="BN1546" s="160"/>
      <c r="BO1546" s="160"/>
      <c r="BP1546" s="160"/>
      <c r="BQ1546" s="160"/>
      <c r="BR1546" s="160"/>
      <c r="BS1546" s="160"/>
      <c r="BT1546" s="160"/>
      <c r="BU1546" s="160"/>
      <c r="BV1546" s="160"/>
      <c r="BW1546" s="160"/>
      <c r="BX1546" s="160"/>
      <c r="BY1546" s="160"/>
      <c r="BZ1546" s="160"/>
      <c r="CA1546" s="160"/>
      <c r="CB1546" s="160"/>
      <c r="CC1546" s="160"/>
      <c r="CD1546" s="160"/>
      <c r="CE1546" s="160"/>
      <c r="CF1546" s="160"/>
      <c r="CG1546" s="160"/>
      <c r="CH1546" s="160"/>
      <c r="CI1546" s="160"/>
      <c r="CJ1546" s="160"/>
      <c r="CK1546" s="160"/>
      <c r="CL1546" s="160"/>
    </row>
    <row r="1547">
      <c r="A1547" s="171"/>
      <c r="F1547" s="11"/>
      <c r="G1547" s="11"/>
      <c r="L1547" s="171"/>
      <c r="M1547" s="171"/>
      <c r="O1547" s="160"/>
      <c r="P1547" s="160"/>
      <c r="Q1547" s="160"/>
      <c r="R1547" s="160"/>
      <c r="S1547" s="160"/>
      <c r="T1547" s="207"/>
      <c r="U1547" s="160"/>
      <c r="V1547" s="160"/>
      <c r="W1547" s="160"/>
      <c r="X1547" s="160"/>
      <c r="Y1547" s="160"/>
      <c r="Z1547" s="160"/>
      <c r="AA1547" s="160"/>
      <c r="AB1547" s="160"/>
      <c r="AC1547" s="160"/>
      <c r="AD1547" s="160"/>
      <c r="AE1547" s="160"/>
      <c r="AF1547" s="160"/>
      <c r="AG1547" s="160"/>
      <c r="AH1547" s="160"/>
      <c r="AI1547" s="160"/>
      <c r="AJ1547" s="160"/>
      <c r="AK1547" s="160"/>
      <c r="AL1547" s="160"/>
      <c r="AM1547" s="160"/>
      <c r="AN1547" s="164"/>
      <c r="AO1547" s="160"/>
      <c r="AP1547" s="160"/>
      <c r="AQ1547" s="160"/>
      <c r="AR1547" s="160"/>
      <c r="AS1547" s="160"/>
      <c r="AT1547" s="160"/>
      <c r="AU1547" s="160"/>
      <c r="AV1547" s="160"/>
      <c r="AW1547" s="160"/>
      <c r="AX1547" s="160"/>
      <c r="AY1547" s="160"/>
      <c r="AZ1547" s="160"/>
      <c r="BA1547" s="160"/>
      <c r="BB1547" s="160"/>
      <c r="BC1547" s="160"/>
      <c r="BD1547" s="160"/>
      <c r="BE1547" s="160"/>
      <c r="BF1547" s="160"/>
      <c r="BG1547" s="160"/>
      <c r="BH1547" s="160"/>
      <c r="BI1547" s="160"/>
      <c r="BJ1547" s="160"/>
      <c r="BK1547" s="160"/>
      <c r="BL1547" s="160"/>
      <c r="BM1547" s="160"/>
      <c r="BN1547" s="160"/>
      <c r="BO1547" s="160"/>
      <c r="BP1547" s="160"/>
      <c r="BQ1547" s="160"/>
      <c r="BR1547" s="160"/>
      <c r="BS1547" s="160"/>
      <c r="BT1547" s="160"/>
      <c r="BU1547" s="160"/>
      <c r="BV1547" s="160"/>
      <c r="BW1547" s="160"/>
      <c r="BX1547" s="160"/>
      <c r="BY1547" s="160"/>
      <c r="BZ1547" s="160"/>
      <c r="CA1547" s="160"/>
      <c r="CB1547" s="160"/>
      <c r="CC1547" s="160"/>
      <c r="CD1547" s="160"/>
      <c r="CE1547" s="160"/>
      <c r="CF1547" s="160"/>
      <c r="CG1547" s="160"/>
      <c r="CH1547" s="160"/>
      <c r="CI1547" s="160"/>
      <c r="CJ1547" s="160"/>
      <c r="CK1547" s="160"/>
      <c r="CL1547" s="160"/>
    </row>
    <row r="1548">
      <c r="A1548" s="171"/>
      <c r="F1548" s="11"/>
      <c r="G1548" s="11"/>
      <c r="L1548" s="171"/>
      <c r="M1548" s="171"/>
      <c r="O1548" s="160"/>
      <c r="P1548" s="160"/>
      <c r="Q1548" s="160"/>
      <c r="R1548" s="160"/>
      <c r="S1548" s="160"/>
      <c r="T1548" s="207"/>
      <c r="U1548" s="160"/>
      <c r="V1548" s="160"/>
      <c r="W1548" s="160"/>
      <c r="X1548" s="160"/>
      <c r="Y1548" s="160"/>
      <c r="Z1548" s="160"/>
      <c r="AA1548" s="160"/>
      <c r="AB1548" s="160"/>
      <c r="AC1548" s="160"/>
      <c r="AD1548" s="160"/>
      <c r="AE1548" s="160"/>
      <c r="AF1548" s="160"/>
      <c r="AG1548" s="160"/>
      <c r="AH1548" s="160"/>
      <c r="AI1548" s="160"/>
      <c r="AJ1548" s="160"/>
      <c r="AK1548" s="160"/>
      <c r="AL1548" s="160"/>
      <c r="AM1548" s="160"/>
      <c r="AN1548" s="164"/>
      <c r="AO1548" s="160"/>
      <c r="AP1548" s="160"/>
      <c r="AQ1548" s="160"/>
      <c r="AR1548" s="160"/>
      <c r="AS1548" s="160"/>
      <c r="AT1548" s="160"/>
      <c r="AU1548" s="160"/>
      <c r="AV1548" s="160"/>
      <c r="AW1548" s="160"/>
      <c r="AX1548" s="160"/>
      <c r="AY1548" s="160"/>
      <c r="AZ1548" s="160"/>
      <c r="BA1548" s="160"/>
      <c r="BB1548" s="160"/>
      <c r="BC1548" s="160"/>
      <c r="BD1548" s="160"/>
      <c r="BE1548" s="160"/>
      <c r="BF1548" s="160"/>
      <c r="BG1548" s="160"/>
      <c r="BH1548" s="160"/>
      <c r="BI1548" s="160"/>
      <c r="BJ1548" s="160"/>
      <c r="BK1548" s="160"/>
      <c r="BL1548" s="160"/>
      <c r="BM1548" s="160"/>
      <c r="BN1548" s="160"/>
      <c r="BO1548" s="160"/>
      <c r="BP1548" s="160"/>
      <c r="BQ1548" s="160"/>
      <c r="BR1548" s="160"/>
      <c r="BS1548" s="160"/>
      <c r="BT1548" s="160"/>
      <c r="BU1548" s="160"/>
      <c r="BV1548" s="160"/>
      <c r="BW1548" s="160"/>
      <c r="BX1548" s="160"/>
      <c r="BY1548" s="160"/>
      <c r="BZ1548" s="160"/>
      <c r="CA1548" s="160"/>
      <c r="CB1548" s="160"/>
      <c r="CC1548" s="160"/>
      <c r="CD1548" s="160"/>
      <c r="CE1548" s="160"/>
      <c r="CF1548" s="160"/>
      <c r="CG1548" s="160"/>
      <c r="CH1548" s="160"/>
      <c r="CI1548" s="160"/>
      <c r="CJ1548" s="160"/>
      <c r="CK1548" s="160"/>
      <c r="CL1548" s="160"/>
    </row>
    <row r="1549">
      <c r="A1549" s="171"/>
      <c r="F1549" s="11"/>
      <c r="G1549" s="11"/>
      <c r="L1549" s="171"/>
      <c r="M1549" s="171"/>
      <c r="O1549" s="160"/>
      <c r="P1549" s="160"/>
      <c r="Q1549" s="160"/>
      <c r="R1549" s="160"/>
      <c r="S1549" s="160"/>
      <c r="T1549" s="207"/>
      <c r="U1549" s="160"/>
      <c r="V1549" s="160"/>
      <c r="W1549" s="160"/>
      <c r="X1549" s="160"/>
      <c r="Y1549" s="160"/>
      <c r="Z1549" s="160"/>
      <c r="AA1549" s="160"/>
      <c r="AB1549" s="160"/>
      <c r="AC1549" s="160"/>
      <c r="AD1549" s="160"/>
      <c r="AE1549" s="160"/>
      <c r="AF1549" s="160"/>
      <c r="AG1549" s="160"/>
      <c r="AH1549" s="160"/>
      <c r="AI1549" s="160"/>
      <c r="AJ1549" s="160"/>
      <c r="AK1549" s="160"/>
      <c r="AL1549" s="160"/>
      <c r="AM1549" s="160"/>
      <c r="AN1549" s="164"/>
      <c r="AO1549" s="160"/>
      <c r="AP1549" s="160"/>
      <c r="AQ1549" s="160"/>
      <c r="AR1549" s="160"/>
      <c r="AS1549" s="160"/>
      <c r="AT1549" s="160"/>
      <c r="AU1549" s="160"/>
      <c r="AV1549" s="160"/>
      <c r="AW1549" s="160"/>
      <c r="AX1549" s="160"/>
      <c r="AY1549" s="160"/>
      <c r="AZ1549" s="160"/>
      <c r="BA1549" s="160"/>
      <c r="BB1549" s="160"/>
      <c r="BC1549" s="160"/>
      <c r="BD1549" s="160"/>
      <c r="BE1549" s="160"/>
      <c r="BF1549" s="160"/>
      <c r="BG1549" s="160"/>
      <c r="BH1549" s="160"/>
      <c r="BI1549" s="160"/>
      <c r="BJ1549" s="160"/>
      <c r="BK1549" s="160"/>
      <c r="BL1549" s="160"/>
      <c r="BM1549" s="160"/>
      <c r="BN1549" s="160"/>
      <c r="BO1549" s="160"/>
      <c r="BP1549" s="160"/>
      <c r="BQ1549" s="160"/>
      <c r="BR1549" s="160"/>
      <c r="BS1549" s="160"/>
      <c r="BT1549" s="160"/>
      <c r="BU1549" s="160"/>
      <c r="BV1549" s="160"/>
      <c r="BW1549" s="160"/>
      <c r="BX1549" s="160"/>
      <c r="BY1549" s="160"/>
      <c r="BZ1549" s="160"/>
      <c r="CA1549" s="160"/>
      <c r="CB1549" s="160"/>
      <c r="CC1549" s="160"/>
      <c r="CD1549" s="160"/>
      <c r="CE1549" s="160"/>
      <c r="CF1549" s="160"/>
      <c r="CG1549" s="160"/>
      <c r="CH1549" s="160"/>
      <c r="CI1549" s="160"/>
      <c r="CJ1549" s="160"/>
      <c r="CK1549" s="160"/>
      <c r="CL1549" s="160"/>
    </row>
    <row r="1550">
      <c r="A1550" s="171"/>
      <c r="F1550" s="11"/>
      <c r="G1550" s="11"/>
      <c r="L1550" s="171"/>
      <c r="M1550" s="171"/>
      <c r="O1550" s="160"/>
      <c r="P1550" s="160"/>
      <c r="Q1550" s="160"/>
      <c r="R1550" s="160"/>
      <c r="S1550" s="160"/>
      <c r="T1550" s="207"/>
      <c r="U1550" s="160"/>
      <c r="V1550" s="160"/>
      <c r="W1550" s="160"/>
      <c r="X1550" s="160"/>
      <c r="Y1550" s="160"/>
      <c r="Z1550" s="160"/>
      <c r="AA1550" s="160"/>
      <c r="AB1550" s="160"/>
      <c r="AC1550" s="160"/>
      <c r="AD1550" s="160"/>
      <c r="AE1550" s="160"/>
      <c r="AF1550" s="160"/>
      <c r="AG1550" s="160"/>
      <c r="AH1550" s="160"/>
      <c r="AI1550" s="160"/>
      <c r="AJ1550" s="160"/>
      <c r="AK1550" s="160"/>
      <c r="AL1550" s="160"/>
      <c r="AM1550" s="160"/>
      <c r="AN1550" s="164"/>
      <c r="AO1550" s="160"/>
      <c r="AP1550" s="160"/>
      <c r="AQ1550" s="160"/>
      <c r="AR1550" s="160"/>
      <c r="AS1550" s="160"/>
      <c r="AT1550" s="160"/>
      <c r="AU1550" s="160"/>
      <c r="AV1550" s="160"/>
      <c r="AW1550" s="160"/>
      <c r="AX1550" s="160"/>
      <c r="AY1550" s="160"/>
      <c r="AZ1550" s="160"/>
      <c r="BA1550" s="160"/>
      <c r="BB1550" s="160"/>
      <c r="BC1550" s="160"/>
      <c r="BD1550" s="160"/>
      <c r="BE1550" s="160"/>
      <c r="BF1550" s="160"/>
      <c r="BG1550" s="160"/>
      <c r="BH1550" s="160"/>
      <c r="BI1550" s="160"/>
      <c r="BJ1550" s="160"/>
      <c r="BK1550" s="160"/>
      <c r="BL1550" s="160"/>
      <c r="BM1550" s="160"/>
      <c r="BN1550" s="160"/>
      <c r="BO1550" s="160"/>
      <c r="BP1550" s="160"/>
      <c r="BQ1550" s="160"/>
      <c r="BR1550" s="160"/>
      <c r="BS1550" s="160"/>
      <c r="BT1550" s="160"/>
      <c r="BU1550" s="160"/>
      <c r="BV1550" s="160"/>
      <c r="BW1550" s="160"/>
      <c r="BX1550" s="160"/>
      <c r="BY1550" s="160"/>
      <c r="BZ1550" s="160"/>
      <c r="CA1550" s="160"/>
      <c r="CB1550" s="160"/>
      <c r="CC1550" s="160"/>
      <c r="CD1550" s="160"/>
      <c r="CE1550" s="160"/>
      <c r="CF1550" s="160"/>
      <c r="CG1550" s="160"/>
      <c r="CH1550" s="160"/>
      <c r="CI1550" s="160"/>
      <c r="CJ1550" s="160"/>
      <c r="CK1550" s="160"/>
      <c r="CL1550" s="160"/>
    </row>
    <row r="1551">
      <c r="A1551" s="171"/>
      <c r="F1551" s="11"/>
      <c r="G1551" s="11"/>
      <c r="L1551" s="171"/>
      <c r="M1551" s="171"/>
      <c r="O1551" s="160"/>
      <c r="P1551" s="160"/>
      <c r="Q1551" s="160"/>
      <c r="R1551" s="160"/>
      <c r="S1551" s="160"/>
      <c r="T1551" s="207"/>
      <c r="U1551" s="160"/>
      <c r="V1551" s="160"/>
      <c r="W1551" s="160"/>
      <c r="X1551" s="160"/>
      <c r="Y1551" s="160"/>
      <c r="Z1551" s="160"/>
      <c r="AA1551" s="160"/>
      <c r="AB1551" s="160"/>
      <c r="AC1551" s="160"/>
      <c r="AD1551" s="160"/>
      <c r="AE1551" s="160"/>
      <c r="AF1551" s="160"/>
      <c r="AG1551" s="160"/>
      <c r="AH1551" s="160"/>
      <c r="AI1551" s="160"/>
      <c r="AJ1551" s="160"/>
      <c r="AK1551" s="160"/>
      <c r="AL1551" s="160"/>
      <c r="AM1551" s="160"/>
      <c r="AN1551" s="164"/>
      <c r="AO1551" s="160"/>
      <c r="AP1551" s="160"/>
      <c r="AQ1551" s="160"/>
      <c r="AR1551" s="160"/>
      <c r="AS1551" s="160"/>
      <c r="AT1551" s="160"/>
      <c r="AU1551" s="160"/>
      <c r="AV1551" s="160"/>
      <c r="AW1551" s="160"/>
      <c r="AX1551" s="160"/>
      <c r="AY1551" s="160"/>
      <c r="AZ1551" s="160"/>
      <c r="BA1551" s="160"/>
      <c r="BB1551" s="160"/>
      <c r="BC1551" s="160"/>
      <c r="BD1551" s="160"/>
      <c r="BE1551" s="160"/>
      <c r="BF1551" s="160"/>
      <c r="BG1551" s="160"/>
      <c r="BH1551" s="160"/>
      <c r="BI1551" s="160"/>
      <c r="BJ1551" s="160"/>
      <c r="BK1551" s="160"/>
      <c r="BL1551" s="160"/>
      <c r="BM1551" s="160"/>
      <c r="BN1551" s="160"/>
      <c r="BO1551" s="160"/>
      <c r="BP1551" s="160"/>
      <c r="BQ1551" s="160"/>
      <c r="BR1551" s="160"/>
      <c r="BS1551" s="160"/>
      <c r="BT1551" s="160"/>
      <c r="BU1551" s="160"/>
      <c r="BV1551" s="160"/>
      <c r="BW1551" s="160"/>
      <c r="BX1551" s="160"/>
      <c r="BY1551" s="160"/>
      <c r="BZ1551" s="160"/>
      <c r="CA1551" s="160"/>
      <c r="CB1551" s="160"/>
      <c r="CC1551" s="160"/>
      <c r="CD1551" s="160"/>
      <c r="CE1551" s="160"/>
      <c r="CF1551" s="160"/>
      <c r="CG1551" s="160"/>
      <c r="CH1551" s="160"/>
      <c r="CI1551" s="160"/>
      <c r="CJ1551" s="160"/>
      <c r="CK1551" s="160"/>
      <c r="CL1551" s="160"/>
    </row>
    <row r="1552">
      <c r="A1552" s="171"/>
      <c r="F1552" s="11"/>
      <c r="G1552" s="11"/>
      <c r="L1552" s="171"/>
      <c r="M1552" s="171"/>
      <c r="O1552" s="160"/>
      <c r="P1552" s="160"/>
      <c r="Q1552" s="160"/>
      <c r="R1552" s="160"/>
      <c r="S1552" s="160"/>
      <c r="T1552" s="207"/>
      <c r="U1552" s="160"/>
      <c r="V1552" s="160"/>
      <c r="W1552" s="160"/>
      <c r="X1552" s="160"/>
      <c r="Y1552" s="160"/>
      <c r="Z1552" s="160"/>
      <c r="AA1552" s="160"/>
      <c r="AB1552" s="160"/>
      <c r="AC1552" s="160"/>
      <c r="AD1552" s="160"/>
      <c r="AE1552" s="160"/>
      <c r="AF1552" s="160"/>
      <c r="AG1552" s="160"/>
      <c r="AH1552" s="160"/>
      <c r="AI1552" s="160"/>
      <c r="AJ1552" s="160"/>
      <c r="AK1552" s="160"/>
      <c r="AL1552" s="160"/>
      <c r="AM1552" s="160"/>
      <c r="AN1552" s="164"/>
      <c r="AO1552" s="160"/>
      <c r="AP1552" s="160"/>
      <c r="AQ1552" s="160"/>
      <c r="AR1552" s="160"/>
      <c r="AS1552" s="160"/>
      <c r="AT1552" s="160"/>
      <c r="AU1552" s="160"/>
      <c r="AV1552" s="160"/>
      <c r="AW1552" s="160"/>
      <c r="AX1552" s="160"/>
      <c r="AY1552" s="160"/>
      <c r="AZ1552" s="160"/>
      <c r="BA1552" s="160"/>
      <c r="BB1552" s="160"/>
      <c r="BC1552" s="160"/>
      <c r="BD1552" s="160"/>
      <c r="BE1552" s="160"/>
      <c r="BF1552" s="160"/>
      <c r="BG1552" s="160"/>
      <c r="BH1552" s="160"/>
      <c r="BI1552" s="160"/>
      <c r="BJ1552" s="160"/>
      <c r="BK1552" s="160"/>
      <c r="BL1552" s="160"/>
      <c r="BM1552" s="160"/>
      <c r="BN1552" s="160"/>
      <c r="BO1552" s="160"/>
      <c r="BP1552" s="160"/>
      <c r="BQ1552" s="160"/>
      <c r="BR1552" s="160"/>
      <c r="BS1552" s="160"/>
      <c r="BT1552" s="160"/>
      <c r="BU1552" s="160"/>
      <c r="BV1552" s="160"/>
      <c r="BW1552" s="160"/>
      <c r="BX1552" s="160"/>
      <c r="BY1552" s="160"/>
      <c r="BZ1552" s="160"/>
      <c r="CA1552" s="160"/>
      <c r="CB1552" s="160"/>
      <c r="CC1552" s="160"/>
      <c r="CD1552" s="160"/>
      <c r="CE1552" s="160"/>
      <c r="CF1552" s="160"/>
      <c r="CG1552" s="160"/>
      <c r="CH1552" s="160"/>
      <c r="CI1552" s="160"/>
      <c r="CJ1552" s="160"/>
      <c r="CK1552" s="160"/>
      <c r="CL1552" s="160"/>
    </row>
    <row r="1553">
      <c r="A1553" s="171"/>
      <c r="F1553" s="11"/>
      <c r="G1553" s="11"/>
      <c r="L1553" s="171"/>
      <c r="M1553" s="171"/>
      <c r="O1553" s="160"/>
      <c r="P1553" s="160"/>
      <c r="Q1553" s="160"/>
      <c r="R1553" s="160"/>
      <c r="S1553" s="160"/>
      <c r="T1553" s="207"/>
      <c r="U1553" s="160"/>
      <c r="V1553" s="160"/>
      <c r="W1553" s="160"/>
      <c r="X1553" s="160"/>
      <c r="Y1553" s="160"/>
      <c r="Z1553" s="160"/>
      <c r="AA1553" s="160"/>
      <c r="AB1553" s="160"/>
      <c r="AC1553" s="160"/>
      <c r="AD1553" s="160"/>
      <c r="AE1553" s="160"/>
      <c r="AF1553" s="160"/>
      <c r="AG1553" s="160"/>
      <c r="AH1553" s="160"/>
      <c r="AI1553" s="160"/>
      <c r="AJ1553" s="160"/>
      <c r="AK1553" s="160"/>
      <c r="AL1553" s="160"/>
      <c r="AM1553" s="160"/>
      <c r="AN1553" s="164"/>
      <c r="AO1553" s="160"/>
      <c r="AP1553" s="160"/>
      <c r="AQ1553" s="160"/>
      <c r="AR1553" s="160"/>
      <c r="AS1553" s="160"/>
      <c r="AT1553" s="160"/>
      <c r="AU1553" s="160"/>
      <c r="AV1553" s="160"/>
      <c r="AW1553" s="160"/>
      <c r="AX1553" s="160"/>
      <c r="AY1553" s="160"/>
      <c r="AZ1553" s="160"/>
      <c r="BA1553" s="160"/>
      <c r="BB1553" s="160"/>
      <c r="BC1553" s="160"/>
      <c r="BD1553" s="160"/>
      <c r="BE1553" s="160"/>
      <c r="BF1553" s="160"/>
      <c r="BG1553" s="160"/>
      <c r="BH1553" s="160"/>
      <c r="BI1553" s="160"/>
      <c r="BJ1553" s="160"/>
      <c r="BK1553" s="160"/>
      <c r="BL1553" s="160"/>
      <c r="BM1553" s="160"/>
      <c r="BN1553" s="160"/>
      <c r="BO1553" s="160"/>
      <c r="BP1553" s="160"/>
      <c r="BQ1553" s="160"/>
      <c r="BR1553" s="160"/>
      <c r="BS1553" s="160"/>
      <c r="BT1553" s="160"/>
      <c r="BU1553" s="160"/>
      <c r="BV1553" s="160"/>
      <c r="BW1553" s="160"/>
      <c r="BX1553" s="160"/>
      <c r="BY1553" s="160"/>
      <c r="BZ1553" s="160"/>
      <c r="CA1553" s="160"/>
      <c r="CB1553" s="160"/>
      <c r="CC1553" s="160"/>
      <c r="CD1553" s="160"/>
      <c r="CE1553" s="160"/>
      <c r="CF1553" s="160"/>
      <c r="CG1553" s="160"/>
      <c r="CH1553" s="160"/>
      <c r="CI1553" s="160"/>
      <c r="CJ1553" s="160"/>
      <c r="CK1553" s="160"/>
      <c r="CL1553" s="160"/>
    </row>
    <row r="1554">
      <c r="A1554" s="171"/>
      <c r="F1554" s="11"/>
      <c r="G1554" s="11"/>
      <c r="L1554" s="171"/>
      <c r="M1554" s="171"/>
      <c r="O1554" s="160"/>
      <c r="P1554" s="160"/>
      <c r="Q1554" s="160"/>
      <c r="R1554" s="160"/>
      <c r="S1554" s="160"/>
      <c r="T1554" s="207"/>
      <c r="U1554" s="160"/>
      <c r="V1554" s="160"/>
      <c r="W1554" s="160"/>
      <c r="X1554" s="160"/>
      <c r="Y1554" s="160"/>
      <c r="Z1554" s="160"/>
      <c r="AA1554" s="160"/>
      <c r="AB1554" s="160"/>
      <c r="AC1554" s="160"/>
      <c r="AD1554" s="160"/>
      <c r="AE1554" s="160"/>
      <c r="AF1554" s="160"/>
      <c r="AG1554" s="160"/>
      <c r="AH1554" s="160"/>
      <c r="AI1554" s="160"/>
      <c r="AJ1554" s="160"/>
      <c r="AK1554" s="160"/>
      <c r="AL1554" s="160"/>
      <c r="AM1554" s="160"/>
      <c r="AN1554" s="164"/>
      <c r="AO1554" s="160"/>
      <c r="AP1554" s="160"/>
      <c r="AQ1554" s="160"/>
      <c r="AR1554" s="160"/>
      <c r="AS1554" s="160"/>
      <c r="AT1554" s="160"/>
      <c r="AU1554" s="160"/>
      <c r="AV1554" s="160"/>
      <c r="AW1554" s="160"/>
      <c r="AX1554" s="160"/>
      <c r="AY1554" s="160"/>
      <c r="AZ1554" s="160"/>
      <c r="BA1554" s="160"/>
      <c r="BB1554" s="160"/>
      <c r="BC1554" s="160"/>
      <c r="BD1554" s="160"/>
      <c r="BE1554" s="160"/>
      <c r="BF1554" s="160"/>
      <c r="BG1554" s="160"/>
      <c r="BH1554" s="160"/>
      <c r="BI1554" s="160"/>
      <c r="BJ1554" s="160"/>
      <c r="BK1554" s="160"/>
      <c r="BL1554" s="160"/>
      <c r="BM1554" s="160"/>
      <c r="BN1554" s="160"/>
      <c r="BO1554" s="160"/>
      <c r="BP1554" s="160"/>
      <c r="BQ1554" s="160"/>
      <c r="BR1554" s="160"/>
      <c r="BS1554" s="160"/>
      <c r="BT1554" s="160"/>
      <c r="BU1554" s="160"/>
      <c r="BV1554" s="160"/>
      <c r="BW1554" s="160"/>
      <c r="BX1554" s="160"/>
      <c r="BY1554" s="160"/>
      <c r="BZ1554" s="160"/>
      <c r="CA1554" s="160"/>
      <c r="CB1554" s="160"/>
      <c r="CC1554" s="160"/>
      <c r="CD1554" s="160"/>
      <c r="CE1554" s="160"/>
      <c r="CF1554" s="160"/>
      <c r="CG1554" s="160"/>
      <c r="CH1554" s="160"/>
      <c r="CI1554" s="160"/>
      <c r="CJ1554" s="160"/>
      <c r="CK1554" s="160"/>
      <c r="CL1554" s="160"/>
    </row>
    <row r="1555">
      <c r="A1555" s="171"/>
      <c r="F1555" s="11"/>
      <c r="G1555" s="11"/>
      <c r="L1555" s="171"/>
      <c r="M1555" s="171"/>
      <c r="O1555" s="160"/>
      <c r="P1555" s="160"/>
      <c r="Q1555" s="160"/>
      <c r="R1555" s="160"/>
      <c r="S1555" s="160"/>
      <c r="T1555" s="207"/>
      <c r="U1555" s="160"/>
      <c r="V1555" s="160"/>
      <c r="W1555" s="160"/>
      <c r="X1555" s="160"/>
      <c r="Y1555" s="160"/>
      <c r="Z1555" s="160"/>
      <c r="AA1555" s="160"/>
      <c r="AB1555" s="160"/>
      <c r="AC1555" s="160"/>
      <c r="AD1555" s="160"/>
      <c r="AE1555" s="160"/>
      <c r="AF1555" s="160"/>
      <c r="AG1555" s="160"/>
      <c r="AH1555" s="160"/>
      <c r="AI1555" s="160"/>
      <c r="AJ1555" s="160"/>
      <c r="AK1555" s="160"/>
      <c r="AL1555" s="160"/>
      <c r="AM1555" s="160"/>
      <c r="AN1555" s="164"/>
      <c r="AO1555" s="160"/>
      <c r="AP1555" s="160"/>
      <c r="AQ1555" s="160"/>
      <c r="AR1555" s="160"/>
      <c r="AS1555" s="160"/>
      <c r="AT1555" s="160"/>
      <c r="AU1555" s="160"/>
      <c r="AV1555" s="160"/>
      <c r="AW1555" s="160"/>
      <c r="AX1555" s="160"/>
      <c r="AY1555" s="160"/>
      <c r="AZ1555" s="160"/>
      <c r="BA1555" s="160"/>
      <c r="BB1555" s="160"/>
      <c r="BC1555" s="160"/>
      <c r="BD1555" s="160"/>
      <c r="BE1555" s="160"/>
      <c r="BF1555" s="160"/>
      <c r="BG1555" s="160"/>
      <c r="BH1555" s="160"/>
      <c r="BI1555" s="160"/>
      <c r="BJ1555" s="160"/>
      <c r="BK1555" s="160"/>
      <c r="BL1555" s="160"/>
      <c r="BM1555" s="160"/>
      <c r="BN1555" s="160"/>
      <c r="BO1555" s="160"/>
      <c r="BP1555" s="160"/>
      <c r="BQ1555" s="160"/>
      <c r="BR1555" s="160"/>
      <c r="BS1555" s="160"/>
      <c r="BT1555" s="160"/>
      <c r="BU1555" s="160"/>
      <c r="BV1555" s="160"/>
      <c r="BW1555" s="160"/>
      <c r="BX1555" s="160"/>
      <c r="BY1555" s="160"/>
      <c r="BZ1555" s="160"/>
      <c r="CA1555" s="160"/>
      <c r="CB1555" s="160"/>
      <c r="CC1555" s="160"/>
      <c r="CD1555" s="160"/>
      <c r="CE1555" s="160"/>
      <c r="CF1555" s="160"/>
      <c r="CG1555" s="160"/>
      <c r="CH1555" s="160"/>
      <c r="CI1555" s="160"/>
      <c r="CJ1555" s="160"/>
      <c r="CK1555" s="160"/>
      <c r="CL1555" s="160"/>
    </row>
    <row r="1556">
      <c r="A1556" s="171"/>
      <c r="F1556" s="11"/>
      <c r="G1556" s="11"/>
      <c r="L1556" s="171"/>
      <c r="M1556" s="171"/>
      <c r="O1556" s="160"/>
      <c r="P1556" s="160"/>
      <c r="Q1556" s="160"/>
      <c r="R1556" s="160"/>
      <c r="S1556" s="160"/>
      <c r="T1556" s="207"/>
      <c r="U1556" s="160"/>
      <c r="V1556" s="160"/>
      <c r="W1556" s="160"/>
      <c r="X1556" s="160"/>
      <c r="Y1556" s="160"/>
      <c r="Z1556" s="160"/>
      <c r="AA1556" s="160"/>
      <c r="AB1556" s="160"/>
      <c r="AC1556" s="160"/>
      <c r="AD1556" s="160"/>
      <c r="AE1556" s="160"/>
      <c r="AF1556" s="160"/>
      <c r="AG1556" s="160"/>
      <c r="AH1556" s="160"/>
      <c r="AI1556" s="160"/>
      <c r="AJ1556" s="160"/>
      <c r="AK1556" s="160"/>
      <c r="AL1556" s="160"/>
      <c r="AM1556" s="160"/>
      <c r="AN1556" s="164"/>
      <c r="AO1556" s="160"/>
      <c r="AP1556" s="160"/>
      <c r="AQ1556" s="160"/>
      <c r="AR1556" s="160"/>
      <c r="AS1556" s="160"/>
      <c r="AT1556" s="160"/>
      <c r="AU1556" s="160"/>
      <c r="AV1556" s="160"/>
      <c r="AW1556" s="160"/>
      <c r="AX1556" s="160"/>
      <c r="AY1556" s="160"/>
      <c r="AZ1556" s="160"/>
      <c r="BA1556" s="160"/>
      <c r="BB1556" s="160"/>
      <c r="BC1556" s="160"/>
      <c r="BD1556" s="160"/>
      <c r="BE1556" s="160"/>
      <c r="BF1556" s="160"/>
      <c r="BG1556" s="160"/>
      <c r="BH1556" s="160"/>
      <c r="BI1556" s="160"/>
      <c r="BJ1556" s="160"/>
      <c r="BK1556" s="160"/>
      <c r="BL1556" s="160"/>
      <c r="BM1556" s="160"/>
      <c r="BN1556" s="160"/>
      <c r="BO1556" s="160"/>
      <c r="BP1556" s="160"/>
      <c r="BQ1556" s="160"/>
      <c r="BR1556" s="160"/>
      <c r="BS1556" s="160"/>
      <c r="BT1556" s="160"/>
      <c r="BU1556" s="160"/>
      <c r="BV1556" s="160"/>
      <c r="BW1556" s="160"/>
      <c r="BX1556" s="160"/>
      <c r="BY1556" s="160"/>
      <c r="BZ1556" s="160"/>
      <c r="CA1556" s="160"/>
      <c r="CB1556" s="160"/>
      <c r="CC1556" s="160"/>
      <c r="CD1556" s="160"/>
      <c r="CE1556" s="160"/>
      <c r="CF1556" s="160"/>
      <c r="CG1556" s="160"/>
      <c r="CH1556" s="160"/>
      <c r="CI1556" s="160"/>
      <c r="CJ1556" s="160"/>
      <c r="CK1556" s="160"/>
      <c r="CL1556" s="160"/>
    </row>
    <row r="1557">
      <c r="A1557" s="171"/>
      <c r="F1557" s="11"/>
      <c r="G1557" s="11"/>
      <c r="L1557" s="171"/>
      <c r="M1557" s="171"/>
      <c r="O1557" s="160"/>
      <c r="P1557" s="160"/>
      <c r="Q1557" s="160"/>
      <c r="R1557" s="160"/>
      <c r="S1557" s="160"/>
      <c r="T1557" s="207"/>
      <c r="U1557" s="160"/>
      <c r="V1557" s="160"/>
      <c r="W1557" s="160"/>
      <c r="X1557" s="160"/>
      <c r="Y1557" s="160"/>
      <c r="Z1557" s="160"/>
      <c r="AA1557" s="160"/>
      <c r="AB1557" s="160"/>
      <c r="AC1557" s="160"/>
      <c r="AD1557" s="160"/>
      <c r="AE1557" s="160"/>
      <c r="AF1557" s="160"/>
      <c r="AG1557" s="160"/>
      <c r="AH1557" s="160"/>
      <c r="AI1557" s="160"/>
      <c r="AJ1557" s="160"/>
      <c r="AK1557" s="160"/>
      <c r="AL1557" s="160"/>
      <c r="AM1557" s="160"/>
      <c r="AN1557" s="164"/>
      <c r="AO1557" s="160"/>
      <c r="AP1557" s="160"/>
      <c r="AQ1557" s="160"/>
      <c r="AR1557" s="160"/>
      <c r="AS1557" s="160"/>
      <c r="AT1557" s="160"/>
      <c r="AU1557" s="160"/>
      <c r="AV1557" s="160"/>
      <c r="AW1557" s="160"/>
      <c r="AX1557" s="160"/>
      <c r="AY1557" s="160"/>
      <c r="AZ1557" s="160"/>
      <c r="BA1557" s="160"/>
      <c r="BB1557" s="160"/>
      <c r="BC1557" s="160"/>
      <c r="BD1557" s="160"/>
      <c r="BE1557" s="160"/>
      <c r="BF1557" s="160"/>
      <c r="BG1557" s="160"/>
      <c r="BH1557" s="160"/>
      <c r="BI1557" s="160"/>
      <c r="BJ1557" s="160"/>
      <c r="BK1557" s="160"/>
      <c r="BL1557" s="160"/>
      <c r="BM1557" s="160"/>
      <c r="BN1557" s="160"/>
      <c r="BO1557" s="160"/>
      <c r="BP1557" s="160"/>
      <c r="BQ1557" s="160"/>
      <c r="BR1557" s="160"/>
      <c r="BS1557" s="160"/>
      <c r="BT1557" s="160"/>
      <c r="BU1557" s="160"/>
      <c r="BV1557" s="160"/>
      <c r="BW1557" s="160"/>
      <c r="BX1557" s="160"/>
      <c r="BY1557" s="160"/>
      <c r="BZ1557" s="160"/>
      <c r="CA1557" s="160"/>
      <c r="CB1557" s="160"/>
      <c r="CC1557" s="160"/>
      <c r="CD1557" s="160"/>
      <c r="CE1557" s="160"/>
      <c r="CF1557" s="160"/>
      <c r="CG1557" s="160"/>
      <c r="CH1557" s="160"/>
      <c r="CI1557" s="160"/>
      <c r="CJ1557" s="160"/>
      <c r="CK1557" s="160"/>
      <c r="CL1557" s="160"/>
    </row>
    <row r="1558">
      <c r="A1558" s="171"/>
      <c r="F1558" s="11"/>
      <c r="G1558" s="11"/>
      <c r="L1558" s="171"/>
      <c r="M1558" s="171"/>
      <c r="O1558" s="160"/>
      <c r="P1558" s="160"/>
      <c r="Q1558" s="160"/>
      <c r="R1558" s="160"/>
      <c r="S1558" s="160"/>
      <c r="T1558" s="207"/>
      <c r="U1558" s="160"/>
      <c r="V1558" s="160"/>
      <c r="W1558" s="160"/>
      <c r="X1558" s="160"/>
      <c r="Y1558" s="160"/>
      <c r="Z1558" s="160"/>
      <c r="AA1558" s="160"/>
      <c r="AB1558" s="160"/>
      <c r="AC1558" s="160"/>
      <c r="AD1558" s="160"/>
      <c r="AE1558" s="160"/>
      <c r="AF1558" s="160"/>
      <c r="AG1558" s="160"/>
      <c r="AH1558" s="160"/>
      <c r="AI1558" s="160"/>
      <c r="AJ1558" s="160"/>
      <c r="AK1558" s="160"/>
      <c r="AL1558" s="160"/>
      <c r="AM1558" s="160"/>
      <c r="AN1558" s="164"/>
      <c r="AO1558" s="160"/>
      <c r="AP1558" s="160"/>
      <c r="AQ1558" s="160"/>
      <c r="AR1558" s="160"/>
      <c r="AS1558" s="160"/>
      <c r="AT1558" s="160"/>
      <c r="AU1558" s="160"/>
      <c r="AV1558" s="160"/>
      <c r="AW1558" s="160"/>
      <c r="AX1558" s="160"/>
      <c r="AY1558" s="160"/>
      <c r="AZ1558" s="160"/>
      <c r="BA1558" s="160"/>
      <c r="BB1558" s="160"/>
      <c r="BC1558" s="160"/>
      <c r="BD1558" s="160"/>
      <c r="BE1558" s="160"/>
      <c r="BF1558" s="160"/>
      <c r="BG1558" s="160"/>
      <c r="BH1558" s="160"/>
      <c r="BI1558" s="160"/>
      <c r="BJ1558" s="160"/>
      <c r="BK1558" s="160"/>
      <c r="BL1558" s="160"/>
      <c r="BM1558" s="160"/>
      <c r="BN1558" s="160"/>
      <c r="BO1558" s="160"/>
      <c r="BP1558" s="160"/>
      <c r="BQ1558" s="160"/>
      <c r="BR1558" s="160"/>
      <c r="BS1558" s="160"/>
      <c r="BT1558" s="160"/>
      <c r="BU1558" s="160"/>
      <c r="BV1558" s="160"/>
      <c r="BW1558" s="160"/>
      <c r="BX1558" s="160"/>
      <c r="BY1558" s="160"/>
      <c r="BZ1558" s="160"/>
      <c r="CA1558" s="160"/>
      <c r="CB1558" s="160"/>
      <c r="CC1558" s="160"/>
      <c r="CD1558" s="160"/>
      <c r="CE1558" s="160"/>
      <c r="CF1558" s="160"/>
      <c r="CG1558" s="160"/>
      <c r="CH1558" s="160"/>
      <c r="CI1558" s="160"/>
      <c r="CJ1558" s="160"/>
      <c r="CK1558" s="160"/>
      <c r="CL1558" s="160"/>
    </row>
    <row r="1559">
      <c r="A1559" s="171"/>
      <c r="F1559" s="11"/>
      <c r="G1559" s="11"/>
      <c r="L1559" s="171"/>
      <c r="M1559" s="171"/>
      <c r="O1559" s="160"/>
      <c r="P1559" s="160"/>
      <c r="Q1559" s="160"/>
      <c r="R1559" s="160"/>
      <c r="S1559" s="160"/>
      <c r="T1559" s="207"/>
      <c r="U1559" s="160"/>
      <c r="V1559" s="160"/>
      <c r="W1559" s="160"/>
      <c r="X1559" s="160"/>
      <c r="Y1559" s="160"/>
      <c r="Z1559" s="160"/>
      <c r="AA1559" s="160"/>
      <c r="AB1559" s="160"/>
      <c r="AC1559" s="160"/>
      <c r="AD1559" s="160"/>
      <c r="AE1559" s="160"/>
      <c r="AF1559" s="160"/>
      <c r="AG1559" s="160"/>
      <c r="AH1559" s="160"/>
      <c r="AI1559" s="160"/>
      <c r="AJ1559" s="160"/>
      <c r="AK1559" s="160"/>
      <c r="AL1559" s="160"/>
      <c r="AM1559" s="160"/>
      <c r="AN1559" s="164"/>
      <c r="AO1559" s="160"/>
      <c r="AP1559" s="160"/>
      <c r="AQ1559" s="160"/>
      <c r="AR1559" s="160"/>
      <c r="AS1559" s="160"/>
      <c r="AT1559" s="160"/>
      <c r="AU1559" s="160"/>
      <c r="AV1559" s="160"/>
      <c r="AW1559" s="160"/>
      <c r="AX1559" s="160"/>
      <c r="AY1559" s="160"/>
      <c r="AZ1559" s="160"/>
      <c r="BA1559" s="160"/>
      <c r="BB1559" s="160"/>
      <c r="BC1559" s="160"/>
      <c r="BD1559" s="160"/>
      <c r="BE1559" s="160"/>
      <c r="BF1559" s="160"/>
      <c r="BG1559" s="160"/>
      <c r="BH1559" s="160"/>
      <c r="BI1559" s="160"/>
      <c r="BJ1559" s="160"/>
      <c r="BK1559" s="160"/>
      <c r="BL1559" s="160"/>
      <c r="BM1559" s="160"/>
      <c r="BN1559" s="160"/>
      <c r="BO1559" s="160"/>
      <c r="BP1559" s="160"/>
      <c r="BQ1559" s="160"/>
      <c r="BR1559" s="160"/>
      <c r="BS1559" s="160"/>
      <c r="BT1559" s="160"/>
      <c r="BU1559" s="160"/>
      <c r="BV1559" s="160"/>
      <c r="BW1559" s="160"/>
      <c r="BX1559" s="160"/>
      <c r="BY1559" s="160"/>
      <c r="BZ1559" s="160"/>
      <c r="CA1559" s="160"/>
      <c r="CB1559" s="160"/>
      <c r="CC1559" s="160"/>
      <c r="CD1559" s="160"/>
      <c r="CE1559" s="160"/>
      <c r="CF1559" s="160"/>
      <c r="CG1559" s="160"/>
      <c r="CH1559" s="160"/>
      <c r="CI1559" s="160"/>
      <c r="CJ1559" s="160"/>
      <c r="CK1559" s="160"/>
      <c r="CL1559" s="160"/>
    </row>
    <row r="1560">
      <c r="A1560" s="171"/>
      <c r="F1560" s="11"/>
      <c r="G1560" s="11"/>
      <c r="L1560" s="171"/>
      <c r="M1560" s="171"/>
      <c r="O1560" s="160"/>
      <c r="P1560" s="160"/>
      <c r="Q1560" s="160"/>
      <c r="R1560" s="160"/>
      <c r="S1560" s="160"/>
      <c r="T1560" s="207"/>
      <c r="U1560" s="160"/>
      <c r="V1560" s="160"/>
      <c r="W1560" s="160"/>
      <c r="X1560" s="160"/>
      <c r="Y1560" s="160"/>
      <c r="Z1560" s="160"/>
      <c r="AA1560" s="160"/>
      <c r="AB1560" s="160"/>
      <c r="AC1560" s="160"/>
      <c r="AD1560" s="160"/>
      <c r="AE1560" s="160"/>
      <c r="AF1560" s="160"/>
      <c r="AG1560" s="160"/>
      <c r="AH1560" s="160"/>
      <c r="AI1560" s="160"/>
      <c r="AJ1560" s="160"/>
      <c r="AK1560" s="160"/>
      <c r="AL1560" s="160"/>
      <c r="AM1560" s="160"/>
      <c r="AN1560" s="164"/>
      <c r="AO1560" s="160"/>
      <c r="AP1560" s="160"/>
      <c r="AQ1560" s="160"/>
      <c r="AR1560" s="160"/>
      <c r="AS1560" s="160"/>
      <c r="AT1560" s="160"/>
      <c r="AU1560" s="160"/>
      <c r="AV1560" s="160"/>
      <c r="AW1560" s="160"/>
      <c r="AX1560" s="160"/>
      <c r="AY1560" s="160"/>
      <c r="AZ1560" s="160"/>
      <c r="BA1560" s="160"/>
      <c r="BB1560" s="160"/>
      <c r="BC1560" s="160"/>
      <c r="BD1560" s="160"/>
      <c r="BE1560" s="160"/>
      <c r="BF1560" s="160"/>
      <c r="BG1560" s="160"/>
      <c r="BH1560" s="160"/>
      <c r="BI1560" s="160"/>
      <c r="BJ1560" s="160"/>
      <c r="BK1560" s="160"/>
      <c r="BL1560" s="160"/>
      <c r="BM1560" s="160"/>
      <c r="BN1560" s="160"/>
      <c r="BO1560" s="160"/>
      <c r="BP1560" s="160"/>
      <c r="BQ1560" s="160"/>
      <c r="BR1560" s="160"/>
      <c r="BS1560" s="160"/>
      <c r="BT1560" s="160"/>
      <c r="BU1560" s="160"/>
      <c r="BV1560" s="160"/>
      <c r="BW1560" s="160"/>
      <c r="BX1560" s="160"/>
      <c r="BY1560" s="160"/>
      <c r="BZ1560" s="160"/>
      <c r="CA1560" s="160"/>
      <c r="CB1560" s="160"/>
      <c r="CC1560" s="160"/>
      <c r="CD1560" s="160"/>
      <c r="CE1560" s="160"/>
      <c r="CF1560" s="160"/>
      <c r="CG1560" s="160"/>
      <c r="CH1560" s="160"/>
      <c r="CI1560" s="160"/>
      <c r="CJ1560" s="160"/>
      <c r="CK1560" s="160"/>
      <c r="CL1560" s="160"/>
    </row>
    <row r="1561">
      <c r="A1561" s="171"/>
      <c r="F1561" s="11"/>
      <c r="G1561" s="11"/>
      <c r="L1561" s="171"/>
      <c r="M1561" s="171"/>
      <c r="O1561" s="160"/>
      <c r="P1561" s="160"/>
      <c r="Q1561" s="160"/>
      <c r="R1561" s="160"/>
      <c r="S1561" s="160"/>
      <c r="T1561" s="207"/>
      <c r="U1561" s="160"/>
      <c r="V1561" s="160"/>
      <c r="W1561" s="160"/>
      <c r="X1561" s="160"/>
      <c r="Y1561" s="160"/>
      <c r="Z1561" s="160"/>
      <c r="AA1561" s="160"/>
      <c r="AB1561" s="160"/>
      <c r="AC1561" s="160"/>
      <c r="AD1561" s="160"/>
      <c r="AE1561" s="160"/>
      <c r="AF1561" s="160"/>
      <c r="AG1561" s="160"/>
      <c r="AH1561" s="160"/>
      <c r="AI1561" s="160"/>
      <c r="AJ1561" s="160"/>
      <c r="AK1561" s="160"/>
      <c r="AL1561" s="160"/>
      <c r="AM1561" s="160"/>
      <c r="AN1561" s="164"/>
      <c r="AO1561" s="160"/>
      <c r="AP1561" s="160"/>
      <c r="AQ1561" s="160"/>
      <c r="AR1561" s="160"/>
      <c r="AS1561" s="160"/>
      <c r="AT1561" s="160"/>
      <c r="AU1561" s="160"/>
      <c r="AV1561" s="160"/>
      <c r="AW1561" s="160"/>
      <c r="AX1561" s="160"/>
      <c r="AY1561" s="160"/>
      <c r="AZ1561" s="160"/>
      <c r="BA1561" s="160"/>
      <c r="BB1561" s="160"/>
      <c r="BC1561" s="160"/>
      <c r="BD1561" s="160"/>
      <c r="BE1561" s="160"/>
      <c r="BF1561" s="160"/>
      <c r="BG1561" s="160"/>
      <c r="BH1561" s="160"/>
      <c r="BI1561" s="160"/>
      <c r="BJ1561" s="160"/>
      <c r="BK1561" s="160"/>
      <c r="BL1561" s="160"/>
      <c r="BM1561" s="160"/>
      <c r="BN1561" s="160"/>
      <c r="BO1561" s="160"/>
      <c r="BP1561" s="160"/>
      <c r="BQ1561" s="160"/>
      <c r="BR1561" s="160"/>
      <c r="BS1561" s="160"/>
      <c r="BT1561" s="160"/>
      <c r="BU1561" s="160"/>
      <c r="BV1561" s="160"/>
      <c r="BW1561" s="160"/>
      <c r="BX1561" s="160"/>
      <c r="BY1561" s="160"/>
      <c r="BZ1561" s="160"/>
      <c r="CA1561" s="160"/>
      <c r="CB1561" s="160"/>
      <c r="CC1561" s="160"/>
      <c r="CD1561" s="160"/>
      <c r="CE1561" s="160"/>
      <c r="CF1561" s="160"/>
      <c r="CG1561" s="160"/>
      <c r="CH1561" s="160"/>
      <c r="CI1561" s="160"/>
      <c r="CJ1561" s="160"/>
      <c r="CK1561" s="160"/>
      <c r="CL1561" s="160"/>
    </row>
    <row r="1562">
      <c r="A1562" s="171"/>
      <c r="F1562" s="11"/>
      <c r="G1562" s="11"/>
      <c r="L1562" s="171"/>
      <c r="M1562" s="171"/>
      <c r="O1562" s="160"/>
      <c r="P1562" s="160"/>
      <c r="Q1562" s="160"/>
      <c r="R1562" s="160"/>
      <c r="S1562" s="160"/>
      <c r="T1562" s="207"/>
      <c r="U1562" s="160"/>
      <c r="V1562" s="160"/>
      <c r="W1562" s="160"/>
      <c r="X1562" s="160"/>
      <c r="Y1562" s="160"/>
      <c r="Z1562" s="160"/>
      <c r="AA1562" s="160"/>
      <c r="AB1562" s="160"/>
      <c r="AC1562" s="160"/>
      <c r="AD1562" s="160"/>
      <c r="AE1562" s="160"/>
      <c r="AF1562" s="160"/>
      <c r="AG1562" s="160"/>
      <c r="AH1562" s="160"/>
      <c r="AI1562" s="160"/>
      <c r="AJ1562" s="160"/>
      <c r="AK1562" s="160"/>
      <c r="AL1562" s="160"/>
      <c r="AM1562" s="160"/>
      <c r="AN1562" s="164"/>
      <c r="AO1562" s="160"/>
      <c r="AP1562" s="160"/>
      <c r="AQ1562" s="160"/>
      <c r="AR1562" s="160"/>
      <c r="AS1562" s="160"/>
      <c r="AT1562" s="160"/>
      <c r="AU1562" s="160"/>
      <c r="AV1562" s="160"/>
      <c r="AW1562" s="160"/>
      <c r="AX1562" s="160"/>
      <c r="AY1562" s="160"/>
      <c r="AZ1562" s="160"/>
      <c r="BA1562" s="160"/>
      <c r="BB1562" s="160"/>
      <c r="BC1562" s="160"/>
      <c r="BD1562" s="160"/>
      <c r="BE1562" s="160"/>
      <c r="BF1562" s="160"/>
      <c r="BG1562" s="160"/>
      <c r="BH1562" s="160"/>
      <c r="BI1562" s="160"/>
      <c r="BJ1562" s="160"/>
      <c r="BK1562" s="160"/>
      <c r="BL1562" s="160"/>
      <c r="BM1562" s="160"/>
      <c r="BN1562" s="160"/>
      <c r="BO1562" s="160"/>
      <c r="BP1562" s="160"/>
      <c r="BQ1562" s="160"/>
      <c r="BR1562" s="160"/>
      <c r="BS1562" s="160"/>
      <c r="BT1562" s="160"/>
      <c r="BU1562" s="160"/>
      <c r="BV1562" s="160"/>
      <c r="BW1562" s="160"/>
      <c r="BX1562" s="160"/>
      <c r="BY1562" s="160"/>
      <c r="BZ1562" s="160"/>
      <c r="CA1562" s="160"/>
      <c r="CB1562" s="160"/>
      <c r="CC1562" s="160"/>
      <c r="CD1562" s="160"/>
      <c r="CE1562" s="160"/>
      <c r="CF1562" s="160"/>
      <c r="CG1562" s="160"/>
      <c r="CH1562" s="160"/>
      <c r="CI1562" s="160"/>
      <c r="CJ1562" s="160"/>
      <c r="CK1562" s="160"/>
      <c r="CL1562" s="160"/>
    </row>
    <row r="1563">
      <c r="A1563" s="171"/>
      <c r="F1563" s="11"/>
      <c r="G1563" s="11"/>
      <c r="L1563" s="171"/>
      <c r="M1563" s="171"/>
      <c r="O1563" s="160"/>
      <c r="P1563" s="160"/>
      <c r="Q1563" s="160"/>
      <c r="R1563" s="160"/>
      <c r="S1563" s="160"/>
      <c r="T1563" s="207"/>
      <c r="U1563" s="160"/>
      <c r="V1563" s="160"/>
      <c r="W1563" s="160"/>
      <c r="X1563" s="160"/>
      <c r="Y1563" s="160"/>
      <c r="Z1563" s="160"/>
      <c r="AA1563" s="160"/>
      <c r="AB1563" s="160"/>
      <c r="AC1563" s="160"/>
      <c r="AD1563" s="160"/>
      <c r="AE1563" s="160"/>
      <c r="AF1563" s="160"/>
      <c r="AG1563" s="160"/>
      <c r="AH1563" s="160"/>
      <c r="AI1563" s="160"/>
      <c r="AJ1563" s="160"/>
      <c r="AK1563" s="160"/>
      <c r="AL1563" s="160"/>
      <c r="AM1563" s="160"/>
      <c r="AN1563" s="164"/>
      <c r="AO1563" s="160"/>
      <c r="AP1563" s="160"/>
      <c r="AQ1563" s="160"/>
      <c r="AR1563" s="160"/>
      <c r="AS1563" s="160"/>
      <c r="AT1563" s="160"/>
      <c r="AU1563" s="160"/>
      <c r="AV1563" s="160"/>
      <c r="AW1563" s="160"/>
      <c r="AX1563" s="160"/>
      <c r="AY1563" s="160"/>
      <c r="AZ1563" s="160"/>
      <c r="BA1563" s="160"/>
      <c r="BB1563" s="160"/>
      <c r="BC1563" s="160"/>
      <c r="BD1563" s="160"/>
      <c r="BE1563" s="160"/>
      <c r="BF1563" s="160"/>
      <c r="BG1563" s="160"/>
      <c r="BH1563" s="160"/>
      <c r="BI1563" s="160"/>
      <c r="BJ1563" s="160"/>
      <c r="BK1563" s="160"/>
      <c r="BL1563" s="160"/>
      <c r="BM1563" s="160"/>
      <c r="BN1563" s="160"/>
      <c r="BO1563" s="160"/>
      <c r="BP1563" s="160"/>
      <c r="BQ1563" s="160"/>
      <c r="BR1563" s="160"/>
      <c r="BS1563" s="160"/>
      <c r="BT1563" s="160"/>
      <c r="BU1563" s="160"/>
      <c r="BV1563" s="160"/>
      <c r="BW1563" s="160"/>
      <c r="BX1563" s="160"/>
      <c r="BY1563" s="160"/>
      <c r="BZ1563" s="160"/>
      <c r="CA1563" s="160"/>
      <c r="CB1563" s="160"/>
      <c r="CC1563" s="160"/>
      <c r="CD1563" s="160"/>
      <c r="CE1563" s="160"/>
      <c r="CF1563" s="160"/>
      <c r="CG1563" s="160"/>
      <c r="CH1563" s="160"/>
      <c r="CI1563" s="160"/>
      <c r="CJ1563" s="160"/>
      <c r="CK1563" s="160"/>
      <c r="CL1563" s="160"/>
    </row>
    <row r="1564">
      <c r="A1564" s="171"/>
      <c r="F1564" s="11"/>
      <c r="G1564" s="11"/>
      <c r="L1564" s="171"/>
      <c r="M1564" s="171"/>
      <c r="O1564" s="160"/>
      <c r="P1564" s="160"/>
      <c r="Q1564" s="160"/>
      <c r="R1564" s="160"/>
      <c r="S1564" s="160"/>
      <c r="T1564" s="207"/>
      <c r="U1564" s="160"/>
      <c r="V1564" s="160"/>
      <c r="W1564" s="160"/>
      <c r="X1564" s="160"/>
      <c r="Y1564" s="160"/>
      <c r="Z1564" s="160"/>
      <c r="AA1564" s="160"/>
      <c r="AB1564" s="160"/>
      <c r="AC1564" s="160"/>
      <c r="AD1564" s="160"/>
      <c r="AE1564" s="160"/>
      <c r="AF1564" s="160"/>
      <c r="AG1564" s="160"/>
      <c r="AH1564" s="160"/>
      <c r="AI1564" s="160"/>
      <c r="AJ1564" s="160"/>
      <c r="AK1564" s="160"/>
      <c r="AL1564" s="160"/>
      <c r="AM1564" s="160"/>
      <c r="AN1564" s="164"/>
      <c r="AO1564" s="160"/>
      <c r="AP1564" s="160"/>
      <c r="AQ1564" s="160"/>
      <c r="AR1564" s="160"/>
      <c r="AS1564" s="160"/>
      <c r="AT1564" s="160"/>
      <c r="AU1564" s="160"/>
      <c r="AV1564" s="160"/>
      <c r="AW1564" s="160"/>
      <c r="AX1564" s="160"/>
      <c r="AY1564" s="160"/>
      <c r="AZ1564" s="160"/>
      <c r="BA1564" s="160"/>
      <c r="BB1564" s="160"/>
      <c r="BC1564" s="160"/>
      <c r="BD1564" s="160"/>
      <c r="BE1564" s="160"/>
      <c r="BF1564" s="160"/>
      <c r="BG1564" s="160"/>
      <c r="BH1564" s="160"/>
      <c r="BI1564" s="160"/>
      <c r="BJ1564" s="160"/>
      <c r="BK1564" s="160"/>
      <c r="BL1564" s="160"/>
      <c r="BM1564" s="160"/>
      <c r="BN1564" s="160"/>
      <c r="BO1564" s="160"/>
      <c r="BP1564" s="160"/>
      <c r="BQ1564" s="160"/>
      <c r="BR1564" s="160"/>
      <c r="BS1564" s="160"/>
      <c r="BT1564" s="160"/>
      <c r="BU1564" s="160"/>
      <c r="BV1564" s="160"/>
      <c r="BW1564" s="160"/>
      <c r="BX1564" s="160"/>
      <c r="BY1564" s="160"/>
      <c r="BZ1564" s="160"/>
      <c r="CA1564" s="160"/>
      <c r="CB1564" s="160"/>
      <c r="CC1564" s="160"/>
      <c r="CD1564" s="160"/>
      <c r="CE1564" s="160"/>
      <c r="CF1564" s="160"/>
      <c r="CG1564" s="160"/>
      <c r="CH1564" s="160"/>
      <c r="CI1564" s="160"/>
      <c r="CJ1564" s="160"/>
      <c r="CK1564" s="160"/>
      <c r="CL1564" s="160"/>
    </row>
    <row r="1565">
      <c r="A1565" s="171"/>
      <c r="F1565" s="11"/>
      <c r="G1565" s="11"/>
      <c r="L1565" s="171"/>
      <c r="M1565" s="171"/>
      <c r="O1565" s="160"/>
      <c r="P1565" s="160"/>
      <c r="Q1565" s="160"/>
      <c r="R1565" s="160"/>
      <c r="S1565" s="160"/>
      <c r="T1565" s="207"/>
      <c r="U1565" s="160"/>
      <c r="V1565" s="160"/>
      <c r="W1565" s="160"/>
      <c r="X1565" s="160"/>
      <c r="Y1565" s="160"/>
      <c r="Z1565" s="160"/>
      <c r="AA1565" s="160"/>
      <c r="AB1565" s="160"/>
      <c r="AC1565" s="160"/>
      <c r="AD1565" s="160"/>
      <c r="AE1565" s="160"/>
      <c r="AF1565" s="160"/>
      <c r="AG1565" s="160"/>
      <c r="AH1565" s="160"/>
      <c r="AI1565" s="160"/>
      <c r="AJ1565" s="160"/>
      <c r="AK1565" s="160"/>
      <c r="AL1565" s="160"/>
      <c r="AM1565" s="160"/>
      <c r="AN1565" s="164"/>
      <c r="AO1565" s="160"/>
      <c r="AP1565" s="160"/>
      <c r="AQ1565" s="160"/>
      <c r="AR1565" s="160"/>
      <c r="AS1565" s="160"/>
      <c r="AT1565" s="160"/>
      <c r="AU1565" s="160"/>
      <c r="AV1565" s="160"/>
      <c r="AW1565" s="160"/>
      <c r="AX1565" s="160"/>
      <c r="AY1565" s="160"/>
      <c r="AZ1565" s="160"/>
      <c r="BA1565" s="160"/>
      <c r="BB1565" s="160"/>
      <c r="BC1565" s="160"/>
      <c r="BD1565" s="160"/>
      <c r="BE1565" s="160"/>
      <c r="BF1565" s="160"/>
      <c r="BG1565" s="160"/>
      <c r="BH1565" s="160"/>
      <c r="BI1565" s="160"/>
      <c r="BJ1565" s="160"/>
      <c r="BK1565" s="160"/>
      <c r="BL1565" s="160"/>
      <c r="BM1565" s="160"/>
      <c r="BN1565" s="160"/>
      <c r="BO1565" s="160"/>
      <c r="BP1565" s="160"/>
      <c r="BQ1565" s="160"/>
      <c r="BR1565" s="160"/>
      <c r="BS1565" s="160"/>
      <c r="BT1565" s="160"/>
      <c r="BU1565" s="160"/>
      <c r="BV1565" s="160"/>
      <c r="BW1565" s="160"/>
      <c r="BX1565" s="160"/>
      <c r="BY1565" s="160"/>
      <c r="BZ1565" s="160"/>
      <c r="CA1565" s="160"/>
      <c r="CB1565" s="160"/>
      <c r="CC1565" s="160"/>
      <c r="CD1565" s="160"/>
      <c r="CE1565" s="160"/>
      <c r="CF1565" s="160"/>
      <c r="CG1565" s="160"/>
      <c r="CH1565" s="160"/>
      <c r="CI1565" s="160"/>
      <c r="CJ1565" s="160"/>
      <c r="CK1565" s="160"/>
      <c r="CL1565" s="160"/>
    </row>
    <row r="1566">
      <c r="A1566" s="171"/>
      <c r="F1566" s="11"/>
      <c r="G1566" s="11"/>
      <c r="L1566" s="171"/>
      <c r="M1566" s="171"/>
      <c r="O1566" s="160"/>
      <c r="P1566" s="160"/>
      <c r="Q1566" s="160"/>
      <c r="R1566" s="160"/>
      <c r="S1566" s="160"/>
      <c r="T1566" s="207"/>
      <c r="U1566" s="160"/>
      <c r="V1566" s="160"/>
      <c r="W1566" s="160"/>
      <c r="X1566" s="160"/>
      <c r="Y1566" s="160"/>
      <c r="Z1566" s="160"/>
      <c r="AA1566" s="160"/>
      <c r="AB1566" s="160"/>
      <c r="AC1566" s="160"/>
      <c r="AD1566" s="160"/>
      <c r="AE1566" s="160"/>
      <c r="AF1566" s="160"/>
      <c r="AG1566" s="160"/>
      <c r="AH1566" s="160"/>
      <c r="AI1566" s="160"/>
      <c r="AJ1566" s="160"/>
      <c r="AK1566" s="160"/>
      <c r="AL1566" s="160"/>
      <c r="AM1566" s="160"/>
      <c r="AN1566" s="164"/>
      <c r="AO1566" s="160"/>
      <c r="AP1566" s="160"/>
      <c r="AQ1566" s="160"/>
      <c r="AR1566" s="160"/>
      <c r="AS1566" s="160"/>
      <c r="AT1566" s="160"/>
      <c r="AU1566" s="160"/>
      <c r="AV1566" s="160"/>
      <c r="AW1566" s="160"/>
      <c r="AX1566" s="160"/>
      <c r="AY1566" s="160"/>
      <c r="AZ1566" s="160"/>
      <c r="BA1566" s="160"/>
      <c r="BB1566" s="160"/>
      <c r="BC1566" s="160"/>
      <c r="BD1566" s="160"/>
      <c r="BE1566" s="160"/>
      <c r="BF1566" s="160"/>
      <c r="BG1566" s="160"/>
      <c r="BH1566" s="160"/>
      <c r="BI1566" s="160"/>
      <c r="BJ1566" s="160"/>
      <c r="BK1566" s="160"/>
      <c r="BL1566" s="160"/>
      <c r="BM1566" s="160"/>
      <c r="BN1566" s="160"/>
      <c r="BO1566" s="160"/>
      <c r="BP1566" s="160"/>
      <c r="BQ1566" s="160"/>
      <c r="BR1566" s="160"/>
      <c r="BS1566" s="160"/>
      <c r="BT1566" s="160"/>
      <c r="BU1566" s="160"/>
      <c r="BV1566" s="160"/>
      <c r="BW1566" s="160"/>
      <c r="BX1566" s="160"/>
      <c r="BY1566" s="160"/>
      <c r="BZ1566" s="160"/>
      <c r="CA1566" s="160"/>
      <c r="CB1566" s="160"/>
      <c r="CC1566" s="160"/>
      <c r="CD1566" s="160"/>
      <c r="CE1566" s="160"/>
      <c r="CF1566" s="160"/>
      <c r="CG1566" s="160"/>
      <c r="CH1566" s="160"/>
      <c r="CI1566" s="160"/>
      <c r="CJ1566" s="160"/>
      <c r="CK1566" s="160"/>
      <c r="CL1566" s="160"/>
    </row>
    <row r="1567">
      <c r="A1567" s="171"/>
      <c r="F1567" s="11"/>
      <c r="G1567" s="11"/>
      <c r="L1567" s="171"/>
      <c r="M1567" s="171"/>
      <c r="O1567" s="160"/>
      <c r="P1567" s="160"/>
      <c r="Q1567" s="160"/>
      <c r="R1567" s="160"/>
      <c r="S1567" s="160"/>
      <c r="T1567" s="207"/>
      <c r="U1567" s="160"/>
      <c r="V1567" s="160"/>
      <c r="W1567" s="160"/>
      <c r="X1567" s="160"/>
      <c r="Y1567" s="160"/>
      <c r="Z1567" s="160"/>
      <c r="AA1567" s="160"/>
      <c r="AB1567" s="160"/>
      <c r="AC1567" s="160"/>
      <c r="AD1567" s="160"/>
      <c r="AE1567" s="160"/>
      <c r="AF1567" s="160"/>
      <c r="AG1567" s="160"/>
      <c r="AH1567" s="160"/>
      <c r="AI1567" s="160"/>
      <c r="AJ1567" s="160"/>
      <c r="AK1567" s="160"/>
      <c r="AL1567" s="160"/>
      <c r="AM1567" s="160"/>
      <c r="AN1567" s="164"/>
      <c r="AO1567" s="160"/>
      <c r="AP1567" s="160"/>
      <c r="AQ1567" s="160"/>
      <c r="AR1567" s="160"/>
      <c r="AS1567" s="160"/>
      <c r="AT1567" s="160"/>
      <c r="AU1567" s="160"/>
      <c r="AV1567" s="160"/>
      <c r="AW1567" s="160"/>
      <c r="AX1567" s="160"/>
      <c r="AY1567" s="160"/>
      <c r="AZ1567" s="160"/>
      <c r="BA1567" s="160"/>
      <c r="BB1567" s="160"/>
      <c r="BC1567" s="160"/>
      <c r="BD1567" s="160"/>
      <c r="BE1567" s="160"/>
      <c r="BF1567" s="160"/>
      <c r="BG1567" s="160"/>
      <c r="BH1567" s="160"/>
      <c r="BI1567" s="160"/>
      <c r="BJ1567" s="160"/>
      <c r="BK1567" s="160"/>
      <c r="BL1567" s="160"/>
      <c r="BM1567" s="160"/>
      <c r="BN1567" s="160"/>
      <c r="BO1567" s="160"/>
      <c r="BP1567" s="160"/>
      <c r="BQ1567" s="160"/>
      <c r="BR1567" s="160"/>
      <c r="BS1567" s="160"/>
      <c r="BT1567" s="160"/>
      <c r="BU1567" s="160"/>
      <c r="BV1567" s="160"/>
      <c r="BW1567" s="160"/>
      <c r="BX1567" s="160"/>
      <c r="BY1567" s="160"/>
      <c r="BZ1567" s="160"/>
      <c r="CA1567" s="160"/>
      <c r="CB1567" s="160"/>
      <c r="CC1567" s="160"/>
      <c r="CD1567" s="160"/>
      <c r="CE1567" s="160"/>
      <c r="CF1567" s="160"/>
      <c r="CG1567" s="160"/>
      <c r="CH1567" s="160"/>
      <c r="CI1567" s="160"/>
      <c r="CJ1567" s="160"/>
      <c r="CK1567" s="160"/>
      <c r="CL1567" s="160"/>
    </row>
    <row r="1568">
      <c r="A1568" s="171"/>
      <c r="F1568" s="11"/>
      <c r="G1568" s="11"/>
      <c r="L1568" s="171"/>
      <c r="M1568" s="171"/>
      <c r="O1568" s="160"/>
      <c r="P1568" s="160"/>
      <c r="Q1568" s="160"/>
      <c r="R1568" s="160"/>
      <c r="S1568" s="160"/>
      <c r="T1568" s="207"/>
      <c r="U1568" s="160"/>
      <c r="V1568" s="160"/>
      <c r="W1568" s="160"/>
      <c r="X1568" s="160"/>
      <c r="Y1568" s="160"/>
      <c r="Z1568" s="160"/>
      <c r="AA1568" s="160"/>
      <c r="AB1568" s="160"/>
      <c r="AC1568" s="160"/>
      <c r="AD1568" s="160"/>
      <c r="AE1568" s="160"/>
      <c r="AF1568" s="160"/>
      <c r="AG1568" s="160"/>
      <c r="AH1568" s="160"/>
      <c r="AI1568" s="160"/>
      <c r="AJ1568" s="160"/>
      <c r="AK1568" s="160"/>
      <c r="AL1568" s="160"/>
      <c r="AM1568" s="160"/>
      <c r="AN1568" s="164"/>
      <c r="AO1568" s="160"/>
      <c r="AP1568" s="160"/>
      <c r="AQ1568" s="160"/>
      <c r="AR1568" s="160"/>
      <c r="AS1568" s="160"/>
      <c r="AT1568" s="160"/>
      <c r="AU1568" s="160"/>
      <c r="AV1568" s="160"/>
      <c r="AW1568" s="160"/>
      <c r="AX1568" s="160"/>
      <c r="AY1568" s="160"/>
      <c r="AZ1568" s="160"/>
      <c r="BA1568" s="160"/>
      <c r="BB1568" s="160"/>
      <c r="BC1568" s="160"/>
      <c r="BD1568" s="160"/>
      <c r="BE1568" s="160"/>
      <c r="BF1568" s="160"/>
      <c r="BG1568" s="160"/>
      <c r="BH1568" s="160"/>
      <c r="BI1568" s="160"/>
      <c r="BJ1568" s="160"/>
      <c r="BK1568" s="160"/>
      <c r="BL1568" s="160"/>
      <c r="BM1568" s="160"/>
      <c r="BN1568" s="160"/>
      <c r="BO1568" s="160"/>
      <c r="BP1568" s="160"/>
      <c r="BQ1568" s="160"/>
      <c r="BR1568" s="160"/>
      <c r="BS1568" s="160"/>
      <c r="BT1568" s="160"/>
      <c r="BU1568" s="160"/>
      <c r="BV1568" s="160"/>
      <c r="BW1568" s="160"/>
      <c r="BX1568" s="160"/>
      <c r="BY1568" s="160"/>
      <c r="BZ1568" s="160"/>
      <c r="CA1568" s="160"/>
      <c r="CB1568" s="160"/>
      <c r="CC1568" s="160"/>
      <c r="CD1568" s="160"/>
      <c r="CE1568" s="160"/>
      <c r="CF1568" s="160"/>
      <c r="CG1568" s="160"/>
      <c r="CH1568" s="160"/>
      <c r="CI1568" s="160"/>
      <c r="CJ1568" s="160"/>
      <c r="CK1568" s="160"/>
      <c r="CL1568" s="160"/>
    </row>
    <row r="1569">
      <c r="A1569" s="171"/>
      <c r="F1569" s="11"/>
      <c r="G1569" s="11"/>
      <c r="L1569" s="171"/>
      <c r="M1569" s="171"/>
      <c r="O1569" s="160"/>
      <c r="P1569" s="160"/>
      <c r="Q1569" s="160"/>
      <c r="R1569" s="160"/>
      <c r="S1569" s="160"/>
      <c r="T1569" s="207"/>
      <c r="U1569" s="160"/>
      <c r="V1569" s="160"/>
      <c r="W1569" s="160"/>
      <c r="X1569" s="160"/>
      <c r="Y1569" s="160"/>
      <c r="Z1569" s="160"/>
      <c r="AA1569" s="160"/>
      <c r="AB1569" s="160"/>
      <c r="AC1569" s="160"/>
      <c r="AD1569" s="160"/>
      <c r="AE1569" s="160"/>
      <c r="AF1569" s="160"/>
      <c r="AG1569" s="160"/>
      <c r="AH1569" s="160"/>
      <c r="AI1569" s="160"/>
      <c r="AJ1569" s="160"/>
      <c r="AK1569" s="160"/>
      <c r="AL1569" s="160"/>
      <c r="AM1569" s="160"/>
      <c r="AN1569" s="164"/>
      <c r="AO1569" s="160"/>
      <c r="AP1569" s="160"/>
      <c r="AQ1569" s="160"/>
      <c r="AR1569" s="160"/>
      <c r="AS1569" s="160"/>
      <c r="AT1569" s="160"/>
      <c r="AU1569" s="160"/>
      <c r="AV1569" s="160"/>
      <c r="AW1569" s="160"/>
      <c r="AX1569" s="160"/>
      <c r="AY1569" s="160"/>
      <c r="AZ1569" s="160"/>
      <c r="BA1569" s="160"/>
      <c r="BB1569" s="160"/>
      <c r="BC1569" s="160"/>
      <c r="BD1569" s="160"/>
      <c r="BE1569" s="160"/>
      <c r="BF1569" s="160"/>
      <c r="BG1569" s="160"/>
      <c r="BH1569" s="160"/>
      <c r="BI1569" s="160"/>
      <c r="BJ1569" s="160"/>
      <c r="BK1569" s="160"/>
      <c r="BL1569" s="160"/>
      <c r="BM1569" s="160"/>
      <c r="BN1569" s="160"/>
      <c r="BO1569" s="160"/>
      <c r="BP1569" s="160"/>
      <c r="BQ1569" s="160"/>
      <c r="BR1569" s="160"/>
      <c r="BS1569" s="160"/>
      <c r="BT1569" s="160"/>
      <c r="BU1569" s="160"/>
      <c r="BV1569" s="160"/>
      <c r="BW1569" s="160"/>
      <c r="BX1569" s="160"/>
      <c r="BY1569" s="160"/>
      <c r="BZ1569" s="160"/>
      <c r="CA1569" s="160"/>
      <c r="CB1569" s="160"/>
      <c r="CC1569" s="160"/>
      <c r="CD1569" s="160"/>
      <c r="CE1569" s="160"/>
      <c r="CF1569" s="160"/>
      <c r="CG1569" s="160"/>
      <c r="CH1569" s="160"/>
      <c r="CI1569" s="160"/>
      <c r="CJ1569" s="160"/>
      <c r="CK1569" s="160"/>
      <c r="CL1569" s="160"/>
    </row>
    <row r="1570">
      <c r="A1570" s="171"/>
      <c r="F1570" s="11"/>
      <c r="G1570" s="11"/>
      <c r="L1570" s="171"/>
      <c r="M1570" s="171"/>
      <c r="O1570" s="160"/>
      <c r="P1570" s="160"/>
      <c r="Q1570" s="160"/>
      <c r="R1570" s="160"/>
      <c r="S1570" s="160"/>
      <c r="T1570" s="207"/>
      <c r="U1570" s="160"/>
      <c r="V1570" s="160"/>
      <c r="W1570" s="160"/>
      <c r="X1570" s="160"/>
      <c r="Y1570" s="160"/>
      <c r="Z1570" s="160"/>
      <c r="AA1570" s="160"/>
      <c r="AB1570" s="160"/>
      <c r="AC1570" s="160"/>
      <c r="AD1570" s="160"/>
      <c r="AE1570" s="160"/>
      <c r="AF1570" s="160"/>
      <c r="AG1570" s="160"/>
      <c r="AH1570" s="160"/>
      <c r="AI1570" s="160"/>
      <c r="AJ1570" s="160"/>
      <c r="AK1570" s="160"/>
      <c r="AL1570" s="160"/>
      <c r="AM1570" s="160"/>
      <c r="AN1570" s="164"/>
      <c r="AO1570" s="160"/>
      <c r="AP1570" s="160"/>
      <c r="AQ1570" s="160"/>
      <c r="AR1570" s="160"/>
      <c r="AS1570" s="160"/>
      <c r="AT1570" s="160"/>
      <c r="AU1570" s="160"/>
      <c r="AV1570" s="160"/>
      <c r="AW1570" s="160"/>
      <c r="AX1570" s="160"/>
      <c r="AY1570" s="160"/>
      <c r="AZ1570" s="160"/>
      <c r="BA1570" s="160"/>
      <c r="BB1570" s="160"/>
      <c r="BC1570" s="160"/>
      <c r="BD1570" s="160"/>
      <c r="BE1570" s="160"/>
      <c r="BF1570" s="160"/>
      <c r="BG1570" s="160"/>
      <c r="BH1570" s="160"/>
      <c r="BI1570" s="160"/>
      <c r="BJ1570" s="160"/>
      <c r="BK1570" s="160"/>
      <c r="BL1570" s="160"/>
      <c r="BM1570" s="160"/>
      <c r="BN1570" s="160"/>
      <c r="BO1570" s="160"/>
      <c r="BP1570" s="160"/>
      <c r="BQ1570" s="160"/>
      <c r="BR1570" s="160"/>
      <c r="BS1570" s="160"/>
      <c r="BT1570" s="160"/>
      <c r="BU1570" s="160"/>
      <c r="BV1570" s="160"/>
      <c r="BW1570" s="160"/>
      <c r="BX1570" s="160"/>
      <c r="BY1570" s="160"/>
      <c r="BZ1570" s="160"/>
      <c r="CA1570" s="160"/>
      <c r="CB1570" s="160"/>
      <c r="CC1570" s="160"/>
      <c r="CD1570" s="160"/>
      <c r="CE1570" s="160"/>
      <c r="CF1570" s="160"/>
      <c r="CG1570" s="160"/>
      <c r="CH1570" s="160"/>
      <c r="CI1570" s="160"/>
      <c r="CJ1570" s="160"/>
      <c r="CK1570" s="160"/>
      <c r="CL1570" s="160"/>
    </row>
    <row r="1571">
      <c r="A1571" s="171"/>
      <c r="F1571" s="11"/>
      <c r="G1571" s="11"/>
      <c r="L1571" s="171"/>
      <c r="M1571" s="171"/>
      <c r="O1571" s="160"/>
      <c r="P1571" s="160"/>
      <c r="Q1571" s="160"/>
      <c r="R1571" s="160"/>
      <c r="S1571" s="160"/>
      <c r="T1571" s="207"/>
      <c r="U1571" s="160"/>
      <c r="V1571" s="160"/>
      <c r="W1571" s="160"/>
      <c r="X1571" s="160"/>
      <c r="Y1571" s="160"/>
      <c r="Z1571" s="160"/>
      <c r="AA1571" s="160"/>
      <c r="AB1571" s="160"/>
      <c r="AC1571" s="160"/>
      <c r="AD1571" s="160"/>
      <c r="AE1571" s="160"/>
      <c r="AF1571" s="160"/>
      <c r="AG1571" s="160"/>
      <c r="AH1571" s="160"/>
      <c r="AI1571" s="160"/>
      <c r="AJ1571" s="160"/>
      <c r="AK1571" s="160"/>
      <c r="AL1571" s="160"/>
      <c r="AM1571" s="160"/>
      <c r="AN1571" s="164"/>
      <c r="AO1571" s="160"/>
      <c r="AP1571" s="160"/>
      <c r="AQ1571" s="160"/>
      <c r="AR1571" s="160"/>
      <c r="AS1571" s="160"/>
      <c r="AT1571" s="160"/>
      <c r="AU1571" s="160"/>
      <c r="AV1571" s="160"/>
      <c r="AW1571" s="160"/>
      <c r="AX1571" s="160"/>
      <c r="AY1571" s="160"/>
      <c r="AZ1571" s="160"/>
      <c r="BA1571" s="160"/>
      <c r="BB1571" s="160"/>
      <c r="BC1571" s="160"/>
      <c r="BD1571" s="160"/>
      <c r="BE1571" s="160"/>
      <c r="BF1571" s="160"/>
      <c r="BG1571" s="160"/>
      <c r="BH1571" s="160"/>
      <c r="BI1571" s="160"/>
      <c r="BJ1571" s="160"/>
      <c r="BK1571" s="160"/>
      <c r="BL1571" s="160"/>
      <c r="BM1571" s="160"/>
      <c r="BN1571" s="160"/>
      <c r="BO1571" s="160"/>
      <c r="BP1571" s="160"/>
      <c r="BQ1571" s="160"/>
      <c r="BR1571" s="160"/>
      <c r="BS1571" s="160"/>
      <c r="BT1571" s="160"/>
      <c r="BU1571" s="160"/>
      <c r="BV1571" s="160"/>
      <c r="BW1571" s="160"/>
      <c r="BX1571" s="160"/>
      <c r="BY1571" s="160"/>
      <c r="BZ1571" s="160"/>
      <c r="CA1571" s="160"/>
      <c r="CB1571" s="160"/>
      <c r="CC1571" s="160"/>
      <c r="CD1571" s="160"/>
      <c r="CE1571" s="160"/>
      <c r="CF1571" s="160"/>
      <c r="CG1571" s="160"/>
      <c r="CH1571" s="160"/>
      <c r="CI1571" s="160"/>
      <c r="CJ1571" s="160"/>
      <c r="CK1571" s="160"/>
      <c r="CL1571" s="160"/>
    </row>
    <row r="1572">
      <c r="A1572" s="171"/>
      <c r="F1572" s="11"/>
      <c r="G1572" s="11"/>
      <c r="L1572" s="171"/>
      <c r="M1572" s="171"/>
      <c r="O1572" s="160"/>
      <c r="P1572" s="160"/>
      <c r="Q1572" s="160"/>
      <c r="R1572" s="160"/>
      <c r="S1572" s="160"/>
      <c r="T1572" s="207"/>
      <c r="U1572" s="160"/>
      <c r="V1572" s="160"/>
      <c r="W1572" s="160"/>
      <c r="X1572" s="160"/>
      <c r="Y1572" s="160"/>
      <c r="Z1572" s="160"/>
      <c r="AA1572" s="160"/>
      <c r="AB1572" s="160"/>
      <c r="AC1572" s="160"/>
      <c r="AD1572" s="160"/>
      <c r="AE1572" s="160"/>
      <c r="AF1572" s="160"/>
      <c r="AG1572" s="160"/>
      <c r="AH1572" s="160"/>
      <c r="AI1572" s="160"/>
      <c r="AJ1572" s="160"/>
      <c r="AK1572" s="160"/>
      <c r="AL1572" s="160"/>
      <c r="AM1572" s="160"/>
      <c r="AN1572" s="164"/>
      <c r="AO1572" s="160"/>
      <c r="AP1572" s="160"/>
      <c r="AQ1572" s="160"/>
      <c r="AR1572" s="160"/>
      <c r="AS1572" s="160"/>
      <c r="AT1572" s="160"/>
      <c r="AU1572" s="160"/>
      <c r="AV1572" s="160"/>
      <c r="AW1572" s="160"/>
      <c r="AX1572" s="160"/>
      <c r="AY1572" s="160"/>
      <c r="AZ1572" s="160"/>
      <c r="BA1572" s="160"/>
      <c r="BB1572" s="160"/>
      <c r="BC1572" s="160"/>
      <c r="BD1572" s="160"/>
      <c r="BE1572" s="160"/>
      <c r="BF1572" s="160"/>
      <c r="BG1572" s="160"/>
      <c r="BH1572" s="160"/>
      <c r="BI1572" s="160"/>
      <c r="BJ1572" s="160"/>
      <c r="BK1572" s="160"/>
      <c r="BL1572" s="160"/>
      <c r="BM1572" s="160"/>
      <c r="BN1572" s="160"/>
      <c r="BO1572" s="160"/>
      <c r="BP1572" s="160"/>
      <c r="BQ1572" s="160"/>
      <c r="BR1572" s="160"/>
      <c r="BS1572" s="160"/>
      <c r="BT1572" s="160"/>
      <c r="BU1572" s="160"/>
      <c r="BV1572" s="160"/>
      <c r="BW1572" s="160"/>
      <c r="BX1572" s="160"/>
      <c r="BY1572" s="160"/>
      <c r="BZ1572" s="160"/>
      <c r="CA1572" s="160"/>
      <c r="CB1572" s="160"/>
      <c r="CC1572" s="160"/>
      <c r="CD1572" s="160"/>
      <c r="CE1572" s="160"/>
      <c r="CF1572" s="160"/>
      <c r="CG1572" s="160"/>
      <c r="CH1572" s="160"/>
      <c r="CI1572" s="160"/>
      <c r="CJ1572" s="160"/>
      <c r="CK1572" s="160"/>
      <c r="CL1572" s="160"/>
    </row>
    <row r="1573">
      <c r="A1573" s="171"/>
      <c r="F1573" s="11"/>
      <c r="G1573" s="11"/>
      <c r="L1573" s="171"/>
      <c r="M1573" s="171"/>
      <c r="O1573" s="160"/>
      <c r="P1573" s="160"/>
      <c r="Q1573" s="160"/>
      <c r="R1573" s="160"/>
      <c r="S1573" s="160"/>
      <c r="T1573" s="207"/>
      <c r="U1573" s="160"/>
      <c r="V1573" s="160"/>
      <c r="W1573" s="160"/>
      <c r="X1573" s="160"/>
      <c r="Y1573" s="160"/>
      <c r="Z1573" s="160"/>
      <c r="AA1573" s="160"/>
      <c r="AB1573" s="160"/>
      <c r="AC1573" s="160"/>
      <c r="AD1573" s="160"/>
      <c r="AE1573" s="160"/>
      <c r="AF1573" s="160"/>
      <c r="AG1573" s="160"/>
      <c r="AH1573" s="160"/>
      <c r="AI1573" s="160"/>
      <c r="AJ1573" s="160"/>
      <c r="AK1573" s="160"/>
      <c r="AL1573" s="160"/>
      <c r="AM1573" s="160"/>
      <c r="AN1573" s="164"/>
      <c r="AO1573" s="160"/>
      <c r="AP1573" s="160"/>
      <c r="AQ1573" s="160"/>
      <c r="AR1573" s="160"/>
      <c r="AS1573" s="160"/>
      <c r="AT1573" s="160"/>
      <c r="AU1573" s="160"/>
      <c r="AV1573" s="160"/>
      <c r="AW1573" s="160"/>
      <c r="AX1573" s="160"/>
      <c r="AY1573" s="160"/>
      <c r="AZ1573" s="160"/>
      <c r="BA1573" s="160"/>
      <c r="BB1573" s="160"/>
      <c r="BC1573" s="160"/>
      <c r="BD1573" s="160"/>
      <c r="BE1573" s="160"/>
      <c r="BF1573" s="160"/>
      <c r="BG1573" s="160"/>
      <c r="BH1573" s="160"/>
      <c r="BI1573" s="160"/>
      <c r="BJ1573" s="160"/>
      <c r="BK1573" s="160"/>
      <c r="BL1573" s="160"/>
      <c r="BM1573" s="160"/>
      <c r="BN1573" s="160"/>
      <c r="BO1573" s="160"/>
      <c r="BP1573" s="160"/>
      <c r="BQ1573" s="160"/>
      <c r="BR1573" s="160"/>
      <c r="BS1573" s="160"/>
      <c r="BT1573" s="160"/>
      <c r="BU1573" s="160"/>
      <c r="BV1573" s="160"/>
      <c r="BW1573" s="160"/>
      <c r="BX1573" s="160"/>
      <c r="BY1573" s="160"/>
      <c r="BZ1573" s="160"/>
      <c r="CA1573" s="160"/>
      <c r="CB1573" s="160"/>
      <c r="CC1573" s="160"/>
      <c r="CD1573" s="160"/>
      <c r="CE1573" s="160"/>
      <c r="CF1573" s="160"/>
      <c r="CG1573" s="160"/>
      <c r="CH1573" s="160"/>
      <c r="CI1573" s="160"/>
      <c r="CJ1573" s="160"/>
      <c r="CK1573" s="160"/>
      <c r="CL1573" s="160"/>
    </row>
    <row r="1574">
      <c r="A1574" s="171"/>
      <c r="F1574" s="11"/>
      <c r="G1574" s="11"/>
      <c r="L1574" s="171"/>
      <c r="M1574" s="171"/>
      <c r="O1574" s="160"/>
      <c r="P1574" s="160"/>
      <c r="Q1574" s="160"/>
      <c r="R1574" s="160"/>
      <c r="S1574" s="160"/>
      <c r="T1574" s="207"/>
      <c r="U1574" s="160"/>
      <c r="V1574" s="160"/>
      <c r="W1574" s="160"/>
      <c r="X1574" s="160"/>
      <c r="Y1574" s="160"/>
      <c r="Z1574" s="160"/>
      <c r="AA1574" s="160"/>
      <c r="AB1574" s="160"/>
      <c r="AC1574" s="160"/>
      <c r="AD1574" s="160"/>
      <c r="AE1574" s="160"/>
      <c r="AF1574" s="160"/>
      <c r="AG1574" s="160"/>
      <c r="AH1574" s="160"/>
      <c r="AI1574" s="160"/>
      <c r="AJ1574" s="160"/>
      <c r="AK1574" s="160"/>
      <c r="AL1574" s="160"/>
      <c r="AM1574" s="160"/>
      <c r="AN1574" s="164"/>
      <c r="AO1574" s="160"/>
      <c r="AP1574" s="160"/>
      <c r="AQ1574" s="160"/>
      <c r="AR1574" s="160"/>
      <c r="AS1574" s="160"/>
      <c r="AT1574" s="160"/>
      <c r="AU1574" s="160"/>
      <c r="AV1574" s="160"/>
      <c r="AW1574" s="160"/>
      <c r="AX1574" s="160"/>
      <c r="AY1574" s="160"/>
      <c r="AZ1574" s="160"/>
      <c r="BA1574" s="160"/>
      <c r="BB1574" s="160"/>
      <c r="BC1574" s="160"/>
      <c r="BD1574" s="160"/>
      <c r="BE1574" s="160"/>
      <c r="BF1574" s="160"/>
      <c r="BG1574" s="160"/>
      <c r="BH1574" s="160"/>
      <c r="BI1574" s="160"/>
      <c r="BJ1574" s="160"/>
      <c r="BK1574" s="160"/>
      <c r="BL1574" s="160"/>
      <c r="BM1574" s="160"/>
      <c r="BN1574" s="160"/>
      <c r="BO1574" s="160"/>
      <c r="BP1574" s="160"/>
      <c r="BQ1574" s="160"/>
      <c r="BR1574" s="160"/>
      <c r="BS1574" s="160"/>
      <c r="BT1574" s="160"/>
      <c r="BU1574" s="160"/>
      <c r="BV1574" s="160"/>
      <c r="BW1574" s="160"/>
      <c r="BX1574" s="160"/>
      <c r="BY1574" s="160"/>
      <c r="BZ1574" s="160"/>
      <c r="CA1574" s="160"/>
      <c r="CB1574" s="160"/>
      <c r="CC1574" s="160"/>
      <c r="CD1574" s="160"/>
      <c r="CE1574" s="160"/>
      <c r="CF1574" s="160"/>
      <c r="CG1574" s="160"/>
      <c r="CH1574" s="160"/>
      <c r="CI1574" s="160"/>
      <c r="CJ1574" s="160"/>
      <c r="CK1574" s="160"/>
      <c r="CL1574" s="160"/>
    </row>
    <row r="1575">
      <c r="A1575" s="171"/>
      <c r="F1575" s="11"/>
      <c r="G1575" s="11"/>
      <c r="L1575" s="171"/>
      <c r="M1575" s="171"/>
      <c r="O1575" s="160"/>
      <c r="P1575" s="160"/>
      <c r="Q1575" s="160"/>
      <c r="R1575" s="160"/>
      <c r="S1575" s="160"/>
      <c r="T1575" s="207"/>
      <c r="U1575" s="160"/>
      <c r="V1575" s="160"/>
      <c r="W1575" s="160"/>
      <c r="X1575" s="160"/>
      <c r="Y1575" s="160"/>
      <c r="Z1575" s="160"/>
      <c r="AA1575" s="160"/>
      <c r="AB1575" s="160"/>
      <c r="AC1575" s="160"/>
      <c r="AD1575" s="160"/>
      <c r="AE1575" s="160"/>
      <c r="AF1575" s="160"/>
      <c r="AG1575" s="160"/>
      <c r="AH1575" s="160"/>
      <c r="AI1575" s="160"/>
      <c r="AJ1575" s="160"/>
      <c r="AK1575" s="160"/>
      <c r="AL1575" s="160"/>
      <c r="AM1575" s="160"/>
      <c r="AN1575" s="164"/>
      <c r="AO1575" s="160"/>
      <c r="AP1575" s="160"/>
      <c r="AQ1575" s="160"/>
      <c r="AR1575" s="160"/>
      <c r="AS1575" s="160"/>
      <c r="AT1575" s="160"/>
      <c r="AU1575" s="160"/>
      <c r="AV1575" s="160"/>
      <c r="AW1575" s="160"/>
      <c r="AX1575" s="160"/>
      <c r="AY1575" s="160"/>
      <c r="AZ1575" s="160"/>
      <c r="BA1575" s="160"/>
      <c r="BB1575" s="160"/>
      <c r="BC1575" s="160"/>
      <c r="BD1575" s="160"/>
      <c r="BE1575" s="160"/>
      <c r="BF1575" s="160"/>
      <c r="BG1575" s="160"/>
      <c r="BH1575" s="160"/>
      <c r="BI1575" s="160"/>
      <c r="BJ1575" s="160"/>
      <c r="BK1575" s="160"/>
      <c r="BL1575" s="160"/>
      <c r="BM1575" s="160"/>
      <c r="BN1575" s="160"/>
      <c r="BO1575" s="160"/>
      <c r="BP1575" s="160"/>
      <c r="BQ1575" s="160"/>
      <c r="BR1575" s="160"/>
      <c r="BS1575" s="160"/>
      <c r="BT1575" s="160"/>
      <c r="BU1575" s="160"/>
      <c r="BV1575" s="160"/>
      <c r="BW1575" s="160"/>
      <c r="BX1575" s="160"/>
      <c r="BY1575" s="160"/>
      <c r="BZ1575" s="160"/>
      <c r="CA1575" s="160"/>
      <c r="CB1575" s="160"/>
      <c r="CC1575" s="160"/>
      <c r="CD1575" s="160"/>
      <c r="CE1575" s="160"/>
      <c r="CF1575" s="160"/>
      <c r="CG1575" s="160"/>
      <c r="CH1575" s="160"/>
      <c r="CI1575" s="160"/>
      <c r="CJ1575" s="160"/>
      <c r="CK1575" s="160"/>
      <c r="CL1575" s="160"/>
    </row>
    <row r="1576">
      <c r="A1576" s="171"/>
      <c r="F1576" s="11"/>
      <c r="G1576" s="11"/>
      <c r="L1576" s="171"/>
      <c r="M1576" s="171"/>
      <c r="O1576" s="160"/>
      <c r="P1576" s="160"/>
      <c r="Q1576" s="160"/>
      <c r="R1576" s="160"/>
      <c r="S1576" s="160"/>
      <c r="T1576" s="207"/>
      <c r="U1576" s="160"/>
      <c r="V1576" s="160"/>
      <c r="W1576" s="160"/>
      <c r="X1576" s="160"/>
      <c r="Y1576" s="160"/>
      <c r="Z1576" s="160"/>
      <c r="AA1576" s="160"/>
      <c r="AB1576" s="160"/>
      <c r="AC1576" s="160"/>
      <c r="AD1576" s="160"/>
      <c r="AE1576" s="160"/>
      <c r="AF1576" s="160"/>
      <c r="AG1576" s="160"/>
      <c r="AH1576" s="160"/>
      <c r="AI1576" s="160"/>
      <c r="AJ1576" s="160"/>
      <c r="AK1576" s="160"/>
      <c r="AL1576" s="160"/>
      <c r="AM1576" s="160"/>
      <c r="AN1576" s="164"/>
      <c r="AO1576" s="160"/>
      <c r="AP1576" s="160"/>
      <c r="AQ1576" s="160"/>
      <c r="AR1576" s="160"/>
      <c r="AS1576" s="160"/>
      <c r="AT1576" s="160"/>
      <c r="AU1576" s="160"/>
      <c r="AV1576" s="160"/>
      <c r="AW1576" s="160"/>
      <c r="AX1576" s="160"/>
      <c r="AY1576" s="160"/>
      <c r="AZ1576" s="160"/>
      <c r="BA1576" s="160"/>
      <c r="BB1576" s="160"/>
      <c r="BC1576" s="160"/>
      <c r="BD1576" s="160"/>
      <c r="BE1576" s="160"/>
      <c r="BF1576" s="160"/>
      <c r="BG1576" s="160"/>
      <c r="BH1576" s="160"/>
      <c r="BI1576" s="160"/>
      <c r="BJ1576" s="160"/>
      <c r="BK1576" s="160"/>
      <c r="BL1576" s="160"/>
      <c r="BM1576" s="160"/>
      <c r="BN1576" s="160"/>
      <c r="BO1576" s="160"/>
      <c r="BP1576" s="160"/>
      <c r="BQ1576" s="160"/>
      <c r="BR1576" s="160"/>
      <c r="BS1576" s="160"/>
      <c r="BT1576" s="160"/>
      <c r="BU1576" s="160"/>
      <c r="BV1576" s="160"/>
      <c r="BW1576" s="160"/>
      <c r="BX1576" s="160"/>
      <c r="BY1576" s="160"/>
      <c r="BZ1576" s="160"/>
      <c r="CA1576" s="160"/>
      <c r="CB1576" s="160"/>
      <c r="CC1576" s="160"/>
      <c r="CD1576" s="160"/>
      <c r="CE1576" s="160"/>
      <c r="CF1576" s="160"/>
      <c r="CG1576" s="160"/>
      <c r="CH1576" s="160"/>
      <c r="CI1576" s="160"/>
      <c r="CJ1576" s="160"/>
      <c r="CK1576" s="160"/>
      <c r="CL1576" s="160"/>
    </row>
    <row r="1577">
      <c r="A1577" s="171"/>
      <c r="F1577" s="11"/>
      <c r="G1577" s="11"/>
      <c r="L1577" s="171"/>
      <c r="M1577" s="171"/>
      <c r="O1577" s="160"/>
      <c r="P1577" s="160"/>
      <c r="Q1577" s="160"/>
      <c r="R1577" s="160"/>
      <c r="S1577" s="160"/>
      <c r="T1577" s="207"/>
      <c r="U1577" s="160"/>
      <c r="V1577" s="160"/>
      <c r="W1577" s="160"/>
      <c r="X1577" s="160"/>
      <c r="Y1577" s="160"/>
      <c r="Z1577" s="160"/>
      <c r="AA1577" s="160"/>
      <c r="AB1577" s="160"/>
      <c r="AC1577" s="160"/>
      <c r="AD1577" s="160"/>
      <c r="AE1577" s="160"/>
      <c r="AF1577" s="160"/>
      <c r="AG1577" s="160"/>
      <c r="AH1577" s="160"/>
      <c r="AI1577" s="160"/>
      <c r="AJ1577" s="160"/>
      <c r="AK1577" s="160"/>
      <c r="AL1577" s="160"/>
      <c r="AM1577" s="160"/>
      <c r="AN1577" s="164"/>
      <c r="AO1577" s="160"/>
      <c r="AP1577" s="160"/>
      <c r="AQ1577" s="160"/>
      <c r="AR1577" s="160"/>
      <c r="AS1577" s="160"/>
      <c r="AT1577" s="160"/>
      <c r="AU1577" s="160"/>
      <c r="AV1577" s="160"/>
      <c r="AW1577" s="160"/>
      <c r="AX1577" s="160"/>
      <c r="AY1577" s="160"/>
      <c r="AZ1577" s="160"/>
      <c r="BA1577" s="160"/>
      <c r="BB1577" s="160"/>
      <c r="BC1577" s="160"/>
      <c r="BD1577" s="160"/>
      <c r="BE1577" s="160"/>
      <c r="BF1577" s="160"/>
      <c r="BG1577" s="160"/>
      <c r="BH1577" s="160"/>
      <c r="BI1577" s="160"/>
      <c r="BJ1577" s="160"/>
      <c r="BK1577" s="160"/>
      <c r="BL1577" s="160"/>
      <c r="BM1577" s="160"/>
      <c r="BN1577" s="160"/>
      <c r="BO1577" s="160"/>
      <c r="BP1577" s="160"/>
      <c r="BQ1577" s="160"/>
      <c r="BR1577" s="160"/>
      <c r="BS1577" s="160"/>
      <c r="BT1577" s="160"/>
      <c r="BU1577" s="160"/>
      <c r="BV1577" s="160"/>
      <c r="BW1577" s="160"/>
      <c r="BX1577" s="160"/>
      <c r="BY1577" s="160"/>
      <c r="BZ1577" s="160"/>
      <c r="CA1577" s="160"/>
      <c r="CB1577" s="160"/>
      <c r="CC1577" s="160"/>
      <c r="CD1577" s="160"/>
      <c r="CE1577" s="160"/>
      <c r="CF1577" s="160"/>
      <c r="CG1577" s="160"/>
      <c r="CH1577" s="160"/>
      <c r="CI1577" s="160"/>
      <c r="CJ1577" s="160"/>
      <c r="CK1577" s="160"/>
      <c r="CL1577" s="160"/>
    </row>
    <row r="1578">
      <c r="A1578" s="171"/>
      <c r="F1578" s="11"/>
      <c r="G1578" s="11"/>
      <c r="L1578" s="171"/>
      <c r="M1578" s="171"/>
      <c r="O1578" s="160"/>
      <c r="P1578" s="160"/>
      <c r="Q1578" s="160"/>
      <c r="R1578" s="160"/>
      <c r="S1578" s="160"/>
      <c r="T1578" s="207"/>
      <c r="U1578" s="160"/>
      <c r="V1578" s="160"/>
      <c r="W1578" s="160"/>
      <c r="X1578" s="160"/>
      <c r="Y1578" s="160"/>
      <c r="Z1578" s="160"/>
      <c r="AA1578" s="160"/>
      <c r="AB1578" s="160"/>
      <c r="AC1578" s="160"/>
      <c r="AD1578" s="160"/>
      <c r="AE1578" s="160"/>
      <c r="AF1578" s="160"/>
      <c r="AG1578" s="160"/>
      <c r="AH1578" s="160"/>
      <c r="AI1578" s="160"/>
      <c r="AJ1578" s="160"/>
      <c r="AK1578" s="160"/>
      <c r="AL1578" s="160"/>
      <c r="AM1578" s="160"/>
      <c r="AN1578" s="164"/>
      <c r="AO1578" s="160"/>
      <c r="AP1578" s="160"/>
      <c r="AQ1578" s="160"/>
      <c r="AR1578" s="160"/>
      <c r="AS1578" s="160"/>
      <c r="AT1578" s="160"/>
      <c r="AU1578" s="160"/>
      <c r="AV1578" s="160"/>
      <c r="AW1578" s="160"/>
      <c r="AX1578" s="160"/>
      <c r="AY1578" s="160"/>
      <c r="AZ1578" s="160"/>
      <c r="BA1578" s="160"/>
      <c r="BB1578" s="160"/>
      <c r="BC1578" s="160"/>
      <c r="BD1578" s="160"/>
      <c r="BE1578" s="160"/>
      <c r="BF1578" s="160"/>
      <c r="BG1578" s="160"/>
      <c r="BH1578" s="160"/>
      <c r="BI1578" s="160"/>
      <c r="BJ1578" s="160"/>
      <c r="BK1578" s="160"/>
      <c r="BL1578" s="160"/>
      <c r="BM1578" s="160"/>
      <c r="BN1578" s="160"/>
      <c r="BO1578" s="160"/>
      <c r="BP1578" s="160"/>
      <c r="BQ1578" s="160"/>
      <c r="BR1578" s="160"/>
      <c r="BS1578" s="160"/>
      <c r="BT1578" s="160"/>
      <c r="BU1578" s="160"/>
      <c r="BV1578" s="160"/>
      <c r="BW1578" s="160"/>
      <c r="BX1578" s="160"/>
      <c r="BY1578" s="160"/>
      <c r="BZ1578" s="160"/>
      <c r="CA1578" s="160"/>
      <c r="CB1578" s="160"/>
      <c r="CC1578" s="160"/>
      <c r="CD1578" s="160"/>
      <c r="CE1578" s="160"/>
      <c r="CF1578" s="160"/>
      <c r="CG1578" s="160"/>
      <c r="CH1578" s="160"/>
      <c r="CI1578" s="160"/>
      <c r="CJ1578" s="160"/>
      <c r="CK1578" s="160"/>
      <c r="CL1578" s="160"/>
    </row>
    <row r="1579">
      <c r="A1579" s="171"/>
      <c r="F1579" s="11"/>
      <c r="G1579" s="11"/>
      <c r="L1579" s="171"/>
      <c r="M1579" s="171"/>
      <c r="O1579" s="160"/>
      <c r="P1579" s="160"/>
      <c r="Q1579" s="160"/>
      <c r="R1579" s="160"/>
      <c r="S1579" s="160"/>
      <c r="T1579" s="207"/>
      <c r="U1579" s="160"/>
      <c r="V1579" s="160"/>
      <c r="W1579" s="160"/>
      <c r="X1579" s="160"/>
      <c r="Y1579" s="160"/>
      <c r="Z1579" s="160"/>
      <c r="AA1579" s="160"/>
      <c r="AB1579" s="160"/>
      <c r="AC1579" s="160"/>
      <c r="AD1579" s="160"/>
      <c r="AE1579" s="160"/>
      <c r="AF1579" s="160"/>
      <c r="AG1579" s="160"/>
      <c r="AH1579" s="160"/>
      <c r="AI1579" s="160"/>
      <c r="AJ1579" s="160"/>
      <c r="AK1579" s="160"/>
      <c r="AL1579" s="160"/>
      <c r="AM1579" s="160"/>
      <c r="AN1579" s="164"/>
      <c r="AO1579" s="160"/>
      <c r="AP1579" s="160"/>
      <c r="AQ1579" s="160"/>
      <c r="AR1579" s="160"/>
      <c r="AS1579" s="160"/>
      <c r="AT1579" s="160"/>
      <c r="AU1579" s="160"/>
      <c r="AV1579" s="160"/>
      <c r="AW1579" s="160"/>
      <c r="AX1579" s="160"/>
      <c r="AY1579" s="160"/>
      <c r="AZ1579" s="160"/>
      <c r="BA1579" s="160"/>
      <c r="BB1579" s="160"/>
      <c r="BC1579" s="160"/>
      <c r="BD1579" s="160"/>
      <c r="BE1579" s="160"/>
      <c r="BF1579" s="160"/>
      <c r="BG1579" s="160"/>
      <c r="BH1579" s="160"/>
      <c r="BI1579" s="160"/>
      <c r="BJ1579" s="160"/>
      <c r="BK1579" s="160"/>
      <c r="BL1579" s="160"/>
      <c r="BM1579" s="160"/>
      <c r="BN1579" s="160"/>
      <c r="BO1579" s="160"/>
      <c r="BP1579" s="160"/>
      <c r="BQ1579" s="160"/>
      <c r="BR1579" s="160"/>
      <c r="BS1579" s="160"/>
      <c r="BT1579" s="160"/>
      <c r="BU1579" s="160"/>
      <c r="BV1579" s="160"/>
      <c r="BW1579" s="160"/>
      <c r="BX1579" s="160"/>
      <c r="BY1579" s="160"/>
      <c r="BZ1579" s="160"/>
      <c r="CA1579" s="160"/>
      <c r="CB1579" s="160"/>
      <c r="CC1579" s="160"/>
      <c r="CD1579" s="160"/>
      <c r="CE1579" s="160"/>
      <c r="CF1579" s="160"/>
      <c r="CG1579" s="160"/>
      <c r="CH1579" s="160"/>
      <c r="CI1579" s="160"/>
      <c r="CJ1579" s="160"/>
      <c r="CK1579" s="160"/>
      <c r="CL1579" s="160"/>
    </row>
    <row r="1580">
      <c r="A1580" s="171"/>
      <c r="F1580" s="11"/>
      <c r="G1580" s="11"/>
      <c r="L1580" s="171"/>
      <c r="M1580" s="171"/>
      <c r="O1580" s="160"/>
      <c r="P1580" s="160"/>
      <c r="Q1580" s="160"/>
      <c r="R1580" s="160"/>
      <c r="S1580" s="160"/>
      <c r="T1580" s="207"/>
      <c r="U1580" s="160"/>
      <c r="V1580" s="160"/>
      <c r="W1580" s="160"/>
      <c r="X1580" s="160"/>
      <c r="Y1580" s="160"/>
      <c r="Z1580" s="160"/>
      <c r="AA1580" s="160"/>
      <c r="AB1580" s="160"/>
      <c r="AC1580" s="160"/>
      <c r="AD1580" s="160"/>
      <c r="AE1580" s="160"/>
      <c r="AF1580" s="160"/>
      <c r="AG1580" s="160"/>
      <c r="AH1580" s="160"/>
      <c r="AI1580" s="160"/>
      <c r="AJ1580" s="160"/>
      <c r="AK1580" s="160"/>
      <c r="AL1580" s="160"/>
      <c r="AM1580" s="160"/>
      <c r="AN1580" s="164"/>
      <c r="AO1580" s="160"/>
      <c r="AP1580" s="160"/>
      <c r="AQ1580" s="160"/>
      <c r="AR1580" s="160"/>
      <c r="AS1580" s="160"/>
      <c r="AT1580" s="160"/>
      <c r="AU1580" s="160"/>
      <c r="AV1580" s="160"/>
      <c r="AW1580" s="160"/>
      <c r="AX1580" s="160"/>
      <c r="AY1580" s="160"/>
      <c r="AZ1580" s="160"/>
      <c r="BA1580" s="160"/>
      <c r="BB1580" s="160"/>
      <c r="BC1580" s="160"/>
      <c r="BD1580" s="160"/>
      <c r="BE1580" s="160"/>
      <c r="BF1580" s="160"/>
      <c r="BG1580" s="160"/>
      <c r="BH1580" s="160"/>
      <c r="BI1580" s="160"/>
      <c r="BJ1580" s="160"/>
      <c r="BK1580" s="160"/>
      <c r="BL1580" s="160"/>
      <c r="BM1580" s="160"/>
      <c r="BN1580" s="160"/>
      <c r="BO1580" s="160"/>
      <c r="BP1580" s="160"/>
      <c r="BQ1580" s="160"/>
      <c r="BR1580" s="160"/>
      <c r="BS1580" s="160"/>
      <c r="BT1580" s="160"/>
      <c r="BU1580" s="160"/>
      <c r="BV1580" s="160"/>
      <c r="BW1580" s="160"/>
      <c r="BX1580" s="160"/>
      <c r="BY1580" s="160"/>
      <c r="BZ1580" s="160"/>
      <c r="CA1580" s="160"/>
      <c r="CB1580" s="160"/>
      <c r="CC1580" s="160"/>
      <c r="CD1580" s="160"/>
      <c r="CE1580" s="160"/>
      <c r="CF1580" s="160"/>
      <c r="CG1580" s="160"/>
      <c r="CH1580" s="160"/>
      <c r="CI1580" s="160"/>
      <c r="CJ1580" s="160"/>
      <c r="CK1580" s="160"/>
      <c r="CL1580" s="160"/>
    </row>
    <row r="1581">
      <c r="A1581" s="171"/>
      <c r="F1581" s="11"/>
      <c r="G1581" s="11"/>
      <c r="L1581" s="171"/>
      <c r="M1581" s="171"/>
      <c r="O1581" s="160"/>
      <c r="P1581" s="160"/>
      <c r="Q1581" s="160"/>
      <c r="R1581" s="160"/>
      <c r="S1581" s="160"/>
      <c r="T1581" s="207"/>
      <c r="U1581" s="160"/>
      <c r="V1581" s="160"/>
      <c r="W1581" s="160"/>
      <c r="X1581" s="160"/>
      <c r="Y1581" s="160"/>
      <c r="Z1581" s="160"/>
      <c r="AA1581" s="160"/>
      <c r="AB1581" s="160"/>
      <c r="AC1581" s="160"/>
      <c r="AD1581" s="160"/>
      <c r="AE1581" s="160"/>
      <c r="AF1581" s="160"/>
      <c r="AG1581" s="160"/>
      <c r="AH1581" s="160"/>
      <c r="AI1581" s="160"/>
      <c r="AJ1581" s="160"/>
      <c r="AK1581" s="160"/>
      <c r="AL1581" s="160"/>
      <c r="AM1581" s="160"/>
      <c r="AN1581" s="164"/>
      <c r="AO1581" s="160"/>
      <c r="AP1581" s="160"/>
      <c r="AQ1581" s="160"/>
      <c r="AR1581" s="160"/>
      <c r="AS1581" s="160"/>
      <c r="AT1581" s="160"/>
      <c r="AU1581" s="160"/>
      <c r="AV1581" s="160"/>
      <c r="AW1581" s="160"/>
      <c r="AX1581" s="160"/>
      <c r="AY1581" s="160"/>
      <c r="AZ1581" s="160"/>
      <c r="BA1581" s="160"/>
      <c r="BB1581" s="160"/>
      <c r="BC1581" s="160"/>
      <c r="BD1581" s="160"/>
      <c r="BE1581" s="160"/>
      <c r="BF1581" s="160"/>
      <c r="BG1581" s="160"/>
      <c r="BH1581" s="160"/>
      <c r="BI1581" s="160"/>
      <c r="BJ1581" s="160"/>
      <c r="BK1581" s="160"/>
      <c r="BL1581" s="160"/>
      <c r="BM1581" s="160"/>
      <c r="BN1581" s="160"/>
      <c r="BO1581" s="160"/>
      <c r="BP1581" s="160"/>
      <c r="BQ1581" s="160"/>
      <c r="BR1581" s="160"/>
      <c r="BS1581" s="160"/>
      <c r="BT1581" s="160"/>
      <c r="BU1581" s="160"/>
      <c r="BV1581" s="160"/>
      <c r="BW1581" s="160"/>
      <c r="BX1581" s="160"/>
      <c r="BY1581" s="160"/>
      <c r="BZ1581" s="160"/>
      <c r="CA1581" s="160"/>
      <c r="CB1581" s="160"/>
      <c r="CC1581" s="160"/>
      <c r="CD1581" s="160"/>
      <c r="CE1581" s="160"/>
      <c r="CF1581" s="160"/>
      <c r="CG1581" s="160"/>
      <c r="CH1581" s="160"/>
      <c r="CI1581" s="160"/>
      <c r="CJ1581" s="160"/>
      <c r="CK1581" s="160"/>
      <c r="CL1581" s="160"/>
    </row>
    <row r="1582">
      <c r="A1582" s="171"/>
      <c r="F1582" s="11"/>
      <c r="G1582" s="11"/>
      <c r="L1582" s="171"/>
      <c r="M1582" s="171"/>
      <c r="O1582" s="160"/>
      <c r="P1582" s="160"/>
      <c r="Q1582" s="160"/>
      <c r="R1582" s="160"/>
      <c r="S1582" s="160"/>
      <c r="T1582" s="207"/>
      <c r="U1582" s="160"/>
      <c r="V1582" s="160"/>
      <c r="W1582" s="160"/>
      <c r="X1582" s="160"/>
      <c r="Y1582" s="160"/>
      <c r="Z1582" s="160"/>
      <c r="AA1582" s="160"/>
      <c r="AB1582" s="160"/>
      <c r="AC1582" s="160"/>
      <c r="AD1582" s="160"/>
      <c r="AE1582" s="160"/>
      <c r="AF1582" s="160"/>
      <c r="AG1582" s="160"/>
      <c r="AH1582" s="160"/>
      <c r="AI1582" s="160"/>
      <c r="AJ1582" s="160"/>
      <c r="AK1582" s="160"/>
      <c r="AL1582" s="160"/>
      <c r="AM1582" s="160"/>
      <c r="AN1582" s="164"/>
      <c r="AO1582" s="160"/>
      <c r="AP1582" s="160"/>
      <c r="AQ1582" s="160"/>
      <c r="AR1582" s="160"/>
      <c r="AS1582" s="160"/>
      <c r="AT1582" s="160"/>
      <c r="AU1582" s="160"/>
      <c r="AV1582" s="160"/>
      <c r="AW1582" s="160"/>
      <c r="AX1582" s="160"/>
      <c r="AY1582" s="160"/>
      <c r="AZ1582" s="160"/>
      <c r="BA1582" s="160"/>
      <c r="BB1582" s="160"/>
      <c r="BC1582" s="160"/>
      <c r="BD1582" s="160"/>
      <c r="BE1582" s="160"/>
      <c r="BF1582" s="160"/>
      <c r="BG1582" s="160"/>
      <c r="BH1582" s="160"/>
      <c r="BI1582" s="160"/>
      <c r="BJ1582" s="160"/>
      <c r="BK1582" s="160"/>
      <c r="BL1582" s="160"/>
      <c r="BM1582" s="160"/>
      <c r="BN1582" s="160"/>
      <c r="BO1582" s="160"/>
      <c r="BP1582" s="160"/>
      <c r="BQ1582" s="160"/>
      <c r="BR1582" s="160"/>
      <c r="BS1582" s="160"/>
      <c r="BT1582" s="160"/>
      <c r="BU1582" s="160"/>
      <c r="BV1582" s="160"/>
      <c r="BW1582" s="160"/>
      <c r="BX1582" s="160"/>
      <c r="BY1582" s="160"/>
      <c r="BZ1582" s="160"/>
      <c r="CA1582" s="160"/>
      <c r="CB1582" s="160"/>
      <c r="CC1582" s="160"/>
      <c r="CD1582" s="160"/>
      <c r="CE1582" s="160"/>
      <c r="CF1582" s="160"/>
      <c r="CG1582" s="160"/>
      <c r="CH1582" s="160"/>
      <c r="CI1582" s="160"/>
      <c r="CJ1582" s="160"/>
      <c r="CK1582" s="160"/>
      <c r="CL1582" s="160"/>
    </row>
    <row r="1583">
      <c r="A1583" s="171"/>
      <c r="F1583" s="11"/>
      <c r="G1583" s="11"/>
      <c r="L1583" s="171"/>
      <c r="M1583" s="171"/>
      <c r="O1583" s="160"/>
      <c r="P1583" s="160"/>
      <c r="Q1583" s="160"/>
      <c r="R1583" s="160"/>
      <c r="S1583" s="160"/>
      <c r="T1583" s="207"/>
      <c r="U1583" s="160"/>
      <c r="V1583" s="160"/>
      <c r="W1583" s="160"/>
      <c r="X1583" s="160"/>
      <c r="Y1583" s="160"/>
      <c r="Z1583" s="160"/>
      <c r="AA1583" s="160"/>
      <c r="AB1583" s="160"/>
      <c r="AC1583" s="160"/>
      <c r="AD1583" s="160"/>
      <c r="AE1583" s="160"/>
      <c r="AF1583" s="160"/>
      <c r="AG1583" s="160"/>
      <c r="AH1583" s="160"/>
      <c r="AI1583" s="160"/>
      <c r="AJ1583" s="160"/>
      <c r="AK1583" s="160"/>
      <c r="AL1583" s="160"/>
      <c r="AM1583" s="160"/>
      <c r="AN1583" s="164"/>
      <c r="AO1583" s="160"/>
      <c r="AP1583" s="160"/>
      <c r="AQ1583" s="160"/>
      <c r="AR1583" s="160"/>
      <c r="AS1583" s="160"/>
      <c r="AT1583" s="160"/>
      <c r="AU1583" s="160"/>
      <c r="AV1583" s="160"/>
      <c r="AW1583" s="160"/>
      <c r="AX1583" s="160"/>
      <c r="AY1583" s="160"/>
      <c r="AZ1583" s="160"/>
      <c r="BA1583" s="160"/>
      <c r="BB1583" s="160"/>
      <c r="BC1583" s="160"/>
      <c r="BD1583" s="160"/>
      <c r="BE1583" s="160"/>
      <c r="BF1583" s="160"/>
      <c r="BG1583" s="160"/>
      <c r="BH1583" s="160"/>
      <c r="BI1583" s="160"/>
      <c r="BJ1583" s="160"/>
      <c r="BK1583" s="160"/>
      <c r="BL1583" s="160"/>
      <c r="BM1583" s="160"/>
      <c r="BN1583" s="160"/>
      <c r="BO1583" s="160"/>
      <c r="BP1583" s="160"/>
      <c r="BQ1583" s="160"/>
      <c r="BR1583" s="160"/>
      <c r="BS1583" s="160"/>
      <c r="BT1583" s="160"/>
      <c r="BU1583" s="160"/>
      <c r="BV1583" s="160"/>
      <c r="BW1583" s="160"/>
      <c r="BX1583" s="160"/>
      <c r="BY1583" s="160"/>
      <c r="BZ1583" s="160"/>
      <c r="CA1583" s="160"/>
      <c r="CB1583" s="160"/>
      <c r="CC1583" s="160"/>
      <c r="CD1583" s="160"/>
      <c r="CE1583" s="160"/>
      <c r="CF1583" s="160"/>
      <c r="CG1583" s="160"/>
      <c r="CH1583" s="160"/>
      <c r="CI1583" s="160"/>
      <c r="CJ1583" s="160"/>
      <c r="CK1583" s="160"/>
      <c r="CL1583" s="160"/>
    </row>
    <row r="1584">
      <c r="A1584" s="171"/>
      <c r="F1584" s="11"/>
      <c r="G1584" s="11"/>
      <c r="L1584" s="171"/>
      <c r="M1584" s="171"/>
      <c r="O1584" s="160"/>
      <c r="P1584" s="160"/>
      <c r="Q1584" s="160"/>
      <c r="R1584" s="160"/>
      <c r="S1584" s="160"/>
      <c r="T1584" s="207"/>
      <c r="U1584" s="160"/>
      <c r="V1584" s="160"/>
      <c r="W1584" s="160"/>
      <c r="X1584" s="160"/>
      <c r="Y1584" s="160"/>
      <c r="Z1584" s="160"/>
      <c r="AA1584" s="160"/>
      <c r="AB1584" s="160"/>
      <c r="AC1584" s="160"/>
      <c r="AD1584" s="160"/>
      <c r="AE1584" s="160"/>
      <c r="AF1584" s="160"/>
      <c r="AG1584" s="160"/>
      <c r="AH1584" s="160"/>
      <c r="AI1584" s="160"/>
      <c r="AJ1584" s="160"/>
      <c r="AK1584" s="160"/>
      <c r="AL1584" s="160"/>
      <c r="AM1584" s="160"/>
      <c r="AN1584" s="164"/>
      <c r="AO1584" s="160"/>
      <c r="AP1584" s="160"/>
      <c r="AQ1584" s="160"/>
      <c r="AR1584" s="160"/>
      <c r="AS1584" s="160"/>
      <c r="AT1584" s="160"/>
      <c r="AU1584" s="160"/>
      <c r="AV1584" s="160"/>
      <c r="AW1584" s="160"/>
      <c r="AX1584" s="160"/>
      <c r="AY1584" s="160"/>
      <c r="AZ1584" s="160"/>
      <c r="BA1584" s="160"/>
      <c r="BB1584" s="160"/>
      <c r="BC1584" s="160"/>
      <c r="BD1584" s="160"/>
      <c r="BE1584" s="160"/>
      <c r="BF1584" s="160"/>
      <c r="BG1584" s="160"/>
      <c r="BH1584" s="160"/>
      <c r="BI1584" s="160"/>
      <c r="BJ1584" s="160"/>
      <c r="BK1584" s="160"/>
      <c r="BL1584" s="160"/>
      <c r="BM1584" s="160"/>
      <c r="BN1584" s="160"/>
      <c r="BO1584" s="160"/>
      <c r="BP1584" s="160"/>
      <c r="BQ1584" s="160"/>
      <c r="BR1584" s="160"/>
      <c r="BS1584" s="160"/>
      <c r="BT1584" s="160"/>
      <c r="BU1584" s="160"/>
      <c r="BV1584" s="160"/>
      <c r="BW1584" s="160"/>
      <c r="BX1584" s="160"/>
      <c r="BY1584" s="160"/>
      <c r="BZ1584" s="160"/>
      <c r="CA1584" s="160"/>
      <c r="CB1584" s="160"/>
      <c r="CC1584" s="160"/>
      <c r="CD1584" s="160"/>
      <c r="CE1584" s="160"/>
      <c r="CF1584" s="160"/>
      <c r="CG1584" s="160"/>
      <c r="CH1584" s="160"/>
      <c r="CI1584" s="160"/>
      <c r="CJ1584" s="160"/>
      <c r="CK1584" s="160"/>
      <c r="CL1584" s="160"/>
    </row>
    <row r="1585">
      <c r="A1585" s="171"/>
      <c r="F1585" s="11"/>
      <c r="G1585" s="11"/>
      <c r="L1585" s="171"/>
      <c r="M1585" s="171"/>
      <c r="O1585" s="160"/>
      <c r="P1585" s="160"/>
      <c r="Q1585" s="160"/>
      <c r="R1585" s="160"/>
      <c r="S1585" s="160"/>
      <c r="T1585" s="207"/>
      <c r="U1585" s="160"/>
      <c r="V1585" s="160"/>
      <c r="W1585" s="160"/>
      <c r="X1585" s="160"/>
      <c r="Y1585" s="160"/>
      <c r="Z1585" s="160"/>
      <c r="AA1585" s="160"/>
      <c r="AB1585" s="160"/>
      <c r="AC1585" s="160"/>
      <c r="AD1585" s="160"/>
      <c r="AE1585" s="160"/>
      <c r="AF1585" s="160"/>
      <c r="AG1585" s="160"/>
      <c r="AH1585" s="160"/>
      <c r="AI1585" s="160"/>
      <c r="AJ1585" s="160"/>
      <c r="AK1585" s="160"/>
      <c r="AL1585" s="160"/>
      <c r="AM1585" s="160"/>
      <c r="AN1585" s="164"/>
      <c r="AO1585" s="160"/>
      <c r="AP1585" s="160"/>
      <c r="AQ1585" s="160"/>
      <c r="AR1585" s="160"/>
      <c r="AS1585" s="160"/>
      <c r="AT1585" s="160"/>
      <c r="AU1585" s="160"/>
      <c r="AV1585" s="160"/>
      <c r="AW1585" s="160"/>
      <c r="AX1585" s="160"/>
      <c r="AY1585" s="160"/>
      <c r="AZ1585" s="160"/>
      <c r="BA1585" s="160"/>
      <c r="BB1585" s="160"/>
      <c r="BC1585" s="160"/>
      <c r="BD1585" s="160"/>
      <c r="BE1585" s="160"/>
      <c r="BF1585" s="160"/>
      <c r="BG1585" s="160"/>
      <c r="BH1585" s="160"/>
      <c r="BI1585" s="160"/>
      <c r="BJ1585" s="160"/>
      <c r="BK1585" s="160"/>
      <c r="BL1585" s="160"/>
      <c r="BM1585" s="160"/>
      <c r="BN1585" s="160"/>
      <c r="BO1585" s="160"/>
      <c r="BP1585" s="160"/>
      <c r="BQ1585" s="160"/>
      <c r="BR1585" s="160"/>
      <c r="BS1585" s="160"/>
      <c r="BT1585" s="160"/>
      <c r="BU1585" s="160"/>
      <c r="BV1585" s="160"/>
      <c r="BW1585" s="160"/>
      <c r="BX1585" s="160"/>
      <c r="BY1585" s="160"/>
      <c r="BZ1585" s="160"/>
      <c r="CA1585" s="160"/>
      <c r="CB1585" s="160"/>
      <c r="CC1585" s="160"/>
      <c r="CD1585" s="160"/>
      <c r="CE1585" s="160"/>
      <c r="CF1585" s="160"/>
      <c r="CG1585" s="160"/>
      <c r="CH1585" s="160"/>
      <c r="CI1585" s="160"/>
      <c r="CJ1585" s="160"/>
      <c r="CK1585" s="160"/>
      <c r="CL1585" s="160"/>
    </row>
    <row r="1586">
      <c r="A1586" s="171"/>
      <c r="F1586" s="11"/>
      <c r="G1586" s="11"/>
      <c r="L1586" s="171"/>
      <c r="M1586" s="171"/>
      <c r="O1586" s="160"/>
      <c r="P1586" s="160"/>
      <c r="Q1586" s="160"/>
      <c r="R1586" s="160"/>
      <c r="S1586" s="160"/>
      <c r="T1586" s="207"/>
      <c r="U1586" s="160"/>
      <c r="V1586" s="160"/>
      <c r="W1586" s="160"/>
      <c r="X1586" s="160"/>
      <c r="Y1586" s="160"/>
      <c r="Z1586" s="160"/>
      <c r="AA1586" s="160"/>
      <c r="AB1586" s="160"/>
      <c r="AC1586" s="160"/>
      <c r="AD1586" s="160"/>
      <c r="AE1586" s="160"/>
      <c r="AF1586" s="160"/>
      <c r="AG1586" s="160"/>
      <c r="AH1586" s="160"/>
      <c r="AI1586" s="160"/>
      <c r="AJ1586" s="160"/>
      <c r="AK1586" s="160"/>
      <c r="AL1586" s="160"/>
      <c r="AM1586" s="160"/>
      <c r="AN1586" s="164"/>
      <c r="AO1586" s="160"/>
      <c r="AP1586" s="160"/>
      <c r="AQ1586" s="160"/>
      <c r="AR1586" s="160"/>
      <c r="AS1586" s="160"/>
      <c r="AT1586" s="160"/>
      <c r="AU1586" s="160"/>
      <c r="AV1586" s="160"/>
      <c r="AW1586" s="160"/>
      <c r="AX1586" s="160"/>
      <c r="AY1586" s="160"/>
      <c r="AZ1586" s="160"/>
      <c r="BA1586" s="160"/>
      <c r="BB1586" s="160"/>
      <c r="BC1586" s="160"/>
      <c r="BD1586" s="160"/>
      <c r="BE1586" s="160"/>
      <c r="BF1586" s="160"/>
      <c r="BG1586" s="160"/>
      <c r="BH1586" s="160"/>
      <c r="BI1586" s="160"/>
      <c r="BJ1586" s="160"/>
      <c r="BK1586" s="160"/>
      <c r="BL1586" s="160"/>
      <c r="BM1586" s="160"/>
      <c r="BN1586" s="160"/>
      <c r="BO1586" s="160"/>
      <c r="BP1586" s="160"/>
      <c r="BQ1586" s="160"/>
      <c r="BR1586" s="160"/>
      <c r="BS1586" s="160"/>
      <c r="BT1586" s="160"/>
      <c r="BU1586" s="160"/>
      <c r="BV1586" s="160"/>
      <c r="BW1586" s="160"/>
      <c r="BX1586" s="160"/>
      <c r="BY1586" s="160"/>
      <c r="BZ1586" s="160"/>
      <c r="CA1586" s="160"/>
      <c r="CB1586" s="160"/>
      <c r="CC1586" s="160"/>
      <c r="CD1586" s="160"/>
      <c r="CE1586" s="160"/>
      <c r="CF1586" s="160"/>
      <c r="CG1586" s="160"/>
      <c r="CH1586" s="160"/>
      <c r="CI1586" s="160"/>
      <c r="CJ1586" s="160"/>
      <c r="CK1586" s="160"/>
      <c r="CL1586" s="160"/>
    </row>
    <row r="1587">
      <c r="A1587" s="171"/>
      <c r="F1587" s="11"/>
      <c r="G1587" s="11"/>
      <c r="L1587" s="171"/>
      <c r="M1587" s="171"/>
      <c r="O1587" s="160"/>
      <c r="P1587" s="160"/>
      <c r="Q1587" s="160"/>
      <c r="R1587" s="160"/>
      <c r="S1587" s="160"/>
      <c r="T1587" s="207"/>
      <c r="U1587" s="160"/>
      <c r="V1587" s="160"/>
      <c r="W1587" s="160"/>
      <c r="X1587" s="160"/>
      <c r="Y1587" s="160"/>
      <c r="Z1587" s="160"/>
      <c r="AA1587" s="160"/>
      <c r="AB1587" s="160"/>
      <c r="AC1587" s="160"/>
      <c r="AD1587" s="160"/>
      <c r="AE1587" s="160"/>
      <c r="AF1587" s="160"/>
      <c r="AG1587" s="160"/>
      <c r="AH1587" s="160"/>
      <c r="AI1587" s="160"/>
      <c r="AJ1587" s="160"/>
      <c r="AK1587" s="160"/>
      <c r="AL1587" s="160"/>
      <c r="AM1587" s="160"/>
      <c r="AN1587" s="164"/>
      <c r="AO1587" s="160"/>
      <c r="AP1587" s="160"/>
      <c r="AQ1587" s="160"/>
      <c r="AR1587" s="160"/>
      <c r="AS1587" s="160"/>
      <c r="AT1587" s="160"/>
      <c r="AU1587" s="160"/>
      <c r="AV1587" s="160"/>
      <c r="AW1587" s="160"/>
      <c r="AX1587" s="160"/>
      <c r="AY1587" s="160"/>
      <c r="AZ1587" s="160"/>
      <c r="BA1587" s="160"/>
      <c r="BB1587" s="160"/>
      <c r="BC1587" s="160"/>
      <c r="BD1587" s="160"/>
      <c r="BE1587" s="160"/>
      <c r="BF1587" s="160"/>
      <c r="BG1587" s="160"/>
      <c r="BH1587" s="160"/>
      <c r="BI1587" s="160"/>
      <c r="BJ1587" s="160"/>
      <c r="BK1587" s="160"/>
      <c r="BL1587" s="160"/>
      <c r="BM1587" s="160"/>
      <c r="BN1587" s="160"/>
      <c r="BO1587" s="160"/>
      <c r="BP1587" s="160"/>
      <c r="BQ1587" s="160"/>
      <c r="BR1587" s="160"/>
      <c r="BS1587" s="160"/>
      <c r="BT1587" s="160"/>
      <c r="BU1587" s="160"/>
      <c r="BV1587" s="160"/>
      <c r="BW1587" s="160"/>
      <c r="BX1587" s="160"/>
      <c r="BY1587" s="160"/>
      <c r="BZ1587" s="160"/>
      <c r="CA1587" s="160"/>
      <c r="CB1587" s="160"/>
      <c r="CC1587" s="160"/>
      <c r="CD1587" s="160"/>
      <c r="CE1587" s="160"/>
      <c r="CF1587" s="160"/>
      <c r="CG1587" s="160"/>
      <c r="CH1587" s="160"/>
      <c r="CI1587" s="160"/>
      <c r="CJ1587" s="160"/>
      <c r="CK1587" s="160"/>
      <c r="CL1587" s="160"/>
    </row>
    <row r="1588">
      <c r="A1588" s="171"/>
      <c r="F1588" s="11"/>
      <c r="G1588" s="11"/>
      <c r="L1588" s="171"/>
      <c r="M1588" s="171"/>
      <c r="O1588" s="160"/>
      <c r="P1588" s="160"/>
      <c r="Q1588" s="160"/>
      <c r="R1588" s="160"/>
      <c r="S1588" s="160"/>
      <c r="T1588" s="207"/>
      <c r="U1588" s="160"/>
      <c r="V1588" s="160"/>
      <c r="W1588" s="160"/>
      <c r="X1588" s="160"/>
      <c r="Y1588" s="160"/>
      <c r="Z1588" s="160"/>
      <c r="AA1588" s="160"/>
      <c r="AB1588" s="160"/>
      <c r="AC1588" s="160"/>
      <c r="AD1588" s="160"/>
      <c r="AE1588" s="160"/>
      <c r="AF1588" s="160"/>
      <c r="AG1588" s="160"/>
      <c r="AH1588" s="160"/>
      <c r="AI1588" s="160"/>
      <c r="AJ1588" s="160"/>
      <c r="AK1588" s="160"/>
      <c r="AL1588" s="160"/>
      <c r="AM1588" s="160"/>
      <c r="AN1588" s="164"/>
      <c r="AO1588" s="160"/>
      <c r="AP1588" s="160"/>
      <c r="AQ1588" s="160"/>
      <c r="AR1588" s="160"/>
      <c r="AS1588" s="160"/>
      <c r="AT1588" s="160"/>
      <c r="AU1588" s="160"/>
      <c r="AV1588" s="160"/>
      <c r="AW1588" s="160"/>
      <c r="AX1588" s="160"/>
      <c r="AY1588" s="160"/>
      <c r="AZ1588" s="160"/>
      <c r="BA1588" s="160"/>
      <c r="BB1588" s="160"/>
      <c r="BC1588" s="160"/>
      <c r="BD1588" s="160"/>
      <c r="BE1588" s="160"/>
      <c r="BF1588" s="160"/>
      <c r="BG1588" s="160"/>
      <c r="BH1588" s="160"/>
      <c r="BI1588" s="160"/>
      <c r="BJ1588" s="160"/>
      <c r="BK1588" s="160"/>
      <c r="BL1588" s="160"/>
      <c r="BM1588" s="160"/>
      <c r="BN1588" s="160"/>
      <c r="BO1588" s="160"/>
      <c r="BP1588" s="160"/>
      <c r="BQ1588" s="160"/>
      <c r="BR1588" s="160"/>
      <c r="BS1588" s="160"/>
      <c r="BT1588" s="160"/>
      <c r="BU1588" s="160"/>
      <c r="BV1588" s="160"/>
      <c r="BW1588" s="160"/>
      <c r="BX1588" s="160"/>
      <c r="BY1588" s="160"/>
      <c r="BZ1588" s="160"/>
      <c r="CA1588" s="160"/>
      <c r="CB1588" s="160"/>
      <c r="CC1588" s="160"/>
      <c r="CD1588" s="160"/>
      <c r="CE1588" s="160"/>
      <c r="CF1588" s="160"/>
      <c r="CG1588" s="160"/>
      <c r="CH1588" s="160"/>
      <c r="CI1588" s="160"/>
      <c r="CJ1588" s="160"/>
      <c r="CK1588" s="160"/>
      <c r="CL1588" s="160"/>
    </row>
    <row r="1589">
      <c r="A1589" s="171"/>
      <c r="F1589" s="11"/>
      <c r="G1589" s="11"/>
      <c r="L1589" s="171"/>
      <c r="M1589" s="171"/>
      <c r="O1589" s="160"/>
      <c r="P1589" s="160"/>
      <c r="Q1589" s="160"/>
      <c r="R1589" s="160"/>
      <c r="S1589" s="160"/>
      <c r="T1589" s="207"/>
      <c r="U1589" s="160"/>
      <c r="V1589" s="160"/>
      <c r="W1589" s="160"/>
      <c r="X1589" s="160"/>
      <c r="Y1589" s="160"/>
      <c r="Z1589" s="160"/>
      <c r="AA1589" s="160"/>
      <c r="AB1589" s="160"/>
      <c r="AC1589" s="160"/>
      <c r="AD1589" s="160"/>
      <c r="AE1589" s="160"/>
      <c r="AF1589" s="160"/>
      <c r="AG1589" s="160"/>
      <c r="AH1589" s="160"/>
      <c r="AI1589" s="160"/>
      <c r="AJ1589" s="160"/>
      <c r="AK1589" s="160"/>
      <c r="AL1589" s="160"/>
      <c r="AM1589" s="160"/>
      <c r="AN1589" s="164"/>
      <c r="AO1589" s="160"/>
      <c r="AP1589" s="160"/>
      <c r="AQ1589" s="160"/>
      <c r="AR1589" s="160"/>
      <c r="AS1589" s="160"/>
      <c r="AT1589" s="160"/>
      <c r="AU1589" s="160"/>
      <c r="AV1589" s="160"/>
      <c r="AW1589" s="160"/>
      <c r="AX1589" s="160"/>
      <c r="AY1589" s="160"/>
      <c r="AZ1589" s="160"/>
      <c r="BA1589" s="160"/>
      <c r="BB1589" s="160"/>
      <c r="BC1589" s="160"/>
      <c r="BD1589" s="160"/>
      <c r="BE1589" s="160"/>
      <c r="BF1589" s="160"/>
      <c r="BG1589" s="160"/>
      <c r="BH1589" s="160"/>
      <c r="BI1589" s="160"/>
      <c r="BJ1589" s="160"/>
      <c r="BK1589" s="160"/>
      <c r="BL1589" s="160"/>
      <c r="BM1589" s="160"/>
      <c r="BN1589" s="160"/>
      <c r="BO1589" s="160"/>
      <c r="BP1589" s="160"/>
      <c r="BQ1589" s="160"/>
      <c r="BR1589" s="160"/>
      <c r="BS1589" s="160"/>
      <c r="BT1589" s="160"/>
      <c r="BU1589" s="160"/>
      <c r="BV1589" s="160"/>
      <c r="BW1589" s="160"/>
      <c r="BX1589" s="160"/>
      <c r="BY1589" s="160"/>
      <c r="BZ1589" s="160"/>
      <c r="CA1589" s="160"/>
      <c r="CB1589" s="160"/>
      <c r="CC1589" s="160"/>
      <c r="CD1589" s="160"/>
      <c r="CE1589" s="160"/>
      <c r="CF1589" s="160"/>
      <c r="CG1589" s="160"/>
      <c r="CH1589" s="160"/>
      <c r="CI1589" s="160"/>
      <c r="CJ1589" s="160"/>
      <c r="CK1589" s="160"/>
      <c r="CL1589" s="160"/>
    </row>
    <row r="1590">
      <c r="A1590" s="171"/>
      <c r="F1590" s="11"/>
      <c r="G1590" s="11"/>
      <c r="L1590" s="171"/>
      <c r="M1590" s="171"/>
      <c r="O1590" s="160"/>
      <c r="P1590" s="160"/>
      <c r="Q1590" s="160"/>
      <c r="R1590" s="160"/>
      <c r="S1590" s="160"/>
      <c r="T1590" s="207"/>
      <c r="U1590" s="160"/>
      <c r="V1590" s="160"/>
      <c r="W1590" s="160"/>
      <c r="X1590" s="160"/>
      <c r="Y1590" s="160"/>
      <c r="Z1590" s="160"/>
      <c r="AA1590" s="160"/>
      <c r="AB1590" s="160"/>
      <c r="AC1590" s="160"/>
      <c r="AD1590" s="160"/>
      <c r="AE1590" s="160"/>
      <c r="AF1590" s="160"/>
      <c r="AG1590" s="160"/>
      <c r="AH1590" s="160"/>
      <c r="AI1590" s="160"/>
      <c r="AJ1590" s="160"/>
      <c r="AK1590" s="160"/>
      <c r="AL1590" s="160"/>
      <c r="AM1590" s="160"/>
      <c r="AN1590" s="164"/>
      <c r="AO1590" s="160"/>
      <c r="AP1590" s="160"/>
      <c r="AQ1590" s="160"/>
      <c r="AR1590" s="160"/>
      <c r="AS1590" s="160"/>
      <c r="AT1590" s="160"/>
      <c r="AU1590" s="160"/>
      <c r="AV1590" s="160"/>
      <c r="AW1590" s="160"/>
      <c r="AX1590" s="160"/>
      <c r="AY1590" s="160"/>
      <c r="AZ1590" s="160"/>
      <c r="BA1590" s="160"/>
      <c r="BB1590" s="160"/>
      <c r="BC1590" s="160"/>
      <c r="BD1590" s="160"/>
      <c r="BE1590" s="160"/>
      <c r="BF1590" s="160"/>
      <c r="BG1590" s="160"/>
      <c r="BH1590" s="160"/>
      <c r="BI1590" s="160"/>
      <c r="BJ1590" s="160"/>
      <c r="BK1590" s="160"/>
      <c r="BL1590" s="160"/>
      <c r="BM1590" s="160"/>
      <c r="BN1590" s="160"/>
      <c r="BO1590" s="160"/>
      <c r="BP1590" s="160"/>
      <c r="BQ1590" s="160"/>
      <c r="BR1590" s="160"/>
      <c r="BS1590" s="160"/>
      <c r="BT1590" s="160"/>
      <c r="BU1590" s="160"/>
      <c r="BV1590" s="160"/>
      <c r="BW1590" s="160"/>
      <c r="BX1590" s="160"/>
      <c r="BY1590" s="160"/>
      <c r="BZ1590" s="160"/>
      <c r="CA1590" s="160"/>
      <c r="CB1590" s="160"/>
      <c r="CC1590" s="160"/>
      <c r="CD1590" s="160"/>
      <c r="CE1590" s="160"/>
      <c r="CF1590" s="160"/>
      <c r="CG1590" s="160"/>
      <c r="CH1590" s="160"/>
      <c r="CI1590" s="160"/>
      <c r="CJ1590" s="160"/>
      <c r="CK1590" s="160"/>
      <c r="CL1590" s="160"/>
    </row>
    <row r="1591">
      <c r="A1591" s="171"/>
      <c r="F1591" s="11"/>
      <c r="G1591" s="11"/>
      <c r="L1591" s="171"/>
      <c r="M1591" s="171"/>
      <c r="O1591" s="160"/>
      <c r="P1591" s="160"/>
      <c r="Q1591" s="160"/>
      <c r="R1591" s="160"/>
      <c r="S1591" s="160"/>
      <c r="T1591" s="207"/>
      <c r="U1591" s="160"/>
      <c r="V1591" s="160"/>
      <c r="W1591" s="160"/>
      <c r="X1591" s="160"/>
      <c r="Y1591" s="160"/>
      <c r="Z1591" s="160"/>
      <c r="AA1591" s="160"/>
      <c r="AB1591" s="160"/>
      <c r="AC1591" s="160"/>
      <c r="AD1591" s="160"/>
      <c r="AE1591" s="160"/>
      <c r="AF1591" s="160"/>
      <c r="AG1591" s="160"/>
      <c r="AH1591" s="160"/>
      <c r="AI1591" s="160"/>
      <c r="AJ1591" s="160"/>
      <c r="AK1591" s="160"/>
      <c r="AL1591" s="160"/>
      <c r="AM1591" s="160"/>
      <c r="AN1591" s="164"/>
      <c r="AO1591" s="160"/>
      <c r="AP1591" s="160"/>
      <c r="AQ1591" s="160"/>
      <c r="AR1591" s="160"/>
      <c r="AS1591" s="160"/>
      <c r="AT1591" s="160"/>
      <c r="AU1591" s="160"/>
      <c r="AV1591" s="160"/>
      <c r="AW1591" s="160"/>
      <c r="AX1591" s="160"/>
      <c r="AY1591" s="160"/>
      <c r="AZ1591" s="160"/>
      <c r="BA1591" s="160"/>
      <c r="BB1591" s="160"/>
      <c r="BC1591" s="160"/>
      <c r="BD1591" s="160"/>
      <c r="BE1591" s="160"/>
      <c r="BF1591" s="160"/>
      <c r="BG1591" s="160"/>
      <c r="BH1591" s="160"/>
      <c r="BI1591" s="160"/>
      <c r="BJ1591" s="160"/>
      <c r="BK1591" s="160"/>
      <c r="BL1591" s="160"/>
      <c r="BM1591" s="160"/>
      <c r="BN1591" s="160"/>
      <c r="BO1591" s="160"/>
      <c r="BP1591" s="160"/>
      <c r="BQ1591" s="160"/>
      <c r="BR1591" s="160"/>
      <c r="BS1591" s="160"/>
      <c r="BT1591" s="160"/>
      <c r="BU1591" s="160"/>
      <c r="BV1591" s="160"/>
      <c r="BW1591" s="160"/>
      <c r="BX1591" s="160"/>
      <c r="BY1591" s="160"/>
      <c r="BZ1591" s="160"/>
      <c r="CA1591" s="160"/>
      <c r="CB1591" s="160"/>
      <c r="CC1591" s="160"/>
      <c r="CD1591" s="160"/>
      <c r="CE1591" s="160"/>
      <c r="CF1591" s="160"/>
      <c r="CG1591" s="160"/>
      <c r="CH1591" s="160"/>
      <c r="CI1591" s="160"/>
      <c r="CJ1591" s="160"/>
      <c r="CK1591" s="160"/>
      <c r="CL1591" s="160"/>
    </row>
    <row r="1592">
      <c r="A1592" s="171"/>
      <c r="F1592" s="11"/>
      <c r="G1592" s="11"/>
      <c r="L1592" s="171"/>
      <c r="M1592" s="171"/>
      <c r="O1592" s="160"/>
      <c r="P1592" s="160"/>
      <c r="Q1592" s="160"/>
      <c r="R1592" s="160"/>
      <c r="S1592" s="160"/>
      <c r="T1592" s="207"/>
      <c r="U1592" s="160"/>
      <c r="V1592" s="160"/>
      <c r="W1592" s="160"/>
      <c r="X1592" s="160"/>
      <c r="Y1592" s="160"/>
      <c r="Z1592" s="160"/>
      <c r="AA1592" s="160"/>
      <c r="AB1592" s="160"/>
      <c r="AC1592" s="160"/>
      <c r="AD1592" s="160"/>
      <c r="AE1592" s="160"/>
      <c r="AF1592" s="160"/>
      <c r="AG1592" s="160"/>
      <c r="AH1592" s="160"/>
      <c r="AI1592" s="160"/>
      <c r="AJ1592" s="160"/>
      <c r="AK1592" s="160"/>
      <c r="AL1592" s="160"/>
      <c r="AM1592" s="160"/>
      <c r="AN1592" s="164"/>
      <c r="AO1592" s="160"/>
      <c r="AP1592" s="160"/>
      <c r="AQ1592" s="160"/>
      <c r="AR1592" s="160"/>
      <c r="AS1592" s="160"/>
      <c r="AT1592" s="160"/>
      <c r="AU1592" s="160"/>
      <c r="AV1592" s="160"/>
      <c r="AW1592" s="160"/>
      <c r="AX1592" s="160"/>
      <c r="AY1592" s="160"/>
      <c r="AZ1592" s="160"/>
      <c r="BA1592" s="160"/>
      <c r="BB1592" s="160"/>
      <c r="BC1592" s="160"/>
      <c r="BD1592" s="160"/>
      <c r="BE1592" s="160"/>
      <c r="BF1592" s="160"/>
      <c r="BG1592" s="160"/>
      <c r="BH1592" s="160"/>
      <c r="BI1592" s="160"/>
      <c r="BJ1592" s="160"/>
      <c r="BK1592" s="160"/>
      <c r="BL1592" s="160"/>
      <c r="BM1592" s="160"/>
      <c r="BN1592" s="160"/>
      <c r="BO1592" s="160"/>
      <c r="BP1592" s="160"/>
      <c r="BQ1592" s="160"/>
      <c r="BR1592" s="160"/>
      <c r="BS1592" s="160"/>
      <c r="BT1592" s="160"/>
      <c r="BU1592" s="160"/>
      <c r="BV1592" s="160"/>
      <c r="BW1592" s="160"/>
      <c r="BX1592" s="160"/>
      <c r="BY1592" s="160"/>
      <c r="BZ1592" s="160"/>
      <c r="CA1592" s="160"/>
      <c r="CB1592" s="160"/>
      <c r="CC1592" s="160"/>
      <c r="CD1592" s="160"/>
      <c r="CE1592" s="160"/>
      <c r="CF1592" s="160"/>
      <c r="CG1592" s="160"/>
      <c r="CH1592" s="160"/>
      <c r="CI1592" s="160"/>
      <c r="CJ1592" s="160"/>
      <c r="CK1592" s="160"/>
      <c r="CL1592" s="160"/>
    </row>
    <row r="1593">
      <c r="A1593" s="171"/>
      <c r="F1593" s="11"/>
      <c r="G1593" s="11"/>
      <c r="L1593" s="171"/>
      <c r="M1593" s="171"/>
      <c r="O1593" s="160"/>
      <c r="P1593" s="160"/>
      <c r="Q1593" s="160"/>
      <c r="R1593" s="160"/>
      <c r="S1593" s="160"/>
      <c r="T1593" s="207"/>
      <c r="U1593" s="160"/>
      <c r="V1593" s="160"/>
      <c r="W1593" s="160"/>
      <c r="X1593" s="160"/>
      <c r="Y1593" s="160"/>
      <c r="Z1593" s="160"/>
      <c r="AA1593" s="160"/>
      <c r="AB1593" s="160"/>
      <c r="AC1593" s="160"/>
      <c r="AD1593" s="160"/>
      <c r="AE1593" s="160"/>
      <c r="AF1593" s="160"/>
      <c r="AG1593" s="160"/>
      <c r="AH1593" s="160"/>
      <c r="AI1593" s="160"/>
      <c r="AJ1593" s="160"/>
      <c r="AK1593" s="160"/>
      <c r="AL1593" s="160"/>
      <c r="AM1593" s="160"/>
      <c r="AN1593" s="164"/>
      <c r="AO1593" s="160"/>
      <c r="AP1593" s="160"/>
      <c r="AQ1593" s="160"/>
      <c r="AR1593" s="160"/>
      <c r="AS1593" s="160"/>
      <c r="AT1593" s="160"/>
      <c r="AU1593" s="160"/>
      <c r="AV1593" s="160"/>
      <c r="AW1593" s="160"/>
      <c r="AX1593" s="160"/>
      <c r="AY1593" s="160"/>
      <c r="AZ1593" s="160"/>
      <c r="BA1593" s="160"/>
      <c r="BB1593" s="160"/>
      <c r="BC1593" s="160"/>
      <c r="BD1593" s="160"/>
      <c r="BE1593" s="160"/>
      <c r="BF1593" s="160"/>
      <c r="BG1593" s="160"/>
      <c r="BH1593" s="160"/>
      <c r="BI1593" s="160"/>
      <c r="BJ1593" s="160"/>
      <c r="BK1593" s="160"/>
      <c r="BL1593" s="160"/>
      <c r="BM1593" s="160"/>
      <c r="BN1593" s="160"/>
      <c r="BO1593" s="160"/>
      <c r="BP1593" s="160"/>
      <c r="BQ1593" s="160"/>
      <c r="BR1593" s="160"/>
      <c r="BS1593" s="160"/>
      <c r="BT1593" s="160"/>
      <c r="BU1593" s="160"/>
      <c r="BV1593" s="160"/>
      <c r="BW1593" s="160"/>
      <c r="BX1593" s="160"/>
      <c r="BY1593" s="160"/>
      <c r="BZ1593" s="160"/>
      <c r="CA1593" s="160"/>
      <c r="CB1593" s="160"/>
      <c r="CC1593" s="160"/>
      <c r="CD1593" s="160"/>
      <c r="CE1593" s="160"/>
      <c r="CF1593" s="160"/>
      <c r="CG1593" s="160"/>
      <c r="CH1593" s="160"/>
      <c r="CI1593" s="160"/>
      <c r="CJ1593" s="160"/>
      <c r="CK1593" s="160"/>
      <c r="CL1593" s="160"/>
    </row>
  </sheetData>
  <autoFilter ref="$A$1:$Z$538">
    <sortState ref="A1:Z538">
      <sortCondition ref="C1:C538"/>
      <sortCondition ref="D1:D538"/>
    </sortState>
  </autoFilter>
  <dataValidations>
    <dataValidation type="list" allowBlank="1" showErrorMessage="1" sqref="F2:G1593">
      <formula1>LEVEL_HELPER!$A$2:$A$15</formula1>
    </dataValidation>
  </dataValidations>
  <hyperlinks>
    <hyperlink r:id="rId3" location="gid=2052560265" ref="T2"/>
    <hyperlink r:id="rId4" location="gid=2052560265" ref="T3"/>
    <hyperlink r:id="rId5" location="gid=2052560265" ref="T4"/>
    <hyperlink r:id="rId6" location="gid=2052560265" ref="T5"/>
    <hyperlink r:id="rId7" location="gid=2052560265" ref="T6"/>
    <hyperlink r:id="rId8" location="gid=2052560265" ref="T7"/>
    <hyperlink r:id="rId9" location="gid=2052560265" ref="T8"/>
    <hyperlink r:id="rId10" location="gid=2052560265" ref="T9"/>
    <hyperlink r:id="rId11" location="gid=2052560265" ref="T10"/>
    <hyperlink r:id="rId12" location="gid=2052560265" ref="T11"/>
    <hyperlink r:id="rId13" location="gid=2052560265" ref="T12"/>
    <hyperlink r:id="rId14" location="gid=2052560265" ref="T13"/>
    <hyperlink r:id="rId15" location="gid=2052560265" ref="T14"/>
    <hyperlink r:id="rId16" location="gid=2052560265" ref="T15"/>
    <hyperlink r:id="rId17" location="gid=2052560265" ref="T16"/>
    <hyperlink r:id="rId18" location="gid=2052560265" ref="T17"/>
    <hyperlink r:id="rId19" location="gid=2052560265" ref="T18"/>
    <hyperlink r:id="rId20" location="gid=2052560265" ref="T19"/>
    <hyperlink r:id="rId21" location="gid=2052560265" ref="T20"/>
    <hyperlink r:id="rId22" location="gid=2052560265" ref="T21"/>
    <hyperlink r:id="rId23" location="gid=2052560265" ref="T22"/>
    <hyperlink r:id="rId24" location="gid=2052560265" ref="T23"/>
    <hyperlink r:id="rId25" location="gid=2052560265" ref="T24"/>
    <hyperlink r:id="rId26" location="gid=2052560265" ref="T25"/>
    <hyperlink r:id="rId27" location="gid=2052560265" ref="T26"/>
    <hyperlink r:id="rId28" location="gid=2052560265" ref="T27"/>
    <hyperlink r:id="rId29" location="gid=2052560265" ref="T28"/>
    <hyperlink r:id="rId30" location="gid=2052560265" ref="T29"/>
    <hyperlink r:id="rId31" ref="T30"/>
    <hyperlink r:id="rId32" location="gid=2052560265" ref="T31"/>
    <hyperlink r:id="rId33" location="gid=2052560265" ref="T32"/>
    <hyperlink r:id="rId34" location="gid=2052560265" ref="T33"/>
    <hyperlink r:id="rId35" location="gid=2052560265" ref="T34"/>
    <hyperlink r:id="rId36" location="gid=2052560265" ref="T35"/>
    <hyperlink r:id="rId37" location="gid=2052560265" ref="T36"/>
    <hyperlink r:id="rId38" location="gid=2052560265" ref="T37"/>
    <hyperlink r:id="rId39" location="gid=2052560265" ref="T38"/>
    <hyperlink r:id="rId40" location="gid=2052560265" ref="T40"/>
    <hyperlink r:id="rId41" location="gid=2052560265" ref="T41"/>
    <hyperlink r:id="rId42" location="gid=2052560265" ref="T42"/>
    <hyperlink r:id="rId43" location="gid=2052560265" ref="T43"/>
    <hyperlink r:id="rId44" location="gid=2052560265" ref="T44"/>
    <hyperlink r:id="rId45" location="gid=2052560265" ref="T45"/>
    <hyperlink r:id="rId46" location="gid=2052560265" ref="T46"/>
    <hyperlink r:id="rId47" location="gid=2052560265" ref="T47"/>
    <hyperlink r:id="rId48" location="gid=2052560265" ref="T49"/>
    <hyperlink r:id="rId49" location="gid=2052560265" ref="T50"/>
    <hyperlink r:id="rId50" location="gid=2052560265" ref="T51"/>
    <hyperlink r:id="rId51" location="gid=2052560265" ref="T53"/>
    <hyperlink r:id="rId52" location="gid=2052560265" ref="T54"/>
    <hyperlink r:id="rId53" ref="T55"/>
    <hyperlink r:id="rId54" location="gid=2052560265" ref="T56"/>
    <hyperlink r:id="rId55" location="gid=2052560265" ref="T57"/>
    <hyperlink r:id="rId56" location="gid=2052560265" ref="T58"/>
    <hyperlink r:id="rId57" location="gid=2052560265" ref="T59"/>
    <hyperlink r:id="rId58" location="gid=2052560265" ref="T60"/>
    <hyperlink r:id="rId59" location="gid=2052560265" ref="T61"/>
    <hyperlink r:id="rId60" location="gid=2052560265" ref="T62"/>
    <hyperlink r:id="rId61" location="gid=2052560265" ref="T63"/>
    <hyperlink r:id="rId62" location="gid=2052560265" ref="T64"/>
    <hyperlink r:id="rId63" location="gid=2052560265" ref="T65"/>
    <hyperlink r:id="rId64" location="gid=2052560265" ref="T66"/>
    <hyperlink r:id="rId65" location="gid=2052560265" ref="T67"/>
    <hyperlink r:id="rId66" location="gid=2052560265" ref="T68"/>
    <hyperlink r:id="rId67" location="gid=2052560265" ref="T69"/>
    <hyperlink r:id="rId68" location="gid=2052560265" ref="T70"/>
    <hyperlink r:id="rId69" ref="T71"/>
    <hyperlink r:id="rId70" ref="T72"/>
    <hyperlink r:id="rId71" ref="T73"/>
    <hyperlink r:id="rId72" ref="T74"/>
    <hyperlink r:id="rId73" ref="T75"/>
    <hyperlink r:id="rId74" ref="T76"/>
    <hyperlink r:id="rId75" ref="T77"/>
    <hyperlink r:id="rId76" ref="T78"/>
    <hyperlink r:id="rId77" ref="T79"/>
    <hyperlink r:id="rId78" ref="T80"/>
    <hyperlink r:id="rId79" location="gid=2052560265" ref="T81"/>
    <hyperlink r:id="rId80" location="gid=2052560265" ref="T82"/>
    <hyperlink r:id="rId81" location="gid=2052560265" ref="T83"/>
    <hyperlink r:id="rId82" location="gid=2052560265" ref="T84"/>
    <hyperlink r:id="rId83" location="gid=2052560265" ref="T85"/>
    <hyperlink r:id="rId84" location="gid=2052560265" ref="T86"/>
    <hyperlink r:id="rId85" location="gid=2052560265" ref="T87"/>
    <hyperlink r:id="rId86" location="gid=2052560265" ref="T88"/>
    <hyperlink r:id="rId87" location="gid=2052560265" ref="T89"/>
    <hyperlink r:id="rId88" location="gid=2052560265" ref="T90"/>
    <hyperlink r:id="rId89" location="gid=2052560265" ref="T91"/>
    <hyperlink r:id="rId90" location="gid=2052560265" ref="T92"/>
    <hyperlink r:id="rId91" location="gid=2052560265" ref="T93"/>
    <hyperlink r:id="rId92" location="gid=2052560265" ref="T94"/>
    <hyperlink r:id="rId93" location="gid=2052560265" ref="T95"/>
    <hyperlink r:id="rId94" location="gid=2052560265" ref="T96"/>
    <hyperlink r:id="rId95" location="gid=2052560265" ref="T97"/>
    <hyperlink r:id="rId96" location="gid=2052560265" ref="T98"/>
    <hyperlink r:id="rId97" location="gid=2052560265" ref="T99"/>
    <hyperlink r:id="rId98" location="gid=2052560265" ref="T100"/>
    <hyperlink r:id="rId99" location="gid=2052560265" ref="T101"/>
    <hyperlink r:id="rId100" location="gid=2052560265" ref="T102"/>
    <hyperlink r:id="rId101" location="gid=2052560265" ref="T103"/>
    <hyperlink r:id="rId102" location="gid=2052560265" ref="T104"/>
    <hyperlink r:id="rId103" location="gid=2052560265" ref="T105"/>
    <hyperlink r:id="rId104" location="gid=2052560265" ref="T106"/>
    <hyperlink r:id="rId105" location="gid=2052560265" ref="T107"/>
    <hyperlink r:id="rId106" location="gid=2052560265" ref="T108"/>
    <hyperlink r:id="rId107" location="gid=2052560265" ref="T109"/>
    <hyperlink r:id="rId108" location="gid=2052560265" ref="T110"/>
    <hyperlink r:id="rId109" location="gid=2052560265" ref="T111"/>
    <hyperlink r:id="rId110" location="gid=2052560265" ref="T112"/>
    <hyperlink r:id="rId111" location="gid=2052560265" ref="T113"/>
    <hyperlink r:id="rId112" location="gid=2052560265" ref="T114"/>
    <hyperlink r:id="rId113" location="gid=2052560265" ref="T115"/>
    <hyperlink r:id="rId114" location="gid=2052560265" ref="T116"/>
    <hyperlink r:id="rId115" location="gid=2052560265" ref="T117"/>
    <hyperlink r:id="rId116" location="gid=2052560265" ref="T118"/>
    <hyperlink r:id="rId117" location="gid=2052560265" ref="T120"/>
    <hyperlink r:id="rId118" location="gid=2052560265" ref="T121"/>
    <hyperlink r:id="rId119" location="gid=2052560265" ref="T122"/>
    <hyperlink r:id="rId120" location="gid=2052560265" ref="T123"/>
    <hyperlink r:id="rId121" ref="T124"/>
    <hyperlink r:id="rId122" location="gid=2052560265" ref="T125"/>
    <hyperlink r:id="rId123" location="gid=2052560265" ref="T126"/>
    <hyperlink r:id="rId124" location="gid=2052560265" ref="T127"/>
    <hyperlink r:id="rId125" location="gid=2052560265" ref="T128"/>
    <hyperlink r:id="rId126" location="gid=2052560265" ref="T129"/>
    <hyperlink r:id="rId127" ref="T130"/>
    <hyperlink r:id="rId128" location="gid=2052560265" ref="T131"/>
    <hyperlink r:id="rId129" location="gid=2052560265" ref="T132"/>
    <hyperlink r:id="rId130" location="gid=2052560265" ref="T133"/>
    <hyperlink r:id="rId131" location="gid=2052560265" ref="T134"/>
    <hyperlink r:id="rId132" location="gid=2052560265" ref="T135"/>
    <hyperlink r:id="rId133" location="gid=2052560265" ref="T136"/>
    <hyperlink r:id="rId134" location="gid=2052560265" ref="T137"/>
    <hyperlink r:id="rId135" location="gid=2052560265" ref="T138"/>
    <hyperlink r:id="rId136" location="gid=2052560265" ref="T139"/>
    <hyperlink r:id="rId137" location="gid=2052560265" ref="T140"/>
    <hyperlink r:id="rId138" location="gid=2052560265" ref="T141"/>
    <hyperlink r:id="rId139" location="gid=2052560265" ref="T142"/>
    <hyperlink r:id="rId140" location="gid=2052560265" ref="T143"/>
    <hyperlink r:id="rId141" ref="T144"/>
    <hyperlink r:id="rId142" ref="T145"/>
    <hyperlink r:id="rId143" location="gid=2052560265" ref="T146"/>
    <hyperlink r:id="rId144" location="gid=2052560265" ref="T147"/>
    <hyperlink r:id="rId145" location="gid=2052560265" ref="T148"/>
    <hyperlink r:id="rId146" location="gid=2052560265" ref="T149"/>
    <hyperlink r:id="rId147" location="gid=2052560265" ref="T150"/>
    <hyperlink r:id="rId148" ref="T151"/>
    <hyperlink r:id="rId149" location="gid=2052560265" ref="T152"/>
    <hyperlink r:id="rId150" location="gid=2052560265" ref="T153"/>
    <hyperlink r:id="rId151" location="gid=2052560265" ref="T168"/>
    <hyperlink r:id="rId152" location="gid=2052560265" ref="T169"/>
    <hyperlink r:id="rId153" location="gid=2052560265" ref="T170"/>
    <hyperlink r:id="rId154" location="gid=2052560265" ref="T171"/>
    <hyperlink r:id="rId155" location="gid=2052560265" ref="T172"/>
    <hyperlink r:id="rId156" location="gid=2052560265" ref="T173"/>
    <hyperlink r:id="rId157" location="gid=2052560265" ref="T174"/>
    <hyperlink r:id="rId158" location="gid=2052560265" ref="T175"/>
    <hyperlink r:id="rId159" location="gid=2052560265" ref="T176"/>
    <hyperlink r:id="rId160" location="gid=2052560265" ref="T177"/>
    <hyperlink r:id="rId161" location="gid=2052560265" ref="T178"/>
    <hyperlink r:id="rId162" location="gid=2052560265" ref="T179"/>
    <hyperlink r:id="rId163" location="gid=2052560265" ref="T180"/>
    <hyperlink r:id="rId164" location="gid=2052560265" ref="T181"/>
    <hyperlink r:id="rId165" location="gid=2052560265" ref="T182"/>
    <hyperlink r:id="rId166" location="gid=2052560265" ref="T183"/>
    <hyperlink r:id="rId167" ref="T184"/>
    <hyperlink r:id="rId168" location="gid=2052560265" ref="T185"/>
    <hyperlink r:id="rId169" location="gid=2052560265" ref="T186"/>
    <hyperlink r:id="rId170" location="gid=2052560265" ref="T187"/>
    <hyperlink r:id="rId171" location="gid=2052560265" ref="T188"/>
    <hyperlink r:id="rId172" location="gid=2052560265" ref="T189"/>
    <hyperlink r:id="rId173" ref="T190"/>
    <hyperlink r:id="rId174" location="gid=2052560265" ref="T191"/>
    <hyperlink r:id="rId175" ref="T192"/>
    <hyperlink r:id="rId176" location="gid=2052560265" ref="T193"/>
    <hyperlink r:id="rId177" location="gid=2052560265" ref="T194"/>
    <hyperlink r:id="rId178" location="gid=2052560265" ref="T195"/>
    <hyperlink r:id="rId179" location="gid=2052560265" ref="T196"/>
    <hyperlink r:id="rId180" location="gid=2052560265" ref="T197"/>
    <hyperlink r:id="rId181" location="gid=2052560265" ref="T198"/>
    <hyperlink r:id="rId182" location="gid=2052560265" ref="T200"/>
    <hyperlink r:id="rId183" location="gid=2052560265" ref="T201"/>
    <hyperlink r:id="rId184" location="gid=2052560265" ref="T202"/>
    <hyperlink r:id="rId185" location="gid=2052560265" ref="T203"/>
    <hyperlink r:id="rId186" ref="T204"/>
    <hyperlink r:id="rId187" location="gid=2052560265" ref="T205"/>
    <hyperlink r:id="rId188" ref="T206"/>
    <hyperlink r:id="rId189" ref="T207"/>
    <hyperlink r:id="rId190" ref="T208"/>
    <hyperlink r:id="rId191" ref="T209"/>
    <hyperlink r:id="rId192" ref="T210"/>
    <hyperlink r:id="rId193" ref="T211"/>
    <hyperlink r:id="rId194" ref="T212"/>
    <hyperlink r:id="rId195" location="gid=2052560265" ref="T213"/>
    <hyperlink r:id="rId196" ref="T214"/>
    <hyperlink r:id="rId197" ref="T215"/>
    <hyperlink r:id="rId198" ref="T216"/>
    <hyperlink r:id="rId199" ref="T217"/>
    <hyperlink r:id="rId200" ref="T218"/>
    <hyperlink r:id="rId201" ref="T219"/>
    <hyperlink r:id="rId202" ref="T220"/>
    <hyperlink r:id="rId203" location="gid=2052560265" ref="T221"/>
    <hyperlink r:id="rId204" ref="T222"/>
    <hyperlink r:id="rId205" location="gid=2052560265" ref="T223"/>
    <hyperlink r:id="rId206" ref="T224"/>
    <hyperlink r:id="rId207" location="gid=2052560265" ref="T225"/>
    <hyperlink r:id="rId208" ref="T226"/>
    <hyperlink r:id="rId209" location="gid=2052560265" ref="T227"/>
    <hyperlink r:id="rId210" location="gid=2052560265" ref="T228"/>
    <hyperlink r:id="rId211" location="gid=2052560265" ref="T229"/>
    <hyperlink r:id="rId212" location="gid=2052560265" ref="T231"/>
    <hyperlink r:id="rId213" location="gid=2052560265" ref="T232"/>
    <hyperlink r:id="rId214" location="gid=2052560265" ref="T233"/>
    <hyperlink r:id="rId215" location="gid=2052560265" ref="T234"/>
    <hyperlink r:id="rId216" location="gid=2052560265" ref="T235"/>
    <hyperlink r:id="rId217" location="gid=2052560265" ref="T236"/>
    <hyperlink r:id="rId218" location="gid=2052560265" ref="T237"/>
    <hyperlink r:id="rId219" location="gid=2052560265" ref="T238"/>
    <hyperlink r:id="rId220" location="gid=2052560265" ref="T239"/>
    <hyperlink r:id="rId221" location="gid=2052560265" ref="T240"/>
    <hyperlink r:id="rId222" location="gid=2052560265" ref="T241"/>
    <hyperlink r:id="rId223" location="gid=2052560265" ref="T242"/>
    <hyperlink r:id="rId224" location="gid=2052560265" ref="T243"/>
    <hyperlink r:id="rId225" location="gid=2052560265" ref="T244"/>
    <hyperlink r:id="rId226" location="gid=2052560265" ref="T246"/>
    <hyperlink r:id="rId227" location="gid=2052560265" ref="T247"/>
    <hyperlink r:id="rId228" location="gid=2052560265" ref="T248"/>
    <hyperlink r:id="rId229" location="gid=2052560265" ref="T249"/>
    <hyperlink r:id="rId230" location="gid=2052560265" ref="T250"/>
    <hyperlink r:id="rId231" location="gid=2052560265" ref="T251"/>
    <hyperlink r:id="rId232" location="gid=2052560265" ref="T253"/>
    <hyperlink r:id="rId233" location="gid=2052560265" ref="T254"/>
    <hyperlink r:id="rId234" location="gid=2052560265" ref="T255"/>
    <hyperlink r:id="rId235" location="gid=2052560265" ref="T256"/>
    <hyperlink r:id="rId236" location="gid=2052560265" ref="T257"/>
    <hyperlink r:id="rId237" location="gid=2052560265" ref="T258"/>
    <hyperlink r:id="rId238" location="gid=2052560265" ref="T259"/>
    <hyperlink r:id="rId239" location="gid=2052560265" ref="T260"/>
    <hyperlink r:id="rId240" location="gid=2052560265" ref="T261"/>
    <hyperlink r:id="rId241" location="gid=2052560265" ref="T262"/>
    <hyperlink r:id="rId242" location="gid=2052560265" ref="T263"/>
    <hyperlink r:id="rId243" location="gid=2052560265" ref="T264"/>
    <hyperlink r:id="rId244" location="gid=2052560265" ref="T265"/>
    <hyperlink r:id="rId245" location="gid=2052560265" ref="T266"/>
    <hyperlink r:id="rId246" location="gid=2052560265" ref="T267"/>
    <hyperlink r:id="rId247" location="gid=2052560265" ref="T268"/>
    <hyperlink r:id="rId248" location="gid=2052560265" ref="T269"/>
    <hyperlink r:id="rId249" location="gid=2052560265" ref="T270"/>
    <hyperlink r:id="rId250" location="gid=2052560265" ref="T271"/>
    <hyperlink r:id="rId251" location="gid=2052560265" ref="T272"/>
    <hyperlink r:id="rId252" location="gid=2052560265" ref="T273"/>
    <hyperlink r:id="rId253" location="gid=2052560265" ref="T274"/>
    <hyperlink r:id="rId254" ref="T275"/>
    <hyperlink r:id="rId255" location="gid=2052560265" ref="T276"/>
    <hyperlink r:id="rId256" location="gid=2052560265" ref="T277"/>
    <hyperlink r:id="rId257" location="gid=2052560265" ref="T278"/>
    <hyperlink r:id="rId258" location="gid=2052560265" ref="T279"/>
    <hyperlink r:id="rId259" location="gid=2052560265" ref="T280"/>
    <hyperlink r:id="rId260" location="gid=2052560265" ref="T281"/>
    <hyperlink r:id="rId261" location="gid=2052560265" ref="T282"/>
    <hyperlink r:id="rId262" location="gid=2052560265" ref="T283"/>
    <hyperlink r:id="rId263" location="gid=2052560265" ref="T284"/>
    <hyperlink r:id="rId264" location="gid=2052560265" ref="T285"/>
    <hyperlink r:id="rId265" location="gid=2052560265" ref="T286"/>
    <hyperlink r:id="rId266" location="gid=2052560265" ref="T287"/>
    <hyperlink r:id="rId267" location="gid=2052560265" ref="T288"/>
    <hyperlink r:id="rId268" location="gid=2052560265" ref="T289"/>
    <hyperlink r:id="rId269" location="gid=2052560265" ref="T290"/>
    <hyperlink r:id="rId270" location="gid=2052560265" ref="T291"/>
    <hyperlink r:id="rId271" location="gid=2052560265" ref="T292"/>
    <hyperlink r:id="rId272" location="gid=2052560265" ref="T293"/>
    <hyperlink r:id="rId273" location="gid=2052560265" ref="T294"/>
    <hyperlink r:id="rId274" location="gid=2052560265" ref="T295"/>
    <hyperlink r:id="rId275" location="gid=2052560265" ref="T296"/>
    <hyperlink r:id="rId276" location="gid=2052560265" ref="T297"/>
    <hyperlink r:id="rId277" location="gid=2052560265" ref="T298"/>
    <hyperlink r:id="rId278" location="gid=2052560265" ref="T299"/>
    <hyperlink r:id="rId279" location="gid=2052560265" ref="T300"/>
    <hyperlink r:id="rId280" location="gid=2052560265" ref="T301"/>
    <hyperlink r:id="rId281" location="gid=2052560265" ref="T302"/>
    <hyperlink r:id="rId282" location="gid=2052560265" ref="T303"/>
    <hyperlink r:id="rId283" location="gid=2052560265" ref="T304"/>
    <hyperlink r:id="rId284" location="gid=2052560265" ref="T305"/>
    <hyperlink r:id="rId285" location="gid=2052560265" ref="T306"/>
    <hyperlink r:id="rId286" location="gid=2052560265" ref="T307"/>
    <hyperlink r:id="rId287" location="gid=2052560265" ref="T308"/>
    <hyperlink r:id="rId288" location="gid=2052560265" ref="T309"/>
    <hyperlink r:id="rId289" location="gid=2052560265" ref="T310"/>
    <hyperlink r:id="rId290" location="gid=2052560265" ref="T311"/>
    <hyperlink r:id="rId291" location="gid=2052560265" ref="T312"/>
    <hyperlink r:id="rId292" location="gid=2052560265" ref="T313"/>
    <hyperlink r:id="rId293" location="gid=2052560265" ref="T314"/>
    <hyperlink r:id="rId294" location="gid=2052560265" ref="T315"/>
    <hyperlink r:id="rId295" location="gid=2052560265" ref="T316"/>
    <hyperlink r:id="rId296" location="gid=2052560265" ref="T318"/>
    <hyperlink r:id="rId297" location="gid=2052560265" ref="T319"/>
    <hyperlink r:id="rId298" location="gid=2052560265" ref="T320"/>
    <hyperlink r:id="rId299" location="gid=2052560265" ref="T321"/>
    <hyperlink r:id="rId300" location="gid=2052560265" ref="T322"/>
    <hyperlink r:id="rId301" ref="T323"/>
    <hyperlink r:id="rId302" ref="T324"/>
    <hyperlink r:id="rId303" ref="T325"/>
    <hyperlink r:id="rId304" ref="T326"/>
    <hyperlink r:id="rId305" ref="T327"/>
    <hyperlink r:id="rId306" ref="T328"/>
    <hyperlink r:id="rId307" ref="T329"/>
    <hyperlink r:id="rId308" ref="T330"/>
    <hyperlink r:id="rId309" ref="T331"/>
    <hyperlink r:id="rId310" ref="T332"/>
    <hyperlink r:id="rId311" ref="T333"/>
    <hyperlink r:id="rId312" ref="T334"/>
    <hyperlink r:id="rId313" ref="T335"/>
    <hyperlink r:id="rId314" location="gid=2052560265" ref="T336"/>
    <hyperlink r:id="rId315" location="gid=2052560265" ref="T337"/>
    <hyperlink r:id="rId316" location="gid=2052560265" ref="T338"/>
    <hyperlink r:id="rId317" location="gid=2052560265" ref="T339"/>
    <hyperlink r:id="rId318" location="gid=2052560265" ref="T340"/>
    <hyperlink r:id="rId319" location="gid=2052560265" ref="T341"/>
    <hyperlink r:id="rId320" location="gid=2052560265" ref="T342"/>
    <hyperlink r:id="rId321" location="gid=2052560265" ref="T343"/>
    <hyperlink r:id="rId322" location="gid=2052560265" ref="T344"/>
    <hyperlink r:id="rId323" location="gid=2052560265" ref="T345"/>
    <hyperlink r:id="rId324" location="gid=2052560265" ref="T346"/>
    <hyperlink r:id="rId325" location="gid=2052560265" ref="T347"/>
    <hyperlink r:id="rId326" location="gid=2052560265" ref="T348"/>
    <hyperlink r:id="rId327" location="gid=2052560265" ref="T349"/>
    <hyperlink r:id="rId328" location="gid=2052560265" ref="T350"/>
    <hyperlink r:id="rId329" location="gid=2052560265" ref="T351"/>
    <hyperlink r:id="rId330" location="gid=2052560265" ref="T352"/>
    <hyperlink r:id="rId331" location="gid=2052560265" ref="T353"/>
    <hyperlink r:id="rId332" location="gid=2052560265" ref="T354"/>
    <hyperlink r:id="rId333" location="gid=2052560265" ref="T355"/>
    <hyperlink r:id="rId334" location="gid=2052560265" ref="T356"/>
    <hyperlink r:id="rId335" location="gid=2052560265" ref="T357"/>
    <hyperlink r:id="rId336" location="gid=2052560265" ref="T358"/>
    <hyperlink r:id="rId337" location="gid=2052560265" ref="T359"/>
    <hyperlink r:id="rId338" location="gid=2052560265" ref="T360"/>
    <hyperlink r:id="rId339" location="gid=2052560265" ref="T361"/>
    <hyperlink r:id="rId340" location="gid=2052560265" ref="T362"/>
    <hyperlink r:id="rId341" location="gid=2052560265" ref="T363"/>
    <hyperlink r:id="rId342" location="gid=2052560265" ref="T364"/>
    <hyperlink r:id="rId343" location="gid=2052560265" ref="T365"/>
    <hyperlink r:id="rId344" location="gid=2052560265" ref="T366"/>
    <hyperlink r:id="rId345" location="gid=2052560265" ref="T367"/>
    <hyperlink r:id="rId346" location="gid=2052560265" ref="T369"/>
    <hyperlink r:id="rId347" location="gid=2052560265" ref="T370"/>
    <hyperlink r:id="rId348" location="gid=2052560265" ref="T371"/>
    <hyperlink r:id="rId349" location="gid=2052560265" ref="T372"/>
    <hyperlink r:id="rId350" location="gid=2052560265" ref="T373"/>
    <hyperlink r:id="rId351" location="gid=2052560265" ref="T374"/>
    <hyperlink r:id="rId352" location="gid=2052560265" ref="T375"/>
    <hyperlink r:id="rId353" location="gid=2052560265" ref="T376"/>
    <hyperlink r:id="rId354" location="gid=2052560265" ref="T377"/>
    <hyperlink r:id="rId355" location="gid=2052560265" ref="T378"/>
    <hyperlink r:id="rId356" location="gid=2052560265" ref="T379"/>
    <hyperlink r:id="rId357" ref="T380"/>
    <hyperlink r:id="rId358" ref="T381"/>
    <hyperlink r:id="rId359" location="gid=2052560265" ref="T382"/>
    <hyperlink r:id="rId360" ref="T383"/>
    <hyperlink r:id="rId361" location="gid=2052560265" ref="T384"/>
    <hyperlink r:id="rId362" ref="T385"/>
    <hyperlink r:id="rId363" ref="T386"/>
    <hyperlink r:id="rId364" ref="T387"/>
    <hyperlink r:id="rId365" ref="T388"/>
    <hyperlink r:id="rId366" ref="T389"/>
    <hyperlink r:id="rId367" ref="T390"/>
    <hyperlink r:id="rId368" ref="T391"/>
    <hyperlink r:id="rId369" ref="T392"/>
    <hyperlink r:id="rId370" ref="T393"/>
    <hyperlink r:id="rId371" ref="T394"/>
    <hyperlink r:id="rId372" ref="T395"/>
    <hyperlink r:id="rId373" ref="T396"/>
    <hyperlink r:id="rId374" ref="T397"/>
    <hyperlink r:id="rId375" ref="T398"/>
    <hyperlink r:id="rId376" ref="T399"/>
    <hyperlink r:id="rId377" ref="T400"/>
    <hyperlink r:id="rId378" ref="T401"/>
    <hyperlink r:id="rId379" location="gid=2052560265" ref="T402"/>
    <hyperlink r:id="rId380" location="gid=2052560265" ref="T403"/>
    <hyperlink r:id="rId381" location="gid=2052560265" ref="T404"/>
    <hyperlink r:id="rId382" location="gid=2052560265" ref="T405"/>
    <hyperlink r:id="rId383" ref="T406"/>
    <hyperlink r:id="rId384" location="gid=2052560265" ref="T407"/>
    <hyperlink r:id="rId385" location="gid=2052560265" ref="T408"/>
    <hyperlink r:id="rId386" location="gid=2052560265" ref="T409"/>
    <hyperlink r:id="rId387" location="gid=2052560265" ref="T410"/>
    <hyperlink r:id="rId388" location="gid=2052560265" ref="T411"/>
    <hyperlink r:id="rId389" location="gid=2052560265" ref="T412"/>
    <hyperlink r:id="rId390" location="gid=2052560265" ref="T413"/>
    <hyperlink r:id="rId391" ref="T414"/>
    <hyperlink r:id="rId392" location="gid=2052560265" ref="T415"/>
    <hyperlink r:id="rId393" location="gid=2052560265" ref="T416"/>
    <hyperlink r:id="rId394" location="gid=2052560265" ref="T417"/>
    <hyperlink r:id="rId395" location="gid=2052560265" ref="T418"/>
    <hyperlink r:id="rId396" location="gid=2052560265" ref="T419"/>
    <hyperlink r:id="rId397" ref="T420"/>
    <hyperlink r:id="rId398" location="gid=2052560265" ref="T421"/>
    <hyperlink r:id="rId399" location="gid=2052560265" ref="T422"/>
    <hyperlink r:id="rId400" location="gid=2052560265" ref="T423"/>
    <hyperlink r:id="rId401" location="gid=2052560265" ref="T424"/>
    <hyperlink r:id="rId402" location="gid=2052560265" ref="T425"/>
    <hyperlink r:id="rId403" location="gid=2052560265" ref="T426"/>
    <hyperlink r:id="rId404" location="gid=2052560265" ref="T427"/>
    <hyperlink r:id="rId405" location="gid=2052560265" ref="T428"/>
    <hyperlink r:id="rId406" location="gid=2052560265" ref="T429"/>
    <hyperlink r:id="rId407" location="gid=2052560265" ref="T430"/>
    <hyperlink r:id="rId408" location="gid=2052560265" ref="T431"/>
    <hyperlink r:id="rId409" location="gid=2052560265" ref="T432"/>
    <hyperlink r:id="rId410" location="gid=2052560265" ref="T434"/>
    <hyperlink r:id="rId411" ref="T436"/>
    <hyperlink r:id="rId412" location="gid=2052560265" ref="T437"/>
    <hyperlink r:id="rId413" location="gid=2052560265" ref="T438"/>
    <hyperlink r:id="rId414" location="gid=2052560265" ref="T439"/>
    <hyperlink r:id="rId415" location="gid=2052560265" ref="T440"/>
    <hyperlink r:id="rId416" location="gid=2052560265" ref="T441"/>
    <hyperlink r:id="rId417" location="gid=2052560265" ref="T442"/>
    <hyperlink r:id="rId418" location="gid=2052560265" ref="T443"/>
    <hyperlink r:id="rId419" location="gid=2052560265" ref="T444"/>
    <hyperlink r:id="rId420" location="gid=2052560265" ref="T445"/>
    <hyperlink r:id="rId421" location="gid=2052560265" ref="T446"/>
    <hyperlink r:id="rId422" location="gid=2052560265" ref="T447"/>
    <hyperlink r:id="rId423" location="gid=2052560265" ref="T448"/>
    <hyperlink r:id="rId424" location="gid=2052560265" ref="T449"/>
    <hyperlink r:id="rId425" location="gid=2052560265" ref="T470"/>
    <hyperlink r:id="rId426" location="gid=2052560265" ref="T471"/>
    <hyperlink r:id="rId427" location="gid=2052560265" ref="T472"/>
    <hyperlink r:id="rId428" location="gid=2052560265" ref="T473"/>
    <hyperlink r:id="rId429" location="gid=2052560265" ref="T474"/>
    <hyperlink r:id="rId430" location="gid=2052560265" ref="T475"/>
    <hyperlink r:id="rId431" location="gid=2052560265" ref="T476"/>
    <hyperlink r:id="rId432" location="gid=2052560265" ref="T477"/>
    <hyperlink r:id="rId433" location="gid=2052560265" ref="T479"/>
    <hyperlink r:id="rId434" ref="T484"/>
    <hyperlink r:id="rId435" location="gid=2052560265" ref="T519"/>
    <hyperlink r:id="rId436" location="gid=2052560265" ref="T521"/>
    <hyperlink r:id="rId437" location="gid=2052560265" ref="T523"/>
    <hyperlink r:id="rId438" location="gid=2052560265" ref="T526"/>
    <hyperlink r:id="rId439" location="gid=2052560265" ref="T527"/>
    <hyperlink r:id="rId440" location="gid=2052560265" ref="T528"/>
    <hyperlink r:id="rId441" location="gid=2052560265" ref="T529"/>
    <hyperlink r:id="rId442" location="gid=2052560265" ref="T530"/>
    <hyperlink r:id="rId443" location="gid=2052560265" ref="T531"/>
  </hyperlinks>
  <drawing r:id="rId44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71"/>
    <col customWidth="1" min="2" max="3" width="23.86"/>
    <col customWidth="1" min="4" max="4" width="101.71"/>
    <col customWidth="1" min="5" max="5" width="27.14"/>
    <col customWidth="1" min="6" max="6" width="14.43"/>
    <col customWidth="1" min="7" max="7" width="31.29"/>
    <col customWidth="1" min="8" max="8" width="14.43"/>
    <col customWidth="1" min="9" max="9" width="17.43"/>
    <col customWidth="1" min="10" max="13" width="15.71"/>
  </cols>
  <sheetData>
    <row r="1">
      <c r="A1" s="225" t="s">
        <v>1107</v>
      </c>
      <c r="B1" s="226" t="s">
        <v>1108</v>
      </c>
      <c r="C1" s="226" t="s">
        <v>1109</v>
      </c>
      <c r="D1" s="225" t="s">
        <v>1110</v>
      </c>
      <c r="E1" s="227" t="s">
        <v>1111</v>
      </c>
      <c r="F1" s="228" t="s">
        <v>1112</v>
      </c>
      <c r="G1" s="229"/>
      <c r="H1" s="229" t="s">
        <v>1113</v>
      </c>
      <c r="I1" s="229"/>
      <c r="J1" s="229"/>
      <c r="K1" s="229"/>
      <c r="L1" s="229"/>
      <c r="M1" s="229"/>
      <c r="N1" s="229"/>
      <c r="O1" s="229"/>
      <c r="P1" s="229"/>
      <c r="Q1" s="229"/>
      <c r="R1" s="229"/>
      <c r="S1" s="229"/>
      <c r="T1" s="229"/>
      <c r="U1" s="229"/>
      <c r="V1" s="229"/>
      <c r="W1" s="229"/>
      <c r="X1" s="229"/>
      <c r="Y1" s="229"/>
      <c r="Z1" s="229"/>
      <c r="AA1" s="229"/>
      <c r="AB1" s="229"/>
    </row>
    <row r="2">
      <c r="A2" s="230" t="s">
        <v>1114</v>
      </c>
      <c r="B2" s="231"/>
      <c r="C2" s="231" t="s">
        <v>1115</v>
      </c>
      <c r="D2" s="232" t="s">
        <v>1116</v>
      </c>
      <c r="E2" s="233" t="s">
        <v>1117</v>
      </c>
      <c r="F2" s="234" t="s">
        <v>1118</v>
      </c>
      <c r="G2" s="229"/>
      <c r="H2" s="235" t="s">
        <v>16</v>
      </c>
      <c r="I2" s="233" t="s">
        <v>1119</v>
      </c>
      <c r="J2" s="236" t="s">
        <v>1120</v>
      </c>
      <c r="N2" s="229"/>
      <c r="O2" s="229"/>
      <c r="P2" s="229"/>
      <c r="Q2" s="229"/>
      <c r="R2" s="229"/>
      <c r="S2" s="229"/>
      <c r="T2" s="229"/>
      <c r="U2" s="229"/>
      <c r="V2" s="229"/>
      <c r="W2" s="229"/>
      <c r="X2" s="229"/>
      <c r="Y2" s="229"/>
      <c r="Z2" s="229"/>
      <c r="AA2" s="229"/>
      <c r="AB2" s="229"/>
    </row>
    <row r="3" ht="90.75" customHeight="1">
      <c r="A3" s="230" t="s">
        <v>1114</v>
      </c>
      <c r="B3" s="231" t="s">
        <v>1121</v>
      </c>
      <c r="C3" s="231"/>
      <c r="D3" s="232" t="s">
        <v>1122</v>
      </c>
      <c r="E3" s="235"/>
      <c r="F3" s="234"/>
      <c r="G3" s="229"/>
      <c r="H3" s="235" t="s">
        <v>1123</v>
      </c>
      <c r="I3" s="229"/>
      <c r="N3" s="229"/>
      <c r="O3" s="229"/>
      <c r="P3" s="229"/>
      <c r="Q3" s="229"/>
      <c r="R3" s="229"/>
      <c r="S3" s="229"/>
      <c r="T3" s="229"/>
      <c r="U3" s="229"/>
      <c r="V3" s="229"/>
      <c r="W3" s="229"/>
      <c r="X3" s="229"/>
      <c r="Y3" s="229"/>
      <c r="Z3" s="229"/>
      <c r="AA3" s="229"/>
      <c r="AB3" s="229"/>
    </row>
    <row r="4">
      <c r="A4" s="230" t="s">
        <v>1114</v>
      </c>
      <c r="B4" s="231"/>
      <c r="C4" s="231" t="s">
        <v>1124</v>
      </c>
      <c r="D4" s="237" t="s">
        <v>1125</v>
      </c>
      <c r="E4" s="235"/>
      <c r="F4" s="234"/>
      <c r="G4" s="229"/>
      <c r="H4" s="235" t="s">
        <v>1126</v>
      </c>
      <c r="I4" s="229"/>
      <c r="N4" s="229"/>
      <c r="O4" s="229"/>
      <c r="P4" s="229"/>
      <c r="Q4" s="229"/>
      <c r="R4" s="229"/>
      <c r="S4" s="229"/>
      <c r="T4" s="229"/>
      <c r="U4" s="229"/>
      <c r="V4" s="229"/>
      <c r="W4" s="229"/>
      <c r="X4" s="229"/>
      <c r="Y4" s="229"/>
      <c r="Z4" s="229"/>
      <c r="AA4" s="229"/>
      <c r="AB4" s="229"/>
    </row>
    <row r="5">
      <c r="A5" s="230" t="s">
        <v>1114</v>
      </c>
      <c r="B5" s="231" t="s">
        <v>43</v>
      </c>
      <c r="C5" s="231"/>
      <c r="D5" s="231" t="s">
        <v>1127</v>
      </c>
      <c r="E5" s="235"/>
      <c r="F5" s="234"/>
      <c r="G5" s="229"/>
      <c r="H5" s="229"/>
      <c r="I5" s="229"/>
      <c r="J5" s="229"/>
      <c r="K5" s="229"/>
      <c r="L5" s="229"/>
      <c r="M5" s="229"/>
      <c r="N5" s="229"/>
      <c r="O5" s="229"/>
      <c r="P5" s="229"/>
      <c r="Q5" s="229"/>
      <c r="R5" s="229"/>
      <c r="S5" s="229"/>
      <c r="T5" s="229"/>
      <c r="U5" s="229"/>
      <c r="V5" s="229"/>
      <c r="W5" s="229"/>
      <c r="X5" s="229"/>
      <c r="Y5" s="229"/>
      <c r="Z5" s="229"/>
      <c r="AA5" s="229"/>
      <c r="AB5" s="229"/>
    </row>
    <row r="6">
      <c r="A6" s="230" t="s">
        <v>1114</v>
      </c>
      <c r="B6" s="231"/>
      <c r="C6" s="231" t="s">
        <v>1128</v>
      </c>
      <c r="D6" s="232" t="s">
        <v>1129</v>
      </c>
      <c r="E6" s="235"/>
      <c r="F6" s="238"/>
      <c r="G6" s="229"/>
      <c r="H6" s="229" t="s">
        <v>1130</v>
      </c>
      <c r="I6" s="229"/>
      <c r="J6" s="229"/>
      <c r="K6" s="229"/>
      <c r="L6" s="229"/>
      <c r="M6" s="229"/>
      <c r="N6" s="229"/>
      <c r="O6" s="229"/>
      <c r="P6" s="229"/>
      <c r="Q6" s="229"/>
      <c r="R6" s="229"/>
      <c r="S6" s="229"/>
      <c r="T6" s="229"/>
      <c r="U6" s="229"/>
      <c r="V6" s="229"/>
      <c r="W6" s="229"/>
      <c r="X6" s="229"/>
      <c r="Y6" s="229"/>
      <c r="Z6" s="229"/>
      <c r="AA6" s="229"/>
      <c r="AB6" s="229"/>
    </row>
    <row r="7">
      <c r="A7" s="230" t="s">
        <v>1114</v>
      </c>
      <c r="B7" s="231" t="s">
        <v>1131</v>
      </c>
      <c r="C7" s="231"/>
      <c r="D7" s="231" t="s">
        <v>1132</v>
      </c>
      <c r="E7" s="235"/>
      <c r="F7" s="234"/>
      <c r="G7" s="229"/>
      <c r="H7" s="229" t="s">
        <v>1100</v>
      </c>
      <c r="I7" s="229" t="s">
        <v>1133</v>
      </c>
      <c r="J7" s="229"/>
      <c r="K7" s="229"/>
      <c r="L7" s="229"/>
      <c r="M7" s="229"/>
      <c r="N7" s="229"/>
      <c r="O7" s="229"/>
      <c r="P7" s="229"/>
      <c r="Q7" s="229"/>
      <c r="R7" s="229"/>
      <c r="S7" s="229"/>
      <c r="T7" s="229"/>
      <c r="U7" s="229"/>
      <c r="V7" s="229"/>
      <c r="W7" s="229"/>
      <c r="X7" s="229"/>
      <c r="Y7" s="229"/>
      <c r="Z7" s="229"/>
      <c r="AA7" s="229"/>
      <c r="AB7" s="229"/>
    </row>
    <row r="8">
      <c r="A8" s="230" t="s">
        <v>1114</v>
      </c>
      <c r="B8" s="231" t="s">
        <v>1131</v>
      </c>
      <c r="C8" s="231" t="s">
        <v>1134</v>
      </c>
      <c r="D8" s="231" t="s">
        <v>1135</v>
      </c>
      <c r="E8" s="235"/>
      <c r="F8" s="238" t="s">
        <v>1118</v>
      </c>
      <c r="G8" s="239"/>
      <c r="H8" s="229"/>
      <c r="I8" s="229"/>
      <c r="J8" s="229"/>
      <c r="K8" s="229"/>
      <c r="L8" s="229"/>
      <c r="M8" s="229"/>
      <c r="N8" s="229"/>
      <c r="O8" s="229"/>
      <c r="P8" s="229"/>
      <c r="Q8" s="229"/>
      <c r="R8" s="229"/>
      <c r="S8" s="229"/>
      <c r="T8" s="229"/>
      <c r="U8" s="229"/>
      <c r="V8" s="229"/>
      <c r="W8" s="229"/>
      <c r="X8" s="229"/>
      <c r="Y8" s="229"/>
      <c r="Z8" s="229"/>
      <c r="AA8" s="229"/>
      <c r="AB8" s="229"/>
    </row>
    <row r="9">
      <c r="A9" s="230" t="s">
        <v>1114</v>
      </c>
      <c r="B9" s="231" t="s">
        <v>1131</v>
      </c>
      <c r="C9" s="231" t="s">
        <v>1136</v>
      </c>
      <c r="D9" s="231" t="s">
        <v>1137</v>
      </c>
      <c r="E9" s="235"/>
      <c r="F9" s="238" t="s">
        <v>1118</v>
      </c>
      <c r="G9" s="229"/>
      <c r="H9" s="229"/>
      <c r="I9" s="229"/>
      <c r="J9" s="229"/>
      <c r="K9" s="229"/>
      <c r="L9" s="229"/>
      <c r="M9" s="229"/>
      <c r="N9" s="229"/>
      <c r="O9" s="229"/>
      <c r="P9" s="229"/>
      <c r="Q9" s="229"/>
      <c r="R9" s="229"/>
      <c r="S9" s="229"/>
      <c r="T9" s="229"/>
      <c r="U9" s="229"/>
      <c r="V9" s="229"/>
      <c r="W9" s="229"/>
      <c r="X9" s="229"/>
      <c r="Y9" s="229"/>
      <c r="Z9" s="229"/>
      <c r="AA9" s="229"/>
      <c r="AB9" s="229"/>
    </row>
    <row r="10">
      <c r="A10" s="230" t="s">
        <v>1114</v>
      </c>
      <c r="B10" s="231" t="s">
        <v>1131</v>
      </c>
      <c r="C10" s="231"/>
      <c r="D10" s="231" t="s">
        <v>1138</v>
      </c>
      <c r="E10" s="235"/>
      <c r="F10" s="238" t="s">
        <v>1118</v>
      </c>
      <c r="G10" s="229"/>
      <c r="H10" s="229" t="s">
        <v>1100</v>
      </c>
      <c r="I10" s="229" t="s">
        <v>1133</v>
      </c>
      <c r="J10" s="229"/>
      <c r="K10" s="229"/>
      <c r="L10" s="229"/>
      <c r="M10" s="229"/>
      <c r="N10" s="229"/>
      <c r="O10" s="229"/>
      <c r="P10" s="229"/>
      <c r="Q10" s="229"/>
      <c r="R10" s="229"/>
      <c r="S10" s="229"/>
      <c r="T10" s="229"/>
      <c r="U10" s="229"/>
      <c r="V10" s="229"/>
      <c r="W10" s="229"/>
      <c r="X10" s="229"/>
      <c r="Y10" s="229"/>
      <c r="Z10" s="229"/>
      <c r="AA10" s="229"/>
      <c r="AB10" s="229"/>
    </row>
    <row r="11" ht="80.25" customHeight="1">
      <c r="A11" s="230" t="s">
        <v>1114</v>
      </c>
      <c r="B11" s="231"/>
      <c r="C11" s="231" t="s">
        <v>1139</v>
      </c>
      <c r="D11" s="232"/>
      <c r="E11" s="235"/>
      <c r="F11" s="234"/>
      <c r="G11" s="229"/>
      <c r="H11" s="229"/>
      <c r="I11" s="229"/>
      <c r="J11" s="229"/>
      <c r="K11" s="229"/>
      <c r="L11" s="229"/>
      <c r="M11" s="229"/>
      <c r="N11" s="229"/>
      <c r="O11" s="229"/>
      <c r="P11" s="229"/>
      <c r="Q11" s="229"/>
      <c r="R11" s="229"/>
      <c r="S11" s="229"/>
      <c r="T11" s="229"/>
      <c r="U11" s="229"/>
      <c r="V11" s="229"/>
      <c r="W11" s="229"/>
      <c r="X11" s="229"/>
      <c r="Y11" s="229"/>
      <c r="Z11" s="229"/>
      <c r="AA11" s="229"/>
      <c r="AB11" s="229"/>
    </row>
    <row r="12">
      <c r="B12" s="231"/>
      <c r="D12" s="232" t="s">
        <v>1140</v>
      </c>
      <c r="E12" s="235"/>
      <c r="F12" s="234"/>
      <c r="G12" s="229"/>
      <c r="H12" s="229" t="s">
        <v>1141</v>
      </c>
      <c r="I12" s="229"/>
      <c r="J12" s="229"/>
      <c r="K12" s="229"/>
      <c r="L12" s="229"/>
      <c r="M12" s="229"/>
      <c r="N12" s="229"/>
      <c r="O12" s="229"/>
      <c r="P12" s="229"/>
      <c r="Q12" s="229"/>
      <c r="R12" s="229"/>
      <c r="S12" s="229"/>
      <c r="T12" s="229"/>
      <c r="U12" s="229"/>
      <c r="V12" s="229"/>
      <c r="W12" s="229"/>
      <c r="X12" s="229"/>
      <c r="Y12" s="229"/>
      <c r="Z12" s="229"/>
      <c r="AA12" s="229"/>
      <c r="AB12" s="229"/>
    </row>
    <row r="13">
      <c r="A13" s="230" t="s">
        <v>1114</v>
      </c>
      <c r="B13" s="231" t="s">
        <v>1131</v>
      </c>
      <c r="C13" s="231"/>
      <c r="D13" s="231" t="s">
        <v>1142</v>
      </c>
      <c r="E13" s="235"/>
      <c r="F13" s="234"/>
      <c r="G13" s="229"/>
      <c r="H13" s="229" t="s">
        <v>1101</v>
      </c>
      <c r="I13" s="229" t="s">
        <v>1143</v>
      </c>
      <c r="J13" s="229"/>
      <c r="K13" s="229"/>
      <c r="L13" s="229"/>
      <c r="M13" s="229"/>
      <c r="N13" s="229"/>
      <c r="O13" s="229"/>
      <c r="P13" s="229"/>
      <c r="Q13" s="229"/>
      <c r="R13" s="229"/>
      <c r="S13" s="229"/>
      <c r="T13" s="229"/>
      <c r="U13" s="229"/>
      <c r="V13" s="229"/>
      <c r="W13" s="229"/>
      <c r="X13" s="229"/>
      <c r="Y13" s="229"/>
      <c r="Z13" s="229"/>
      <c r="AA13" s="229"/>
      <c r="AB13" s="229"/>
    </row>
    <row r="14">
      <c r="A14" s="230" t="s">
        <v>1114</v>
      </c>
      <c r="B14" s="231" t="s">
        <v>1144</v>
      </c>
      <c r="C14" s="231"/>
      <c r="D14" s="231" t="s">
        <v>1145</v>
      </c>
      <c r="E14" s="235"/>
      <c r="F14" s="234"/>
      <c r="G14" s="229"/>
      <c r="H14" s="229" t="s">
        <v>1101</v>
      </c>
      <c r="I14" s="229" t="s">
        <v>1143</v>
      </c>
      <c r="J14" s="229"/>
      <c r="K14" s="229"/>
      <c r="L14" s="229"/>
      <c r="M14" s="229"/>
      <c r="N14" s="229"/>
      <c r="O14" s="229"/>
      <c r="P14" s="229"/>
      <c r="Q14" s="229"/>
      <c r="R14" s="229"/>
      <c r="S14" s="229"/>
      <c r="T14" s="229"/>
      <c r="U14" s="229"/>
      <c r="V14" s="229"/>
      <c r="W14" s="229"/>
      <c r="X14" s="229"/>
      <c r="Y14" s="229"/>
      <c r="Z14" s="229"/>
      <c r="AA14" s="229"/>
      <c r="AB14" s="229"/>
    </row>
    <row r="15">
      <c r="A15" s="230" t="s">
        <v>1146</v>
      </c>
      <c r="B15" s="231"/>
      <c r="C15" s="231"/>
      <c r="D15" s="232" t="s">
        <v>1147</v>
      </c>
      <c r="E15" s="235"/>
      <c r="F15" s="234"/>
      <c r="G15" s="229"/>
      <c r="H15" s="229" t="s">
        <v>1103</v>
      </c>
      <c r="I15" s="229" t="s">
        <v>1148</v>
      </c>
      <c r="J15" s="229"/>
      <c r="K15" s="229"/>
      <c r="L15" s="229"/>
      <c r="M15" s="229"/>
      <c r="N15" s="229"/>
      <c r="O15" s="229"/>
      <c r="P15" s="229"/>
      <c r="Q15" s="229"/>
      <c r="R15" s="229"/>
      <c r="S15" s="229"/>
      <c r="T15" s="229"/>
      <c r="U15" s="229"/>
      <c r="V15" s="229"/>
      <c r="W15" s="229"/>
      <c r="X15" s="229"/>
      <c r="Y15" s="229"/>
      <c r="Z15" s="229"/>
      <c r="AA15" s="229"/>
      <c r="AB15" s="229"/>
    </row>
    <row r="16">
      <c r="A16" s="240" t="s">
        <v>1149</v>
      </c>
      <c r="B16" s="231"/>
      <c r="C16" s="231"/>
      <c r="D16" s="231" t="s">
        <v>1150</v>
      </c>
      <c r="E16" s="235"/>
      <c r="F16" s="234"/>
      <c r="G16" s="229"/>
      <c r="H16" s="229"/>
      <c r="I16" s="229"/>
      <c r="J16" s="229"/>
      <c r="K16" s="229"/>
      <c r="L16" s="229"/>
      <c r="M16" s="229"/>
      <c r="N16" s="229"/>
      <c r="O16" s="229"/>
      <c r="P16" s="229"/>
      <c r="Q16" s="229"/>
      <c r="R16" s="229"/>
      <c r="S16" s="229"/>
      <c r="T16" s="229"/>
      <c r="U16" s="229"/>
      <c r="V16" s="229"/>
      <c r="W16" s="229"/>
      <c r="X16" s="229"/>
      <c r="Y16" s="229"/>
      <c r="Z16" s="229"/>
      <c r="AA16" s="229"/>
      <c r="AB16" s="229"/>
    </row>
    <row r="17">
      <c r="A17" s="240" t="s">
        <v>1151</v>
      </c>
      <c r="B17" s="231"/>
      <c r="C17" s="231"/>
      <c r="D17" s="231" t="s">
        <v>1152</v>
      </c>
      <c r="E17" s="241" t="s">
        <v>1103</v>
      </c>
      <c r="F17" s="242" t="str">
        <f>IFERROR(__xludf.DUMMYFUNCTION("INDEX(H17:V17, MAX(FILTER(COLUMN(H18:V18)-COLUMN(H18)+1, H18:V18&lt;&gt;"""")))"),"6th")</f>
        <v>6th</v>
      </c>
      <c r="G17" s="242" t="s">
        <v>23</v>
      </c>
      <c r="H17" s="243" t="s">
        <v>1153</v>
      </c>
      <c r="I17" s="243" t="s">
        <v>1154</v>
      </c>
      <c r="J17" s="244" t="s">
        <v>1155</v>
      </c>
      <c r="K17" s="244" t="s">
        <v>1156</v>
      </c>
      <c r="L17" s="244" t="s">
        <v>1157</v>
      </c>
      <c r="M17" s="244" t="s">
        <v>1158</v>
      </c>
      <c r="N17" s="229"/>
      <c r="O17" s="229"/>
      <c r="P17" s="229"/>
      <c r="Q17" s="229"/>
      <c r="R17" s="229"/>
      <c r="S17" s="229"/>
      <c r="T17" s="229"/>
      <c r="U17" s="229"/>
      <c r="V17" s="229"/>
      <c r="W17" s="229"/>
      <c r="X17" s="229"/>
      <c r="Y17" s="229"/>
      <c r="Z17" s="229"/>
      <c r="AA17" s="229"/>
      <c r="AB17" s="229"/>
    </row>
    <row r="18" ht="87.0" customHeight="1">
      <c r="A18" s="245" t="s">
        <v>1159</v>
      </c>
      <c r="B18" s="246"/>
      <c r="C18" s="246"/>
      <c r="D18" s="246" t="s">
        <v>1160</v>
      </c>
      <c r="E18" s="247" t="s">
        <v>22</v>
      </c>
      <c r="F18" s="248"/>
      <c r="G18" s="249" t="s">
        <v>1161</v>
      </c>
      <c r="H18" s="250"/>
      <c r="I18" s="250"/>
      <c r="J18" s="251" t="s">
        <v>1162</v>
      </c>
      <c r="K18" s="251" t="s">
        <v>1162</v>
      </c>
      <c r="L18" s="252" t="s">
        <v>1162</v>
      </c>
      <c r="M18" s="251" t="s">
        <v>1162</v>
      </c>
      <c r="N18" s="229"/>
      <c r="O18" s="229"/>
      <c r="P18" s="229"/>
      <c r="Q18" s="229"/>
      <c r="R18" s="229"/>
      <c r="S18" s="229"/>
      <c r="T18" s="229"/>
      <c r="U18" s="229"/>
      <c r="V18" s="229"/>
      <c r="W18" s="229"/>
      <c r="X18" s="229"/>
      <c r="Y18" s="229"/>
      <c r="Z18" s="229"/>
      <c r="AA18" s="229"/>
      <c r="AB18" s="229"/>
    </row>
    <row r="19">
      <c r="A19" s="253"/>
      <c r="B19" s="253"/>
      <c r="C19" s="253"/>
      <c r="D19" s="253"/>
      <c r="E19" s="247" t="s">
        <v>22</v>
      </c>
      <c r="F19" s="248"/>
      <c r="G19" s="254" t="s">
        <v>694</v>
      </c>
      <c r="H19" s="250"/>
      <c r="I19" s="250"/>
      <c r="J19" s="251">
        <v>46113.58333333334</v>
      </c>
      <c r="K19" s="251">
        <v>46120.41666666666</v>
      </c>
      <c r="L19" s="251" t="s">
        <v>1162</v>
      </c>
      <c r="M19" s="251">
        <v>46134.41666666666</v>
      </c>
      <c r="N19" s="229"/>
      <c r="O19" s="229"/>
      <c r="P19" s="229"/>
      <c r="Q19" s="229"/>
      <c r="R19" s="229"/>
      <c r="S19" s="229"/>
      <c r="T19" s="229"/>
      <c r="U19" s="229"/>
      <c r="V19" s="229"/>
      <c r="W19" s="229"/>
      <c r="X19" s="229"/>
      <c r="Y19" s="229"/>
      <c r="Z19" s="229"/>
      <c r="AA19" s="229"/>
      <c r="AB19" s="229"/>
    </row>
    <row r="20">
      <c r="A20" s="232"/>
      <c r="B20" s="231"/>
      <c r="C20" s="231"/>
      <c r="D20" s="232"/>
      <c r="E20" s="247" t="s">
        <v>22</v>
      </c>
      <c r="F20" s="248"/>
      <c r="G20" s="254" t="s">
        <v>696</v>
      </c>
      <c r="H20" s="250"/>
      <c r="I20" s="250"/>
      <c r="J20" s="251">
        <v>46113.58333333334</v>
      </c>
      <c r="K20" s="251">
        <v>46120.41666666666</v>
      </c>
      <c r="L20" s="251">
        <v>46127.41666666666</v>
      </c>
      <c r="M20" s="251">
        <v>46134.41666666666</v>
      </c>
      <c r="N20" s="229"/>
      <c r="O20" s="229"/>
      <c r="P20" s="229"/>
      <c r="Q20" s="229"/>
      <c r="R20" s="229"/>
      <c r="S20" s="229"/>
      <c r="T20" s="229"/>
      <c r="U20" s="229"/>
      <c r="V20" s="229"/>
      <c r="W20" s="229"/>
      <c r="X20" s="229"/>
      <c r="Y20" s="229"/>
      <c r="Z20" s="229"/>
      <c r="AA20" s="229"/>
      <c r="AB20" s="229"/>
    </row>
    <row r="21" ht="15.75" customHeight="1">
      <c r="A21" s="232"/>
      <c r="B21" s="231"/>
      <c r="C21" s="231"/>
      <c r="D21" s="232"/>
      <c r="E21" s="247" t="s">
        <v>22</v>
      </c>
      <c r="F21" s="248"/>
      <c r="G21" s="254" t="s">
        <v>692</v>
      </c>
      <c r="H21" s="250"/>
      <c r="I21" s="250"/>
      <c r="J21" s="251">
        <v>46113.58333333334</v>
      </c>
      <c r="K21" s="251">
        <v>46120.41666666666</v>
      </c>
      <c r="L21" s="251">
        <v>46127.41666666666</v>
      </c>
      <c r="M21" s="251">
        <v>46134.41666666666</v>
      </c>
      <c r="N21" s="229"/>
      <c r="O21" s="229"/>
      <c r="P21" s="229"/>
      <c r="Q21" s="229"/>
      <c r="R21" s="229"/>
      <c r="S21" s="229"/>
      <c r="T21" s="229"/>
      <c r="U21" s="229"/>
      <c r="V21" s="229"/>
      <c r="W21" s="229"/>
      <c r="X21" s="229"/>
      <c r="Y21" s="229"/>
      <c r="Z21" s="229"/>
      <c r="AA21" s="229"/>
      <c r="AB21" s="229"/>
    </row>
    <row r="22" ht="15.75" customHeight="1">
      <c r="A22" s="232"/>
      <c r="B22" s="231"/>
      <c r="C22" s="231"/>
      <c r="D22" s="232"/>
      <c r="E22" s="247" t="s">
        <v>22</v>
      </c>
      <c r="F22" s="248"/>
      <c r="G22" s="254" t="s">
        <v>698</v>
      </c>
      <c r="H22" s="250"/>
      <c r="I22" s="250"/>
      <c r="J22" s="251" t="s">
        <v>1162</v>
      </c>
      <c r="K22" s="251">
        <v>46120.41666666666</v>
      </c>
      <c r="L22" s="251">
        <v>46127.41666666666</v>
      </c>
      <c r="M22" s="251">
        <v>46134.41666666666</v>
      </c>
      <c r="N22" s="229"/>
      <c r="O22" s="229"/>
      <c r="P22" s="229"/>
      <c r="Q22" s="229"/>
      <c r="R22" s="229"/>
      <c r="S22" s="229"/>
      <c r="T22" s="229"/>
      <c r="U22" s="229"/>
      <c r="V22" s="229"/>
      <c r="W22" s="229"/>
      <c r="X22" s="229"/>
      <c r="Y22" s="229"/>
      <c r="Z22" s="229"/>
      <c r="AA22" s="229"/>
      <c r="AB22" s="229"/>
    </row>
    <row r="23" ht="15.75" customHeight="1">
      <c r="A23" s="232"/>
      <c r="B23" s="231"/>
      <c r="C23" s="231"/>
      <c r="D23" s="232"/>
      <c r="E23" s="247" t="s">
        <v>22</v>
      </c>
      <c r="F23" s="248"/>
      <c r="G23" s="249" t="s">
        <v>700</v>
      </c>
      <c r="H23" s="250"/>
      <c r="I23" s="250"/>
      <c r="J23" s="251">
        <v>46113.58333333334</v>
      </c>
      <c r="K23" s="251">
        <v>46120.41666666666</v>
      </c>
      <c r="L23" s="251">
        <v>46127.41666666666</v>
      </c>
      <c r="M23" s="251">
        <v>46134.41666666666</v>
      </c>
      <c r="N23" s="229"/>
      <c r="O23" s="229"/>
      <c r="P23" s="229"/>
      <c r="Q23" s="229"/>
      <c r="R23" s="229"/>
      <c r="S23" s="229"/>
      <c r="T23" s="229"/>
      <c r="U23" s="229"/>
      <c r="V23" s="229"/>
      <c r="W23" s="229"/>
      <c r="X23" s="229"/>
      <c r="Y23" s="229"/>
      <c r="Z23" s="229"/>
      <c r="AA23" s="229"/>
      <c r="AB23" s="229"/>
    </row>
    <row r="24" ht="15.75" customHeight="1">
      <c r="A24" s="232"/>
      <c r="B24" s="231"/>
      <c r="C24" s="231"/>
      <c r="D24" s="232"/>
      <c r="E24" s="247" t="s">
        <v>22</v>
      </c>
      <c r="F24" s="248"/>
      <c r="G24" s="249" t="s">
        <v>702</v>
      </c>
      <c r="H24" s="250"/>
      <c r="I24" s="250"/>
      <c r="J24" s="251">
        <v>46113.58333333334</v>
      </c>
      <c r="K24" s="251">
        <v>46120.41666666666</v>
      </c>
      <c r="L24" s="251">
        <v>46127.41666666666</v>
      </c>
      <c r="M24" s="251">
        <v>46134.41666666666</v>
      </c>
      <c r="N24" s="229"/>
      <c r="O24" s="229"/>
      <c r="P24" s="229"/>
      <c r="Q24" s="229"/>
      <c r="R24" s="229"/>
      <c r="S24" s="229"/>
      <c r="T24" s="229"/>
      <c r="U24" s="229"/>
      <c r="V24" s="229"/>
      <c r="W24" s="229"/>
      <c r="X24" s="229"/>
      <c r="Y24" s="229"/>
      <c r="Z24" s="229"/>
      <c r="AA24" s="229"/>
      <c r="AB24" s="229"/>
    </row>
    <row r="25" ht="15.75" customHeight="1">
      <c r="A25" s="232"/>
      <c r="B25" s="231"/>
      <c r="C25" s="231"/>
      <c r="D25" s="232"/>
      <c r="E25" s="247" t="s">
        <v>22</v>
      </c>
      <c r="F25" s="248"/>
      <c r="G25" s="254" t="s">
        <v>1105</v>
      </c>
      <c r="H25" s="250"/>
      <c r="I25" s="250"/>
      <c r="J25" s="251">
        <v>46113.58333333334</v>
      </c>
      <c r="K25" s="251">
        <v>46120.41666666666</v>
      </c>
      <c r="L25" s="252" t="s">
        <v>1162</v>
      </c>
      <c r="M25" s="251">
        <v>46134.41666666666</v>
      </c>
      <c r="N25" s="229"/>
      <c r="O25" s="229"/>
      <c r="P25" s="229"/>
      <c r="Q25" s="229"/>
      <c r="R25" s="229"/>
      <c r="S25" s="229"/>
      <c r="T25" s="229"/>
      <c r="U25" s="229"/>
      <c r="V25" s="229"/>
      <c r="W25" s="229"/>
      <c r="X25" s="229"/>
      <c r="Y25" s="229"/>
      <c r="Z25" s="229"/>
      <c r="AA25" s="229"/>
      <c r="AB25" s="229"/>
    </row>
    <row r="26" ht="15.75" customHeight="1">
      <c r="A26" s="232"/>
      <c r="B26" s="231"/>
      <c r="C26" s="231"/>
      <c r="D26" s="232"/>
      <c r="E26" s="241" t="s">
        <v>1101</v>
      </c>
      <c r="F26" s="242" t="str">
        <f>IFERROR(__xludf.DUMMYFUNCTION("INDEX(H26:V26, MAX(FILTER(COLUMN(H27:V27)-COLUMN(H27)+1, H27:V27&lt;&gt;"""")))"),"8th")</f>
        <v>8th</v>
      </c>
      <c r="G26" s="242" t="s">
        <v>22</v>
      </c>
      <c r="H26" s="244" t="s">
        <v>1153</v>
      </c>
      <c r="I26" s="244" t="s">
        <v>1154</v>
      </c>
      <c r="J26" s="244" t="s">
        <v>1155</v>
      </c>
      <c r="K26" s="244" t="s">
        <v>1156</v>
      </c>
      <c r="L26" s="244" t="s">
        <v>1157</v>
      </c>
      <c r="M26" s="244" t="s">
        <v>1158</v>
      </c>
      <c r="N26" s="244" t="s">
        <v>1163</v>
      </c>
      <c r="O26" s="244" t="s">
        <v>1164</v>
      </c>
      <c r="P26" s="229"/>
      <c r="Q26" s="229"/>
      <c r="R26" s="229"/>
      <c r="S26" s="229"/>
      <c r="T26" s="229"/>
      <c r="U26" s="229"/>
      <c r="V26" s="229"/>
      <c r="W26" s="229"/>
      <c r="X26" s="229"/>
      <c r="Y26" s="229"/>
      <c r="Z26" s="229"/>
      <c r="AA26" s="229"/>
      <c r="AB26" s="229"/>
    </row>
    <row r="27" ht="15.75" customHeight="1">
      <c r="A27" s="232"/>
      <c r="B27" s="231"/>
      <c r="C27" s="231"/>
      <c r="D27" s="232"/>
      <c r="E27" s="247" t="s">
        <v>22</v>
      </c>
      <c r="F27" s="248"/>
      <c r="G27" s="249" t="s">
        <v>620</v>
      </c>
      <c r="H27" s="251">
        <v>46085.625</v>
      </c>
      <c r="I27" s="251">
        <v>46093.41666666666</v>
      </c>
      <c r="J27" s="251">
        <v>46099.58333333334</v>
      </c>
      <c r="K27" s="251">
        <v>46107.41666666666</v>
      </c>
      <c r="L27" s="251">
        <v>46115.625</v>
      </c>
      <c r="M27" s="251">
        <v>46128.625</v>
      </c>
      <c r="N27" s="251">
        <v>46129.41666666666</v>
      </c>
      <c r="O27" s="251">
        <v>46135.625</v>
      </c>
      <c r="P27" s="229"/>
      <c r="Q27" s="229"/>
      <c r="R27" s="229"/>
      <c r="S27" s="229"/>
      <c r="T27" s="229"/>
      <c r="U27" s="229"/>
      <c r="V27" s="229"/>
      <c r="W27" s="229"/>
      <c r="X27" s="229"/>
      <c r="Y27" s="229"/>
      <c r="Z27" s="229"/>
      <c r="AA27" s="229"/>
      <c r="AB27" s="229"/>
    </row>
    <row r="28" ht="15.75" customHeight="1">
      <c r="A28" s="232"/>
      <c r="B28" s="231"/>
      <c r="C28" s="231"/>
      <c r="D28" s="232"/>
      <c r="E28" s="247" t="s">
        <v>22</v>
      </c>
      <c r="F28" s="248"/>
      <c r="G28" s="254" t="s">
        <v>622</v>
      </c>
      <c r="H28" s="251">
        <v>46085.625</v>
      </c>
      <c r="I28" s="251">
        <v>46093.41666666666</v>
      </c>
      <c r="J28" s="251">
        <v>46099.58333333334</v>
      </c>
      <c r="K28" s="251">
        <v>46107.41666666666</v>
      </c>
      <c r="L28" s="252" t="s">
        <v>1162</v>
      </c>
      <c r="M28" s="251">
        <v>46128.625</v>
      </c>
      <c r="N28" s="251">
        <v>46129.41666666666</v>
      </c>
      <c r="O28" s="251">
        <v>46135.625</v>
      </c>
      <c r="P28" s="229"/>
      <c r="Q28" s="229"/>
      <c r="R28" s="229"/>
      <c r="S28" s="229"/>
      <c r="T28" s="229"/>
      <c r="U28" s="229"/>
      <c r="V28" s="229"/>
      <c r="W28" s="229"/>
      <c r="X28" s="229"/>
      <c r="Y28" s="229"/>
      <c r="Z28" s="229"/>
      <c r="AA28" s="229"/>
      <c r="AB28" s="229"/>
    </row>
    <row r="29" ht="15.75" customHeight="1">
      <c r="A29" s="232"/>
      <c r="B29" s="231"/>
      <c r="C29" s="231"/>
      <c r="D29" s="232"/>
      <c r="E29" s="247" t="s">
        <v>22</v>
      </c>
      <c r="F29" s="248"/>
      <c r="G29" s="254" t="s">
        <v>624</v>
      </c>
      <c r="H29" s="251">
        <v>46085.625</v>
      </c>
      <c r="I29" s="251">
        <v>46093.41666666666</v>
      </c>
      <c r="J29" s="252" t="s">
        <v>1162</v>
      </c>
      <c r="K29" s="251">
        <v>46107.41666666666</v>
      </c>
      <c r="L29" s="251">
        <v>46115.625</v>
      </c>
      <c r="M29" s="251">
        <v>46128.625</v>
      </c>
      <c r="N29" s="251">
        <v>46129.41666666666</v>
      </c>
      <c r="O29" s="251">
        <v>46135.625</v>
      </c>
      <c r="P29" s="229"/>
      <c r="Q29" s="229"/>
      <c r="R29" s="229"/>
      <c r="S29" s="229"/>
      <c r="T29" s="229"/>
      <c r="U29" s="229"/>
      <c r="V29" s="229"/>
      <c r="W29" s="229"/>
      <c r="X29" s="229"/>
      <c r="Y29" s="229"/>
      <c r="Z29" s="229"/>
      <c r="AA29" s="229"/>
      <c r="AB29" s="229"/>
    </row>
    <row r="30" ht="15.75" customHeight="1">
      <c r="A30" s="232"/>
      <c r="B30" s="231"/>
      <c r="C30" s="231"/>
      <c r="D30" s="232"/>
      <c r="E30" s="247" t="s">
        <v>22</v>
      </c>
      <c r="F30" s="248"/>
      <c r="G30" s="254" t="s">
        <v>626</v>
      </c>
      <c r="H30" s="251">
        <v>46085.625</v>
      </c>
      <c r="I30" s="251">
        <v>46093.41666666666</v>
      </c>
      <c r="J30" s="252" t="s">
        <v>1162</v>
      </c>
      <c r="K30" s="251">
        <v>46107.41666666666</v>
      </c>
      <c r="L30" s="251">
        <v>46115.625</v>
      </c>
      <c r="M30" s="251">
        <v>46128.625</v>
      </c>
      <c r="N30" s="251">
        <v>46129.41666666666</v>
      </c>
      <c r="O30" s="251">
        <v>46135.625</v>
      </c>
      <c r="P30" s="229"/>
      <c r="Q30" s="229"/>
      <c r="R30" s="229"/>
      <c r="S30" s="229"/>
      <c r="T30" s="229"/>
      <c r="U30" s="229"/>
      <c r="V30" s="229"/>
      <c r="W30" s="229"/>
      <c r="X30" s="229"/>
      <c r="Y30" s="229"/>
      <c r="Z30" s="229"/>
      <c r="AA30" s="229"/>
      <c r="AB30" s="229"/>
    </row>
    <row r="31" ht="15.75" customHeight="1">
      <c r="A31" s="232"/>
      <c r="B31" s="231"/>
      <c r="C31" s="231"/>
      <c r="D31" s="232"/>
      <c r="E31" s="247" t="s">
        <v>22</v>
      </c>
      <c r="F31" s="248"/>
      <c r="G31" s="254" t="s">
        <v>628</v>
      </c>
      <c r="H31" s="251">
        <v>46085.625</v>
      </c>
      <c r="I31" s="251">
        <v>46093.41666666666</v>
      </c>
      <c r="J31" s="251">
        <v>46099.58333333334</v>
      </c>
      <c r="K31" s="251">
        <v>46107.41666666666</v>
      </c>
      <c r="L31" s="251">
        <v>46115.625</v>
      </c>
      <c r="M31" s="251">
        <v>46128.625</v>
      </c>
      <c r="N31" s="251">
        <v>46129.41666666666</v>
      </c>
      <c r="O31" s="251">
        <v>46135.625</v>
      </c>
      <c r="P31" s="229"/>
      <c r="Q31" s="229"/>
      <c r="R31" s="229"/>
      <c r="S31" s="229"/>
      <c r="T31" s="229"/>
      <c r="U31" s="229"/>
      <c r="V31" s="229"/>
      <c r="W31" s="229"/>
      <c r="X31" s="229"/>
      <c r="Y31" s="229"/>
      <c r="Z31" s="229"/>
      <c r="AA31" s="229"/>
      <c r="AB31" s="229"/>
    </row>
    <row r="32" ht="15.75" customHeight="1">
      <c r="A32" s="232"/>
      <c r="B32" s="231"/>
      <c r="C32" s="231"/>
      <c r="D32" s="232"/>
      <c r="E32" s="247" t="s">
        <v>23</v>
      </c>
      <c r="F32" s="248"/>
      <c r="G32" s="254" t="s">
        <v>1102</v>
      </c>
      <c r="H32" s="250"/>
      <c r="I32" s="255"/>
      <c r="J32" s="255"/>
      <c r="K32" s="251">
        <v>46107.41666666666</v>
      </c>
      <c r="L32" s="252" t="s">
        <v>1162</v>
      </c>
      <c r="M32" s="251">
        <v>46128.625</v>
      </c>
      <c r="N32" s="251">
        <v>46129.41666666666</v>
      </c>
      <c r="O32" s="251">
        <v>46135.625</v>
      </c>
      <c r="P32" s="229"/>
      <c r="Q32" s="229"/>
      <c r="R32" s="229"/>
      <c r="S32" s="229"/>
      <c r="T32" s="229"/>
      <c r="U32" s="229"/>
      <c r="V32" s="229"/>
      <c r="W32" s="229"/>
      <c r="X32" s="229"/>
      <c r="Y32" s="229"/>
      <c r="Z32" s="229"/>
      <c r="AA32" s="229"/>
      <c r="AB32" s="229"/>
    </row>
    <row r="33" ht="15.75" customHeight="1">
      <c r="A33" s="232"/>
      <c r="B33" s="231"/>
      <c r="C33" s="231"/>
      <c r="D33" s="232"/>
      <c r="E33" s="241" t="s">
        <v>1100</v>
      </c>
      <c r="F33" s="242" t="str">
        <f>IFERROR(__xludf.DUMMYFUNCTION("INDEX(H33:V33, MAX(FILTER(COLUMN(H34:V34)-COLUMN(H34)+1, H34:V34&lt;&gt;"""")))"),"8th")</f>
        <v>8th</v>
      </c>
      <c r="G33" s="242" t="s">
        <v>22</v>
      </c>
      <c r="H33" s="244" t="s">
        <v>1153</v>
      </c>
      <c r="I33" s="244" t="s">
        <v>1154</v>
      </c>
      <c r="J33" s="244" t="s">
        <v>1155</v>
      </c>
      <c r="K33" s="244" t="s">
        <v>1156</v>
      </c>
      <c r="L33" s="244" t="s">
        <v>1157</v>
      </c>
      <c r="M33" s="244" t="s">
        <v>1158</v>
      </c>
      <c r="N33" s="244" t="s">
        <v>1163</v>
      </c>
      <c r="O33" s="244" t="s">
        <v>1164</v>
      </c>
      <c r="P33" s="229"/>
      <c r="Q33" s="229"/>
      <c r="R33" s="229"/>
      <c r="S33" s="229"/>
      <c r="T33" s="229"/>
      <c r="U33" s="229"/>
      <c r="V33" s="229"/>
      <c r="W33" s="229"/>
      <c r="X33" s="229"/>
      <c r="Y33" s="229"/>
      <c r="Z33" s="229"/>
      <c r="AA33" s="229"/>
      <c r="AB33" s="229"/>
    </row>
    <row r="34" ht="15.75" customHeight="1">
      <c r="A34" s="232"/>
      <c r="B34" s="231"/>
      <c r="C34" s="231"/>
      <c r="D34" s="232"/>
      <c r="E34" s="247" t="s">
        <v>22</v>
      </c>
      <c r="F34" s="248"/>
      <c r="G34" s="249" t="s">
        <v>610</v>
      </c>
      <c r="H34" s="251">
        <v>46085.58333333334</v>
      </c>
      <c r="I34" s="251">
        <v>46093.58333333334</v>
      </c>
      <c r="J34" s="251">
        <v>46099.58333333334</v>
      </c>
      <c r="K34" s="251">
        <v>46108.41666666666</v>
      </c>
      <c r="L34" s="251">
        <v>46114.625</v>
      </c>
      <c r="M34" s="251">
        <v>46121.625</v>
      </c>
      <c r="N34" s="251">
        <v>46129.41666666666</v>
      </c>
      <c r="O34" s="251">
        <v>46135.54166666666</v>
      </c>
      <c r="P34" s="229"/>
      <c r="Q34" s="229"/>
      <c r="R34" s="229"/>
      <c r="S34" s="229"/>
      <c r="T34" s="229"/>
      <c r="U34" s="229"/>
      <c r="V34" s="229"/>
      <c r="W34" s="229"/>
      <c r="X34" s="229"/>
      <c r="Y34" s="229"/>
      <c r="Z34" s="229"/>
      <c r="AA34" s="229"/>
      <c r="AB34" s="229"/>
    </row>
    <row r="35" ht="15.75" customHeight="1">
      <c r="A35" s="232"/>
      <c r="B35" s="231"/>
      <c r="C35" s="231"/>
      <c r="D35" s="232"/>
      <c r="E35" s="247" t="s">
        <v>22</v>
      </c>
      <c r="F35" s="248"/>
      <c r="G35" s="254" t="s">
        <v>612</v>
      </c>
      <c r="H35" s="251">
        <v>46085.58333333334</v>
      </c>
      <c r="I35" s="251">
        <v>46093.58333333334</v>
      </c>
      <c r="J35" s="251">
        <v>46099.58333333334</v>
      </c>
      <c r="K35" s="251">
        <v>46108.41666666666</v>
      </c>
      <c r="L35" s="251">
        <v>46114.625</v>
      </c>
      <c r="M35" s="251">
        <v>46121.625</v>
      </c>
      <c r="N35" s="251">
        <v>46129.41666666666</v>
      </c>
      <c r="O35" s="252" t="s">
        <v>1162</v>
      </c>
      <c r="P35" s="229"/>
      <c r="Q35" s="229"/>
      <c r="R35" s="229"/>
      <c r="S35" s="229"/>
      <c r="T35" s="229"/>
      <c r="U35" s="229"/>
      <c r="V35" s="229"/>
      <c r="W35" s="229"/>
      <c r="X35" s="229"/>
      <c r="Y35" s="229"/>
      <c r="Z35" s="229"/>
      <c r="AA35" s="229"/>
      <c r="AB35" s="229"/>
    </row>
    <row r="36" ht="15.75" customHeight="1">
      <c r="A36" s="232"/>
      <c r="B36" s="231"/>
      <c r="C36" s="231"/>
      <c r="D36" s="232"/>
      <c r="E36" s="247" t="s">
        <v>22</v>
      </c>
      <c r="F36" s="248"/>
      <c r="G36" s="254" t="s">
        <v>614</v>
      </c>
      <c r="H36" s="251">
        <v>46085.58333333334</v>
      </c>
      <c r="I36" s="251">
        <v>46093.58333333334</v>
      </c>
      <c r="J36" s="251">
        <v>46099.58333333334</v>
      </c>
      <c r="K36" s="251">
        <v>46108.41666666666</v>
      </c>
      <c r="L36" s="251">
        <v>46114.625</v>
      </c>
      <c r="M36" s="251">
        <v>46121.625</v>
      </c>
      <c r="N36" s="251">
        <v>46129.41666666666</v>
      </c>
      <c r="O36" s="251">
        <v>46135.54166666666</v>
      </c>
      <c r="P36" s="229"/>
      <c r="Q36" s="229"/>
      <c r="R36" s="229"/>
      <c r="S36" s="229"/>
      <c r="T36" s="229"/>
      <c r="U36" s="229"/>
      <c r="V36" s="229"/>
      <c r="W36" s="229"/>
      <c r="X36" s="229"/>
      <c r="Y36" s="229"/>
      <c r="Z36" s="229"/>
      <c r="AA36" s="229"/>
      <c r="AB36" s="229"/>
    </row>
    <row r="37" ht="15.75" customHeight="1">
      <c r="A37" s="232"/>
      <c r="B37" s="231"/>
      <c r="C37" s="231"/>
      <c r="D37" s="232"/>
      <c r="E37" s="247" t="s">
        <v>22</v>
      </c>
      <c r="F37" s="248"/>
      <c r="G37" s="254" t="s">
        <v>616</v>
      </c>
      <c r="H37" s="251">
        <v>46085.58333333334</v>
      </c>
      <c r="I37" s="251">
        <v>46093.58333333334</v>
      </c>
      <c r="J37" s="251">
        <v>46099.58333333334</v>
      </c>
      <c r="K37" s="251">
        <v>46108.41666666666</v>
      </c>
      <c r="L37" s="251">
        <v>46114.625</v>
      </c>
      <c r="M37" s="251">
        <v>46121.625</v>
      </c>
      <c r="N37" s="251">
        <v>46129.41666666666</v>
      </c>
      <c r="O37" s="251">
        <v>46135.54166666666</v>
      </c>
      <c r="P37" s="229"/>
      <c r="Q37" s="229"/>
      <c r="R37" s="229"/>
      <c r="S37" s="229"/>
      <c r="T37" s="229"/>
      <c r="U37" s="229"/>
      <c r="V37" s="229"/>
      <c r="W37" s="229"/>
      <c r="X37" s="229"/>
      <c r="Y37" s="229"/>
      <c r="Z37" s="229"/>
      <c r="AA37" s="229"/>
      <c r="AB37" s="229"/>
    </row>
    <row r="38" ht="15.75" customHeight="1">
      <c r="A38" s="232"/>
      <c r="B38" s="231"/>
      <c r="C38" s="231"/>
      <c r="D38" s="232"/>
      <c r="E38" s="247" t="s">
        <v>22</v>
      </c>
      <c r="F38" s="248"/>
      <c r="G38" s="254" t="s">
        <v>618</v>
      </c>
      <c r="H38" s="251">
        <v>46085.58333333334</v>
      </c>
      <c r="I38" s="251">
        <v>46093.58333333334</v>
      </c>
      <c r="J38" s="252" t="s">
        <v>1162</v>
      </c>
      <c r="K38" s="251">
        <v>46108.41666666666</v>
      </c>
      <c r="L38" s="251">
        <v>46114.625</v>
      </c>
      <c r="M38" s="251">
        <v>46121.625</v>
      </c>
      <c r="N38" s="252" t="s">
        <v>1162</v>
      </c>
      <c r="O38" s="251">
        <v>46135.54166666666</v>
      </c>
      <c r="P38" s="229"/>
      <c r="Q38" s="229"/>
      <c r="R38" s="229"/>
      <c r="S38" s="229"/>
      <c r="T38" s="229"/>
      <c r="U38" s="229"/>
      <c r="V38" s="229"/>
      <c r="W38" s="229"/>
      <c r="X38" s="229"/>
      <c r="Y38" s="229"/>
      <c r="Z38" s="229"/>
      <c r="AA38" s="229"/>
      <c r="AB38" s="229"/>
    </row>
    <row r="39" ht="15.75" customHeight="1">
      <c r="A39" s="232"/>
      <c r="B39" s="231"/>
      <c r="C39" s="231"/>
      <c r="D39" s="232"/>
      <c r="E39" s="247" t="s">
        <v>22</v>
      </c>
      <c r="F39" s="248"/>
      <c r="G39" s="249" t="s">
        <v>608</v>
      </c>
      <c r="H39" s="251">
        <v>46085.58333333334</v>
      </c>
      <c r="I39" s="251">
        <v>46093.58333333334</v>
      </c>
      <c r="J39" s="252" t="s">
        <v>1162</v>
      </c>
      <c r="K39" s="251">
        <v>46108.41666666666</v>
      </c>
      <c r="L39" s="251">
        <v>46114.625</v>
      </c>
      <c r="M39" s="251">
        <v>46121.625</v>
      </c>
      <c r="N39" s="251">
        <v>46129.41666666666</v>
      </c>
      <c r="O39" s="251">
        <v>46135.54166666666</v>
      </c>
      <c r="P39" s="229"/>
      <c r="Q39" s="229"/>
      <c r="R39" s="229"/>
      <c r="S39" s="229"/>
      <c r="T39" s="229"/>
      <c r="U39" s="229"/>
      <c r="V39" s="229"/>
      <c r="W39" s="229"/>
      <c r="X39" s="229"/>
      <c r="Y39" s="229"/>
      <c r="Z39" s="229"/>
      <c r="AA39" s="229"/>
      <c r="AB39" s="229"/>
    </row>
    <row r="40" ht="15.75" customHeight="1">
      <c r="A40" s="232"/>
      <c r="B40" s="231"/>
      <c r="C40" s="231"/>
      <c r="D40" s="232"/>
      <c r="E40" s="235"/>
      <c r="F40" s="234"/>
      <c r="G40" s="229"/>
      <c r="H40" s="229"/>
      <c r="I40" s="229"/>
      <c r="J40" s="229"/>
      <c r="K40" s="229"/>
      <c r="L40" s="229"/>
      <c r="M40" s="229"/>
      <c r="N40" s="229"/>
      <c r="O40" s="229"/>
      <c r="P40" s="229"/>
      <c r="Q40" s="229"/>
      <c r="R40" s="229"/>
      <c r="S40" s="229"/>
      <c r="T40" s="229"/>
      <c r="U40" s="229"/>
      <c r="V40" s="229"/>
      <c r="W40" s="229"/>
      <c r="X40" s="229"/>
      <c r="Y40" s="229"/>
      <c r="Z40" s="229"/>
      <c r="AA40" s="229"/>
      <c r="AB40" s="229"/>
    </row>
    <row r="41" ht="15.75" customHeight="1">
      <c r="A41" s="232"/>
      <c r="B41" s="231"/>
      <c r="C41" s="231"/>
      <c r="D41" s="232"/>
      <c r="E41" s="235"/>
      <c r="F41" s="234"/>
      <c r="G41" s="229"/>
      <c r="H41" s="229"/>
      <c r="I41" s="229"/>
      <c r="J41" s="229"/>
      <c r="K41" s="229"/>
      <c r="L41" s="229"/>
      <c r="M41" s="229"/>
      <c r="N41" s="229"/>
      <c r="O41" s="229"/>
      <c r="P41" s="229"/>
      <c r="Q41" s="229"/>
      <c r="R41" s="229"/>
      <c r="S41" s="229"/>
      <c r="T41" s="229"/>
      <c r="U41" s="229"/>
      <c r="V41" s="229"/>
      <c r="W41" s="229"/>
      <c r="X41" s="229"/>
      <c r="Y41" s="229"/>
      <c r="Z41" s="229"/>
      <c r="AA41" s="229"/>
      <c r="AB41" s="229"/>
    </row>
    <row r="42" ht="15.75" customHeight="1">
      <c r="A42" s="232"/>
      <c r="B42" s="231"/>
      <c r="C42" s="231"/>
      <c r="D42" s="232"/>
      <c r="E42" s="235"/>
      <c r="F42" s="234"/>
      <c r="G42" s="229"/>
      <c r="H42" s="229"/>
      <c r="I42" s="229"/>
      <c r="J42" s="229"/>
      <c r="K42" s="229"/>
      <c r="L42" s="229"/>
      <c r="M42" s="229"/>
      <c r="N42" s="229"/>
      <c r="O42" s="229"/>
      <c r="P42" s="229"/>
      <c r="Q42" s="229"/>
      <c r="R42" s="229"/>
      <c r="S42" s="229"/>
      <c r="T42" s="229"/>
      <c r="U42" s="229"/>
      <c r="V42" s="229"/>
      <c r="W42" s="229"/>
      <c r="X42" s="229"/>
      <c r="Y42" s="229"/>
      <c r="Z42" s="229"/>
      <c r="AA42" s="229"/>
      <c r="AB42" s="229"/>
    </row>
    <row r="43" ht="15.75" customHeight="1">
      <c r="A43" s="232"/>
      <c r="B43" s="231"/>
      <c r="C43" s="231"/>
      <c r="D43" s="232"/>
      <c r="E43" s="235"/>
      <c r="F43" s="234"/>
      <c r="G43" s="229"/>
      <c r="H43" s="229"/>
      <c r="I43" s="229"/>
      <c r="J43" s="229"/>
      <c r="K43" s="229"/>
      <c r="L43" s="229"/>
      <c r="M43" s="229"/>
      <c r="N43" s="229"/>
      <c r="O43" s="229"/>
      <c r="P43" s="229"/>
      <c r="Q43" s="229"/>
      <c r="R43" s="229"/>
      <c r="S43" s="229"/>
      <c r="T43" s="229"/>
      <c r="U43" s="229"/>
      <c r="V43" s="229"/>
      <c r="W43" s="229"/>
      <c r="X43" s="229"/>
      <c r="Y43" s="229"/>
      <c r="Z43" s="229"/>
      <c r="AA43" s="229"/>
      <c r="AB43" s="229"/>
    </row>
    <row r="44" ht="15.75" customHeight="1">
      <c r="A44" s="232"/>
      <c r="B44" s="231"/>
      <c r="C44" s="231"/>
      <c r="D44" s="232"/>
      <c r="E44" s="235"/>
      <c r="F44" s="234"/>
      <c r="G44" s="229"/>
      <c r="H44" s="229"/>
      <c r="I44" s="229"/>
      <c r="J44" s="229"/>
      <c r="K44" s="229"/>
      <c r="L44" s="229"/>
      <c r="M44" s="229"/>
      <c r="N44" s="229"/>
      <c r="O44" s="229"/>
      <c r="P44" s="229"/>
      <c r="Q44" s="229"/>
      <c r="R44" s="229"/>
      <c r="S44" s="229"/>
      <c r="T44" s="229"/>
      <c r="U44" s="229"/>
      <c r="V44" s="229"/>
      <c r="W44" s="229"/>
      <c r="X44" s="229"/>
      <c r="Y44" s="229"/>
      <c r="Z44" s="229"/>
      <c r="AA44" s="229"/>
      <c r="AB44" s="229"/>
    </row>
    <row r="45" ht="15.75" customHeight="1">
      <c r="A45" s="232"/>
      <c r="B45" s="231"/>
      <c r="C45" s="231"/>
      <c r="D45" s="232"/>
      <c r="E45" s="235"/>
      <c r="F45" s="234"/>
      <c r="G45" s="229"/>
      <c r="H45" s="229"/>
      <c r="I45" s="229"/>
      <c r="J45" s="229"/>
      <c r="K45" s="229"/>
      <c r="L45" s="229"/>
      <c r="M45" s="229"/>
      <c r="N45" s="229"/>
      <c r="O45" s="229"/>
      <c r="P45" s="229"/>
      <c r="Q45" s="229"/>
      <c r="R45" s="229"/>
      <c r="S45" s="229"/>
      <c r="T45" s="229"/>
      <c r="U45" s="229"/>
      <c r="V45" s="229"/>
      <c r="W45" s="229"/>
      <c r="X45" s="229"/>
      <c r="Y45" s="229"/>
      <c r="Z45" s="229"/>
      <c r="AA45" s="229"/>
      <c r="AB45" s="229"/>
    </row>
    <row r="46" ht="15.75" customHeight="1">
      <c r="A46" s="232"/>
      <c r="B46" s="231"/>
      <c r="C46" s="231"/>
      <c r="D46" s="232"/>
      <c r="E46" s="235"/>
      <c r="F46" s="234"/>
      <c r="G46" s="229"/>
      <c r="H46" s="229"/>
      <c r="I46" s="229"/>
      <c r="J46" s="229"/>
      <c r="K46" s="229"/>
      <c r="L46" s="229"/>
      <c r="M46" s="229"/>
      <c r="N46" s="229"/>
      <c r="O46" s="229"/>
      <c r="P46" s="229"/>
      <c r="Q46" s="229"/>
      <c r="R46" s="229"/>
      <c r="S46" s="229"/>
      <c r="T46" s="229"/>
      <c r="U46" s="229"/>
      <c r="V46" s="229"/>
      <c r="W46" s="229"/>
      <c r="X46" s="229"/>
      <c r="Y46" s="229"/>
      <c r="Z46" s="229"/>
      <c r="AA46" s="229"/>
      <c r="AB46" s="229"/>
    </row>
    <row r="47" ht="15.75" customHeight="1">
      <c r="A47" s="232"/>
      <c r="B47" s="231"/>
      <c r="C47" s="231"/>
      <c r="D47" s="232"/>
      <c r="E47" s="235"/>
      <c r="F47" s="234"/>
      <c r="G47" s="229"/>
      <c r="H47" s="229"/>
      <c r="I47" s="229"/>
      <c r="J47" s="229"/>
      <c r="K47" s="229"/>
      <c r="L47" s="229"/>
      <c r="M47" s="229"/>
      <c r="N47" s="229"/>
      <c r="O47" s="229"/>
      <c r="P47" s="229"/>
      <c r="Q47" s="229"/>
      <c r="R47" s="229"/>
      <c r="S47" s="229"/>
      <c r="T47" s="229"/>
      <c r="U47" s="229"/>
      <c r="V47" s="229"/>
      <c r="W47" s="229"/>
      <c r="X47" s="229"/>
      <c r="Y47" s="229"/>
      <c r="Z47" s="229"/>
      <c r="AA47" s="229"/>
      <c r="AB47" s="229"/>
    </row>
    <row r="48" ht="15.75" customHeight="1">
      <c r="A48" s="232"/>
      <c r="B48" s="231"/>
      <c r="C48" s="231"/>
      <c r="D48" s="232"/>
      <c r="E48" s="235"/>
      <c r="F48" s="234"/>
      <c r="G48" s="229"/>
      <c r="H48" s="229"/>
      <c r="I48" s="229"/>
      <c r="J48" s="229"/>
      <c r="K48" s="229"/>
      <c r="L48" s="229"/>
      <c r="M48" s="229"/>
      <c r="N48" s="229"/>
      <c r="O48" s="229"/>
      <c r="P48" s="229"/>
      <c r="Q48" s="229"/>
      <c r="R48" s="229"/>
      <c r="S48" s="229"/>
      <c r="T48" s="229"/>
      <c r="U48" s="229"/>
      <c r="V48" s="229"/>
      <c r="W48" s="229"/>
      <c r="X48" s="229"/>
      <c r="Y48" s="229"/>
      <c r="Z48" s="229"/>
      <c r="AA48" s="229"/>
      <c r="AB48" s="229"/>
    </row>
    <row r="49" ht="15.75" customHeight="1">
      <c r="A49" s="232"/>
      <c r="B49" s="231"/>
      <c r="C49" s="231"/>
      <c r="D49" s="232"/>
      <c r="E49" s="235"/>
      <c r="F49" s="234"/>
      <c r="G49" s="229"/>
      <c r="H49" s="229"/>
      <c r="I49" s="229"/>
      <c r="J49" s="229"/>
      <c r="K49" s="229"/>
      <c r="L49" s="229"/>
      <c r="M49" s="229"/>
      <c r="N49" s="229"/>
      <c r="O49" s="229"/>
      <c r="P49" s="229"/>
      <c r="Q49" s="229"/>
      <c r="R49" s="229"/>
      <c r="S49" s="229"/>
      <c r="T49" s="229"/>
      <c r="U49" s="229"/>
      <c r="V49" s="229"/>
      <c r="W49" s="229"/>
      <c r="X49" s="229"/>
      <c r="Y49" s="229"/>
      <c r="Z49" s="229"/>
      <c r="AA49" s="229"/>
      <c r="AB49" s="229"/>
    </row>
    <row r="50" ht="15.75" customHeight="1">
      <c r="A50" s="232"/>
      <c r="B50" s="231"/>
      <c r="C50" s="231"/>
      <c r="D50" s="232"/>
      <c r="E50" s="235"/>
      <c r="F50" s="234"/>
      <c r="G50" s="229"/>
      <c r="H50" s="229"/>
      <c r="I50" s="229"/>
      <c r="J50" s="229"/>
      <c r="K50" s="229"/>
      <c r="L50" s="229"/>
      <c r="M50" s="229"/>
      <c r="N50" s="229"/>
      <c r="O50" s="229"/>
      <c r="P50" s="229"/>
      <c r="Q50" s="229"/>
      <c r="R50" s="229"/>
      <c r="S50" s="229"/>
      <c r="T50" s="229"/>
      <c r="U50" s="229"/>
      <c r="V50" s="229"/>
      <c r="W50" s="229"/>
      <c r="X50" s="229"/>
      <c r="Y50" s="229"/>
      <c r="Z50" s="229"/>
      <c r="AA50" s="229"/>
      <c r="AB50" s="229"/>
    </row>
    <row r="51" ht="15.75" customHeight="1">
      <c r="A51" s="232"/>
      <c r="B51" s="231"/>
      <c r="C51" s="231"/>
      <c r="D51" s="232"/>
      <c r="E51" s="235"/>
      <c r="F51" s="234"/>
      <c r="G51" s="229"/>
      <c r="H51" s="229"/>
      <c r="I51" s="229"/>
      <c r="J51" s="229"/>
      <c r="K51" s="229"/>
      <c r="L51" s="229"/>
      <c r="M51" s="229"/>
      <c r="N51" s="229"/>
      <c r="O51" s="229"/>
      <c r="P51" s="229"/>
      <c r="Q51" s="229"/>
      <c r="R51" s="229"/>
      <c r="S51" s="229"/>
      <c r="T51" s="229"/>
      <c r="U51" s="229"/>
      <c r="V51" s="229"/>
      <c r="W51" s="229"/>
      <c r="X51" s="229"/>
      <c r="Y51" s="229"/>
      <c r="Z51" s="229"/>
      <c r="AA51" s="229"/>
      <c r="AB51" s="229"/>
    </row>
    <row r="52" ht="15.75" customHeight="1">
      <c r="A52" s="232"/>
      <c r="B52" s="231"/>
      <c r="C52" s="231"/>
      <c r="D52" s="232"/>
      <c r="E52" s="235"/>
      <c r="F52" s="234"/>
      <c r="G52" s="229"/>
      <c r="H52" s="229"/>
      <c r="I52" s="229"/>
      <c r="J52" s="229"/>
      <c r="K52" s="229"/>
      <c r="L52" s="229"/>
      <c r="M52" s="229"/>
      <c r="N52" s="229"/>
      <c r="O52" s="229"/>
      <c r="P52" s="229"/>
      <c r="Q52" s="229"/>
      <c r="R52" s="229"/>
      <c r="S52" s="229"/>
      <c r="T52" s="229"/>
      <c r="U52" s="229"/>
      <c r="V52" s="229"/>
      <c r="W52" s="229"/>
      <c r="X52" s="229"/>
      <c r="Y52" s="229"/>
      <c r="Z52" s="229"/>
      <c r="AA52" s="229"/>
      <c r="AB52" s="229"/>
    </row>
    <row r="53" ht="15.75" customHeight="1">
      <c r="A53" s="232"/>
      <c r="B53" s="231"/>
      <c r="C53" s="231"/>
      <c r="D53" s="232"/>
      <c r="E53" s="235"/>
      <c r="F53" s="234"/>
      <c r="G53" s="229"/>
      <c r="H53" s="229"/>
      <c r="I53" s="229"/>
      <c r="J53" s="229"/>
      <c r="K53" s="229"/>
      <c r="L53" s="229"/>
      <c r="M53" s="229"/>
      <c r="N53" s="229"/>
      <c r="O53" s="229"/>
      <c r="P53" s="229"/>
      <c r="Q53" s="229"/>
      <c r="R53" s="229"/>
      <c r="S53" s="229"/>
      <c r="T53" s="229"/>
      <c r="U53" s="229"/>
      <c r="V53" s="229"/>
      <c r="W53" s="229"/>
      <c r="X53" s="229"/>
      <c r="Y53" s="229"/>
      <c r="Z53" s="229"/>
      <c r="AA53" s="229"/>
      <c r="AB53" s="229"/>
    </row>
    <row r="54" ht="15.75" customHeight="1">
      <c r="A54" s="232"/>
      <c r="B54" s="231"/>
      <c r="C54" s="231"/>
      <c r="D54" s="232"/>
      <c r="E54" s="235"/>
      <c r="F54" s="234"/>
      <c r="G54" s="229"/>
      <c r="H54" s="229"/>
      <c r="I54" s="229"/>
      <c r="J54" s="229"/>
      <c r="K54" s="229"/>
      <c r="L54" s="229"/>
      <c r="M54" s="229"/>
      <c r="N54" s="229"/>
      <c r="O54" s="229"/>
      <c r="P54" s="229"/>
      <c r="Q54" s="229"/>
      <c r="R54" s="229"/>
      <c r="S54" s="229"/>
      <c r="T54" s="229"/>
      <c r="U54" s="229"/>
      <c r="V54" s="229"/>
      <c r="W54" s="229"/>
      <c r="X54" s="229"/>
      <c r="Y54" s="229"/>
      <c r="Z54" s="229"/>
      <c r="AA54" s="229"/>
      <c r="AB54" s="229"/>
    </row>
    <row r="55" ht="15.75" customHeight="1">
      <c r="A55" s="232"/>
      <c r="B55" s="231"/>
      <c r="C55" s="231"/>
      <c r="D55" s="232"/>
      <c r="E55" s="235"/>
      <c r="F55" s="234"/>
      <c r="G55" s="229"/>
      <c r="H55" s="229"/>
      <c r="I55" s="229"/>
      <c r="J55" s="229"/>
      <c r="K55" s="229"/>
      <c r="L55" s="229"/>
      <c r="M55" s="229"/>
      <c r="N55" s="229"/>
      <c r="O55" s="229"/>
      <c r="P55" s="229"/>
      <c r="Q55" s="229"/>
      <c r="R55" s="229"/>
      <c r="S55" s="229"/>
      <c r="T55" s="229"/>
      <c r="U55" s="229"/>
      <c r="V55" s="229"/>
      <c r="W55" s="229"/>
      <c r="X55" s="229"/>
      <c r="Y55" s="229"/>
      <c r="Z55" s="229"/>
      <c r="AA55" s="229"/>
      <c r="AB55" s="229"/>
    </row>
    <row r="56" ht="15.75" customHeight="1">
      <c r="A56" s="232"/>
      <c r="B56" s="231"/>
      <c r="C56" s="231"/>
      <c r="D56" s="232"/>
      <c r="E56" s="235"/>
      <c r="F56" s="234"/>
      <c r="G56" s="229"/>
      <c r="H56" s="229"/>
      <c r="I56" s="229"/>
      <c r="J56" s="229"/>
      <c r="K56" s="229"/>
      <c r="L56" s="229"/>
      <c r="M56" s="229"/>
      <c r="N56" s="229"/>
      <c r="O56" s="229"/>
      <c r="P56" s="229"/>
      <c r="Q56" s="229"/>
      <c r="R56" s="229"/>
      <c r="S56" s="229"/>
      <c r="T56" s="229"/>
      <c r="U56" s="229"/>
      <c r="V56" s="229"/>
      <c r="W56" s="229"/>
      <c r="X56" s="229"/>
      <c r="Y56" s="229"/>
      <c r="Z56" s="229"/>
      <c r="AA56" s="229"/>
      <c r="AB56" s="229"/>
    </row>
    <row r="57" ht="15.75" customHeight="1">
      <c r="A57" s="232"/>
      <c r="B57" s="231"/>
      <c r="C57" s="231"/>
      <c r="D57" s="232"/>
      <c r="E57" s="235"/>
      <c r="F57" s="234"/>
      <c r="G57" s="229"/>
      <c r="H57" s="229"/>
      <c r="I57" s="229"/>
      <c r="J57" s="229"/>
      <c r="K57" s="229"/>
      <c r="L57" s="229"/>
      <c r="M57" s="229"/>
      <c r="N57" s="229"/>
      <c r="O57" s="229"/>
      <c r="P57" s="229"/>
      <c r="Q57" s="229"/>
      <c r="R57" s="229"/>
      <c r="S57" s="229"/>
      <c r="T57" s="229"/>
      <c r="U57" s="229"/>
      <c r="V57" s="229"/>
      <c r="W57" s="229"/>
      <c r="X57" s="229"/>
      <c r="Y57" s="229"/>
      <c r="Z57" s="229"/>
      <c r="AA57" s="229"/>
      <c r="AB57" s="229"/>
    </row>
    <row r="58" ht="15.75" customHeight="1">
      <c r="A58" s="232"/>
      <c r="B58" s="231"/>
      <c r="C58" s="231"/>
      <c r="D58" s="232"/>
      <c r="E58" s="235"/>
      <c r="F58" s="234"/>
      <c r="G58" s="229"/>
      <c r="H58" s="229"/>
      <c r="I58" s="229"/>
      <c r="J58" s="229"/>
      <c r="K58" s="229"/>
      <c r="L58" s="229"/>
      <c r="M58" s="229"/>
      <c r="N58" s="229"/>
      <c r="O58" s="229"/>
      <c r="P58" s="229"/>
      <c r="Q58" s="229"/>
      <c r="R58" s="229"/>
      <c r="S58" s="229"/>
      <c r="T58" s="229"/>
      <c r="U58" s="229"/>
      <c r="V58" s="229"/>
      <c r="W58" s="229"/>
      <c r="X58" s="229"/>
      <c r="Y58" s="229"/>
      <c r="Z58" s="229"/>
      <c r="AA58" s="229"/>
      <c r="AB58" s="229"/>
    </row>
    <row r="59" ht="15.75" customHeight="1">
      <c r="A59" s="232"/>
      <c r="B59" s="231"/>
      <c r="C59" s="231"/>
      <c r="D59" s="232"/>
      <c r="E59" s="235"/>
      <c r="F59" s="234"/>
      <c r="G59" s="229"/>
      <c r="H59" s="229"/>
      <c r="I59" s="229"/>
      <c r="J59" s="229"/>
      <c r="K59" s="229"/>
      <c r="L59" s="229"/>
      <c r="M59" s="229"/>
      <c r="N59" s="229"/>
      <c r="O59" s="229"/>
      <c r="P59" s="229"/>
      <c r="Q59" s="229"/>
      <c r="R59" s="229"/>
      <c r="S59" s="229"/>
      <c r="T59" s="229"/>
      <c r="U59" s="229"/>
      <c r="V59" s="229"/>
      <c r="W59" s="229"/>
      <c r="X59" s="229"/>
      <c r="Y59" s="229"/>
      <c r="Z59" s="229"/>
      <c r="AA59" s="229"/>
      <c r="AB59" s="229"/>
    </row>
    <row r="60" ht="15.75" customHeight="1">
      <c r="A60" s="232"/>
      <c r="B60" s="231"/>
      <c r="C60" s="231"/>
      <c r="D60" s="232"/>
      <c r="E60" s="235"/>
      <c r="F60" s="234"/>
      <c r="G60" s="229"/>
      <c r="H60" s="229"/>
      <c r="I60" s="229"/>
      <c r="J60" s="229"/>
      <c r="K60" s="229"/>
      <c r="L60" s="229"/>
      <c r="M60" s="229"/>
      <c r="N60" s="229"/>
      <c r="O60" s="229"/>
      <c r="P60" s="229"/>
      <c r="Q60" s="229"/>
      <c r="R60" s="229"/>
      <c r="S60" s="229"/>
      <c r="T60" s="229"/>
      <c r="U60" s="229"/>
      <c r="V60" s="229"/>
      <c r="W60" s="229"/>
      <c r="X60" s="229"/>
      <c r="Y60" s="229"/>
      <c r="Z60" s="229"/>
      <c r="AA60" s="229"/>
      <c r="AB60" s="229"/>
    </row>
    <row r="61" ht="15.75" customHeight="1">
      <c r="A61" s="232"/>
      <c r="B61" s="231"/>
      <c r="C61" s="231"/>
      <c r="D61" s="232"/>
      <c r="E61" s="235"/>
      <c r="F61" s="234"/>
      <c r="G61" s="229"/>
      <c r="H61" s="229"/>
      <c r="I61" s="229"/>
      <c r="J61" s="229"/>
      <c r="K61" s="229"/>
      <c r="L61" s="229"/>
      <c r="M61" s="229"/>
      <c r="N61" s="229"/>
      <c r="O61" s="229"/>
      <c r="P61" s="229"/>
      <c r="Q61" s="229"/>
      <c r="R61" s="229"/>
      <c r="S61" s="229"/>
      <c r="T61" s="229"/>
      <c r="U61" s="229"/>
      <c r="V61" s="229"/>
      <c r="W61" s="229"/>
      <c r="X61" s="229"/>
      <c r="Y61" s="229"/>
      <c r="Z61" s="229"/>
      <c r="AA61" s="229"/>
      <c r="AB61" s="229"/>
    </row>
    <row r="62" ht="15.75" customHeight="1">
      <c r="A62" s="232"/>
      <c r="B62" s="231"/>
      <c r="C62" s="231"/>
      <c r="D62" s="232"/>
      <c r="E62" s="235"/>
      <c r="F62" s="234"/>
      <c r="G62" s="229"/>
      <c r="H62" s="229"/>
      <c r="I62" s="229"/>
      <c r="J62" s="229"/>
      <c r="K62" s="229"/>
      <c r="L62" s="229"/>
      <c r="M62" s="229"/>
      <c r="N62" s="229"/>
      <c r="O62" s="229"/>
      <c r="P62" s="229"/>
      <c r="Q62" s="229"/>
      <c r="R62" s="229"/>
      <c r="S62" s="229"/>
      <c r="T62" s="229"/>
      <c r="U62" s="229"/>
      <c r="V62" s="229"/>
      <c r="W62" s="229"/>
      <c r="X62" s="229"/>
      <c r="Y62" s="229"/>
      <c r="Z62" s="229"/>
      <c r="AA62" s="229"/>
      <c r="AB62" s="229"/>
    </row>
    <row r="63" ht="15.75" customHeight="1">
      <c r="A63" s="232"/>
      <c r="B63" s="231"/>
      <c r="C63" s="231"/>
      <c r="D63" s="232"/>
      <c r="E63" s="235"/>
      <c r="F63" s="234"/>
      <c r="G63" s="229"/>
      <c r="H63" s="229"/>
      <c r="I63" s="229"/>
      <c r="J63" s="229"/>
      <c r="K63" s="229"/>
      <c r="L63" s="229"/>
      <c r="M63" s="229"/>
      <c r="N63" s="229"/>
      <c r="O63" s="229"/>
      <c r="P63" s="229"/>
      <c r="Q63" s="229"/>
      <c r="R63" s="229"/>
      <c r="S63" s="229"/>
      <c r="T63" s="229"/>
      <c r="U63" s="229"/>
      <c r="V63" s="229"/>
      <c r="W63" s="229"/>
      <c r="X63" s="229"/>
      <c r="Y63" s="229"/>
      <c r="Z63" s="229"/>
      <c r="AA63" s="229"/>
      <c r="AB63" s="229"/>
    </row>
    <row r="64" ht="15.75" customHeight="1">
      <c r="A64" s="232"/>
      <c r="B64" s="231"/>
      <c r="C64" s="231"/>
      <c r="D64" s="232"/>
      <c r="E64" s="235"/>
      <c r="F64" s="234"/>
      <c r="G64" s="229"/>
      <c r="H64" s="229"/>
      <c r="I64" s="229"/>
      <c r="J64" s="229"/>
      <c r="K64" s="229"/>
      <c r="L64" s="229"/>
      <c r="M64" s="229"/>
      <c r="N64" s="229"/>
      <c r="O64" s="229"/>
      <c r="P64" s="229"/>
      <c r="Q64" s="229"/>
      <c r="R64" s="229"/>
      <c r="S64" s="229"/>
      <c r="T64" s="229"/>
      <c r="U64" s="229"/>
      <c r="V64" s="229"/>
      <c r="W64" s="229"/>
      <c r="X64" s="229"/>
      <c r="Y64" s="229"/>
      <c r="Z64" s="229"/>
      <c r="AA64" s="229"/>
      <c r="AB64" s="229"/>
    </row>
    <row r="65" ht="15.75" customHeight="1">
      <c r="A65" s="232"/>
      <c r="B65" s="231"/>
      <c r="C65" s="231"/>
      <c r="D65" s="232"/>
      <c r="E65" s="235"/>
      <c r="F65" s="234"/>
      <c r="G65" s="229"/>
      <c r="H65" s="229"/>
      <c r="I65" s="229"/>
      <c r="J65" s="229"/>
      <c r="K65" s="229"/>
      <c r="L65" s="229"/>
      <c r="M65" s="229"/>
      <c r="N65" s="229"/>
      <c r="O65" s="229"/>
      <c r="P65" s="229"/>
      <c r="Q65" s="229"/>
      <c r="R65" s="229"/>
      <c r="S65" s="229"/>
      <c r="T65" s="229"/>
      <c r="U65" s="229"/>
      <c r="V65" s="229"/>
      <c r="W65" s="229"/>
      <c r="X65" s="229"/>
      <c r="Y65" s="229"/>
      <c r="Z65" s="229"/>
      <c r="AA65" s="229"/>
      <c r="AB65" s="229"/>
    </row>
    <row r="66" ht="15.75" customHeight="1">
      <c r="A66" s="232"/>
      <c r="B66" s="231"/>
      <c r="C66" s="231"/>
      <c r="D66" s="232"/>
      <c r="E66" s="235"/>
      <c r="F66" s="234"/>
      <c r="G66" s="229"/>
      <c r="H66" s="229"/>
      <c r="I66" s="229"/>
      <c r="J66" s="229"/>
      <c r="K66" s="229"/>
      <c r="L66" s="229"/>
      <c r="M66" s="229"/>
      <c r="N66" s="229"/>
      <c r="O66" s="229"/>
      <c r="P66" s="229"/>
      <c r="Q66" s="229"/>
      <c r="R66" s="229"/>
      <c r="S66" s="229"/>
      <c r="T66" s="229"/>
      <c r="U66" s="229"/>
      <c r="V66" s="229"/>
      <c r="W66" s="229"/>
      <c r="X66" s="229"/>
      <c r="Y66" s="229"/>
      <c r="Z66" s="229"/>
      <c r="AA66" s="229"/>
      <c r="AB66" s="229"/>
    </row>
    <row r="67" ht="15.75" customHeight="1">
      <c r="A67" s="232"/>
      <c r="B67" s="231"/>
      <c r="C67" s="231"/>
      <c r="D67" s="232"/>
      <c r="E67" s="235"/>
      <c r="F67" s="234"/>
      <c r="G67" s="229"/>
      <c r="H67" s="229"/>
      <c r="I67" s="229"/>
      <c r="J67" s="229"/>
      <c r="K67" s="229"/>
      <c r="L67" s="229"/>
      <c r="M67" s="229"/>
      <c r="N67" s="229"/>
      <c r="O67" s="229"/>
      <c r="P67" s="229"/>
      <c r="Q67" s="229"/>
      <c r="R67" s="229"/>
      <c r="S67" s="229"/>
      <c r="T67" s="229"/>
      <c r="U67" s="229"/>
      <c r="V67" s="229"/>
      <c r="W67" s="229"/>
      <c r="X67" s="229"/>
      <c r="Y67" s="229"/>
      <c r="Z67" s="229"/>
      <c r="AA67" s="229"/>
      <c r="AB67" s="229"/>
    </row>
    <row r="68" ht="15.75" customHeight="1">
      <c r="A68" s="232"/>
      <c r="B68" s="231"/>
      <c r="C68" s="231"/>
      <c r="D68" s="232"/>
      <c r="E68" s="235"/>
      <c r="F68" s="234"/>
      <c r="G68" s="229"/>
      <c r="H68" s="229"/>
      <c r="I68" s="229"/>
      <c r="J68" s="229"/>
      <c r="K68" s="229"/>
      <c r="L68" s="229"/>
      <c r="M68" s="229"/>
      <c r="N68" s="229"/>
      <c r="O68" s="229"/>
      <c r="P68" s="229"/>
      <c r="Q68" s="229"/>
      <c r="R68" s="229"/>
      <c r="S68" s="229"/>
      <c r="T68" s="229"/>
      <c r="U68" s="229"/>
      <c r="V68" s="229"/>
      <c r="W68" s="229"/>
      <c r="X68" s="229"/>
      <c r="Y68" s="229"/>
      <c r="Z68" s="229"/>
      <c r="AA68" s="229"/>
      <c r="AB68" s="229"/>
    </row>
    <row r="69" ht="15.75" customHeight="1">
      <c r="A69" s="232"/>
      <c r="B69" s="231"/>
      <c r="C69" s="231"/>
      <c r="D69" s="232"/>
      <c r="E69" s="235"/>
      <c r="F69" s="234"/>
      <c r="G69" s="229"/>
      <c r="H69" s="229"/>
      <c r="I69" s="229"/>
      <c r="J69" s="229"/>
      <c r="K69" s="229"/>
      <c r="L69" s="229"/>
      <c r="M69" s="229"/>
      <c r="N69" s="229"/>
      <c r="O69" s="229"/>
      <c r="P69" s="229"/>
      <c r="Q69" s="229"/>
      <c r="R69" s="229"/>
      <c r="S69" s="229"/>
      <c r="T69" s="229"/>
      <c r="U69" s="229"/>
      <c r="V69" s="229"/>
      <c r="W69" s="229"/>
      <c r="X69" s="229"/>
      <c r="Y69" s="229"/>
      <c r="Z69" s="229"/>
      <c r="AA69" s="229"/>
      <c r="AB69" s="229"/>
    </row>
    <row r="70" ht="15.75" customHeight="1">
      <c r="A70" s="232"/>
      <c r="B70" s="231"/>
      <c r="C70" s="231"/>
      <c r="D70" s="232"/>
      <c r="E70" s="235"/>
      <c r="F70" s="234"/>
      <c r="G70" s="229"/>
      <c r="H70" s="229"/>
      <c r="I70" s="229"/>
      <c r="J70" s="229"/>
      <c r="K70" s="229"/>
      <c r="L70" s="229"/>
      <c r="M70" s="229"/>
      <c r="N70" s="229"/>
      <c r="O70" s="229"/>
      <c r="P70" s="229"/>
      <c r="Q70" s="229"/>
      <c r="R70" s="229"/>
      <c r="S70" s="229"/>
      <c r="T70" s="229"/>
      <c r="U70" s="229"/>
      <c r="V70" s="229"/>
      <c r="W70" s="229"/>
      <c r="X70" s="229"/>
      <c r="Y70" s="229"/>
      <c r="Z70" s="229"/>
      <c r="AA70" s="229"/>
      <c r="AB70" s="229"/>
    </row>
    <row r="71" ht="15.75" customHeight="1">
      <c r="A71" s="232"/>
      <c r="B71" s="231"/>
      <c r="C71" s="231"/>
      <c r="D71" s="232"/>
      <c r="E71" s="235"/>
      <c r="F71" s="234"/>
      <c r="G71" s="229"/>
      <c r="H71" s="229"/>
      <c r="I71" s="229"/>
      <c r="J71" s="229"/>
      <c r="K71" s="229"/>
      <c r="L71" s="229"/>
      <c r="M71" s="229"/>
      <c r="N71" s="229"/>
      <c r="O71" s="229"/>
      <c r="P71" s="229"/>
      <c r="Q71" s="229"/>
      <c r="R71" s="229"/>
      <c r="S71" s="229"/>
      <c r="T71" s="229"/>
      <c r="U71" s="229"/>
      <c r="V71" s="229"/>
      <c r="W71" s="229"/>
      <c r="X71" s="229"/>
      <c r="Y71" s="229"/>
      <c r="Z71" s="229"/>
      <c r="AA71" s="229"/>
      <c r="AB71" s="229"/>
    </row>
    <row r="72" ht="15.75" customHeight="1">
      <c r="A72" s="232"/>
      <c r="B72" s="231"/>
      <c r="C72" s="231"/>
      <c r="D72" s="232"/>
      <c r="E72" s="235"/>
      <c r="F72" s="234"/>
      <c r="G72" s="229"/>
      <c r="H72" s="229"/>
      <c r="I72" s="229"/>
      <c r="J72" s="229"/>
      <c r="K72" s="229"/>
      <c r="L72" s="229"/>
      <c r="M72" s="229"/>
      <c r="N72" s="229"/>
      <c r="O72" s="229"/>
      <c r="P72" s="229"/>
      <c r="Q72" s="229"/>
      <c r="R72" s="229"/>
      <c r="S72" s="229"/>
      <c r="T72" s="229"/>
      <c r="U72" s="229"/>
      <c r="V72" s="229"/>
      <c r="W72" s="229"/>
      <c r="X72" s="229"/>
      <c r="Y72" s="229"/>
      <c r="Z72" s="229"/>
      <c r="AA72" s="229"/>
      <c r="AB72" s="229"/>
    </row>
    <row r="73" ht="15.75" customHeight="1">
      <c r="A73" s="232"/>
      <c r="B73" s="231"/>
      <c r="C73" s="231"/>
      <c r="D73" s="232"/>
      <c r="E73" s="235"/>
      <c r="F73" s="234"/>
      <c r="G73" s="229"/>
      <c r="H73" s="229"/>
      <c r="I73" s="229"/>
      <c r="J73" s="229"/>
      <c r="K73" s="229"/>
      <c r="L73" s="229"/>
      <c r="M73" s="229"/>
      <c r="N73" s="229"/>
      <c r="O73" s="229"/>
      <c r="P73" s="229"/>
      <c r="Q73" s="229"/>
      <c r="R73" s="229"/>
      <c r="S73" s="229"/>
      <c r="T73" s="229"/>
      <c r="U73" s="229"/>
      <c r="V73" s="229"/>
      <c r="W73" s="229"/>
      <c r="X73" s="229"/>
      <c r="Y73" s="229"/>
      <c r="Z73" s="229"/>
      <c r="AA73" s="229"/>
      <c r="AB73" s="229"/>
    </row>
    <row r="74" ht="15.75" customHeight="1">
      <c r="A74" s="232"/>
      <c r="B74" s="231"/>
      <c r="C74" s="231"/>
      <c r="D74" s="232"/>
      <c r="E74" s="235"/>
      <c r="F74" s="234"/>
      <c r="G74" s="229"/>
      <c r="H74" s="229"/>
      <c r="I74" s="229"/>
      <c r="J74" s="229"/>
      <c r="K74" s="229"/>
      <c r="L74" s="229"/>
      <c r="M74" s="229"/>
      <c r="N74" s="229"/>
      <c r="O74" s="229"/>
      <c r="P74" s="229"/>
      <c r="Q74" s="229"/>
      <c r="R74" s="229"/>
      <c r="S74" s="229"/>
      <c r="T74" s="229"/>
      <c r="U74" s="229"/>
      <c r="V74" s="229"/>
      <c r="W74" s="229"/>
      <c r="X74" s="229"/>
      <c r="Y74" s="229"/>
      <c r="Z74" s="229"/>
      <c r="AA74" s="229"/>
      <c r="AB74" s="229"/>
    </row>
    <row r="75" ht="15.75" customHeight="1">
      <c r="A75" s="232"/>
      <c r="B75" s="231"/>
      <c r="C75" s="231"/>
      <c r="D75" s="232"/>
      <c r="E75" s="235"/>
      <c r="F75" s="234"/>
      <c r="G75" s="229"/>
      <c r="H75" s="229"/>
      <c r="I75" s="229"/>
      <c r="J75" s="229"/>
      <c r="K75" s="229"/>
      <c r="L75" s="229"/>
      <c r="M75" s="229"/>
      <c r="N75" s="229"/>
      <c r="O75" s="229"/>
      <c r="P75" s="229"/>
      <c r="Q75" s="229"/>
      <c r="R75" s="229"/>
      <c r="S75" s="229"/>
      <c r="T75" s="229"/>
      <c r="U75" s="229"/>
      <c r="V75" s="229"/>
      <c r="W75" s="229"/>
      <c r="X75" s="229"/>
      <c r="Y75" s="229"/>
      <c r="Z75" s="229"/>
      <c r="AA75" s="229"/>
      <c r="AB75" s="229"/>
    </row>
    <row r="76" ht="15.75" customHeight="1">
      <c r="A76" s="232"/>
      <c r="B76" s="231"/>
      <c r="C76" s="231"/>
      <c r="D76" s="232"/>
      <c r="E76" s="235"/>
      <c r="F76" s="234"/>
      <c r="G76" s="229"/>
      <c r="H76" s="229"/>
      <c r="I76" s="229"/>
      <c r="J76" s="229"/>
      <c r="K76" s="229"/>
      <c r="L76" s="229"/>
      <c r="M76" s="229"/>
      <c r="N76" s="229"/>
      <c r="O76" s="229"/>
      <c r="P76" s="229"/>
      <c r="Q76" s="229"/>
      <c r="R76" s="229"/>
      <c r="S76" s="229"/>
      <c r="T76" s="229"/>
      <c r="U76" s="229"/>
      <c r="V76" s="229"/>
      <c r="W76" s="229"/>
      <c r="X76" s="229"/>
      <c r="Y76" s="229"/>
      <c r="Z76" s="229"/>
      <c r="AA76" s="229"/>
      <c r="AB76" s="229"/>
    </row>
    <row r="77" ht="15.75" customHeight="1">
      <c r="A77" s="232"/>
      <c r="B77" s="231"/>
      <c r="C77" s="231"/>
      <c r="D77" s="232"/>
      <c r="E77" s="235"/>
      <c r="F77" s="234"/>
      <c r="G77" s="229"/>
      <c r="H77" s="229"/>
      <c r="I77" s="229"/>
      <c r="J77" s="229"/>
      <c r="K77" s="229"/>
      <c r="L77" s="229"/>
      <c r="M77" s="229"/>
      <c r="N77" s="229"/>
      <c r="O77" s="229"/>
      <c r="P77" s="229"/>
      <c r="Q77" s="229"/>
      <c r="R77" s="229"/>
      <c r="S77" s="229"/>
      <c r="T77" s="229"/>
      <c r="U77" s="229"/>
      <c r="V77" s="229"/>
      <c r="W77" s="229"/>
      <c r="X77" s="229"/>
      <c r="Y77" s="229"/>
      <c r="Z77" s="229"/>
      <c r="AA77" s="229"/>
      <c r="AB77" s="229"/>
    </row>
    <row r="78" ht="15.75" customHeight="1">
      <c r="A78" s="232"/>
      <c r="B78" s="231"/>
      <c r="C78" s="231"/>
      <c r="D78" s="232"/>
      <c r="E78" s="235"/>
      <c r="F78" s="234"/>
      <c r="G78" s="229"/>
      <c r="H78" s="229"/>
      <c r="I78" s="229"/>
      <c r="J78" s="229"/>
      <c r="K78" s="229"/>
      <c r="L78" s="229"/>
      <c r="M78" s="229"/>
      <c r="N78" s="229"/>
      <c r="O78" s="229"/>
      <c r="P78" s="229"/>
      <c r="Q78" s="229"/>
      <c r="R78" s="229"/>
      <c r="S78" s="229"/>
      <c r="T78" s="229"/>
      <c r="U78" s="229"/>
      <c r="V78" s="229"/>
      <c r="W78" s="229"/>
      <c r="X78" s="229"/>
      <c r="Y78" s="229"/>
      <c r="Z78" s="229"/>
      <c r="AA78" s="229"/>
      <c r="AB78" s="229"/>
    </row>
    <row r="79" ht="15.75" customHeight="1">
      <c r="A79" s="232"/>
      <c r="B79" s="231"/>
      <c r="C79" s="231"/>
      <c r="D79" s="232"/>
      <c r="E79" s="235"/>
      <c r="F79" s="234"/>
      <c r="G79" s="229"/>
      <c r="H79" s="229"/>
      <c r="I79" s="229"/>
      <c r="J79" s="229"/>
      <c r="K79" s="229"/>
      <c r="L79" s="229"/>
      <c r="M79" s="229"/>
      <c r="N79" s="229"/>
      <c r="O79" s="229"/>
      <c r="P79" s="229"/>
      <c r="Q79" s="229"/>
      <c r="R79" s="229"/>
      <c r="S79" s="229"/>
      <c r="T79" s="229"/>
      <c r="U79" s="229"/>
      <c r="V79" s="229"/>
      <c r="W79" s="229"/>
      <c r="X79" s="229"/>
      <c r="Y79" s="229"/>
      <c r="Z79" s="229"/>
      <c r="AA79" s="229"/>
      <c r="AB79" s="229"/>
    </row>
    <row r="80" ht="15.75" customHeight="1">
      <c r="A80" s="232"/>
      <c r="B80" s="231"/>
      <c r="C80" s="231"/>
      <c r="D80" s="232"/>
      <c r="E80" s="235"/>
      <c r="F80" s="234"/>
      <c r="G80" s="229"/>
      <c r="H80" s="229"/>
      <c r="I80" s="229"/>
      <c r="J80" s="229"/>
      <c r="K80" s="229"/>
      <c r="L80" s="229"/>
      <c r="M80" s="229"/>
      <c r="N80" s="229"/>
      <c r="O80" s="229"/>
      <c r="P80" s="229"/>
      <c r="Q80" s="229"/>
      <c r="R80" s="229"/>
      <c r="S80" s="229"/>
      <c r="T80" s="229"/>
      <c r="U80" s="229"/>
      <c r="V80" s="229"/>
      <c r="W80" s="229"/>
      <c r="X80" s="229"/>
      <c r="Y80" s="229"/>
      <c r="Z80" s="229"/>
      <c r="AA80" s="229"/>
      <c r="AB80" s="229"/>
    </row>
    <row r="81" ht="15.75" customHeight="1">
      <c r="A81" s="232"/>
      <c r="B81" s="231"/>
      <c r="C81" s="231"/>
      <c r="D81" s="232"/>
      <c r="E81" s="235"/>
      <c r="F81" s="234"/>
      <c r="G81" s="229"/>
      <c r="H81" s="229"/>
      <c r="I81" s="229"/>
      <c r="J81" s="229"/>
      <c r="K81" s="229"/>
      <c r="L81" s="229"/>
      <c r="M81" s="229"/>
      <c r="N81" s="229"/>
      <c r="O81" s="229"/>
      <c r="P81" s="229"/>
      <c r="Q81" s="229"/>
      <c r="R81" s="229"/>
      <c r="S81" s="229"/>
      <c r="T81" s="229"/>
      <c r="U81" s="229"/>
      <c r="V81" s="229"/>
      <c r="W81" s="229"/>
      <c r="X81" s="229"/>
      <c r="Y81" s="229"/>
      <c r="Z81" s="229"/>
      <c r="AA81" s="229"/>
      <c r="AB81" s="229"/>
    </row>
    <row r="82" ht="15.75" customHeight="1">
      <c r="A82" s="232"/>
      <c r="B82" s="231"/>
      <c r="C82" s="231"/>
      <c r="D82" s="232"/>
      <c r="E82" s="235"/>
      <c r="F82" s="234"/>
      <c r="G82" s="229"/>
      <c r="H82" s="229"/>
      <c r="I82" s="229"/>
      <c r="J82" s="229"/>
      <c r="K82" s="229"/>
      <c r="L82" s="229"/>
      <c r="M82" s="229"/>
      <c r="N82" s="229"/>
      <c r="O82" s="229"/>
      <c r="P82" s="229"/>
      <c r="Q82" s="229"/>
      <c r="R82" s="229"/>
      <c r="S82" s="229"/>
      <c r="T82" s="229"/>
      <c r="U82" s="229"/>
      <c r="V82" s="229"/>
      <c r="W82" s="229"/>
      <c r="X82" s="229"/>
      <c r="Y82" s="229"/>
      <c r="Z82" s="229"/>
      <c r="AA82" s="229"/>
      <c r="AB82" s="229"/>
    </row>
    <row r="83" ht="15.75" customHeight="1">
      <c r="A83" s="232"/>
      <c r="B83" s="231"/>
      <c r="C83" s="231"/>
      <c r="D83" s="232"/>
      <c r="E83" s="235"/>
      <c r="F83" s="234"/>
      <c r="G83" s="229"/>
      <c r="H83" s="229"/>
      <c r="I83" s="229"/>
      <c r="J83" s="229"/>
      <c r="K83" s="229"/>
      <c r="L83" s="229"/>
      <c r="M83" s="229"/>
      <c r="N83" s="229"/>
      <c r="O83" s="229"/>
      <c r="P83" s="229"/>
      <c r="Q83" s="229"/>
      <c r="R83" s="229"/>
      <c r="S83" s="229"/>
      <c r="T83" s="229"/>
      <c r="U83" s="229"/>
      <c r="V83" s="229"/>
      <c r="W83" s="229"/>
      <c r="X83" s="229"/>
      <c r="Y83" s="229"/>
      <c r="Z83" s="229"/>
      <c r="AA83" s="229"/>
      <c r="AB83" s="229"/>
    </row>
    <row r="84" ht="15.75" customHeight="1">
      <c r="A84" s="232"/>
      <c r="B84" s="231"/>
      <c r="C84" s="231"/>
      <c r="D84" s="232"/>
      <c r="E84" s="235"/>
      <c r="F84" s="234"/>
      <c r="G84" s="229"/>
      <c r="H84" s="229"/>
      <c r="I84" s="229"/>
      <c r="J84" s="229"/>
      <c r="K84" s="229"/>
      <c r="L84" s="229"/>
      <c r="M84" s="229"/>
      <c r="N84" s="229"/>
      <c r="O84" s="229"/>
      <c r="P84" s="229"/>
      <c r="Q84" s="229"/>
      <c r="R84" s="229"/>
      <c r="S84" s="229"/>
      <c r="T84" s="229"/>
      <c r="U84" s="229"/>
      <c r="V84" s="229"/>
      <c r="W84" s="229"/>
      <c r="X84" s="229"/>
      <c r="Y84" s="229"/>
      <c r="Z84" s="229"/>
      <c r="AA84" s="229"/>
      <c r="AB84" s="229"/>
    </row>
    <row r="85" ht="15.75" customHeight="1">
      <c r="A85" s="232"/>
      <c r="B85" s="231"/>
      <c r="C85" s="231"/>
      <c r="D85" s="232"/>
      <c r="E85" s="235"/>
      <c r="F85" s="234"/>
      <c r="G85" s="229"/>
      <c r="H85" s="229"/>
      <c r="I85" s="229"/>
      <c r="J85" s="229"/>
      <c r="K85" s="229"/>
      <c r="L85" s="229"/>
      <c r="M85" s="229"/>
      <c r="N85" s="229"/>
      <c r="O85" s="229"/>
      <c r="P85" s="229"/>
      <c r="Q85" s="229"/>
      <c r="R85" s="229"/>
      <c r="S85" s="229"/>
      <c r="T85" s="229"/>
      <c r="U85" s="229"/>
      <c r="V85" s="229"/>
      <c r="W85" s="229"/>
      <c r="X85" s="229"/>
      <c r="Y85" s="229"/>
      <c r="Z85" s="229"/>
      <c r="AA85" s="229"/>
      <c r="AB85" s="229"/>
    </row>
    <row r="86" ht="15.75" customHeight="1">
      <c r="A86" s="232"/>
      <c r="B86" s="231"/>
      <c r="C86" s="231"/>
      <c r="D86" s="232"/>
      <c r="E86" s="235"/>
      <c r="F86" s="234"/>
      <c r="G86" s="229"/>
      <c r="H86" s="229"/>
      <c r="I86" s="229"/>
      <c r="J86" s="229"/>
      <c r="K86" s="229"/>
      <c r="L86" s="229"/>
      <c r="M86" s="229"/>
      <c r="N86" s="229"/>
      <c r="O86" s="229"/>
      <c r="P86" s="229"/>
      <c r="Q86" s="229"/>
      <c r="R86" s="229"/>
      <c r="S86" s="229"/>
      <c r="T86" s="229"/>
      <c r="U86" s="229"/>
      <c r="V86" s="229"/>
      <c r="W86" s="229"/>
      <c r="X86" s="229"/>
      <c r="Y86" s="229"/>
      <c r="Z86" s="229"/>
      <c r="AA86" s="229"/>
      <c r="AB86" s="229"/>
    </row>
    <row r="87" ht="15.75" customHeight="1">
      <c r="A87" s="232"/>
      <c r="B87" s="231"/>
      <c r="C87" s="231"/>
      <c r="D87" s="232"/>
      <c r="E87" s="235"/>
      <c r="F87" s="234"/>
      <c r="G87" s="229"/>
      <c r="H87" s="229"/>
      <c r="I87" s="229"/>
      <c r="J87" s="229"/>
      <c r="K87" s="229"/>
      <c r="L87" s="229"/>
      <c r="M87" s="229"/>
      <c r="N87" s="229"/>
      <c r="O87" s="229"/>
      <c r="P87" s="229"/>
      <c r="Q87" s="229"/>
      <c r="R87" s="229"/>
      <c r="S87" s="229"/>
      <c r="T87" s="229"/>
      <c r="U87" s="229"/>
      <c r="V87" s="229"/>
      <c r="W87" s="229"/>
      <c r="X87" s="229"/>
      <c r="Y87" s="229"/>
      <c r="Z87" s="229"/>
      <c r="AA87" s="229"/>
      <c r="AB87" s="229"/>
    </row>
    <row r="88" ht="15.75" customHeight="1">
      <c r="A88" s="232"/>
      <c r="B88" s="231"/>
      <c r="C88" s="231"/>
      <c r="D88" s="232"/>
      <c r="E88" s="235"/>
      <c r="F88" s="234"/>
      <c r="G88" s="229"/>
      <c r="H88" s="229"/>
      <c r="I88" s="229"/>
      <c r="J88" s="229"/>
      <c r="K88" s="229"/>
      <c r="L88" s="229"/>
      <c r="M88" s="229"/>
      <c r="N88" s="229"/>
      <c r="O88" s="229"/>
      <c r="P88" s="229"/>
      <c r="Q88" s="229"/>
      <c r="R88" s="229"/>
      <c r="S88" s="229"/>
      <c r="T88" s="229"/>
      <c r="U88" s="229"/>
      <c r="V88" s="229"/>
      <c r="W88" s="229"/>
      <c r="X88" s="229"/>
      <c r="Y88" s="229"/>
      <c r="Z88" s="229"/>
      <c r="AA88" s="229"/>
      <c r="AB88" s="229"/>
    </row>
    <row r="89" ht="15.75" customHeight="1">
      <c r="A89" s="232"/>
      <c r="B89" s="231"/>
      <c r="C89" s="231"/>
      <c r="D89" s="232"/>
      <c r="E89" s="235"/>
      <c r="F89" s="234"/>
      <c r="G89" s="229"/>
      <c r="H89" s="229"/>
      <c r="I89" s="229"/>
      <c r="J89" s="229"/>
      <c r="K89" s="229"/>
      <c r="L89" s="229"/>
      <c r="M89" s="229"/>
      <c r="N89" s="229"/>
      <c r="O89" s="229"/>
      <c r="P89" s="229"/>
      <c r="Q89" s="229"/>
      <c r="R89" s="229"/>
      <c r="S89" s="229"/>
      <c r="T89" s="229"/>
      <c r="U89" s="229"/>
      <c r="V89" s="229"/>
      <c r="W89" s="229"/>
      <c r="X89" s="229"/>
      <c r="Y89" s="229"/>
      <c r="Z89" s="229"/>
      <c r="AA89" s="229"/>
      <c r="AB89" s="229"/>
    </row>
    <row r="90" ht="15.75" customHeight="1">
      <c r="A90" s="232"/>
      <c r="B90" s="231"/>
      <c r="C90" s="231"/>
      <c r="D90" s="232"/>
      <c r="E90" s="235"/>
      <c r="F90" s="234"/>
      <c r="G90" s="229"/>
      <c r="H90" s="229"/>
      <c r="I90" s="229"/>
      <c r="J90" s="229"/>
      <c r="K90" s="229"/>
      <c r="L90" s="229"/>
      <c r="M90" s="229"/>
      <c r="N90" s="229"/>
      <c r="O90" s="229"/>
      <c r="P90" s="229"/>
      <c r="Q90" s="229"/>
      <c r="R90" s="229"/>
      <c r="S90" s="229"/>
      <c r="T90" s="229"/>
      <c r="U90" s="229"/>
      <c r="V90" s="229"/>
      <c r="W90" s="229"/>
      <c r="X90" s="229"/>
      <c r="Y90" s="229"/>
      <c r="Z90" s="229"/>
      <c r="AA90" s="229"/>
      <c r="AB90" s="229"/>
    </row>
    <row r="91" ht="15.75" customHeight="1">
      <c r="A91" s="232"/>
      <c r="B91" s="231"/>
      <c r="C91" s="231"/>
      <c r="D91" s="232"/>
      <c r="E91" s="235"/>
      <c r="F91" s="234"/>
      <c r="G91" s="229"/>
      <c r="H91" s="229"/>
      <c r="I91" s="229"/>
      <c r="J91" s="229"/>
      <c r="K91" s="229"/>
      <c r="L91" s="229"/>
      <c r="M91" s="229"/>
      <c r="N91" s="229"/>
      <c r="O91" s="229"/>
      <c r="P91" s="229"/>
      <c r="Q91" s="229"/>
      <c r="R91" s="229"/>
      <c r="S91" s="229"/>
      <c r="T91" s="229"/>
      <c r="U91" s="229"/>
      <c r="V91" s="229"/>
      <c r="W91" s="229"/>
      <c r="X91" s="229"/>
      <c r="Y91" s="229"/>
      <c r="Z91" s="229"/>
      <c r="AA91" s="229"/>
      <c r="AB91" s="229"/>
    </row>
    <row r="92" ht="15.75" customHeight="1">
      <c r="A92" s="232"/>
      <c r="B92" s="231"/>
      <c r="C92" s="231"/>
      <c r="D92" s="232"/>
      <c r="E92" s="235"/>
      <c r="F92" s="234"/>
      <c r="G92" s="229"/>
      <c r="H92" s="229"/>
      <c r="I92" s="229"/>
      <c r="J92" s="229"/>
      <c r="K92" s="229"/>
      <c r="L92" s="229"/>
      <c r="M92" s="229"/>
      <c r="N92" s="229"/>
      <c r="O92" s="229"/>
      <c r="P92" s="229"/>
      <c r="Q92" s="229"/>
      <c r="R92" s="229"/>
      <c r="S92" s="229"/>
      <c r="T92" s="229"/>
      <c r="U92" s="229"/>
      <c r="V92" s="229"/>
      <c r="W92" s="229"/>
      <c r="X92" s="229"/>
      <c r="Y92" s="229"/>
      <c r="Z92" s="229"/>
      <c r="AA92" s="229"/>
      <c r="AB92" s="229"/>
    </row>
    <row r="93" ht="15.75" customHeight="1">
      <c r="A93" s="232"/>
      <c r="B93" s="231"/>
      <c r="C93" s="231"/>
      <c r="D93" s="232"/>
      <c r="E93" s="235"/>
      <c r="F93" s="234"/>
      <c r="G93" s="229"/>
      <c r="H93" s="229"/>
      <c r="I93" s="229"/>
      <c r="J93" s="229"/>
      <c r="K93" s="229"/>
      <c r="L93" s="229"/>
      <c r="M93" s="229"/>
      <c r="N93" s="229"/>
      <c r="O93" s="229"/>
      <c r="P93" s="229"/>
      <c r="Q93" s="229"/>
      <c r="R93" s="229"/>
      <c r="S93" s="229"/>
      <c r="T93" s="229"/>
      <c r="U93" s="229"/>
      <c r="V93" s="229"/>
      <c r="W93" s="229"/>
      <c r="X93" s="229"/>
      <c r="Y93" s="229"/>
      <c r="Z93" s="229"/>
      <c r="AA93" s="229"/>
      <c r="AB93" s="229"/>
    </row>
    <row r="94" ht="15.75" customHeight="1">
      <c r="A94" s="232"/>
      <c r="B94" s="231"/>
      <c r="C94" s="231"/>
      <c r="D94" s="232"/>
      <c r="E94" s="235"/>
      <c r="F94" s="234"/>
      <c r="G94" s="229"/>
      <c r="H94" s="229"/>
      <c r="I94" s="229"/>
      <c r="J94" s="229"/>
      <c r="K94" s="229"/>
      <c r="L94" s="229"/>
      <c r="M94" s="229"/>
      <c r="N94" s="229"/>
      <c r="O94" s="229"/>
      <c r="P94" s="229"/>
      <c r="Q94" s="229"/>
      <c r="R94" s="229"/>
      <c r="S94" s="229"/>
      <c r="T94" s="229"/>
      <c r="U94" s="229"/>
      <c r="V94" s="229"/>
      <c r="W94" s="229"/>
      <c r="X94" s="229"/>
      <c r="Y94" s="229"/>
      <c r="Z94" s="229"/>
      <c r="AA94" s="229"/>
      <c r="AB94" s="229"/>
    </row>
    <row r="95" ht="15.75" customHeight="1">
      <c r="A95" s="232"/>
      <c r="B95" s="231"/>
      <c r="C95" s="231"/>
      <c r="D95" s="232"/>
      <c r="E95" s="235"/>
      <c r="F95" s="234"/>
      <c r="G95" s="229"/>
      <c r="H95" s="229"/>
      <c r="I95" s="229"/>
      <c r="J95" s="229"/>
      <c r="K95" s="229"/>
      <c r="L95" s="229"/>
      <c r="M95" s="229"/>
      <c r="N95" s="229"/>
      <c r="O95" s="229"/>
      <c r="P95" s="229"/>
      <c r="Q95" s="229"/>
      <c r="R95" s="229"/>
      <c r="S95" s="229"/>
      <c r="T95" s="229"/>
      <c r="U95" s="229"/>
      <c r="V95" s="229"/>
      <c r="W95" s="229"/>
      <c r="X95" s="229"/>
      <c r="Y95" s="229"/>
      <c r="Z95" s="229"/>
      <c r="AA95" s="229"/>
      <c r="AB95" s="229"/>
    </row>
    <row r="96" ht="15.75" customHeight="1">
      <c r="A96" s="232"/>
      <c r="B96" s="231"/>
      <c r="C96" s="231"/>
      <c r="D96" s="232"/>
      <c r="E96" s="235"/>
      <c r="F96" s="234"/>
      <c r="G96" s="229"/>
      <c r="H96" s="229"/>
      <c r="I96" s="229"/>
      <c r="J96" s="229"/>
      <c r="K96" s="229"/>
      <c r="L96" s="229"/>
      <c r="M96" s="229"/>
      <c r="N96" s="229"/>
      <c r="O96" s="229"/>
      <c r="P96" s="229"/>
      <c r="Q96" s="229"/>
      <c r="R96" s="229"/>
      <c r="S96" s="229"/>
      <c r="T96" s="229"/>
      <c r="U96" s="229"/>
      <c r="V96" s="229"/>
      <c r="W96" s="229"/>
      <c r="X96" s="229"/>
      <c r="Y96" s="229"/>
      <c r="Z96" s="229"/>
      <c r="AA96" s="229"/>
      <c r="AB96" s="229"/>
    </row>
    <row r="97" ht="15.75" customHeight="1">
      <c r="A97" s="232"/>
      <c r="B97" s="231"/>
      <c r="C97" s="231"/>
      <c r="D97" s="232"/>
      <c r="E97" s="235"/>
      <c r="F97" s="234"/>
      <c r="G97" s="229"/>
      <c r="H97" s="229"/>
      <c r="I97" s="229"/>
      <c r="J97" s="229"/>
      <c r="K97" s="229"/>
      <c r="L97" s="229"/>
      <c r="M97" s="229"/>
      <c r="N97" s="229"/>
      <c r="O97" s="229"/>
      <c r="P97" s="229"/>
      <c r="Q97" s="229"/>
      <c r="R97" s="229"/>
      <c r="S97" s="229"/>
      <c r="T97" s="229"/>
      <c r="U97" s="229"/>
      <c r="V97" s="229"/>
      <c r="W97" s="229"/>
      <c r="X97" s="229"/>
      <c r="Y97" s="229"/>
      <c r="Z97" s="229"/>
      <c r="AA97" s="229"/>
      <c r="AB97" s="229"/>
    </row>
    <row r="98" ht="15.75" customHeight="1">
      <c r="A98" s="232"/>
      <c r="B98" s="231"/>
      <c r="C98" s="231"/>
      <c r="D98" s="232"/>
      <c r="E98" s="235"/>
      <c r="F98" s="234"/>
      <c r="G98" s="229"/>
      <c r="H98" s="229"/>
      <c r="I98" s="229"/>
      <c r="J98" s="229"/>
      <c r="K98" s="229"/>
      <c r="L98" s="229"/>
      <c r="M98" s="229"/>
      <c r="N98" s="229"/>
      <c r="O98" s="229"/>
      <c r="P98" s="229"/>
      <c r="Q98" s="229"/>
      <c r="R98" s="229"/>
      <c r="S98" s="229"/>
      <c r="T98" s="229"/>
      <c r="U98" s="229"/>
      <c r="V98" s="229"/>
      <c r="W98" s="229"/>
      <c r="X98" s="229"/>
      <c r="Y98" s="229"/>
      <c r="Z98" s="229"/>
      <c r="AA98" s="229"/>
      <c r="AB98" s="229"/>
    </row>
    <row r="99" ht="15.75" customHeight="1">
      <c r="A99" s="232"/>
      <c r="B99" s="231"/>
      <c r="C99" s="231"/>
      <c r="D99" s="232"/>
      <c r="E99" s="235"/>
      <c r="F99" s="234"/>
      <c r="G99" s="229"/>
      <c r="H99" s="229"/>
      <c r="I99" s="229"/>
      <c r="J99" s="229"/>
      <c r="K99" s="229"/>
      <c r="L99" s="229"/>
      <c r="M99" s="229"/>
      <c r="N99" s="229"/>
      <c r="O99" s="229"/>
      <c r="P99" s="229"/>
      <c r="Q99" s="229"/>
      <c r="R99" s="229"/>
      <c r="S99" s="229"/>
      <c r="T99" s="229"/>
      <c r="U99" s="229"/>
      <c r="V99" s="229"/>
      <c r="W99" s="229"/>
      <c r="X99" s="229"/>
      <c r="Y99" s="229"/>
      <c r="Z99" s="229"/>
      <c r="AA99" s="229"/>
      <c r="AB99" s="229"/>
    </row>
    <row r="100" ht="15.75" customHeight="1">
      <c r="A100" s="232"/>
      <c r="B100" s="231"/>
      <c r="C100" s="231"/>
      <c r="D100" s="232"/>
      <c r="E100" s="235"/>
      <c r="F100" s="234"/>
      <c r="G100" s="229"/>
      <c r="H100" s="229"/>
      <c r="I100" s="229"/>
      <c r="J100" s="229"/>
      <c r="K100" s="229"/>
      <c r="L100" s="229"/>
      <c r="M100" s="229"/>
      <c r="N100" s="229"/>
      <c r="O100" s="229"/>
      <c r="P100" s="229"/>
      <c r="Q100" s="229"/>
      <c r="R100" s="229"/>
      <c r="S100" s="229"/>
      <c r="T100" s="229"/>
      <c r="U100" s="229"/>
      <c r="V100" s="229"/>
      <c r="W100" s="229"/>
      <c r="X100" s="229"/>
      <c r="Y100" s="229"/>
      <c r="Z100" s="229"/>
      <c r="AA100" s="229"/>
      <c r="AB100" s="229"/>
    </row>
    <row r="101" ht="15.75" customHeight="1">
      <c r="A101" s="232"/>
      <c r="B101" s="231"/>
      <c r="C101" s="231"/>
      <c r="D101" s="232"/>
      <c r="E101" s="235"/>
      <c r="F101" s="234"/>
      <c r="G101" s="229"/>
      <c r="H101" s="229"/>
      <c r="I101" s="229"/>
      <c r="J101" s="229"/>
      <c r="K101" s="229"/>
      <c r="L101" s="229"/>
      <c r="M101" s="229"/>
      <c r="N101" s="229"/>
      <c r="O101" s="229"/>
      <c r="P101" s="229"/>
      <c r="Q101" s="229"/>
      <c r="R101" s="229"/>
      <c r="S101" s="229"/>
      <c r="T101" s="229"/>
      <c r="U101" s="229"/>
      <c r="V101" s="229"/>
      <c r="W101" s="229"/>
      <c r="X101" s="229"/>
      <c r="Y101" s="229"/>
      <c r="Z101" s="229"/>
      <c r="AA101" s="229"/>
      <c r="AB101" s="229"/>
    </row>
    <row r="102" ht="15.75" customHeight="1">
      <c r="A102" s="232"/>
      <c r="B102" s="231"/>
      <c r="C102" s="231"/>
      <c r="D102" s="232"/>
      <c r="E102" s="235"/>
      <c r="F102" s="234"/>
      <c r="G102" s="229"/>
      <c r="H102" s="229"/>
      <c r="I102" s="229"/>
      <c r="J102" s="229"/>
      <c r="K102" s="229"/>
      <c r="L102" s="229"/>
      <c r="M102" s="229"/>
      <c r="N102" s="229"/>
      <c r="O102" s="229"/>
      <c r="P102" s="229"/>
      <c r="Q102" s="229"/>
      <c r="R102" s="229"/>
      <c r="S102" s="229"/>
      <c r="T102" s="229"/>
      <c r="U102" s="229"/>
      <c r="V102" s="229"/>
      <c r="W102" s="229"/>
      <c r="X102" s="229"/>
      <c r="Y102" s="229"/>
      <c r="Z102" s="229"/>
      <c r="AA102" s="229"/>
      <c r="AB102" s="229"/>
    </row>
    <row r="103" ht="15.75" customHeight="1">
      <c r="A103" s="232"/>
      <c r="B103" s="231"/>
      <c r="C103" s="231"/>
      <c r="D103" s="232"/>
      <c r="E103" s="235"/>
      <c r="F103" s="234"/>
      <c r="G103" s="229"/>
      <c r="H103" s="229"/>
      <c r="I103" s="229"/>
      <c r="J103" s="229"/>
      <c r="K103" s="229"/>
      <c r="L103" s="229"/>
      <c r="M103" s="229"/>
      <c r="N103" s="229"/>
      <c r="O103" s="229"/>
      <c r="P103" s="229"/>
      <c r="Q103" s="229"/>
      <c r="R103" s="229"/>
      <c r="S103" s="229"/>
      <c r="T103" s="229"/>
      <c r="U103" s="229"/>
      <c r="V103" s="229"/>
      <c r="W103" s="229"/>
      <c r="X103" s="229"/>
      <c r="Y103" s="229"/>
      <c r="Z103" s="229"/>
      <c r="AA103" s="229"/>
      <c r="AB103" s="229"/>
    </row>
    <row r="104" ht="15.75" customHeight="1">
      <c r="A104" s="232"/>
      <c r="B104" s="231"/>
      <c r="C104" s="231"/>
      <c r="D104" s="232"/>
      <c r="E104" s="235"/>
      <c r="F104" s="234"/>
      <c r="G104" s="229"/>
      <c r="H104" s="229"/>
      <c r="I104" s="229"/>
      <c r="J104" s="229"/>
      <c r="K104" s="229"/>
      <c r="L104" s="229"/>
      <c r="M104" s="229"/>
      <c r="N104" s="229"/>
      <c r="O104" s="229"/>
      <c r="P104" s="229"/>
      <c r="Q104" s="229"/>
      <c r="R104" s="229"/>
      <c r="S104" s="229"/>
      <c r="T104" s="229"/>
      <c r="U104" s="229"/>
      <c r="V104" s="229"/>
      <c r="W104" s="229"/>
      <c r="X104" s="229"/>
      <c r="Y104" s="229"/>
      <c r="Z104" s="229"/>
      <c r="AA104" s="229"/>
      <c r="AB104" s="229"/>
    </row>
    <row r="105" ht="15.75" customHeight="1">
      <c r="A105" s="232"/>
      <c r="B105" s="231"/>
      <c r="C105" s="231"/>
      <c r="D105" s="232"/>
      <c r="E105" s="235"/>
      <c r="F105" s="234"/>
      <c r="G105" s="229"/>
      <c r="H105" s="229"/>
      <c r="I105" s="229"/>
      <c r="J105" s="229"/>
      <c r="K105" s="229"/>
      <c r="L105" s="229"/>
      <c r="M105" s="229"/>
      <c r="N105" s="229"/>
      <c r="O105" s="229"/>
      <c r="P105" s="229"/>
      <c r="Q105" s="229"/>
      <c r="R105" s="229"/>
      <c r="S105" s="229"/>
      <c r="T105" s="229"/>
      <c r="U105" s="229"/>
      <c r="V105" s="229"/>
      <c r="W105" s="229"/>
      <c r="X105" s="229"/>
      <c r="Y105" s="229"/>
      <c r="Z105" s="229"/>
      <c r="AA105" s="229"/>
      <c r="AB105" s="229"/>
    </row>
    <row r="106" ht="15.75" customHeight="1">
      <c r="A106" s="232"/>
      <c r="B106" s="231"/>
      <c r="C106" s="231"/>
      <c r="D106" s="232"/>
      <c r="E106" s="235"/>
      <c r="F106" s="234"/>
      <c r="G106" s="229"/>
      <c r="H106" s="229"/>
      <c r="I106" s="229"/>
      <c r="J106" s="229"/>
      <c r="K106" s="229"/>
      <c r="L106" s="229"/>
      <c r="M106" s="229"/>
      <c r="N106" s="229"/>
      <c r="O106" s="229"/>
      <c r="P106" s="229"/>
      <c r="Q106" s="229"/>
      <c r="R106" s="229"/>
      <c r="S106" s="229"/>
      <c r="T106" s="229"/>
      <c r="U106" s="229"/>
      <c r="V106" s="229"/>
      <c r="W106" s="229"/>
      <c r="X106" s="229"/>
      <c r="Y106" s="229"/>
      <c r="Z106" s="229"/>
      <c r="AA106" s="229"/>
      <c r="AB106" s="229"/>
    </row>
    <row r="107" ht="15.75" customHeight="1">
      <c r="A107" s="232"/>
      <c r="B107" s="231"/>
      <c r="C107" s="231"/>
      <c r="D107" s="232"/>
      <c r="E107" s="235"/>
      <c r="F107" s="234"/>
      <c r="G107" s="229"/>
      <c r="H107" s="229"/>
      <c r="I107" s="229"/>
      <c r="J107" s="229"/>
      <c r="K107" s="229"/>
      <c r="L107" s="229"/>
      <c r="M107" s="229"/>
      <c r="N107" s="229"/>
      <c r="O107" s="229"/>
      <c r="P107" s="229"/>
      <c r="Q107" s="229"/>
      <c r="R107" s="229"/>
      <c r="S107" s="229"/>
      <c r="T107" s="229"/>
      <c r="U107" s="229"/>
      <c r="V107" s="229"/>
      <c r="W107" s="229"/>
      <c r="X107" s="229"/>
      <c r="Y107" s="229"/>
      <c r="Z107" s="229"/>
      <c r="AA107" s="229"/>
      <c r="AB107" s="229"/>
    </row>
    <row r="108" ht="15.75" customHeight="1">
      <c r="A108" s="232"/>
      <c r="B108" s="231"/>
      <c r="C108" s="231"/>
      <c r="D108" s="232"/>
      <c r="E108" s="235"/>
      <c r="F108" s="234"/>
      <c r="G108" s="229"/>
      <c r="H108" s="229"/>
      <c r="I108" s="229"/>
      <c r="J108" s="229"/>
      <c r="K108" s="229"/>
      <c r="L108" s="229"/>
      <c r="M108" s="229"/>
      <c r="N108" s="229"/>
      <c r="O108" s="229"/>
      <c r="P108" s="229"/>
      <c r="Q108" s="229"/>
      <c r="R108" s="229"/>
      <c r="S108" s="229"/>
      <c r="T108" s="229"/>
      <c r="U108" s="229"/>
      <c r="V108" s="229"/>
      <c r="W108" s="229"/>
      <c r="X108" s="229"/>
      <c r="Y108" s="229"/>
      <c r="Z108" s="229"/>
      <c r="AA108" s="229"/>
      <c r="AB108" s="229"/>
    </row>
    <row r="109" ht="15.75" customHeight="1">
      <c r="A109" s="232"/>
      <c r="B109" s="231"/>
      <c r="C109" s="231"/>
      <c r="D109" s="232"/>
      <c r="E109" s="235"/>
      <c r="F109" s="234"/>
      <c r="G109" s="229"/>
      <c r="H109" s="229"/>
      <c r="I109" s="229"/>
      <c r="J109" s="229"/>
      <c r="K109" s="229"/>
      <c r="L109" s="229"/>
      <c r="M109" s="229"/>
      <c r="N109" s="229"/>
      <c r="O109" s="229"/>
      <c r="P109" s="229"/>
      <c r="Q109" s="229"/>
      <c r="R109" s="229"/>
      <c r="S109" s="229"/>
      <c r="T109" s="229"/>
      <c r="U109" s="229"/>
      <c r="V109" s="229"/>
      <c r="W109" s="229"/>
      <c r="X109" s="229"/>
      <c r="Y109" s="229"/>
      <c r="Z109" s="229"/>
      <c r="AA109" s="229"/>
      <c r="AB109" s="229"/>
    </row>
    <row r="110" ht="15.75" customHeight="1">
      <c r="A110" s="232"/>
      <c r="B110" s="231"/>
      <c r="C110" s="231"/>
      <c r="D110" s="232"/>
      <c r="E110" s="235"/>
      <c r="F110" s="234"/>
      <c r="G110" s="229"/>
      <c r="H110" s="229"/>
      <c r="I110" s="229"/>
      <c r="J110" s="229"/>
      <c r="K110" s="229"/>
      <c r="L110" s="229"/>
      <c r="M110" s="229"/>
      <c r="N110" s="229"/>
      <c r="O110" s="229"/>
      <c r="P110" s="229"/>
      <c r="Q110" s="229"/>
      <c r="R110" s="229"/>
      <c r="S110" s="229"/>
      <c r="T110" s="229"/>
      <c r="U110" s="229"/>
      <c r="V110" s="229"/>
      <c r="W110" s="229"/>
      <c r="X110" s="229"/>
      <c r="Y110" s="229"/>
      <c r="Z110" s="229"/>
      <c r="AA110" s="229"/>
      <c r="AB110" s="229"/>
    </row>
    <row r="111" ht="15.75" customHeight="1">
      <c r="A111" s="232"/>
      <c r="B111" s="231"/>
      <c r="C111" s="231"/>
      <c r="D111" s="232"/>
      <c r="E111" s="235"/>
      <c r="F111" s="234"/>
      <c r="G111" s="229"/>
      <c r="H111" s="229"/>
      <c r="I111" s="229"/>
      <c r="J111" s="229"/>
      <c r="K111" s="229"/>
      <c r="L111" s="229"/>
      <c r="M111" s="229"/>
      <c r="N111" s="229"/>
      <c r="O111" s="229"/>
      <c r="P111" s="229"/>
      <c r="Q111" s="229"/>
      <c r="R111" s="229"/>
      <c r="S111" s="229"/>
      <c r="T111" s="229"/>
      <c r="U111" s="229"/>
      <c r="V111" s="229"/>
      <c r="W111" s="229"/>
      <c r="X111" s="229"/>
      <c r="Y111" s="229"/>
      <c r="Z111" s="229"/>
      <c r="AA111" s="229"/>
      <c r="AB111" s="229"/>
    </row>
    <row r="112" ht="15.75" customHeight="1">
      <c r="A112" s="232"/>
      <c r="B112" s="231"/>
      <c r="C112" s="231"/>
      <c r="D112" s="232"/>
      <c r="E112" s="235"/>
      <c r="F112" s="234"/>
      <c r="G112" s="229"/>
      <c r="H112" s="229"/>
      <c r="I112" s="229"/>
      <c r="J112" s="229"/>
      <c r="K112" s="229"/>
      <c r="L112" s="229"/>
      <c r="M112" s="229"/>
      <c r="N112" s="229"/>
      <c r="O112" s="229"/>
      <c r="P112" s="229"/>
      <c r="Q112" s="229"/>
      <c r="R112" s="229"/>
      <c r="S112" s="229"/>
      <c r="T112" s="229"/>
      <c r="U112" s="229"/>
      <c r="V112" s="229"/>
      <c r="W112" s="229"/>
      <c r="X112" s="229"/>
      <c r="Y112" s="229"/>
      <c r="Z112" s="229"/>
      <c r="AA112" s="229"/>
      <c r="AB112" s="229"/>
    </row>
    <row r="113" ht="15.75" customHeight="1">
      <c r="A113" s="232"/>
      <c r="B113" s="231"/>
      <c r="C113" s="231"/>
      <c r="D113" s="232"/>
      <c r="E113" s="235"/>
      <c r="F113" s="234"/>
      <c r="G113" s="229"/>
      <c r="H113" s="229"/>
      <c r="I113" s="229"/>
      <c r="J113" s="229"/>
      <c r="K113" s="229"/>
      <c r="L113" s="229"/>
      <c r="M113" s="229"/>
      <c r="N113" s="229"/>
      <c r="O113" s="229"/>
      <c r="P113" s="229"/>
      <c r="Q113" s="229"/>
      <c r="R113" s="229"/>
      <c r="S113" s="229"/>
      <c r="T113" s="229"/>
      <c r="U113" s="229"/>
      <c r="V113" s="229"/>
      <c r="W113" s="229"/>
      <c r="X113" s="229"/>
      <c r="Y113" s="229"/>
      <c r="Z113" s="229"/>
      <c r="AA113" s="229"/>
      <c r="AB113" s="229"/>
    </row>
    <row r="114" ht="15.75" customHeight="1">
      <c r="A114" s="232"/>
      <c r="B114" s="231"/>
      <c r="C114" s="231"/>
      <c r="D114" s="232"/>
      <c r="E114" s="235"/>
      <c r="F114" s="234"/>
      <c r="G114" s="229"/>
      <c r="H114" s="229"/>
      <c r="I114" s="229"/>
      <c r="J114" s="229"/>
      <c r="K114" s="229"/>
      <c r="L114" s="229"/>
      <c r="M114" s="229"/>
      <c r="N114" s="229"/>
      <c r="O114" s="229"/>
      <c r="P114" s="229"/>
      <c r="Q114" s="229"/>
      <c r="R114" s="229"/>
      <c r="S114" s="229"/>
      <c r="T114" s="229"/>
      <c r="U114" s="229"/>
      <c r="V114" s="229"/>
      <c r="W114" s="229"/>
      <c r="X114" s="229"/>
      <c r="Y114" s="229"/>
      <c r="Z114" s="229"/>
      <c r="AA114" s="229"/>
      <c r="AB114" s="229"/>
    </row>
    <row r="115" ht="15.75" customHeight="1">
      <c r="A115" s="232"/>
      <c r="B115" s="231"/>
      <c r="C115" s="231"/>
      <c r="D115" s="232"/>
      <c r="E115" s="235"/>
      <c r="F115" s="234"/>
      <c r="G115" s="229"/>
      <c r="H115" s="229"/>
      <c r="I115" s="229"/>
      <c r="J115" s="229"/>
      <c r="K115" s="229"/>
      <c r="L115" s="229"/>
      <c r="M115" s="229"/>
      <c r="N115" s="229"/>
      <c r="O115" s="229"/>
      <c r="P115" s="229"/>
      <c r="Q115" s="229"/>
      <c r="R115" s="229"/>
      <c r="S115" s="229"/>
      <c r="T115" s="229"/>
      <c r="U115" s="229"/>
      <c r="V115" s="229"/>
      <c r="W115" s="229"/>
      <c r="X115" s="229"/>
      <c r="Y115" s="229"/>
      <c r="Z115" s="229"/>
      <c r="AA115" s="229"/>
      <c r="AB115" s="229"/>
    </row>
    <row r="116" ht="15.75" customHeight="1">
      <c r="A116" s="232"/>
      <c r="B116" s="231"/>
      <c r="C116" s="231"/>
      <c r="D116" s="232"/>
      <c r="E116" s="235"/>
      <c r="F116" s="234"/>
      <c r="G116" s="229"/>
      <c r="H116" s="229"/>
      <c r="I116" s="229"/>
      <c r="J116" s="229"/>
      <c r="K116" s="229"/>
      <c r="L116" s="229"/>
      <c r="M116" s="229"/>
      <c r="N116" s="229"/>
      <c r="O116" s="229"/>
      <c r="P116" s="229"/>
      <c r="Q116" s="229"/>
      <c r="R116" s="229"/>
      <c r="S116" s="229"/>
      <c r="T116" s="229"/>
      <c r="U116" s="229"/>
      <c r="V116" s="229"/>
      <c r="W116" s="229"/>
      <c r="X116" s="229"/>
      <c r="Y116" s="229"/>
      <c r="Z116" s="229"/>
      <c r="AA116" s="229"/>
      <c r="AB116" s="229"/>
    </row>
    <row r="117" ht="15.75" customHeight="1">
      <c r="A117" s="232"/>
      <c r="B117" s="231"/>
      <c r="C117" s="231"/>
      <c r="D117" s="232"/>
      <c r="E117" s="235"/>
      <c r="F117" s="234"/>
      <c r="G117" s="229"/>
      <c r="H117" s="229"/>
      <c r="I117" s="229"/>
      <c r="J117" s="229"/>
      <c r="K117" s="229"/>
      <c r="L117" s="229"/>
      <c r="M117" s="229"/>
      <c r="N117" s="229"/>
      <c r="O117" s="229"/>
      <c r="P117" s="229"/>
      <c r="Q117" s="229"/>
      <c r="R117" s="229"/>
      <c r="S117" s="229"/>
      <c r="T117" s="229"/>
      <c r="U117" s="229"/>
      <c r="V117" s="229"/>
      <c r="W117" s="229"/>
      <c r="X117" s="229"/>
      <c r="Y117" s="229"/>
      <c r="Z117" s="229"/>
      <c r="AA117" s="229"/>
      <c r="AB117" s="229"/>
    </row>
    <row r="118" ht="15.75" customHeight="1">
      <c r="A118" s="232"/>
      <c r="B118" s="231"/>
      <c r="C118" s="231"/>
      <c r="D118" s="232"/>
      <c r="E118" s="235"/>
      <c r="F118" s="234"/>
      <c r="G118" s="229"/>
      <c r="H118" s="229"/>
      <c r="I118" s="229"/>
      <c r="J118" s="229"/>
      <c r="K118" s="229"/>
      <c r="L118" s="229"/>
      <c r="M118" s="229"/>
      <c r="N118" s="229"/>
      <c r="O118" s="229"/>
      <c r="P118" s="229"/>
      <c r="Q118" s="229"/>
      <c r="R118" s="229"/>
      <c r="S118" s="229"/>
      <c r="T118" s="229"/>
      <c r="U118" s="229"/>
      <c r="V118" s="229"/>
      <c r="W118" s="229"/>
      <c r="X118" s="229"/>
      <c r="Y118" s="229"/>
      <c r="Z118" s="229"/>
      <c r="AA118" s="229"/>
      <c r="AB118" s="229"/>
    </row>
    <row r="119" ht="15.75" customHeight="1">
      <c r="A119" s="232"/>
      <c r="B119" s="231"/>
      <c r="C119" s="231"/>
      <c r="D119" s="232"/>
      <c r="E119" s="235"/>
      <c r="F119" s="234"/>
      <c r="G119" s="229"/>
      <c r="H119" s="229"/>
      <c r="I119" s="229"/>
      <c r="J119" s="229"/>
      <c r="K119" s="229"/>
      <c r="L119" s="229"/>
      <c r="M119" s="229"/>
      <c r="N119" s="229"/>
      <c r="O119" s="229"/>
      <c r="P119" s="229"/>
      <c r="Q119" s="229"/>
      <c r="R119" s="229"/>
      <c r="S119" s="229"/>
      <c r="T119" s="229"/>
      <c r="U119" s="229"/>
      <c r="V119" s="229"/>
      <c r="W119" s="229"/>
      <c r="X119" s="229"/>
      <c r="Y119" s="229"/>
      <c r="Z119" s="229"/>
      <c r="AA119" s="229"/>
      <c r="AB119" s="229"/>
    </row>
    <row r="120" ht="15.75" customHeight="1">
      <c r="A120" s="232"/>
      <c r="B120" s="231"/>
      <c r="C120" s="231"/>
      <c r="D120" s="232"/>
      <c r="E120" s="235"/>
      <c r="F120" s="234"/>
      <c r="G120" s="229"/>
      <c r="H120" s="229"/>
      <c r="I120" s="229"/>
      <c r="J120" s="229"/>
      <c r="K120" s="229"/>
      <c r="L120" s="229"/>
      <c r="M120" s="229"/>
      <c r="N120" s="229"/>
      <c r="O120" s="229"/>
      <c r="P120" s="229"/>
      <c r="Q120" s="229"/>
      <c r="R120" s="229"/>
      <c r="S120" s="229"/>
      <c r="T120" s="229"/>
      <c r="U120" s="229"/>
      <c r="V120" s="229"/>
      <c r="W120" s="229"/>
      <c r="X120" s="229"/>
      <c r="Y120" s="229"/>
      <c r="Z120" s="229"/>
      <c r="AA120" s="229"/>
      <c r="AB120" s="229"/>
    </row>
    <row r="121" ht="15.75" customHeight="1">
      <c r="A121" s="232"/>
      <c r="B121" s="231"/>
      <c r="C121" s="231"/>
      <c r="D121" s="232"/>
      <c r="E121" s="235"/>
      <c r="F121" s="234"/>
      <c r="G121" s="229"/>
      <c r="H121" s="229"/>
      <c r="I121" s="229"/>
      <c r="J121" s="229"/>
      <c r="K121" s="229"/>
      <c r="L121" s="229"/>
      <c r="M121" s="229"/>
      <c r="N121" s="229"/>
      <c r="O121" s="229"/>
      <c r="P121" s="229"/>
      <c r="Q121" s="229"/>
      <c r="R121" s="229"/>
      <c r="S121" s="229"/>
      <c r="T121" s="229"/>
      <c r="U121" s="229"/>
      <c r="V121" s="229"/>
      <c r="W121" s="229"/>
      <c r="X121" s="229"/>
      <c r="Y121" s="229"/>
      <c r="Z121" s="229"/>
      <c r="AA121" s="229"/>
      <c r="AB121" s="229"/>
    </row>
    <row r="122" ht="15.75" customHeight="1">
      <c r="A122" s="232"/>
      <c r="B122" s="231"/>
      <c r="C122" s="231"/>
      <c r="D122" s="232"/>
      <c r="E122" s="235"/>
      <c r="F122" s="234"/>
      <c r="G122" s="229"/>
      <c r="H122" s="229"/>
      <c r="I122" s="229"/>
      <c r="J122" s="229"/>
      <c r="K122" s="229"/>
      <c r="L122" s="229"/>
      <c r="M122" s="229"/>
      <c r="N122" s="229"/>
      <c r="O122" s="229"/>
      <c r="P122" s="229"/>
      <c r="Q122" s="229"/>
      <c r="R122" s="229"/>
      <c r="S122" s="229"/>
      <c r="T122" s="229"/>
      <c r="U122" s="229"/>
      <c r="V122" s="229"/>
      <c r="W122" s="229"/>
      <c r="X122" s="229"/>
      <c r="Y122" s="229"/>
      <c r="Z122" s="229"/>
      <c r="AA122" s="229"/>
      <c r="AB122" s="229"/>
    </row>
    <row r="123" ht="15.75" customHeight="1">
      <c r="A123" s="232"/>
      <c r="B123" s="231"/>
      <c r="C123" s="231"/>
      <c r="D123" s="232"/>
      <c r="E123" s="235"/>
      <c r="F123" s="234"/>
      <c r="G123" s="229"/>
      <c r="H123" s="229"/>
      <c r="I123" s="229"/>
      <c r="J123" s="229"/>
      <c r="K123" s="229"/>
      <c r="L123" s="229"/>
      <c r="M123" s="229"/>
      <c r="N123" s="229"/>
      <c r="O123" s="229"/>
      <c r="P123" s="229"/>
      <c r="Q123" s="229"/>
      <c r="R123" s="229"/>
      <c r="S123" s="229"/>
      <c r="T123" s="229"/>
      <c r="U123" s="229"/>
      <c r="V123" s="229"/>
      <c r="W123" s="229"/>
      <c r="X123" s="229"/>
      <c r="Y123" s="229"/>
      <c r="Z123" s="229"/>
      <c r="AA123" s="229"/>
      <c r="AB123" s="229"/>
    </row>
    <row r="124" ht="15.75" customHeight="1">
      <c r="A124" s="232"/>
      <c r="B124" s="231"/>
      <c r="C124" s="231"/>
      <c r="D124" s="232"/>
      <c r="E124" s="235"/>
      <c r="F124" s="234"/>
      <c r="G124" s="229"/>
      <c r="H124" s="229"/>
      <c r="I124" s="229"/>
      <c r="J124" s="229"/>
      <c r="K124" s="229"/>
      <c r="L124" s="229"/>
      <c r="M124" s="229"/>
      <c r="N124" s="229"/>
      <c r="O124" s="229"/>
      <c r="P124" s="229"/>
      <c r="Q124" s="229"/>
      <c r="R124" s="229"/>
      <c r="S124" s="229"/>
      <c r="T124" s="229"/>
      <c r="U124" s="229"/>
      <c r="V124" s="229"/>
      <c r="W124" s="229"/>
      <c r="X124" s="229"/>
      <c r="Y124" s="229"/>
      <c r="Z124" s="229"/>
      <c r="AA124" s="229"/>
      <c r="AB124" s="229"/>
    </row>
    <row r="125" ht="15.75" customHeight="1">
      <c r="A125" s="232"/>
      <c r="B125" s="231"/>
      <c r="C125" s="231"/>
      <c r="D125" s="232"/>
      <c r="E125" s="235"/>
      <c r="F125" s="234"/>
      <c r="G125" s="229"/>
      <c r="H125" s="229"/>
      <c r="I125" s="229"/>
      <c r="J125" s="229"/>
      <c r="K125" s="229"/>
      <c r="L125" s="229"/>
      <c r="M125" s="229"/>
      <c r="N125" s="229"/>
      <c r="O125" s="229"/>
      <c r="P125" s="229"/>
      <c r="Q125" s="229"/>
      <c r="R125" s="229"/>
      <c r="S125" s="229"/>
      <c r="T125" s="229"/>
      <c r="U125" s="229"/>
      <c r="V125" s="229"/>
      <c r="W125" s="229"/>
      <c r="X125" s="229"/>
      <c r="Y125" s="229"/>
      <c r="Z125" s="229"/>
      <c r="AA125" s="229"/>
      <c r="AB125" s="229"/>
    </row>
    <row r="126" ht="15.75" customHeight="1">
      <c r="A126" s="232"/>
      <c r="B126" s="231"/>
      <c r="C126" s="231"/>
      <c r="D126" s="232"/>
      <c r="E126" s="235"/>
      <c r="F126" s="234"/>
      <c r="G126" s="229"/>
      <c r="H126" s="229"/>
      <c r="I126" s="229"/>
      <c r="J126" s="229"/>
      <c r="K126" s="229"/>
      <c r="L126" s="229"/>
      <c r="M126" s="229"/>
      <c r="N126" s="229"/>
      <c r="O126" s="229"/>
      <c r="P126" s="229"/>
      <c r="Q126" s="229"/>
      <c r="R126" s="229"/>
      <c r="S126" s="229"/>
      <c r="T126" s="229"/>
      <c r="U126" s="229"/>
      <c r="V126" s="229"/>
      <c r="W126" s="229"/>
      <c r="X126" s="229"/>
      <c r="Y126" s="229"/>
      <c r="Z126" s="229"/>
      <c r="AA126" s="229"/>
      <c r="AB126" s="229"/>
    </row>
    <row r="127" ht="15.75" customHeight="1">
      <c r="A127" s="232"/>
      <c r="B127" s="231"/>
      <c r="C127" s="231"/>
      <c r="D127" s="232"/>
      <c r="E127" s="235"/>
      <c r="F127" s="234"/>
      <c r="G127" s="229"/>
      <c r="H127" s="229"/>
      <c r="I127" s="229"/>
      <c r="J127" s="229"/>
      <c r="K127" s="229"/>
      <c r="L127" s="229"/>
      <c r="M127" s="229"/>
      <c r="N127" s="229"/>
      <c r="O127" s="229"/>
      <c r="P127" s="229"/>
      <c r="Q127" s="229"/>
      <c r="R127" s="229"/>
      <c r="S127" s="229"/>
      <c r="T127" s="229"/>
      <c r="U127" s="229"/>
      <c r="V127" s="229"/>
      <c r="W127" s="229"/>
      <c r="X127" s="229"/>
      <c r="Y127" s="229"/>
      <c r="Z127" s="229"/>
      <c r="AA127" s="229"/>
      <c r="AB127" s="229"/>
    </row>
    <row r="128" ht="15.75" customHeight="1">
      <c r="A128" s="232"/>
      <c r="B128" s="231"/>
      <c r="C128" s="231"/>
      <c r="D128" s="232"/>
      <c r="E128" s="235"/>
      <c r="F128" s="234"/>
      <c r="G128" s="229"/>
      <c r="H128" s="229"/>
      <c r="I128" s="229"/>
      <c r="J128" s="229"/>
      <c r="K128" s="229"/>
      <c r="L128" s="229"/>
      <c r="M128" s="229"/>
      <c r="N128" s="229"/>
      <c r="O128" s="229"/>
      <c r="P128" s="229"/>
      <c r="Q128" s="229"/>
      <c r="R128" s="229"/>
      <c r="S128" s="229"/>
      <c r="T128" s="229"/>
      <c r="U128" s="229"/>
      <c r="V128" s="229"/>
      <c r="W128" s="229"/>
      <c r="X128" s="229"/>
      <c r="Y128" s="229"/>
      <c r="Z128" s="229"/>
      <c r="AA128" s="229"/>
      <c r="AB128" s="229"/>
    </row>
    <row r="129" ht="15.75" customHeight="1">
      <c r="A129" s="232"/>
      <c r="B129" s="231"/>
      <c r="C129" s="231"/>
      <c r="D129" s="232"/>
      <c r="E129" s="235"/>
      <c r="F129" s="234"/>
      <c r="G129" s="229"/>
      <c r="H129" s="229"/>
      <c r="I129" s="229"/>
      <c r="J129" s="229"/>
      <c r="K129" s="229"/>
      <c r="L129" s="229"/>
      <c r="M129" s="229"/>
      <c r="N129" s="229"/>
      <c r="O129" s="229"/>
      <c r="P129" s="229"/>
      <c r="Q129" s="229"/>
      <c r="R129" s="229"/>
      <c r="S129" s="229"/>
      <c r="T129" s="229"/>
      <c r="U129" s="229"/>
      <c r="V129" s="229"/>
      <c r="W129" s="229"/>
      <c r="X129" s="229"/>
      <c r="Y129" s="229"/>
      <c r="Z129" s="229"/>
      <c r="AA129" s="229"/>
      <c r="AB129" s="229"/>
    </row>
    <row r="130" ht="15.75" customHeight="1">
      <c r="A130" s="232"/>
      <c r="B130" s="231"/>
      <c r="C130" s="231"/>
      <c r="D130" s="232"/>
      <c r="E130" s="235"/>
      <c r="F130" s="234"/>
      <c r="G130" s="229"/>
      <c r="H130" s="229"/>
      <c r="I130" s="229"/>
      <c r="J130" s="229"/>
      <c r="K130" s="229"/>
      <c r="L130" s="229"/>
      <c r="M130" s="229"/>
      <c r="N130" s="229"/>
      <c r="O130" s="229"/>
      <c r="P130" s="229"/>
      <c r="Q130" s="229"/>
      <c r="R130" s="229"/>
      <c r="S130" s="229"/>
      <c r="T130" s="229"/>
      <c r="U130" s="229"/>
      <c r="V130" s="229"/>
      <c r="W130" s="229"/>
      <c r="X130" s="229"/>
      <c r="Y130" s="229"/>
      <c r="Z130" s="229"/>
      <c r="AA130" s="229"/>
      <c r="AB130" s="229"/>
    </row>
    <row r="131" ht="15.75" customHeight="1">
      <c r="A131" s="232"/>
      <c r="B131" s="231"/>
      <c r="C131" s="231"/>
      <c r="D131" s="232"/>
      <c r="E131" s="235"/>
      <c r="F131" s="234"/>
      <c r="G131" s="229"/>
      <c r="H131" s="229"/>
      <c r="I131" s="229"/>
      <c r="J131" s="229"/>
      <c r="K131" s="229"/>
      <c r="L131" s="229"/>
      <c r="M131" s="229"/>
      <c r="N131" s="229"/>
      <c r="O131" s="229"/>
      <c r="P131" s="229"/>
      <c r="Q131" s="229"/>
      <c r="R131" s="229"/>
      <c r="S131" s="229"/>
      <c r="T131" s="229"/>
      <c r="U131" s="229"/>
      <c r="V131" s="229"/>
      <c r="W131" s="229"/>
      <c r="X131" s="229"/>
      <c r="Y131" s="229"/>
      <c r="Z131" s="229"/>
      <c r="AA131" s="229"/>
      <c r="AB131" s="229"/>
    </row>
    <row r="132" ht="15.75" customHeight="1">
      <c r="A132" s="232"/>
      <c r="B132" s="231"/>
      <c r="C132" s="231"/>
      <c r="D132" s="232"/>
      <c r="E132" s="235"/>
      <c r="F132" s="234"/>
      <c r="G132" s="229"/>
      <c r="H132" s="229"/>
      <c r="I132" s="229"/>
      <c r="J132" s="229"/>
      <c r="K132" s="229"/>
      <c r="L132" s="229"/>
      <c r="M132" s="229"/>
      <c r="N132" s="229"/>
      <c r="O132" s="229"/>
      <c r="P132" s="229"/>
      <c r="Q132" s="229"/>
      <c r="R132" s="229"/>
      <c r="S132" s="229"/>
      <c r="T132" s="229"/>
      <c r="U132" s="229"/>
      <c r="V132" s="229"/>
      <c r="W132" s="229"/>
      <c r="X132" s="229"/>
      <c r="Y132" s="229"/>
      <c r="Z132" s="229"/>
      <c r="AA132" s="229"/>
      <c r="AB132" s="229"/>
    </row>
    <row r="133" ht="15.75" customHeight="1">
      <c r="A133" s="232"/>
      <c r="B133" s="231"/>
      <c r="C133" s="231"/>
      <c r="D133" s="232"/>
      <c r="E133" s="235"/>
      <c r="F133" s="234"/>
      <c r="G133" s="229"/>
      <c r="H133" s="229"/>
      <c r="I133" s="229"/>
      <c r="J133" s="229"/>
      <c r="K133" s="229"/>
      <c r="L133" s="229"/>
      <c r="M133" s="229"/>
      <c r="N133" s="229"/>
      <c r="O133" s="229"/>
      <c r="P133" s="229"/>
      <c r="Q133" s="229"/>
      <c r="R133" s="229"/>
      <c r="S133" s="229"/>
      <c r="T133" s="229"/>
      <c r="U133" s="229"/>
      <c r="V133" s="229"/>
      <c r="W133" s="229"/>
      <c r="X133" s="229"/>
      <c r="Y133" s="229"/>
      <c r="Z133" s="229"/>
      <c r="AA133" s="229"/>
      <c r="AB133" s="229"/>
    </row>
    <row r="134" ht="15.75" customHeight="1">
      <c r="A134" s="232"/>
      <c r="B134" s="231"/>
      <c r="C134" s="231"/>
      <c r="D134" s="232"/>
      <c r="E134" s="235"/>
      <c r="F134" s="234"/>
      <c r="G134" s="229"/>
      <c r="H134" s="229"/>
      <c r="I134" s="229"/>
      <c r="J134" s="229"/>
      <c r="K134" s="229"/>
      <c r="L134" s="229"/>
      <c r="M134" s="229"/>
      <c r="N134" s="229"/>
      <c r="O134" s="229"/>
      <c r="P134" s="229"/>
      <c r="Q134" s="229"/>
      <c r="R134" s="229"/>
      <c r="S134" s="229"/>
      <c r="T134" s="229"/>
      <c r="U134" s="229"/>
      <c r="V134" s="229"/>
      <c r="W134" s="229"/>
      <c r="X134" s="229"/>
      <c r="Y134" s="229"/>
      <c r="Z134" s="229"/>
      <c r="AA134" s="229"/>
      <c r="AB134" s="229"/>
    </row>
    <row r="135" ht="15.75" customHeight="1">
      <c r="A135" s="232"/>
      <c r="B135" s="231"/>
      <c r="C135" s="231"/>
      <c r="D135" s="232"/>
      <c r="E135" s="235"/>
      <c r="F135" s="234"/>
      <c r="G135" s="229"/>
      <c r="H135" s="229"/>
      <c r="I135" s="229"/>
      <c r="J135" s="229"/>
      <c r="K135" s="229"/>
      <c r="L135" s="229"/>
      <c r="M135" s="229"/>
      <c r="N135" s="229"/>
      <c r="O135" s="229"/>
      <c r="P135" s="229"/>
      <c r="Q135" s="229"/>
      <c r="R135" s="229"/>
      <c r="S135" s="229"/>
      <c r="T135" s="229"/>
      <c r="U135" s="229"/>
      <c r="V135" s="229"/>
      <c r="W135" s="229"/>
      <c r="X135" s="229"/>
      <c r="Y135" s="229"/>
      <c r="Z135" s="229"/>
      <c r="AA135" s="229"/>
      <c r="AB135" s="229"/>
    </row>
    <row r="136" ht="15.75" customHeight="1">
      <c r="A136" s="232"/>
      <c r="B136" s="231"/>
      <c r="C136" s="231"/>
      <c r="D136" s="232"/>
      <c r="E136" s="235"/>
      <c r="F136" s="234"/>
      <c r="G136" s="229"/>
      <c r="H136" s="229"/>
      <c r="I136" s="229"/>
      <c r="J136" s="229"/>
      <c r="K136" s="229"/>
      <c r="L136" s="229"/>
      <c r="M136" s="229"/>
      <c r="N136" s="229"/>
      <c r="O136" s="229"/>
      <c r="P136" s="229"/>
      <c r="Q136" s="229"/>
      <c r="R136" s="229"/>
      <c r="S136" s="229"/>
      <c r="T136" s="229"/>
      <c r="U136" s="229"/>
      <c r="V136" s="229"/>
      <c r="W136" s="229"/>
      <c r="X136" s="229"/>
      <c r="Y136" s="229"/>
      <c r="Z136" s="229"/>
      <c r="AA136" s="229"/>
      <c r="AB136" s="229"/>
    </row>
    <row r="137" ht="15.75" customHeight="1">
      <c r="A137" s="232"/>
      <c r="B137" s="231"/>
      <c r="C137" s="231"/>
      <c r="D137" s="232"/>
      <c r="E137" s="235"/>
      <c r="F137" s="234"/>
      <c r="G137" s="229"/>
      <c r="H137" s="229"/>
      <c r="I137" s="229"/>
      <c r="J137" s="229"/>
      <c r="K137" s="229"/>
      <c r="L137" s="229"/>
      <c r="M137" s="229"/>
      <c r="N137" s="229"/>
      <c r="O137" s="229"/>
      <c r="P137" s="229"/>
      <c r="Q137" s="229"/>
      <c r="R137" s="229"/>
      <c r="S137" s="229"/>
      <c r="T137" s="229"/>
      <c r="U137" s="229"/>
      <c r="V137" s="229"/>
      <c r="W137" s="229"/>
      <c r="X137" s="229"/>
      <c r="Y137" s="229"/>
      <c r="Z137" s="229"/>
      <c r="AA137" s="229"/>
      <c r="AB137" s="229"/>
    </row>
    <row r="138" ht="15.75" customHeight="1">
      <c r="A138" s="232"/>
      <c r="B138" s="231"/>
      <c r="C138" s="231"/>
      <c r="D138" s="232"/>
      <c r="E138" s="235"/>
      <c r="F138" s="234"/>
      <c r="G138" s="229"/>
      <c r="H138" s="229"/>
      <c r="I138" s="229"/>
      <c r="J138" s="229"/>
      <c r="K138" s="229"/>
      <c r="L138" s="229"/>
      <c r="M138" s="229"/>
      <c r="N138" s="229"/>
      <c r="O138" s="229"/>
      <c r="P138" s="229"/>
      <c r="Q138" s="229"/>
      <c r="R138" s="229"/>
      <c r="S138" s="229"/>
      <c r="T138" s="229"/>
      <c r="U138" s="229"/>
      <c r="V138" s="229"/>
      <c r="W138" s="229"/>
      <c r="X138" s="229"/>
      <c r="Y138" s="229"/>
      <c r="Z138" s="229"/>
      <c r="AA138" s="229"/>
      <c r="AB138" s="229"/>
    </row>
    <row r="139" ht="15.75" customHeight="1">
      <c r="A139" s="232"/>
      <c r="B139" s="231"/>
      <c r="C139" s="231"/>
      <c r="D139" s="232"/>
      <c r="E139" s="235"/>
      <c r="F139" s="234"/>
      <c r="G139" s="229"/>
      <c r="H139" s="229"/>
      <c r="I139" s="229"/>
      <c r="J139" s="229"/>
      <c r="K139" s="229"/>
      <c r="L139" s="229"/>
      <c r="M139" s="229"/>
      <c r="N139" s="229"/>
      <c r="O139" s="229"/>
      <c r="P139" s="229"/>
      <c r="Q139" s="229"/>
      <c r="R139" s="229"/>
      <c r="S139" s="229"/>
      <c r="T139" s="229"/>
      <c r="U139" s="229"/>
      <c r="V139" s="229"/>
      <c r="W139" s="229"/>
      <c r="X139" s="229"/>
      <c r="Y139" s="229"/>
      <c r="Z139" s="229"/>
      <c r="AA139" s="229"/>
      <c r="AB139" s="229"/>
    </row>
    <row r="140" ht="15.75" customHeight="1">
      <c r="A140" s="232"/>
      <c r="B140" s="231"/>
      <c r="C140" s="231"/>
      <c r="D140" s="232"/>
      <c r="E140" s="235"/>
      <c r="F140" s="234"/>
      <c r="G140" s="229"/>
      <c r="H140" s="229"/>
      <c r="I140" s="229"/>
      <c r="J140" s="229"/>
      <c r="K140" s="229"/>
      <c r="L140" s="229"/>
      <c r="M140" s="229"/>
      <c r="N140" s="229"/>
      <c r="O140" s="229"/>
      <c r="P140" s="229"/>
      <c r="Q140" s="229"/>
      <c r="R140" s="229"/>
      <c r="S140" s="229"/>
      <c r="T140" s="229"/>
      <c r="U140" s="229"/>
      <c r="V140" s="229"/>
      <c r="W140" s="229"/>
      <c r="X140" s="229"/>
      <c r="Y140" s="229"/>
      <c r="Z140" s="229"/>
      <c r="AA140" s="229"/>
      <c r="AB140" s="229"/>
    </row>
    <row r="141" ht="15.75" customHeight="1">
      <c r="A141" s="232"/>
      <c r="B141" s="231"/>
      <c r="C141" s="231"/>
      <c r="D141" s="232"/>
      <c r="E141" s="235"/>
      <c r="F141" s="234"/>
      <c r="G141" s="229"/>
      <c r="H141" s="229"/>
      <c r="I141" s="229"/>
      <c r="J141" s="229"/>
      <c r="K141" s="229"/>
      <c r="L141" s="229"/>
      <c r="M141" s="229"/>
      <c r="N141" s="229"/>
      <c r="O141" s="229"/>
      <c r="P141" s="229"/>
      <c r="Q141" s="229"/>
      <c r="R141" s="229"/>
      <c r="S141" s="229"/>
      <c r="T141" s="229"/>
      <c r="U141" s="229"/>
      <c r="V141" s="229"/>
      <c r="W141" s="229"/>
      <c r="X141" s="229"/>
      <c r="Y141" s="229"/>
      <c r="Z141" s="229"/>
      <c r="AA141" s="229"/>
      <c r="AB141" s="229"/>
    </row>
    <row r="142" ht="15.75" customHeight="1">
      <c r="A142" s="232"/>
      <c r="B142" s="231"/>
      <c r="C142" s="231"/>
      <c r="D142" s="232"/>
      <c r="E142" s="235"/>
      <c r="F142" s="234"/>
      <c r="G142" s="229"/>
      <c r="H142" s="229"/>
      <c r="I142" s="229"/>
      <c r="J142" s="229"/>
      <c r="K142" s="229"/>
      <c r="L142" s="229"/>
      <c r="M142" s="229"/>
      <c r="N142" s="229"/>
      <c r="O142" s="229"/>
      <c r="P142" s="229"/>
      <c r="Q142" s="229"/>
      <c r="R142" s="229"/>
      <c r="S142" s="229"/>
      <c r="T142" s="229"/>
      <c r="U142" s="229"/>
      <c r="V142" s="229"/>
      <c r="W142" s="229"/>
      <c r="X142" s="229"/>
      <c r="Y142" s="229"/>
      <c r="Z142" s="229"/>
      <c r="AA142" s="229"/>
      <c r="AB142" s="229"/>
    </row>
    <row r="143" ht="15.75" customHeight="1">
      <c r="A143" s="232"/>
      <c r="B143" s="231"/>
      <c r="C143" s="231"/>
      <c r="D143" s="232"/>
      <c r="E143" s="235"/>
      <c r="F143" s="234"/>
      <c r="G143" s="229"/>
      <c r="H143" s="229"/>
      <c r="I143" s="229"/>
      <c r="J143" s="229"/>
      <c r="K143" s="229"/>
      <c r="L143" s="229"/>
      <c r="M143" s="229"/>
      <c r="N143" s="229"/>
      <c r="O143" s="229"/>
      <c r="P143" s="229"/>
      <c r="Q143" s="229"/>
      <c r="R143" s="229"/>
      <c r="S143" s="229"/>
      <c r="T143" s="229"/>
      <c r="U143" s="229"/>
      <c r="V143" s="229"/>
      <c r="W143" s="229"/>
      <c r="X143" s="229"/>
      <c r="Y143" s="229"/>
      <c r="Z143" s="229"/>
      <c r="AA143" s="229"/>
      <c r="AB143" s="229"/>
    </row>
    <row r="144" ht="15.75" customHeight="1">
      <c r="A144" s="232"/>
      <c r="B144" s="231"/>
      <c r="C144" s="231"/>
      <c r="D144" s="232"/>
      <c r="E144" s="235"/>
      <c r="F144" s="234"/>
      <c r="G144" s="229"/>
      <c r="H144" s="229"/>
      <c r="I144" s="229"/>
      <c r="J144" s="229"/>
      <c r="K144" s="229"/>
      <c r="L144" s="229"/>
      <c r="M144" s="229"/>
      <c r="N144" s="229"/>
      <c r="O144" s="229"/>
      <c r="P144" s="229"/>
      <c r="Q144" s="229"/>
      <c r="R144" s="229"/>
      <c r="S144" s="229"/>
      <c r="T144" s="229"/>
      <c r="U144" s="229"/>
      <c r="V144" s="229"/>
      <c r="W144" s="229"/>
      <c r="X144" s="229"/>
      <c r="Y144" s="229"/>
      <c r="Z144" s="229"/>
      <c r="AA144" s="229"/>
      <c r="AB144" s="229"/>
    </row>
    <row r="145" ht="15.75" customHeight="1">
      <c r="A145" s="232"/>
      <c r="B145" s="231"/>
      <c r="C145" s="231"/>
      <c r="D145" s="232"/>
      <c r="E145" s="235"/>
      <c r="F145" s="234"/>
      <c r="G145" s="229"/>
      <c r="H145" s="229"/>
      <c r="I145" s="229"/>
      <c r="J145" s="229"/>
      <c r="K145" s="229"/>
      <c r="L145" s="229"/>
      <c r="M145" s="229"/>
      <c r="N145" s="229"/>
      <c r="O145" s="229"/>
      <c r="P145" s="229"/>
      <c r="Q145" s="229"/>
      <c r="R145" s="229"/>
      <c r="S145" s="229"/>
      <c r="T145" s="229"/>
      <c r="U145" s="229"/>
      <c r="V145" s="229"/>
      <c r="W145" s="229"/>
      <c r="X145" s="229"/>
      <c r="Y145" s="229"/>
      <c r="Z145" s="229"/>
      <c r="AA145" s="229"/>
      <c r="AB145" s="229"/>
    </row>
    <row r="146" ht="15.75" customHeight="1">
      <c r="A146" s="232"/>
      <c r="B146" s="231"/>
      <c r="C146" s="231"/>
      <c r="D146" s="232"/>
      <c r="E146" s="235"/>
      <c r="F146" s="234"/>
      <c r="G146" s="229"/>
      <c r="H146" s="229"/>
      <c r="I146" s="229"/>
      <c r="J146" s="229"/>
      <c r="K146" s="229"/>
      <c r="L146" s="229"/>
      <c r="M146" s="229"/>
      <c r="N146" s="229"/>
      <c r="O146" s="229"/>
      <c r="P146" s="229"/>
      <c r="Q146" s="229"/>
      <c r="R146" s="229"/>
      <c r="S146" s="229"/>
      <c r="T146" s="229"/>
      <c r="U146" s="229"/>
      <c r="V146" s="229"/>
      <c r="W146" s="229"/>
      <c r="X146" s="229"/>
      <c r="Y146" s="229"/>
      <c r="Z146" s="229"/>
      <c r="AA146" s="229"/>
      <c r="AB146" s="229"/>
    </row>
    <row r="147" ht="15.75" customHeight="1">
      <c r="A147" s="232"/>
      <c r="B147" s="231"/>
      <c r="C147" s="231"/>
      <c r="D147" s="232"/>
      <c r="E147" s="235"/>
      <c r="F147" s="234"/>
      <c r="G147" s="229"/>
      <c r="H147" s="229"/>
      <c r="I147" s="229"/>
      <c r="J147" s="229"/>
      <c r="K147" s="229"/>
      <c r="L147" s="229"/>
      <c r="M147" s="229"/>
      <c r="N147" s="229"/>
      <c r="O147" s="229"/>
      <c r="P147" s="229"/>
      <c r="Q147" s="229"/>
      <c r="R147" s="229"/>
      <c r="S147" s="229"/>
      <c r="T147" s="229"/>
      <c r="U147" s="229"/>
      <c r="V147" s="229"/>
      <c r="W147" s="229"/>
      <c r="X147" s="229"/>
      <c r="Y147" s="229"/>
      <c r="Z147" s="229"/>
      <c r="AA147" s="229"/>
      <c r="AB147" s="229"/>
    </row>
    <row r="148" ht="15.75" customHeight="1">
      <c r="A148" s="232"/>
      <c r="B148" s="231"/>
      <c r="C148" s="231"/>
      <c r="D148" s="232"/>
      <c r="E148" s="235"/>
      <c r="F148" s="234"/>
      <c r="G148" s="229"/>
      <c r="H148" s="229"/>
      <c r="I148" s="229"/>
      <c r="J148" s="229"/>
      <c r="K148" s="229"/>
      <c r="L148" s="229"/>
      <c r="M148" s="229"/>
      <c r="N148" s="229"/>
      <c r="O148" s="229"/>
      <c r="P148" s="229"/>
      <c r="Q148" s="229"/>
      <c r="R148" s="229"/>
      <c r="S148" s="229"/>
      <c r="T148" s="229"/>
      <c r="U148" s="229"/>
      <c r="V148" s="229"/>
      <c r="W148" s="229"/>
      <c r="X148" s="229"/>
      <c r="Y148" s="229"/>
      <c r="Z148" s="229"/>
      <c r="AA148" s="229"/>
      <c r="AB148" s="229"/>
    </row>
    <row r="149" ht="15.75" customHeight="1">
      <c r="A149" s="232"/>
      <c r="B149" s="231"/>
      <c r="C149" s="231"/>
      <c r="D149" s="232"/>
      <c r="E149" s="235"/>
      <c r="F149" s="234"/>
      <c r="G149" s="229"/>
      <c r="H149" s="229"/>
      <c r="I149" s="229"/>
      <c r="J149" s="229"/>
      <c r="K149" s="229"/>
      <c r="L149" s="229"/>
      <c r="M149" s="229"/>
      <c r="N149" s="229"/>
      <c r="O149" s="229"/>
      <c r="P149" s="229"/>
      <c r="Q149" s="229"/>
      <c r="R149" s="229"/>
      <c r="S149" s="229"/>
      <c r="T149" s="229"/>
      <c r="U149" s="229"/>
      <c r="V149" s="229"/>
      <c r="W149" s="229"/>
      <c r="X149" s="229"/>
      <c r="Y149" s="229"/>
      <c r="Z149" s="229"/>
      <c r="AA149" s="229"/>
      <c r="AB149" s="229"/>
    </row>
    <row r="150" ht="15.75" customHeight="1">
      <c r="A150" s="232"/>
      <c r="B150" s="231"/>
      <c r="C150" s="231"/>
      <c r="D150" s="232"/>
      <c r="E150" s="235"/>
      <c r="F150" s="234"/>
      <c r="G150" s="229"/>
      <c r="H150" s="229"/>
      <c r="I150" s="229"/>
      <c r="J150" s="229"/>
      <c r="K150" s="229"/>
      <c r="L150" s="229"/>
      <c r="M150" s="229"/>
      <c r="N150" s="229"/>
      <c r="O150" s="229"/>
      <c r="P150" s="229"/>
      <c r="Q150" s="229"/>
      <c r="R150" s="229"/>
      <c r="S150" s="229"/>
      <c r="T150" s="229"/>
      <c r="U150" s="229"/>
      <c r="V150" s="229"/>
      <c r="W150" s="229"/>
      <c r="X150" s="229"/>
      <c r="Y150" s="229"/>
      <c r="Z150" s="229"/>
      <c r="AA150" s="229"/>
      <c r="AB150" s="229"/>
    </row>
    <row r="151" ht="15.75" customHeight="1">
      <c r="A151" s="232"/>
      <c r="B151" s="231"/>
      <c r="C151" s="231"/>
      <c r="D151" s="232"/>
      <c r="E151" s="235"/>
      <c r="F151" s="234"/>
      <c r="G151" s="229"/>
      <c r="H151" s="229"/>
      <c r="I151" s="229"/>
      <c r="J151" s="229"/>
      <c r="K151" s="229"/>
      <c r="L151" s="229"/>
      <c r="M151" s="229"/>
      <c r="N151" s="229"/>
      <c r="O151" s="229"/>
      <c r="P151" s="229"/>
      <c r="Q151" s="229"/>
      <c r="R151" s="229"/>
      <c r="S151" s="229"/>
      <c r="T151" s="229"/>
      <c r="U151" s="229"/>
      <c r="V151" s="229"/>
      <c r="W151" s="229"/>
      <c r="X151" s="229"/>
      <c r="Y151" s="229"/>
      <c r="Z151" s="229"/>
      <c r="AA151" s="229"/>
      <c r="AB151" s="229"/>
    </row>
    <row r="152" ht="15.75" customHeight="1">
      <c r="A152" s="232"/>
      <c r="B152" s="231"/>
      <c r="C152" s="231"/>
      <c r="D152" s="232"/>
      <c r="E152" s="235"/>
      <c r="F152" s="234"/>
      <c r="G152" s="229"/>
      <c r="H152" s="229"/>
      <c r="I152" s="229"/>
      <c r="J152" s="229"/>
      <c r="K152" s="229"/>
      <c r="L152" s="229"/>
      <c r="M152" s="229"/>
      <c r="N152" s="229"/>
      <c r="O152" s="229"/>
      <c r="P152" s="229"/>
      <c r="Q152" s="229"/>
      <c r="R152" s="229"/>
      <c r="S152" s="229"/>
      <c r="T152" s="229"/>
      <c r="U152" s="229"/>
      <c r="V152" s="229"/>
      <c r="W152" s="229"/>
      <c r="X152" s="229"/>
      <c r="Y152" s="229"/>
      <c r="Z152" s="229"/>
      <c r="AA152" s="229"/>
      <c r="AB152" s="229"/>
    </row>
    <row r="153" ht="15.75" customHeight="1">
      <c r="A153" s="232"/>
      <c r="B153" s="231"/>
      <c r="C153" s="231"/>
      <c r="D153" s="232"/>
      <c r="E153" s="235"/>
      <c r="F153" s="234"/>
      <c r="G153" s="229"/>
      <c r="H153" s="229"/>
      <c r="I153" s="229"/>
      <c r="J153" s="229"/>
      <c r="K153" s="229"/>
      <c r="L153" s="229"/>
      <c r="M153" s="229"/>
      <c r="N153" s="229"/>
      <c r="O153" s="229"/>
      <c r="P153" s="229"/>
      <c r="Q153" s="229"/>
      <c r="R153" s="229"/>
      <c r="S153" s="229"/>
      <c r="T153" s="229"/>
      <c r="U153" s="229"/>
      <c r="V153" s="229"/>
      <c r="W153" s="229"/>
      <c r="X153" s="229"/>
      <c r="Y153" s="229"/>
      <c r="Z153" s="229"/>
      <c r="AA153" s="229"/>
      <c r="AB153" s="229"/>
    </row>
    <row r="154" ht="15.75" customHeight="1">
      <c r="A154" s="232"/>
      <c r="B154" s="231"/>
      <c r="C154" s="231"/>
      <c r="D154" s="232"/>
      <c r="E154" s="235"/>
      <c r="F154" s="234"/>
      <c r="G154" s="229"/>
      <c r="H154" s="229"/>
      <c r="I154" s="229"/>
      <c r="J154" s="229"/>
      <c r="K154" s="229"/>
      <c r="L154" s="229"/>
      <c r="M154" s="229"/>
      <c r="N154" s="229"/>
      <c r="O154" s="229"/>
      <c r="P154" s="229"/>
      <c r="Q154" s="229"/>
      <c r="R154" s="229"/>
      <c r="S154" s="229"/>
      <c r="T154" s="229"/>
      <c r="U154" s="229"/>
      <c r="V154" s="229"/>
      <c r="W154" s="229"/>
      <c r="X154" s="229"/>
      <c r="Y154" s="229"/>
      <c r="Z154" s="229"/>
      <c r="AA154" s="229"/>
      <c r="AB154" s="229"/>
    </row>
    <row r="155" ht="15.75" customHeight="1">
      <c r="A155" s="232"/>
      <c r="B155" s="231"/>
      <c r="C155" s="231"/>
      <c r="D155" s="232"/>
      <c r="E155" s="235"/>
      <c r="F155" s="234"/>
      <c r="G155" s="229"/>
      <c r="H155" s="229"/>
      <c r="I155" s="229"/>
      <c r="J155" s="229"/>
      <c r="K155" s="229"/>
      <c r="L155" s="229"/>
      <c r="M155" s="229"/>
      <c r="N155" s="229"/>
      <c r="O155" s="229"/>
      <c r="P155" s="229"/>
      <c r="Q155" s="229"/>
      <c r="R155" s="229"/>
      <c r="S155" s="229"/>
      <c r="T155" s="229"/>
      <c r="U155" s="229"/>
      <c r="V155" s="229"/>
      <c r="W155" s="229"/>
      <c r="X155" s="229"/>
      <c r="Y155" s="229"/>
      <c r="Z155" s="229"/>
      <c r="AA155" s="229"/>
      <c r="AB155" s="229"/>
    </row>
    <row r="156" ht="15.75" customHeight="1">
      <c r="A156" s="232"/>
      <c r="B156" s="231"/>
      <c r="C156" s="231"/>
      <c r="D156" s="232"/>
      <c r="E156" s="235"/>
      <c r="F156" s="234"/>
      <c r="G156" s="229"/>
      <c r="H156" s="229"/>
      <c r="I156" s="229"/>
      <c r="J156" s="229"/>
      <c r="K156" s="229"/>
      <c r="L156" s="229"/>
      <c r="M156" s="229"/>
      <c r="N156" s="229"/>
      <c r="O156" s="229"/>
      <c r="P156" s="229"/>
      <c r="Q156" s="229"/>
      <c r="R156" s="229"/>
      <c r="S156" s="229"/>
      <c r="T156" s="229"/>
      <c r="U156" s="229"/>
      <c r="V156" s="229"/>
      <c r="W156" s="229"/>
      <c r="X156" s="229"/>
      <c r="Y156" s="229"/>
      <c r="Z156" s="229"/>
      <c r="AA156" s="229"/>
      <c r="AB156" s="229"/>
    </row>
    <row r="157" ht="15.75" customHeight="1">
      <c r="A157" s="232"/>
      <c r="B157" s="231"/>
      <c r="C157" s="231"/>
      <c r="D157" s="232"/>
      <c r="E157" s="235"/>
      <c r="F157" s="234"/>
      <c r="G157" s="229"/>
      <c r="H157" s="229"/>
      <c r="I157" s="229"/>
      <c r="J157" s="229"/>
      <c r="K157" s="229"/>
      <c r="L157" s="229"/>
      <c r="M157" s="229"/>
      <c r="N157" s="229"/>
      <c r="O157" s="229"/>
      <c r="P157" s="229"/>
      <c r="Q157" s="229"/>
      <c r="R157" s="229"/>
      <c r="S157" s="229"/>
      <c r="T157" s="229"/>
      <c r="U157" s="229"/>
      <c r="V157" s="229"/>
      <c r="W157" s="229"/>
      <c r="X157" s="229"/>
      <c r="Y157" s="229"/>
      <c r="Z157" s="229"/>
      <c r="AA157" s="229"/>
      <c r="AB157" s="229"/>
    </row>
    <row r="158" ht="15.75" customHeight="1">
      <c r="A158" s="232"/>
      <c r="B158" s="231"/>
      <c r="C158" s="231"/>
      <c r="D158" s="232"/>
      <c r="E158" s="235"/>
      <c r="F158" s="234"/>
      <c r="G158" s="229"/>
      <c r="H158" s="229"/>
      <c r="I158" s="229"/>
      <c r="J158" s="229"/>
      <c r="K158" s="229"/>
      <c r="L158" s="229"/>
      <c r="M158" s="229"/>
      <c r="N158" s="229"/>
      <c r="O158" s="229"/>
      <c r="P158" s="229"/>
      <c r="Q158" s="229"/>
      <c r="R158" s="229"/>
      <c r="S158" s="229"/>
      <c r="T158" s="229"/>
      <c r="U158" s="229"/>
      <c r="V158" s="229"/>
      <c r="W158" s="229"/>
      <c r="X158" s="229"/>
      <c r="Y158" s="229"/>
      <c r="Z158" s="229"/>
      <c r="AA158" s="229"/>
      <c r="AB158" s="229"/>
    </row>
    <row r="159" ht="15.75" customHeight="1">
      <c r="A159" s="232"/>
      <c r="B159" s="231"/>
      <c r="C159" s="231"/>
      <c r="D159" s="232"/>
      <c r="E159" s="235"/>
      <c r="F159" s="234"/>
      <c r="G159" s="229"/>
      <c r="H159" s="229"/>
      <c r="I159" s="229"/>
      <c r="J159" s="229"/>
      <c r="K159" s="229"/>
      <c r="L159" s="229"/>
      <c r="M159" s="229"/>
      <c r="N159" s="229"/>
      <c r="O159" s="229"/>
      <c r="P159" s="229"/>
      <c r="Q159" s="229"/>
      <c r="R159" s="229"/>
      <c r="S159" s="229"/>
      <c r="T159" s="229"/>
      <c r="U159" s="229"/>
      <c r="V159" s="229"/>
      <c r="W159" s="229"/>
      <c r="X159" s="229"/>
      <c r="Y159" s="229"/>
      <c r="Z159" s="229"/>
      <c r="AA159" s="229"/>
      <c r="AB159" s="229"/>
    </row>
    <row r="160" ht="15.75" customHeight="1">
      <c r="A160" s="232"/>
      <c r="B160" s="231"/>
      <c r="C160" s="231"/>
      <c r="D160" s="232"/>
      <c r="E160" s="235"/>
      <c r="F160" s="234"/>
      <c r="G160" s="229"/>
      <c r="H160" s="229"/>
      <c r="I160" s="229"/>
      <c r="J160" s="229"/>
      <c r="K160" s="229"/>
      <c r="L160" s="229"/>
      <c r="M160" s="229"/>
      <c r="N160" s="229"/>
      <c r="O160" s="229"/>
      <c r="P160" s="229"/>
      <c r="Q160" s="229"/>
      <c r="R160" s="229"/>
      <c r="S160" s="229"/>
      <c r="T160" s="229"/>
      <c r="U160" s="229"/>
      <c r="V160" s="229"/>
      <c r="W160" s="229"/>
      <c r="X160" s="229"/>
      <c r="Y160" s="229"/>
      <c r="Z160" s="229"/>
      <c r="AA160" s="229"/>
      <c r="AB160" s="229"/>
    </row>
    <row r="161" ht="15.75" customHeight="1">
      <c r="A161" s="232"/>
      <c r="B161" s="231"/>
      <c r="C161" s="231"/>
      <c r="D161" s="232"/>
      <c r="E161" s="235"/>
      <c r="F161" s="234"/>
      <c r="G161" s="229"/>
      <c r="H161" s="229"/>
      <c r="I161" s="229"/>
      <c r="J161" s="229"/>
      <c r="K161" s="229"/>
      <c r="L161" s="229"/>
      <c r="M161" s="229"/>
      <c r="N161" s="229"/>
      <c r="O161" s="229"/>
      <c r="P161" s="229"/>
      <c r="Q161" s="229"/>
      <c r="R161" s="229"/>
      <c r="S161" s="229"/>
      <c r="T161" s="229"/>
      <c r="U161" s="229"/>
      <c r="V161" s="229"/>
      <c r="W161" s="229"/>
      <c r="X161" s="229"/>
      <c r="Y161" s="229"/>
      <c r="Z161" s="229"/>
      <c r="AA161" s="229"/>
      <c r="AB161" s="229"/>
    </row>
    <row r="162" ht="15.75" customHeight="1">
      <c r="A162" s="232"/>
      <c r="B162" s="231"/>
      <c r="C162" s="231"/>
      <c r="D162" s="232"/>
      <c r="E162" s="235"/>
      <c r="F162" s="234"/>
      <c r="G162" s="229"/>
      <c r="H162" s="229"/>
      <c r="I162" s="229"/>
      <c r="J162" s="229"/>
      <c r="K162" s="229"/>
      <c r="L162" s="229"/>
      <c r="M162" s="229"/>
      <c r="N162" s="229"/>
      <c r="O162" s="229"/>
      <c r="P162" s="229"/>
      <c r="Q162" s="229"/>
      <c r="R162" s="229"/>
      <c r="S162" s="229"/>
      <c r="T162" s="229"/>
      <c r="U162" s="229"/>
      <c r="V162" s="229"/>
      <c r="W162" s="229"/>
      <c r="X162" s="229"/>
      <c r="Y162" s="229"/>
      <c r="Z162" s="229"/>
      <c r="AA162" s="229"/>
      <c r="AB162" s="229"/>
    </row>
    <row r="163" ht="15.75" customHeight="1">
      <c r="A163" s="232"/>
      <c r="B163" s="231"/>
      <c r="C163" s="231"/>
      <c r="D163" s="232"/>
      <c r="E163" s="235"/>
      <c r="F163" s="234"/>
      <c r="G163" s="229"/>
      <c r="H163" s="229"/>
      <c r="I163" s="229"/>
      <c r="J163" s="229"/>
      <c r="K163" s="229"/>
      <c r="L163" s="229"/>
      <c r="M163" s="229"/>
      <c r="N163" s="229"/>
      <c r="O163" s="229"/>
      <c r="P163" s="229"/>
      <c r="Q163" s="229"/>
      <c r="R163" s="229"/>
      <c r="S163" s="229"/>
      <c r="T163" s="229"/>
      <c r="U163" s="229"/>
      <c r="V163" s="229"/>
      <c r="W163" s="229"/>
      <c r="X163" s="229"/>
      <c r="Y163" s="229"/>
      <c r="Z163" s="229"/>
      <c r="AA163" s="229"/>
      <c r="AB163" s="229"/>
    </row>
    <row r="164" ht="15.75" customHeight="1">
      <c r="A164" s="232"/>
      <c r="B164" s="231"/>
      <c r="C164" s="231"/>
      <c r="D164" s="232"/>
      <c r="E164" s="235"/>
      <c r="F164" s="234"/>
      <c r="G164" s="229"/>
      <c r="H164" s="229"/>
      <c r="I164" s="229"/>
      <c r="J164" s="229"/>
      <c r="K164" s="229"/>
      <c r="L164" s="229"/>
      <c r="M164" s="229"/>
      <c r="N164" s="229"/>
      <c r="O164" s="229"/>
      <c r="P164" s="229"/>
      <c r="Q164" s="229"/>
      <c r="R164" s="229"/>
      <c r="S164" s="229"/>
      <c r="T164" s="229"/>
      <c r="U164" s="229"/>
      <c r="V164" s="229"/>
      <c r="W164" s="229"/>
      <c r="X164" s="229"/>
      <c r="Y164" s="229"/>
      <c r="Z164" s="229"/>
      <c r="AA164" s="229"/>
      <c r="AB164" s="229"/>
    </row>
    <row r="165" ht="15.75" customHeight="1">
      <c r="A165" s="232"/>
      <c r="B165" s="231"/>
      <c r="C165" s="231"/>
      <c r="D165" s="232"/>
      <c r="E165" s="235"/>
      <c r="F165" s="234"/>
      <c r="G165" s="229"/>
      <c r="H165" s="229"/>
      <c r="I165" s="229"/>
      <c r="J165" s="229"/>
      <c r="K165" s="229"/>
      <c r="L165" s="229"/>
      <c r="M165" s="229"/>
      <c r="N165" s="229"/>
      <c r="O165" s="229"/>
      <c r="P165" s="229"/>
      <c r="Q165" s="229"/>
      <c r="R165" s="229"/>
      <c r="S165" s="229"/>
      <c r="T165" s="229"/>
      <c r="U165" s="229"/>
      <c r="V165" s="229"/>
      <c r="W165" s="229"/>
      <c r="X165" s="229"/>
      <c r="Y165" s="229"/>
      <c r="Z165" s="229"/>
      <c r="AA165" s="229"/>
      <c r="AB165" s="229"/>
    </row>
    <row r="166" ht="15.75" customHeight="1">
      <c r="A166" s="232"/>
      <c r="B166" s="231"/>
      <c r="C166" s="231"/>
      <c r="D166" s="232"/>
      <c r="E166" s="235"/>
      <c r="F166" s="234"/>
      <c r="G166" s="229"/>
      <c r="H166" s="229"/>
      <c r="I166" s="229"/>
      <c r="J166" s="229"/>
      <c r="K166" s="229"/>
      <c r="L166" s="229"/>
      <c r="M166" s="229"/>
      <c r="N166" s="229"/>
      <c r="O166" s="229"/>
      <c r="P166" s="229"/>
      <c r="Q166" s="229"/>
      <c r="R166" s="229"/>
      <c r="S166" s="229"/>
      <c r="T166" s="229"/>
      <c r="U166" s="229"/>
      <c r="V166" s="229"/>
      <c r="W166" s="229"/>
      <c r="X166" s="229"/>
      <c r="Y166" s="229"/>
      <c r="Z166" s="229"/>
      <c r="AA166" s="229"/>
      <c r="AB166" s="229"/>
    </row>
    <row r="167" ht="15.75" customHeight="1">
      <c r="A167" s="232"/>
      <c r="B167" s="231"/>
      <c r="C167" s="231"/>
      <c r="D167" s="232"/>
      <c r="E167" s="235"/>
      <c r="F167" s="234"/>
      <c r="G167" s="229"/>
      <c r="H167" s="229"/>
      <c r="I167" s="229"/>
      <c r="J167" s="229"/>
      <c r="K167" s="229"/>
      <c r="L167" s="229"/>
      <c r="M167" s="229"/>
      <c r="N167" s="229"/>
      <c r="O167" s="229"/>
      <c r="P167" s="229"/>
      <c r="Q167" s="229"/>
      <c r="R167" s="229"/>
      <c r="S167" s="229"/>
      <c r="T167" s="229"/>
      <c r="U167" s="229"/>
      <c r="V167" s="229"/>
      <c r="W167" s="229"/>
      <c r="X167" s="229"/>
      <c r="Y167" s="229"/>
      <c r="Z167" s="229"/>
      <c r="AA167" s="229"/>
      <c r="AB167" s="229"/>
    </row>
    <row r="168" ht="15.75" customHeight="1">
      <c r="A168" s="232"/>
      <c r="B168" s="231"/>
      <c r="C168" s="231"/>
      <c r="D168" s="232"/>
      <c r="E168" s="235"/>
      <c r="F168" s="234"/>
      <c r="G168" s="229"/>
      <c r="H168" s="229"/>
      <c r="I168" s="229"/>
      <c r="J168" s="229"/>
      <c r="K168" s="229"/>
      <c r="L168" s="229"/>
      <c r="M168" s="229"/>
      <c r="N168" s="229"/>
      <c r="O168" s="229"/>
      <c r="P168" s="229"/>
      <c r="Q168" s="229"/>
      <c r="R168" s="229"/>
      <c r="S168" s="229"/>
      <c r="T168" s="229"/>
      <c r="U168" s="229"/>
      <c r="V168" s="229"/>
      <c r="W168" s="229"/>
      <c r="X168" s="229"/>
      <c r="Y168" s="229"/>
      <c r="Z168" s="229"/>
      <c r="AA168" s="229"/>
      <c r="AB168" s="229"/>
    </row>
    <row r="169" ht="15.75" customHeight="1">
      <c r="A169" s="232"/>
      <c r="B169" s="231"/>
      <c r="C169" s="231"/>
      <c r="D169" s="232"/>
      <c r="E169" s="235"/>
      <c r="F169" s="234"/>
      <c r="G169" s="229"/>
      <c r="H169" s="229"/>
      <c r="I169" s="229"/>
      <c r="J169" s="229"/>
      <c r="K169" s="229"/>
      <c r="L169" s="229"/>
      <c r="M169" s="229"/>
      <c r="N169" s="229"/>
      <c r="O169" s="229"/>
      <c r="P169" s="229"/>
      <c r="Q169" s="229"/>
      <c r="R169" s="229"/>
      <c r="S169" s="229"/>
      <c r="T169" s="229"/>
      <c r="U169" s="229"/>
      <c r="V169" s="229"/>
      <c r="W169" s="229"/>
      <c r="X169" s="229"/>
      <c r="Y169" s="229"/>
      <c r="Z169" s="229"/>
      <c r="AA169" s="229"/>
      <c r="AB169" s="229"/>
    </row>
    <row r="170" ht="15.75" customHeight="1">
      <c r="A170" s="232"/>
      <c r="B170" s="231"/>
      <c r="C170" s="231"/>
      <c r="D170" s="232"/>
      <c r="E170" s="235"/>
      <c r="F170" s="234"/>
      <c r="G170" s="229"/>
      <c r="H170" s="229"/>
      <c r="I170" s="229"/>
      <c r="J170" s="229"/>
      <c r="K170" s="229"/>
      <c r="L170" s="229"/>
      <c r="M170" s="229"/>
      <c r="N170" s="229"/>
      <c r="O170" s="229"/>
      <c r="P170" s="229"/>
      <c r="Q170" s="229"/>
      <c r="R170" s="229"/>
      <c r="S170" s="229"/>
      <c r="T170" s="229"/>
      <c r="U170" s="229"/>
      <c r="V170" s="229"/>
      <c r="W170" s="229"/>
      <c r="X170" s="229"/>
      <c r="Y170" s="229"/>
      <c r="Z170" s="229"/>
      <c r="AA170" s="229"/>
      <c r="AB170" s="229"/>
    </row>
    <row r="171" ht="15.75" customHeight="1">
      <c r="A171" s="232"/>
      <c r="B171" s="231"/>
      <c r="C171" s="231"/>
      <c r="D171" s="232"/>
      <c r="E171" s="235"/>
      <c r="F171" s="234"/>
      <c r="G171" s="229"/>
      <c r="H171" s="229"/>
      <c r="I171" s="229"/>
      <c r="J171" s="229"/>
      <c r="K171" s="229"/>
      <c r="L171" s="229"/>
      <c r="M171" s="229"/>
      <c r="N171" s="229"/>
      <c r="O171" s="229"/>
      <c r="P171" s="229"/>
      <c r="Q171" s="229"/>
      <c r="R171" s="229"/>
      <c r="S171" s="229"/>
      <c r="T171" s="229"/>
      <c r="U171" s="229"/>
      <c r="V171" s="229"/>
      <c r="W171" s="229"/>
      <c r="X171" s="229"/>
      <c r="Y171" s="229"/>
      <c r="Z171" s="229"/>
      <c r="AA171" s="229"/>
      <c r="AB171" s="229"/>
    </row>
    <row r="172" ht="15.75" customHeight="1">
      <c r="A172" s="232"/>
      <c r="B172" s="231"/>
      <c r="C172" s="231"/>
      <c r="D172" s="232"/>
      <c r="E172" s="235"/>
      <c r="F172" s="234"/>
      <c r="G172" s="229"/>
      <c r="H172" s="229"/>
      <c r="I172" s="229"/>
      <c r="J172" s="229"/>
      <c r="K172" s="229"/>
      <c r="L172" s="229"/>
      <c r="M172" s="229"/>
      <c r="N172" s="229"/>
      <c r="O172" s="229"/>
      <c r="P172" s="229"/>
      <c r="Q172" s="229"/>
      <c r="R172" s="229"/>
      <c r="S172" s="229"/>
      <c r="T172" s="229"/>
      <c r="U172" s="229"/>
      <c r="V172" s="229"/>
      <c r="W172" s="229"/>
      <c r="X172" s="229"/>
      <c r="Y172" s="229"/>
      <c r="Z172" s="229"/>
      <c r="AA172" s="229"/>
      <c r="AB172" s="229"/>
    </row>
    <row r="173" ht="15.75" customHeight="1">
      <c r="A173" s="232"/>
      <c r="B173" s="231"/>
      <c r="C173" s="231"/>
      <c r="D173" s="232"/>
      <c r="E173" s="235"/>
      <c r="F173" s="234"/>
      <c r="G173" s="229"/>
      <c r="H173" s="229"/>
      <c r="I173" s="229"/>
      <c r="J173" s="229"/>
      <c r="K173" s="229"/>
      <c r="L173" s="229"/>
      <c r="M173" s="229"/>
      <c r="N173" s="229"/>
      <c r="O173" s="229"/>
      <c r="P173" s="229"/>
      <c r="Q173" s="229"/>
      <c r="R173" s="229"/>
      <c r="S173" s="229"/>
      <c r="T173" s="229"/>
      <c r="U173" s="229"/>
      <c r="V173" s="229"/>
      <c r="W173" s="229"/>
      <c r="X173" s="229"/>
      <c r="Y173" s="229"/>
      <c r="Z173" s="229"/>
      <c r="AA173" s="229"/>
      <c r="AB173" s="229"/>
    </row>
    <row r="174" ht="15.75" customHeight="1">
      <c r="A174" s="232"/>
      <c r="B174" s="231"/>
      <c r="C174" s="231"/>
      <c r="D174" s="232"/>
      <c r="E174" s="235"/>
      <c r="F174" s="234"/>
      <c r="G174" s="229"/>
      <c r="H174" s="229"/>
      <c r="I174" s="229"/>
      <c r="J174" s="229"/>
      <c r="K174" s="229"/>
      <c r="L174" s="229"/>
      <c r="M174" s="229"/>
      <c r="N174" s="229"/>
      <c r="O174" s="229"/>
      <c r="P174" s="229"/>
      <c r="Q174" s="229"/>
      <c r="R174" s="229"/>
      <c r="S174" s="229"/>
      <c r="T174" s="229"/>
      <c r="U174" s="229"/>
      <c r="V174" s="229"/>
      <c r="W174" s="229"/>
      <c r="X174" s="229"/>
      <c r="Y174" s="229"/>
      <c r="Z174" s="229"/>
      <c r="AA174" s="229"/>
      <c r="AB174" s="229"/>
    </row>
    <row r="175" ht="15.75" customHeight="1">
      <c r="A175" s="232"/>
      <c r="B175" s="231"/>
      <c r="C175" s="231"/>
      <c r="D175" s="232"/>
      <c r="E175" s="235"/>
      <c r="F175" s="234"/>
      <c r="G175" s="229"/>
      <c r="H175" s="229"/>
      <c r="I175" s="229"/>
      <c r="J175" s="229"/>
      <c r="K175" s="229"/>
      <c r="L175" s="229"/>
      <c r="M175" s="229"/>
      <c r="N175" s="229"/>
      <c r="O175" s="229"/>
      <c r="P175" s="229"/>
      <c r="Q175" s="229"/>
      <c r="R175" s="229"/>
      <c r="S175" s="229"/>
      <c r="T175" s="229"/>
      <c r="U175" s="229"/>
      <c r="V175" s="229"/>
      <c r="W175" s="229"/>
      <c r="X175" s="229"/>
      <c r="Y175" s="229"/>
      <c r="Z175" s="229"/>
      <c r="AA175" s="229"/>
      <c r="AB175" s="229"/>
    </row>
    <row r="176" ht="15.75" customHeight="1">
      <c r="A176" s="232"/>
      <c r="B176" s="231"/>
      <c r="C176" s="231"/>
      <c r="D176" s="232"/>
      <c r="E176" s="235"/>
      <c r="F176" s="234"/>
      <c r="G176" s="229"/>
      <c r="H176" s="229"/>
      <c r="I176" s="229"/>
      <c r="J176" s="229"/>
      <c r="K176" s="229"/>
      <c r="L176" s="229"/>
      <c r="M176" s="229"/>
      <c r="N176" s="229"/>
      <c r="O176" s="229"/>
      <c r="P176" s="229"/>
      <c r="Q176" s="229"/>
      <c r="R176" s="229"/>
      <c r="S176" s="229"/>
      <c r="T176" s="229"/>
      <c r="U176" s="229"/>
      <c r="V176" s="229"/>
      <c r="W176" s="229"/>
      <c r="X176" s="229"/>
      <c r="Y176" s="229"/>
      <c r="Z176" s="229"/>
      <c r="AA176" s="229"/>
      <c r="AB176" s="229"/>
    </row>
    <row r="177" ht="15.75" customHeight="1">
      <c r="A177" s="232"/>
      <c r="B177" s="231"/>
      <c r="C177" s="231"/>
      <c r="D177" s="232"/>
      <c r="E177" s="235"/>
      <c r="F177" s="234"/>
      <c r="G177" s="229"/>
      <c r="H177" s="229"/>
      <c r="I177" s="229"/>
      <c r="J177" s="229"/>
      <c r="K177" s="229"/>
      <c r="L177" s="229"/>
      <c r="M177" s="229"/>
      <c r="N177" s="229"/>
      <c r="O177" s="229"/>
      <c r="P177" s="229"/>
      <c r="Q177" s="229"/>
      <c r="R177" s="229"/>
      <c r="S177" s="229"/>
      <c r="T177" s="229"/>
      <c r="U177" s="229"/>
      <c r="V177" s="229"/>
      <c r="W177" s="229"/>
      <c r="X177" s="229"/>
      <c r="Y177" s="229"/>
      <c r="Z177" s="229"/>
      <c r="AA177" s="229"/>
      <c r="AB177" s="229"/>
    </row>
    <row r="178" ht="15.75" customHeight="1">
      <c r="A178" s="232"/>
      <c r="B178" s="231"/>
      <c r="C178" s="231"/>
      <c r="D178" s="232"/>
      <c r="E178" s="235"/>
      <c r="F178" s="234"/>
      <c r="G178" s="229"/>
      <c r="H178" s="229"/>
      <c r="I178" s="229"/>
      <c r="J178" s="229"/>
      <c r="K178" s="229"/>
      <c r="L178" s="229"/>
      <c r="M178" s="229"/>
      <c r="N178" s="229"/>
      <c r="O178" s="229"/>
      <c r="P178" s="229"/>
      <c r="Q178" s="229"/>
      <c r="R178" s="229"/>
      <c r="S178" s="229"/>
      <c r="T178" s="229"/>
      <c r="U178" s="229"/>
      <c r="V178" s="229"/>
      <c r="W178" s="229"/>
      <c r="X178" s="229"/>
      <c r="Y178" s="229"/>
      <c r="Z178" s="229"/>
      <c r="AA178" s="229"/>
      <c r="AB178" s="229"/>
    </row>
    <row r="179" ht="15.75" customHeight="1">
      <c r="A179" s="232"/>
      <c r="B179" s="231"/>
      <c r="C179" s="231"/>
      <c r="D179" s="232"/>
      <c r="E179" s="235"/>
      <c r="F179" s="234"/>
      <c r="G179" s="229"/>
      <c r="H179" s="229"/>
      <c r="I179" s="229"/>
      <c r="J179" s="229"/>
      <c r="K179" s="229"/>
      <c r="L179" s="229"/>
      <c r="M179" s="229"/>
      <c r="N179" s="229"/>
      <c r="O179" s="229"/>
      <c r="P179" s="229"/>
      <c r="Q179" s="229"/>
      <c r="R179" s="229"/>
      <c r="S179" s="229"/>
      <c r="T179" s="229"/>
      <c r="U179" s="229"/>
      <c r="V179" s="229"/>
      <c r="W179" s="229"/>
      <c r="X179" s="229"/>
      <c r="Y179" s="229"/>
      <c r="Z179" s="229"/>
      <c r="AA179" s="229"/>
      <c r="AB179" s="229"/>
    </row>
    <row r="180" ht="15.75" customHeight="1">
      <c r="A180" s="232"/>
      <c r="B180" s="231"/>
      <c r="C180" s="231"/>
      <c r="D180" s="232"/>
      <c r="E180" s="235"/>
      <c r="F180" s="234"/>
      <c r="G180" s="229"/>
      <c r="H180" s="229"/>
      <c r="I180" s="229"/>
      <c r="J180" s="229"/>
      <c r="K180" s="229"/>
      <c r="L180" s="229"/>
      <c r="M180" s="229"/>
      <c r="N180" s="229"/>
      <c r="O180" s="229"/>
      <c r="P180" s="229"/>
      <c r="Q180" s="229"/>
      <c r="R180" s="229"/>
      <c r="S180" s="229"/>
      <c r="T180" s="229"/>
      <c r="U180" s="229"/>
      <c r="V180" s="229"/>
      <c r="W180" s="229"/>
      <c r="X180" s="229"/>
      <c r="Y180" s="229"/>
      <c r="Z180" s="229"/>
      <c r="AA180" s="229"/>
      <c r="AB180" s="229"/>
    </row>
    <row r="181" ht="15.75" customHeight="1">
      <c r="A181" s="232"/>
      <c r="B181" s="231"/>
      <c r="C181" s="231"/>
      <c r="D181" s="232"/>
      <c r="E181" s="235"/>
      <c r="F181" s="234"/>
      <c r="G181" s="229"/>
      <c r="H181" s="229"/>
      <c r="I181" s="229"/>
      <c r="J181" s="229"/>
      <c r="K181" s="229"/>
      <c r="L181" s="229"/>
      <c r="M181" s="229"/>
      <c r="N181" s="229"/>
      <c r="O181" s="229"/>
      <c r="P181" s="229"/>
      <c r="Q181" s="229"/>
      <c r="R181" s="229"/>
      <c r="S181" s="229"/>
      <c r="T181" s="229"/>
      <c r="U181" s="229"/>
      <c r="V181" s="229"/>
      <c r="W181" s="229"/>
      <c r="X181" s="229"/>
      <c r="Y181" s="229"/>
      <c r="Z181" s="229"/>
      <c r="AA181" s="229"/>
      <c r="AB181" s="229"/>
    </row>
    <row r="182" ht="15.75" customHeight="1">
      <c r="A182" s="232"/>
      <c r="B182" s="231"/>
      <c r="C182" s="231"/>
      <c r="D182" s="232"/>
      <c r="E182" s="235"/>
      <c r="F182" s="234"/>
      <c r="G182" s="229"/>
      <c r="H182" s="229"/>
      <c r="I182" s="229"/>
      <c r="J182" s="229"/>
      <c r="K182" s="229"/>
      <c r="L182" s="229"/>
      <c r="M182" s="229"/>
      <c r="N182" s="229"/>
      <c r="O182" s="229"/>
      <c r="P182" s="229"/>
      <c r="Q182" s="229"/>
      <c r="R182" s="229"/>
      <c r="S182" s="229"/>
      <c r="T182" s="229"/>
      <c r="U182" s="229"/>
      <c r="V182" s="229"/>
      <c r="W182" s="229"/>
      <c r="X182" s="229"/>
      <c r="Y182" s="229"/>
      <c r="Z182" s="229"/>
      <c r="AA182" s="229"/>
      <c r="AB182" s="229"/>
    </row>
    <row r="183" ht="15.75" customHeight="1">
      <c r="A183" s="232"/>
      <c r="B183" s="231"/>
      <c r="C183" s="231"/>
      <c r="D183" s="232"/>
      <c r="E183" s="235"/>
      <c r="F183" s="234"/>
      <c r="G183" s="229"/>
      <c r="H183" s="229"/>
      <c r="I183" s="229"/>
      <c r="J183" s="229"/>
      <c r="K183" s="229"/>
      <c r="L183" s="229"/>
      <c r="M183" s="229"/>
      <c r="N183" s="229"/>
      <c r="O183" s="229"/>
      <c r="P183" s="229"/>
      <c r="Q183" s="229"/>
      <c r="R183" s="229"/>
      <c r="S183" s="229"/>
      <c r="T183" s="229"/>
      <c r="U183" s="229"/>
      <c r="V183" s="229"/>
      <c r="W183" s="229"/>
      <c r="X183" s="229"/>
      <c r="Y183" s="229"/>
      <c r="Z183" s="229"/>
      <c r="AA183" s="229"/>
      <c r="AB183" s="229"/>
    </row>
    <row r="184" ht="15.75" customHeight="1">
      <c r="A184" s="232"/>
      <c r="B184" s="231"/>
      <c r="C184" s="231"/>
      <c r="D184" s="232"/>
      <c r="E184" s="235"/>
      <c r="F184" s="234"/>
      <c r="G184" s="229"/>
      <c r="H184" s="229"/>
      <c r="I184" s="229"/>
      <c r="J184" s="229"/>
      <c r="K184" s="229"/>
      <c r="L184" s="229"/>
      <c r="M184" s="229"/>
      <c r="N184" s="229"/>
      <c r="O184" s="229"/>
      <c r="P184" s="229"/>
      <c r="Q184" s="229"/>
      <c r="R184" s="229"/>
      <c r="S184" s="229"/>
      <c r="T184" s="229"/>
      <c r="U184" s="229"/>
      <c r="V184" s="229"/>
      <c r="W184" s="229"/>
      <c r="X184" s="229"/>
      <c r="Y184" s="229"/>
      <c r="Z184" s="229"/>
      <c r="AA184" s="229"/>
      <c r="AB184" s="229"/>
    </row>
    <row r="185" ht="15.75" customHeight="1">
      <c r="A185" s="232"/>
      <c r="B185" s="231"/>
      <c r="C185" s="231"/>
      <c r="D185" s="232"/>
      <c r="E185" s="235"/>
      <c r="F185" s="234"/>
      <c r="G185" s="229"/>
      <c r="H185" s="229"/>
      <c r="I185" s="229"/>
      <c r="J185" s="229"/>
      <c r="K185" s="229"/>
      <c r="L185" s="229"/>
      <c r="M185" s="229"/>
      <c r="N185" s="229"/>
      <c r="O185" s="229"/>
      <c r="P185" s="229"/>
      <c r="Q185" s="229"/>
      <c r="R185" s="229"/>
      <c r="S185" s="229"/>
      <c r="T185" s="229"/>
      <c r="U185" s="229"/>
      <c r="V185" s="229"/>
      <c r="W185" s="229"/>
      <c r="X185" s="229"/>
      <c r="Y185" s="229"/>
      <c r="Z185" s="229"/>
      <c r="AA185" s="229"/>
      <c r="AB185" s="229"/>
    </row>
    <row r="186" ht="15.75" customHeight="1">
      <c r="A186" s="232"/>
      <c r="B186" s="231"/>
      <c r="C186" s="231"/>
      <c r="D186" s="232"/>
      <c r="E186" s="235"/>
      <c r="F186" s="234"/>
      <c r="G186" s="229"/>
      <c r="H186" s="229"/>
      <c r="I186" s="229"/>
      <c r="J186" s="229"/>
      <c r="K186" s="229"/>
      <c r="L186" s="229"/>
      <c r="M186" s="229"/>
      <c r="N186" s="229"/>
      <c r="O186" s="229"/>
      <c r="P186" s="229"/>
      <c r="Q186" s="229"/>
      <c r="R186" s="229"/>
      <c r="S186" s="229"/>
      <c r="T186" s="229"/>
      <c r="U186" s="229"/>
      <c r="V186" s="229"/>
      <c r="W186" s="229"/>
      <c r="X186" s="229"/>
      <c r="Y186" s="229"/>
      <c r="Z186" s="229"/>
      <c r="AA186" s="229"/>
      <c r="AB186" s="229"/>
    </row>
    <row r="187" ht="15.75" customHeight="1">
      <c r="A187" s="232"/>
      <c r="B187" s="231"/>
      <c r="C187" s="231"/>
      <c r="D187" s="232"/>
      <c r="E187" s="235"/>
      <c r="F187" s="234"/>
      <c r="G187" s="229"/>
      <c r="H187" s="229"/>
      <c r="I187" s="229"/>
      <c r="J187" s="229"/>
      <c r="K187" s="229"/>
      <c r="L187" s="229"/>
      <c r="M187" s="229"/>
      <c r="N187" s="229"/>
      <c r="O187" s="229"/>
      <c r="P187" s="229"/>
      <c r="Q187" s="229"/>
      <c r="R187" s="229"/>
      <c r="S187" s="229"/>
      <c r="T187" s="229"/>
      <c r="U187" s="229"/>
      <c r="V187" s="229"/>
      <c r="W187" s="229"/>
      <c r="X187" s="229"/>
      <c r="Y187" s="229"/>
      <c r="Z187" s="229"/>
      <c r="AA187" s="229"/>
      <c r="AB187" s="229"/>
    </row>
    <row r="188" ht="15.75" customHeight="1">
      <c r="A188" s="232"/>
      <c r="B188" s="231"/>
      <c r="C188" s="231"/>
      <c r="D188" s="232"/>
      <c r="E188" s="235"/>
      <c r="F188" s="234"/>
      <c r="G188" s="229"/>
      <c r="H188" s="229"/>
      <c r="I188" s="229"/>
      <c r="J188" s="229"/>
      <c r="K188" s="229"/>
      <c r="L188" s="229"/>
      <c r="M188" s="229"/>
      <c r="N188" s="229"/>
      <c r="O188" s="229"/>
      <c r="P188" s="229"/>
      <c r="Q188" s="229"/>
      <c r="R188" s="229"/>
      <c r="S188" s="229"/>
      <c r="T188" s="229"/>
      <c r="U188" s="229"/>
      <c r="V188" s="229"/>
      <c r="W188" s="229"/>
      <c r="X188" s="229"/>
      <c r="Y188" s="229"/>
      <c r="Z188" s="229"/>
      <c r="AA188" s="229"/>
      <c r="AB188" s="229"/>
    </row>
    <row r="189" ht="15.75" customHeight="1">
      <c r="A189" s="232"/>
      <c r="B189" s="231"/>
      <c r="C189" s="231"/>
      <c r="D189" s="232"/>
      <c r="E189" s="235"/>
      <c r="F189" s="234"/>
      <c r="G189" s="229"/>
      <c r="H189" s="229"/>
      <c r="I189" s="229"/>
      <c r="J189" s="229"/>
      <c r="K189" s="229"/>
      <c r="L189" s="229"/>
      <c r="M189" s="229"/>
      <c r="N189" s="229"/>
      <c r="O189" s="229"/>
      <c r="P189" s="229"/>
      <c r="Q189" s="229"/>
      <c r="R189" s="229"/>
      <c r="S189" s="229"/>
      <c r="T189" s="229"/>
      <c r="U189" s="229"/>
      <c r="V189" s="229"/>
      <c r="W189" s="229"/>
      <c r="X189" s="229"/>
      <c r="Y189" s="229"/>
      <c r="Z189" s="229"/>
      <c r="AA189" s="229"/>
      <c r="AB189" s="229"/>
    </row>
    <row r="190" ht="15.75" customHeight="1">
      <c r="A190" s="232"/>
      <c r="B190" s="231"/>
      <c r="C190" s="231"/>
      <c r="D190" s="232"/>
      <c r="E190" s="235"/>
      <c r="F190" s="234"/>
      <c r="G190" s="229"/>
      <c r="H190" s="229"/>
      <c r="I190" s="229"/>
      <c r="J190" s="229"/>
      <c r="K190" s="229"/>
      <c r="L190" s="229"/>
      <c r="M190" s="229"/>
      <c r="N190" s="229"/>
      <c r="O190" s="229"/>
      <c r="P190" s="229"/>
      <c r="Q190" s="229"/>
      <c r="R190" s="229"/>
      <c r="S190" s="229"/>
      <c r="T190" s="229"/>
      <c r="U190" s="229"/>
      <c r="V190" s="229"/>
      <c r="W190" s="229"/>
      <c r="X190" s="229"/>
      <c r="Y190" s="229"/>
      <c r="Z190" s="229"/>
      <c r="AA190" s="229"/>
      <c r="AB190" s="229"/>
    </row>
    <row r="191" ht="15.75" customHeight="1">
      <c r="A191" s="232"/>
      <c r="B191" s="231"/>
      <c r="C191" s="231"/>
      <c r="D191" s="232"/>
      <c r="E191" s="235"/>
      <c r="F191" s="234"/>
      <c r="G191" s="229"/>
      <c r="H191" s="229"/>
      <c r="I191" s="229"/>
      <c r="J191" s="229"/>
      <c r="K191" s="229"/>
      <c r="L191" s="229"/>
      <c r="M191" s="229"/>
      <c r="N191" s="229"/>
      <c r="O191" s="229"/>
      <c r="P191" s="229"/>
      <c r="Q191" s="229"/>
      <c r="R191" s="229"/>
      <c r="S191" s="229"/>
      <c r="T191" s="229"/>
      <c r="U191" s="229"/>
      <c r="V191" s="229"/>
      <c r="W191" s="229"/>
      <c r="X191" s="229"/>
      <c r="Y191" s="229"/>
      <c r="Z191" s="229"/>
      <c r="AA191" s="229"/>
      <c r="AB191" s="229"/>
    </row>
    <row r="192" ht="15.75" customHeight="1">
      <c r="A192" s="232"/>
      <c r="B192" s="231"/>
      <c r="C192" s="231"/>
      <c r="D192" s="232"/>
      <c r="E192" s="235"/>
      <c r="F192" s="234"/>
      <c r="G192" s="229"/>
      <c r="H192" s="229"/>
      <c r="I192" s="229"/>
      <c r="J192" s="229"/>
      <c r="K192" s="229"/>
      <c r="L192" s="229"/>
      <c r="M192" s="229"/>
      <c r="N192" s="229"/>
      <c r="O192" s="229"/>
      <c r="P192" s="229"/>
      <c r="Q192" s="229"/>
      <c r="R192" s="229"/>
      <c r="S192" s="229"/>
      <c r="T192" s="229"/>
      <c r="U192" s="229"/>
      <c r="V192" s="229"/>
      <c r="W192" s="229"/>
      <c r="X192" s="229"/>
      <c r="Y192" s="229"/>
      <c r="Z192" s="229"/>
      <c r="AA192" s="229"/>
      <c r="AB192" s="229"/>
    </row>
    <row r="193" ht="15.75" customHeight="1">
      <c r="A193" s="232"/>
      <c r="B193" s="231"/>
      <c r="C193" s="231"/>
      <c r="D193" s="232"/>
      <c r="E193" s="235"/>
      <c r="F193" s="234"/>
      <c r="G193" s="229"/>
      <c r="H193" s="229"/>
      <c r="I193" s="229"/>
      <c r="J193" s="229"/>
      <c r="K193" s="229"/>
      <c r="L193" s="229"/>
      <c r="M193" s="229"/>
      <c r="N193" s="229"/>
      <c r="O193" s="229"/>
      <c r="P193" s="229"/>
      <c r="Q193" s="229"/>
      <c r="R193" s="229"/>
      <c r="S193" s="229"/>
      <c r="T193" s="229"/>
      <c r="U193" s="229"/>
      <c r="V193" s="229"/>
      <c r="W193" s="229"/>
      <c r="X193" s="229"/>
      <c r="Y193" s="229"/>
      <c r="Z193" s="229"/>
      <c r="AA193" s="229"/>
      <c r="AB193" s="229"/>
    </row>
    <row r="194" ht="15.75" customHeight="1">
      <c r="A194" s="232"/>
      <c r="B194" s="231"/>
      <c r="C194" s="231"/>
      <c r="D194" s="232"/>
      <c r="E194" s="235"/>
      <c r="F194" s="234"/>
      <c r="G194" s="229"/>
      <c r="H194" s="229"/>
      <c r="I194" s="229"/>
      <c r="J194" s="229"/>
      <c r="K194" s="229"/>
      <c r="L194" s="229"/>
      <c r="M194" s="229"/>
      <c r="N194" s="229"/>
      <c r="O194" s="229"/>
      <c r="P194" s="229"/>
      <c r="Q194" s="229"/>
      <c r="R194" s="229"/>
      <c r="S194" s="229"/>
      <c r="T194" s="229"/>
      <c r="U194" s="229"/>
      <c r="V194" s="229"/>
      <c r="W194" s="229"/>
      <c r="X194" s="229"/>
      <c r="Y194" s="229"/>
      <c r="Z194" s="229"/>
      <c r="AA194" s="229"/>
      <c r="AB194" s="229"/>
    </row>
    <row r="195" ht="15.75" customHeight="1">
      <c r="A195" s="232"/>
      <c r="B195" s="231"/>
      <c r="C195" s="231"/>
      <c r="D195" s="232"/>
      <c r="E195" s="235"/>
      <c r="F195" s="234"/>
      <c r="G195" s="229"/>
      <c r="H195" s="229"/>
      <c r="I195" s="229"/>
      <c r="J195" s="229"/>
      <c r="K195" s="229"/>
      <c r="L195" s="229"/>
      <c r="M195" s="229"/>
      <c r="N195" s="229"/>
      <c r="O195" s="229"/>
      <c r="P195" s="229"/>
      <c r="Q195" s="229"/>
      <c r="R195" s="229"/>
      <c r="S195" s="229"/>
      <c r="T195" s="229"/>
      <c r="U195" s="229"/>
      <c r="V195" s="229"/>
      <c r="W195" s="229"/>
      <c r="X195" s="229"/>
      <c r="Y195" s="229"/>
      <c r="Z195" s="229"/>
      <c r="AA195" s="229"/>
      <c r="AB195" s="229"/>
    </row>
    <row r="196" ht="15.75" customHeight="1">
      <c r="A196" s="232"/>
      <c r="B196" s="231"/>
      <c r="C196" s="231"/>
      <c r="D196" s="232"/>
      <c r="E196" s="235"/>
      <c r="F196" s="234"/>
      <c r="G196" s="229"/>
      <c r="H196" s="229"/>
      <c r="I196" s="229"/>
      <c r="J196" s="229"/>
      <c r="K196" s="229"/>
      <c r="L196" s="229"/>
      <c r="M196" s="229"/>
      <c r="N196" s="229"/>
      <c r="O196" s="229"/>
      <c r="P196" s="229"/>
      <c r="Q196" s="229"/>
      <c r="R196" s="229"/>
      <c r="S196" s="229"/>
      <c r="T196" s="229"/>
      <c r="U196" s="229"/>
      <c r="V196" s="229"/>
      <c r="W196" s="229"/>
      <c r="X196" s="229"/>
      <c r="Y196" s="229"/>
      <c r="Z196" s="229"/>
      <c r="AA196" s="229"/>
      <c r="AB196" s="229"/>
    </row>
    <row r="197" ht="15.75" customHeight="1">
      <c r="A197" s="232"/>
      <c r="B197" s="231"/>
      <c r="C197" s="231"/>
      <c r="D197" s="232"/>
      <c r="E197" s="235"/>
      <c r="F197" s="234"/>
      <c r="G197" s="229"/>
      <c r="H197" s="229"/>
      <c r="I197" s="229"/>
      <c r="J197" s="229"/>
      <c r="K197" s="229"/>
      <c r="L197" s="229"/>
      <c r="M197" s="229"/>
      <c r="N197" s="229"/>
      <c r="O197" s="229"/>
      <c r="P197" s="229"/>
      <c r="Q197" s="229"/>
      <c r="R197" s="229"/>
      <c r="S197" s="229"/>
      <c r="T197" s="229"/>
      <c r="U197" s="229"/>
      <c r="V197" s="229"/>
      <c r="W197" s="229"/>
      <c r="X197" s="229"/>
      <c r="Y197" s="229"/>
      <c r="Z197" s="229"/>
      <c r="AA197" s="229"/>
      <c r="AB197" s="229"/>
    </row>
    <row r="198" ht="15.75" customHeight="1">
      <c r="A198" s="232"/>
      <c r="B198" s="231"/>
      <c r="C198" s="231"/>
      <c r="D198" s="232"/>
      <c r="E198" s="235"/>
      <c r="F198" s="234"/>
      <c r="G198" s="229"/>
      <c r="H198" s="229"/>
      <c r="I198" s="229"/>
      <c r="J198" s="229"/>
      <c r="K198" s="229"/>
      <c r="L198" s="229"/>
      <c r="M198" s="229"/>
      <c r="N198" s="229"/>
      <c r="O198" s="229"/>
      <c r="P198" s="229"/>
      <c r="Q198" s="229"/>
      <c r="R198" s="229"/>
      <c r="S198" s="229"/>
      <c r="T198" s="229"/>
      <c r="U198" s="229"/>
      <c r="V198" s="229"/>
      <c r="W198" s="229"/>
      <c r="X198" s="229"/>
      <c r="Y198" s="229"/>
      <c r="Z198" s="229"/>
      <c r="AA198" s="229"/>
      <c r="AB198" s="229"/>
    </row>
    <row r="199" ht="15.75" customHeight="1">
      <c r="A199" s="232"/>
      <c r="B199" s="231"/>
      <c r="C199" s="231"/>
      <c r="D199" s="232"/>
      <c r="E199" s="235"/>
      <c r="F199" s="234"/>
      <c r="G199" s="229"/>
      <c r="H199" s="229"/>
      <c r="I199" s="229"/>
      <c r="J199" s="229"/>
      <c r="K199" s="229"/>
      <c r="L199" s="229"/>
      <c r="M199" s="229"/>
      <c r="N199" s="229"/>
      <c r="O199" s="229"/>
      <c r="P199" s="229"/>
      <c r="Q199" s="229"/>
      <c r="R199" s="229"/>
      <c r="S199" s="229"/>
      <c r="T199" s="229"/>
      <c r="U199" s="229"/>
      <c r="V199" s="229"/>
      <c r="W199" s="229"/>
      <c r="X199" s="229"/>
      <c r="Y199" s="229"/>
      <c r="Z199" s="229"/>
      <c r="AA199" s="229"/>
      <c r="AB199" s="229"/>
    </row>
    <row r="200" ht="15.75" customHeight="1">
      <c r="A200" s="232"/>
      <c r="B200" s="231"/>
      <c r="C200" s="231"/>
      <c r="D200" s="232"/>
      <c r="E200" s="235"/>
      <c r="F200" s="234"/>
      <c r="G200" s="229"/>
      <c r="H200" s="229"/>
      <c r="I200" s="229"/>
      <c r="J200" s="229"/>
      <c r="K200" s="229"/>
      <c r="L200" s="229"/>
      <c r="M200" s="229"/>
      <c r="N200" s="229"/>
      <c r="O200" s="229"/>
      <c r="P200" s="229"/>
      <c r="Q200" s="229"/>
      <c r="R200" s="229"/>
      <c r="S200" s="229"/>
      <c r="T200" s="229"/>
      <c r="U200" s="229"/>
      <c r="V200" s="229"/>
      <c r="W200" s="229"/>
      <c r="X200" s="229"/>
      <c r="Y200" s="229"/>
      <c r="Z200" s="229"/>
      <c r="AA200" s="229"/>
      <c r="AB200" s="229"/>
    </row>
    <row r="201" ht="15.75" customHeight="1">
      <c r="A201" s="232"/>
      <c r="B201" s="231"/>
      <c r="C201" s="231"/>
      <c r="D201" s="232"/>
      <c r="E201" s="235"/>
      <c r="F201" s="234"/>
      <c r="G201" s="229"/>
      <c r="H201" s="229"/>
      <c r="I201" s="229"/>
      <c r="J201" s="229"/>
      <c r="K201" s="229"/>
      <c r="L201" s="229"/>
      <c r="M201" s="229"/>
      <c r="N201" s="229"/>
      <c r="O201" s="229"/>
      <c r="P201" s="229"/>
      <c r="Q201" s="229"/>
      <c r="R201" s="229"/>
      <c r="S201" s="229"/>
      <c r="T201" s="229"/>
      <c r="U201" s="229"/>
      <c r="V201" s="229"/>
      <c r="W201" s="229"/>
      <c r="X201" s="229"/>
      <c r="Y201" s="229"/>
      <c r="Z201" s="229"/>
      <c r="AA201" s="229"/>
      <c r="AB201" s="229"/>
    </row>
    <row r="202" ht="15.75" customHeight="1">
      <c r="A202" s="232"/>
      <c r="B202" s="231"/>
      <c r="C202" s="231"/>
      <c r="D202" s="232"/>
      <c r="E202" s="235"/>
      <c r="F202" s="234"/>
      <c r="G202" s="229"/>
      <c r="H202" s="229"/>
      <c r="I202" s="229"/>
      <c r="J202" s="229"/>
      <c r="K202" s="229"/>
      <c r="L202" s="229"/>
      <c r="M202" s="229"/>
      <c r="N202" s="229"/>
      <c r="O202" s="229"/>
      <c r="P202" s="229"/>
      <c r="Q202" s="229"/>
      <c r="R202" s="229"/>
      <c r="S202" s="229"/>
      <c r="T202" s="229"/>
      <c r="U202" s="229"/>
      <c r="V202" s="229"/>
      <c r="W202" s="229"/>
      <c r="X202" s="229"/>
      <c r="Y202" s="229"/>
      <c r="Z202" s="229"/>
      <c r="AA202" s="229"/>
      <c r="AB202" s="229"/>
    </row>
    <row r="203" ht="15.75" customHeight="1">
      <c r="A203" s="232"/>
      <c r="B203" s="231"/>
      <c r="C203" s="231"/>
      <c r="D203" s="232"/>
      <c r="E203" s="235"/>
      <c r="F203" s="234"/>
      <c r="G203" s="229"/>
      <c r="H203" s="229"/>
      <c r="I203" s="229"/>
      <c r="J203" s="229"/>
      <c r="K203" s="229"/>
      <c r="L203" s="229"/>
      <c r="M203" s="229"/>
      <c r="N203" s="229"/>
      <c r="O203" s="229"/>
      <c r="P203" s="229"/>
      <c r="Q203" s="229"/>
      <c r="R203" s="229"/>
      <c r="S203" s="229"/>
      <c r="T203" s="229"/>
      <c r="U203" s="229"/>
      <c r="V203" s="229"/>
      <c r="W203" s="229"/>
      <c r="X203" s="229"/>
      <c r="Y203" s="229"/>
      <c r="Z203" s="229"/>
      <c r="AA203" s="229"/>
      <c r="AB203" s="229"/>
    </row>
    <row r="204" ht="15.75" customHeight="1">
      <c r="A204" s="232"/>
      <c r="B204" s="231"/>
      <c r="C204" s="231"/>
      <c r="D204" s="232"/>
      <c r="E204" s="235"/>
      <c r="F204" s="234"/>
      <c r="G204" s="229"/>
      <c r="H204" s="229"/>
      <c r="I204" s="229"/>
      <c r="J204" s="229"/>
      <c r="K204" s="229"/>
      <c r="L204" s="229"/>
      <c r="M204" s="229"/>
      <c r="N204" s="229"/>
      <c r="O204" s="229"/>
      <c r="P204" s="229"/>
      <c r="Q204" s="229"/>
      <c r="R204" s="229"/>
      <c r="S204" s="229"/>
      <c r="T204" s="229"/>
      <c r="U204" s="229"/>
      <c r="V204" s="229"/>
      <c r="W204" s="229"/>
      <c r="X204" s="229"/>
      <c r="Y204" s="229"/>
      <c r="Z204" s="229"/>
      <c r="AA204" s="229"/>
      <c r="AB204" s="229"/>
    </row>
    <row r="205" ht="15.75" customHeight="1">
      <c r="A205" s="232"/>
      <c r="B205" s="231"/>
      <c r="C205" s="231"/>
      <c r="D205" s="232"/>
      <c r="E205" s="235"/>
      <c r="F205" s="234"/>
      <c r="G205" s="229"/>
      <c r="H205" s="229"/>
      <c r="I205" s="229"/>
      <c r="J205" s="229"/>
      <c r="K205" s="229"/>
      <c r="L205" s="229"/>
      <c r="M205" s="229"/>
      <c r="N205" s="229"/>
      <c r="O205" s="229"/>
      <c r="P205" s="229"/>
      <c r="Q205" s="229"/>
      <c r="R205" s="229"/>
      <c r="S205" s="229"/>
      <c r="T205" s="229"/>
      <c r="U205" s="229"/>
      <c r="V205" s="229"/>
      <c r="W205" s="229"/>
      <c r="X205" s="229"/>
      <c r="Y205" s="229"/>
      <c r="Z205" s="229"/>
      <c r="AA205" s="229"/>
      <c r="AB205" s="229"/>
    </row>
    <row r="206" ht="15.75" customHeight="1">
      <c r="A206" s="232"/>
      <c r="B206" s="231"/>
      <c r="C206" s="231"/>
      <c r="D206" s="232"/>
      <c r="E206" s="235"/>
      <c r="F206" s="234"/>
      <c r="G206" s="229"/>
      <c r="H206" s="229"/>
      <c r="I206" s="229"/>
      <c r="J206" s="229"/>
      <c r="K206" s="229"/>
      <c r="L206" s="229"/>
      <c r="M206" s="229"/>
      <c r="N206" s="229"/>
      <c r="O206" s="229"/>
      <c r="P206" s="229"/>
      <c r="Q206" s="229"/>
      <c r="R206" s="229"/>
      <c r="S206" s="229"/>
      <c r="T206" s="229"/>
      <c r="U206" s="229"/>
      <c r="V206" s="229"/>
      <c r="W206" s="229"/>
      <c r="X206" s="229"/>
      <c r="Y206" s="229"/>
      <c r="Z206" s="229"/>
      <c r="AA206" s="229"/>
      <c r="AB206" s="229"/>
    </row>
    <row r="207" ht="15.75" customHeight="1">
      <c r="A207" s="232"/>
      <c r="B207" s="231"/>
      <c r="C207" s="231"/>
      <c r="D207" s="232"/>
      <c r="E207" s="235"/>
      <c r="F207" s="234"/>
      <c r="G207" s="229"/>
      <c r="H207" s="229"/>
      <c r="I207" s="229"/>
      <c r="J207" s="229"/>
      <c r="K207" s="229"/>
      <c r="L207" s="229"/>
      <c r="M207" s="229"/>
      <c r="N207" s="229"/>
      <c r="O207" s="229"/>
      <c r="P207" s="229"/>
      <c r="Q207" s="229"/>
      <c r="R207" s="229"/>
      <c r="S207" s="229"/>
      <c r="T207" s="229"/>
      <c r="U207" s="229"/>
      <c r="V207" s="229"/>
      <c r="W207" s="229"/>
      <c r="X207" s="229"/>
      <c r="Y207" s="229"/>
      <c r="Z207" s="229"/>
      <c r="AA207" s="229"/>
      <c r="AB207" s="229"/>
    </row>
    <row r="208" ht="15.75" customHeight="1">
      <c r="A208" s="232"/>
      <c r="B208" s="231"/>
      <c r="C208" s="231"/>
      <c r="D208" s="232"/>
      <c r="E208" s="235"/>
      <c r="F208" s="234"/>
      <c r="G208" s="229"/>
      <c r="H208" s="229"/>
      <c r="I208" s="229"/>
      <c r="J208" s="229"/>
      <c r="K208" s="229"/>
      <c r="L208" s="229"/>
      <c r="M208" s="229"/>
      <c r="N208" s="229"/>
      <c r="O208" s="229"/>
      <c r="P208" s="229"/>
      <c r="Q208" s="229"/>
      <c r="R208" s="229"/>
      <c r="S208" s="229"/>
      <c r="T208" s="229"/>
      <c r="U208" s="229"/>
      <c r="V208" s="229"/>
      <c r="W208" s="229"/>
      <c r="X208" s="229"/>
      <c r="Y208" s="229"/>
      <c r="Z208" s="229"/>
      <c r="AA208" s="229"/>
      <c r="AB208" s="229"/>
    </row>
    <row r="209" ht="15.75" customHeight="1">
      <c r="A209" s="232"/>
      <c r="B209" s="231"/>
      <c r="C209" s="231"/>
      <c r="D209" s="232"/>
      <c r="E209" s="235"/>
      <c r="F209" s="234"/>
      <c r="G209" s="229"/>
      <c r="H209" s="229"/>
      <c r="I209" s="229"/>
      <c r="J209" s="229"/>
      <c r="K209" s="229"/>
      <c r="L209" s="229"/>
      <c r="M209" s="229"/>
      <c r="N209" s="229"/>
      <c r="O209" s="229"/>
      <c r="P209" s="229"/>
      <c r="Q209" s="229"/>
      <c r="R209" s="229"/>
      <c r="S209" s="229"/>
      <c r="T209" s="229"/>
      <c r="U209" s="229"/>
      <c r="V209" s="229"/>
      <c r="W209" s="229"/>
      <c r="X209" s="229"/>
      <c r="Y209" s="229"/>
      <c r="Z209" s="229"/>
      <c r="AA209" s="229"/>
      <c r="AB209" s="229"/>
    </row>
    <row r="210" ht="15.75" customHeight="1">
      <c r="A210" s="232"/>
      <c r="B210" s="231"/>
      <c r="C210" s="231"/>
      <c r="D210" s="232"/>
      <c r="E210" s="235"/>
      <c r="F210" s="234"/>
      <c r="G210" s="229"/>
      <c r="H210" s="229"/>
      <c r="I210" s="229"/>
      <c r="J210" s="229"/>
      <c r="K210" s="229"/>
      <c r="L210" s="229"/>
      <c r="M210" s="229"/>
      <c r="N210" s="229"/>
      <c r="O210" s="229"/>
      <c r="P210" s="229"/>
      <c r="Q210" s="229"/>
      <c r="R210" s="229"/>
      <c r="S210" s="229"/>
      <c r="T210" s="229"/>
      <c r="U210" s="229"/>
      <c r="V210" s="229"/>
      <c r="W210" s="229"/>
      <c r="X210" s="229"/>
      <c r="Y210" s="229"/>
      <c r="Z210" s="229"/>
      <c r="AA210" s="229"/>
      <c r="AB210" s="229"/>
    </row>
    <row r="211" ht="15.75" customHeight="1">
      <c r="A211" s="232"/>
      <c r="B211" s="231"/>
      <c r="C211" s="231"/>
      <c r="D211" s="232"/>
      <c r="E211" s="235"/>
      <c r="F211" s="234"/>
      <c r="G211" s="229"/>
      <c r="H211" s="229"/>
      <c r="I211" s="229"/>
      <c r="J211" s="229"/>
      <c r="K211" s="229"/>
      <c r="L211" s="229"/>
      <c r="M211" s="229"/>
      <c r="N211" s="229"/>
      <c r="O211" s="229"/>
      <c r="P211" s="229"/>
      <c r="Q211" s="229"/>
      <c r="R211" s="229"/>
      <c r="S211" s="229"/>
      <c r="T211" s="229"/>
      <c r="U211" s="229"/>
      <c r="V211" s="229"/>
      <c r="W211" s="229"/>
      <c r="X211" s="229"/>
      <c r="Y211" s="229"/>
      <c r="Z211" s="229"/>
      <c r="AA211" s="229"/>
      <c r="AB211" s="229"/>
    </row>
    <row r="212" ht="15.75" customHeight="1">
      <c r="A212" s="232"/>
      <c r="B212" s="231"/>
      <c r="C212" s="231"/>
      <c r="D212" s="232"/>
      <c r="E212" s="235"/>
      <c r="F212" s="234"/>
      <c r="G212" s="229"/>
      <c r="H212" s="229"/>
      <c r="I212" s="229"/>
      <c r="J212" s="229"/>
      <c r="K212" s="229"/>
      <c r="L212" s="229"/>
      <c r="M212" s="229"/>
      <c r="N212" s="229"/>
      <c r="O212" s="229"/>
      <c r="P212" s="229"/>
      <c r="Q212" s="229"/>
      <c r="R212" s="229"/>
      <c r="S212" s="229"/>
      <c r="T212" s="229"/>
      <c r="U212" s="229"/>
      <c r="V212" s="229"/>
      <c r="W212" s="229"/>
      <c r="X212" s="229"/>
      <c r="Y212" s="229"/>
      <c r="Z212" s="229"/>
      <c r="AA212" s="229"/>
      <c r="AB212" s="229"/>
    </row>
    <row r="213" ht="15.75" customHeight="1">
      <c r="A213" s="232"/>
      <c r="B213" s="231"/>
      <c r="C213" s="231"/>
      <c r="D213" s="232"/>
      <c r="E213" s="235"/>
      <c r="F213" s="234"/>
      <c r="G213" s="229"/>
      <c r="H213" s="229"/>
      <c r="I213" s="229"/>
      <c r="J213" s="229"/>
      <c r="K213" s="229"/>
      <c r="L213" s="229"/>
      <c r="M213" s="229"/>
      <c r="N213" s="229"/>
      <c r="O213" s="229"/>
      <c r="P213" s="229"/>
      <c r="Q213" s="229"/>
      <c r="R213" s="229"/>
      <c r="S213" s="229"/>
      <c r="T213" s="229"/>
      <c r="U213" s="229"/>
      <c r="V213" s="229"/>
      <c r="W213" s="229"/>
      <c r="X213" s="229"/>
      <c r="Y213" s="229"/>
      <c r="Z213" s="229"/>
      <c r="AA213" s="229"/>
      <c r="AB213" s="229"/>
    </row>
    <row r="214" ht="15.75" customHeight="1">
      <c r="A214" s="232"/>
      <c r="B214" s="231"/>
      <c r="C214" s="231"/>
      <c r="D214" s="232"/>
      <c r="E214" s="235"/>
      <c r="F214" s="234"/>
      <c r="G214" s="229"/>
      <c r="H214" s="229"/>
      <c r="I214" s="229"/>
      <c r="J214" s="229"/>
      <c r="K214" s="229"/>
      <c r="L214" s="229"/>
      <c r="M214" s="229"/>
      <c r="N214" s="229"/>
      <c r="O214" s="229"/>
      <c r="P214" s="229"/>
      <c r="Q214" s="229"/>
      <c r="R214" s="229"/>
      <c r="S214" s="229"/>
      <c r="T214" s="229"/>
      <c r="U214" s="229"/>
      <c r="V214" s="229"/>
      <c r="W214" s="229"/>
      <c r="X214" s="229"/>
      <c r="Y214" s="229"/>
      <c r="Z214" s="229"/>
      <c r="AA214" s="229"/>
      <c r="AB214" s="229"/>
    </row>
    <row r="215" ht="15.75" customHeight="1">
      <c r="A215" s="232"/>
      <c r="B215" s="231"/>
      <c r="C215" s="231"/>
      <c r="D215" s="232"/>
      <c r="E215" s="235"/>
      <c r="F215" s="234"/>
      <c r="G215" s="229"/>
      <c r="H215" s="229"/>
      <c r="I215" s="229"/>
      <c r="J215" s="229"/>
      <c r="K215" s="229"/>
      <c r="L215" s="229"/>
      <c r="M215" s="229"/>
      <c r="N215" s="229"/>
      <c r="O215" s="229"/>
      <c r="P215" s="229"/>
      <c r="Q215" s="229"/>
      <c r="R215" s="229"/>
      <c r="S215" s="229"/>
      <c r="T215" s="229"/>
      <c r="U215" s="229"/>
      <c r="V215" s="229"/>
      <c r="W215" s="229"/>
      <c r="X215" s="229"/>
      <c r="Y215" s="229"/>
      <c r="Z215" s="229"/>
      <c r="AA215" s="229"/>
      <c r="AB215" s="229"/>
    </row>
    <row r="216" ht="15.75" customHeight="1">
      <c r="A216" s="232"/>
      <c r="B216" s="231"/>
      <c r="C216" s="231"/>
      <c r="D216" s="232"/>
      <c r="E216" s="235"/>
      <c r="F216" s="234"/>
      <c r="G216" s="229"/>
      <c r="H216" s="229"/>
      <c r="I216" s="229"/>
      <c r="J216" s="229"/>
      <c r="K216" s="229"/>
      <c r="L216" s="229"/>
      <c r="M216" s="229"/>
      <c r="N216" s="229"/>
      <c r="O216" s="229"/>
      <c r="P216" s="229"/>
      <c r="Q216" s="229"/>
      <c r="R216" s="229"/>
      <c r="S216" s="229"/>
      <c r="T216" s="229"/>
      <c r="U216" s="229"/>
      <c r="V216" s="229"/>
      <c r="W216" s="229"/>
      <c r="X216" s="229"/>
      <c r="Y216" s="229"/>
      <c r="Z216" s="229"/>
      <c r="AA216" s="229"/>
      <c r="AB216" s="229"/>
    </row>
    <row r="217" ht="15.75" customHeight="1">
      <c r="A217" s="232"/>
      <c r="B217" s="231"/>
      <c r="C217" s="231"/>
      <c r="D217" s="232"/>
      <c r="E217" s="235"/>
      <c r="F217" s="234"/>
      <c r="G217" s="229"/>
      <c r="H217" s="229"/>
      <c r="I217" s="229"/>
      <c r="J217" s="229"/>
      <c r="K217" s="229"/>
      <c r="L217" s="229"/>
      <c r="M217" s="229"/>
      <c r="N217" s="229"/>
      <c r="O217" s="229"/>
      <c r="P217" s="229"/>
      <c r="Q217" s="229"/>
      <c r="R217" s="229"/>
      <c r="S217" s="229"/>
      <c r="T217" s="229"/>
      <c r="U217" s="229"/>
      <c r="V217" s="229"/>
      <c r="W217" s="229"/>
      <c r="X217" s="229"/>
      <c r="Y217" s="229"/>
      <c r="Z217" s="229"/>
      <c r="AA217" s="229"/>
      <c r="AB217" s="229"/>
    </row>
    <row r="218" ht="15.75" customHeight="1">
      <c r="A218" s="232"/>
      <c r="B218" s="231"/>
      <c r="C218" s="231"/>
      <c r="D218" s="232"/>
      <c r="E218" s="235"/>
      <c r="F218" s="234"/>
      <c r="G218" s="229"/>
      <c r="H218" s="229"/>
      <c r="I218" s="229"/>
      <c r="J218" s="229"/>
      <c r="K218" s="229"/>
      <c r="L218" s="229"/>
      <c r="M218" s="229"/>
      <c r="N218" s="229"/>
      <c r="O218" s="229"/>
      <c r="P218" s="229"/>
      <c r="Q218" s="229"/>
      <c r="R218" s="229"/>
      <c r="S218" s="229"/>
      <c r="T218" s="229"/>
      <c r="U218" s="229"/>
      <c r="V218" s="229"/>
      <c r="W218" s="229"/>
      <c r="X218" s="229"/>
      <c r="Y218" s="229"/>
      <c r="Z218" s="229"/>
      <c r="AA218" s="229"/>
      <c r="AB218" s="229"/>
    </row>
    <row r="219" ht="15.75" customHeight="1">
      <c r="A219" s="232"/>
      <c r="B219" s="231"/>
      <c r="C219" s="231"/>
      <c r="D219" s="232"/>
      <c r="E219" s="235"/>
      <c r="F219" s="234"/>
      <c r="G219" s="229"/>
      <c r="H219" s="229"/>
      <c r="I219" s="229"/>
      <c r="J219" s="229"/>
      <c r="K219" s="229"/>
      <c r="L219" s="229"/>
      <c r="M219" s="229"/>
      <c r="N219" s="229"/>
      <c r="O219" s="229"/>
      <c r="P219" s="229"/>
      <c r="Q219" s="229"/>
      <c r="R219" s="229"/>
      <c r="S219" s="229"/>
      <c r="T219" s="229"/>
      <c r="U219" s="229"/>
      <c r="V219" s="229"/>
      <c r="W219" s="229"/>
      <c r="X219" s="229"/>
      <c r="Y219" s="229"/>
      <c r="Z219" s="229"/>
      <c r="AA219" s="229"/>
      <c r="AB219" s="229"/>
    </row>
    <row r="220" ht="15.75" customHeight="1">
      <c r="A220" s="232"/>
      <c r="B220" s="231"/>
      <c r="C220" s="231"/>
      <c r="D220" s="232"/>
      <c r="E220" s="235"/>
      <c r="F220" s="234"/>
      <c r="G220" s="229"/>
      <c r="H220" s="229"/>
      <c r="I220" s="229"/>
      <c r="J220" s="229"/>
      <c r="K220" s="229"/>
      <c r="L220" s="229"/>
      <c r="M220" s="229"/>
      <c r="N220" s="229"/>
      <c r="O220" s="229"/>
      <c r="P220" s="229"/>
      <c r="Q220" s="229"/>
      <c r="R220" s="229"/>
      <c r="S220" s="229"/>
      <c r="T220" s="229"/>
      <c r="U220" s="229"/>
      <c r="V220" s="229"/>
      <c r="W220" s="229"/>
      <c r="X220" s="229"/>
      <c r="Y220" s="229"/>
      <c r="Z220" s="229"/>
      <c r="AA220" s="229"/>
      <c r="AB220" s="229"/>
    </row>
    <row r="221" ht="15.75" customHeight="1">
      <c r="A221" s="232"/>
      <c r="B221" s="231"/>
      <c r="C221" s="231"/>
      <c r="D221" s="232"/>
      <c r="E221" s="235"/>
      <c r="F221" s="234"/>
      <c r="G221" s="229"/>
      <c r="H221" s="229"/>
      <c r="I221" s="229"/>
      <c r="J221" s="229"/>
      <c r="K221" s="229"/>
      <c r="L221" s="229"/>
      <c r="M221" s="229"/>
      <c r="N221" s="229"/>
      <c r="O221" s="229"/>
      <c r="P221" s="229"/>
      <c r="Q221" s="229"/>
      <c r="R221" s="229"/>
      <c r="S221" s="229"/>
      <c r="T221" s="229"/>
      <c r="U221" s="229"/>
      <c r="V221" s="229"/>
      <c r="W221" s="229"/>
      <c r="X221" s="229"/>
      <c r="Y221" s="229"/>
      <c r="Z221" s="229"/>
      <c r="AA221" s="229"/>
      <c r="AB221" s="229"/>
    </row>
    <row r="222" ht="15.75" customHeight="1">
      <c r="A222" s="232"/>
      <c r="B222" s="231"/>
      <c r="C222" s="231"/>
      <c r="D222" s="232"/>
      <c r="E222" s="235"/>
      <c r="F222" s="234"/>
      <c r="G222" s="229"/>
      <c r="H222" s="229"/>
      <c r="I222" s="229"/>
      <c r="J222" s="229"/>
      <c r="K222" s="229"/>
      <c r="L222" s="229"/>
      <c r="M222" s="229"/>
      <c r="N222" s="229"/>
      <c r="O222" s="229"/>
      <c r="P222" s="229"/>
      <c r="Q222" s="229"/>
      <c r="R222" s="229"/>
      <c r="S222" s="229"/>
      <c r="T222" s="229"/>
      <c r="U222" s="229"/>
      <c r="V222" s="229"/>
      <c r="W222" s="229"/>
      <c r="X222" s="229"/>
      <c r="Y222" s="229"/>
      <c r="Z222" s="229"/>
      <c r="AA222" s="229"/>
      <c r="AB222" s="229"/>
    </row>
    <row r="223" ht="15.75" customHeight="1">
      <c r="A223" s="232"/>
      <c r="B223" s="231"/>
      <c r="C223" s="231"/>
      <c r="D223" s="232"/>
      <c r="E223" s="235"/>
      <c r="F223" s="234"/>
      <c r="G223" s="229"/>
      <c r="H223" s="229"/>
      <c r="I223" s="229"/>
      <c r="J223" s="229"/>
      <c r="K223" s="229"/>
      <c r="L223" s="229"/>
      <c r="M223" s="229"/>
      <c r="N223" s="229"/>
      <c r="O223" s="229"/>
      <c r="P223" s="229"/>
      <c r="Q223" s="229"/>
      <c r="R223" s="229"/>
      <c r="S223" s="229"/>
      <c r="T223" s="229"/>
      <c r="U223" s="229"/>
      <c r="V223" s="229"/>
      <c r="W223" s="229"/>
      <c r="X223" s="229"/>
      <c r="Y223" s="229"/>
      <c r="Z223" s="229"/>
      <c r="AA223" s="229"/>
      <c r="AB223" s="229"/>
    </row>
    <row r="224" ht="15.75" customHeight="1">
      <c r="A224" s="232"/>
      <c r="B224" s="231"/>
      <c r="C224" s="231"/>
      <c r="D224" s="232"/>
      <c r="E224" s="235"/>
      <c r="F224" s="234"/>
      <c r="G224" s="229"/>
      <c r="H224" s="229"/>
      <c r="I224" s="229"/>
      <c r="J224" s="229"/>
      <c r="K224" s="229"/>
      <c r="L224" s="229"/>
      <c r="M224" s="229"/>
      <c r="N224" s="229"/>
      <c r="O224" s="229"/>
      <c r="P224" s="229"/>
      <c r="Q224" s="229"/>
      <c r="R224" s="229"/>
      <c r="S224" s="229"/>
      <c r="T224" s="229"/>
      <c r="U224" s="229"/>
      <c r="V224" s="229"/>
      <c r="W224" s="229"/>
      <c r="X224" s="229"/>
      <c r="Y224" s="229"/>
      <c r="Z224" s="229"/>
      <c r="AA224" s="229"/>
      <c r="AB224" s="229"/>
    </row>
    <row r="225" ht="15.75" customHeight="1">
      <c r="A225" s="232"/>
      <c r="B225" s="231"/>
      <c r="C225" s="231"/>
      <c r="D225" s="232"/>
      <c r="E225" s="235"/>
      <c r="F225" s="234"/>
      <c r="G225" s="229"/>
      <c r="H225" s="229"/>
      <c r="I225" s="229"/>
      <c r="J225" s="229"/>
      <c r="K225" s="229"/>
      <c r="L225" s="229"/>
      <c r="M225" s="229"/>
      <c r="N225" s="229"/>
      <c r="O225" s="229"/>
      <c r="P225" s="229"/>
      <c r="Q225" s="229"/>
      <c r="R225" s="229"/>
      <c r="S225" s="229"/>
      <c r="T225" s="229"/>
      <c r="U225" s="229"/>
      <c r="V225" s="229"/>
      <c r="W225" s="229"/>
      <c r="X225" s="229"/>
      <c r="Y225" s="229"/>
      <c r="Z225" s="229"/>
      <c r="AA225" s="229"/>
      <c r="AB225" s="229"/>
    </row>
    <row r="226" ht="15.75" customHeight="1">
      <c r="A226" s="232"/>
      <c r="B226" s="231"/>
      <c r="C226" s="231"/>
      <c r="D226" s="232"/>
      <c r="E226" s="235"/>
      <c r="F226" s="234"/>
      <c r="G226" s="229"/>
      <c r="H226" s="229"/>
      <c r="I226" s="229"/>
      <c r="J226" s="229"/>
      <c r="K226" s="229"/>
      <c r="L226" s="229"/>
      <c r="M226" s="229"/>
      <c r="N226" s="229"/>
      <c r="O226" s="229"/>
      <c r="P226" s="229"/>
      <c r="Q226" s="229"/>
      <c r="R226" s="229"/>
      <c r="S226" s="229"/>
      <c r="T226" s="229"/>
      <c r="U226" s="229"/>
      <c r="V226" s="229"/>
      <c r="W226" s="229"/>
      <c r="X226" s="229"/>
      <c r="Y226" s="229"/>
      <c r="Z226" s="229"/>
      <c r="AA226" s="229"/>
      <c r="AB226" s="229"/>
    </row>
    <row r="227" ht="15.75" customHeight="1">
      <c r="A227" s="232"/>
      <c r="B227" s="231"/>
      <c r="C227" s="231"/>
      <c r="D227" s="232"/>
      <c r="E227" s="235"/>
      <c r="F227" s="234"/>
      <c r="G227" s="229"/>
      <c r="H227" s="229"/>
      <c r="I227" s="229"/>
      <c r="J227" s="229"/>
      <c r="K227" s="229"/>
      <c r="L227" s="229"/>
      <c r="M227" s="229"/>
      <c r="N227" s="229"/>
      <c r="O227" s="229"/>
      <c r="P227" s="229"/>
      <c r="Q227" s="229"/>
      <c r="R227" s="229"/>
      <c r="S227" s="229"/>
      <c r="T227" s="229"/>
      <c r="U227" s="229"/>
      <c r="V227" s="229"/>
      <c r="W227" s="229"/>
      <c r="X227" s="229"/>
      <c r="Y227" s="229"/>
      <c r="Z227" s="229"/>
      <c r="AA227" s="229"/>
      <c r="AB227" s="229"/>
    </row>
    <row r="228" ht="15.75" customHeight="1">
      <c r="A228" s="232"/>
      <c r="B228" s="231"/>
      <c r="C228" s="231"/>
      <c r="D228" s="232"/>
      <c r="E228" s="235"/>
      <c r="F228" s="234"/>
      <c r="G228" s="229"/>
      <c r="H228" s="229"/>
      <c r="I228" s="229"/>
      <c r="J228" s="229"/>
      <c r="K228" s="229"/>
      <c r="L228" s="229"/>
      <c r="M228" s="229"/>
      <c r="N228" s="229"/>
      <c r="O228" s="229"/>
      <c r="P228" s="229"/>
      <c r="Q228" s="229"/>
      <c r="R228" s="229"/>
      <c r="S228" s="229"/>
      <c r="T228" s="229"/>
      <c r="U228" s="229"/>
      <c r="V228" s="229"/>
      <c r="W228" s="229"/>
      <c r="X228" s="229"/>
      <c r="Y228" s="229"/>
      <c r="Z228" s="229"/>
      <c r="AA228" s="229"/>
      <c r="AB228" s="229"/>
    </row>
    <row r="229" ht="15.75" customHeight="1">
      <c r="A229" s="232"/>
      <c r="B229" s="231"/>
      <c r="C229" s="231"/>
      <c r="D229" s="232"/>
      <c r="E229" s="235"/>
      <c r="F229" s="234"/>
      <c r="G229" s="229"/>
      <c r="H229" s="229"/>
      <c r="I229" s="229"/>
      <c r="J229" s="229"/>
      <c r="K229" s="229"/>
      <c r="L229" s="229"/>
      <c r="M229" s="229"/>
      <c r="N229" s="229"/>
      <c r="O229" s="229"/>
      <c r="P229" s="229"/>
      <c r="Q229" s="229"/>
      <c r="R229" s="229"/>
      <c r="S229" s="229"/>
      <c r="T229" s="229"/>
      <c r="U229" s="229"/>
      <c r="V229" s="229"/>
      <c r="W229" s="229"/>
      <c r="X229" s="229"/>
      <c r="Y229" s="229"/>
      <c r="Z229" s="229"/>
      <c r="AA229" s="229"/>
      <c r="AB229" s="229"/>
    </row>
    <row r="230" ht="15.75" customHeight="1">
      <c r="A230" s="232"/>
      <c r="B230" s="231"/>
      <c r="C230" s="231"/>
      <c r="D230" s="232"/>
      <c r="E230" s="235"/>
      <c r="F230" s="234"/>
      <c r="G230" s="229"/>
      <c r="H230" s="229"/>
      <c r="I230" s="229"/>
      <c r="J230" s="229"/>
      <c r="K230" s="229"/>
      <c r="L230" s="229"/>
      <c r="M230" s="229"/>
      <c r="N230" s="229"/>
      <c r="O230" s="229"/>
      <c r="P230" s="229"/>
      <c r="Q230" s="229"/>
      <c r="R230" s="229"/>
      <c r="S230" s="229"/>
      <c r="T230" s="229"/>
      <c r="U230" s="229"/>
      <c r="V230" s="229"/>
      <c r="W230" s="229"/>
      <c r="X230" s="229"/>
      <c r="Y230" s="229"/>
      <c r="Z230" s="229"/>
      <c r="AA230" s="229"/>
      <c r="AB230" s="229"/>
    </row>
    <row r="231" ht="15.75" customHeight="1">
      <c r="A231" s="232"/>
      <c r="B231" s="231"/>
      <c r="C231" s="231"/>
      <c r="D231" s="232"/>
      <c r="E231" s="235"/>
      <c r="F231" s="234"/>
      <c r="G231" s="229"/>
      <c r="H231" s="229"/>
      <c r="I231" s="229"/>
      <c r="J231" s="229"/>
      <c r="K231" s="229"/>
      <c r="L231" s="229"/>
      <c r="M231" s="229"/>
      <c r="N231" s="229"/>
      <c r="O231" s="229"/>
      <c r="P231" s="229"/>
      <c r="Q231" s="229"/>
      <c r="R231" s="229"/>
      <c r="S231" s="229"/>
      <c r="T231" s="229"/>
      <c r="U231" s="229"/>
      <c r="V231" s="229"/>
      <c r="W231" s="229"/>
      <c r="X231" s="229"/>
      <c r="Y231" s="229"/>
      <c r="Z231" s="229"/>
      <c r="AA231" s="229"/>
      <c r="AB231" s="229"/>
    </row>
    <row r="232" ht="15.75" customHeight="1">
      <c r="A232" s="232"/>
      <c r="B232" s="231"/>
      <c r="C232" s="231"/>
      <c r="D232" s="232"/>
      <c r="E232" s="235"/>
      <c r="F232" s="234"/>
      <c r="G232" s="229"/>
      <c r="H232" s="229"/>
      <c r="I232" s="229"/>
      <c r="J232" s="229"/>
      <c r="K232" s="229"/>
      <c r="L232" s="229"/>
      <c r="M232" s="229"/>
      <c r="N232" s="229"/>
      <c r="O232" s="229"/>
      <c r="P232" s="229"/>
      <c r="Q232" s="229"/>
      <c r="R232" s="229"/>
      <c r="S232" s="229"/>
      <c r="T232" s="229"/>
      <c r="U232" s="229"/>
      <c r="V232" s="229"/>
      <c r="W232" s="229"/>
      <c r="X232" s="229"/>
      <c r="Y232" s="229"/>
      <c r="Z232" s="229"/>
      <c r="AA232" s="229"/>
      <c r="AB232" s="229"/>
    </row>
    <row r="233" ht="15.75" customHeight="1">
      <c r="A233" s="232"/>
      <c r="B233" s="231"/>
      <c r="C233" s="231"/>
      <c r="D233" s="232"/>
      <c r="E233" s="235"/>
      <c r="F233" s="234"/>
      <c r="G233" s="229"/>
      <c r="H233" s="229"/>
      <c r="I233" s="229"/>
      <c r="J233" s="229"/>
      <c r="K233" s="229"/>
      <c r="L233" s="229"/>
      <c r="M233" s="229"/>
      <c r="N233" s="229"/>
      <c r="O233" s="229"/>
      <c r="P233" s="229"/>
      <c r="Q233" s="229"/>
      <c r="R233" s="229"/>
      <c r="S233" s="229"/>
      <c r="T233" s="229"/>
      <c r="U233" s="229"/>
      <c r="V233" s="229"/>
      <c r="W233" s="229"/>
      <c r="X233" s="229"/>
      <c r="Y233" s="229"/>
      <c r="Z233" s="229"/>
      <c r="AA233" s="229"/>
      <c r="AB233" s="229"/>
    </row>
    <row r="234" ht="15.75" customHeight="1">
      <c r="A234" s="232"/>
      <c r="B234" s="231"/>
      <c r="C234" s="231"/>
      <c r="D234" s="232"/>
      <c r="E234" s="235"/>
      <c r="F234" s="234"/>
      <c r="G234" s="229"/>
      <c r="H234" s="229"/>
      <c r="I234" s="229"/>
      <c r="J234" s="229"/>
      <c r="K234" s="229"/>
      <c r="L234" s="229"/>
      <c r="M234" s="229"/>
      <c r="N234" s="229"/>
      <c r="O234" s="229"/>
      <c r="P234" s="229"/>
      <c r="Q234" s="229"/>
      <c r="R234" s="229"/>
      <c r="S234" s="229"/>
      <c r="T234" s="229"/>
      <c r="U234" s="229"/>
      <c r="V234" s="229"/>
      <c r="W234" s="229"/>
      <c r="X234" s="229"/>
      <c r="Y234" s="229"/>
      <c r="Z234" s="229"/>
      <c r="AA234" s="229"/>
      <c r="AB234" s="229"/>
    </row>
    <row r="235" ht="15.75" customHeight="1">
      <c r="A235" s="232"/>
      <c r="B235" s="231"/>
      <c r="C235" s="231"/>
      <c r="D235" s="232"/>
      <c r="E235" s="235"/>
      <c r="F235" s="234"/>
      <c r="G235" s="229"/>
      <c r="H235" s="229"/>
      <c r="I235" s="229"/>
      <c r="J235" s="229"/>
      <c r="K235" s="229"/>
      <c r="L235" s="229"/>
      <c r="M235" s="229"/>
      <c r="N235" s="229"/>
      <c r="O235" s="229"/>
      <c r="P235" s="229"/>
      <c r="Q235" s="229"/>
      <c r="R235" s="229"/>
      <c r="S235" s="229"/>
      <c r="T235" s="229"/>
      <c r="U235" s="229"/>
      <c r="V235" s="229"/>
      <c r="W235" s="229"/>
      <c r="X235" s="229"/>
      <c r="Y235" s="229"/>
      <c r="Z235" s="229"/>
      <c r="AA235" s="229"/>
      <c r="AB235" s="229"/>
    </row>
    <row r="236" ht="15.75" customHeight="1">
      <c r="A236" s="232"/>
      <c r="B236" s="231"/>
      <c r="C236" s="231"/>
      <c r="D236" s="232"/>
      <c r="E236" s="235"/>
      <c r="F236" s="234"/>
      <c r="G236" s="229"/>
      <c r="H236" s="229"/>
      <c r="I236" s="229"/>
      <c r="J236" s="229"/>
      <c r="K236" s="229"/>
      <c r="L236" s="229"/>
      <c r="M236" s="229"/>
      <c r="N236" s="229"/>
      <c r="O236" s="229"/>
      <c r="P236" s="229"/>
      <c r="Q236" s="229"/>
      <c r="R236" s="229"/>
      <c r="S236" s="229"/>
      <c r="T236" s="229"/>
      <c r="U236" s="229"/>
      <c r="V236" s="229"/>
      <c r="W236" s="229"/>
      <c r="X236" s="229"/>
      <c r="Y236" s="229"/>
      <c r="Z236" s="229"/>
      <c r="AA236" s="229"/>
      <c r="AB236" s="229"/>
    </row>
    <row r="237" ht="15.75" customHeight="1">
      <c r="A237" s="232"/>
      <c r="B237" s="231"/>
      <c r="C237" s="231"/>
      <c r="D237" s="232"/>
      <c r="E237" s="235"/>
      <c r="F237" s="234"/>
      <c r="G237" s="229"/>
      <c r="H237" s="229"/>
      <c r="I237" s="229"/>
      <c r="J237" s="229"/>
      <c r="K237" s="229"/>
      <c r="L237" s="229"/>
      <c r="M237" s="229"/>
      <c r="N237" s="229"/>
      <c r="O237" s="229"/>
      <c r="P237" s="229"/>
      <c r="Q237" s="229"/>
      <c r="R237" s="229"/>
      <c r="S237" s="229"/>
      <c r="T237" s="229"/>
      <c r="U237" s="229"/>
      <c r="V237" s="229"/>
      <c r="W237" s="229"/>
      <c r="X237" s="229"/>
      <c r="Y237" s="229"/>
      <c r="Z237" s="229"/>
      <c r="AA237" s="229"/>
      <c r="AB237" s="229"/>
    </row>
    <row r="238" ht="15.75" customHeight="1">
      <c r="A238" s="232"/>
      <c r="B238" s="231"/>
      <c r="C238" s="231"/>
      <c r="D238" s="232"/>
      <c r="E238" s="235"/>
      <c r="F238" s="234"/>
      <c r="G238" s="229"/>
      <c r="H238" s="229"/>
      <c r="I238" s="229"/>
      <c r="J238" s="229"/>
      <c r="K238" s="229"/>
      <c r="L238" s="229"/>
      <c r="M238" s="229"/>
      <c r="N238" s="229"/>
      <c r="O238" s="229"/>
      <c r="P238" s="229"/>
      <c r="Q238" s="229"/>
      <c r="R238" s="229"/>
      <c r="S238" s="229"/>
      <c r="T238" s="229"/>
      <c r="U238" s="229"/>
      <c r="V238" s="229"/>
      <c r="W238" s="229"/>
      <c r="X238" s="229"/>
      <c r="Y238" s="229"/>
      <c r="Z238" s="229"/>
      <c r="AA238" s="229"/>
      <c r="AB238" s="229"/>
    </row>
    <row r="239" ht="15.75" customHeight="1">
      <c r="A239" s="232"/>
      <c r="B239" s="231"/>
      <c r="C239" s="231"/>
      <c r="D239" s="232"/>
      <c r="E239" s="235"/>
      <c r="F239" s="234"/>
      <c r="G239" s="229"/>
      <c r="H239" s="229"/>
      <c r="I239" s="229"/>
      <c r="J239" s="229"/>
      <c r="K239" s="229"/>
      <c r="L239" s="229"/>
      <c r="M239" s="229"/>
      <c r="N239" s="229"/>
      <c r="O239" s="229"/>
      <c r="P239" s="229"/>
      <c r="Q239" s="229"/>
      <c r="R239" s="229"/>
      <c r="S239" s="229"/>
      <c r="T239" s="229"/>
      <c r="U239" s="229"/>
      <c r="V239" s="229"/>
      <c r="W239" s="229"/>
      <c r="X239" s="229"/>
      <c r="Y239" s="229"/>
      <c r="Z239" s="229"/>
      <c r="AA239" s="229"/>
      <c r="AB239" s="229"/>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J2:M4"/>
    <mergeCell ref="A11:A12"/>
    <mergeCell ref="C11:C12"/>
  </mergeCells>
  <printOptions/>
  <pageMargins bottom="1.0" footer="0.0" header="0.0" left="0.75" right="0.75" top="1.0"/>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1" width="12.0"/>
    <col customWidth="1" min="2" max="2" width="30.86"/>
    <col customWidth="1" min="3" max="3" width="12.0"/>
    <col customWidth="1" min="4" max="4" width="15.0"/>
    <col customWidth="1" min="5" max="5" width="20.0"/>
    <col customWidth="1" min="6" max="20" width="13.0"/>
    <col customWidth="1" min="21" max="22" width="14.43"/>
    <col customWidth="1" min="23" max="23" width="20.71"/>
    <col customWidth="1" min="24" max="24" width="21.14"/>
  </cols>
  <sheetData>
    <row r="1" ht="20.25" customHeight="1">
      <c r="A1" s="256" t="s">
        <v>165</v>
      </c>
      <c r="B1" s="257" t="s">
        <v>166</v>
      </c>
      <c r="C1" s="256" t="s">
        <v>45</v>
      </c>
      <c r="D1" s="256" t="s">
        <v>46</v>
      </c>
      <c r="E1" s="257" t="s">
        <v>15</v>
      </c>
      <c r="F1" s="258" t="s">
        <v>1153</v>
      </c>
      <c r="G1" s="258" t="s">
        <v>1154</v>
      </c>
      <c r="H1" s="258" t="s">
        <v>1155</v>
      </c>
      <c r="I1" s="258" t="s">
        <v>1156</v>
      </c>
      <c r="J1" s="258" t="s">
        <v>1157</v>
      </c>
      <c r="K1" s="258" t="s">
        <v>1158</v>
      </c>
      <c r="L1" s="258" t="s">
        <v>1163</v>
      </c>
      <c r="M1" s="258" t="s">
        <v>1164</v>
      </c>
      <c r="N1" s="258" t="s">
        <v>1165</v>
      </c>
      <c r="O1" s="258" t="s">
        <v>1166</v>
      </c>
      <c r="P1" s="258" t="s">
        <v>1167</v>
      </c>
      <c r="Q1" s="258" t="s">
        <v>1168</v>
      </c>
      <c r="R1" s="258" t="s">
        <v>1169</v>
      </c>
      <c r="S1" s="258" t="s">
        <v>1170</v>
      </c>
      <c r="T1" s="258" t="s">
        <v>1171</v>
      </c>
      <c r="U1" s="259" t="s">
        <v>1172</v>
      </c>
      <c r="V1" s="260" t="s">
        <v>1173</v>
      </c>
      <c r="W1" s="261">
        <f>max(W2:W1005)</f>
        <v>46212.58333</v>
      </c>
      <c r="X1" s="262" t="s">
        <v>1174</v>
      </c>
      <c r="Y1" s="263"/>
      <c r="Z1" s="263"/>
      <c r="AA1" s="264"/>
    </row>
    <row r="2" ht="15.75" hidden="1" customHeight="1">
      <c r="A2" s="265" t="s">
        <v>220</v>
      </c>
      <c r="B2" s="266" t="str">
        <f>IFERROR(VLOOKUP(A2&amp;"", STUDENTS!A:B, 2, 0), "")</f>
        <v>TRẦN THỊ THANH NGA</v>
      </c>
      <c r="C2" s="104" t="s">
        <v>52</v>
      </c>
      <c r="D2" s="104" t="str">
        <f>IFERROR(VLOOKUP(C2, PIC!A:B, 2, 0), "")</f>
        <v>Anh Vu</v>
      </c>
      <c r="E2" s="105" t="s">
        <v>25</v>
      </c>
      <c r="F2" s="267">
        <v>46084.54166666666</v>
      </c>
      <c r="G2" s="268">
        <v>46091.58333333334</v>
      </c>
      <c r="H2" s="268">
        <v>46098.58333333334</v>
      </c>
      <c r="I2" s="267">
        <v>46105.58333333334</v>
      </c>
      <c r="J2" s="268">
        <v>46120.58333333334</v>
      </c>
      <c r="K2" s="267">
        <v>46127.58333333334</v>
      </c>
      <c r="L2" s="269">
        <v>46155.541666666664</v>
      </c>
      <c r="M2" s="269">
        <v>46162.541666666664</v>
      </c>
      <c r="N2" s="269">
        <v>46169.541666666664</v>
      </c>
      <c r="O2" s="270">
        <v>46176.541666666664</v>
      </c>
      <c r="P2" s="270">
        <v>46183.541666666664</v>
      </c>
      <c r="Q2" s="269">
        <v>46190.541666666664</v>
      </c>
      <c r="R2" s="270">
        <v>46197.541666666664</v>
      </c>
      <c r="S2" s="270">
        <v>46211.583333333336</v>
      </c>
      <c r="T2" s="267"/>
      <c r="U2" s="268"/>
      <c r="V2" s="271"/>
      <c r="W2" s="272">
        <f t="shared" ref="W2:W83" si="1">MAX(F2:U2)</f>
        <v>46211.58333</v>
      </c>
      <c r="X2" s="273"/>
      <c r="Y2" s="273"/>
      <c r="Z2" s="273"/>
      <c r="AA2" s="274"/>
    </row>
    <row r="3" ht="15.75" hidden="1" customHeight="1">
      <c r="A3" s="275" t="s">
        <v>222</v>
      </c>
      <c r="B3" s="276" t="str">
        <f>IFERROR(VLOOKUP(A3&amp;"", STUDENTS!A:B, 2, 0), "")</f>
        <v>TRẦN THỊ THÙY DUNG</v>
      </c>
      <c r="C3" s="122" t="s">
        <v>52</v>
      </c>
      <c r="D3" s="122" t="str">
        <f>IFERROR(VLOOKUP(C3, PIC!A:B, 2, 0), "")</f>
        <v>Anh Vu</v>
      </c>
      <c r="E3" s="123" t="s">
        <v>25</v>
      </c>
      <c r="F3" s="277">
        <v>46084.54166666666</v>
      </c>
      <c r="G3" s="278">
        <v>46091.58333333334</v>
      </c>
      <c r="H3" s="278">
        <v>46098.58333333334</v>
      </c>
      <c r="I3" s="277">
        <v>46105.58333333334</v>
      </c>
      <c r="J3" s="278">
        <v>46120.58333333334</v>
      </c>
      <c r="K3" s="277">
        <v>46127.58333333334</v>
      </c>
      <c r="L3" s="279">
        <v>46155.541666666664</v>
      </c>
      <c r="M3" s="279">
        <v>46162.541666666664</v>
      </c>
      <c r="N3" s="279">
        <v>46169.541666666664</v>
      </c>
      <c r="O3" s="280">
        <v>46176.541666666664</v>
      </c>
      <c r="P3" s="280">
        <v>46183.541666666664</v>
      </c>
      <c r="Q3" s="279">
        <v>46190.541666666664</v>
      </c>
      <c r="R3" s="280">
        <v>46197.541666666664</v>
      </c>
      <c r="S3" s="280">
        <v>46211.583333333336</v>
      </c>
      <c r="T3" s="277"/>
      <c r="U3" s="278"/>
      <c r="V3" s="281"/>
      <c r="W3" s="282">
        <f t="shared" si="1"/>
        <v>46211.58333</v>
      </c>
      <c r="X3" s="283"/>
      <c r="Y3" s="283"/>
      <c r="Z3" s="235"/>
      <c r="AA3" s="43"/>
    </row>
    <row r="4" ht="15.75" hidden="1" customHeight="1">
      <c r="A4" s="265" t="s">
        <v>224</v>
      </c>
      <c r="B4" s="266" t="str">
        <f>IFERROR(VLOOKUP(A4&amp;"", STUDENTS!A:B, 2, 0), "")</f>
        <v>VŨ TÚ ANH</v>
      </c>
      <c r="C4" s="104" t="s">
        <v>52</v>
      </c>
      <c r="D4" s="104" t="str">
        <f>IFERROR(VLOOKUP(C4, PIC!A:B, 2, 0), "")</f>
        <v>Anh Vu</v>
      </c>
      <c r="E4" s="105" t="s">
        <v>25</v>
      </c>
      <c r="F4" s="267">
        <v>46084.54166666666</v>
      </c>
      <c r="G4" s="268">
        <v>46091.58333333334</v>
      </c>
      <c r="H4" s="268">
        <v>46098.58333333334</v>
      </c>
      <c r="I4" s="267">
        <v>46105.58333333334</v>
      </c>
      <c r="J4" s="268">
        <v>46120.58333333334</v>
      </c>
      <c r="K4" s="267">
        <v>46127.58333333334</v>
      </c>
      <c r="L4" s="269">
        <v>46155.541666666664</v>
      </c>
      <c r="M4" s="269">
        <v>46162.541666666664</v>
      </c>
      <c r="N4" s="269">
        <v>46169.541666666664</v>
      </c>
      <c r="O4" s="270">
        <v>46176.541666666664</v>
      </c>
      <c r="P4" s="270">
        <v>46183.541666666664</v>
      </c>
      <c r="Q4" s="269">
        <v>46190.541666666664</v>
      </c>
      <c r="R4" s="270">
        <v>46197.541666666664</v>
      </c>
      <c r="S4" s="270">
        <v>46211.583333333336</v>
      </c>
      <c r="T4" s="267"/>
      <c r="U4" s="268"/>
      <c r="V4" s="271"/>
      <c r="W4" s="272">
        <f t="shared" si="1"/>
        <v>46211.58333</v>
      </c>
      <c r="X4" s="273"/>
      <c r="Y4" s="273"/>
      <c r="Z4" s="235"/>
      <c r="AA4" s="43"/>
    </row>
    <row r="5" ht="15.75" hidden="1" customHeight="1">
      <c r="A5" s="275" t="s">
        <v>656</v>
      </c>
      <c r="B5" s="276" t="str">
        <f>IFERROR(VLOOKUP(A5&amp;"", STUDENTS!A:B, 2, 0), "")</f>
        <v>LÊ THỊ THU HIỀN</v>
      </c>
      <c r="C5" s="122" t="s">
        <v>52</v>
      </c>
      <c r="D5" s="122" t="str">
        <f>IFERROR(VLOOKUP(C5, PIC!A:B, 2, 0), "")</f>
        <v>Anh Vu</v>
      </c>
      <c r="E5" s="123" t="s">
        <v>22</v>
      </c>
      <c r="F5" s="277" t="s">
        <v>1162</v>
      </c>
      <c r="G5" s="278">
        <v>45712.45833333334</v>
      </c>
      <c r="H5" s="278">
        <v>45763.58333333334</v>
      </c>
      <c r="I5" s="277">
        <v>45770.54166666666</v>
      </c>
      <c r="J5" s="278">
        <v>45784.45833333334</v>
      </c>
      <c r="K5" s="277">
        <v>45819.58333333334</v>
      </c>
      <c r="L5" s="278">
        <v>45824.54166666666</v>
      </c>
      <c r="M5" s="278">
        <v>45831.54166666666</v>
      </c>
      <c r="N5" s="277">
        <v>45840.54166666666</v>
      </c>
      <c r="O5" s="277">
        <v>45867.41666666666</v>
      </c>
      <c r="P5" s="277"/>
      <c r="Q5" s="277"/>
      <c r="R5" s="277"/>
      <c r="S5" s="277"/>
      <c r="T5" s="277"/>
      <c r="U5" s="278"/>
      <c r="V5" s="281"/>
      <c r="W5" s="282">
        <f t="shared" si="1"/>
        <v>45867.41667</v>
      </c>
      <c r="X5" s="283"/>
      <c r="Y5" s="283"/>
      <c r="Z5" s="235"/>
      <c r="AA5" s="43"/>
    </row>
    <row r="6" ht="15.75" hidden="1" customHeight="1">
      <c r="A6" s="265" t="s">
        <v>660</v>
      </c>
      <c r="B6" s="266" t="str">
        <f>IFERROR(VLOOKUP(A6&amp;"", STUDENTS!A:B, 2, 0), "")</f>
        <v>LÝ THỊ DIỄM MY</v>
      </c>
      <c r="C6" s="104" t="s">
        <v>52</v>
      </c>
      <c r="D6" s="104" t="str">
        <f>IFERROR(VLOOKUP(C6, PIC!A:B, 2, 0), "")</f>
        <v>Anh Vu</v>
      </c>
      <c r="E6" s="105" t="s">
        <v>22</v>
      </c>
      <c r="F6" s="267" t="s">
        <v>1162</v>
      </c>
      <c r="G6" s="267" t="s">
        <v>1162</v>
      </c>
      <c r="H6" s="268">
        <v>45763.58333333334</v>
      </c>
      <c r="I6" s="267">
        <v>45770.54166666666</v>
      </c>
      <c r="J6" s="268">
        <v>45784.45833333334</v>
      </c>
      <c r="K6" s="267">
        <v>45819.58333333334</v>
      </c>
      <c r="L6" s="268">
        <v>45824.54166666666</v>
      </c>
      <c r="M6" s="268">
        <v>45831.54166666666</v>
      </c>
      <c r="N6" s="267">
        <v>45840.54166666666</v>
      </c>
      <c r="O6" s="267">
        <v>45867.41666666666</v>
      </c>
      <c r="P6" s="267"/>
      <c r="Q6" s="267"/>
      <c r="R6" s="267"/>
      <c r="S6" s="267"/>
      <c r="T6" s="267"/>
      <c r="U6" s="268"/>
      <c r="V6" s="271"/>
      <c r="W6" s="272">
        <f t="shared" si="1"/>
        <v>45867.41667</v>
      </c>
      <c r="X6" s="273"/>
      <c r="Y6" s="273"/>
      <c r="Z6" s="235"/>
      <c r="AA6" s="43"/>
    </row>
    <row r="7" ht="15.75" hidden="1" customHeight="1">
      <c r="A7" s="275" t="s">
        <v>664</v>
      </c>
      <c r="B7" s="276" t="str">
        <f>IFERROR(VLOOKUP(A7&amp;"", STUDENTS!A:B, 2, 0), "")</f>
        <v>NGUYỄN THỊ NGỌC DUNG</v>
      </c>
      <c r="C7" s="122" t="s">
        <v>52</v>
      </c>
      <c r="D7" s="122" t="str">
        <f>IFERROR(VLOOKUP(C7, PIC!A:B, 2, 0), "")</f>
        <v>Anh Vu</v>
      </c>
      <c r="E7" s="123" t="s">
        <v>22</v>
      </c>
      <c r="F7" s="277">
        <v>45700.41666666666</v>
      </c>
      <c r="G7" s="278">
        <v>45712.45833333334</v>
      </c>
      <c r="H7" s="278">
        <v>45763.58333333334</v>
      </c>
      <c r="I7" s="277">
        <v>45770.54166666666</v>
      </c>
      <c r="J7" s="278">
        <v>45784.45833333334</v>
      </c>
      <c r="K7" s="277">
        <v>45819.58333333334</v>
      </c>
      <c r="L7" s="278">
        <v>45824.54166666666</v>
      </c>
      <c r="M7" s="278">
        <v>45831.54166666666</v>
      </c>
      <c r="N7" s="277">
        <v>45840.54166666666</v>
      </c>
      <c r="O7" s="277">
        <v>45867.41666666666</v>
      </c>
      <c r="P7" s="277"/>
      <c r="Q7" s="277"/>
      <c r="R7" s="277"/>
      <c r="S7" s="277"/>
      <c r="T7" s="277"/>
      <c r="U7" s="278"/>
      <c r="V7" s="281"/>
      <c r="W7" s="282">
        <f t="shared" si="1"/>
        <v>45867.41667</v>
      </c>
      <c r="X7" s="283"/>
      <c r="Y7" s="283"/>
      <c r="Z7" s="235"/>
      <c r="AA7" s="43"/>
    </row>
    <row r="8" ht="15.75" hidden="1" customHeight="1">
      <c r="A8" s="265" t="s">
        <v>220</v>
      </c>
      <c r="B8" s="266" t="str">
        <f>IFERROR(VLOOKUP(A8&amp;"", STUDENTS!A:B, 2, 0), "")</f>
        <v>TRẦN THỊ THANH NGA</v>
      </c>
      <c r="C8" s="104" t="s">
        <v>52</v>
      </c>
      <c r="D8" s="104" t="str">
        <f>IFERROR(VLOOKUP(C8, PIC!A:B, 2, 0), "")</f>
        <v>Anh Vu</v>
      </c>
      <c r="E8" s="105" t="s">
        <v>22</v>
      </c>
      <c r="F8" s="267">
        <v>45700.41666666666</v>
      </c>
      <c r="G8" s="268">
        <v>45712.45833333334</v>
      </c>
      <c r="H8" s="268">
        <v>45763.58333333334</v>
      </c>
      <c r="I8" s="267">
        <v>45770.54166666666</v>
      </c>
      <c r="J8" s="268">
        <v>45784.45833333334</v>
      </c>
      <c r="K8" s="267">
        <v>45819.58333333334</v>
      </c>
      <c r="L8" s="268">
        <v>45824.54166666666</v>
      </c>
      <c r="M8" s="268">
        <v>45831.54166666666</v>
      </c>
      <c r="N8" s="267">
        <v>45840.54166666666</v>
      </c>
      <c r="O8" s="267">
        <v>45867.41666666666</v>
      </c>
      <c r="P8" s="267"/>
      <c r="Q8" s="267"/>
      <c r="R8" s="267"/>
      <c r="S8" s="267"/>
      <c r="T8" s="267"/>
      <c r="U8" s="268"/>
      <c r="V8" s="271"/>
      <c r="W8" s="272">
        <f t="shared" si="1"/>
        <v>45867.41667</v>
      </c>
      <c r="X8" s="273"/>
      <c r="Y8" s="273"/>
      <c r="Z8" s="235"/>
      <c r="AA8" s="43"/>
    </row>
    <row r="9" ht="15.75" hidden="1" customHeight="1">
      <c r="A9" s="275" t="s">
        <v>222</v>
      </c>
      <c r="B9" s="276" t="str">
        <f>IFERROR(VLOOKUP(A9&amp;"", STUDENTS!A:B, 2, 0), "")</f>
        <v>TRẦN THỊ THÙY DUNG</v>
      </c>
      <c r="C9" s="122" t="s">
        <v>52</v>
      </c>
      <c r="D9" s="122" t="str">
        <f>IFERROR(VLOOKUP(C9, PIC!A:B, 2, 0), "")</f>
        <v>Anh Vu</v>
      </c>
      <c r="E9" s="123" t="s">
        <v>22</v>
      </c>
      <c r="F9" s="277">
        <v>45700.41666666666</v>
      </c>
      <c r="G9" s="278">
        <v>45712.45833333334</v>
      </c>
      <c r="H9" s="278">
        <v>45763.58333333334</v>
      </c>
      <c r="I9" s="277">
        <v>45770.54166666666</v>
      </c>
      <c r="J9" s="278">
        <v>45784.45833333334</v>
      </c>
      <c r="K9" s="277">
        <v>45819.58333333334</v>
      </c>
      <c r="L9" s="278">
        <v>45824.54166666666</v>
      </c>
      <c r="M9" s="278">
        <v>45831.54166666666</v>
      </c>
      <c r="N9" s="277">
        <v>45840.54166666666</v>
      </c>
      <c r="O9" s="277">
        <v>45867.41666666666</v>
      </c>
      <c r="P9" s="277"/>
      <c r="Q9" s="277"/>
      <c r="R9" s="277"/>
      <c r="S9" s="277"/>
      <c r="T9" s="277"/>
      <c r="U9" s="278"/>
      <c r="V9" s="281"/>
      <c r="W9" s="282">
        <f t="shared" si="1"/>
        <v>45867.41667</v>
      </c>
      <c r="X9" s="283"/>
      <c r="Y9" s="283"/>
      <c r="Z9" s="235"/>
      <c r="AA9" s="43"/>
    </row>
    <row r="10" ht="15.75" hidden="1" customHeight="1">
      <c r="A10" s="265" t="s">
        <v>224</v>
      </c>
      <c r="B10" s="266" t="str">
        <f>IFERROR(VLOOKUP(A10&amp;"", STUDENTS!A:B, 2, 0), "")</f>
        <v>VŨ TÚ ANH</v>
      </c>
      <c r="C10" s="104" t="s">
        <v>52</v>
      </c>
      <c r="D10" s="104" t="str">
        <f>IFERROR(VLOOKUP(C10, PIC!A:B, 2, 0), "")</f>
        <v>Anh Vu</v>
      </c>
      <c r="E10" s="105" t="s">
        <v>22</v>
      </c>
      <c r="F10" s="267">
        <v>45700.41666666666</v>
      </c>
      <c r="G10" s="268">
        <v>45712.45833333334</v>
      </c>
      <c r="H10" s="268">
        <v>45763.58333333334</v>
      </c>
      <c r="I10" s="267">
        <v>45770.54166666666</v>
      </c>
      <c r="J10" s="268">
        <v>45784.45833333334</v>
      </c>
      <c r="K10" s="267">
        <v>45819.58333333334</v>
      </c>
      <c r="L10" s="268">
        <v>45824.54166666666</v>
      </c>
      <c r="M10" s="268">
        <v>45831.54166666666</v>
      </c>
      <c r="N10" s="267">
        <v>45840.54166666666</v>
      </c>
      <c r="O10" s="267">
        <v>45867.41666666666</v>
      </c>
      <c r="P10" s="267"/>
      <c r="Q10" s="267"/>
      <c r="R10" s="267"/>
      <c r="S10" s="267"/>
      <c r="T10" s="267"/>
      <c r="U10" s="268"/>
      <c r="V10" s="271"/>
      <c r="W10" s="272">
        <f t="shared" si="1"/>
        <v>45867.41667</v>
      </c>
      <c r="X10" s="273"/>
      <c r="Y10" s="273"/>
      <c r="Z10" s="235"/>
      <c r="AA10" s="43"/>
    </row>
    <row r="11" ht="15.75" hidden="1" customHeight="1">
      <c r="A11" s="275" t="s">
        <v>656</v>
      </c>
      <c r="B11" s="276" t="str">
        <f>IFERROR(VLOOKUP(A11&amp;"", STUDENTS!A:B, 2, 0), "")</f>
        <v>LÊ THỊ THU HIỀN</v>
      </c>
      <c r="C11" s="122" t="s">
        <v>52</v>
      </c>
      <c r="D11" s="122" t="str">
        <f>IFERROR(VLOOKUP(C11, PIC!A:B, 2, 0), "")</f>
        <v>Anh Vu</v>
      </c>
      <c r="E11" s="123" t="s">
        <v>23</v>
      </c>
      <c r="F11" s="277">
        <v>45889.45833333334</v>
      </c>
      <c r="G11" s="278">
        <v>45896.45833333334</v>
      </c>
      <c r="H11" s="278"/>
      <c r="I11" s="277">
        <v>45922.54166666666</v>
      </c>
      <c r="J11" s="278">
        <v>45930.45833333334</v>
      </c>
      <c r="K11" s="277">
        <v>45937.45833333334</v>
      </c>
      <c r="L11" s="278">
        <v>45944.45833333334</v>
      </c>
      <c r="M11" s="278">
        <v>45950.45833333334</v>
      </c>
      <c r="N11" s="277">
        <v>45957.45833333334</v>
      </c>
      <c r="O11" s="277">
        <v>45965.45833333334</v>
      </c>
      <c r="P11" s="277">
        <v>45972.45833333334</v>
      </c>
      <c r="Q11" s="277">
        <v>45979.45833333334</v>
      </c>
      <c r="R11" s="277" t="s">
        <v>1162</v>
      </c>
      <c r="S11" s="277">
        <v>45993.41666666666</v>
      </c>
      <c r="T11" s="277">
        <v>46000.45833333334</v>
      </c>
      <c r="U11" s="278">
        <v>46042.41666666666</v>
      </c>
      <c r="V11" s="281"/>
      <c r="W11" s="282">
        <f t="shared" si="1"/>
        <v>46042.41667</v>
      </c>
      <c r="X11" s="283"/>
      <c r="Y11" s="283"/>
      <c r="Z11" s="235"/>
      <c r="AA11" s="43"/>
    </row>
    <row r="12" ht="15.75" hidden="1" customHeight="1">
      <c r="A12" s="265" t="s">
        <v>660</v>
      </c>
      <c r="B12" s="266" t="str">
        <f>IFERROR(VLOOKUP(A12&amp;"", STUDENTS!A:B, 2, 0), "")</f>
        <v>LÝ THỊ DIỄM MY</v>
      </c>
      <c r="C12" s="104" t="s">
        <v>52</v>
      </c>
      <c r="D12" s="104" t="str">
        <f>IFERROR(VLOOKUP(C12, PIC!A:B, 2, 0), "")</f>
        <v>Anh Vu</v>
      </c>
      <c r="E12" s="105" t="s">
        <v>23</v>
      </c>
      <c r="F12" s="267">
        <v>45889.45833333334</v>
      </c>
      <c r="G12" s="268">
        <v>45896.45833333334</v>
      </c>
      <c r="H12" s="268"/>
      <c r="I12" s="267">
        <v>45922.54166666666</v>
      </c>
      <c r="J12" s="268">
        <v>45930.45833333334</v>
      </c>
      <c r="K12" s="267">
        <v>45937.45833333334</v>
      </c>
      <c r="L12" s="268">
        <v>45944.45833333334</v>
      </c>
      <c r="M12" s="268">
        <v>45950.45833333334</v>
      </c>
      <c r="N12" s="267">
        <v>45957.45833333334</v>
      </c>
      <c r="O12" s="267">
        <v>45965.45833333334</v>
      </c>
      <c r="P12" s="267">
        <v>45972.45833333334</v>
      </c>
      <c r="Q12" s="267">
        <v>45979.45833333334</v>
      </c>
      <c r="R12" s="267">
        <v>45986.45833333334</v>
      </c>
      <c r="S12" s="267">
        <v>45993.41666666666</v>
      </c>
      <c r="T12" s="267">
        <v>46000.45833333334</v>
      </c>
      <c r="U12" s="268">
        <v>46042.41666666666</v>
      </c>
      <c r="V12" s="271"/>
      <c r="W12" s="272">
        <f t="shared" si="1"/>
        <v>46042.41667</v>
      </c>
      <c r="X12" s="273"/>
      <c r="Y12" s="273"/>
      <c r="Z12" s="235"/>
      <c r="AA12" s="43"/>
    </row>
    <row r="13" ht="15.75" hidden="1" customHeight="1">
      <c r="A13" s="275" t="s">
        <v>664</v>
      </c>
      <c r="B13" s="276" t="str">
        <f>IFERROR(VLOOKUP(A13&amp;"", STUDENTS!A:B, 2, 0), "")</f>
        <v>NGUYỄN THỊ NGỌC DUNG</v>
      </c>
      <c r="C13" s="122" t="s">
        <v>52</v>
      </c>
      <c r="D13" s="122" t="str">
        <f>IFERROR(VLOOKUP(C13, PIC!A:B, 2, 0), "")</f>
        <v>Anh Vu</v>
      </c>
      <c r="E13" s="123" t="s">
        <v>23</v>
      </c>
      <c r="F13" s="277">
        <v>45889.45833333334</v>
      </c>
      <c r="G13" s="278">
        <v>45896.45833333334</v>
      </c>
      <c r="H13" s="278"/>
      <c r="I13" s="277">
        <v>45922.54166666666</v>
      </c>
      <c r="J13" s="278">
        <v>45930.45833333334</v>
      </c>
      <c r="K13" s="277">
        <v>45937.45833333334</v>
      </c>
      <c r="L13" s="278">
        <v>45944.45833333334</v>
      </c>
      <c r="M13" s="278">
        <v>45950.45833333334</v>
      </c>
      <c r="N13" s="277">
        <v>45957.45833333334</v>
      </c>
      <c r="O13" s="277">
        <v>45965.45833333334</v>
      </c>
      <c r="P13" s="277">
        <v>45972.45833333334</v>
      </c>
      <c r="Q13" s="277">
        <v>45979.45833333334</v>
      </c>
      <c r="R13" s="277">
        <v>45986.45833333334</v>
      </c>
      <c r="S13" s="277">
        <v>45993.41666666666</v>
      </c>
      <c r="T13" s="277">
        <v>46000.45833333334</v>
      </c>
      <c r="U13" s="278">
        <v>46042.41666666666</v>
      </c>
      <c r="V13" s="281"/>
      <c r="W13" s="282">
        <f t="shared" si="1"/>
        <v>46042.41667</v>
      </c>
      <c r="X13" s="283"/>
      <c r="Y13" s="283"/>
      <c r="Z13" s="235"/>
      <c r="AA13" s="43"/>
    </row>
    <row r="14" ht="15.75" hidden="1" customHeight="1">
      <c r="A14" s="265" t="s">
        <v>220</v>
      </c>
      <c r="B14" s="266" t="str">
        <f>IFERROR(VLOOKUP(A14&amp;"", STUDENTS!A:B, 2, 0), "")</f>
        <v>TRẦN THỊ THANH NGA</v>
      </c>
      <c r="C14" s="104" t="s">
        <v>52</v>
      </c>
      <c r="D14" s="104" t="str">
        <f>IFERROR(VLOOKUP(C14, PIC!A:B, 2, 0), "")</f>
        <v>Anh Vu</v>
      </c>
      <c r="E14" s="105" t="s">
        <v>23</v>
      </c>
      <c r="F14" s="267">
        <v>45889.45833333334</v>
      </c>
      <c r="G14" s="268">
        <v>45896.45833333334</v>
      </c>
      <c r="H14" s="268"/>
      <c r="I14" s="267">
        <v>45922.54166666666</v>
      </c>
      <c r="J14" s="268">
        <v>45930.45833333334</v>
      </c>
      <c r="K14" s="267">
        <v>45937.45833333334</v>
      </c>
      <c r="L14" s="268">
        <v>45944.45833333334</v>
      </c>
      <c r="M14" s="268">
        <v>45950.45833333334</v>
      </c>
      <c r="N14" s="267">
        <v>45957.45833333334</v>
      </c>
      <c r="O14" s="267">
        <v>45965.45833333334</v>
      </c>
      <c r="P14" s="267">
        <v>45972.45833333334</v>
      </c>
      <c r="Q14" s="267">
        <v>45979.45833333334</v>
      </c>
      <c r="R14" s="267">
        <v>45986.45833333334</v>
      </c>
      <c r="S14" s="267">
        <v>45993.41666666666</v>
      </c>
      <c r="T14" s="267">
        <v>46000.45833333334</v>
      </c>
      <c r="U14" s="268">
        <v>46042.41666666666</v>
      </c>
      <c r="V14" s="271"/>
      <c r="W14" s="272">
        <f t="shared" si="1"/>
        <v>46042.41667</v>
      </c>
      <c r="X14" s="273"/>
      <c r="Y14" s="273"/>
      <c r="Z14" s="235"/>
      <c r="AA14" s="43"/>
    </row>
    <row r="15" ht="15.75" hidden="1" customHeight="1">
      <c r="A15" s="275" t="s">
        <v>222</v>
      </c>
      <c r="B15" s="276" t="str">
        <f>IFERROR(VLOOKUP(A15&amp;"", STUDENTS!A:B, 2, 0), "")</f>
        <v>TRẦN THỊ THÙY DUNG</v>
      </c>
      <c r="C15" s="122" t="s">
        <v>52</v>
      </c>
      <c r="D15" s="122" t="str">
        <f>IFERROR(VLOOKUP(C15, PIC!A:B, 2, 0), "")</f>
        <v>Anh Vu</v>
      </c>
      <c r="E15" s="123" t="s">
        <v>23</v>
      </c>
      <c r="F15" s="277">
        <v>45889.45833333334</v>
      </c>
      <c r="G15" s="278">
        <v>45896.45833333334</v>
      </c>
      <c r="H15" s="278"/>
      <c r="I15" s="277">
        <v>45922.54166666666</v>
      </c>
      <c r="J15" s="278">
        <v>45930.45833333334</v>
      </c>
      <c r="K15" s="277">
        <v>45937.45833333334</v>
      </c>
      <c r="L15" s="278">
        <v>45944.45833333334</v>
      </c>
      <c r="M15" s="278">
        <v>45950.45833333334</v>
      </c>
      <c r="N15" s="277">
        <v>45957.45833333334</v>
      </c>
      <c r="O15" s="277">
        <v>45965.45833333334</v>
      </c>
      <c r="P15" s="277">
        <v>45972.45833333334</v>
      </c>
      <c r="Q15" s="277">
        <v>45979.45833333334</v>
      </c>
      <c r="R15" s="277">
        <v>45986.45833333334</v>
      </c>
      <c r="S15" s="277">
        <v>45993.41666666666</v>
      </c>
      <c r="T15" s="277">
        <v>46000.45833333334</v>
      </c>
      <c r="U15" s="278">
        <v>46042.41666666666</v>
      </c>
      <c r="V15" s="281"/>
      <c r="W15" s="282">
        <f t="shared" si="1"/>
        <v>46042.41667</v>
      </c>
      <c r="X15" s="283"/>
      <c r="Y15" s="283"/>
      <c r="Z15" s="235"/>
      <c r="AA15" s="43"/>
    </row>
    <row r="16" ht="15.75" hidden="1" customHeight="1">
      <c r="A16" s="265" t="s">
        <v>224</v>
      </c>
      <c r="B16" s="266" t="str">
        <f>IFERROR(VLOOKUP(A16&amp;"", STUDENTS!A:B, 2, 0), "")</f>
        <v>VŨ TÚ ANH</v>
      </c>
      <c r="C16" s="104" t="s">
        <v>52</v>
      </c>
      <c r="D16" s="104" t="str">
        <f>IFERROR(VLOOKUP(C16, PIC!A:B, 2, 0), "")</f>
        <v>Anh Vu</v>
      </c>
      <c r="E16" s="105" t="s">
        <v>23</v>
      </c>
      <c r="F16" s="267">
        <v>45889.45833333334</v>
      </c>
      <c r="G16" s="268">
        <v>45896.45833333334</v>
      </c>
      <c r="H16" s="268"/>
      <c r="I16" s="267">
        <v>45922.54166666666</v>
      </c>
      <c r="J16" s="268">
        <v>45930.45833333334</v>
      </c>
      <c r="K16" s="267">
        <v>45937.45833333334</v>
      </c>
      <c r="L16" s="268">
        <v>45944.45833333334</v>
      </c>
      <c r="M16" s="268">
        <v>45950.45833333334</v>
      </c>
      <c r="N16" s="267">
        <v>45957.45833333334</v>
      </c>
      <c r="O16" s="267">
        <v>45965.45833333334</v>
      </c>
      <c r="P16" s="267">
        <v>45972.45833333334</v>
      </c>
      <c r="Q16" s="267">
        <v>45979.45833333334</v>
      </c>
      <c r="R16" s="267">
        <v>45986.45833333334</v>
      </c>
      <c r="S16" s="267">
        <v>45993.41666666666</v>
      </c>
      <c r="T16" s="267">
        <v>46000.45833333334</v>
      </c>
      <c r="U16" s="268">
        <v>46042.41666666666</v>
      </c>
      <c r="V16" s="271"/>
      <c r="W16" s="272">
        <f t="shared" si="1"/>
        <v>46042.41667</v>
      </c>
      <c r="X16" s="273"/>
      <c r="Y16" s="273"/>
      <c r="Z16" s="235"/>
      <c r="AA16" s="43"/>
    </row>
    <row r="17" ht="15.75" hidden="1" customHeight="1">
      <c r="A17" s="275" t="s">
        <v>240</v>
      </c>
      <c r="B17" s="276" t="str">
        <f>IFERROR(VLOOKUP(A17&amp;"", STUDENTS!A:B, 2, 0), "")</f>
        <v>ĐỖ CHÂU BỬU</v>
      </c>
      <c r="C17" s="122" t="s">
        <v>53</v>
      </c>
      <c r="D17" s="122" t="str">
        <f>IFERROR(VLOOKUP(C17, PIC!A:B, 2, 0), "")</f>
        <v>Buu Do 1</v>
      </c>
      <c r="E17" s="123" t="s">
        <v>22</v>
      </c>
      <c r="F17" s="277">
        <v>45715.41666666666</v>
      </c>
      <c r="G17" s="278">
        <v>45765.54166666666</v>
      </c>
      <c r="H17" s="278" t="s">
        <v>1162</v>
      </c>
      <c r="I17" s="277" t="s">
        <v>1162</v>
      </c>
      <c r="J17" s="278">
        <v>45793.54166666666</v>
      </c>
      <c r="K17" s="277">
        <v>45800.54166666666</v>
      </c>
      <c r="L17" s="278" t="s">
        <v>1162</v>
      </c>
      <c r="M17" s="278" t="s">
        <v>1162</v>
      </c>
      <c r="N17" s="277" t="s">
        <v>1162</v>
      </c>
      <c r="O17" s="277" t="s">
        <v>1162</v>
      </c>
      <c r="P17" s="277"/>
      <c r="Q17" s="277"/>
      <c r="R17" s="277"/>
      <c r="S17" s="277"/>
      <c r="T17" s="277"/>
      <c r="U17" s="278"/>
      <c r="V17" s="281"/>
      <c r="W17" s="282">
        <f t="shared" si="1"/>
        <v>45800.54167</v>
      </c>
      <c r="X17" s="283"/>
      <c r="Y17" s="283"/>
      <c r="Z17" s="235"/>
      <c r="AA17" s="43"/>
    </row>
    <row r="18" ht="15.75" hidden="1" customHeight="1">
      <c r="A18" s="265" t="s">
        <v>226</v>
      </c>
      <c r="B18" s="266" t="str">
        <f>IFERROR(VLOOKUP(A18&amp;"", STUDENTS!A:B, 2, 0), "")</f>
        <v>ĐOÀN TRẦN BÁ ĐẠT</v>
      </c>
      <c r="C18" s="104" t="s">
        <v>53</v>
      </c>
      <c r="D18" s="104" t="str">
        <f>IFERROR(VLOOKUP(C18, PIC!A:B, 2, 0), "")</f>
        <v>Buu Do 1</v>
      </c>
      <c r="E18" s="105" t="s">
        <v>22</v>
      </c>
      <c r="F18" s="267">
        <v>45715.41666666666</v>
      </c>
      <c r="G18" s="268">
        <v>45765.54166666666</v>
      </c>
      <c r="H18" s="268">
        <v>45771.58333333334</v>
      </c>
      <c r="I18" s="267">
        <v>45785.54166666666</v>
      </c>
      <c r="J18" s="268">
        <v>45793.54166666666</v>
      </c>
      <c r="K18" s="267">
        <v>45800.54166666666</v>
      </c>
      <c r="L18" s="268">
        <v>45827.58333333334</v>
      </c>
      <c r="M18" s="268">
        <v>45869.625</v>
      </c>
      <c r="N18" s="267">
        <v>45912.41666666666</v>
      </c>
      <c r="O18" s="267">
        <v>45954.375</v>
      </c>
      <c r="P18" s="267"/>
      <c r="Q18" s="267"/>
      <c r="R18" s="267"/>
      <c r="S18" s="267"/>
      <c r="T18" s="267"/>
      <c r="U18" s="268"/>
      <c r="V18" s="271"/>
      <c r="W18" s="272">
        <f t="shared" si="1"/>
        <v>45954.375</v>
      </c>
      <c r="X18" s="273"/>
      <c r="Y18" s="273"/>
      <c r="Z18" s="235"/>
      <c r="AA18" s="43"/>
    </row>
    <row r="19" ht="15.75" hidden="1" customHeight="1">
      <c r="A19" s="275" t="s">
        <v>228</v>
      </c>
      <c r="B19" s="276" t="str">
        <f>IFERROR(VLOOKUP(A19&amp;"", STUDENTS!A:B, 2, 0), "")</f>
        <v>NGÔ TRỌNG NGHĨA</v>
      </c>
      <c r="C19" s="122" t="s">
        <v>53</v>
      </c>
      <c r="D19" s="122" t="str">
        <f>IFERROR(VLOOKUP(C19, PIC!A:B, 2, 0), "")</f>
        <v>Buu Do 1</v>
      </c>
      <c r="E19" s="123" t="s">
        <v>22</v>
      </c>
      <c r="F19" s="277">
        <v>45715.45833333334</v>
      </c>
      <c r="G19" s="278">
        <v>45765.54166666666</v>
      </c>
      <c r="H19" s="278">
        <v>45771.58333333334</v>
      </c>
      <c r="I19" s="277" t="s">
        <v>1162</v>
      </c>
      <c r="J19" s="278">
        <v>45793.54166666666</v>
      </c>
      <c r="K19" s="277">
        <v>45800.54166666666</v>
      </c>
      <c r="L19" s="278">
        <v>45827.58333333334</v>
      </c>
      <c r="M19" s="278">
        <v>45869.625</v>
      </c>
      <c r="N19" s="277">
        <v>45912.41666666666</v>
      </c>
      <c r="O19" s="277">
        <v>45954.375</v>
      </c>
      <c r="P19" s="277"/>
      <c r="Q19" s="277"/>
      <c r="R19" s="277"/>
      <c r="S19" s="277"/>
      <c r="T19" s="277"/>
      <c r="U19" s="278"/>
      <c r="V19" s="281"/>
      <c r="W19" s="282">
        <f t="shared" si="1"/>
        <v>45954.375</v>
      </c>
      <c r="X19" s="283"/>
      <c r="Y19" s="283"/>
      <c r="Z19" s="235"/>
      <c r="AA19" s="43"/>
    </row>
    <row r="20" ht="15.75" hidden="1" customHeight="1">
      <c r="A20" s="265" t="s">
        <v>230</v>
      </c>
      <c r="B20" s="266" t="str">
        <f>IFERROR(VLOOKUP(A20&amp;"", STUDENTS!A:B, 2, 0), "")</f>
        <v>NGUYỄN VĂN HOÀNG</v>
      </c>
      <c r="C20" s="104" t="s">
        <v>53</v>
      </c>
      <c r="D20" s="104" t="str">
        <f>IFERROR(VLOOKUP(C20, PIC!A:B, 2, 0), "")</f>
        <v>Buu Do 1</v>
      </c>
      <c r="E20" s="105" t="s">
        <v>22</v>
      </c>
      <c r="F20" s="267">
        <v>45715.41666666666</v>
      </c>
      <c r="G20" s="268">
        <v>45765.54166666666</v>
      </c>
      <c r="H20" s="268">
        <v>45771.58333333334</v>
      </c>
      <c r="I20" s="267">
        <v>45785.54166666666</v>
      </c>
      <c r="J20" s="268" t="s">
        <v>1162</v>
      </c>
      <c r="K20" s="267">
        <v>45800.54166666666</v>
      </c>
      <c r="L20" s="268">
        <v>45827.58333333334</v>
      </c>
      <c r="M20" s="268" t="s">
        <v>1162</v>
      </c>
      <c r="N20" s="267" t="s">
        <v>1162</v>
      </c>
      <c r="O20" s="267" t="s">
        <v>1162</v>
      </c>
      <c r="P20" s="267"/>
      <c r="Q20" s="267"/>
      <c r="R20" s="267"/>
      <c r="S20" s="267"/>
      <c r="T20" s="267"/>
      <c r="U20" s="268"/>
      <c r="V20" s="271"/>
      <c r="W20" s="272">
        <f t="shared" si="1"/>
        <v>45827.58333</v>
      </c>
      <c r="X20" s="273"/>
      <c r="Y20" s="273"/>
      <c r="Z20" s="235"/>
      <c r="AA20" s="43"/>
    </row>
    <row r="21" ht="15.75" hidden="1" customHeight="1">
      <c r="A21" s="275" t="s">
        <v>232</v>
      </c>
      <c r="B21" s="276" t="str">
        <f>IFERROR(VLOOKUP(A21&amp;"", STUDENTS!A:B, 2, 0), "")</f>
        <v>TRẦN ĐỨC LỢI</v>
      </c>
      <c r="C21" s="122" t="s">
        <v>53</v>
      </c>
      <c r="D21" s="122" t="str">
        <f>IFERROR(VLOOKUP(C21, PIC!A:B, 2, 0), "")</f>
        <v>Buu Do 1</v>
      </c>
      <c r="E21" s="123" t="s">
        <v>22</v>
      </c>
      <c r="F21" s="277">
        <v>45715.41666666666</v>
      </c>
      <c r="G21" s="278">
        <v>45765.54166666666</v>
      </c>
      <c r="H21" s="278" t="s">
        <v>1162</v>
      </c>
      <c r="I21" s="277" t="s">
        <v>1162</v>
      </c>
      <c r="J21" s="278" t="s">
        <v>1162</v>
      </c>
      <c r="K21" s="277">
        <v>45800.54166666666</v>
      </c>
      <c r="L21" s="278">
        <v>45827.58333333334</v>
      </c>
      <c r="M21" s="278" t="s">
        <v>1162</v>
      </c>
      <c r="N21" s="277" t="s">
        <v>1162</v>
      </c>
      <c r="O21" s="277" t="s">
        <v>1162</v>
      </c>
      <c r="P21" s="277"/>
      <c r="Q21" s="277"/>
      <c r="R21" s="277"/>
      <c r="S21" s="277"/>
      <c r="T21" s="277"/>
      <c r="U21" s="278"/>
      <c r="V21" s="281"/>
      <c r="W21" s="282">
        <f t="shared" si="1"/>
        <v>45827.58333</v>
      </c>
      <c r="X21" s="283"/>
      <c r="Y21" s="283"/>
      <c r="Z21" s="235"/>
      <c r="AA21" s="43"/>
    </row>
    <row r="22" ht="15.75" hidden="1" customHeight="1">
      <c r="A22" s="265" t="s">
        <v>234</v>
      </c>
      <c r="B22" s="266" t="str">
        <f>IFERROR(VLOOKUP(A22&amp;"", STUDENTS!A:B, 2, 0), "")</f>
        <v>TRƯƠNG ĐĂNG QUANG</v>
      </c>
      <c r="C22" s="104" t="s">
        <v>53</v>
      </c>
      <c r="D22" s="104" t="str">
        <f>IFERROR(VLOOKUP(C22, PIC!A:B, 2, 0), "")</f>
        <v>Buu Do 1</v>
      </c>
      <c r="E22" s="105" t="s">
        <v>22</v>
      </c>
      <c r="F22" s="267">
        <v>45715.41666666666</v>
      </c>
      <c r="G22" s="268">
        <v>45765.54166666666</v>
      </c>
      <c r="H22" s="268">
        <v>45771.58333333334</v>
      </c>
      <c r="I22" s="267">
        <v>45785.54166666666</v>
      </c>
      <c r="J22" s="268">
        <v>45793.54166666666</v>
      </c>
      <c r="K22" s="267">
        <v>45800.54166666666</v>
      </c>
      <c r="L22" s="268" t="s">
        <v>1162</v>
      </c>
      <c r="M22" s="268">
        <v>45869.625</v>
      </c>
      <c r="N22" s="267">
        <v>45912.41666666666</v>
      </c>
      <c r="O22" s="267">
        <v>45954.375</v>
      </c>
      <c r="P22" s="267"/>
      <c r="Q22" s="267"/>
      <c r="R22" s="267"/>
      <c r="S22" s="267"/>
      <c r="T22" s="267"/>
      <c r="U22" s="268"/>
      <c r="V22" s="271"/>
      <c r="W22" s="272">
        <f t="shared" si="1"/>
        <v>45954.375</v>
      </c>
      <c r="X22" s="273"/>
      <c r="Y22" s="273"/>
      <c r="Z22" s="235"/>
      <c r="AA22" s="43"/>
    </row>
    <row r="23" ht="15.75" hidden="1" customHeight="1">
      <c r="A23" s="275" t="s">
        <v>236</v>
      </c>
      <c r="B23" s="276" t="str">
        <f>IFERROR(VLOOKUP(A23&amp;"", STUDENTS!A:B, 2, 0), "")</f>
        <v>VĂN TÂN LỢI</v>
      </c>
      <c r="C23" s="122" t="s">
        <v>53</v>
      </c>
      <c r="D23" s="122" t="str">
        <f>IFERROR(VLOOKUP(C23, PIC!A:B, 2, 0), "")</f>
        <v>Buu Do 1</v>
      </c>
      <c r="E23" s="123" t="s">
        <v>22</v>
      </c>
      <c r="F23" s="277">
        <v>45715.41666666666</v>
      </c>
      <c r="G23" s="278">
        <v>45765.54166666666</v>
      </c>
      <c r="H23" s="278">
        <v>45771.58333333334</v>
      </c>
      <c r="I23" s="277">
        <v>45785.54166666666</v>
      </c>
      <c r="J23" s="278">
        <v>45793.54166666666</v>
      </c>
      <c r="K23" s="277">
        <v>45800.54166666666</v>
      </c>
      <c r="L23" s="278" t="s">
        <v>1162</v>
      </c>
      <c r="M23" s="278">
        <v>45869.625</v>
      </c>
      <c r="N23" s="277">
        <v>45912.41666666666</v>
      </c>
      <c r="O23" s="277">
        <v>45954.375</v>
      </c>
      <c r="P23" s="277"/>
      <c r="Q23" s="277"/>
      <c r="R23" s="277"/>
      <c r="S23" s="277"/>
      <c r="T23" s="277"/>
      <c r="U23" s="278"/>
      <c r="V23" s="281"/>
      <c r="W23" s="282">
        <f t="shared" si="1"/>
        <v>45954.375</v>
      </c>
      <c r="X23" s="283"/>
      <c r="Y23" s="283"/>
      <c r="Z23" s="235"/>
      <c r="AA23" s="43"/>
    </row>
    <row r="24" ht="15.75" hidden="1" customHeight="1">
      <c r="A24" s="265" t="s">
        <v>238</v>
      </c>
      <c r="B24" s="266" t="str">
        <f>IFERROR(VLOOKUP(A24&amp;"", STUDENTS!A:B, 2, 0), "")</f>
        <v>VÕ PHÚ PHÁT</v>
      </c>
      <c r="C24" s="104" t="s">
        <v>53</v>
      </c>
      <c r="D24" s="104" t="str">
        <f>IFERROR(VLOOKUP(C24, PIC!A:B, 2, 0), "")</f>
        <v>Buu Do 1</v>
      </c>
      <c r="E24" s="105" t="s">
        <v>22</v>
      </c>
      <c r="F24" s="267">
        <v>45715.41666666666</v>
      </c>
      <c r="G24" s="268">
        <v>45765.54166666666</v>
      </c>
      <c r="H24" s="268">
        <v>45771.58333333334</v>
      </c>
      <c r="I24" s="267">
        <v>45785.54166666666</v>
      </c>
      <c r="J24" s="268">
        <v>45793.54166666666</v>
      </c>
      <c r="K24" s="267">
        <v>45800.54166666666</v>
      </c>
      <c r="L24" s="268">
        <v>45827.58333333334</v>
      </c>
      <c r="M24" s="268">
        <v>45869.625</v>
      </c>
      <c r="N24" s="267">
        <v>45912.41666666666</v>
      </c>
      <c r="O24" s="267">
        <v>45954.375</v>
      </c>
      <c r="P24" s="267"/>
      <c r="Q24" s="267"/>
      <c r="R24" s="267"/>
      <c r="S24" s="267"/>
      <c r="T24" s="267"/>
      <c r="U24" s="268"/>
      <c r="V24" s="271"/>
      <c r="W24" s="272">
        <f t="shared" si="1"/>
        <v>45954.375</v>
      </c>
      <c r="X24" s="273"/>
      <c r="Y24" s="273"/>
      <c r="Z24" s="235"/>
      <c r="AA24" s="43"/>
    </row>
    <row r="25" ht="15.75" hidden="1" customHeight="1">
      <c r="A25" s="275" t="s">
        <v>316</v>
      </c>
      <c r="B25" s="276" t="str">
        <f>IFERROR(VLOOKUP(A25&amp;"", STUDENTS!A:B, 2, 0), "")</f>
        <v>NGÔ THỤY THANH NHƯ</v>
      </c>
      <c r="C25" s="122" t="s">
        <v>54</v>
      </c>
      <c r="D25" s="122" t="str">
        <f>IFERROR(VLOOKUP(C25, PIC!A:B, 2, 0), "")</f>
        <v>Buu Do 2</v>
      </c>
      <c r="E25" s="123" t="s">
        <v>22</v>
      </c>
      <c r="F25" s="277">
        <v>45715.45833333334</v>
      </c>
      <c r="G25" s="278" t="s">
        <v>1162</v>
      </c>
      <c r="H25" s="278">
        <v>45772.54166666666</v>
      </c>
      <c r="I25" s="277">
        <v>45793.58333333334</v>
      </c>
      <c r="J25" s="278">
        <v>45800.58333333334</v>
      </c>
      <c r="K25" s="277">
        <v>45813.58333333334</v>
      </c>
      <c r="L25" s="278">
        <v>45820.625</v>
      </c>
      <c r="M25" s="278">
        <v>45827.625</v>
      </c>
      <c r="N25" s="277">
        <v>45834.58333333334</v>
      </c>
      <c r="O25" s="277">
        <v>45882.54166666666</v>
      </c>
      <c r="P25" s="277"/>
      <c r="Q25" s="277"/>
      <c r="R25" s="277"/>
      <c r="S25" s="277"/>
      <c r="T25" s="277"/>
      <c r="U25" s="278"/>
      <c r="V25" s="281"/>
      <c r="W25" s="282">
        <f t="shared" si="1"/>
        <v>45882.54167</v>
      </c>
      <c r="X25" s="283"/>
      <c r="Y25" s="283"/>
      <c r="Z25" s="235"/>
      <c r="AA25" s="43"/>
    </row>
    <row r="26" ht="15.75" hidden="1" customHeight="1">
      <c r="A26" s="265" t="s">
        <v>242</v>
      </c>
      <c r="B26" s="266" t="str">
        <f>IFERROR(VLOOKUP(A26&amp;"", STUDENTS!A:B, 2, 0), "")</f>
        <v>NGUYỄN NGỌC NGUYỆT NGÂN</v>
      </c>
      <c r="C26" s="104" t="s">
        <v>54</v>
      </c>
      <c r="D26" s="104" t="str">
        <f>IFERROR(VLOOKUP(C26, PIC!A:B, 2, 0), "")</f>
        <v>Buu Do 2</v>
      </c>
      <c r="E26" s="105" t="s">
        <v>22</v>
      </c>
      <c r="F26" s="267">
        <v>45715.45833333334</v>
      </c>
      <c r="G26" s="268">
        <v>45763.45833333334</v>
      </c>
      <c r="H26" s="268">
        <v>45772.54166666666</v>
      </c>
      <c r="I26" s="267">
        <v>45793.58333333334</v>
      </c>
      <c r="J26" s="268">
        <v>45800.58333333334</v>
      </c>
      <c r="K26" s="267">
        <v>45813.58333333334</v>
      </c>
      <c r="L26" s="268">
        <v>45820.625</v>
      </c>
      <c r="M26" s="268" t="s">
        <v>1162</v>
      </c>
      <c r="N26" s="267">
        <v>45834.58333333334</v>
      </c>
      <c r="O26" s="267">
        <v>45882.54166666666</v>
      </c>
      <c r="P26" s="267"/>
      <c r="Q26" s="267"/>
      <c r="R26" s="267"/>
      <c r="S26" s="267"/>
      <c r="T26" s="267"/>
      <c r="U26" s="268"/>
      <c r="V26" s="271"/>
      <c r="W26" s="272">
        <f t="shared" si="1"/>
        <v>45882.54167</v>
      </c>
      <c r="X26" s="273"/>
      <c r="Y26" s="273"/>
      <c r="Z26" s="235"/>
      <c r="AA26" s="43"/>
    </row>
    <row r="27" ht="15.75" hidden="1" customHeight="1">
      <c r="A27" s="275" t="s">
        <v>318</v>
      </c>
      <c r="B27" s="276" t="str">
        <f>IFERROR(VLOOKUP(A27&amp;"", STUDENTS!A:B, 2, 0), "")</f>
        <v>NGUYỄN THỊ HIỀN NI</v>
      </c>
      <c r="C27" s="122" t="s">
        <v>54</v>
      </c>
      <c r="D27" s="122" t="str">
        <f>IFERROR(VLOOKUP(C27, PIC!A:B, 2, 0), "")</f>
        <v>Buu Do 2</v>
      </c>
      <c r="E27" s="123" t="s">
        <v>22</v>
      </c>
      <c r="F27" s="277" t="s">
        <v>1162</v>
      </c>
      <c r="G27" s="278">
        <v>45763.45833333334</v>
      </c>
      <c r="H27" s="278">
        <v>45772.54166666666</v>
      </c>
      <c r="I27" s="277" t="s">
        <v>1162</v>
      </c>
      <c r="J27" s="278">
        <v>45800.58333333334</v>
      </c>
      <c r="K27" s="277">
        <v>45813.58333333334</v>
      </c>
      <c r="L27" s="278">
        <v>45820.625</v>
      </c>
      <c r="M27" s="278">
        <v>45827.625</v>
      </c>
      <c r="N27" s="277">
        <v>45834.58333333334</v>
      </c>
      <c r="O27" s="277">
        <v>45882.54166666666</v>
      </c>
      <c r="P27" s="277"/>
      <c r="Q27" s="277"/>
      <c r="R27" s="277"/>
      <c r="S27" s="277"/>
      <c r="T27" s="277"/>
      <c r="U27" s="278"/>
      <c r="V27" s="281"/>
      <c r="W27" s="282">
        <f t="shared" si="1"/>
        <v>45882.54167</v>
      </c>
      <c r="X27" s="283"/>
      <c r="Y27" s="283"/>
      <c r="Z27" s="235"/>
      <c r="AA27" s="43"/>
    </row>
    <row r="28" ht="15.75" hidden="1" customHeight="1">
      <c r="A28" s="265" t="s">
        <v>417</v>
      </c>
      <c r="B28" s="266" t="str">
        <f>IFERROR(VLOOKUP(A28&amp;"", STUDENTS!A:B, 2, 0), "")</f>
        <v>PHẠM LÊ HOÀI PHƯƠNG</v>
      </c>
      <c r="C28" s="104" t="s">
        <v>54</v>
      </c>
      <c r="D28" s="104" t="str">
        <f>IFERROR(VLOOKUP(C28, PIC!A:B, 2, 0), "")</f>
        <v>Buu Do 2</v>
      </c>
      <c r="E28" s="105" t="s">
        <v>22</v>
      </c>
      <c r="F28" s="267">
        <v>45715.45833333334</v>
      </c>
      <c r="G28" s="268">
        <v>45763.45833333334</v>
      </c>
      <c r="H28" s="268">
        <v>45772.54166666666</v>
      </c>
      <c r="I28" s="267">
        <v>45793.58333333334</v>
      </c>
      <c r="J28" s="268">
        <v>45800.58333333334</v>
      </c>
      <c r="K28" s="267">
        <v>45813.625</v>
      </c>
      <c r="L28" s="268">
        <v>45820.625</v>
      </c>
      <c r="M28" s="268">
        <v>45827.625</v>
      </c>
      <c r="N28" s="267">
        <v>45834.58333333334</v>
      </c>
      <c r="O28" s="267">
        <v>45882.54166666666</v>
      </c>
      <c r="P28" s="267"/>
      <c r="Q28" s="267"/>
      <c r="R28" s="267"/>
      <c r="S28" s="267"/>
      <c r="T28" s="267"/>
      <c r="U28" s="268"/>
      <c r="V28" s="271"/>
      <c r="W28" s="272">
        <f t="shared" si="1"/>
        <v>45882.54167</v>
      </c>
      <c r="X28" s="273"/>
      <c r="Y28" s="273"/>
      <c r="Z28" s="235"/>
      <c r="AA28" s="43"/>
    </row>
    <row r="29" ht="15.75" hidden="1" customHeight="1">
      <c r="A29" s="275" t="s">
        <v>244</v>
      </c>
      <c r="B29" s="276" t="str">
        <f>IFERROR(VLOOKUP(A29&amp;"", STUDENTS!A:B, 2, 0), "")</f>
        <v>PHAN HỮU CƯỜNG</v>
      </c>
      <c r="C29" s="122" t="s">
        <v>54</v>
      </c>
      <c r="D29" s="122" t="str">
        <f>IFERROR(VLOOKUP(C29, PIC!A:B, 2, 0), "")</f>
        <v>Buu Do 2</v>
      </c>
      <c r="E29" s="123" t="s">
        <v>22</v>
      </c>
      <c r="F29" s="277">
        <v>45715.45833333334</v>
      </c>
      <c r="G29" s="278">
        <v>45763.45833333334</v>
      </c>
      <c r="H29" s="278">
        <v>45772.54166666666</v>
      </c>
      <c r="I29" s="277" t="s">
        <v>1162</v>
      </c>
      <c r="J29" s="278">
        <v>45800.58333333334</v>
      </c>
      <c r="K29" s="277">
        <v>45813.58333333334</v>
      </c>
      <c r="L29" s="278">
        <v>45820.625</v>
      </c>
      <c r="M29" s="278">
        <v>45827.625</v>
      </c>
      <c r="N29" s="277">
        <v>45834.58333333334</v>
      </c>
      <c r="O29" s="277">
        <v>45882.54166666666</v>
      </c>
      <c r="P29" s="277"/>
      <c r="Q29" s="277"/>
      <c r="R29" s="277"/>
      <c r="S29" s="277"/>
      <c r="T29" s="277"/>
      <c r="U29" s="278"/>
      <c r="V29" s="281"/>
      <c r="W29" s="282">
        <f t="shared" si="1"/>
        <v>45882.54167</v>
      </c>
      <c r="X29" s="283"/>
      <c r="Y29" s="283"/>
      <c r="Z29" s="235"/>
      <c r="AA29" s="43"/>
    </row>
    <row r="30" ht="15.75" hidden="1" customHeight="1">
      <c r="A30" s="265" t="s">
        <v>246</v>
      </c>
      <c r="B30" s="266" t="str">
        <f>IFERROR(VLOOKUP(A30&amp;"", STUDENTS!A:B, 2, 0), "")</f>
        <v>BÙI NGỌC QUỐC</v>
      </c>
      <c r="C30" s="104" t="s">
        <v>55</v>
      </c>
      <c r="D30" s="104" t="str">
        <f>IFERROR(VLOOKUP(C30, PIC!A:B, 2, 0), "")</f>
        <v>Cuong Nguyen</v>
      </c>
      <c r="E30" s="105" t="s">
        <v>22</v>
      </c>
      <c r="F30" s="267" t="s">
        <v>1162</v>
      </c>
      <c r="G30" s="268">
        <v>45665.375</v>
      </c>
      <c r="H30" s="268">
        <v>45679.41666666666</v>
      </c>
      <c r="I30" s="267" t="s">
        <v>1162</v>
      </c>
      <c r="J30" s="268">
        <v>45702.58333333334</v>
      </c>
      <c r="K30" s="267" t="s">
        <v>1162</v>
      </c>
      <c r="L30" s="268">
        <v>45716.375</v>
      </c>
      <c r="M30" s="268">
        <v>45764.375</v>
      </c>
      <c r="N30" s="267" t="s">
        <v>1162</v>
      </c>
      <c r="O30" s="267">
        <v>45820.375</v>
      </c>
      <c r="P30" s="267"/>
      <c r="Q30" s="267"/>
      <c r="R30" s="267"/>
      <c r="S30" s="267"/>
      <c r="T30" s="267"/>
      <c r="U30" s="268"/>
      <c r="V30" s="271"/>
      <c r="W30" s="272">
        <f t="shared" si="1"/>
        <v>45820.375</v>
      </c>
      <c r="X30" s="273"/>
      <c r="Y30" s="273"/>
      <c r="Z30" s="235"/>
      <c r="AA30" s="43"/>
    </row>
    <row r="31" ht="15.75" hidden="1" customHeight="1">
      <c r="A31" s="275" t="s">
        <v>248</v>
      </c>
      <c r="B31" s="276" t="str">
        <f>IFERROR(VLOOKUP(A31&amp;"", STUDENTS!A:B, 2, 0), "")</f>
        <v>ĐẶNG QUỐC MẠNH</v>
      </c>
      <c r="C31" s="122" t="s">
        <v>55</v>
      </c>
      <c r="D31" s="122" t="str">
        <f>IFERROR(VLOOKUP(C31, PIC!A:B, 2, 0), "")</f>
        <v>Cuong Nguyen</v>
      </c>
      <c r="E31" s="123" t="s">
        <v>22</v>
      </c>
      <c r="F31" s="277">
        <v>45639.58333333334</v>
      </c>
      <c r="G31" s="278">
        <v>45672.41666666666</v>
      </c>
      <c r="H31" s="278" t="s">
        <v>1162</v>
      </c>
      <c r="I31" s="277" t="s">
        <v>1162</v>
      </c>
      <c r="J31" s="278">
        <v>45716.375</v>
      </c>
      <c r="K31" s="277">
        <v>45764.375</v>
      </c>
      <c r="L31" s="278">
        <v>45769.375</v>
      </c>
      <c r="M31" s="278">
        <v>45785.41666666666</v>
      </c>
      <c r="N31" s="277" t="s">
        <v>1162</v>
      </c>
      <c r="O31" s="277">
        <v>45820.375</v>
      </c>
      <c r="P31" s="277"/>
      <c r="Q31" s="277"/>
      <c r="R31" s="277"/>
      <c r="S31" s="277"/>
      <c r="T31" s="277"/>
      <c r="U31" s="278"/>
      <c r="V31" s="281"/>
      <c r="W31" s="282">
        <f t="shared" si="1"/>
        <v>45820.375</v>
      </c>
      <c r="X31" s="283"/>
      <c r="Y31" s="283"/>
      <c r="Z31" s="235"/>
      <c r="AA31" s="43"/>
    </row>
    <row r="32" ht="15.75" hidden="1" customHeight="1">
      <c r="A32" s="265" t="s">
        <v>250</v>
      </c>
      <c r="B32" s="266" t="str">
        <f>IFERROR(VLOOKUP(A32&amp;"", STUDENTS!A:B, 2, 0), "")</f>
        <v>HOÀNG XUÂN MẪN</v>
      </c>
      <c r="C32" s="104" t="s">
        <v>55</v>
      </c>
      <c r="D32" s="104" t="str">
        <f>IFERROR(VLOOKUP(C32, PIC!A:B, 2, 0), "")</f>
        <v>Cuong Nguyen</v>
      </c>
      <c r="E32" s="105" t="s">
        <v>22</v>
      </c>
      <c r="F32" s="267">
        <v>45639.58333333334</v>
      </c>
      <c r="G32" s="268">
        <v>45665.375</v>
      </c>
      <c r="H32" s="268">
        <v>45679.41666666666</v>
      </c>
      <c r="I32" s="267">
        <v>45709.375</v>
      </c>
      <c r="J32" s="268" t="s">
        <v>1162</v>
      </c>
      <c r="K32" s="267" t="s">
        <v>1162</v>
      </c>
      <c r="L32" s="268">
        <v>45769.375</v>
      </c>
      <c r="M32" s="268" t="s">
        <v>1162</v>
      </c>
      <c r="N32" s="267">
        <v>45792.41666666666</v>
      </c>
      <c r="O32" s="267">
        <v>45820.375</v>
      </c>
      <c r="P32" s="267"/>
      <c r="Q32" s="267"/>
      <c r="R32" s="267"/>
      <c r="S32" s="267"/>
      <c r="T32" s="267"/>
      <c r="U32" s="268"/>
      <c r="V32" s="271"/>
      <c r="W32" s="272">
        <f t="shared" si="1"/>
        <v>45820.375</v>
      </c>
      <c r="X32" s="273"/>
      <c r="Y32" s="273"/>
      <c r="Z32" s="235"/>
      <c r="AA32" s="43"/>
    </row>
    <row r="33" ht="15.75" hidden="1" customHeight="1">
      <c r="A33" s="275" t="s">
        <v>252</v>
      </c>
      <c r="B33" s="276" t="str">
        <f>IFERROR(VLOOKUP(A33&amp;"", STUDENTS!A:B, 2, 0), "")</f>
        <v>HUỲNH TUẤN KHANH</v>
      </c>
      <c r="C33" s="122" t="s">
        <v>55</v>
      </c>
      <c r="D33" s="122" t="str">
        <f>IFERROR(VLOOKUP(C33, PIC!A:B, 2, 0), "")</f>
        <v>Cuong Nguyen</v>
      </c>
      <c r="E33" s="123" t="s">
        <v>22</v>
      </c>
      <c r="F33" s="277">
        <v>45639.58333333334</v>
      </c>
      <c r="G33" s="278">
        <v>45672.41666666666</v>
      </c>
      <c r="H33" s="278">
        <v>45702.58333333334</v>
      </c>
      <c r="I33" s="277">
        <v>45709.375</v>
      </c>
      <c r="J33" s="278">
        <v>45716.375</v>
      </c>
      <c r="K33" s="277">
        <v>45764.375</v>
      </c>
      <c r="L33" s="278">
        <v>45769.375</v>
      </c>
      <c r="M33" s="278">
        <v>45785.41666666666</v>
      </c>
      <c r="N33" s="277">
        <v>45792.41666666666</v>
      </c>
      <c r="O33" s="277">
        <v>45820.375</v>
      </c>
      <c r="P33" s="277"/>
      <c r="Q33" s="277"/>
      <c r="R33" s="277"/>
      <c r="S33" s="277"/>
      <c r="T33" s="277"/>
      <c r="U33" s="278"/>
      <c r="V33" s="281"/>
      <c r="W33" s="282">
        <f t="shared" si="1"/>
        <v>45820.375</v>
      </c>
      <c r="X33" s="283"/>
      <c r="Y33" s="283"/>
      <c r="Z33" s="235"/>
      <c r="AA33" s="43"/>
    </row>
    <row r="34" ht="15.75" hidden="1" customHeight="1">
      <c r="A34" s="265" t="s">
        <v>254</v>
      </c>
      <c r="B34" s="266" t="str">
        <f>IFERROR(VLOOKUP(A34&amp;"", STUDENTS!A:B, 2, 0), "")</f>
        <v>NGUYỄN ĐÔNG HỒ</v>
      </c>
      <c r="C34" s="104" t="s">
        <v>55</v>
      </c>
      <c r="D34" s="104" t="str">
        <f>IFERROR(VLOOKUP(C34, PIC!A:B, 2, 0), "")</f>
        <v>Cuong Nguyen</v>
      </c>
      <c r="E34" s="105" t="s">
        <v>22</v>
      </c>
      <c r="F34" s="267">
        <v>45639.58333333334</v>
      </c>
      <c r="G34" s="268">
        <v>45672.41666666666</v>
      </c>
      <c r="H34" s="268">
        <v>45702.58333333334</v>
      </c>
      <c r="I34" s="267">
        <v>45709.375</v>
      </c>
      <c r="J34" s="268">
        <v>45716.375</v>
      </c>
      <c r="K34" s="267">
        <v>45764.375</v>
      </c>
      <c r="L34" s="268">
        <v>45769.375</v>
      </c>
      <c r="M34" s="268">
        <v>45785.41666666666</v>
      </c>
      <c r="N34" s="267" t="s">
        <v>1162</v>
      </c>
      <c r="O34" s="267">
        <v>45820.375</v>
      </c>
      <c r="P34" s="267"/>
      <c r="Q34" s="267"/>
      <c r="R34" s="267"/>
      <c r="S34" s="267"/>
      <c r="T34" s="267"/>
      <c r="U34" s="268"/>
      <c r="V34" s="271"/>
      <c r="W34" s="272">
        <f t="shared" si="1"/>
        <v>45820.375</v>
      </c>
      <c r="X34" s="273"/>
      <c r="Y34" s="273"/>
      <c r="Z34" s="235"/>
      <c r="AA34" s="43"/>
    </row>
    <row r="35" ht="15.75" hidden="1" customHeight="1">
      <c r="A35" s="275" t="s">
        <v>258</v>
      </c>
      <c r="B35" s="276" t="str">
        <f>IFERROR(VLOOKUP(A35&amp;"", STUDENTS!A:B, 2, 0), "")</f>
        <v>NGUYỄN VĂN MẠNH CƯỜNG</v>
      </c>
      <c r="C35" s="122" t="s">
        <v>55</v>
      </c>
      <c r="D35" s="122" t="str">
        <f>IFERROR(VLOOKUP(C35, PIC!A:B, 2, 0), "")</f>
        <v>Cuong Nguyen</v>
      </c>
      <c r="E35" s="123" t="s">
        <v>22</v>
      </c>
      <c r="F35" s="277">
        <v>45639.58333333334</v>
      </c>
      <c r="G35" s="278">
        <v>45672.41666666666</v>
      </c>
      <c r="H35" s="278">
        <v>45679.41666666666</v>
      </c>
      <c r="I35" s="277">
        <v>45709.375</v>
      </c>
      <c r="J35" s="278">
        <v>45716.375</v>
      </c>
      <c r="K35" s="277">
        <v>45764.375</v>
      </c>
      <c r="L35" s="278">
        <v>45769.375</v>
      </c>
      <c r="M35" s="278">
        <v>45785.41666666666</v>
      </c>
      <c r="N35" s="277">
        <v>45792.41666666666</v>
      </c>
      <c r="O35" s="277">
        <v>45820.375</v>
      </c>
      <c r="P35" s="277"/>
      <c r="Q35" s="277"/>
      <c r="R35" s="277"/>
      <c r="S35" s="277"/>
      <c r="T35" s="277"/>
      <c r="U35" s="278"/>
      <c r="V35" s="281"/>
      <c r="W35" s="282">
        <f t="shared" si="1"/>
        <v>45820.375</v>
      </c>
      <c r="X35" s="283"/>
      <c r="Y35" s="283"/>
      <c r="Z35" s="235"/>
      <c r="AA35" s="43"/>
    </row>
    <row r="36" ht="15.75" hidden="1" customHeight="1">
      <c r="A36" s="265" t="s">
        <v>373</v>
      </c>
      <c r="B36" s="266" t="str">
        <f>IFERROR(VLOOKUP(A36&amp;"", STUDENTS!A:B, 2, 0), "")</f>
        <v>PHAN CÔNG TOẠI</v>
      </c>
      <c r="C36" s="104" t="s">
        <v>55</v>
      </c>
      <c r="D36" s="104" t="str">
        <f>IFERROR(VLOOKUP(C36, PIC!A:B, 2, 0), "")</f>
        <v>Cuong Nguyen</v>
      </c>
      <c r="E36" s="105" t="s">
        <v>22</v>
      </c>
      <c r="F36" s="267">
        <v>45639.58333333334</v>
      </c>
      <c r="G36" s="268">
        <v>45672.41666666666</v>
      </c>
      <c r="H36" s="268" t="s">
        <v>1162</v>
      </c>
      <c r="I36" s="267">
        <v>45709.375</v>
      </c>
      <c r="J36" s="268">
        <v>45716.375</v>
      </c>
      <c r="K36" s="267">
        <v>45764.375</v>
      </c>
      <c r="L36" s="268">
        <v>45769.375</v>
      </c>
      <c r="M36" s="268">
        <v>45785.41666666666</v>
      </c>
      <c r="N36" s="267">
        <v>45792.41666666666</v>
      </c>
      <c r="O36" s="267">
        <v>45820.375</v>
      </c>
      <c r="P36" s="267"/>
      <c r="Q36" s="267"/>
      <c r="R36" s="267"/>
      <c r="S36" s="267"/>
      <c r="T36" s="267"/>
      <c r="U36" s="268"/>
      <c r="V36" s="271"/>
      <c r="W36" s="272">
        <f t="shared" si="1"/>
        <v>45820.375</v>
      </c>
      <c r="X36" s="273"/>
      <c r="Y36" s="273"/>
      <c r="Z36" s="235"/>
      <c r="AA36" s="43"/>
    </row>
    <row r="37" ht="15.75" hidden="1" customHeight="1">
      <c r="A37" s="275" t="s">
        <v>260</v>
      </c>
      <c r="B37" s="276" t="str">
        <f>IFERROR(VLOOKUP(A37&amp;"", STUDENTS!A:B, 2, 0), "")</f>
        <v>TRẦN KHANG</v>
      </c>
      <c r="C37" s="122" t="s">
        <v>55</v>
      </c>
      <c r="D37" s="122" t="str">
        <f>IFERROR(VLOOKUP(C37, PIC!A:B, 2, 0), "")</f>
        <v>Cuong Nguyen</v>
      </c>
      <c r="E37" s="123" t="s">
        <v>22</v>
      </c>
      <c r="F37" s="277">
        <v>45639.58333333334</v>
      </c>
      <c r="G37" s="278">
        <v>45665.375</v>
      </c>
      <c r="H37" s="278">
        <v>45679.41666666666</v>
      </c>
      <c r="I37" s="277">
        <v>45709.375</v>
      </c>
      <c r="J37" s="278" t="s">
        <v>1162</v>
      </c>
      <c r="K37" s="277">
        <v>45764.375</v>
      </c>
      <c r="L37" s="278">
        <v>45769.375</v>
      </c>
      <c r="M37" s="278" t="s">
        <v>1162</v>
      </c>
      <c r="N37" s="277">
        <v>45792.41666666666</v>
      </c>
      <c r="O37" s="277">
        <v>45820.375</v>
      </c>
      <c r="P37" s="277"/>
      <c r="Q37" s="277"/>
      <c r="R37" s="277"/>
      <c r="S37" s="277"/>
      <c r="T37" s="277"/>
      <c r="U37" s="278"/>
      <c r="V37" s="281"/>
      <c r="W37" s="282">
        <f t="shared" si="1"/>
        <v>45820.375</v>
      </c>
      <c r="X37" s="283"/>
      <c r="Y37" s="283"/>
      <c r="Z37" s="235"/>
      <c r="AA37" s="43"/>
    </row>
    <row r="38" ht="15.75" hidden="1" customHeight="1">
      <c r="A38" s="265" t="s">
        <v>262</v>
      </c>
      <c r="B38" s="266" t="str">
        <f>IFERROR(VLOOKUP(A38&amp;"", STUDENTS!A:B, 2, 0), "")</f>
        <v>VÕ ĐỒNG ĐỨC DUY</v>
      </c>
      <c r="C38" s="104" t="s">
        <v>55</v>
      </c>
      <c r="D38" s="104" t="str">
        <f>IFERROR(VLOOKUP(C38, PIC!A:B, 2, 0), "")</f>
        <v>Cuong Nguyen</v>
      </c>
      <c r="E38" s="105" t="s">
        <v>22</v>
      </c>
      <c r="F38" s="267">
        <v>45639.58333333334</v>
      </c>
      <c r="G38" s="268">
        <v>45672.41666666666</v>
      </c>
      <c r="H38" s="268">
        <v>45702.58333333334</v>
      </c>
      <c r="I38" s="267">
        <v>45709.375</v>
      </c>
      <c r="J38" s="268">
        <v>45716.375</v>
      </c>
      <c r="K38" s="267">
        <v>45764.375</v>
      </c>
      <c r="L38" s="268" t="s">
        <v>1162</v>
      </c>
      <c r="M38" s="268">
        <v>45785.41666666666</v>
      </c>
      <c r="N38" s="267">
        <v>45792.41666666666</v>
      </c>
      <c r="O38" s="267">
        <v>45820.375</v>
      </c>
      <c r="P38" s="267"/>
      <c r="Q38" s="267"/>
      <c r="R38" s="267"/>
      <c r="S38" s="267"/>
      <c r="T38" s="267"/>
      <c r="U38" s="268"/>
      <c r="V38" s="271"/>
      <c r="W38" s="272">
        <f t="shared" si="1"/>
        <v>45820.375</v>
      </c>
      <c r="X38" s="273"/>
      <c r="Y38" s="273"/>
      <c r="Z38" s="235"/>
      <c r="AA38" s="43"/>
    </row>
    <row r="39" ht="15.75" hidden="1" customHeight="1">
      <c r="A39" s="275" t="s">
        <v>246</v>
      </c>
      <c r="B39" s="276" t="str">
        <f>IFERROR(VLOOKUP(A39&amp;"", STUDENTS!A:B, 2, 0), "")</f>
        <v>BÙI NGỌC QUỐC</v>
      </c>
      <c r="C39" s="122" t="s">
        <v>55</v>
      </c>
      <c r="D39" s="122" t="str">
        <f>IFERROR(VLOOKUP(C39, PIC!A:B, 2, 0), "")</f>
        <v>Cuong Nguyen</v>
      </c>
      <c r="E39" s="123" t="s">
        <v>23</v>
      </c>
      <c r="F39" s="277">
        <v>45869.58333333334</v>
      </c>
      <c r="G39" s="278">
        <v>45881.375</v>
      </c>
      <c r="H39" s="278">
        <v>45890.375</v>
      </c>
      <c r="I39" s="277">
        <v>45897.625</v>
      </c>
      <c r="J39" s="278" t="s">
        <v>1162</v>
      </c>
      <c r="K39" s="277">
        <v>45909.375</v>
      </c>
      <c r="L39" s="278">
        <v>45917.375</v>
      </c>
      <c r="M39" s="278" t="s">
        <v>1162</v>
      </c>
      <c r="N39" s="277" t="s">
        <v>1162</v>
      </c>
      <c r="O39" s="277">
        <v>45939.375</v>
      </c>
      <c r="P39" s="277" t="s">
        <v>1162</v>
      </c>
      <c r="Q39" s="277">
        <v>45966.41666666666</v>
      </c>
      <c r="R39" s="277" t="s">
        <v>1162</v>
      </c>
      <c r="S39" s="277" t="s">
        <v>1162</v>
      </c>
      <c r="T39" s="277">
        <v>46035.41666666666</v>
      </c>
      <c r="U39" s="278">
        <v>46084.41666666666</v>
      </c>
      <c r="V39" s="281"/>
      <c r="W39" s="282">
        <f t="shared" si="1"/>
        <v>46084.41667</v>
      </c>
      <c r="X39" s="283"/>
      <c r="Y39" s="283"/>
      <c r="Z39" s="235"/>
      <c r="AA39" s="43"/>
    </row>
    <row r="40" ht="15.75" hidden="1" customHeight="1">
      <c r="A40" s="265" t="s">
        <v>248</v>
      </c>
      <c r="B40" s="266" t="str">
        <f>IFERROR(VLOOKUP(A40&amp;"", STUDENTS!A:B, 2, 0), "")</f>
        <v>ĐẶNG QUỐC MẠNH</v>
      </c>
      <c r="C40" s="104" t="s">
        <v>55</v>
      </c>
      <c r="D40" s="104" t="str">
        <f>IFERROR(VLOOKUP(C40, PIC!A:B, 2, 0), "")</f>
        <v>Cuong Nguyen</v>
      </c>
      <c r="E40" s="105" t="s">
        <v>23</v>
      </c>
      <c r="F40" s="267">
        <v>45869.58333333334</v>
      </c>
      <c r="G40" s="268">
        <v>45881.375</v>
      </c>
      <c r="H40" s="268" t="s">
        <v>1162</v>
      </c>
      <c r="I40" s="267">
        <v>45897.625</v>
      </c>
      <c r="J40" s="268" t="s">
        <v>1162</v>
      </c>
      <c r="K40" s="267">
        <v>45909.375</v>
      </c>
      <c r="L40" s="268">
        <v>45917.375</v>
      </c>
      <c r="M40" s="268">
        <v>45923.375</v>
      </c>
      <c r="N40" s="267" t="s">
        <v>1162</v>
      </c>
      <c r="O40" s="267">
        <v>45939.375</v>
      </c>
      <c r="P40" s="267">
        <v>45944.41666666666</v>
      </c>
      <c r="Q40" s="267" t="s">
        <v>1162</v>
      </c>
      <c r="R40" s="267">
        <v>46007.41666666666</v>
      </c>
      <c r="S40" s="267" t="s">
        <v>1162</v>
      </c>
      <c r="T40" s="267">
        <v>46035.41666666666</v>
      </c>
      <c r="U40" s="268">
        <v>46084.41666666666</v>
      </c>
      <c r="V40" s="271"/>
      <c r="W40" s="272">
        <f t="shared" si="1"/>
        <v>46084.41667</v>
      </c>
      <c r="X40" s="273"/>
      <c r="Y40" s="273"/>
      <c r="Z40" s="235"/>
      <c r="AA40" s="43"/>
    </row>
    <row r="41" ht="15.75" hidden="1" customHeight="1">
      <c r="A41" s="275" t="s">
        <v>250</v>
      </c>
      <c r="B41" s="276" t="str">
        <f>IFERROR(VLOOKUP(A41&amp;"", STUDENTS!A:B, 2, 0), "")</f>
        <v>HOÀNG XUÂN MẪN</v>
      </c>
      <c r="C41" s="122" t="s">
        <v>55</v>
      </c>
      <c r="D41" s="122" t="str">
        <f>IFERROR(VLOOKUP(C41, PIC!A:B, 2, 0), "")</f>
        <v>Cuong Nguyen</v>
      </c>
      <c r="E41" s="123" t="s">
        <v>23</v>
      </c>
      <c r="F41" s="277">
        <v>45869.58333333334</v>
      </c>
      <c r="G41" s="278">
        <v>45881.375</v>
      </c>
      <c r="H41" s="278" t="s">
        <v>1162</v>
      </c>
      <c r="I41" s="277" t="s">
        <v>1162</v>
      </c>
      <c r="J41" s="278">
        <v>45904.375</v>
      </c>
      <c r="K41" s="277">
        <v>45909.375</v>
      </c>
      <c r="L41" s="278">
        <v>45917.375</v>
      </c>
      <c r="M41" s="278">
        <v>45923.375</v>
      </c>
      <c r="N41" s="277">
        <v>45932.375</v>
      </c>
      <c r="O41" s="277">
        <v>45939.375</v>
      </c>
      <c r="P41" s="277">
        <v>45944.41666666666</v>
      </c>
      <c r="Q41" s="277" t="s">
        <v>1162</v>
      </c>
      <c r="R41" s="277" t="s">
        <v>1162</v>
      </c>
      <c r="S41" s="277">
        <v>46021.41666666666</v>
      </c>
      <c r="T41" s="277">
        <v>46035.41666666666</v>
      </c>
      <c r="U41" s="278">
        <v>46084.41666666666</v>
      </c>
      <c r="V41" s="281"/>
      <c r="W41" s="282">
        <f t="shared" si="1"/>
        <v>46084.41667</v>
      </c>
      <c r="X41" s="283"/>
      <c r="Y41" s="283"/>
      <c r="Z41" s="235"/>
      <c r="AA41" s="43"/>
    </row>
    <row r="42" ht="15.75" hidden="1" customHeight="1">
      <c r="A42" s="265" t="s">
        <v>252</v>
      </c>
      <c r="B42" s="266" t="str">
        <f>IFERROR(VLOOKUP(A42&amp;"", STUDENTS!A:B, 2, 0), "")</f>
        <v>HUỲNH TUẤN KHANH</v>
      </c>
      <c r="C42" s="104" t="s">
        <v>55</v>
      </c>
      <c r="D42" s="104" t="str">
        <f>IFERROR(VLOOKUP(C42, PIC!A:B, 2, 0), "")</f>
        <v>Cuong Nguyen</v>
      </c>
      <c r="E42" s="105" t="s">
        <v>23</v>
      </c>
      <c r="F42" s="267">
        <v>45869.58333333334</v>
      </c>
      <c r="G42" s="268">
        <v>45881.375</v>
      </c>
      <c r="H42" s="268">
        <v>45890.375</v>
      </c>
      <c r="I42" s="267">
        <v>45897.625</v>
      </c>
      <c r="J42" s="268" t="s">
        <v>1162</v>
      </c>
      <c r="K42" s="267">
        <v>45909.375</v>
      </c>
      <c r="L42" s="268">
        <v>45917.375</v>
      </c>
      <c r="M42" s="268">
        <v>45923.375</v>
      </c>
      <c r="N42" s="267">
        <v>45932.375</v>
      </c>
      <c r="O42" s="267">
        <v>45939.375</v>
      </c>
      <c r="P42" s="267">
        <v>45944.41666666666</v>
      </c>
      <c r="Q42" s="267">
        <v>45966.41666666666</v>
      </c>
      <c r="R42" s="267">
        <v>46007.41666666666</v>
      </c>
      <c r="S42" s="267">
        <v>46021.41666666666</v>
      </c>
      <c r="T42" s="267">
        <v>46035.41666666666</v>
      </c>
      <c r="U42" s="268">
        <v>46084.41666666666</v>
      </c>
      <c r="V42" s="271"/>
      <c r="W42" s="272">
        <f t="shared" si="1"/>
        <v>46084.41667</v>
      </c>
      <c r="X42" s="273"/>
      <c r="Y42" s="273"/>
      <c r="Z42" s="235"/>
      <c r="AA42" s="43"/>
    </row>
    <row r="43" ht="15.75" hidden="1" customHeight="1">
      <c r="A43" s="275" t="s">
        <v>254</v>
      </c>
      <c r="B43" s="276" t="str">
        <f>IFERROR(VLOOKUP(A43&amp;"", STUDENTS!A:B, 2, 0), "")</f>
        <v>NGUYỄN ĐÔNG HỒ</v>
      </c>
      <c r="C43" s="122" t="s">
        <v>55</v>
      </c>
      <c r="D43" s="122" t="str">
        <f>IFERROR(VLOOKUP(C43, PIC!A:B, 2, 0), "")</f>
        <v>Cuong Nguyen</v>
      </c>
      <c r="E43" s="123" t="s">
        <v>23</v>
      </c>
      <c r="F43" s="277">
        <v>45869.58333333334</v>
      </c>
      <c r="G43" s="278">
        <v>45881.375</v>
      </c>
      <c r="H43" s="278">
        <v>45890.375</v>
      </c>
      <c r="I43" s="277" t="s">
        <v>1162</v>
      </c>
      <c r="J43" s="278">
        <v>45904.375</v>
      </c>
      <c r="K43" s="277" t="s">
        <v>1162</v>
      </c>
      <c r="L43" s="278">
        <v>45917.375</v>
      </c>
      <c r="M43" s="278">
        <v>45923.375</v>
      </c>
      <c r="N43" s="277">
        <v>45932.375</v>
      </c>
      <c r="O43" s="277">
        <v>45939.375</v>
      </c>
      <c r="P43" s="277" t="s">
        <v>1162</v>
      </c>
      <c r="Q43" s="277">
        <v>45966.41666666666</v>
      </c>
      <c r="R43" s="277">
        <v>46007.41666666666</v>
      </c>
      <c r="S43" s="277" t="s">
        <v>1162</v>
      </c>
      <c r="T43" s="277">
        <v>46035.41666666666</v>
      </c>
      <c r="U43" s="278">
        <v>46084.41666666666</v>
      </c>
      <c r="V43" s="281"/>
      <c r="W43" s="282">
        <f t="shared" si="1"/>
        <v>46084.41667</v>
      </c>
      <c r="X43" s="283"/>
      <c r="Y43" s="283"/>
      <c r="Z43" s="235"/>
      <c r="AA43" s="43"/>
    </row>
    <row r="44" ht="15.75" hidden="1" customHeight="1">
      <c r="A44" s="265" t="s">
        <v>258</v>
      </c>
      <c r="B44" s="266" t="str">
        <f>IFERROR(VLOOKUP(A44&amp;"", STUDENTS!A:B, 2, 0), "")</f>
        <v>NGUYỄN VĂN MẠNH CƯỜNG</v>
      </c>
      <c r="C44" s="104" t="s">
        <v>55</v>
      </c>
      <c r="D44" s="104" t="str">
        <f>IFERROR(VLOOKUP(C44, PIC!A:B, 2, 0), "")</f>
        <v>Cuong Nguyen</v>
      </c>
      <c r="E44" s="105" t="s">
        <v>23</v>
      </c>
      <c r="F44" s="267">
        <v>45869.58333333334</v>
      </c>
      <c r="G44" s="268">
        <v>45881.375</v>
      </c>
      <c r="H44" s="268">
        <v>45890.375</v>
      </c>
      <c r="I44" s="267">
        <v>45897.625</v>
      </c>
      <c r="J44" s="268">
        <v>45904.375</v>
      </c>
      <c r="K44" s="267">
        <v>45909.375</v>
      </c>
      <c r="L44" s="268">
        <v>45917.375</v>
      </c>
      <c r="M44" s="268">
        <v>45923.375</v>
      </c>
      <c r="N44" s="267">
        <v>45932.375</v>
      </c>
      <c r="O44" s="267">
        <v>45939.375</v>
      </c>
      <c r="P44" s="267">
        <v>45944.41666666666</v>
      </c>
      <c r="Q44" s="267">
        <v>45966.41666666666</v>
      </c>
      <c r="R44" s="267">
        <v>46007.41666666666</v>
      </c>
      <c r="S44" s="267" t="s">
        <v>1162</v>
      </c>
      <c r="T44" s="267">
        <v>46035.41666666666</v>
      </c>
      <c r="U44" s="268">
        <v>46084.41666666666</v>
      </c>
      <c r="V44" s="271"/>
      <c r="W44" s="272">
        <f t="shared" si="1"/>
        <v>46084.41667</v>
      </c>
      <c r="X44" s="273"/>
      <c r="Y44" s="273"/>
      <c r="Z44" s="235"/>
      <c r="AA44" s="43"/>
    </row>
    <row r="45" ht="15.75" hidden="1" customHeight="1">
      <c r="A45" s="275" t="s">
        <v>373</v>
      </c>
      <c r="B45" s="276" t="str">
        <f>IFERROR(VLOOKUP(A45&amp;"", STUDENTS!A:B, 2, 0), "")</f>
        <v>PHAN CÔNG TOẠI</v>
      </c>
      <c r="C45" s="122" t="s">
        <v>55</v>
      </c>
      <c r="D45" s="122" t="str">
        <f>IFERROR(VLOOKUP(C45, PIC!A:B, 2, 0), "")</f>
        <v>Cuong Nguyen</v>
      </c>
      <c r="E45" s="123" t="s">
        <v>23</v>
      </c>
      <c r="F45" s="277">
        <v>45869.58333333334</v>
      </c>
      <c r="G45" s="278">
        <v>45881.375</v>
      </c>
      <c r="H45" s="278">
        <v>45890.375</v>
      </c>
      <c r="I45" s="277">
        <v>45897.625</v>
      </c>
      <c r="J45" s="278">
        <v>45904.375</v>
      </c>
      <c r="K45" s="277">
        <v>45909.375</v>
      </c>
      <c r="L45" s="278" t="s">
        <v>1162</v>
      </c>
      <c r="M45" s="278">
        <v>45923.375</v>
      </c>
      <c r="N45" s="277" t="s">
        <v>1162</v>
      </c>
      <c r="O45" s="277">
        <v>45939.375</v>
      </c>
      <c r="P45" s="277">
        <v>45944.41666666666</v>
      </c>
      <c r="Q45" s="277">
        <v>45966.41666666666</v>
      </c>
      <c r="R45" s="277">
        <v>46007.41666666666</v>
      </c>
      <c r="S45" s="277">
        <v>46021.41666666666</v>
      </c>
      <c r="T45" s="277">
        <v>46035.41666666666</v>
      </c>
      <c r="U45" s="278">
        <v>46084.41666666666</v>
      </c>
      <c r="V45" s="281"/>
      <c r="W45" s="282">
        <f t="shared" si="1"/>
        <v>46084.41667</v>
      </c>
      <c r="X45" s="283"/>
      <c r="Y45" s="283"/>
      <c r="Z45" s="235"/>
      <c r="AA45" s="43"/>
    </row>
    <row r="46" ht="15.75" hidden="1" customHeight="1">
      <c r="A46" s="265" t="s">
        <v>260</v>
      </c>
      <c r="B46" s="266" t="str">
        <f>IFERROR(VLOOKUP(A46&amp;"", STUDENTS!A:B, 2, 0), "")</f>
        <v>TRẦN KHANG</v>
      </c>
      <c r="C46" s="104" t="s">
        <v>55</v>
      </c>
      <c r="D46" s="104" t="str">
        <f>IFERROR(VLOOKUP(C46, PIC!A:B, 2, 0), "")</f>
        <v>Cuong Nguyen</v>
      </c>
      <c r="E46" s="105" t="s">
        <v>23</v>
      </c>
      <c r="F46" s="267" t="s">
        <v>1162</v>
      </c>
      <c r="G46" s="268">
        <v>45881.375</v>
      </c>
      <c r="H46" s="268">
        <v>45890.375</v>
      </c>
      <c r="I46" s="267">
        <v>45897.625</v>
      </c>
      <c r="J46" s="268">
        <v>45904.375</v>
      </c>
      <c r="K46" s="267" t="s">
        <v>1162</v>
      </c>
      <c r="L46" s="268">
        <v>45917.375</v>
      </c>
      <c r="M46" s="268" t="s">
        <v>1162</v>
      </c>
      <c r="N46" s="267">
        <v>45932.375</v>
      </c>
      <c r="O46" s="267">
        <v>45939.375</v>
      </c>
      <c r="P46" s="267">
        <v>45944.41666666666</v>
      </c>
      <c r="Q46" s="267">
        <v>45966.41666666666</v>
      </c>
      <c r="R46" s="267">
        <v>46007.41666666666</v>
      </c>
      <c r="S46" s="267">
        <v>46021.41666666666</v>
      </c>
      <c r="T46" s="267">
        <v>46035.41666666666</v>
      </c>
      <c r="U46" s="268">
        <v>46084.41666666666</v>
      </c>
      <c r="V46" s="271"/>
      <c r="W46" s="272">
        <f t="shared" si="1"/>
        <v>46084.41667</v>
      </c>
      <c r="X46" s="273"/>
      <c r="Y46" s="273"/>
      <c r="Z46" s="235"/>
      <c r="AA46" s="43"/>
    </row>
    <row r="47" ht="15.75" hidden="1" customHeight="1">
      <c r="A47" s="275" t="s">
        <v>262</v>
      </c>
      <c r="B47" s="276" t="str">
        <f>IFERROR(VLOOKUP(A47&amp;"", STUDENTS!A:B, 2, 0), "")</f>
        <v>VÕ ĐỒNG ĐỨC DUY</v>
      </c>
      <c r="C47" s="122" t="s">
        <v>55</v>
      </c>
      <c r="D47" s="122" t="str">
        <f>IFERROR(VLOOKUP(C47, PIC!A:B, 2, 0), "")</f>
        <v>Cuong Nguyen</v>
      </c>
      <c r="E47" s="123" t="s">
        <v>23</v>
      </c>
      <c r="F47" s="277" t="s">
        <v>1162</v>
      </c>
      <c r="G47" s="278" t="s">
        <v>1162</v>
      </c>
      <c r="H47" s="278" t="s">
        <v>1162</v>
      </c>
      <c r="I47" s="277" t="s">
        <v>1162</v>
      </c>
      <c r="J47" s="278" t="s">
        <v>1162</v>
      </c>
      <c r="K47" s="277" t="s">
        <v>1162</v>
      </c>
      <c r="L47" s="278" t="s">
        <v>1162</v>
      </c>
      <c r="M47" s="278" t="s">
        <v>1162</v>
      </c>
      <c r="N47" s="277" t="s">
        <v>1162</v>
      </c>
      <c r="O47" s="277" t="s">
        <v>1162</v>
      </c>
      <c r="P47" s="277" t="s">
        <v>1162</v>
      </c>
      <c r="Q47" s="277" t="s">
        <v>1162</v>
      </c>
      <c r="R47" s="277" t="s">
        <v>1162</v>
      </c>
      <c r="S47" s="277" t="s">
        <v>1162</v>
      </c>
      <c r="T47" s="277" t="s">
        <v>1162</v>
      </c>
      <c r="U47" s="278" t="s">
        <v>1162</v>
      </c>
      <c r="V47" s="281"/>
      <c r="W47" s="282">
        <f t="shared" si="1"/>
        <v>0</v>
      </c>
      <c r="X47" s="283"/>
      <c r="Y47" s="283"/>
      <c r="Z47" s="235"/>
      <c r="AA47" s="43"/>
    </row>
    <row r="48" ht="15.75" hidden="1" customHeight="1">
      <c r="A48" s="265" t="s">
        <v>300</v>
      </c>
      <c r="B48" s="266" t="str">
        <f>IFERROR(VLOOKUP(A48&amp;"", STUDENTS!A:B, 2, 0), "")</f>
        <v>LÊ THỊ LAN HƯƠNG</v>
      </c>
      <c r="C48" s="104" t="s">
        <v>56</v>
      </c>
      <c r="D48" s="104" t="str">
        <f>IFERROR(VLOOKUP(C48, PIC!A:B, 2, 0), "")</f>
        <v>Duc Nguyen</v>
      </c>
      <c r="E48" s="105" t="s">
        <v>22</v>
      </c>
      <c r="F48" s="267">
        <v>45639.625</v>
      </c>
      <c r="G48" s="268">
        <v>45649.45833333334</v>
      </c>
      <c r="H48" s="268">
        <v>45670.58333333334</v>
      </c>
      <c r="I48" s="267">
        <v>45693.54166666666</v>
      </c>
      <c r="J48" s="268">
        <v>45707.54166666666</v>
      </c>
      <c r="K48" s="267">
        <v>45715.54166666666</v>
      </c>
      <c r="L48" s="268" t="s">
        <v>1162</v>
      </c>
      <c r="M48" s="268">
        <v>45782.58333333334</v>
      </c>
      <c r="N48" s="267">
        <v>45803.58333333334</v>
      </c>
      <c r="O48" s="267">
        <v>45839.58333333334</v>
      </c>
      <c r="P48" s="267"/>
      <c r="Q48" s="267"/>
      <c r="R48" s="267"/>
      <c r="S48" s="267"/>
      <c r="T48" s="267"/>
      <c r="U48" s="268"/>
      <c r="V48" s="271"/>
      <c r="W48" s="272">
        <f t="shared" si="1"/>
        <v>45839.58333</v>
      </c>
      <c r="X48" s="273"/>
      <c r="Y48" s="273"/>
      <c r="Z48" s="235"/>
      <c r="AA48" s="43"/>
    </row>
    <row r="49" ht="15.75" hidden="1" customHeight="1">
      <c r="A49" s="275" t="s">
        <v>304</v>
      </c>
      <c r="B49" s="276" t="str">
        <f>IFERROR(VLOOKUP(A49&amp;"", STUDENTS!A:B, 2, 0), "")</f>
        <v>NGUYỄN ANH ĐỨC</v>
      </c>
      <c r="C49" s="122" t="s">
        <v>56</v>
      </c>
      <c r="D49" s="122" t="str">
        <f>IFERROR(VLOOKUP(C49, PIC!A:B, 2, 0), "")</f>
        <v>Duc Nguyen</v>
      </c>
      <c r="E49" s="123" t="s">
        <v>22</v>
      </c>
      <c r="F49" s="277">
        <v>45637.41666666666</v>
      </c>
      <c r="G49" s="278">
        <v>45656.45833333334</v>
      </c>
      <c r="H49" s="278">
        <v>45670.58333333334</v>
      </c>
      <c r="I49" s="277">
        <v>45693.54166666666</v>
      </c>
      <c r="J49" s="278">
        <v>45707.54166666666</v>
      </c>
      <c r="K49" s="277">
        <v>45715.54166666666</v>
      </c>
      <c r="L49" s="278">
        <v>45764.54166666666</v>
      </c>
      <c r="M49" s="278">
        <v>45782.54166666666</v>
      </c>
      <c r="N49" s="277" t="s">
        <v>1162</v>
      </c>
      <c r="O49" s="277">
        <v>45839.58333333334</v>
      </c>
      <c r="P49" s="277"/>
      <c r="Q49" s="277"/>
      <c r="R49" s="277"/>
      <c r="S49" s="277"/>
      <c r="T49" s="277"/>
      <c r="U49" s="278"/>
      <c r="V49" s="281"/>
      <c r="W49" s="282">
        <f t="shared" si="1"/>
        <v>45839.58333</v>
      </c>
      <c r="X49" s="283"/>
      <c r="Y49" s="283"/>
      <c r="Z49" s="235"/>
      <c r="AA49" s="43"/>
    </row>
    <row r="50" ht="15.75" hidden="1" customHeight="1">
      <c r="A50" s="265" t="s">
        <v>306</v>
      </c>
      <c r="B50" s="266" t="str">
        <f>IFERROR(VLOOKUP(A50&amp;"", STUDENTS!A:B, 2, 0), "")</f>
        <v>NGUYỄN MINH THƯ</v>
      </c>
      <c r="C50" s="104" t="s">
        <v>56</v>
      </c>
      <c r="D50" s="104" t="str">
        <f>IFERROR(VLOOKUP(C50, PIC!A:B, 2, 0), "")</f>
        <v>Duc Nguyen</v>
      </c>
      <c r="E50" s="105" t="s">
        <v>22</v>
      </c>
      <c r="F50" s="267">
        <v>45637.41666666666</v>
      </c>
      <c r="G50" s="268">
        <v>45656.45833333334</v>
      </c>
      <c r="H50" s="268">
        <v>45670.58333333334</v>
      </c>
      <c r="I50" s="267">
        <v>45693.54166666666</v>
      </c>
      <c r="J50" s="268">
        <v>45707.54166666666</v>
      </c>
      <c r="K50" s="267">
        <v>45715.54166666666</v>
      </c>
      <c r="L50" s="268">
        <v>45764.54166666666</v>
      </c>
      <c r="M50" s="268" t="s">
        <v>1162</v>
      </c>
      <c r="N50" s="267">
        <v>45803.58333333334</v>
      </c>
      <c r="O50" s="267">
        <v>45839.58333333334</v>
      </c>
      <c r="P50" s="267"/>
      <c r="Q50" s="267"/>
      <c r="R50" s="267"/>
      <c r="S50" s="267"/>
      <c r="T50" s="267"/>
      <c r="U50" s="268"/>
      <c r="V50" s="271"/>
      <c r="W50" s="272">
        <f t="shared" si="1"/>
        <v>45839.58333</v>
      </c>
      <c r="X50" s="273"/>
      <c r="Y50" s="273"/>
      <c r="Z50" s="235"/>
      <c r="AA50" s="43"/>
    </row>
    <row r="51" ht="15.75" hidden="1" customHeight="1">
      <c r="A51" s="275" t="s">
        <v>272</v>
      </c>
      <c r="B51" s="276" t="str">
        <f>IFERROR(VLOOKUP(A51&amp;"", STUDENTS!A:B, 2, 0), "")</f>
        <v>NGUYỄN TRỌNG BÌNH NGUYÊN</v>
      </c>
      <c r="C51" s="122" t="s">
        <v>56</v>
      </c>
      <c r="D51" s="122" t="str">
        <f>IFERROR(VLOOKUP(C51, PIC!A:B, 2, 0), "")</f>
        <v>Duc Nguyen</v>
      </c>
      <c r="E51" s="123" t="s">
        <v>22</v>
      </c>
      <c r="F51" s="277">
        <v>45639.625</v>
      </c>
      <c r="G51" s="278">
        <v>45649.45833333334</v>
      </c>
      <c r="H51" s="278">
        <v>45670.58333333334</v>
      </c>
      <c r="I51" s="277">
        <v>45693.54166666666</v>
      </c>
      <c r="J51" s="278">
        <v>45707.54166666666</v>
      </c>
      <c r="K51" s="277">
        <v>45715.54166666666</v>
      </c>
      <c r="L51" s="278">
        <v>45764.54166666666</v>
      </c>
      <c r="M51" s="278">
        <v>45782.58333333334</v>
      </c>
      <c r="N51" s="277">
        <v>45803.58333333334</v>
      </c>
      <c r="O51" s="277">
        <v>45839.58333333334</v>
      </c>
      <c r="P51" s="277"/>
      <c r="Q51" s="277"/>
      <c r="R51" s="277"/>
      <c r="S51" s="277"/>
      <c r="T51" s="277"/>
      <c r="U51" s="278"/>
      <c r="V51" s="281"/>
      <c r="W51" s="282">
        <f t="shared" si="1"/>
        <v>45839.58333</v>
      </c>
      <c r="X51" s="283"/>
      <c r="Y51" s="283"/>
      <c r="Z51" s="235"/>
      <c r="AA51" s="43"/>
    </row>
    <row r="52" ht="15.75" hidden="1" customHeight="1">
      <c r="A52" s="265" t="s">
        <v>312</v>
      </c>
      <c r="B52" s="266" t="str">
        <f>IFERROR(VLOOKUP(A52&amp;"", STUDENTS!A:B, 2, 0), "")</f>
        <v>PHẠM THỊ BÍCH THÚY</v>
      </c>
      <c r="C52" s="104" t="s">
        <v>56</v>
      </c>
      <c r="D52" s="104" t="str">
        <f>IFERROR(VLOOKUP(C52, PIC!A:B, 2, 0), "")</f>
        <v>Duc Nguyen</v>
      </c>
      <c r="E52" s="105" t="s">
        <v>22</v>
      </c>
      <c r="F52" s="267">
        <v>45639.625</v>
      </c>
      <c r="G52" s="268">
        <v>45649.45833333334</v>
      </c>
      <c r="H52" s="268">
        <v>45670.58333333334</v>
      </c>
      <c r="I52" s="267">
        <v>45693.54166666666</v>
      </c>
      <c r="J52" s="268">
        <v>45707.54166666666</v>
      </c>
      <c r="K52" s="267">
        <v>45715.54166666666</v>
      </c>
      <c r="L52" s="268">
        <v>45764.54166666666</v>
      </c>
      <c r="M52" s="268" t="s">
        <v>1162</v>
      </c>
      <c r="N52" s="267">
        <v>45803.58333333334</v>
      </c>
      <c r="O52" s="267">
        <v>45839.58333333334</v>
      </c>
      <c r="P52" s="267"/>
      <c r="Q52" s="267"/>
      <c r="R52" s="267"/>
      <c r="S52" s="267"/>
      <c r="T52" s="267"/>
      <c r="U52" s="268"/>
      <c r="V52" s="271"/>
      <c r="W52" s="272">
        <f t="shared" si="1"/>
        <v>45839.58333</v>
      </c>
      <c r="X52" s="273"/>
      <c r="Y52" s="273"/>
      <c r="Z52" s="235"/>
      <c r="AA52" s="43"/>
    </row>
    <row r="53" ht="15.75" hidden="1" customHeight="1">
      <c r="A53" s="275" t="s">
        <v>264</v>
      </c>
      <c r="B53" s="276" t="str">
        <f>IFERROR(VLOOKUP(A53&amp;"", STUDENTS!A:B, 2, 0), "")</f>
        <v>ĐỖ HOÀNG MINH HUY</v>
      </c>
      <c r="C53" s="122" t="s">
        <v>57</v>
      </c>
      <c r="D53" s="122" t="str">
        <f>IFERROR(VLOOKUP(C53, PIC!A:B, 2, 0), "")</f>
        <v>Dat Nguyen</v>
      </c>
      <c r="E53" s="123" t="s">
        <v>22</v>
      </c>
      <c r="F53" s="277" t="s">
        <v>1162</v>
      </c>
      <c r="G53" s="278">
        <v>45660.41666666666</v>
      </c>
      <c r="H53" s="278">
        <v>45663.54166666666</v>
      </c>
      <c r="I53" s="277">
        <v>45678.375</v>
      </c>
      <c r="J53" s="278" t="s">
        <v>1162</v>
      </c>
      <c r="K53" s="277">
        <v>45709.54166666666</v>
      </c>
      <c r="L53" s="278">
        <v>45714.54166666666</v>
      </c>
      <c r="M53" s="278">
        <v>45762.54166666666</v>
      </c>
      <c r="N53" s="277">
        <v>45769.41666666666</v>
      </c>
      <c r="O53" s="277">
        <v>45807.58333333334</v>
      </c>
      <c r="P53" s="277"/>
      <c r="Q53" s="277"/>
      <c r="R53" s="277"/>
      <c r="S53" s="277"/>
      <c r="T53" s="277"/>
      <c r="U53" s="278"/>
      <c r="V53" s="281"/>
      <c r="W53" s="282">
        <f t="shared" si="1"/>
        <v>45807.58333</v>
      </c>
      <c r="X53" s="283"/>
      <c r="Y53" s="283"/>
      <c r="Z53" s="235"/>
      <c r="AA53" s="43"/>
    </row>
    <row r="54" ht="15.75" hidden="1" customHeight="1">
      <c r="A54" s="265" t="s">
        <v>421</v>
      </c>
      <c r="B54" s="266" t="str">
        <f>IFERROR(VLOOKUP(A54&amp;"", STUDENTS!A:B, 2, 0), "")</f>
        <v>HUỲNH BỬU BỬU</v>
      </c>
      <c r="C54" s="104" t="s">
        <v>57</v>
      </c>
      <c r="D54" s="104" t="str">
        <f>IFERROR(VLOOKUP(C54, PIC!A:B, 2, 0), "")</f>
        <v>Dat Nguyen</v>
      </c>
      <c r="E54" s="105" t="s">
        <v>22</v>
      </c>
      <c r="F54" s="267">
        <v>45639.41666666666</v>
      </c>
      <c r="G54" s="268">
        <v>45660.41666666666</v>
      </c>
      <c r="H54" s="268">
        <v>45663.54166666666</v>
      </c>
      <c r="I54" s="267">
        <v>45678.375</v>
      </c>
      <c r="J54" s="268">
        <v>45700.54166666666</v>
      </c>
      <c r="K54" s="267" t="s">
        <v>1162</v>
      </c>
      <c r="L54" s="268">
        <v>45714.54166666666</v>
      </c>
      <c r="M54" s="268">
        <v>45762.54166666666</v>
      </c>
      <c r="N54" s="267">
        <v>45769.41666666666</v>
      </c>
      <c r="O54" s="267">
        <v>45807.58333333334</v>
      </c>
      <c r="P54" s="267"/>
      <c r="Q54" s="267"/>
      <c r="R54" s="267"/>
      <c r="S54" s="267"/>
      <c r="T54" s="267"/>
      <c r="U54" s="268"/>
      <c r="V54" s="271"/>
      <c r="W54" s="272">
        <f t="shared" si="1"/>
        <v>45807.58333</v>
      </c>
      <c r="X54" s="273"/>
      <c r="Y54" s="273"/>
      <c r="Z54" s="235"/>
      <c r="AA54" s="43"/>
    </row>
    <row r="55" ht="15.75" hidden="1" customHeight="1">
      <c r="A55" s="275" t="s">
        <v>267</v>
      </c>
      <c r="B55" s="276" t="str">
        <f>IFERROR(VLOOKUP(A55&amp;"", STUDENTS!A:B, 2, 0), "")</f>
        <v>NGUYỄN TẤT ĐẠT</v>
      </c>
      <c r="C55" s="122" t="s">
        <v>57</v>
      </c>
      <c r="D55" s="122" t="str">
        <f>IFERROR(VLOOKUP(C55, PIC!A:B, 2, 0), "")</f>
        <v>Dat Nguyen</v>
      </c>
      <c r="E55" s="123" t="s">
        <v>22</v>
      </c>
      <c r="F55" s="277">
        <v>45639.41666666666</v>
      </c>
      <c r="G55" s="278">
        <v>45660.41666666666</v>
      </c>
      <c r="H55" s="278">
        <v>45663.54166666666</v>
      </c>
      <c r="I55" s="277">
        <v>45678.375</v>
      </c>
      <c r="J55" s="278">
        <v>45700.54166666666</v>
      </c>
      <c r="K55" s="277">
        <v>45709.54166666666</v>
      </c>
      <c r="L55" s="278">
        <v>45714.54166666666</v>
      </c>
      <c r="M55" s="278">
        <v>45762.54166666666</v>
      </c>
      <c r="N55" s="277">
        <v>45769.41666666666</v>
      </c>
      <c r="O55" s="277">
        <v>45807.58333333334</v>
      </c>
      <c r="P55" s="277"/>
      <c r="Q55" s="277"/>
      <c r="R55" s="277"/>
      <c r="S55" s="277"/>
      <c r="T55" s="277"/>
      <c r="U55" s="278"/>
      <c r="V55" s="281"/>
      <c r="W55" s="282">
        <f t="shared" si="1"/>
        <v>45807.58333</v>
      </c>
      <c r="X55" s="283"/>
      <c r="Y55" s="283"/>
      <c r="Z55" s="235"/>
      <c r="AA55" s="43"/>
    </row>
    <row r="56" ht="15.75" hidden="1" customHeight="1">
      <c r="A56" s="265" t="s">
        <v>270</v>
      </c>
      <c r="B56" s="266" t="str">
        <f>IFERROR(VLOOKUP(A56&amp;"", STUDENTS!A:B, 2, 0), "")</f>
        <v>NGUYỄN THIÊN ÂN</v>
      </c>
      <c r="C56" s="104" t="s">
        <v>57</v>
      </c>
      <c r="D56" s="104" t="str">
        <f>IFERROR(VLOOKUP(C56, PIC!A:B, 2, 0), "")</f>
        <v>Dat Nguyen</v>
      </c>
      <c r="E56" s="105" t="s">
        <v>22</v>
      </c>
      <c r="F56" s="267">
        <v>45639.41666666666</v>
      </c>
      <c r="G56" s="268" t="s">
        <v>1162</v>
      </c>
      <c r="H56" s="268">
        <v>45663.54166666666</v>
      </c>
      <c r="I56" s="267">
        <v>45678.375</v>
      </c>
      <c r="J56" s="268">
        <v>45700.54166666666</v>
      </c>
      <c r="K56" s="267">
        <v>45709.54166666666</v>
      </c>
      <c r="L56" s="268">
        <v>45714.54166666666</v>
      </c>
      <c r="M56" s="268">
        <v>45762.54166666666</v>
      </c>
      <c r="N56" s="267">
        <v>45769.41666666666</v>
      </c>
      <c r="O56" s="267">
        <v>45807.58333333334</v>
      </c>
      <c r="P56" s="267"/>
      <c r="Q56" s="267"/>
      <c r="R56" s="267"/>
      <c r="S56" s="267"/>
      <c r="T56" s="267"/>
      <c r="U56" s="268"/>
      <c r="V56" s="271"/>
      <c r="W56" s="272">
        <f t="shared" si="1"/>
        <v>45807.58333</v>
      </c>
      <c r="X56" s="273"/>
      <c r="Y56" s="273"/>
      <c r="Z56" s="235"/>
      <c r="AA56" s="43"/>
    </row>
    <row r="57" ht="15.75" hidden="1" customHeight="1">
      <c r="A57" s="275" t="s">
        <v>466</v>
      </c>
      <c r="B57" s="276" t="str">
        <f>IFERROR(VLOOKUP(A57&amp;"", STUDENTS!A:B, 2, 0), "")</f>
        <v>HUỲNH NGUYÊN KHANG</v>
      </c>
      <c r="C57" s="122" t="s">
        <v>58</v>
      </c>
      <c r="D57" s="122" t="str">
        <f>IFERROR(VLOOKUP(C57, PIC!A:B, 2, 0), "")</f>
        <v>Nhat Nguyen</v>
      </c>
      <c r="E57" s="123" t="s">
        <v>22</v>
      </c>
      <c r="F57" s="277">
        <v>45702.45833333334</v>
      </c>
      <c r="G57" s="278">
        <v>45709.45833333334</v>
      </c>
      <c r="H57" s="278">
        <v>45716.45833333334</v>
      </c>
      <c r="I57" s="277">
        <v>45765.45833333334</v>
      </c>
      <c r="J57" s="278">
        <v>45770.45833333334</v>
      </c>
      <c r="K57" s="277">
        <v>45785.45833333334</v>
      </c>
      <c r="L57" s="278">
        <v>45792.45833333334</v>
      </c>
      <c r="M57" s="278">
        <v>45800.45833333334</v>
      </c>
      <c r="N57" s="277">
        <v>45806.54166666666</v>
      </c>
      <c r="O57" s="277">
        <v>45813.41666666666</v>
      </c>
      <c r="P57" s="277">
        <v>45820.41666666666</v>
      </c>
      <c r="Q57" s="277">
        <v>45841.41666666666</v>
      </c>
      <c r="R57" s="277"/>
      <c r="S57" s="277"/>
      <c r="T57" s="277"/>
      <c r="U57" s="278"/>
      <c r="V57" s="281"/>
      <c r="W57" s="282">
        <f t="shared" si="1"/>
        <v>45841.41667</v>
      </c>
      <c r="X57" s="283"/>
      <c r="Y57" s="283"/>
      <c r="Z57" s="235"/>
      <c r="AA57" s="43"/>
    </row>
    <row r="58" ht="15.75" hidden="1" customHeight="1">
      <c r="A58" s="265" t="s">
        <v>468</v>
      </c>
      <c r="B58" s="266" t="str">
        <f>IFERROR(VLOOKUP(A58&amp;"", STUDENTS!A:B, 2, 0), "")</f>
        <v>NGUYỄN ĐỨC NHẬT</v>
      </c>
      <c r="C58" s="104" t="s">
        <v>58</v>
      </c>
      <c r="D58" s="104" t="str">
        <f>IFERROR(VLOOKUP(C58, PIC!A:B, 2, 0), "")</f>
        <v>Nhat Nguyen</v>
      </c>
      <c r="E58" s="105" t="s">
        <v>22</v>
      </c>
      <c r="F58" s="267">
        <v>45702.45833333334</v>
      </c>
      <c r="G58" s="268">
        <v>45709.45833333334</v>
      </c>
      <c r="H58" s="268">
        <v>45716.45833333334</v>
      </c>
      <c r="I58" s="267">
        <v>45765.45833333334</v>
      </c>
      <c r="J58" s="268">
        <v>45770.45833333334</v>
      </c>
      <c r="K58" s="267">
        <v>45785.45833333334</v>
      </c>
      <c r="L58" s="268">
        <v>45792.45833333334</v>
      </c>
      <c r="M58" s="268">
        <v>45800.45833333334</v>
      </c>
      <c r="N58" s="267">
        <v>45806.54166666666</v>
      </c>
      <c r="O58" s="267">
        <v>45813.41666666666</v>
      </c>
      <c r="P58" s="267">
        <v>45820.41666666666</v>
      </c>
      <c r="Q58" s="267">
        <v>45841.41666666666</v>
      </c>
      <c r="R58" s="267"/>
      <c r="S58" s="267"/>
      <c r="T58" s="267"/>
      <c r="U58" s="268"/>
      <c r="V58" s="271"/>
      <c r="W58" s="272">
        <f t="shared" si="1"/>
        <v>45841.41667</v>
      </c>
      <c r="X58" s="273"/>
      <c r="Y58" s="273"/>
      <c r="Z58" s="235"/>
      <c r="AA58" s="43"/>
    </row>
    <row r="59" ht="15.75" hidden="1" customHeight="1">
      <c r="A59" s="275" t="s">
        <v>476</v>
      </c>
      <c r="B59" s="276" t="str">
        <f>IFERROR(VLOOKUP(A59&amp;"", STUDENTS!A:B, 2, 0), "")</f>
        <v>PHAN THẾ AN</v>
      </c>
      <c r="C59" s="122" t="s">
        <v>58</v>
      </c>
      <c r="D59" s="122" t="str">
        <f>IFERROR(VLOOKUP(C59, PIC!A:B, 2, 0), "")</f>
        <v>Nhat Nguyen</v>
      </c>
      <c r="E59" s="123" t="s">
        <v>22</v>
      </c>
      <c r="F59" s="277">
        <v>45702.45833333334</v>
      </c>
      <c r="G59" s="278">
        <v>45709.45833333334</v>
      </c>
      <c r="H59" s="278">
        <v>45716.45833333334</v>
      </c>
      <c r="I59" s="277">
        <v>45765.45833333334</v>
      </c>
      <c r="J59" s="278">
        <v>45770.45833333334</v>
      </c>
      <c r="K59" s="277">
        <v>45785.45833333334</v>
      </c>
      <c r="L59" s="278">
        <v>45792.45833333334</v>
      </c>
      <c r="M59" s="278">
        <v>45800.45833333334</v>
      </c>
      <c r="N59" s="277">
        <v>45806.54166666666</v>
      </c>
      <c r="O59" s="277">
        <v>45813.41666666666</v>
      </c>
      <c r="P59" s="277">
        <v>45820.41666666666</v>
      </c>
      <c r="Q59" s="277">
        <v>45841.41666666666</v>
      </c>
      <c r="R59" s="277"/>
      <c r="S59" s="277"/>
      <c r="T59" s="277"/>
      <c r="U59" s="278"/>
      <c r="V59" s="281"/>
      <c r="W59" s="282">
        <f t="shared" si="1"/>
        <v>45841.41667</v>
      </c>
      <c r="X59" s="283"/>
      <c r="Y59" s="283"/>
      <c r="Z59" s="235"/>
      <c r="AA59" s="43"/>
    </row>
    <row r="60" ht="15.75" hidden="1" customHeight="1">
      <c r="A60" s="265" t="s">
        <v>470</v>
      </c>
      <c r="B60" s="266" t="str">
        <f>IFERROR(VLOOKUP(A60&amp;"", STUDENTS!A:B, 2, 0), "")</f>
        <v>TRẦN NGỌC PHƯỚC HOÀNG</v>
      </c>
      <c r="C60" s="104" t="s">
        <v>58</v>
      </c>
      <c r="D60" s="104" t="str">
        <f>IFERROR(VLOOKUP(C60, PIC!A:B, 2, 0), "")</f>
        <v>Nhat Nguyen</v>
      </c>
      <c r="E60" s="105" t="s">
        <v>22</v>
      </c>
      <c r="F60" s="267">
        <v>45702.45833333334</v>
      </c>
      <c r="G60" s="268">
        <v>45709.45833333334</v>
      </c>
      <c r="H60" s="268">
        <v>45716.45833333334</v>
      </c>
      <c r="I60" s="267">
        <v>45765.45833333334</v>
      </c>
      <c r="J60" s="268">
        <v>45770.45833333334</v>
      </c>
      <c r="K60" s="267">
        <v>45785.45833333334</v>
      </c>
      <c r="L60" s="268">
        <v>45792.45833333334</v>
      </c>
      <c r="M60" s="268">
        <v>45800.45833333334</v>
      </c>
      <c r="N60" s="267">
        <v>45806.54166666666</v>
      </c>
      <c r="O60" s="267">
        <v>45813.41666666666</v>
      </c>
      <c r="P60" s="267">
        <v>45820.41666666666</v>
      </c>
      <c r="Q60" s="267">
        <v>45841.41666666666</v>
      </c>
      <c r="R60" s="267"/>
      <c r="S60" s="267"/>
      <c r="T60" s="267"/>
      <c r="U60" s="268"/>
      <c r="V60" s="271"/>
      <c r="W60" s="272">
        <f t="shared" si="1"/>
        <v>45841.41667</v>
      </c>
      <c r="X60" s="273"/>
      <c r="Y60" s="273"/>
      <c r="Z60" s="235"/>
      <c r="AA60" s="43"/>
    </row>
    <row r="61" ht="15.75" hidden="1" customHeight="1">
      <c r="A61" s="275" t="s">
        <v>459</v>
      </c>
      <c r="B61" s="276" t="str">
        <f>IFERROR(VLOOKUP(A61&amp;"", STUDENTS!A:B, 2, 0), "")</f>
        <v>TRANG KỲ ANH</v>
      </c>
      <c r="C61" s="122" t="s">
        <v>58</v>
      </c>
      <c r="D61" s="122" t="str">
        <f>IFERROR(VLOOKUP(C61, PIC!A:B, 2, 0), "")</f>
        <v>Nhat Nguyen</v>
      </c>
      <c r="E61" s="123" t="s">
        <v>22</v>
      </c>
      <c r="F61" s="277">
        <v>45702.45833333334</v>
      </c>
      <c r="G61" s="278">
        <v>45709.45833333334</v>
      </c>
      <c r="H61" s="278">
        <v>45716.45833333334</v>
      </c>
      <c r="I61" s="277">
        <v>45765.45833333334</v>
      </c>
      <c r="J61" s="278">
        <v>45770.45833333334</v>
      </c>
      <c r="K61" s="277">
        <v>45785.45833333334</v>
      </c>
      <c r="L61" s="278">
        <v>45792.45833333334</v>
      </c>
      <c r="M61" s="278" t="s">
        <v>1162</v>
      </c>
      <c r="N61" s="277">
        <v>45806.54166666666</v>
      </c>
      <c r="O61" s="277">
        <v>45813.41666666666</v>
      </c>
      <c r="P61" s="277">
        <v>45820.41666666666</v>
      </c>
      <c r="Q61" s="277">
        <v>45841.41666666666</v>
      </c>
      <c r="R61" s="277"/>
      <c r="S61" s="277"/>
      <c r="T61" s="277"/>
      <c r="U61" s="278"/>
      <c r="V61" s="281"/>
      <c r="W61" s="282">
        <f t="shared" si="1"/>
        <v>45841.41667</v>
      </c>
      <c r="X61" s="283"/>
      <c r="Y61" s="283"/>
      <c r="Z61" s="235"/>
      <c r="AA61" s="43"/>
    </row>
    <row r="62" ht="15.75" hidden="1" customHeight="1">
      <c r="A62" s="265" t="s">
        <v>461</v>
      </c>
      <c r="B62" s="266" t="str">
        <f>IFERROR(VLOOKUP(A62&amp;"", STUDENTS!A:B, 2, 0), "")</f>
        <v>ĐINH TRƯƠNG THANH TUYỀN</v>
      </c>
      <c r="C62" s="104" t="s">
        <v>58</v>
      </c>
      <c r="D62" s="104" t="str">
        <f>IFERROR(VLOOKUP(C62, PIC!A:B, 2, 0), "")</f>
        <v>Nhat Nguyen</v>
      </c>
      <c r="E62" s="105" t="s">
        <v>23</v>
      </c>
      <c r="F62" s="267">
        <v>45841.58333333334</v>
      </c>
      <c r="G62" s="268">
        <v>45853.41666666666</v>
      </c>
      <c r="H62" s="268" t="s">
        <v>1162</v>
      </c>
      <c r="I62" s="267">
        <v>45889.625</v>
      </c>
      <c r="J62" s="268" t="s">
        <v>1162</v>
      </c>
      <c r="K62" s="267">
        <v>45924.625</v>
      </c>
      <c r="L62" s="268">
        <v>45931.625</v>
      </c>
      <c r="M62" s="268">
        <v>45953.41666666666</v>
      </c>
      <c r="N62" s="267">
        <v>45960.41666666666</v>
      </c>
      <c r="O62" s="267">
        <v>45982.45833333334</v>
      </c>
      <c r="P62" s="267">
        <v>45989.45833333334</v>
      </c>
      <c r="Q62" s="267">
        <v>45996.41666666666</v>
      </c>
      <c r="R62" s="267">
        <v>46010.41666666666</v>
      </c>
      <c r="S62" s="267">
        <v>46021.375</v>
      </c>
      <c r="T62" s="267">
        <v>46038.45833333334</v>
      </c>
      <c r="U62" s="268">
        <v>46083.45833333334</v>
      </c>
      <c r="V62" s="271"/>
      <c r="W62" s="272">
        <f t="shared" si="1"/>
        <v>46083.45833</v>
      </c>
      <c r="X62" s="273"/>
      <c r="Y62" s="273"/>
      <c r="Z62" s="235"/>
      <c r="AA62" s="43"/>
    </row>
    <row r="63" ht="15.75" hidden="1" customHeight="1">
      <c r="A63" s="275" t="s">
        <v>474</v>
      </c>
      <c r="B63" s="276" t="str">
        <f>IFERROR(VLOOKUP(A63&amp;"", STUDENTS!A:B, 2, 0), "")</f>
        <v>ĐỖ VŨ GIA LONG</v>
      </c>
      <c r="C63" s="122" t="s">
        <v>58</v>
      </c>
      <c r="D63" s="122" t="str">
        <f>IFERROR(VLOOKUP(C63, PIC!A:B, 2, 0), "")</f>
        <v>Nhat Nguyen</v>
      </c>
      <c r="E63" s="123" t="s">
        <v>23</v>
      </c>
      <c r="F63" s="277">
        <v>45841.58333333334</v>
      </c>
      <c r="G63" s="278">
        <v>45853.41666666666</v>
      </c>
      <c r="H63" s="278">
        <v>45882.625</v>
      </c>
      <c r="I63" s="277">
        <v>45889.625</v>
      </c>
      <c r="J63" s="278">
        <v>45917.625</v>
      </c>
      <c r="K63" s="277">
        <v>45924.625</v>
      </c>
      <c r="L63" s="278">
        <v>45931.625</v>
      </c>
      <c r="M63" s="278">
        <v>45953.41666666666</v>
      </c>
      <c r="N63" s="277">
        <v>45960.41666666666</v>
      </c>
      <c r="O63" s="277">
        <v>45982.45833333334</v>
      </c>
      <c r="P63" s="277">
        <v>45989.45833333334</v>
      </c>
      <c r="Q63" s="277">
        <v>45996.41666666666</v>
      </c>
      <c r="R63" s="277">
        <v>46010.41666666666</v>
      </c>
      <c r="S63" s="277">
        <v>46021.375</v>
      </c>
      <c r="T63" s="277">
        <v>46038.45833333334</v>
      </c>
      <c r="U63" s="278">
        <v>46083.45833333334</v>
      </c>
      <c r="V63" s="281"/>
      <c r="W63" s="282">
        <f t="shared" si="1"/>
        <v>46083.45833</v>
      </c>
      <c r="X63" s="283"/>
      <c r="Y63" s="283"/>
      <c r="Z63" s="235"/>
      <c r="AA63" s="43"/>
    </row>
    <row r="64" ht="15.75" hidden="1" customHeight="1">
      <c r="A64" s="265" t="s">
        <v>464</v>
      </c>
      <c r="B64" s="266" t="str">
        <f>IFERROR(VLOOKUP(A64&amp;"", STUDENTS!A:B, 2, 0), "")</f>
        <v>ĐOÀN KHÁNH NGUYÊN</v>
      </c>
      <c r="C64" s="104" t="s">
        <v>58</v>
      </c>
      <c r="D64" s="104" t="str">
        <f>IFERROR(VLOOKUP(C64, PIC!A:B, 2, 0), "")</f>
        <v>Nhat Nguyen</v>
      </c>
      <c r="E64" s="105" t="s">
        <v>23</v>
      </c>
      <c r="F64" s="267">
        <v>45841.58333333334</v>
      </c>
      <c r="G64" s="268">
        <v>45853.41666666666</v>
      </c>
      <c r="H64" s="268">
        <v>45882.625</v>
      </c>
      <c r="I64" s="267">
        <v>45889.625</v>
      </c>
      <c r="J64" s="268">
        <v>45917.625</v>
      </c>
      <c r="K64" s="267">
        <v>45924.625</v>
      </c>
      <c r="L64" s="268">
        <v>45931.625</v>
      </c>
      <c r="M64" s="268">
        <v>45953.41666666666</v>
      </c>
      <c r="N64" s="267">
        <v>45960.41666666666</v>
      </c>
      <c r="O64" s="267">
        <v>45982.45833333334</v>
      </c>
      <c r="P64" s="267">
        <v>45989.45833333334</v>
      </c>
      <c r="Q64" s="267" t="s">
        <v>1162</v>
      </c>
      <c r="R64" s="267" t="s">
        <v>1162</v>
      </c>
      <c r="S64" s="267" t="s">
        <v>1162</v>
      </c>
      <c r="T64" s="267" t="s">
        <v>1162</v>
      </c>
      <c r="U64" s="268"/>
      <c r="V64" s="271"/>
      <c r="W64" s="272">
        <f t="shared" si="1"/>
        <v>45989.45833</v>
      </c>
      <c r="X64" s="273"/>
      <c r="Y64" s="273"/>
      <c r="Z64" s="235"/>
      <c r="AA64" s="43"/>
    </row>
    <row r="65" ht="15.75" hidden="1" customHeight="1">
      <c r="A65" s="275" t="s">
        <v>466</v>
      </c>
      <c r="B65" s="276" t="str">
        <f>IFERROR(VLOOKUP(A65&amp;"", STUDENTS!A:B, 2, 0), "")</f>
        <v>HUỲNH NGUYÊN KHANG</v>
      </c>
      <c r="C65" s="122" t="s">
        <v>58</v>
      </c>
      <c r="D65" s="122" t="str">
        <f>IFERROR(VLOOKUP(C65, PIC!A:B, 2, 0), "")</f>
        <v>Nhat Nguyen</v>
      </c>
      <c r="E65" s="123" t="s">
        <v>23</v>
      </c>
      <c r="F65" s="277">
        <v>45890.41666666666</v>
      </c>
      <c r="G65" s="278">
        <v>45897.41666666666</v>
      </c>
      <c r="H65" s="278">
        <v>45904.41666666666</v>
      </c>
      <c r="I65" s="277">
        <v>45911.41666666666</v>
      </c>
      <c r="J65" s="278">
        <v>45925.41666666666</v>
      </c>
      <c r="K65" s="277">
        <v>45939.41666666666</v>
      </c>
      <c r="L65" s="278">
        <v>45946.41666666666</v>
      </c>
      <c r="M65" s="278">
        <v>45953.41666666666</v>
      </c>
      <c r="N65" s="277">
        <v>45960.41666666666</v>
      </c>
      <c r="O65" s="277">
        <v>45982.45833333334</v>
      </c>
      <c r="P65" s="277" t="s">
        <v>1162</v>
      </c>
      <c r="Q65" s="277" t="s">
        <v>1162</v>
      </c>
      <c r="R65" s="277">
        <v>46010.41666666666</v>
      </c>
      <c r="S65" s="277">
        <v>46021.375</v>
      </c>
      <c r="T65" s="277"/>
      <c r="U65" s="278"/>
      <c r="V65" s="281"/>
      <c r="W65" s="282">
        <f t="shared" si="1"/>
        <v>46021.375</v>
      </c>
      <c r="X65" s="283"/>
      <c r="Y65" s="283"/>
      <c r="Z65" s="235"/>
      <c r="AA65" s="43"/>
    </row>
    <row r="66" ht="15.75" hidden="1" customHeight="1">
      <c r="A66" s="265" t="s">
        <v>468</v>
      </c>
      <c r="B66" s="266" t="str">
        <f>IFERROR(VLOOKUP(A66&amp;"", STUDENTS!A:B, 2, 0), "")</f>
        <v>NGUYỄN ĐỨC NHẬT</v>
      </c>
      <c r="C66" s="104" t="s">
        <v>58</v>
      </c>
      <c r="D66" s="104" t="str">
        <f>IFERROR(VLOOKUP(C66, PIC!A:B, 2, 0), "")</f>
        <v>Nhat Nguyen</v>
      </c>
      <c r="E66" s="105" t="s">
        <v>23</v>
      </c>
      <c r="F66" s="267">
        <v>45890.41666666666</v>
      </c>
      <c r="G66" s="268">
        <v>45897.41666666666</v>
      </c>
      <c r="H66" s="268">
        <v>45904.41666666666</v>
      </c>
      <c r="I66" s="267">
        <v>45911.41666666666</v>
      </c>
      <c r="J66" s="268">
        <v>45925.41666666666</v>
      </c>
      <c r="K66" s="267">
        <v>45939.41666666666</v>
      </c>
      <c r="L66" s="268">
        <v>45946.41666666666</v>
      </c>
      <c r="M66" s="268">
        <v>45953.41666666666</v>
      </c>
      <c r="N66" s="267">
        <v>45960.41666666666</v>
      </c>
      <c r="O66" s="267">
        <v>45982.45833333334</v>
      </c>
      <c r="P66" s="267">
        <v>45989.45833333334</v>
      </c>
      <c r="Q66" s="267">
        <v>45996.41666666666</v>
      </c>
      <c r="R66" s="267">
        <v>46010.41666666666</v>
      </c>
      <c r="S66" s="267">
        <v>46021.375</v>
      </c>
      <c r="T66" s="267"/>
      <c r="U66" s="268"/>
      <c r="V66" s="271"/>
      <c r="W66" s="272">
        <f t="shared" si="1"/>
        <v>46021.375</v>
      </c>
      <c r="X66" s="273"/>
      <c r="Y66" s="273"/>
      <c r="Z66" s="235"/>
      <c r="AA66" s="43"/>
    </row>
    <row r="67" ht="15.75" hidden="1" customHeight="1">
      <c r="A67" s="275" t="s">
        <v>476</v>
      </c>
      <c r="B67" s="276" t="str">
        <f>IFERROR(VLOOKUP(A67&amp;"", STUDENTS!A:B, 2, 0), "")</f>
        <v>PHAN THẾ AN</v>
      </c>
      <c r="C67" s="122" t="s">
        <v>58</v>
      </c>
      <c r="D67" s="122" t="str">
        <f>IFERROR(VLOOKUP(C67, PIC!A:B, 2, 0), "")</f>
        <v>Nhat Nguyen</v>
      </c>
      <c r="E67" s="123" t="s">
        <v>23</v>
      </c>
      <c r="F67" s="277">
        <v>45890.41666666666</v>
      </c>
      <c r="G67" s="278">
        <v>45897.41666666666</v>
      </c>
      <c r="H67" s="278">
        <v>45904.41666666666</v>
      </c>
      <c r="I67" s="277">
        <v>45911.41666666666</v>
      </c>
      <c r="J67" s="278">
        <v>45925.41666666666</v>
      </c>
      <c r="K67" s="277">
        <v>45939.41666666666</v>
      </c>
      <c r="L67" s="278">
        <v>45946.41666666666</v>
      </c>
      <c r="M67" s="278">
        <v>45953.41666666666</v>
      </c>
      <c r="N67" s="277">
        <v>45960.41666666666</v>
      </c>
      <c r="O67" s="277">
        <v>45982.45833333334</v>
      </c>
      <c r="P67" s="277">
        <v>45989.45833333334</v>
      </c>
      <c r="Q67" s="277">
        <v>45996.41666666666</v>
      </c>
      <c r="R67" s="277">
        <v>46010.41666666666</v>
      </c>
      <c r="S67" s="277">
        <v>46021.375</v>
      </c>
      <c r="T67" s="277">
        <v>46038.45833333334</v>
      </c>
      <c r="U67" s="278">
        <v>46083.45833333334</v>
      </c>
      <c r="V67" s="281"/>
      <c r="W67" s="282">
        <f t="shared" si="1"/>
        <v>46083.45833</v>
      </c>
      <c r="X67" s="283"/>
      <c r="Y67" s="283"/>
      <c r="Z67" s="235"/>
      <c r="AA67" s="43"/>
    </row>
    <row r="68" ht="15.75" hidden="1" customHeight="1">
      <c r="A68" s="265" t="s">
        <v>470</v>
      </c>
      <c r="B68" s="266" t="str">
        <f>IFERROR(VLOOKUP(A68&amp;"", STUDENTS!A:B, 2, 0), "")</f>
        <v>TRẦN NGỌC PHƯỚC HOÀNG</v>
      </c>
      <c r="C68" s="104" t="s">
        <v>58</v>
      </c>
      <c r="D68" s="104" t="str">
        <f>IFERROR(VLOOKUP(C68, PIC!A:B, 2, 0), "")</f>
        <v>Nhat Nguyen</v>
      </c>
      <c r="E68" s="105" t="s">
        <v>23</v>
      </c>
      <c r="F68" s="267">
        <v>45890.41666666666</v>
      </c>
      <c r="G68" s="268">
        <v>45897.41666666666</v>
      </c>
      <c r="H68" s="268">
        <v>45904.41666666666</v>
      </c>
      <c r="I68" s="267">
        <v>45911.41666666666</v>
      </c>
      <c r="J68" s="268">
        <v>45925.41666666666</v>
      </c>
      <c r="K68" s="267">
        <v>45939.41666666666</v>
      </c>
      <c r="L68" s="268">
        <v>45946.41666666666</v>
      </c>
      <c r="M68" s="268">
        <v>45953.41666666666</v>
      </c>
      <c r="N68" s="267">
        <v>45960.41666666666</v>
      </c>
      <c r="O68" s="267" t="s">
        <v>1162</v>
      </c>
      <c r="P68" s="267">
        <v>45989.45833333334</v>
      </c>
      <c r="Q68" s="267">
        <v>45996.41666666666</v>
      </c>
      <c r="R68" s="267">
        <v>46010.41666666666</v>
      </c>
      <c r="S68" s="267">
        <v>46021.375</v>
      </c>
      <c r="T68" s="267"/>
      <c r="U68" s="268"/>
      <c r="V68" s="271"/>
      <c r="W68" s="272">
        <f t="shared" si="1"/>
        <v>46021.375</v>
      </c>
      <c r="X68" s="273"/>
      <c r="Y68" s="273"/>
      <c r="Z68" s="235"/>
      <c r="AA68" s="43"/>
    </row>
    <row r="69" ht="15.75" hidden="1" customHeight="1">
      <c r="A69" s="275" t="s">
        <v>472</v>
      </c>
      <c r="B69" s="276" t="str">
        <f>IFERROR(VLOOKUP(A69&amp;"", STUDENTS!A:B, 2, 0), "")</f>
        <v>VÕ DUY KIỆT</v>
      </c>
      <c r="C69" s="122" t="s">
        <v>58</v>
      </c>
      <c r="D69" s="122" t="str">
        <f>IFERROR(VLOOKUP(C69, PIC!A:B, 2, 0), "")</f>
        <v>Nhat Nguyen</v>
      </c>
      <c r="E69" s="123" t="s">
        <v>23</v>
      </c>
      <c r="F69" s="277">
        <v>45841.58333333334</v>
      </c>
      <c r="G69" s="278">
        <v>45853.41666666666</v>
      </c>
      <c r="H69" s="278">
        <v>45882.625</v>
      </c>
      <c r="I69" s="277">
        <v>45889.625</v>
      </c>
      <c r="J69" s="278">
        <v>45917.625</v>
      </c>
      <c r="K69" s="277">
        <v>45924.625</v>
      </c>
      <c r="L69" s="278">
        <v>45931.625</v>
      </c>
      <c r="M69" s="278" t="s">
        <v>1162</v>
      </c>
      <c r="N69" s="277">
        <v>45960.41666666666</v>
      </c>
      <c r="O69" s="277">
        <v>45982.45833333334</v>
      </c>
      <c r="P69" s="277" t="s">
        <v>1162</v>
      </c>
      <c r="Q69" s="277">
        <v>45996.41666666666</v>
      </c>
      <c r="R69" s="277" t="s">
        <v>1162</v>
      </c>
      <c r="S69" s="277" t="s">
        <v>1162</v>
      </c>
      <c r="T69" s="277" t="s">
        <v>1162</v>
      </c>
      <c r="U69" s="278"/>
      <c r="V69" s="281"/>
      <c r="W69" s="282">
        <f t="shared" si="1"/>
        <v>45996.41667</v>
      </c>
      <c r="X69" s="283"/>
      <c r="Y69" s="283"/>
      <c r="Z69" s="235"/>
      <c r="AA69" s="43"/>
    </row>
    <row r="70" ht="15.75" hidden="1" customHeight="1">
      <c r="A70" s="265" t="s">
        <v>288</v>
      </c>
      <c r="B70" s="266" t="str">
        <f>IFERROR(VLOOKUP(A70&amp;"", STUDENTS!A:B, 2, 0), "")</f>
        <v>HUỲNH TẤN PHÁT</v>
      </c>
      <c r="C70" s="104" t="s">
        <v>59</v>
      </c>
      <c r="D70" s="104" t="str">
        <f>IFERROR(VLOOKUP(C70, PIC!A:B, 2, 0), "")</f>
        <v>Hung Nguyen</v>
      </c>
      <c r="E70" s="105" t="s">
        <v>22</v>
      </c>
      <c r="F70" s="267">
        <v>45772.58333333334</v>
      </c>
      <c r="G70" s="268">
        <v>45786.58333333334</v>
      </c>
      <c r="H70" s="268" t="s">
        <v>1162</v>
      </c>
      <c r="I70" s="267">
        <v>45849.45833333334</v>
      </c>
      <c r="J70" s="268">
        <v>45849.45833333334</v>
      </c>
      <c r="K70" s="267">
        <v>45862.625</v>
      </c>
      <c r="L70" s="268">
        <v>45869.41666666666</v>
      </c>
      <c r="M70" s="268">
        <v>45890.58333333334</v>
      </c>
      <c r="N70" s="267">
        <v>45897.54166666666</v>
      </c>
      <c r="O70" s="267">
        <v>45918.41666666666</v>
      </c>
      <c r="P70" s="267"/>
      <c r="Q70" s="267"/>
      <c r="R70" s="267"/>
      <c r="S70" s="267"/>
      <c r="T70" s="267"/>
      <c r="U70" s="268"/>
      <c r="V70" s="271"/>
      <c r="W70" s="272">
        <f t="shared" si="1"/>
        <v>45918.41667</v>
      </c>
      <c r="X70" s="273"/>
      <c r="Y70" s="273"/>
      <c r="Z70" s="235"/>
      <c r="AA70" s="43"/>
    </row>
    <row r="71" ht="15.75" hidden="1" customHeight="1">
      <c r="A71" s="275" t="s">
        <v>290</v>
      </c>
      <c r="B71" s="276" t="str">
        <f>IFERROR(VLOOKUP(A71&amp;"", STUDENTS!A:B, 2, 0), "")</f>
        <v>LÊ HOÀNG NGUYỄN</v>
      </c>
      <c r="C71" s="122" t="s">
        <v>59</v>
      </c>
      <c r="D71" s="122" t="str">
        <f>IFERROR(VLOOKUP(C71, PIC!A:B, 2, 0), "")</f>
        <v>Hung Nguyen</v>
      </c>
      <c r="E71" s="123" t="s">
        <v>22</v>
      </c>
      <c r="F71" s="277">
        <v>45772.58333333334</v>
      </c>
      <c r="G71" s="278">
        <v>45786.58333333334</v>
      </c>
      <c r="H71" s="278">
        <v>45841.54166666666</v>
      </c>
      <c r="I71" s="277">
        <v>45849.45833333334</v>
      </c>
      <c r="J71" s="278">
        <v>45849.45833333334</v>
      </c>
      <c r="K71" s="277">
        <v>45862.625</v>
      </c>
      <c r="L71" s="278">
        <v>45869.41666666666</v>
      </c>
      <c r="M71" s="278">
        <v>45890.58333333334</v>
      </c>
      <c r="N71" s="277">
        <v>45897.54166666666</v>
      </c>
      <c r="O71" s="277">
        <v>45918.41666666666</v>
      </c>
      <c r="P71" s="277"/>
      <c r="Q71" s="277"/>
      <c r="R71" s="277"/>
      <c r="S71" s="277"/>
      <c r="T71" s="277"/>
      <c r="U71" s="278"/>
      <c r="V71" s="281"/>
      <c r="W71" s="282">
        <f t="shared" si="1"/>
        <v>45918.41667</v>
      </c>
      <c r="X71" s="283"/>
      <c r="Y71" s="283"/>
      <c r="Z71" s="235"/>
      <c r="AA71" s="43"/>
    </row>
    <row r="72" ht="15.75" hidden="1" customHeight="1">
      <c r="A72" s="265" t="s">
        <v>292</v>
      </c>
      <c r="B72" s="266" t="str">
        <f>IFERROR(VLOOKUP(A72&amp;"", STUDENTS!A:B, 2, 0), "")</f>
        <v>PHẠM HỮU TUẤN</v>
      </c>
      <c r="C72" s="104" t="s">
        <v>59</v>
      </c>
      <c r="D72" s="104" t="str">
        <f>IFERROR(VLOOKUP(C72, PIC!A:B, 2, 0), "")</f>
        <v>Hung Nguyen</v>
      </c>
      <c r="E72" s="105" t="s">
        <v>22</v>
      </c>
      <c r="F72" s="267">
        <v>45772.58333333334</v>
      </c>
      <c r="G72" s="268">
        <v>45786.58333333334</v>
      </c>
      <c r="H72" s="268">
        <v>45841.54166666666</v>
      </c>
      <c r="I72" s="267">
        <v>45849.45833333334</v>
      </c>
      <c r="J72" s="268">
        <v>45849.45833333334</v>
      </c>
      <c r="K72" s="267">
        <v>45862.625</v>
      </c>
      <c r="L72" s="268">
        <v>45869.41666666666</v>
      </c>
      <c r="M72" s="268" t="s">
        <v>1162</v>
      </c>
      <c r="N72" s="267">
        <v>45897.54166666666</v>
      </c>
      <c r="O72" s="267">
        <v>45918.41666666666</v>
      </c>
      <c r="P72" s="267"/>
      <c r="Q72" s="267"/>
      <c r="R72" s="267"/>
      <c r="S72" s="267"/>
      <c r="T72" s="267"/>
      <c r="U72" s="268"/>
      <c r="V72" s="271"/>
      <c r="W72" s="272">
        <f t="shared" si="1"/>
        <v>45918.41667</v>
      </c>
      <c r="X72" s="273"/>
      <c r="Y72" s="273"/>
      <c r="Z72" s="235"/>
      <c r="AA72" s="43"/>
    </row>
    <row r="73" ht="15.75" hidden="1" customHeight="1">
      <c r="A73" s="275" t="s">
        <v>294</v>
      </c>
      <c r="B73" s="276" t="str">
        <f>IFERROR(VLOOKUP(A73&amp;"", STUDENTS!A:B, 2, 0), "")</f>
        <v>TRẦN ĐÌNH CHIẾN</v>
      </c>
      <c r="C73" s="122" t="s">
        <v>59</v>
      </c>
      <c r="D73" s="122" t="str">
        <f>IFERROR(VLOOKUP(C73, PIC!A:B, 2, 0), "")</f>
        <v>Hung Nguyen</v>
      </c>
      <c r="E73" s="123" t="s">
        <v>22</v>
      </c>
      <c r="F73" s="277">
        <v>45772.58333333334</v>
      </c>
      <c r="G73" s="278">
        <v>45786.58333333334</v>
      </c>
      <c r="H73" s="278">
        <v>45841.54166666666</v>
      </c>
      <c r="I73" s="277">
        <v>45849.45833333334</v>
      </c>
      <c r="J73" s="278">
        <v>45855.54166666666</v>
      </c>
      <c r="K73" s="277">
        <v>45862.625</v>
      </c>
      <c r="L73" s="278">
        <v>45869.41666666666</v>
      </c>
      <c r="M73" s="278">
        <v>45890.58333333334</v>
      </c>
      <c r="N73" s="277">
        <v>45897.54166666666</v>
      </c>
      <c r="O73" s="277">
        <v>45918.41666666666</v>
      </c>
      <c r="P73" s="277"/>
      <c r="Q73" s="277"/>
      <c r="R73" s="277"/>
      <c r="S73" s="277"/>
      <c r="T73" s="277"/>
      <c r="U73" s="278"/>
      <c r="V73" s="281"/>
      <c r="W73" s="282">
        <f t="shared" si="1"/>
        <v>45918.41667</v>
      </c>
      <c r="X73" s="283"/>
      <c r="Y73" s="283"/>
      <c r="Z73" s="235"/>
      <c r="AA73" s="43"/>
    </row>
    <row r="74" ht="15.75" hidden="1" customHeight="1">
      <c r="A74" s="265" t="s">
        <v>296</v>
      </c>
      <c r="B74" s="266" t="str">
        <f>IFERROR(VLOOKUP(A74&amp;"", STUDENTS!A:B, 2, 0), "")</f>
        <v>TRẦN VĂN HÀ</v>
      </c>
      <c r="C74" s="104" t="s">
        <v>59</v>
      </c>
      <c r="D74" s="104" t="str">
        <f>IFERROR(VLOOKUP(C74, PIC!A:B, 2, 0), "")</f>
        <v>Hung Nguyen</v>
      </c>
      <c r="E74" s="105" t="s">
        <v>22</v>
      </c>
      <c r="F74" s="267">
        <v>45772.58333333334</v>
      </c>
      <c r="G74" s="268">
        <v>45786.58333333334</v>
      </c>
      <c r="H74" s="268">
        <v>45841.54166666666</v>
      </c>
      <c r="I74" s="267">
        <v>45849.45833333334</v>
      </c>
      <c r="J74" s="268">
        <v>45849.45833333334</v>
      </c>
      <c r="K74" s="267">
        <v>45862.625</v>
      </c>
      <c r="L74" s="268">
        <v>45869.41666666666</v>
      </c>
      <c r="M74" s="268">
        <v>45890.58333333334</v>
      </c>
      <c r="N74" s="267">
        <v>45897.54166666666</v>
      </c>
      <c r="O74" s="267">
        <v>45918.41666666666</v>
      </c>
      <c r="P74" s="267"/>
      <c r="Q74" s="267"/>
      <c r="R74" s="267"/>
      <c r="S74" s="267"/>
      <c r="T74" s="267"/>
      <c r="U74" s="268"/>
      <c r="V74" s="271"/>
      <c r="W74" s="272">
        <f t="shared" si="1"/>
        <v>45918.41667</v>
      </c>
      <c r="X74" s="273"/>
      <c r="Y74" s="273"/>
      <c r="Z74" s="235"/>
      <c r="AA74" s="43"/>
    </row>
    <row r="75" ht="15.75" hidden="1" customHeight="1">
      <c r="A75" s="275" t="s">
        <v>288</v>
      </c>
      <c r="B75" s="276" t="str">
        <f>IFERROR(VLOOKUP(A75&amp;"", STUDENTS!A:B, 2, 0), "")</f>
        <v>HUỲNH TẤN PHÁT</v>
      </c>
      <c r="C75" s="122" t="s">
        <v>59</v>
      </c>
      <c r="D75" s="122" t="str">
        <f>IFERROR(VLOOKUP(C75, PIC!A:B, 2, 0), "")</f>
        <v>Hung Nguyen</v>
      </c>
      <c r="E75" s="123" t="s">
        <v>23</v>
      </c>
      <c r="F75" s="277">
        <v>45946.45833333334</v>
      </c>
      <c r="G75" s="278">
        <v>45953.45833333334</v>
      </c>
      <c r="H75" s="278">
        <v>45960.45833333334</v>
      </c>
      <c r="I75" s="277">
        <v>45961.625</v>
      </c>
      <c r="J75" s="278">
        <v>45974.41666666666</v>
      </c>
      <c r="K75" s="277">
        <v>45981.41666666666</v>
      </c>
      <c r="L75" s="278">
        <v>45988.41666666666</v>
      </c>
      <c r="M75" s="278">
        <v>45995.41666666666</v>
      </c>
      <c r="N75" s="279">
        <v>46002.625</v>
      </c>
      <c r="O75" s="277">
        <v>46010.625</v>
      </c>
      <c r="P75" s="277">
        <v>46017.58333333334</v>
      </c>
      <c r="Q75" s="277">
        <v>46038.58333333334</v>
      </c>
      <c r="R75" s="277">
        <v>46044.41666666666</v>
      </c>
      <c r="S75" s="277">
        <v>46051.625</v>
      </c>
      <c r="T75" s="277">
        <v>46052.625</v>
      </c>
      <c r="U75" s="278">
        <v>46104.41666666666</v>
      </c>
      <c r="V75" s="281"/>
      <c r="W75" s="282">
        <f t="shared" si="1"/>
        <v>46104.41667</v>
      </c>
      <c r="X75" s="283"/>
      <c r="Y75" s="283"/>
      <c r="Z75" s="235"/>
      <c r="AA75" s="43"/>
    </row>
    <row r="76" ht="15.75" hidden="1" customHeight="1">
      <c r="A76" s="265" t="s">
        <v>290</v>
      </c>
      <c r="B76" s="266" t="str">
        <f>IFERROR(VLOOKUP(A76&amp;"", STUDENTS!A:B, 2, 0), "")</f>
        <v>LÊ HOÀNG NGUYỄN</v>
      </c>
      <c r="C76" s="104" t="s">
        <v>59</v>
      </c>
      <c r="D76" s="104" t="str">
        <f>IFERROR(VLOOKUP(C76, PIC!A:B, 2, 0), "")</f>
        <v>Hung Nguyen</v>
      </c>
      <c r="E76" s="105" t="s">
        <v>23</v>
      </c>
      <c r="F76" s="267">
        <v>45946.45833333334</v>
      </c>
      <c r="G76" s="268">
        <v>45953.45833333334</v>
      </c>
      <c r="H76" s="268">
        <v>45960.45833333334</v>
      </c>
      <c r="I76" s="267">
        <v>45961.625</v>
      </c>
      <c r="J76" s="268">
        <v>45974.41666666666</v>
      </c>
      <c r="K76" s="267">
        <v>45981.41666666666</v>
      </c>
      <c r="L76" s="268">
        <v>45988.41666666666</v>
      </c>
      <c r="M76" s="268">
        <v>45995.41666666666</v>
      </c>
      <c r="N76" s="269">
        <v>46002.625</v>
      </c>
      <c r="O76" s="267">
        <v>46010.625</v>
      </c>
      <c r="P76" s="267">
        <v>46017.58333333334</v>
      </c>
      <c r="Q76" s="267">
        <v>46038.58333333334</v>
      </c>
      <c r="R76" s="267">
        <v>46044.41666666666</v>
      </c>
      <c r="S76" s="267">
        <v>46051.625</v>
      </c>
      <c r="T76" s="267">
        <v>46052.625</v>
      </c>
      <c r="U76" s="268">
        <v>46104.41666666666</v>
      </c>
      <c r="V76" s="271"/>
      <c r="W76" s="272">
        <f t="shared" si="1"/>
        <v>46104.41667</v>
      </c>
      <c r="X76" s="273"/>
      <c r="Y76" s="273"/>
      <c r="Z76" s="235"/>
      <c r="AA76" s="43"/>
    </row>
    <row r="77" ht="15.75" hidden="1" customHeight="1">
      <c r="A77" s="275" t="s">
        <v>292</v>
      </c>
      <c r="B77" s="276" t="str">
        <f>IFERROR(VLOOKUP(A77&amp;"", STUDENTS!A:B, 2, 0), "")</f>
        <v>PHẠM HỮU TUẤN</v>
      </c>
      <c r="C77" s="122" t="s">
        <v>59</v>
      </c>
      <c r="D77" s="122" t="str">
        <f>IFERROR(VLOOKUP(C77, PIC!A:B, 2, 0), "")</f>
        <v>Hung Nguyen</v>
      </c>
      <c r="E77" s="123" t="s">
        <v>23</v>
      </c>
      <c r="F77" s="277">
        <v>45946.45833333334</v>
      </c>
      <c r="G77" s="278">
        <v>45953.45833333334</v>
      </c>
      <c r="H77" s="278">
        <v>45960.45833333334</v>
      </c>
      <c r="I77" s="277">
        <v>45961.625</v>
      </c>
      <c r="J77" s="278">
        <v>45974.41666666666</v>
      </c>
      <c r="K77" s="277">
        <v>45981.41666666666</v>
      </c>
      <c r="L77" s="278"/>
      <c r="M77" s="278">
        <v>45995.41666666666</v>
      </c>
      <c r="N77" s="279">
        <v>46002.625</v>
      </c>
      <c r="O77" s="277">
        <v>46010.625</v>
      </c>
      <c r="P77" s="277">
        <v>46017.58333333334</v>
      </c>
      <c r="Q77" s="277" t="s">
        <v>1162</v>
      </c>
      <c r="R77" s="277">
        <v>46044.41666666666</v>
      </c>
      <c r="S77" s="277">
        <v>46051.625</v>
      </c>
      <c r="T77" s="277">
        <v>46052.625</v>
      </c>
      <c r="U77" s="278">
        <v>46104.41666666666</v>
      </c>
      <c r="V77" s="281"/>
      <c r="W77" s="282">
        <f t="shared" si="1"/>
        <v>46104.41667</v>
      </c>
      <c r="X77" s="283"/>
      <c r="Y77" s="283"/>
      <c r="Z77" s="235"/>
      <c r="AA77" s="43"/>
    </row>
    <row r="78" ht="15.75" hidden="1" customHeight="1">
      <c r="A78" s="265" t="s">
        <v>294</v>
      </c>
      <c r="B78" s="266" t="str">
        <f>IFERROR(VLOOKUP(A78&amp;"", STUDENTS!A:B, 2, 0), "")</f>
        <v>TRẦN ĐÌNH CHIẾN</v>
      </c>
      <c r="C78" s="104" t="s">
        <v>59</v>
      </c>
      <c r="D78" s="104" t="str">
        <f>IFERROR(VLOOKUP(C78, PIC!A:B, 2, 0), "")</f>
        <v>Hung Nguyen</v>
      </c>
      <c r="E78" s="105" t="s">
        <v>23</v>
      </c>
      <c r="F78" s="267">
        <v>45946.45833333334</v>
      </c>
      <c r="G78" s="268">
        <v>45953.45833333334</v>
      </c>
      <c r="H78" s="268">
        <v>45960.45833333334</v>
      </c>
      <c r="I78" s="267">
        <v>45961.625</v>
      </c>
      <c r="J78" s="268">
        <v>45974.41666666666</v>
      </c>
      <c r="K78" s="267">
        <v>45981.41666666666</v>
      </c>
      <c r="L78" s="268">
        <v>45988.41666666666</v>
      </c>
      <c r="M78" s="268">
        <v>45995.41666666666</v>
      </c>
      <c r="N78" s="269">
        <v>46002.625</v>
      </c>
      <c r="O78" s="267">
        <v>46010.625</v>
      </c>
      <c r="P78" s="267">
        <v>46017.58333333334</v>
      </c>
      <c r="Q78" s="267">
        <v>46038.58333333334</v>
      </c>
      <c r="R78" s="267">
        <v>46044.41666666666</v>
      </c>
      <c r="S78" s="267">
        <v>46051.625</v>
      </c>
      <c r="T78" s="267">
        <v>46052.625</v>
      </c>
      <c r="U78" s="268">
        <v>46104.41666666666</v>
      </c>
      <c r="V78" s="271"/>
      <c r="W78" s="272">
        <f t="shared" si="1"/>
        <v>46104.41667</v>
      </c>
      <c r="X78" s="273"/>
      <c r="Y78" s="273"/>
      <c r="Z78" s="235"/>
      <c r="AA78" s="43"/>
    </row>
    <row r="79" ht="15.75" hidden="1" customHeight="1">
      <c r="A79" s="275" t="s">
        <v>296</v>
      </c>
      <c r="B79" s="276" t="str">
        <f>IFERROR(VLOOKUP(A79&amp;"", STUDENTS!A:B, 2, 0), "")</f>
        <v>TRẦN VĂN HÀ</v>
      </c>
      <c r="C79" s="122" t="s">
        <v>59</v>
      </c>
      <c r="D79" s="122" t="str">
        <f>IFERROR(VLOOKUP(C79, PIC!A:B, 2, 0), "")</f>
        <v>Hung Nguyen</v>
      </c>
      <c r="E79" s="123" t="s">
        <v>23</v>
      </c>
      <c r="F79" s="277">
        <v>45946.45833333334</v>
      </c>
      <c r="G79" s="278">
        <v>45953.45833333334</v>
      </c>
      <c r="H79" s="278">
        <v>45960.45833333334</v>
      </c>
      <c r="I79" s="277">
        <v>45961.625</v>
      </c>
      <c r="J79" s="278">
        <v>45974.41666666666</v>
      </c>
      <c r="K79" s="277">
        <v>45981.41666666666</v>
      </c>
      <c r="L79" s="278">
        <v>45988.41666666666</v>
      </c>
      <c r="M79" s="278">
        <v>45995.41666666666</v>
      </c>
      <c r="N79" s="279">
        <v>46002.625</v>
      </c>
      <c r="O79" s="277">
        <v>46010.625</v>
      </c>
      <c r="P79" s="277">
        <v>46017.58333333334</v>
      </c>
      <c r="Q79" s="277">
        <v>46038.58333333334</v>
      </c>
      <c r="R79" s="277">
        <v>46044.41666666666</v>
      </c>
      <c r="S79" s="277">
        <v>46051.625</v>
      </c>
      <c r="T79" s="277">
        <v>46052.625</v>
      </c>
      <c r="U79" s="278">
        <v>46104.41666666666</v>
      </c>
      <c r="V79" s="281"/>
      <c r="W79" s="282">
        <f t="shared" si="1"/>
        <v>46104.41667</v>
      </c>
      <c r="X79" s="283"/>
      <c r="Y79" s="283"/>
      <c r="Z79" s="235"/>
      <c r="AA79" s="43"/>
    </row>
    <row r="80" ht="15.75" hidden="1" customHeight="1">
      <c r="A80" s="265" t="s">
        <v>288</v>
      </c>
      <c r="B80" s="266" t="str">
        <f>IFERROR(VLOOKUP(A80&amp;"", STUDENTS!A:B, 2, 0), "")</f>
        <v>HUỲNH TẤN PHÁT</v>
      </c>
      <c r="C80" s="104" t="s">
        <v>59</v>
      </c>
      <c r="D80" s="104" t="str">
        <f>IFERROR(VLOOKUP(C80, PIC!A:B, 2, 0), "")</f>
        <v>Hung Nguyen</v>
      </c>
      <c r="E80" s="108" t="s">
        <v>25</v>
      </c>
      <c r="F80" s="267"/>
      <c r="G80" s="270">
        <v>46163.416666666664</v>
      </c>
      <c r="H80" s="269">
        <v>46170.625</v>
      </c>
      <c r="I80" s="269">
        <v>46184.458333333336</v>
      </c>
      <c r="J80" s="269">
        <v>46185.416666666664</v>
      </c>
      <c r="K80" s="269">
        <v>46191.416666666664</v>
      </c>
      <c r="L80" s="269">
        <v>46199.416666666664</v>
      </c>
      <c r="M80" s="269">
        <v>46205.458333333336</v>
      </c>
      <c r="N80" s="284" t="s">
        <v>1162</v>
      </c>
      <c r="O80" s="267"/>
      <c r="P80" s="267"/>
      <c r="Q80" s="267"/>
      <c r="R80" s="267"/>
      <c r="S80" s="267"/>
      <c r="T80" s="267"/>
      <c r="U80" s="268"/>
      <c r="V80" s="271"/>
      <c r="W80" s="272">
        <f t="shared" si="1"/>
        <v>46205.45833</v>
      </c>
      <c r="X80" s="273"/>
      <c r="Y80" s="273"/>
      <c r="Z80" s="235"/>
      <c r="AA80" s="43"/>
    </row>
    <row r="81" ht="15.75" hidden="1" customHeight="1">
      <c r="A81" s="275" t="s">
        <v>290</v>
      </c>
      <c r="B81" s="276" t="str">
        <f>IFERROR(VLOOKUP(A81&amp;"", STUDENTS!A:B, 2, 0), "")</f>
        <v>LÊ HOÀNG NGUYỄN</v>
      </c>
      <c r="C81" s="122" t="s">
        <v>59</v>
      </c>
      <c r="D81" s="122" t="str">
        <f>IFERROR(VLOOKUP(C81, PIC!A:B, 2, 0), "")</f>
        <v>Hung Nguyen</v>
      </c>
      <c r="E81" s="285" t="s">
        <v>25</v>
      </c>
      <c r="F81" s="277"/>
      <c r="G81" s="280">
        <v>46163.416666666664</v>
      </c>
      <c r="H81" s="279">
        <v>46170.625</v>
      </c>
      <c r="I81" s="279">
        <v>46184.458333333336</v>
      </c>
      <c r="J81" s="279">
        <v>46185.416666666664</v>
      </c>
      <c r="K81" s="279">
        <v>46191.416666666664</v>
      </c>
      <c r="L81" s="279">
        <v>46199.416666666664</v>
      </c>
      <c r="M81" s="279">
        <v>46205.458333333336</v>
      </c>
      <c r="N81" s="279">
        <v>46212.458333333336</v>
      </c>
      <c r="O81" s="277"/>
      <c r="P81" s="277"/>
      <c r="Q81" s="277"/>
      <c r="R81" s="277"/>
      <c r="S81" s="277"/>
      <c r="T81" s="277"/>
      <c r="U81" s="278"/>
      <c r="V81" s="281"/>
      <c r="W81" s="282">
        <f t="shared" si="1"/>
        <v>46212.45833</v>
      </c>
      <c r="X81" s="283"/>
      <c r="Y81" s="283"/>
      <c r="Z81" s="235"/>
      <c r="AA81" s="43"/>
    </row>
    <row r="82" ht="15.75" hidden="1" customHeight="1">
      <c r="A82" s="265" t="s">
        <v>292</v>
      </c>
      <c r="B82" s="266" t="str">
        <f>IFERROR(VLOOKUP(A82&amp;"", STUDENTS!A:B, 2, 0), "")</f>
        <v>PHẠM HỮU TUẤN</v>
      </c>
      <c r="C82" s="104" t="s">
        <v>59</v>
      </c>
      <c r="D82" s="104" t="str">
        <f>IFERROR(VLOOKUP(C82, PIC!A:B, 2, 0), "")</f>
        <v>Hung Nguyen</v>
      </c>
      <c r="E82" s="108" t="s">
        <v>25</v>
      </c>
      <c r="F82" s="267"/>
      <c r="G82" s="270">
        <v>46163.416666666664</v>
      </c>
      <c r="H82" s="269">
        <v>46170.625</v>
      </c>
      <c r="I82" s="269">
        <v>46184.458333333336</v>
      </c>
      <c r="J82" s="269">
        <v>46185.416666666664</v>
      </c>
      <c r="K82" s="269">
        <v>46191.416666666664</v>
      </c>
      <c r="L82" s="269">
        <v>46199.416666666664</v>
      </c>
      <c r="M82" s="269">
        <v>46205.458333333336</v>
      </c>
      <c r="N82" s="269">
        <v>46212.458333333336</v>
      </c>
      <c r="O82" s="267"/>
      <c r="P82" s="267"/>
      <c r="Q82" s="267"/>
      <c r="R82" s="267"/>
      <c r="S82" s="267"/>
      <c r="T82" s="267"/>
      <c r="U82" s="268"/>
      <c r="V82" s="271"/>
      <c r="W82" s="272">
        <f t="shared" si="1"/>
        <v>46212.45833</v>
      </c>
      <c r="X82" s="273"/>
      <c r="Y82" s="273"/>
      <c r="Z82" s="235"/>
      <c r="AA82" s="43"/>
    </row>
    <row r="83" ht="15.75" hidden="1" customHeight="1">
      <c r="A83" s="275" t="s">
        <v>294</v>
      </c>
      <c r="B83" s="276" t="str">
        <f>IFERROR(VLOOKUP(A83&amp;"", STUDENTS!A:B, 2, 0), "")</f>
        <v>TRẦN ĐÌNH CHIẾN</v>
      </c>
      <c r="C83" s="122" t="s">
        <v>59</v>
      </c>
      <c r="D83" s="122" t="str">
        <f>IFERROR(VLOOKUP(C83, PIC!A:B, 2, 0), "")</f>
        <v>Hung Nguyen</v>
      </c>
      <c r="E83" s="285" t="s">
        <v>25</v>
      </c>
      <c r="F83" s="277"/>
      <c r="G83" s="280">
        <v>46163.416666666664</v>
      </c>
      <c r="H83" s="279">
        <v>46170.625</v>
      </c>
      <c r="I83" s="279">
        <v>46184.458333333336</v>
      </c>
      <c r="J83" s="279">
        <v>46185.416666666664</v>
      </c>
      <c r="K83" s="279">
        <v>46191.416666666664</v>
      </c>
      <c r="L83" s="279">
        <v>46199.416666666664</v>
      </c>
      <c r="M83" s="279">
        <v>46205.458333333336</v>
      </c>
      <c r="N83" s="279">
        <v>46212.458333333336</v>
      </c>
      <c r="O83" s="277"/>
      <c r="P83" s="277"/>
      <c r="Q83" s="277"/>
      <c r="R83" s="277"/>
      <c r="S83" s="277"/>
      <c r="T83" s="277"/>
      <c r="U83" s="278"/>
      <c r="V83" s="281"/>
      <c r="W83" s="282">
        <f t="shared" si="1"/>
        <v>46212.45833</v>
      </c>
      <c r="X83" s="283"/>
      <c r="Y83" s="283"/>
      <c r="Z83" s="235"/>
      <c r="AA83" s="43"/>
    </row>
    <row r="84" ht="15.75" hidden="1" customHeight="1">
      <c r="A84" s="265" t="s">
        <v>296</v>
      </c>
      <c r="B84" s="266" t="str">
        <f>IFERROR(VLOOKUP(A84&amp;"", STUDENTS!A:B, 2, 0), "")</f>
        <v>TRẦN VĂN HÀ</v>
      </c>
      <c r="C84" s="104" t="s">
        <v>59</v>
      </c>
      <c r="D84" s="104" t="str">
        <f>IFERROR(VLOOKUP(C84, PIC!A:B, 2, 0), "")</f>
        <v>Hung Nguyen</v>
      </c>
      <c r="E84" s="108" t="s">
        <v>25</v>
      </c>
      <c r="F84" s="267"/>
      <c r="G84" s="270"/>
      <c r="H84" s="286"/>
      <c r="I84" s="269">
        <v>46184.458333333336</v>
      </c>
      <c r="J84" s="269">
        <v>46185.416666666664</v>
      </c>
      <c r="K84" s="269">
        <v>46191.416666666664</v>
      </c>
      <c r="L84" s="269">
        <v>46199.416666666664</v>
      </c>
      <c r="M84" s="108" t="s">
        <v>1162</v>
      </c>
      <c r="N84" s="269">
        <v>46212.458333333336</v>
      </c>
      <c r="O84" s="267"/>
      <c r="P84" s="267"/>
      <c r="Q84" s="267"/>
      <c r="R84" s="267"/>
      <c r="S84" s="267"/>
      <c r="T84" s="267"/>
      <c r="U84" s="268"/>
      <c r="V84" s="271"/>
      <c r="W84" s="272"/>
      <c r="X84" s="273"/>
      <c r="Y84" s="273"/>
      <c r="Z84" s="235"/>
      <c r="AA84" s="43"/>
    </row>
    <row r="85" ht="15.75" hidden="1" customHeight="1">
      <c r="A85" s="275" t="s">
        <v>752</v>
      </c>
      <c r="B85" s="276" t="str">
        <f>IFERROR(VLOOKUP(A85&amp;"", STUDENTS!A:B, 2, 0), "")</f>
        <v>ĐÀO SỸ THỜI</v>
      </c>
      <c r="C85" s="122" t="s">
        <v>60</v>
      </c>
      <c r="D85" s="122" t="str">
        <f>IFERROR(VLOOKUP(C85, PIC!A:B, 2, 0), "")</f>
        <v>Huong Le</v>
      </c>
      <c r="E85" s="123" t="s">
        <v>22</v>
      </c>
      <c r="F85" s="277">
        <v>45663.58333333334</v>
      </c>
      <c r="G85" s="278" t="s">
        <v>1162</v>
      </c>
      <c r="H85" s="278">
        <v>45716.58333333334</v>
      </c>
      <c r="I85" s="277">
        <v>45762.58333333334</v>
      </c>
      <c r="J85" s="278">
        <v>45768.58333333334</v>
      </c>
      <c r="K85" s="277" t="s">
        <v>1162</v>
      </c>
      <c r="L85" s="278">
        <v>45806.58333333334</v>
      </c>
      <c r="M85" s="278">
        <v>45810.54166666666</v>
      </c>
      <c r="N85" s="277">
        <v>45824.58333333334</v>
      </c>
      <c r="O85" s="277">
        <v>45852.54166666666</v>
      </c>
      <c r="P85" s="277"/>
      <c r="Q85" s="277"/>
      <c r="R85" s="277"/>
      <c r="S85" s="277"/>
      <c r="T85" s="277"/>
      <c r="U85" s="278"/>
      <c r="V85" s="281"/>
      <c r="W85" s="282">
        <f t="shared" ref="W85:W549" si="2">MAX(F85:U85)</f>
        <v>45852.54167</v>
      </c>
      <c r="X85" s="283"/>
      <c r="Y85" s="283"/>
      <c r="Z85" s="235"/>
      <c r="AA85" s="43"/>
    </row>
    <row r="86" ht="15.75" hidden="1" customHeight="1">
      <c r="A86" s="265" t="s">
        <v>302</v>
      </c>
      <c r="B86" s="266" t="str">
        <f>IFERROR(VLOOKUP(A86&amp;"", STUDENTS!A:B, 2, 0), "")</f>
        <v>LƯƠNG TRÀ VY</v>
      </c>
      <c r="C86" s="104" t="s">
        <v>60</v>
      </c>
      <c r="D86" s="104" t="str">
        <f>IFERROR(VLOOKUP(C86, PIC!A:B, 2, 0), "")</f>
        <v>Huong Le</v>
      </c>
      <c r="E86" s="105" t="s">
        <v>22</v>
      </c>
      <c r="F86" s="267">
        <v>45663.58333333334</v>
      </c>
      <c r="G86" s="268">
        <v>45698.58333333334</v>
      </c>
      <c r="H86" s="268">
        <v>45716.58333333334</v>
      </c>
      <c r="I86" s="267">
        <v>45762.58333333334</v>
      </c>
      <c r="J86" s="268">
        <v>45768.58333333334</v>
      </c>
      <c r="K86" s="267" t="s">
        <v>1162</v>
      </c>
      <c r="L86" s="268">
        <v>45806.58333333334</v>
      </c>
      <c r="M86" s="268">
        <v>45810.54166666666</v>
      </c>
      <c r="N86" s="267">
        <v>45824.58333333334</v>
      </c>
      <c r="O86" s="267">
        <v>45852.54166666666</v>
      </c>
      <c r="P86" s="267"/>
      <c r="Q86" s="267"/>
      <c r="R86" s="267"/>
      <c r="S86" s="267"/>
      <c r="T86" s="267"/>
      <c r="U86" s="268"/>
      <c r="V86" s="271"/>
      <c r="W86" s="272">
        <f t="shared" si="2"/>
        <v>45852.54167</v>
      </c>
      <c r="X86" s="273"/>
      <c r="Y86" s="273"/>
      <c r="Z86" s="235"/>
      <c r="AA86" s="43"/>
    </row>
    <row r="87" ht="15.75" hidden="1" customHeight="1">
      <c r="A87" s="275" t="s">
        <v>747</v>
      </c>
      <c r="B87" s="276" t="str">
        <f>IFERROR(VLOOKUP(A87&amp;"", STUDENTS!A:B, 2, 0), "")</f>
        <v>NGUYỄN QUANG TRUNG</v>
      </c>
      <c r="C87" s="122" t="s">
        <v>60</v>
      </c>
      <c r="D87" s="122" t="str">
        <f>IFERROR(VLOOKUP(C87, PIC!A:B, 2, 0), "")</f>
        <v>Huong Le</v>
      </c>
      <c r="E87" s="123" t="s">
        <v>22</v>
      </c>
      <c r="F87" s="277">
        <v>45663.58333333334</v>
      </c>
      <c r="G87" s="278">
        <v>45698.58333333334</v>
      </c>
      <c r="H87" s="278">
        <v>45716.58333333334</v>
      </c>
      <c r="I87" s="277">
        <v>45762.58333333334</v>
      </c>
      <c r="J87" s="278">
        <v>45768.58333333334</v>
      </c>
      <c r="K87" s="277">
        <v>45782.54166666666</v>
      </c>
      <c r="L87" s="278">
        <v>45806.58333333334</v>
      </c>
      <c r="M87" s="278">
        <v>45810.54166666666</v>
      </c>
      <c r="N87" s="277">
        <v>45824.58333333334</v>
      </c>
      <c r="O87" s="277">
        <v>45852.54166666666</v>
      </c>
      <c r="P87" s="277"/>
      <c r="Q87" s="277"/>
      <c r="R87" s="277"/>
      <c r="S87" s="277"/>
      <c r="T87" s="277"/>
      <c r="U87" s="278"/>
      <c r="V87" s="281"/>
      <c r="W87" s="282">
        <f t="shared" si="2"/>
        <v>45852.54167</v>
      </c>
      <c r="X87" s="283"/>
      <c r="Y87" s="283"/>
      <c r="Z87" s="235"/>
      <c r="AA87" s="43"/>
    </row>
    <row r="88" ht="15.75" hidden="1" customHeight="1">
      <c r="A88" s="265" t="s">
        <v>308</v>
      </c>
      <c r="B88" s="266" t="str">
        <f>IFERROR(VLOOKUP(A88&amp;"", STUDENTS!A:B, 2, 0), "")</f>
        <v>NGUYỄN THÀNH PHI</v>
      </c>
      <c r="C88" s="104" t="s">
        <v>60</v>
      </c>
      <c r="D88" s="104" t="str">
        <f>IFERROR(VLOOKUP(C88, PIC!A:B, 2, 0), "")</f>
        <v>Huong Le</v>
      </c>
      <c r="E88" s="105" t="s">
        <v>22</v>
      </c>
      <c r="F88" s="267" t="s">
        <v>1162</v>
      </c>
      <c r="G88" s="268">
        <v>45698.58333333334</v>
      </c>
      <c r="H88" s="268">
        <v>45716.58333333334</v>
      </c>
      <c r="I88" s="267">
        <v>45762.58333333334</v>
      </c>
      <c r="J88" s="268">
        <v>45768.58333333334</v>
      </c>
      <c r="K88" s="267">
        <v>45782.54166666666</v>
      </c>
      <c r="L88" s="268">
        <v>45806.58333333334</v>
      </c>
      <c r="M88" s="268">
        <v>45810.54166666666</v>
      </c>
      <c r="N88" s="267">
        <v>45824.58333333334</v>
      </c>
      <c r="O88" s="267">
        <v>45852.54166666666</v>
      </c>
      <c r="P88" s="267"/>
      <c r="Q88" s="267"/>
      <c r="R88" s="267"/>
      <c r="S88" s="267"/>
      <c r="T88" s="267"/>
      <c r="U88" s="268"/>
      <c r="V88" s="271"/>
      <c r="W88" s="272">
        <f t="shared" si="2"/>
        <v>45852.54167</v>
      </c>
      <c r="X88" s="273"/>
      <c r="Y88" s="273"/>
      <c r="Z88" s="235"/>
      <c r="AA88" s="43"/>
    </row>
    <row r="89" ht="15.75" hidden="1" customHeight="1">
      <c r="A89" s="275" t="s">
        <v>310</v>
      </c>
      <c r="B89" s="276" t="str">
        <f>IFERROR(VLOOKUP(A89&amp;"", STUDENTS!A:B, 2, 0), "")</f>
        <v>NGUYỄN THỊ HỒNG ĐÀO</v>
      </c>
      <c r="C89" s="122" t="s">
        <v>60</v>
      </c>
      <c r="D89" s="122" t="str">
        <f>IFERROR(VLOOKUP(C89, PIC!A:B, 2, 0), "")</f>
        <v>Huong Le</v>
      </c>
      <c r="E89" s="123" t="s">
        <v>22</v>
      </c>
      <c r="F89" s="277">
        <v>45663.58333333334</v>
      </c>
      <c r="G89" s="278" t="s">
        <v>1162</v>
      </c>
      <c r="H89" s="278">
        <v>45716.58333333334</v>
      </c>
      <c r="I89" s="277" t="s">
        <v>1162</v>
      </c>
      <c r="J89" s="278">
        <v>45768.58333333334</v>
      </c>
      <c r="K89" s="277">
        <v>45782.54166666666</v>
      </c>
      <c r="L89" s="278">
        <v>45806.58333333334</v>
      </c>
      <c r="M89" s="278">
        <v>45810.54166666666</v>
      </c>
      <c r="N89" s="277">
        <v>45824.58333333334</v>
      </c>
      <c r="O89" s="277">
        <v>45852.54166666666</v>
      </c>
      <c r="P89" s="277"/>
      <c r="Q89" s="277"/>
      <c r="R89" s="277"/>
      <c r="S89" s="277"/>
      <c r="T89" s="277"/>
      <c r="U89" s="278"/>
      <c r="V89" s="281"/>
      <c r="W89" s="282">
        <f t="shared" si="2"/>
        <v>45852.54167</v>
      </c>
      <c r="X89" s="283"/>
      <c r="Y89" s="283"/>
      <c r="Z89" s="235"/>
      <c r="AA89" s="43"/>
    </row>
    <row r="90" ht="15.75" hidden="1" customHeight="1">
      <c r="A90" s="265" t="s">
        <v>314</v>
      </c>
      <c r="B90" s="266" t="str">
        <f>IFERROR(VLOOKUP(A90&amp;"", STUDENTS!A:B, 2, 0), "")</f>
        <v>NGUYỄN THÙY GIANG</v>
      </c>
      <c r="C90" s="104" t="s">
        <v>60</v>
      </c>
      <c r="D90" s="104" t="str">
        <f>IFERROR(VLOOKUP(C90, PIC!A:B, 2, 0), "")</f>
        <v>Huong Le</v>
      </c>
      <c r="E90" s="105" t="s">
        <v>22</v>
      </c>
      <c r="F90" s="267">
        <v>45663.58333333334</v>
      </c>
      <c r="G90" s="268">
        <v>45698.58333333334</v>
      </c>
      <c r="H90" s="268" t="s">
        <v>1162</v>
      </c>
      <c r="I90" s="267">
        <v>45762.58333333334</v>
      </c>
      <c r="J90" s="268">
        <v>45768.58333333334</v>
      </c>
      <c r="K90" s="267">
        <v>45782.54166666666</v>
      </c>
      <c r="L90" s="268">
        <v>45806.58333333334</v>
      </c>
      <c r="M90" s="268">
        <v>45810.54166666666</v>
      </c>
      <c r="N90" s="267">
        <v>45824.58333333334</v>
      </c>
      <c r="O90" s="267">
        <v>45852.54166666666</v>
      </c>
      <c r="P90" s="267"/>
      <c r="Q90" s="267"/>
      <c r="R90" s="267"/>
      <c r="S90" s="267"/>
      <c r="T90" s="267"/>
      <c r="U90" s="268"/>
      <c r="V90" s="271"/>
      <c r="W90" s="272">
        <f t="shared" si="2"/>
        <v>45852.54167</v>
      </c>
      <c r="X90" s="273"/>
      <c r="Y90" s="273"/>
      <c r="Z90" s="235"/>
      <c r="AA90" s="43"/>
    </row>
    <row r="91" ht="15.75" hidden="1" customHeight="1">
      <c r="A91" s="275" t="s">
        <v>298</v>
      </c>
      <c r="B91" s="276" t="str">
        <f>IFERROR(VLOOKUP(A91&amp;"", STUDENTS!A:B, 2, 0), "")</f>
        <v>LẠC MINH HOÀNG</v>
      </c>
      <c r="C91" s="122" t="s">
        <v>60</v>
      </c>
      <c r="D91" s="122" t="str">
        <f>IFERROR(VLOOKUP(C91, PIC!A:B, 2, 0), "")</f>
        <v>Huong Le</v>
      </c>
      <c r="E91" s="123" t="s">
        <v>23</v>
      </c>
      <c r="F91" s="277">
        <v>45915.54166666666</v>
      </c>
      <c r="G91" s="278">
        <v>45922.58333333334</v>
      </c>
      <c r="H91" s="278">
        <v>45929.54166666666</v>
      </c>
      <c r="I91" s="277">
        <v>45943.54166666666</v>
      </c>
      <c r="J91" s="278">
        <v>45950.58333333334</v>
      </c>
      <c r="K91" s="277">
        <v>45957.54166666666</v>
      </c>
      <c r="L91" s="278">
        <v>45972.58333333334</v>
      </c>
      <c r="M91" s="278">
        <v>45980.58333333334</v>
      </c>
      <c r="N91" s="277">
        <v>45981.58333333334</v>
      </c>
      <c r="O91" s="277">
        <v>45996.58333333334</v>
      </c>
      <c r="P91" s="277" t="s">
        <v>1162</v>
      </c>
      <c r="Q91" s="277">
        <v>46008.58333333334</v>
      </c>
      <c r="R91" s="277" t="s">
        <v>1162</v>
      </c>
      <c r="S91" s="277">
        <v>46021.54166666666</v>
      </c>
      <c r="T91" s="277">
        <v>46041.54166666666</v>
      </c>
      <c r="U91" s="278">
        <v>46115.54166666666</v>
      </c>
      <c r="V91" s="281"/>
      <c r="W91" s="282">
        <f t="shared" si="2"/>
        <v>46115.54167</v>
      </c>
      <c r="X91" s="283"/>
      <c r="Y91" s="283"/>
      <c r="Z91" s="235"/>
      <c r="AA91" s="43"/>
    </row>
    <row r="92" ht="15.75" hidden="1" customHeight="1">
      <c r="A92" s="265" t="s">
        <v>300</v>
      </c>
      <c r="B92" s="266" t="str">
        <f>IFERROR(VLOOKUP(A92&amp;"", STUDENTS!A:B, 2, 0), "")</f>
        <v>LÊ THỊ LAN HƯƠNG</v>
      </c>
      <c r="C92" s="104" t="s">
        <v>60</v>
      </c>
      <c r="D92" s="104" t="str">
        <f>IFERROR(VLOOKUP(C92, PIC!A:B, 2, 0), "")</f>
        <v>Huong Le</v>
      </c>
      <c r="E92" s="105" t="s">
        <v>23</v>
      </c>
      <c r="F92" s="267">
        <v>45915.54166666666</v>
      </c>
      <c r="G92" s="268" t="s">
        <v>1162</v>
      </c>
      <c r="H92" s="268">
        <v>45929.54166666666</v>
      </c>
      <c r="I92" s="267" t="s">
        <v>1162</v>
      </c>
      <c r="J92" s="268">
        <v>45950.58333333334</v>
      </c>
      <c r="K92" s="267">
        <v>45957.54166666666</v>
      </c>
      <c r="L92" s="268">
        <v>45972.58333333334</v>
      </c>
      <c r="M92" s="268">
        <v>45980.58333333334</v>
      </c>
      <c r="N92" s="267">
        <v>45981.58333333334</v>
      </c>
      <c r="O92" s="267">
        <v>45996.58333333334</v>
      </c>
      <c r="P92" s="267">
        <v>46006.58333333334</v>
      </c>
      <c r="Q92" s="267">
        <v>46008.58333333334</v>
      </c>
      <c r="R92" s="267">
        <v>46017.54166666666</v>
      </c>
      <c r="S92" s="267">
        <v>46021.54166666666</v>
      </c>
      <c r="T92" s="267">
        <v>46041.54166666666</v>
      </c>
      <c r="U92" s="268">
        <v>46115.54166666666</v>
      </c>
      <c r="V92" s="271"/>
      <c r="W92" s="272">
        <f t="shared" si="2"/>
        <v>46115.54167</v>
      </c>
      <c r="X92" s="273"/>
      <c r="Y92" s="273"/>
      <c r="Z92" s="235"/>
      <c r="AA92" s="43"/>
    </row>
    <row r="93" ht="15.75" hidden="1" customHeight="1">
      <c r="A93" s="275" t="s">
        <v>302</v>
      </c>
      <c r="B93" s="276" t="str">
        <f>IFERROR(VLOOKUP(A93&amp;"", STUDENTS!A:B, 2, 0), "")</f>
        <v>LƯƠNG TRÀ VY</v>
      </c>
      <c r="C93" s="122" t="s">
        <v>60</v>
      </c>
      <c r="D93" s="122" t="str">
        <f>IFERROR(VLOOKUP(C93, PIC!A:B, 2, 0), "")</f>
        <v>Huong Le</v>
      </c>
      <c r="E93" s="123" t="s">
        <v>23</v>
      </c>
      <c r="F93" s="277">
        <v>45915.54166666666</v>
      </c>
      <c r="G93" s="278">
        <v>45922.58333333334</v>
      </c>
      <c r="H93" s="278">
        <v>45929.54166666666</v>
      </c>
      <c r="I93" s="277">
        <v>45943.54166666666</v>
      </c>
      <c r="J93" s="278">
        <v>45950.58333333334</v>
      </c>
      <c r="K93" s="277" t="s">
        <v>1162</v>
      </c>
      <c r="L93" s="278" t="s">
        <v>1162</v>
      </c>
      <c r="M93" s="278">
        <v>45980.58333333334</v>
      </c>
      <c r="N93" s="277">
        <v>45981.58333333334</v>
      </c>
      <c r="O93" s="277">
        <v>45996.58333333334</v>
      </c>
      <c r="P93" s="277">
        <v>46006.58333333334</v>
      </c>
      <c r="Q93" s="277">
        <v>46008.58333333334</v>
      </c>
      <c r="R93" s="277">
        <v>46017.54166666666</v>
      </c>
      <c r="S93" s="277">
        <v>46021.54166666666</v>
      </c>
      <c r="T93" s="277">
        <v>46041.54166666666</v>
      </c>
      <c r="U93" s="278">
        <v>46115.54166666666</v>
      </c>
      <c r="V93" s="281"/>
      <c r="W93" s="282">
        <f t="shared" si="2"/>
        <v>46115.54167</v>
      </c>
      <c r="X93" s="283"/>
      <c r="Y93" s="283"/>
      <c r="Z93" s="235"/>
      <c r="AA93" s="43"/>
    </row>
    <row r="94" ht="15.75" hidden="1" customHeight="1">
      <c r="A94" s="265" t="s">
        <v>304</v>
      </c>
      <c r="B94" s="266" t="str">
        <f>IFERROR(VLOOKUP(A94&amp;"", STUDENTS!A:B, 2, 0), "")</f>
        <v>NGUYỄN ANH ĐỨC</v>
      </c>
      <c r="C94" s="104" t="s">
        <v>60</v>
      </c>
      <c r="D94" s="104" t="str">
        <f>IFERROR(VLOOKUP(C94, PIC!A:B, 2, 0), "")</f>
        <v>Huong Le</v>
      </c>
      <c r="E94" s="105" t="s">
        <v>23</v>
      </c>
      <c r="F94" s="267">
        <v>45915.54166666666</v>
      </c>
      <c r="G94" s="268">
        <v>45922.58333333334</v>
      </c>
      <c r="H94" s="268">
        <v>45929.54166666666</v>
      </c>
      <c r="I94" s="267">
        <v>45943.54166666666</v>
      </c>
      <c r="J94" s="268">
        <v>45950.58333333334</v>
      </c>
      <c r="K94" s="267">
        <v>45957.54166666666</v>
      </c>
      <c r="L94" s="268" t="s">
        <v>1162</v>
      </c>
      <c r="M94" s="268">
        <v>45980.58333333334</v>
      </c>
      <c r="N94" s="267">
        <v>45981.58333333334</v>
      </c>
      <c r="O94" s="267">
        <v>45996.58333333334</v>
      </c>
      <c r="P94" s="267">
        <v>46006.58333333334</v>
      </c>
      <c r="Q94" s="267">
        <v>46008.58333333334</v>
      </c>
      <c r="R94" s="267">
        <v>46017.54166666666</v>
      </c>
      <c r="S94" s="267">
        <v>46021.54166666666</v>
      </c>
      <c r="T94" s="267">
        <v>46041.54166666666</v>
      </c>
      <c r="U94" s="268">
        <v>46115.54166666666</v>
      </c>
      <c r="V94" s="271"/>
      <c r="W94" s="272">
        <f t="shared" si="2"/>
        <v>46115.54167</v>
      </c>
      <c r="X94" s="273"/>
      <c r="Y94" s="273"/>
      <c r="Z94" s="235"/>
      <c r="AA94" s="43"/>
    </row>
    <row r="95" ht="15.75" hidden="1" customHeight="1">
      <c r="A95" s="275" t="s">
        <v>306</v>
      </c>
      <c r="B95" s="276" t="str">
        <f>IFERROR(VLOOKUP(A95&amp;"", STUDENTS!A:B, 2, 0), "")</f>
        <v>NGUYỄN MINH THƯ</v>
      </c>
      <c r="C95" s="122" t="s">
        <v>60</v>
      </c>
      <c r="D95" s="122" t="str">
        <f>IFERROR(VLOOKUP(C95, PIC!A:B, 2, 0), "")</f>
        <v>Huong Le</v>
      </c>
      <c r="E95" s="123" t="s">
        <v>23</v>
      </c>
      <c r="F95" s="277">
        <v>45915.54166666666</v>
      </c>
      <c r="G95" s="278" t="s">
        <v>1162</v>
      </c>
      <c r="H95" s="278" t="s">
        <v>1162</v>
      </c>
      <c r="I95" s="277">
        <v>45943.54166666666</v>
      </c>
      <c r="J95" s="278">
        <v>45950.58333333334</v>
      </c>
      <c r="K95" s="277">
        <v>45957.54166666666</v>
      </c>
      <c r="L95" s="278" t="s">
        <v>1162</v>
      </c>
      <c r="M95" s="278">
        <v>45980.58333333334</v>
      </c>
      <c r="N95" s="277">
        <v>45981.58333333334</v>
      </c>
      <c r="O95" s="277">
        <v>45996.58333333334</v>
      </c>
      <c r="P95" s="277">
        <v>46006.58333333334</v>
      </c>
      <c r="Q95" s="277">
        <v>46008.58333333334</v>
      </c>
      <c r="R95" s="277">
        <v>46017.54166666666</v>
      </c>
      <c r="S95" s="277">
        <v>46021.54166666666</v>
      </c>
      <c r="T95" s="277">
        <v>46041.54166666666</v>
      </c>
      <c r="U95" s="278">
        <v>46115.54166666666</v>
      </c>
      <c r="V95" s="281"/>
      <c r="W95" s="282">
        <f t="shared" si="2"/>
        <v>46115.54167</v>
      </c>
      <c r="X95" s="283"/>
      <c r="Y95" s="283"/>
      <c r="Z95" s="235"/>
      <c r="AA95" s="43"/>
    </row>
    <row r="96" ht="15.75" hidden="1" customHeight="1">
      <c r="A96" s="265" t="s">
        <v>308</v>
      </c>
      <c r="B96" s="266" t="str">
        <f>IFERROR(VLOOKUP(A96&amp;"", STUDENTS!A:B, 2, 0), "")</f>
        <v>NGUYỄN THÀNH PHI</v>
      </c>
      <c r="C96" s="104" t="s">
        <v>60</v>
      </c>
      <c r="D96" s="104" t="str">
        <f>IFERROR(VLOOKUP(C96, PIC!A:B, 2, 0), "")</f>
        <v>Huong Le</v>
      </c>
      <c r="E96" s="105" t="s">
        <v>23</v>
      </c>
      <c r="F96" s="267" t="s">
        <v>1162</v>
      </c>
      <c r="G96" s="268">
        <v>45922.58333333334</v>
      </c>
      <c r="H96" s="268">
        <v>45929.54166666666</v>
      </c>
      <c r="I96" s="267" t="s">
        <v>1162</v>
      </c>
      <c r="J96" s="268">
        <v>45950.58333333334</v>
      </c>
      <c r="K96" s="267">
        <v>45957.54166666666</v>
      </c>
      <c r="L96" s="268" t="s">
        <v>1162</v>
      </c>
      <c r="M96" s="268">
        <v>45980.58333333334</v>
      </c>
      <c r="N96" s="267">
        <v>45981.58333333334</v>
      </c>
      <c r="O96" s="267">
        <v>45996.58333333334</v>
      </c>
      <c r="P96" s="267">
        <v>46006.58333333334</v>
      </c>
      <c r="Q96" s="267">
        <v>46008.58333333334</v>
      </c>
      <c r="R96" s="267">
        <v>46017.54166666666</v>
      </c>
      <c r="S96" s="267" t="s">
        <v>1162</v>
      </c>
      <c r="T96" s="267">
        <v>46041.54166666666</v>
      </c>
      <c r="U96" s="268">
        <v>46115.54166666666</v>
      </c>
      <c r="V96" s="271"/>
      <c r="W96" s="272">
        <f t="shared" si="2"/>
        <v>46115.54167</v>
      </c>
      <c r="X96" s="287"/>
      <c r="Y96" s="287"/>
      <c r="Z96" s="287"/>
      <c r="AA96" s="288"/>
    </row>
    <row r="97" ht="15.75" hidden="1" customHeight="1">
      <c r="A97" s="275" t="s">
        <v>310</v>
      </c>
      <c r="B97" s="276" t="str">
        <f>IFERROR(VLOOKUP(A97&amp;"", STUDENTS!A:B, 2, 0), "")</f>
        <v>NGUYỄN THỊ HỒNG ĐÀO</v>
      </c>
      <c r="C97" s="122" t="s">
        <v>60</v>
      </c>
      <c r="D97" s="122" t="str">
        <f>IFERROR(VLOOKUP(C97, PIC!A:B, 2, 0), "")</f>
        <v>Huong Le</v>
      </c>
      <c r="E97" s="123" t="s">
        <v>23</v>
      </c>
      <c r="F97" s="277">
        <v>45915.54166666666</v>
      </c>
      <c r="G97" s="278" t="s">
        <v>1162</v>
      </c>
      <c r="H97" s="278" t="s">
        <v>1162</v>
      </c>
      <c r="I97" s="277">
        <v>45943.54166666666</v>
      </c>
      <c r="J97" s="278">
        <v>45950.58333333334</v>
      </c>
      <c r="K97" s="277">
        <v>45957.54166666666</v>
      </c>
      <c r="L97" s="278">
        <v>45972.58333333334</v>
      </c>
      <c r="M97" s="278">
        <v>45980.58333333334</v>
      </c>
      <c r="N97" s="277">
        <v>45981.58333333334</v>
      </c>
      <c r="O97" s="277">
        <v>45996.58333333334</v>
      </c>
      <c r="P97" s="277">
        <v>46006.58333333334</v>
      </c>
      <c r="Q97" s="277">
        <v>46008.58333333334</v>
      </c>
      <c r="R97" s="277">
        <v>46017.54166666666</v>
      </c>
      <c r="S97" s="277">
        <v>46021.54166666666</v>
      </c>
      <c r="T97" s="277">
        <v>46041.54166666666</v>
      </c>
      <c r="U97" s="278">
        <v>46115.54166666666</v>
      </c>
      <c r="V97" s="281"/>
      <c r="W97" s="282">
        <f t="shared" si="2"/>
        <v>46115.54167</v>
      </c>
      <c r="X97" s="283"/>
      <c r="Y97" s="283"/>
      <c r="Z97" s="235"/>
      <c r="AA97" s="43"/>
    </row>
    <row r="98" ht="15.75" hidden="1" customHeight="1">
      <c r="A98" s="265" t="s">
        <v>314</v>
      </c>
      <c r="B98" s="266" t="str">
        <f>IFERROR(VLOOKUP(A98&amp;"", STUDENTS!A:B, 2, 0), "")</f>
        <v>NGUYỄN THÙY GIANG</v>
      </c>
      <c r="C98" s="104" t="s">
        <v>60</v>
      </c>
      <c r="D98" s="104" t="str">
        <f>IFERROR(VLOOKUP(C98, PIC!A:B, 2, 0), "")</f>
        <v>Huong Le</v>
      </c>
      <c r="E98" s="105" t="s">
        <v>23</v>
      </c>
      <c r="F98" s="267">
        <v>45915.54166666666</v>
      </c>
      <c r="G98" s="268">
        <v>45922.58333333334</v>
      </c>
      <c r="H98" s="268">
        <v>45929.54166666666</v>
      </c>
      <c r="I98" s="267" t="s">
        <v>1162</v>
      </c>
      <c r="J98" s="268">
        <v>45950.58333333334</v>
      </c>
      <c r="K98" s="267">
        <v>45957.54166666666</v>
      </c>
      <c r="L98" s="268">
        <v>45972.58333333334</v>
      </c>
      <c r="M98" s="268">
        <v>45980.58333333334</v>
      </c>
      <c r="N98" s="267">
        <v>45981.58333333334</v>
      </c>
      <c r="O98" s="267">
        <v>45996.58333333334</v>
      </c>
      <c r="P98" s="267">
        <v>46006.58333333334</v>
      </c>
      <c r="Q98" s="267">
        <v>46008.58333333334</v>
      </c>
      <c r="R98" s="267">
        <v>46017.54166666666</v>
      </c>
      <c r="S98" s="267" t="s">
        <v>1162</v>
      </c>
      <c r="T98" s="267" t="s">
        <v>1162</v>
      </c>
      <c r="U98" s="268" t="s">
        <v>1162</v>
      </c>
      <c r="V98" s="271"/>
      <c r="W98" s="272">
        <f t="shared" si="2"/>
        <v>46017.54167</v>
      </c>
      <c r="X98" s="287"/>
      <c r="Y98" s="287"/>
      <c r="Z98" s="287"/>
      <c r="AA98" s="288"/>
    </row>
    <row r="99" ht="15.75" hidden="1" customHeight="1">
      <c r="A99" s="275" t="s">
        <v>312</v>
      </c>
      <c r="B99" s="276" t="str">
        <f>IFERROR(VLOOKUP(A99&amp;"", STUDENTS!A:B, 2, 0), "")</f>
        <v>PHẠM THỊ BÍCH THÚY</v>
      </c>
      <c r="C99" s="122" t="s">
        <v>60</v>
      </c>
      <c r="D99" s="122" t="str">
        <f>IFERROR(VLOOKUP(C99, PIC!A:B, 2, 0), "")</f>
        <v>Huong Le</v>
      </c>
      <c r="E99" s="123" t="s">
        <v>23</v>
      </c>
      <c r="F99" s="277">
        <v>45915.54166666666</v>
      </c>
      <c r="G99" s="278">
        <v>45922.58333333334</v>
      </c>
      <c r="H99" s="278">
        <v>45929.54166666666</v>
      </c>
      <c r="I99" s="277" t="s">
        <v>1162</v>
      </c>
      <c r="J99" s="278">
        <v>45950.58333333334</v>
      </c>
      <c r="K99" s="277">
        <v>45957.54166666666</v>
      </c>
      <c r="L99" s="278">
        <v>45972.58333333334</v>
      </c>
      <c r="M99" s="278">
        <v>45980.58333333334</v>
      </c>
      <c r="N99" s="277">
        <v>45981.58333333334</v>
      </c>
      <c r="O99" s="277">
        <v>45996.58333333334</v>
      </c>
      <c r="P99" s="277">
        <v>46006.58333333334</v>
      </c>
      <c r="Q99" s="277">
        <v>46008.58333333334</v>
      </c>
      <c r="R99" s="277" t="s">
        <v>1162</v>
      </c>
      <c r="S99" s="277">
        <v>46021.54166666666</v>
      </c>
      <c r="T99" s="277">
        <v>46041.54166666666</v>
      </c>
      <c r="U99" s="278">
        <v>46115.54166666666</v>
      </c>
      <c r="V99" s="281"/>
      <c r="W99" s="282">
        <f t="shared" si="2"/>
        <v>46115.54167</v>
      </c>
      <c r="X99" s="283"/>
      <c r="Y99" s="283"/>
      <c r="Z99" s="235"/>
      <c r="AA99" s="43"/>
    </row>
    <row r="100" ht="15.75" hidden="1" customHeight="1">
      <c r="A100" s="265" t="s">
        <v>333</v>
      </c>
      <c r="B100" s="266" t="str">
        <f>IFERROR(VLOOKUP(A100&amp;"", STUDENTS!A:B, 2, 0), "")</f>
        <v>HOÀNG MINH DUY</v>
      </c>
      <c r="C100" s="104" t="s">
        <v>61</v>
      </c>
      <c r="D100" s="104" t="str">
        <f>IFERROR(VLOOKUP(C100, PIC!A:B, 2, 0), "")</f>
        <v>Huy Tran 1</v>
      </c>
      <c r="E100" s="105" t="s">
        <v>22</v>
      </c>
      <c r="F100" s="267">
        <v>45644.375</v>
      </c>
      <c r="G100" s="268">
        <v>45652.375</v>
      </c>
      <c r="H100" s="268">
        <v>45659.375</v>
      </c>
      <c r="I100" s="267">
        <v>45671.375</v>
      </c>
      <c r="J100" s="268">
        <v>45694.375</v>
      </c>
      <c r="K100" s="267">
        <v>45701.375</v>
      </c>
      <c r="L100" s="268">
        <v>45707.45833333334</v>
      </c>
      <c r="M100" s="268" t="s">
        <v>1162</v>
      </c>
      <c r="N100" s="267">
        <v>45762.45833333334</v>
      </c>
      <c r="O100" s="267">
        <v>45799.375</v>
      </c>
      <c r="P100" s="267"/>
      <c r="Q100" s="267"/>
      <c r="R100" s="267"/>
      <c r="S100" s="267"/>
      <c r="T100" s="267"/>
      <c r="U100" s="268"/>
      <c r="V100" s="271"/>
      <c r="W100" s="272">
        <f t="shared" si="2"/>
        <v>45799.375</v>
      </c>
      <c r="X100" s="287"/>
      <c r="Y100" s="287"/>
      <c r="Z100" s="287"/>
      <c r="AA100" s="288"/>
    </row>
    <row r="101" ht="15.75" hidden="1" customHeight="1">
      <c r="A101" s="275" t="s">
        <v>335</v>
      </c>
      <c r="B101" s="276" t="str">
        <f>IFERROR(VLOOKUP(A101&amp;"", STUDENTS!A:B, 2, 0), "")</f>
        <v>HUỲNH NHẬT DUY</v>
      </c>
      <c r="C101" s="122" t="s">
        <v>61</v>
      </c>
      <c r="D101" s="122" t="str">
        <f>IFERROR(VLOOKUP(C101, PIC!A:B, 2, 0), "")</f>
        <v>Huy Tran 1</v>
      </c>
      <c r="E101" s="123" t="s">
        <v>22</v>
      </c>
      <c r="F101" s="277">
        <v>45644.375</v>
      </c>
      <c r="G101" s="278">
        <v>45652.375</v>
      </c>
      <c r="H101" s="278">
        <v>45659.375</v>
      </c>
      <c r="I101" s="277">
        <v>45671.375</v>
      </c>
      <c r="J101" s="278">
        <v>45694.375</v>
      </c>
      <c r="K101" s="277">
        <v>45701.375</v>
      </c>
      <c r="L101" s="278">
        <v>45707.45833333334</v>
      </c>
      <c r="M101" s="278">
        <v>45715.375</v>
      </c>
      <c r="N101" s="277">
        <v>45762.45833333334</v>
      </c>
      <c r="O101" s="277">
        <v>45799.375</v>
      </c>
      <c r="P101" s="277"/>
      <c r="Q101" s="277"/>
      <c r="R101" s="277"/>
      <c r="S101" s="277"/>
      <c r="T101" s="277"/>
      <c r="U101" s="278"/>
      <c r="V101" s="281"/>
      <c r="W101" s="282">
        <f t="shared" si="2"/>
        <v>45799.375</v>
      </c>
      <c r="X101" s="283"/>
      <c r="Y101" s="283"/>
      <c r="Z101" s="235"/>
      <c r="AA101" s="43"/>
    </row>
    <row r="102" ht="15.75" hidden="1" customHeight="1">
      <c r="A102" s="265" t="s">
        <v>337</v>
      </c>
      <c r="B102" s="266" t="str">
        <f>IFERROR(VLOOKUP(A102&amp;"", STUDENTS!A:B, 2, 0), "")</f>
        <v>MAI THỊ THÙY TRANG</v>
      </c>
      <c r="C102" s="104" t="s">
        <v>61</v>
      </c>
      <c r="D102" s="104" t="str">
        <f>IFERROR(VLOOKUP(C102, PIC!A:B, 2, 0), "")</f>
        <v>Huy Tran 1</v>
      </c>
      <c r="E102" s="105" t="s">
        <v>22</v>
      </c>
      <c r="F102" s="267">
        <v>45644.375</v>
      </c>
      <c r="G102" s="268" t="s">
        <v>1162</v>
      </c>
      <c r="H102" s="268">
        <v>45659.375</v>
      </c>
      <c r="I102" s="267">
        <v>45671.375</v>
      </c>
      <c r="J102" s="268">
        <v>45694.375</v>
      </c>
      <c r="K102" s="267">
        <v>45701.375</v>
      </c>
      <c r="L102" s="268">
        <v>45707.45833333334</v>
      </c>
      <c r="M102" s="268">
        <v>45715.375</v>
      </c>
      <c r="N102" s="267">
        <v>45762.45833333334</v>
      </c>
      <c r="O102" s="267">
        <v>45799.375</v>
      </c>
      <c r="P102" s="267"/>
      <c r="Q102" s="267"/>
      <c r="R102" s="267"/>
      <c r="S102" s="267"/>
      <c r="T102" s="267"/>
      <c r="U102" s="268"/>
      <c r="V102" s="271"/>
      <c r="W102" s="272">
        <f t="shared" si="2"/>
        <v>45799.375</v>
      </c>
      <c r="X102" s="287"/>
      <c r="Y102" s="287"/>
      <c r="Z102" s="287"/>
      <c r="AA102" s="288"/>
    </row>
    <row r="103" ht="15.75" hidden="1" customHeight="1">
      <c r="A103" s="275" t="s">
        <v>347</v>
      </c>
      <c r="B103" s="276" t="str">
        <f>IFERROR(VLOOKUP(A103&amp;"", STUDENTS!A:B, 2, 0), "")</f>
        <v>TRẦN NHƯ TRÂM ANH</v>
      </c>
      <c r="C103" s="122" t="s">
        <v>61</v>
      </c>
      <c r="D103" s="122" t="str">
        <f>IFERROR(VLOOKUP(C103, PIC!A:B, 2, 0), "")</f>
        <v>Huy Tran 1</v>
      </c>
      <c r="E103" s="123" t="s">
        <v>22</v>
      </c>
      <c r="F103" s="277">
        <v>45644.375</v>
      </c>
      <c r="G103" s="278">
        <v>45652.375</v>
      </c>
      <c r="H103" s="278">
        <v>45659.375</v>
      </c>
      <c r="I103" s="277">
        <v>45671.375</v>
      </c>
      <c r="J103" s="278">
        <v>45694.375</v>
      </c>
      <c r="K103" s="277">
        <v>45701.375</v>
      </c>
      <c r="L103" s="278">
        <v>45707.45833333334</v>
      </c>
      <c r="M103" s="278">
        <v>45715.375</v>
      </c>
      <c r="N103" s="277">
        <v>45762.45833333334</v>
      </c>
      <c r="O103" s="277">
        <v>45799.375</v>
      </c>
      <c r="P103" s="277"/>
      <c r="Q103" s="277"/>
      <c r="R103" s="277"/>
      <c r="S103" s="277"/>
      <c r="T103" s="277"/>
      <c r="U103" s="278"/>
      <c r="V103" s="281"/>
      <c r="W103" s="282">
        <f t="shared" si="2"/>
        <v>45799.375</v>
      </c>
      <c r="X103" s="287"/>
      <c r="Y103" s="287"/>
      <c r="Z103" s="287"/>
      <c r="AA103" s="288"/>
    </row>
    <row r="104" ht="15.75" hidden="1" customHeight="1">
      <c r="A104" s="265" t="s">
        <v>349</v>
      </c>
      <c r="B104" s="266" t="str">
        <f>IFERROR(VLOOKUP(A104&amp;"", STUDENTS!A:B, 2, 0), "")</f>
        <v>VÕ CAO TRÍ</v>
      </c>
      <c r="C104" s="104" t="s">
        <v>61</v>
      </c>
      <c r="D104" s="104" t="str">
        <f>IFERROR(VLOOKUP(C104, PIC!A:B, 2, 0), "")</f>
        <v>Huy Tran 1</v>
      </c>
      <c r="E104" s="105" t="s">
        <v>22</v>
      </c>
      <c r="F104" s="267">
        <v>45644.375</v>
      </c>
      <c r="G104" s="268">
        <v>45652.375</v>
      </c>
      <c r="H104" s="268">
        <v>45659.375</v>
      </c>
      <c r="I104" s="267">
        <v>45671.375</v>
      </c>
      <c r="J104" s="268">
        <v>45694.375</v>
      </c>
      <c r="K104" s="267">
        <v>45701.375</v>
      </c>
      <c r="L104" s="268">
        <v>45707.45833333334</v>
      </c>
      <c r="M104" s="268">
        <v>45715.375</v>
      </c>
      <c r="N104" s="267">
        <v>45762.45833333334</v>
      </c>
      <c r="O104" s="267">
        <v>45799.375</v>
      </c>
      <c r="P104" s="267"/>
      <c r="Q104" s="267"/>
      <c r="R104" s="267"/>
      <c r="S104" s="267"/>
      <c r="T104" s="267"/>
      <c r="U104" s="268"/>
      <c r="V104" s="271"/>
      <c r="W104" s="272">
        <f t="shared" si="2"/>
        <v>45799.375</v>
      </c>
      <c r="X104" s="287"/>
      <c r="Y104" s="287"/>
      <c r="Z104" s="287"/>
      <c r="AA104" s="288"/>
    </row>
    <row r="105" ht="15.75" hidden="1" customHeight="1">
      <c r="A105" s="289" t="s">
        <v>331</v>
      </c>
      <c r="B105" s="290" t="str">
        <f>IFERROR(VLOOKUP(A105&amp;"", STUDENTS!A:B, 2, 0), "")</f>
        <v>BÙI HUỲNH TRUNG TÍN</v>
      </c>
      <c r="C105" s="291" t="s">
        <v>61</v>
      </c>
      <c r="D105" s="291" t="str">
        <f>IFERROR(VLOOKUP(C105, PIC!A:B, 2, 0), "")</f>
        <v>Huy Tran 1</v>
      </c>
      <c r="E105" s="292" t="s">
        <v>23</v>
      </c>
      <c r="F105" s="293">
        <v>45853.375</v>
      </c>
      <c r="G105" s="294">
        <v>45853.45833333334</v>
      </c>
      <c r="H105" s="294">
        <v>45888.375</v>
      </c>
      <c r="I105" s="293">
        <v>45895.45833333334</v>
      </c>
      <c r="J105" s="294"/>
      <c r="K105" s="293"/>
      <c r="L105" s="294"/>
      <c r="M105" s="294"/>
      <c r="N105" s="293"/>
      <c r="O105" s="293"/>
      <c r="P105" s="293"/>
      <c r="Q105" s="293"/>
      <c r="R105" s="293"/>
      <c r="S105" s="293"/>
      <c r="T105" s="293"/>
      <c r="U105" s="294"/>
      <c r="V105" s="295"/>
      <c r="W105" s="296">
        <f t="shared" si="2"/>
        <v>45895.45833</v>
      </c>
      <c r="X105" s="287"/>
      <c r="Y105" s="287"/>
      <c r="Z105" s="287"/>
      <c r="AA105" s="288"/>
    </row>
    <row r="106" ht="15.75" hidden="1" customHeight="1">
      <c r="A106" s="289" t="s">
        <v>333</v>
      </c>
      <c r="B106" s="290" t="str">
        <f>IFERROR(VLOOKUP(A106&amp;"", STUDENTS!A:B, 2, 0), "")</f>
        <v>HOÀNG MINH DUY</v>
      </c>
      <c r="C106" s="291" t="s">
        <v>61</v>
      </c>
      <c r="D106" s="291" t="str">
        <f>IFERROR(VLOOKUP(C106, PIC!A:B, 2, 0), "")</f>
        <v>Huy Tran 1</v>
      </c>
      <c r="E106" s="292" t="s">
        <v>23</v>
      </c>
      <c r="F106" s="293">
        <v>45853.375</v>
      </c>
      <c r="G106" s="294">
        <v>45853.45833333334</v>
      </c>
      <c r="H106" s="294">
        <v>45888.375</v>
      </c>
      <c r="I106" s="293">
        <v>45895.45833333334</v>
      </c>
      <c r="J106" s="294"/>
      <c r="K106" s="293"/>
      <c r="L106" s="294"/>
      <c r="M106" s="294"/>
      <c r="N106" s="293"/>
      <c r="O106" s="293"/>
      <c r="P106" s="293"/>
      <c r="Q106" s="293"/>
      <c r="R106" s="293"/>
      <c r="S106" s="293"/>
      <c r="T106" s="293"/>
      <c r="U106" s="294"/>
      <c r="V106" s="295"/>
      <c r="W106" s="296">
        <f t="shared" si="2"/>
        <v>45895.45833</v>
      </c>
      <c r="X106" s="287"/>
      <c r="Y106" s="287"/>
      <c r="Z106" s="287"/>
      <c r="AA106" s="288"/>
    </row>
    <row r="107" ht="15.75" hidden="1" customHeight="1">
      <c r="A107" s="289" t="s">
        <v>335</v>
      </c>
      <c r="B107" s="290" t="str">
        <f>IFERROR(VLOOKUP(A107&amp;"", STUDENTS!A:B, 2, 0), "")</f>
        <v>HUỲNH NHẬT DUY</v>
      </c>
      <c r="C107" s="291" t="s">
        <v>61</v>
      </c>
      <c r="D107" s="291" t="str">
        <f>IFERROR(VLOOKUP(C107, PIC!A:B, 2, 0), "")</f>
        <v>Huy Tran 1</v>
      </c>
      <c r="E107" s="292" t="s">
        <v>23</v>
      </c>
      <c r="F107" s="293">
        <v>45853.375</v>
      </c>
      <c r="G107" s="294">
        <v>45853.45833333334</v>
      </c>
      <c r="H107" s="294">
        <v>45888.375</v>
      </c>
      <c r="I107" s="293">
        <v>45895.45833333334</v>
      </c>
      <c r="J107" s="294"/>
      <c r="K107" s="293"/>
      <c r="L107" s="294"/>
      <c r="M107" s="294"/>
      <c r="N107" s="293"/>
      <c r="O107" s="293"/>
      <c r="P107" s="293"/>
      <c r="Q107" s="293"/>
      <c r="R107" s="293"/>
      <c r="S107" s="293"/>
      <c r="T107" s="293"/>
      <c r="U107" s="294"/>
      <c r="V107" s="295"/>
      <c r="W107" s="296">
        <f t="shared" si="2"/>
        <v>45895.45833</v>
      </c>
      <c r="X107" s="283"/>
      <c r="Y107" s="283"/>
      <c r="Z107" s="235"/>
      <c r="AA107" s="43"/>
    </row>
    <row r="108" ht="15.75" hidden="1" customHeight="1">
      <c r="A108" s="289" t="s">
        <v>337</v>
      </c>
      <c r="B108" s="290" t="str">
        <f>IFERROR(VLOOKUP(A108&amp;"", STUDENTS!A:B, 2, 0), "")</f>
        <v>MAI THỊ THÙY TRANG</v>
      </c>
      <c r="C108" s="291" t="s">
        <v>61</v>
      </c>
      <c r="D108" s="291" t="str">
        <f>IFERROR(VLOOKUP(C108, PIC!A:B, 2, 0), "")</f>
        <v>Huy Tran 1</v>
      </c>
      <c r="E108" s="292" t="s">
        <v>23</v>
      </c>
      <c r="F108" s="293">
        <v>45853.375</v>
      </c>
      <c r="G108" s="294">
        <v>45853.45833333334</v>
      </c>
      <c r="H108" s="294">
        <v>45888.375</v>
      </c>
      <c r="I108" s="293">
        <v>45895.45833333334</v>
      </c>
      <c r="J108" s="294"/>
      <c r="K108" s="293"/>
      <c r="L108" s="294"/>
      <c r="M108" s="294"/>
      <c r="N108" s="293"/>
      <c r="O108" s="293"/>
      <c r="P108" s="293"/>
      <c r="Q108" s="293"/>
      <c r="R108" s="293"/>
      <c r="S108" s="293"/>
      <c r="T108" s="293"/>
      <c r="U108" s="294"/>
      <c r="V108" s="295"/>
      <c r="W108" s="296">
        <f t="shared" si="2"/>
        <v>45895.45833</v>
      </c>
      <c r="X108" s="273"/>
      <c r="Y108" s="273"/>
      <c r="Z108" s="235"/>
      <c r="AA108" s="43"/>
    </row>
    <row r="109" ht="15.75" hidden="1" customHeight="1">
      <c r="A109" s="289" t="s">
        <v>339</v>
      </c>
      <c r="B109" s="290" t="str">
        <f>IFERROR(VLOOKUP(A109&amp;"", STUDENTS!A:B, 2, 0), "")</f>
        <v>NGUYỄN CÔNG ĐOÀN</v>
      </c>
      <c r="C109" s="291" t="s">
        <v>61</v>
      </c>
      <c r="D109" s="291" t="str">
        <f>IFERROR(VLOOKUP(C109, PIC!A:B, 2, 0), "")</f>
        <v>Huy Tran 1</v>
      </c>
      <c r="E109" s="292" t="s">
        <v>23</v>
      </c>
      <c r="F109" s="293">
        <v>45853.375</v>
      </c>
      <c r="G109" s="294">
        <v>45853.45833333334</v>
      </c>
      <c r="H109" s="294">
        <v>45888.375</v>
      </c>
      <c r="I109" s="293">
        <v>45895.45833333334</v>
      </c>
      <c r="J109" s="294"/>
      <c r="K109" s="293"/>
      <c r="L109" s="294"/>
      <c r="M109" s="294"/>
      <c r="N109" s="293"/>
      <c r="O109" s="293"/>
      <c r="P109" s="293"/>
      <c r="Q109" s="293"/>
      <c r="R109" s="293"/>
      <c r="S109" s="293"/>
      <c r="T109" s="293"/>
      <c r="U109" s="294"/>
      <c r="V109" s="295"/>
      <c r="W109" s="296">
        <f t="shared" si="2"/>
        <v>45895.45833</v>
      </c>
      <c r="X109" s="283"/>
      <c r="Y109" s="283"/>
      <c r="Z109" s="235"/>
      <c r="AA109" s="43"/>
    </row>
    <row r="110" ht="15.75" hidden="1" customHeight="1">
      <c r="A110" s="289" t="s">
        <v>341</v>
      </c>
      <c r="B110" s="290" t="str">
        <f>IFERROR(VLOOKUP(A110&amp;"", STUDENTS!A:B, 2, 0), "")</f>
        <v>NGUYỄN KHÁNH UYÊN</v>
      </c>
      <c r="C110" s="291" t="s">
        <v>61</v>
      </c>
      <c r="D110" s="291" t="str">
        <f>IFERROR(VLOOKUP(C110, PIC!A:B, 2, 0), "")</f>
        <v>Huy Tran 1</v>
      </c>
      <c r="E110" s="292" t="s">
        <v>23</v>
      </c>
      <c r="F110" s="293">
        <v>45853.375</v>
      </c>
      <c r="G110" s="294">
        <v>45853.45833333334</v>
      </c>
      <c r="H110" s="294">
        <v>45888.375</v>
      </c>
      <c r="I110" s="293">
        <v>45895.45833333334</v>
      </c>
      <c r="J110" s="294"/>
      <c r="K110" s="293"/>
      <c r="L110" s="294"/>
      <c r="M110" s="294"/>
      <c r="N110" s="293"/>
      <c r="O110" s="293"/>
      <c r="P110" s="293"/>
      <c r="Q110" s="293"/>
      <c r="R110" s="293"/>
      <c r="S110" s="293"/>
      <c r="T110" s="293"/>
      <c r="U110" s="294"/>
      <c r="V110" s="295"/>
      <c r="W110" s="296">
        <f t="shared" si="2"/>
        <v>45895.45833</v>
      </c>
      <c r="X110" s="273"/>
      <c r="Y110" s="273"/>
      <c r="Z110" s="235"/>
      <c r="AA110" s="43"/>
    </row>
    <row r="111" ht="15.75" hidden="1" customHeight="1">
      <c r="A111" s="289" t="s">
        <v>343</v>
      </c>
      <c r="B111" s="290" t="str">
        <f>IFERROR(VLOOKUP(A111&amp;"", STUDENTS!A:B, 2, 0), "")</f>
        <v>NGUYỄN VĂN ĐỨC</v>
      </c>
      <c r="C111" s="291" t="s">
        <v>61</v>
      </c>
      <c r="D111" s="291" t="str">
        <f>IFERROR(VLOOKUP(C111, PIC!A:B, 2, 0), "")</f>
        <v>Huy Tran 1</v>
      </c>
      <c r="E111" s="292" t="s">
        <v>23</v>
      </c>
      <c r="F111" s="293">
        <v>45853.375</v>
      </c>
      <c r="G111" s="294" t="s">
        <v>1162</v>
      </c>
      <c r="H111" s="294" t="s">
        <v>1162</v>
      </c>
      <c r="I111" s="293" t="s">
        <v>1162</v>
      </c>
      <c r="J111" s="294"/>
      <c r="K111" s="293"/>
      <c r="L111" s="294"/>
      <c r="M111" s="294"/>
      <c r="N111" s="293"/>
      <c r="O111" s="293"/>
      <c r="P111" s="293"/>
      <c r="Q111" s="293"/>
      <c r="R111" s="293"/>
      <c r="S111" s="293"/>
      <c r="T111" s="293"/>
      <c r="U111" s="294"/>
      <c r="V111" s="295"/>
      <c r="W111" s="296">
        <f t="shared" si="2"/>
        <v>45853.375</v>
      </c>
      <c r="X111" s="283"/>
      <c r="Y111" s="283"/>
      <c r="Z111" s="235"/>
      <c r="AA111" s="43"/>
    </row>
    <row r="112" ht="15.75" hidden="1" customHeight="1">
      <c r="A112" s="289" t="s">
        <v>345</v>
      </c>
      <c r="B112" s="290" t="str">
        <f>IFERROR(VLOOKUP(A112&amp;"", STUDENTS!A:B, 2, 0), "")</f>
        <v>TĂNG HOÀNG YẾN</v>
      </c>
      <c r="C112" s="291" t="s">
        <v>61</v>
      </c>
      <c r="D112" s="291" t="str">
        <f>IFERROR(VLOOKUP(C112, PIC!A:B, 2, 0), "")</f>
        <v>Huy Tran 1</v>
      </c>
      <c r="E112" s="292" t="s">
        <v>23</v>
      </c>
      <c r="F112" s="293">
        <v>45853.375</v>
      </c>
      <c r="G112" s="294">
        <v>45853.45833333334</v>
      </c>
      <c r="H112" s="294">
        <v>45888.375</v>
      </c>
      <c r="I112" s="293">
        <v>45895.45833333334</v>
      </c>
      <c r="J112" s="294"/>
      <c r="K112" s="293"/>
      <c r="L112" s="294"/>
      <c r="M112" s="294"/>
      <c r="N112" s="293"/>
      <c r="O112" s="293"/>
      <c r="P112" s="293"/>
      <c r="Q112" s="293"/>
      <c r="R112" s="293"/>
      <c r="S112" s="293"/>
      <c r="T112" s="293"/>
      <c r="U112" s="294"/>
      <c r="V112" s="295"/>
      <c r="W112" s="296">
        <f t="shared" si="2"/>
        <v>45895.45833</v>
      </c>
      <c r="X112" s="273"/>
      <c r="Y112" s="273"/>
      <c r="Z112" s="235"/>
      <c r="AA112" s="43"/>
    </row>
    <row r="113" ht="15.75" hidden="1" customHeight="1">
      <c r="A113" s="275" t="s">
        <v>331</v>
      </c>
      <c r="B113" s="276" t="str">
        <f>IFERROR(VLOOKUP(A113&amp;"", STUDENTS!A:B, 2, 0), "")</f>
        <v>BÙI HUỲNH TRUNG TÍN</v>
      </c>
      <c r="C113" s="122" t="s">
        <v>62</v>
      </c>
      <c r="D113" s="122" t="str">
        <f>IFERROR(VLOOKUP(C113, PIC!A:B, 2, 0), "")</f>
        <v>Huy Tran 2</v>
      </c>
      <c r="E113" s="123" t="s">
        <v>22</v>
      </c>
      <c r="F113" s="277">
        <v>45644.375</v>
      </c>
      <c r="G113" s="278">
        <v>45652.375</v>
      </c>
      <c r="H113" s="278">
        <v>45666.375</v>
      </c>
      <c r="I113" s="277">
        <v>45692.375</v>
      </c>
      <c r="J113" s="278">
        <v>45700.45833333334</v>
      </c>
      <c r="K113" s="277">
        <v>45708.375</v>
      </c>
      <c r="L113" s="278">
        <v>45714.45833333334</v>
      </c>
      <c r="M113" s="278">
        <v>45756.45833333334</v>
      </c>
      <c r="N113" s="277">
        <v>45762.375</v>
      </c>
      <c r="O113" s="277">
        <v>45799.375</v>
      </c>
      <c r="P113" s="277"/>
      <c r="Q113" s="277"/>
      <c r="R113" s="277"/>
      <c r="S113" s="277"/>
      <c r="T113" s="277"/>
      <c r="U113" s="278"/>
      <c r="V113" s="281"/>
      <c r="W113" s="282">
        <f t="shared" si="2"/>
        <v>45799.375</v>
      </c>
      <c r="X113" s="283"/>
      <c r="Y113" s="283"/>
      <c r="Z113" s="235"/>
      <c r="AA113" s="43"/>
    </row>
    <row r="114" ht="15.75" hidden="1" customHeight="1">
      <c r="A114" s="265" t="s">
        <v>339</v>
      </c>
      <c r="B114" s="266" t="str">
        <f>IFERROR(VLOOKUP(A114&amp;"", STUDENTS!A:B, 2, 0), "")</f>
        <v>NGUYỄN CÔNG ĐOÀN</v>
      </c>
      <c r="C114" s="104" t="s">
        <v>62</v>
      </c>
      <c r="D114" s="104" t="str">
        <f>IFERROR(VLOOKUP(C114, PIC!A:B, 2, 0), "")</f>
        <v>Huy Tran 2</v>
      </c>
      <c r="E114" s="105" t="s">
        <v>22</v>
      </c>
      <c r="F114" s="267">
        <v>45644.375</v>
      </c>
      <c r="G114" s="268">
        <v>45652.375</v>
      </c>
      <c r="H114" s="268">
        <v>45666.375</v>
      </c>
      <c r="I114" s="267">
        <v>45692.375</v>
      </c>
      <c r="J114" s="268">
        <v>45700.45833333334</v>
      </c>
      <c r="K114" s="267">
        <v>45708.375</v>
      </c>
      <c r="L114" s="268">
        <v>45714.45833333334</v>
      </c>
      <c r="M114" s="268">
        <v>45756.45833333334</v>
      </c>
      <c r="N114" s="267">
        <v>45762.375</v>
      </c>
      <c r="O114" s="267">
        <v>45799.375</v>
      </c>
      <c r="P114" s="267"/>
      <c r="Q114" s="267"/>
      <c r="R114" s="267"/>
      <c r="S114" s="267"/>
      <c r="T114" s="267"/>
      <c r="U114" s="268"/>
      <c r="V114" s="271"/>
      <c r="W114" s="272">
        <f t="shared" si="2"/>
        <v>45799.375</v>
      </c>
      <c r="X114" s="273"/>
      <c r="Y114" s="273"/>
      <c r="Z114" s="235"/>
      <c r="AA114" s="43"/>
    </row>
    <row r="115" ht="15.75" hidden="1" customHeight="1">
      <c r="A115" s="275" t="s">
        <v>341</v>
      </c>
      <c r="B115" s="276" t="str">
        <f>IFERROR(VLOOKUP(A115&amp;"", STUDENTS!A:B, 2, 0), "")</f>
        <v>NGUYỄN KHÁNH UYÊN</v>
      </c>
      <c r="C115" s="122" t="s">
        <v>62</v>
      </c>
      <c r="D115" s="122" t="str">
        <f>IFERROR(VLOOKUP(C115, PIC!A:B, 2, 0), "")</f>
        <v>Huy Tran 2</v>
      </c>
      <c r="E115" s="123" t="s">
        <v>22</v>
      </c>
      <c r="F115" s="277">
        <v>45644.375</v>
      </c>
      <c r="G115" s="278" t="s">
        <v>1162</v>
      </c>
      <c r="H115" s="278">
        <v>45666.375</v>
      </c>
      <c r="I115" s="277">
        <v>45692.375</v>
      </c>
      <c r="J115" s="278">
        <v>45700.45833333334</v>
      </c>
      <c r="K115" s="277">
        <v>45708.375</v>
      </c>
      <c r="L115" s="278">
        <v>45714.45833333334</v>
      </c>
      <c r="M115" s="278">
        <v>45756.45833333334</v>
      </c>
      <c r="N115" s="277">
        <v>45762.375</v>
      </c>
      <c r="O115" s="277">
        <v>45799.375</v>
      </c>
      <c r="P115" s="277"/>
      <c r="Q115" s="277"/>
      <c r="R115" s="277"/>
      <c r="S115" s="277"/>
      <c r="T115" s="277"/>
      <c r="U115" s="278"/>
      <c r="V115" s="281"/>
      <c r="W115" s="282">
        <f t="shared" si="2"/>
        <v>45799.375</v>
      </c>
      <c r="X115" s="283"/>
      <c r="Y115" s="283"/>
      <c r="Z115" s="235"/>
      <c r="AA115" s="43"/>
    </row>
    <row r="116" ht="15.75" hidden="1" customHeight="1">
      <c r="A116" s="265" t="s">
        <v>343</v>
      </c>
      <c r="B116" s="266" t="str">
        <f>IFERROR(VLOOKUP(A116&amp;"", STUDENTS!A:B, 2, 0), "")</f>
        <v>NGUYỄN VĂN ĐỨC</v>
      </c>
      <c r="C116" s="104" t="s">
        <v>62</v>
      </c>
      <c r="D116" s="104" t="str">
        <f>IFERROR(VLOOKUP(C116, PIC!A:B, 2, 0), "")</f>
        <v>Huy Tran 2</v>
      </c>
      <c r="E116" s="105" t="s">
        <v>22</v>
      </c>
      <c r="F116" s="267">
        <v>45644.375</v>
      </c>
      <c r="G116" s="268">
        <v>45652.375</v>
      </c>
      <c r="H116" s="268">
        <v>45666.375</v>
      </c>
      <c r="I116" s="267">
        <v>45692.375</v>
      </c>
      <c r="J116" s="268">
        <v>45700.45833333334</v>
      </c>
      <c r="K116" s="267" t="s">
        <v>1162</v>
      </c>
      <c r="L116" s="268">
        <v>45714.45833333334</v>
      </c>
      <c r="M116" s="268">
        <v>45756.45833333334</v>
      </c>
      <c r="N116" s="267">
        <v>45762.375</v>
      </c>
      <c r="O116" s="267">
        <v>45799.375</v>
      </c>
      <c r="P116" s="267"/>
      <c r="Q116" s="267"/>
      <c r="R116" s="267"/>
      <c r="S116" s="267"/>
      <c r="T116" s="267"/>
      <c r="U116" s="268"/>
      <c r="V116" s="271"/>
      <c r="W116" s="272">
        <f t="shared" si="2"/>
        <v>45799.375</v>
      </c>
      <c r="X116" s="273"/>
      <c r="Y116" s="273"/>
      <c r="Z116" s="235"/>
      <c r="AA116" s="43"/>
    </row>
    <row r="117" ht="15.75" hidden="1" customHeight="1">
      <c r="A117" s="275" t="s">
        <v>345</v>
      </c>
      <c r="B117" s="276" t="str">
        <f>IFERROR(VLOOKUP(A117&amp;"", STUDENTS!A:B, 2, 0), "")</f>
        <v>TĂNG HOÀNG YẾN</v>
      </c>
      <c r="C117" s="122" t="s">
        <v>62</v>
      </c>
      <c r="D117" s="122" t="str">
        <f>IFERROR(VLOOKUP(C117, PIC!A:B, 2, 0), "")</f>
        <v>Huy Tran 2</v>
      </c>
      <c r="E117" s="123" t="s">
        <v>22</v>
      </c>
      <c r="F117" s="277">
        <v>45644.375</v>
      </c>
      <c r="G117" s="278">
        <v>45652.375</v>
      </c>
      <c r="H117" s="278">
        <v>45666.375</v>
      </c>
      <c r="I117" s="277">
        <v>45692.375</v>
      </c>
      <c r="J117" s="278">
        <v>45700.45833333334</v>
      </c>
      <c r="K117" s="277">
        <v>45708.375</v>
      </c>
      <c r="L117" s="278">
        <v>45714.45833333334</v>
      </c>
      <c r="M117" s="278">
        <v>45756.45833333334</v>
      </c>
      <c r="N117" s="277">
        <v>45762.375</v>
      </c>
      <c r="O117" s="277">
        <v>45799.375</v>
      </c>
      <c r="P117" s="277"/>
      <c r="Q117" s="277"/>
      <c r="R117" s="277"/>
      <c r="S117" s="277"/>
      <c r="T117" s="277"/>
      <c r="U117" s="278"/>
      <c r="V117" s="281"/>
      <c r="W117" s="282">
        <f t="shared" si="2"/>
        <v>45799.375</v>
      </c>
      <c r="X117" s="283"/>
      <c r="Y117" s="283"/>
      <c r="Z117" s="235"/>
      <c r="AA117" s="43"/>
    </row>
    <row r="118" ht="15.75" hidden="1" customHeight="1">
      <c r="A118" s="265" t="s">
        <v>351</v>
      </c>
      <c r="B118" s="266" t="str">
        <f>IFERROR(VLOOKUP(A118&amp;"", STUDENTS!A:B, 2, 0), "")</f>
        <v>ĐOÀN NHẬT QUANG</v>
      </c>
      <c r="C118" s="104" t="s">
        <v>63</v>
      </c>
      <c r="D118" s="104" t="str">
        <f>IFERROR(VLOOKUP(C118, PIC!A:B, 2, 0), "")</f>
        <v>Huyen Vo</v>
      </c>
      <c r="E118" s="105" t="s">
        <v>22</v>
      </c>
      <c r="F118" s="267">
        <v>45646.375</v>
      </c>
      <c r="G118" s="268">
        <v>45653.375</v>
      </c>
      <c r="H118" s="268">
        <v>45673.41666666666</v>
      </c>
      <c r="I118" s="267" t="s">
        <v>1162</v>
      </c>
      <c r="J118" s="268">
        <v>45700.58333333334</v>
      </c>
      <c r="K118" s="267">
        <v>45707.58333333334</v>
      </c>
      <c r="L118" s="268">
        <v>45714.58333333334</v>
      </c>
      <c r="M118" s="268">
        <v>45756.375</v>
      </c>
      <c r="N118" s="267">
        <v>45784.375</v>
      </c>
      <c r="O118" s="269">
        <v>45791.375</v>
      </c>
      <c r="P118" s="267"/>
      <c r="Q118" s="267"/>
      <c r="R118" s="267"/>
      <c r="S118" s="267"/>
      <c r="T118" s="267"/>
      <c r="U118" s="268"/>
      <c r="V118" s="271"/>
      <c r="W118" s="272">
        <f t="shared" si="2"/>
        <v>45791.375</v>
      </c>
      <c r="X118" s="273"/>
      <c r="Y118" s="273"/>
      <c r="Z118" s="235"/>
      <c r="AA118" s="43"/>
    </row>
    <row r="119" ht="15.75" hidden="1" customHeight="1">
      <c r="A119" s="275" t="s">
        <v>362</v>
      </c>
      <c r="B119" s="276" t="str">
        <f>IFERROR(VLOOKUP(A119&amp;"", STUDENTS!A:B, 2, 0), "")</f>
        <v>DƯƠNG HOÀNG LONG</v>
      </c>
      <c r="C119" s="122" t="s">
        <v>63</v>
      </c>
      <c r="D119" s="122" t="str">
        <f>IFERROR(VLOOKUP(C119, PIC!A:B, 2, 0), "")</f>
        <v>Huyen Vo</v>
      </c>
      <c r="E119" s="123" t="s">
        <v>22</v>
      </c>
      <c r="F119" s="277">
        <v>45646.375</v>
      </c>
      <c r="G119" s="278">
        <v>45653.375</v>
      </c>
      <c r="H119" s="278">
        <v>45673.375</v>
      </c>
      <c r="I119" s="277">
        <v>45680.375</v>
      </c>
      <c r="J119" s="278">
        <v>45700.58333333334</v>
      </c>
      <c r="K119" s="277">
        <v>45707.58333333334</v>
      </c>
      <c r="L119" s="278">
        <v>45714.58333333334</v>
      </c>
      <c r="M119" s="278">
        <v>45756.375</v>
      </c>
      <c r="N119" s="277" t="s">
        <v>1162</v>
      </c>
      <c r="O119" s="279">
        <v>45791.375</v>
      </c>
      <c r="P119" s="277"/>
      <c r="Q119" s="277"/>
      <c r="R119" s="277"/>
      <c r="S119" s="277"/>
      <c r="T119" s="277"/>
      <c r="U119" s="278"/>
      <c r="V119" s="281"/>
      <c r="W119" s="282">
        <f t="shared" si="2"/>
        <v>45791.375</v>
      </c>
      <c r="X119" s="283"/>
      <c r="Y119" s="283"/>
      <c r="Z119" s="235"/>
      <c r="AA119" s="43"/>
    </row>
    <row r="120" ht="15.75" hidden="1" customHeight="1">
      <c r="A120" s="265" t="s">
        <v>353</v>
      </c>
      <c r="B120" s="266" t="str">
        <f>IFERROR(VLOOKUP(A120&amp;"", STUDENTS!A:B, 2, 0), "")</f>
        <v>HUỲNH TẤN LỘC</v>
      </c>
      <c r="C120" s="104" t="s">
        <v>63</v>
      </c>
      <c r="D120" s="104" t="str">
        <f>IFERROR(VLOOKUP(C120, PIC!A:B, 2, 0), "")</f>
        <v>Huyen Vo</v>
      </c>
      <c r="E120" s="105" t="s">
        <v>22</v>
      </c>
      <c r="F120" s="267">
        <v>45646.375</v>
      </c>
      <c r="G120" s="268">
        <v>45653.375</v>
      </c>
      <c r="H120" s="268">
        <v>45673.41666666666</v>
      </c>
      <c r="I120" s="267">
        <v>45680.41666666666</v>
      </c>
      <c r="J120" s="268">
        <v>45700.58333333334</v>
      </c>
      <c r="K120" s="267">
        <v>45707.58333333334</v>
      </c>
      <c r="L120" s="268" t="s">
        <v>1162</v>
      </c>
      <c r="M120" s="268">
        <v>45756.375</v>
      </c>
      <c r="N120" s="267" t="s">
        <v>1162</v>
      </c>
      <c r="O120" s="269">
        <v>45791.375</v>
      </c>
      <c r="P120" s="267"/>
      <c r="Q120" s="267"/>
      <c r="R120" s="267"/>
      <c r="S120" s="267"/>
      <c r="T120" s="267"/>
      <c r="U120" s="268"/>
      <c r="V120" s="271"/>
      <c r="W120" s="272">
        <f t="shared" si="2"/>
        <v>45791.375</v>
      </c>
      <c r="X120" s="273"/>
      <c r="Y120" s="273"/>
      <c r="Z120" s="235"/>
      <c r="AA120" s="43"/>
    </row>
    <row r="121" ht="15.75" hidden="1" customHeight="1">
      <c r="A121" s="275" t="s">
        <v>355</v>
      </c>
      <c r="B121" s="276" t="str">
        <f>IFERROR(VLOOKUP(A121&amp;"", STUDENTS!A:B, 2, 0), "")</f>
        <v>LẠI MINH HIẾU</v>
      </c>
      <c r="C121" s="122" t="s">
        <v>63</v>
      </c>
      <c r="D121" s="122" t="str">
        <f>IFERROR(VLOOKUP(C121, PIC!A:B, 2, 0), "")</f>
        <v>Huyen Vo</v>
      </c>
      <c r="E121" s="123" t="s">
        <v>22</v>
      </c>
      <c r="F121" s="277">
        <v>45646.375</v>
      </c>
      <c r="G121" s="278">
        <v>45653.375</v>
      </c>
      <c r="H121" s="278">
        <v>45673.375</v>
      </c>
      <c r="I121" s="277" t="s">
        <v>1162</v>
      </c>
      <c r="J121" s="278">
        <v>45700.58333333334</v>
      </c>
      <c r="K121" s="277">
        <v>45707.58333333334</v>
      </c>
      <c r="L121" s="278">
        <v>45714.58333333334</v>
      </c>
      <c r="M121" s="278">
        <v>45756.375</v>
      </c>
      <c r="N121" s="277">
        <v>45784.375</v>
      </c>
      <c r="O121" s="279">
        <v>45791.375</v>
      </c>
      <c r="P121" s="277"/>
      <c r="Q121" s="277"/>
      <c r="R121" s="277"/>
      <c r="S121" s="277"/>
      <c r="T121" s="277"/>
      <c r="U121" s="278"/>
      <c r="V121" s="281"/>
      <c r="W121" s="282">
        <f t="shared" si="2"/>
        <v>45791.375</v>
      </c>
      <c r="X121" s="283"/>
      <c r="Y121" s="283"/>
      <c r="Z121" s="235"/>
      <c r="AA121" s="43"/>
    </row>
    <row r="122" ht="15.75" hidden="1" customHeight="1">
      <c r="A122" s="265" t="s">
        <v>364</v>
      </c>
      <c r="B122" s="266" t="str">
        <f>IFERROR(VLOOKUP(A122&amp;"", STUDENTS!A:B, 2, 0), "")</f>
        <v>LƯƠNG ANH TUẤN</v>
      </c>
      <c r="C122" s="104" t="s">
        <v>63</v>
      </c>
      <c r="D122" s="104" t="str">
        <f>IFERROR(VLOOKUP(C122, PIC!A:B, 2, 0), "")</f>
        <v>Huyen Vo</v>
      </c>
      <c r="E122" s="105" t="s">
        <v>22</v>
      </c>
      <c r="F122" s="267">
        <v>45646.375</v>
      </c>
      <c r="G122" s="268">
        <v>45653.375</v>
      </c>
      <c r="H122" s="268">
        <v>45673.41666666666</v>
      </c>
      <c r="I122" s="267">
        <v>45680.41666666666</v>
      </c>
      <c r="J122" s="268">
        <v>45694.375</v>
      </c>
      <c r="K122" s="267">
        <v>45701.375</v>
      </c>
      <c r="L122" s="268">
        <v>45708.375</v>
      </c>
      <c r="M122" s="268">
        <v>45756.375</v>
      </c>
      <c r="N122" s="267">
        <v>45784.375</v>
      </c>
      <c r="O122" s="269">
        <v>45791.375</v>
      </c>
      <c r="P122" s="267"/>
      <c r="Q122" s="267"/>
      <c r="R122" s="267"/>
      <c r="S122" s="267"/>
      <c r="T122" s="267"/>
      <c r="U122" s="268"/>
      <c r="V122" s="271"/>
      <c r="W122" s="272">
        <f t="shared" si="2"/>
        <v>45791.375</v>
      </c>
      <c r="X122" s="273"/>
      <c r="Y122" s="273"/>
      <c r="Z122" s="235"/>
      <c r="AA122" s="43"/>
    </row>
    <row r="123" ht="15.75" hidden="1" customHeight="1">
      <c r="A123" s="275" t="s">
        <v>357</v>
      </c>
      <c r="B123" s="276" t="str">
        <f>IFERROR(VLOOKUP(A123&amp;"", STUDENTS!A:B, 2, 0), "")</f>
        <v>NGUYỄN HOÀNG HẠ UYÊN</v>
      </c>
      <c r="C123" s="122" t="s">
        <v>63</v>
      </c>
      <c r="D123" s="122" t="str">
        <f>IFERROR(VLOOKUP(C123, PIC!A:B, 2, 0), "")</f>
        <v>Huyen Vo</v>
      </c>
      <c r="E123" s="123" t="s">
        <v>22</v>
      </c>
      <c r="F123" s="277">
        <v>45646.375</v>
      </c>
      <c r="G123" s="278">
        <v>45653.375</v>
      </c>
      <c r="H123" s="278" t="s">
        <v>1162</v>
      </c>
      <c r="I123" s="297" t="s">
        <v>1162</v>
      </c>
      <c r="J123" s="281">
        <v>45700.58333333334</v>
      </c>
      <c r="K123" s="277">
        <v>45707.58333333334</v>
      </c>
      <c r="L123" s="278" t="s">
        <v>1162</v>
      </c>
      <c r="M123" s="278" t="s">
        <v>1162</v>
      </c>
      <c r="N123" s="277">
        <v>45784.375</v>
      </c>
      <c r="O123" s="279">
        <v>45791.375</v>
      </c>
      <c r="P123" s="277"/>
      <c r="Q123" s="277"/>
      <c r="R123" s="277"/>
      <c r="S123" s="277"/>
      <c r="T123" s="277"/>
      <c r="U123" s="278"/>
      <c r="V123" s="281"/>
      <c r="W123" s="282">
        <f t="shared" si="2"/>
        <v>45791.375</v>
      </c>
      <c r="X123" s="283"/>
      <c r="Y123" s="283"/>
      <c r="Z123" s="235"/>
      <c r="AA123" s="43"/>
    </row>
    <row r="124" ht="15.75" hidden="1" customHeight="1">
      <c r="A124" s="265" t="s">
        <v>360</v>
      </c>
      <c r="B124" s="266" t="str">
        <f>IFERROR(VLOOKUP(A124&amp;"", STUDENTS!A:B, 2, 0), "")</f>
        <v>NGUYỄN HỮU NGHỊ</v>
      </c>
      <c r="C124" s="104" t="s">
        <v>63</v>
      </c>
      <c r="D124" s="104" t="str">
        <f>IFERROR(VLOOKUP(C124, PIC!A:B, 2, 0), "")</f>
        <v>Huyen Vo</v>
      </c>
      <c r="E124" s="105" t="s">
        <v>22</v>
      </c>
      <c r="F124" s="267" t="s">
        <v>1162</v>
      </c>
      <c r="G124" s="268">
        <v>45653.375</v>
      </c>
      <c r="H124" s="268">
        <v>45673.375</v>
      </c>
      <c r="I124" s="267">
        <v>45680.375</v>
      </c>
      <c r="J124" s="268">
        <v>45700.58333333334</v>
      </c>
      <c r="K124" s="267">
        <v>45707.58333333334</v>
      </c>
      <c r="L124" s="268">
        <v>45714.58333333334</v>
      </c>
      <c r="M124" s="268">
        <v>45756.375</v>
      </c>
      <c r="N124" s="267">
        <v>45784.375</v>
      </c>
      <c r="O124" s="269">
        <v>45791.375</v>
      </c>
      <c r="P124" s="267"/>
      <c r="Q124" s="267"/>
      <c r="R124" s="267"/>
      <c r="S124" s="267"/>
      <c r="T124" s="267"/>
      <c r="U124" s="268"/>
      <c r="V124" s="271"/>
      <c r="W124" s="272">
        <f t="shared" si="2"/>
        <v>45791.375</v>
      </c>
      <c r="X124" s="273"/>
      <c r="Y124" s="273"/>
      <c r="Z124" s="235"/>
      <c r="AA124" s="43"/>
    </row>
    <row r="125" ht="15.75" hidden="1" customHeight="1">
      <c r="A125" s="275" t="s">
        <v>366</v>
      </c>
      <c r="B125" s="276" t="str">
        <f>IFERROR(VLOOKUP(A125&amp;"", STUDENTS!A:B, 2, 0), "")</f>
        <v>HOÀNG NGỌC THẲNG</v>
      </c>
      <c r="C125" s="122" t="s">
        <v>64</v>
      </c>
      <c r="D125" s="122" t="str">
        <f>IFERROR(VLOOKUP(C125, PIC!A:B, 2, 0), "")</f>
        <v>Lanh Le</v>
      </c>
      <c r="E125" s="123" t="s">
        <v>22</v>
      </c>
      <c r="F125" s="277">
        <v>45637.375</v>
      </c>
      <c r="G125" s="278">
        <v>45645.375</v>
      </c>
      <c r="H125" s="278">
        <v>45667.41666666666</v>
      </c>
      <c r="I125" s="277">
        <v>45674.41666666666</v>
      </c>
      <c r="J125" s="278">
        <v>45695.41666666666</v>
      </c>
      <c r="K125" s="277">
        <v>45702.41666666666</v>
      </c>
      <c r="L125" s="278">
        <v>45709.58333333334</v>
      </c>
      <c r="M125" s="278">
        <v>45716.54166666666</v>
      </c>
      <c r="N125" s="277">
        <v>45765.625</v>
      </c>
      <c r="O125" s="277">
        <v>45806.41666666666</v>
      </c>
      <c r="P125" s="277"/>
      <c r="Q125" s="277"/>
      <c r="R125" s="277"/>
      <c r="S125" s="277"/>
      <c r="T125" s="277"/>
      <c r="U125" s="278"/>
      <c r="V125" s="281"/>
      <c r="W125" s="282">
        <f t="shared" si="2"/>
        <v>45806.41667</v>
      </c>
      <c r="X125" s="298" t="s">
        <v>1175</v>
      </c>
      <c r="Y125" s="283"/>
      <c r="Z125" s="235"/>
      <c r="AA125" s="43"/>
    </row>
    <row r="126" ht="15.75" hidden="1" customHeight="1">
      <c r="A126" s="265" t="s">
        <v>368</v>
      </c>
      <c r="B126" s="266" t="str">
        <f>IFERROR(VLOOKUP(A126&amp;"", STUDENTS!A:B, 2, 0), "")</f>
        <v>HUỲNH PHÚC TRƯỜNG</v>
      </c>
      <c r="C126" s="104" t="s">
        <v>64</v>
      </c>
      <c r="D126" s="104" t="str">
        <f>IFERROR(VLOOKUP(C126, PIC!A:B, 2, 0), "")</f>
        <v>Lanh Le</v>
      </c>
      <c r="E126" s="105" t="s">
        <v>22</v>
      </c>
      <c r="F126" s="267">
        <v>45637.375</v>
      </c>
      <c r="G126" s="268">
        <v>45645.375</v>
      </c>
      <c r="H126" s="268">
        <v>45667.41666666666</v>
      </c>
      <c r="I126" s="299">
        <v>45674.41666666666</v>
      </c>
      <c r="J126" s="271">
        <v>45695.41666666666</v>
      </c>
      <c r="K126" s="267">
        <v>45702.41666666666</v>
      </c>
      <c r="L126" s="268">
        <v>45709.58333333334</v>
      </c>
      <c r="M126" s="268">
        <v>45716.54166666666</v>
      </c>
      <c r="N126" s="267">
        <v>45765.625</v>
      </c>
      <c r="O126" s="267">
        <v>45806.41666666666</v>
      </c>
      <c r="P126" s="267"/>
      <c r="Q126" s="267"/>
      <c r="R126" s="267"/>
      <c r="S126" s="267"/>
      <c r="T126" s="267"/>
      <c r="U126" s="268"/>
      <c r="V126" s="271"/>
      <c r="W126" s="272">
        <f t="shared" si="2"/>
        <v>45806.41667</v>
      </c>
      <c r="X126" s="300" t="s">
        <v>1175</v>
      </c>
      <c r="Y126" s="273"/>
      <c r="Z126" s="235"/>
      <c r="AA126" s="43"/>
    </row>
    <row r="127" ht="15.75" hidden="1" customHeight="1">
      <c r="A127" s="275" t="s">
        <v>371</v>
      </c>
      <c r="B127" s="276" t="str">
        <f>IFERROR(VLOOKUP(A127&amp;"", STUDENTS!A:B, 2, 0), "")</f>
        <v>LÊ TRẦN XUÂN LÃNH</v>
      </c>
      <c r="C127" s="122" t="s">
        <v>64</v>
      </c>
      <c r="D127" s="122" t="str">
        <f>IFERROR(VLOOKUP(C127, PIC!A:B, 2, 0), "")</f>
        <v>Lanh Le</v>
      </c>
      <c r="E127" s="123" t="s">
        <v>22</v>
      </c>
      <c r="F127" s="277">
        <v>45639.375</v>
      </c>
      <c r="G127" s="278">
        <v>45645.375</v>
      </c>
      <c r="H127" s="278">
        <v>45667.41666666666</v>
      </c>
      <c r="I127" s="277">
        <v>45674.41666666666</v>
      </c>
      <c r="J127" s="278">
        <v>45695.41666666666</v>
      </c>
      <c r="K127" s="277">
        <v>45702.41666666666</v>
      </c>
      <c r="L127" s="278" t="s">
        <v>1162</v>
      </c>
      <c r="M127" s="278">
        <v>45716.54166666666</v>
      </c>
      <c r="N127" s="277">
        <v>45765.625</v>
      </c>
      <c r="O127" s="277">
        <v>45806.41666666666</v>
      </c>
      <c r="P127" s="277"/>
      <c r="Q127" s="277"/>
      <c r="R127" s="277"/>
      <c r="S127" s="277"/>
      <c r="T127" s="277"/>
      <c r="U127" s="278"/>
      <c r="V127" s="281"/>
      <c r="W127" s="282">
        <f t="shared" si="2"/>
        <v>45806.41667</v>
      </c>
      <c r="X127" s="298" t="s">
        <v>1175</v>
      </c>
      <c r="Y127" s="283"/>
      <c r="Z127" s="235"/>
      <c r="AA127" s="43"/>
    </row>
    <row r="128" ht="15.75" hidden="1" customHeight="1">
      <c r="A128" s="265" t="s">
        <v>380</v>
      </c>
      <c r="B128" s="266" t="str">
        <f>IFERROR(VLOOKUP(A128&amp;"", STUDENTS!A:B, 2, 0), "")</f>
        <v>NGUYỄN QUỐC TUẤN</v>
      </c>
      <c r="C128" s="104" t="s">
        <v>64</v>
      </c>
      <c r="D128" s="104" t="str">
        <f>IFERROR(VLOOKUP(C128, PIC!A:B, 2, 0), "")</f>
        <v>Lanh Le</v>
      </c>
      <c r="E128" s="105" t="s">
        <v>22</v>
      </c>
      <c r="F128" s="267" t="s">
        <v>1162</v>
      </c>
      <c r="G128" s="268">
        <v>45645.375</v>
      </c>
      <c r="H128" s="268">
        <v>45667.41666666666</v>
      </c>
      <c r="I128" s="267" t="s">
        <v>1162</v>
      </c>
      <c r="J128" s="268">
        <v>45695.41666666666</v>
      </c>
      <c r="K128" s="267">
        <v>45702.41666666666</v>
      </c>
      <c r="L128" s="268">
        <v>45709.58333333334</v>
      </c>
      <c r="M128" s="268">
        <v>45716.54166666666</v>
      </c>
      <c r="N128" s="267">
        <v>45765.625</v>
      </c>
      <c r="O128" s="267">
        <v>45806.41666666666</v>
      </c>
      <c r="P128" s="267"/>
      <c r="Q128" s="267"/>
      <c r="R128" s="267"/>
      <c r="S128" s="267"/>
      <c r="T128" s="267"/>
      <c r="U128" s="268"/>
      <c r="V128" s="271"/>
      <c r="W128" s="272">
        <f t="shared" si="2"/>
        <v>45806.41667</v>
      </c>
      <c r="X128" s="300" t="s">
        <v>1175</v>
      </c>
      <c r="Y128" s="273"/>
      <c r="Z128" s="235"/>
      <c r="AA128" s="43"/>
    </row>
    <row r="129" ht="15.75" hidden="1" customHeight="1">
      <c r="A129" s="275" t="s">
        <v>376</v>
      </c>
      <c r="B129" s="276" t="str">
        <f>IFERROR(VLOOKUP(A129&amp;"", STUDENTS!A:B, 2, 0), "")</f>
        <v>TRẦN ANH DUY</v>
      </c>
      <c r="C129" s="122" t="s">
        <v>64</v>
      </c>
      <c r="D129" s="122" t="str">
        <f>IFERROR(VLOOKUP(C129, PIC!A:B, 2, 0), "")</f>
        <v>Lanh Le</v>
      </c>
      <c r="E129" s="123" t="s">
        <v>22</v>
      </c>
      <c r="F129" s="277">
        <v>45636.45833333334</v>
      </c>
      <c r="G129" s="278">
        <v>45653.45833333334</v>
      </c>
      <c r="H129" s="278">
        <v>45667.41666666666</v>
      </c>
      <c r="I129" s="297">
        <v>45674.41666666666</v>
      </c>
      <c r="J129" s="281" t="s">
        <v>1162</v>
      </c>
      <c r="K129" s="277">
        <v>45702.41666666666</v>
      </c>
      <c r="L129" s="278">
        <v>45709.58333333334</v>
      </c>
      <c r="M129" s="278" t="s">
        <v>1162</v>
      </c>
      <c r="N129" s="277" t="s">
        <v>1162</v>
      </c>
      <c r="O129" s="277">
        <v>45806.41666666666</v>
      </c>
      <c r="P129" s="277"/>
      <c r="Q129" s="277"/>
      <c r="R129" s="277"/>
      <c r="S129" s="277"/>
      <c r="T129" s="277"/>
      <c r="U129" s="278"/>
      <c r="V129" s="281"/>
      <c r="W129" s="282">
        <f t="shared" si="2"/>
        <v>45806.41667</v>
      </c>
      <c r="X129" s="298" t="s">
        <v>1175</v>
      </c>
      <c r="Y129" s="283"/>
      <c r="Z129" s="235"/>
      <c r="AA129" s="43"/>
    </row>
    <row r="130" ht="15.75" hidden="1" customHeight="1">
      <c r="A130" s="265" t="s">
        <v>378</v>
      </c>
      <c r="B130" s="266" t="str">
        <f>IFERROR(VLOOKUP(A130&amp;"", STUDENTS!A:B, 2, 0), "")</f>
        <v>TRẦN DƯƠNG HOÀN MỸ</v>
      </c>
      <c r="C130" s="301" t="s">
        <v>64</v>
      </c>
      <c r="D130" s="104" t="str">
        <f>IFERROR(VLOOKUP(C130, PIC!A:B, 2, 0), "")</f>
        <v>Lanh Le</v>
      </c>
      <c r="E130" s="105" t="s">
        <v>22</v>
      </c>
      <c r="F130" s="267">
        <v>45639.375</v>
      </c>
      <c r="G130" s="268">
        <v>45645.375</v>
      </c>
      <c r="H130" s="268">
        <v>45667.41666666666</v>
      </c>
      <c r="I130" s="267">
        <v>45674.41666666666</v>
      </c>
      <c r="J130" s="268">
        <v>45695.41666666666</v>
      </c>
      <c r="K130" s="267">
        <v>45702.41666666666</v>
      </c>
      <c r="L130" s="268">
        <v>45709.58333333334</v>
      </c>
      <c r="M130" s="268">
        <v>45716.54166666666</v>
      </c>
      <c r="N130" s="267">
        <v>45765.625</v>
      </c>
      <c r="O130" s="267">
        <v>45806.41666666666</v>
      </c>
      <c r="P130" s="267"/>
      <c r="Q130" s="267"/>
      <c r="R130" s="267"/>
      <c r="S130" s="267"/>
      <c r="T130" s="267"/>
      <c r="U130" s="268"/>
      <c r="V130" s="271"/>
      <c r="W130" s="272">
        <f t="shared" si="2"/>
        <v>45806.41667</v>
      </c>
      <c r="X130" s="300" t="s">
        <v>1175</v>
      </c>
      <c r="Y130" s="273"/>
      <c r="Z130" s="235"/>
      <c r="AA130" s="43"/>
    </row>
    <row r="131" ht="15.75" hidden="1" customHeight="1">
      <c r="A131" s="275" t="s">
        <v>366</v>
      </c>
      <c r="B131" s="276" t="str">
        <f>IFERROR(VLOOKUP(A131&amp;"", STUDENTS!A:B, 2, 0), "")</f>
        <v>HOÀNG NGỌC THẲNG</v>
      </c>
      <c r="C131" s="122" t="s">
        <v>64</v>
      </c>
      <c r="D131" s="122" t="str">
        <f>IFERROR(VLOOKUP(C131, PIC!A:B, 2, 0), "")</f>
        <v>Lanh Le</v>
      </c>
      <c r="E131" s="123" t="s">
        <v>23</v>
      </c>
      <c r="F131" s="277">
        <v>45841.375</v>
      </c>
      <c r="G131" s="278">
        <v>45849.375</v>
      </c>
      <c r="H131" s="278">
        <v>45862.375</v>
      </c>
      <c r="I131" s="277" t="s">
        <v>1162</v>
      </c>
      <c r="J131" s="278">
        <v>45888.41666666666</v>
      </c>
      <c r="K131" s="277">
        <v>45895.41666666666</v>
      </c>
      <c r="L131" s="278">
        <v>45911.45833333334</v>
      </c>
      <c r="M131" s="278">
        <v>45925.41666666666</v>
      </c>
      <c r="N131" s="277" t="s">
        <v>1162</v>
      </c>
      <c r="O131" s="277">
        <v>45939.45833333334</v>
      </c>
      <c r="P131" s="277">
        <v>45946.375</v>
      </c>
      <c r="Q131" s="277">
        <v>45961.45833333334</v>
      </c>
      <c r="R131" s="277">
        <v>45967.625</v>
      </c>
      <c r="S131" s="277">
        <v>45974.625</v>
      </c>
      <c r="T131" s="277">
        <v>46006.41666666666</v>
      </c>
      <c r="U131" s="278">
        <v>46045.41666666666</v>
      </c>
      <c r="V131" s="281"/>
      <c r="W131" s="282">
        <f t="shared" si="2"/>
        <v>46045.41667</v>
      </c>
      <c r="X131" s="298" t="s">
        <v>1175</v>
      </c>
      <c r="Y131" s="283"/>
      <c r="Z131" s="235"/>
      <c r="AA131" s="43"/>
    </row>
    <row r="132" ht="15.75" hidden="1" customHeight="1">
      <c r="A132" s="265" t="s">
        <v>368</v>
      </c>
      <c r="B132" s="266" t="str">
        <f>IFERROR(VLOOKUP(A132&amp;"", STUDENTS!A:B, 2, 0), "")</f>
        <v>HUỲNH PHÚC TRƯỜNG</v>
      </c>
      <c r="C132" s="104" t="s">
        <v>64</v>
      </c>
      <c r="D132" s="104" t="str">
        <f>IFERROR(VLOOKUP(C132, PIC!A:B, 2, 0), "")</f>
        <v>Lanh Le</v>
      </c>
      <c r="E132" s="105" t="s">
        <v>23</v>
      </c>
      <c r="F132" s="267">
        <v>45841.375</v>
      </c>
      <c r="G132" s="268">
        <v>45849.375</v>
      </c>
      <c r="H132" s="268">
        <v>45862.375</v>
      </c>
      <c r="I132" s="299">
        <v>45881.41666666666</v>
      </c>
      <c r="J132" s="271">
        <v>45888.41666666666</v>
      </c>
      <c r="K132" s="267">
        <v>45895.41666666666</v>
      </c>
      <c r="L132" s="268">
        <v>45911.45833333334</v>
      </c>
      <c r="M132" s="268">
        <v>45925.41666666666</v>
      </c>
      <c r="N132" s="267">
        <v>45932.45833333334</v>
      </c>
      <c r="O132" s="267">
        <v>45939.45833333334</v>
      </c>
      <c r="P132" s="267">
        <v>45946.375</v>
      </c>
      <c r="Q132" s="267">
        <v>45961.45833333334</v>
      </c>
      <c r="R132" s="267">
        <v>45967.625</v>
      </c>
      <c r="S132" s="267">
        <v>45974.625</v>
      </c>
      <c r="T132" s="267">
        <v>46006.41666666666</v>
      </c>
      <c r="U132" s="268">
        <v>46045.41666666666</v>
      </c>
      <c r="V132" s="271"/>
      <c r="W132" s="272">
        <f t="shared" si="2"/>
        <v>46045.41667</v>
      </c>
      <c r="X132" s="300" t="s">
        <v>1175</v>
      </c>
      <c r="Y132" s="273"/>
      <c r="Z132" s="235"/>
      <c r="AA132" s="43"/>
    </row>
    <row r="133" ht="15.75" hidden="1" customHeight="1">
      <c r="A133" s="275" t="s">
        <v>371</v>
      </c>
      <c r="B133" s="276" t="str">
        <f>IFERROR(VLOOKUP(A133&amp;"", STUDENTS!A:B, 2, 0), "")</f>
        <v>LÊ TRẦN XUÂN LÃNH</v>
      </c>
      <c r="C133" s="122" t="s">
        <v>64</v>
      </c>
      <c r="D133" s="122" t="str">
        <f>IFERROR(VLOOKUP(C133, PIC!A:B, 2, 0), "")</f>
        <v>Lanh Le</v>
      </c>
      <c r="E133" s="123" t="s">
        <v>23</v>
      </c>
      <c r="F133" s="277">
        <v>45841.375</v>
      </c>
      <c r="G133" s="278" t="s">
        <v>1162</v>
      </c>
      <c r="H133" s="278">
        <v>45862.375</v>
      </c>
      <c r="I133" s="277">
        <v>45881.41666666666</v>
      </c>
      <c r="J133" s="278">
        <v>45888.41666666666</v>
      </c>
      <c r="K133" s="277">
        <v>45895.41666666666</v>
      </c>
      <c r="L133" s="278">
        <v>45911.45833333334</v>
      </c>
      <c r="M133" s="278" t="s">
        <v>1162</v>
      </c>
      <c r="N133" s="277">
        <v>45932.45833333334</v>
      </c>
      <c r="O133" s="277">
        <v>45939.45833333334</v>
      </c>
      <c r="P133" s="277">
        <v>45946.375</v>
      </c>
      <c r="Q133" s="277">
        <v>45961.45833333334</v>
      </c>
      <c r="R133" s="277">
        <v>45967.625</v>
      </c>
      <c r="S133" s="277">
        <v>45974.625</v>
      </c>
      <c r="T133" s="277">
        <v>46006.41666666666</v>
      </c>
      <c r="U133" s="278">
        <v>46045.41666666666</v>
      </c>
      <c r="V133" s="281"/>
      <c r="W133" s="282">
        <f t="shared" si="2"/>
        <v>46045.41667</v>
      </c>
      <c r="X133" s="298" t="s">
        <v>1175</v>
      </c>
      <c r="Y133" s="283"/>
      <c r="Z133" s="235"/>
      <c r="AA133" s="43"/>
    </row>
    <row r="134" ht="15.75" hidden="1" customHeight="1">
      <c r="A134" s="265" t="s">
        <v>380</v>
      </c>
      <c r="B134" s="266" t="str">
        <f>IFERROR(VLOOKUP(A134&amp;"", STUDENTS!A:B, 2, 0), "")</f>
        <v>NGUYỄN QUỐC TUẤN</v>
      </c>
      <c r="C134" s="104" t="s">
        <v>64</v>
      </c>
      <c r="D134" s="104" t="str">
        <f>IFERROR(VLOOKUP(C134, PIC!A:B, 2, 0), "")</f>
        <v>Lanh Le</v>
      </c>
      <c r="E134" s="105" t="s">
        <v>23</v>
      </c>
      <c r="F134" s="267" t="s">
        <v>1162</v>
      </c>
      <c r="G134" s="268">
        <v>45849.375</v>
      </c>
      <c r="H134" s="268">
        <v>45862.375</v>
      </c>
      <c r="I134" s="267">
        <v>45881.41666666666</v>
      </c>
      <c r="J134" s="268">
        <v>45888.41666666666</v>
      </c>
      <c r="K134" s="267">
        <v>45895.41666666666</v>
      </c>
      <c r="L134" s="268" t="s">
        <v>1162</v>
      </c>
      <c r="M134" s="268" t="s">
        <v>1162</v>
      </c>
      <c r="N134" s="267" t="s">
        <v>1162</v>
      </c>
      <c r="O134" s="267" t="s">
        <v>1162</v>
      </c>
      <c r="P134" s="267" t="s">
        <v>1162</v>
      </c>
      <c r="Q134" s="267" t="s">
        <v>1162</v>
      </c>
      <c r="R134" s="267">
        <v>45967.625</v>
      </c>
      <c r="S134" s="267" t="s">
        <v>1162</v>
      </c>
      <c r="T134" s="267" t="s">
        <v>1162</v>
      </c>
      <c r="U134" s="268" t="s">
        <v>1162</v>
      </c>
      <c r="V134" s="271"/>
      <c r="W134" s="272">
        <f t="shared" si="2"/>
        <v>45967.625</v>
      </c>
      <c r="X134" s="300" t="s">
        <v>1176</v>
      </c>
      <c r="Y134" s="273"/>
      <c r="Z134" s="235"/>
      <c r="AA134" s="43"/>
    </row>
    <row r="135" ht="15.75" hidden="1" customHeight="1">
      <c r="A135" s="275" t="s">
        <v>376</v>
      </c>
      <c r="B135" s="276" t="str">
        <f>IFERROR(VLOOKUP(A135&amp;"", STUDENTS!A:B, 2, 0), "")</f>
        <v>TRẦN ANH DUY</v>
      </c>
      <c r="C135" s="122" t="s">
        <v>64</v>
      </c>
      <c r="D135" s="122" t="str">
        <f>IFERROR(VLOOKUP(C135, PIC!A:B, 2, 0), "")</f>
        <v>Lanh Le</v>
      </c>
      <c r="E135" s="123" t="s">
        <v>23</v>
      </c>
      <c r="F135" s="277">
        <v>45841.375</v>
      </c>
      <c r="G135" s="278">
        <v>45849.375</v>
      </c>
      <c r="H135" s="278">
        <v>45862.375</v>
      </c>
      <c r="I135" s="297">
        <v>45881.41666666666</v>
      </c>
      <c r="J135" s="281">
        <v>45888.41666666666</v>
      </c>
      <c r="K135" s="277">
        <v>45895.41666666666</v>
      </c>
      <c r="L135" s="278">
        <v>45911.45833333334</v>
      </c>
      <c r="M135" s="278">
        <v>45925.41666666666</v>
      </c>
      <c r="N135" s="277">
        <v>45932.45833333334</v>
      </c>
      <c r="O135" s="277" t="s">
        <v>1162</v>
      </c>
      <c r="P135" s="277">
        <v>45946.375</v>
      </c>
      <c r="Q135" s="277">
        <v>45961.45833333334</v>
      </c>
      <c r="R135" s="277">
        <v>45967.625</v>
      </c>
      <c r="S135" s="277">
        <v>45974.625</v>
      </c>
      <c r="T135" s="277">
        <v>46006.41666666666</v>
      </c>
      <c r="U135" s="278">
        <v>46045.41666666666</v>
      </c>
      <c r="V135" s="281"/>
      <c r="W135" s="282">
        <f t="shared" si="2"/>
        <v>46045.41667</v>
      </c>
      <c r="X135" s="298" t="s">
        <v>1175</v>
      </c>
      <c r="Y135" s="283"/>
      <c r="Z135" s="235"/>
      <c r="AA135" s="43"/>
    </row>
    <row r="136" ht="15.75" hidden="1" customHeight="1">
      <c r="A136" s="265" t="s">
        <v>378</v>
      </c>
      <c r="B136" s="266" t="str">
        <f>IFERROR(VLOOKUP(A136&amp;"", STUDENTS!A:B, 2, 0), "")</f>
        <v>TRẦN DƯƠNG HOÀN MỸ</v>
      </c>
      <c r="C136" s="104" t="s">
        <v>64</v>
      </c>
      <c r="D136" s="104" t="str">
        <f>IFERROR(VLOOKUP(C136, PIC!A:B, 2, 0), "")</f>
        <v>Lanh Le</v>
      </c>
      <c r="E136" s="105" t="s">
        <v>23</v>
      </c>
      <c r="F136" s="267">
        <v>45841.375</v>
      </c>
      <c r="G136" s="268">
        <v>45849.375</v>
      </c>
      <c r="H136" s="268">
        <v>45862.375</v>
      </c>
      <c r="I136" s="267">
        <v>45881.41666666666</v>
      </c>
      <c r="J136" s="268">
        <v>45888.41666666666</v>
      </c>
      <c r="K136" s="267">
        <v>45895.41666666666</v>
      </c>
      <c r="L136" s="268">
        <v>45911.45833333334</v>
      </c>
      <c r="M136" s="268">
        <v>45925.41666666666</v>
      </c>
      <c r="N136" s="267" t="s">
        <v>1162</v>
      </c>
      <c r="O136" s="267">
        <v>45939.45833333334</v>
      </c>
      <c r="P136" s="267">
        <v>45946.375</v>
      </c>
      <c r="Q136" s="267" t="s">
        <v>1162</v>
      </c>
      <c r="R136" s="267">
        <v>45967.625</v>
      </c>
      <c r="S136" s="267">
        <v>45974.625</v>
      </c>
      <c r="T136" s="267">
        <v>46006.41666666666</v>
      </c>
      <c r="U136" s="268">
        <v>46045.41666666666</v>
      </c>
      <c r="V136" s="271"/>
      <c r="W136" s="272">
        <f t="shared" si="2"/>
        <v>46045.41667</v>
      </c>
      <c r="X136" s="300" t="s">
        <v>1175</v>
      </c>
      <c r="Y136" s="273"/>
      <c r="Z136" s="235"/>
      <c r="AA136" s="43"/>
    </row>
    <row r="137" ht="15.75" hidden="1" customHeight="1">
      <c r="A137" s="275" t="s">
        <v>366</v>
      </c>
      <c r="B137" s="276" t="str">
        <f>IFERROR(VLOOKUP(A137&amp;"", STUDENTS!A:B, 2, 0), "")</f>
        <v>HOÀNG NGỌC THẲNG</v>
      </c>
      <c r="C137" s="122" t="s">
        <v>64</v>
      </c>
      <c r="D137" s="122" t="str">
        <f>IFERROR(VLOOKUP(C137, PIC!A:B, 2, 0), "")</f>
        <v>Lanh Le</v>
      </c>
      <c r="E137" s="123" t="s">
        <v>24</v>
      </c>
      <c r="F137" s="279">
        <v>46094.458333333336</v>
      </c>
      <c r="G137" s="280">
        <v>46108.458333333336</v>
      </c>
      <c r="H137" s="280">
        <v>46113.458333333336</v>
      </c>
      <c r="I137" s="302">
        <v>46147.625</v>
      </c>
      <c r="J137" s="280">
        <v>46154.625</v>
      </c>
      <c r="K137" s="280">
        <v>46161.625</v>
      </c>
      <c r="L137" s="280">
        <v>46168.625</v>
      </c>
      <c r="M137" s="280">
        <v>46182.583333333336</v>
      </c>
      <c r="N137" s="303" t="s">
        <v>1177</v>
      </c>
      <c r="O137" s="303" t="s">
        <v>1178</v>
      </c>
      <c r="P137" s="277"/>
      <c r="Q137" s="277"/>
      <c r="R137" s="277"/>
      <c r="S137" s="277"/>
      <c r="T137" s="277"/>
      <c r="U137" s="278"/>
      <c r="V137" s="281"/>
      <c r="W137" s="282">
        <f t="shared" si="2"/>
        <v>46182.58333</v>
      </c>
      <c r="X137" s="298" t="s">
        <v>1175</v>
      </c>
      <c r="Y137" s="283"/>
      <c r="Z137" s="235"/>
      <c r="AA137" s="43"/>
    </row>
    <row r="138" ht="15.75" hidden="1" customHeight="1">
      <c r="A138" s="265" t="s">
        <v>368</v>
      </c>
      <c r="B138" s="266" t="str">
        <f>IFERROR(VLOOKUP(A138&amp;"", STUDENTS!A:B, 2, 0), "")</f>
        <v>HUỲNH PHÚC TRƯỜNG</v>
      </c>
      <c r="C138" s="104" t="s">
        <v>64</v>
      </c>
      <c r="D138" s="104" t="str">
        <f>IFERROR(VLOOKUP(C138, PIC!A:B, 2, 0), "")</f>
        <v>Lanh Le</v>
      </c>
      <c r="E138" s="105" t="s">
        <v>24</v>
      </c>
      <c r="F138" s="268"/>
      <c r="G138" s="270">
        <v>46108.458333333336</v>
      </c>
      <c r="H138" s="270">
        <v>46113.458333333336</v>
      </c>
      <c r="I138" s="304">
        <v>46147.625</v>
      </c>
      <c r="J138" s="270">
        <v>46154.625</v>
      </c>
      <c r="K138" s="270">
        <v>46161.625</v>
      </c>
      <c r="L138" s="270">
        <v>46168.583333333336</v>
      </c>
      <c r="M138" s="270">
        <v>46182.583333333336</v>
      </c>
      <c r="N138" s="284" t="s">
        <v>1177</v>
      </c>
      <c r="O138" s="284" t="s">
        <v>1178</v>
      </c>
      <c r="P138" s="267"/>
      <c r="Q138" s="267"/>
      <c r="R138" s="267"/>
      <c r="S138" s="267"/>
      <c r="T138" s="267"/>
      <c r="U138" s="268"/>
      <c r="V138" s="271"/>
      <c r="W138" s="272">
        <f t="shared" si="2"/>
        <v>46182.58333</v>
      </c>
      <c r="X138" s="300" t="s">
        <v>1175</v>
      </c>
      <c r="Y138" s="273"/>
      <c r="Z138" s="235"/>
      <c r="AA138" s="43"/>
    </row>
    <row r="139" ht="15.75" hidden="1" customHeight="1">
      <c r="A139" s="275" t="s">
        <v>371</v>
      </c>
      <c r="B139" s="276" t="str">
        <f>IFERROR(VLOOKUP(A139&amp;"", STUDENTS!A:B, 2, 0), "")</f>
        <v>LÊ TRẦN XUÂN LÃNH</v>
      </c>
      <c r="C139" s="122" t="s">
        <v>64</v>
      </c>
      <c r="D139" s="122" t="str">
        <f>IFERROR(VLOOKUP(C139, PIC!A:B, 2, 0), "")</f>
        <v>Lanh Le</v>
      </c>
      <c r="E139" s="123" t="s">
        <v>24</v>
      </c>
      <c r="F139" s="279">
        <v>46094.458333333336</v>
      </c>
      <c r="G139" s="280">
        <v>46108.458333333336</v>
      </c>
      <c r="H139" s="280">
        <v>46113.458333333336</v>
      </c>
      <c r="I139" s="302">
        <v>46147.625</v>
      </c>
      <c r="J139" s="280">
        <v>46154.625</v>
      </c>
      <c r="K139" s="280">
        <v>46161.625</v>
      </c>
      <c r="L139" s="280">
        <v>46168.583333333336</v>
      </c>
      <c r="M139" s="280">
        <v>46182.583333333336</v>
      </c>
      <c r="N139" s="303" t="s">
        <v>1177</v>
      </c>
      <c r="O139" s="303" t="s">
        <v>1178</v>
      </c>
      <c r="P139" s="277"/>
      <c r="Q139" s="277"/>
      <c r="R139" s="277"/>
      <c r="S139" s="277"/>
      <c r="T139" s="277"/>
      <c r="U139" s="278"/>
      <c r="V139" s="281"/>
      <c r="W139" s="282">
        <f t="shared" si="2"/>
        <v>46182.58333</v>
      </c>
      <c r="X139" s="298" t="s">
        <v>1175</v>
      </c>
      <c r="Y139" s="283"/>
      <c r="Z139" s="235"/>
      <c r="AA139" s="43"/>
    </row>
    <row r="140" ht="15.75" hidden="1" customHeight="1">
      <c r="A140" s="265" t="s">
        <v>373</v>
      </c>
      <c r="B140" s="266" t="str">
        <f>IFERROR(VLOOKUP(A140&amp;"", STUDENTS!A:B, 2, 0), "")</f>
        <v>PHAN CÔNG TOẠI</v>
      </c>
      <c r="C140" s="104" t="s">
        <v>64</v>
      </c>
      <c r="D140" s="104" t="str">
        <f>IFERROR(VLOOKUP(C140, PIC!A:B, 2, 0), "")</f>
        <v>Lanh Le</v>
      </c>
      <c r="E140" s="105" t="s">
        <v>24</v>
      </c>
      <c r="F140" s="269">
        <v>46094.458333333336</v>
      </c>
      <c r="G140" s="270">
        <v>46108.458333333336</v>
      </c>
      <c r="H140" s="270">
        <v>46113.458333333336</v>
      </c>
      <c r="I140" s="305">
        <v>46147.625</v>
      </c>
      <c r="J140" s="270">
        <v>46154.625</v>
      </c>
      <c r="K140" s="284" t="s">
        <v>1162</v>
      </c>
      <c r="L140" s="108" t="s">
        <v>1162</v>
      </c>
      <c r="M140" s="270">
        <v>46182.583333333336</v>
      </c>
      <c r="N140" s="284" t="s">
        <v>1177</v>
      </c>
      <c r="O140" s="284" t="s">
        <v>1178</v>
      </c>
      <c r="P140" s="267"/>
      <c r="Q140" s="267"/>
      <c r="R140" s="267"/>
      <c r="S140" s="267"/>
      <c r="T140" s="267"/>
      <c r="U140" s="268"/>
      <c r="V140" s="271"/>
      <c r="W140" s="272">
        <f t="shared" si="2"/>
        <v>46182.58333</v>
      </c>
      <c r="X140" s="300" t="s">
        <v>1175</v>
      </c>
      <c r="Y140" s="273"/>
      <c r="Z140" s="235"/>
      <c r="AA140" s="43"/>
    </row>
    <row r="141" ht="15.75" hidden="1" customHeight="1">
      <c r="A141" s="275" t="s">
        <v>376</v>
      </c>
      <c r="B141" s="276" t="str">
        <f>IFERROR(VLOOKUP(A141&amp;"", STUDENTS!A:B, 2, 0), "")</f>
        <v>TRẦN ANH DUY</v>
      </c>
      <c r="C141" s="122" t="s">
        <v>64</v>
      </c>
      <c r="D141" s="122" t="str">
        <f>IFERROR(VLOOKUP(C141, PIC!A:B, 2, 0), "")</f>
        <v>Lanh Le</v>
      </c>
      <c r="E141" s="123" t="s">
        <v>24</v>
      </c>
      <c r="F141" s="279">
        <v>46094.458333333336</v>
      </c>
      <c r="G141" s="280">
        <v>46108.458333333336</v>
      </c>
      <c r="H141" s="280">
        <v>46113.458333333336</v>
      </c>
      <c r="I141" s="302">
        <v>46147.625</v>
      </c>
      <c r="J141" s="280">
        <v>46154.625</v>
      </c>
      <c r="K141" s="280">
        <v>46161.625</v>
      </c>
      <c r="L141" s="280">
        <v>46168.583333333336</v>
      </c>
      <c r="M141" s="280">
        <v>46182.583333333336</v>
      </c>
      <c r="N141" s="303" t="s">
        <v>1177</v>
      </c>
      <c r="O141" s="303" t="s">
        <v>1178</v>
      </c>
      <c r="P141" s="277"/>
      <c r="Q141" s="277"/>
      <c r="R141" s="277"/>
      <c r="S141" s="277"/>
      <c r="T141" s="277"/>
      <c r="U141" s="278"/>
      <c r="V141" s="281"/>
      <c r="W141" s="282">
        <f t="shared" si="2"/>
        <v>46182.58333</v>
      </c>
      <c r="X141" s="298" t="s">
        <v>1175</v>
      </c>
      <c r="Y141" s="283"/>
      <c r="Z141" s="235"/>
      <c r="AA141" s="43"/>
    </row>
    <row r="142" ht="15.75" hidden="1" customHeight="1">
      <c r="A142" s="265" t="s">
        <v>378</v>
      </c>
      <c r="B142" s="266" t="str">
        <f>IFERROR(VLOOKUP(A142&amp;"", STUDENTS!A:B, 2, 0), "")</f>
        <v>TRẦN DƯƠNG HOÀN MỸ</v>
      </c>
      <c r="C142" s="104" t="s">
        <v>64</v>
      </c>
      <c r="D142" s="104" t="str">
        <f>IFERROR(VLOOKUP(C142, PIC!A:B, 2, 0), "")</f>
        <v>Lanh Le</v>
      </c>
      <c r="E142" s="105" t="s">
        <v>24</v>
      </c>
      <c r="F142" s="269">
        <v>46094.458333333336</v>
      </c>
      <c r="G142" s="270">
        <v>46108.458333333336</v>
      </c>
      <c r="H142" s="270">
        <v>46113.458333333336</v>
      </c>
      <c r="I142" s="305">
        <v>46147.625</v>
      </c>
      <c r="J142" s="270" t="s">
        <v>1162</v>
      </c>
      <c r="K142" s="270">
        <v>46161.625</v>
      </c>
      <c r="L142" s="270">
        <v>46168.583333333336</v>
      </c>
      <c r="M142" s="270">
        <v>46182.583333333336</v>
      </c>
      <c r="N142" s="284" t="s">
        <v>1177</v>
      </c>
      <c r="O142" s="306">
        <v>46211.541666666664</v>
      </c>
      <c r="P142" s="267"/>
      <c r="Q142" s="267"/>
      <c r="R142" s="267"/>
      <c r="S142" s="267"/>
      <c r="T142" s="267"/>
      <c r="U142" s="268"/>
      <c r="V142" s="271"/>
      <c r="W142" s="272">
        <f t="shared" si="2"/>
        <v>46211.54167</v>
      </c>
      <c r="X142" s="300" t="s">
        <v>1175</v>
      </c>
      <c r="Y142" s="273"/>
      <c r="Z142" s="235"/>
      <c r="AA142" s="43"/>
    </row>
    <row r="143" ht="15.75" hidden="1" customHeight="1">
      <c r="A143" s="275" t="s">
        <v>639</v>
      </c>
      <c r="B143" s="276" t="str">
        <f>IFERROR(VLOOKUP(A143&amp;"", STUDENTS!A:B, 2, 0), "")</f>
        <v>LÝ THỊ BÉ XÍU</v>
      </c>
      <c r="C143" s="122" t="s">
        <v>65</v>
      </c>
      <c r="D143" s="122" t="str">
        <f>IFERROR(VLOOKUP(C143, PIC!A:B, 2, 0), "")</f>
        <v>Thao Vu 1</v>
      </c>
      <c r="E143" s="123" t="s">
        <v>22</v>
      </c>
      <c r="F143" s="277">
        <v>45637.375</v>
      </c>
      <c r="G143" s="278">
        <v>45660.375</v>
      </c>
      <c r="H143" s="278">
        <v>45664.41666666666</v>
      </c>
      <c r="I143" s="277">
        <v>45671.45833333334</v>
      </c>
      <c r="J143" s="278">
        <v>45678.45833333334</v>
      </c>
      <c r="K143" s="277">
        <v>45692.41666666666</v>
      </c>
      <c r="L143" s="278">
        <v>45699.45833333334</v>
      </c>
      <c r="M143" s="278">
        <v>45706.41666666666</v>
      </c>
      <c r="N143" s="277">
        <v>45706.54166666666</v>
      </c>
      <c r="O143" s="277">
        <v>45801.41666666666</v>
      </c>
      <c r="P143" s="277"/>
      <c r="Q143" s="277"/>
      <c r="R143" s="277"/>
      <c r="S143" s="277"/>
      <c r="T143" s="277"/>
      <c r="U143" s="278"/>
      <c r="V143" s="281"/>
      <c r="W143" s="282">
        <f t="shared" si="2"/>
        <v>45801.41667</v>
      </c>
      <c r="X143" s="283"/>
      <c r="Y143" s="283"/>
      <c r="Z143" s="235"/>
      <c r="AA143" s="43"/>
    </row>
    <row r="144" ht="15.75" hidden="1" customHeight="1">
      <c r="A144" s="265" t="s">
        <v>641</v>
      </c>
      <c r="B144" s="266" t="str">
        <f>IFERROR(VLOOKUP(A144&amp;"", STUDENTS!A:B, 2, 0), "")</f>
        <v>NGUYỄN CÔNG HẬU</v>
      </c>
      <c r="C144" s="104" t="s">
        <v>65</v>
      </c>
      <c r="D144" s="104" t="str">
        <f>IFERROR(VLOOKUP(C144, PIC!A:B, 2, 0), "")</f>
        <v>Thao Vu 1</v>
      </c>
      <c r="E144" s="105" t="s">
        <v>22</v>
      </c>
      <c r="F144" s="267">
        <v>45635.4375</v>
      </c>
      <c r="G144" s="268">
        <v>45660.375</v>
      </c>
      <c r="H144" s="268">
        <v>45664.41666666666</v>
      </c>
      <c r="I144" s="267">
        <v>45671.45833333334</v>
      </c>
      <c r="J144" s="268">
        <v>45678.45833333334</v>
      </c>
      <c r="K144" s="267">
        <v>45692.41666666666</v>
      </c>
      <c r="L144" s="268">
        <v>45699.375</v>
      </c>
      <c r="M144" s="268">
        <v>45706.41666666666</v>
      </c>
      <c r="N144" s="267">
        <v>45713.41666666666</v>
      </c>
      <c r="O144" s="267">
        <v>45801.41666666666</v>
      </c>
      <c r="P144" s="267"/>
      <c r="Q144" s="267"/>
      <c r="R144" s="267"/>
      <c r="S144" s="267"/>
      <c r="T144" s="267"/>
      <c r="U144" s="268"/>
      <c r="V144" s="271"/>
      <c r="W144" s="272">
        <f t="shared" si="2"/>
        <v>45801.41667</v>
      </c>
      <c r="X144" s="273"/>
      <c r="Y144" s="273"/>
      <c r="Z144" s="235"/>
      <c r="AA144" s="43"/>
    </row>
    <row r="145" ht="15.75" hidden="1" customHeight="1">
      <c r="A145" s="275" t="s">
        <v>437</v>
      </c>
      <c r="B145" s="276" t="str">
        <f>IFERROR(VLOOKUP(A145&amp;"", STUDENTS!A:B, 2, 0), "")</f>
        <v>Nguyen Hoai Nam</v>
      </c>
      <c r="C145" s="122" t="s">
        <v>65</v>
      </c>
      <c r="D145" s="122" t="str">
        <f>IFERROR(VLOOKUP(C145, PIC!A:B, 2, 0), "")</f>
        <v>Thao Vu 1</v>
      </c>
      <c r="E145" s="123" t="s">
        <v>22</v>
      </c>
      <c r="F145" s="277">
        <v>45635.4375</v>
      </c>
      <c r="G145" s="278">
        <v>45660.375</v>
      </c>
      <c r="H145" s="278">
        <v>45664.41666666666</v>
      </c>
      <c r="I145" s="277" t="s">
        <v>1162</v>
      </c>
      <c r="J145" s="278">
        <v>45678.45833333334</v>
      </c>
      <c r="K145" s="277">
        <v>45699.375</v>
      </c>
      <c r="L145" s="278" t="s">
        <v>1162</v>
      </c>
      <c r="M145" s="278">
        <v>45706.41666666666</v>
      </c>
      <c r="N145" s="277">
        <v>45713.41666666666</v>
      </c>
      <c r="O145" s="277">
        <v>45801.41666666666</v>
      </c>
      <c r="P145" s="277"/>
      <c r="Q145" s="277"/>
      <c r="R145" s="277"/>
      <c r="S145" s="277"/>
      <c r="T145" s="277"/>
      <c r="U145" s="278"/>
      <c r="V145" s="281"/>
      <c r="W145" s="282">
        <f t="shared" si="2"/>
        <v>45801.41667</v>
      </c>
      <c r="X145" s="283"/>
      <c r="Y145" s="283"/>
      <c r="Z145" s="235"/>
      <c r="AA145" s="43"/>
    </row>
    <row r="146" ht="15.75" hidden="1" customHeight="1">
      <c r="A146" s="265" t="s">
        <v>643</v>
      </c>
      <c r="B146" s="266" t="str">
        <f>IFERROR(VLOOKUP(A146&amp;"", STUDENTS!A:B, 2, 0), "")</f>
        <v>VŨ THANH THẢO</v>
      </c>
      <c r="C146" s="104" t="s">
        <v>65</v>
      </c>
      <c r="D146" s="104" t="str">
        <f>IFERROR(VLOOKUP(C146, PIC!A:B, 2, 0), "")</f>
        <v>Thao Vu 1</v>
      </c>
      <c r="E146" s="105" t="s">
        <v>22</v>
      </c>
      <c r="F146" s="267">
        <v>45635.4375</v>
      </c>
      <c r="G146" s="268">
        <v>45660.375</v>
      </c>
      <c r="H146" s="268">
        <v>45664.41666666666</v>
      </c>
      <c r="I146" s="267">
        <v>45671.45833333334</v>
      </c>
      <c r="J146" s="268">
        <v>45678.45833333334</v>
      </c>
      <c r="K146" s="267">
        <v>45692.41666666666</v>
      </c>
      <c r="L146" s="268">
        <v>45699.375</v>
      </c>
      <c r="M146" s="268">
        <v>45706.41666666666</v>
      </c>
      <c r="N146" s="267">
        <v>45713.41666666666</v>
      </c>
      <c r="O146" s="267">
        <v>45801.41666666666</v>
      </c>
      <c r="P146" s="267"/>
      <c r="Q146" s="267"/>
      <c r="R146" s="267"/>
      <c r="S146" s="267"/>
      <c r="T146" s="267"/>
      <c r="U146" s="268"/>
      <c r="V146" s="271"/>
      <c r="W146" s="272">
        <f t="shared" si="2"/>
        <v>45801.41667</v>
      </c>
      <c r="X146" s="287"/>
      <c r="Y146" s="287"/>
      <c r="Z146" s="287"/>
      <c r="AA146" s="288"/>
    </row>
    <row r="147" ht="15.75" hidden="1" customHeight="1">
      <c r="A147" s="275" t="s">
        <v>645</v>
      </c>
      <c r="B147" s="275" t="s">
        <v>646</v>
      </c>
      <c r="C147" s="307" t="s">
        <v>65</v>
      </c>
      <c r="D147" s="307" t="s">
        <v>1179</v>
      </c>
      <c r="E147" s="285" t="s">
        <v>22</v>
      </c>
      <c r="F147" s="277">
        <v>45635.4375</v>
      </c>
      <c r="G147" s="278">
        <v>45660.375</v>
      </c>
      <c r="H147" s="278">
        <v>45664.41666666666</v>
      </c>
      <c r="I147" s="277">
        <v>45671.45833333334</v>
      </c>
      <c r="J147" s="278">
        <v>45678.45833333334</v>
      </c>
      <c r="K147" s="277">
        <v>45692.41666666666</v>
      </c>
      <c r="L147" s="278">
        <v>45699.375</v>
      </c>
      <c r="M147" s="278">
        <v>45706.41666666666</v>
      </c>
      <c r="N147" s="277">
        <v>45713.41666666666</v>
      </c>
      <c r="O147" s="277">
        <v>45801.41666666666</v>
      </c>
      <c r="P147" s="277"/>
      <c r="Q147" s="277"/>
      <c r="R147" s="277"/>
      <c r="S147" s="277"/>
      <c r="T147" s="277"/>
      <c r="U147" s="278"/>
      <c r="V147" s="281"/>
      <c r="W147" s="282">
        <f t="shared" si="2"/>
        <v>45801.41667</v>
      </c>
      <c r="X147" s="283"/>
      <c r="Y147" s="283"/>
      <c r="Z147" s="235"/>
      <c r="AA147" s="43"/>
    </row>
    <row r="148" ht="15.75" hidden="1" customHeight="1">
      <c r="A148" s="265" t="s">
        <v>530</v>
      </c>
      <c r="B148" s="266" t="str">
        <f>IFERROR(VLOOKUP(A148&amp;"", STUDENTS!A:B, 2, 0), "")</f>
        <v>Chu Thị Lệ Quỳnh</v>
      </c>
      <c r="C148" s="104" t="s">
        <v>66</v>
      </c>
      <c r="D148" s="104" t="str">
        <f>IFERROR(VLOOKUP(C148, PIC!A:B, 2, 0), "")</f>
        <v>Thao Vu 2</v>
      </c>
      <c r="E148" s="105" t="s">
        <v>22</v>
      </c>
      <c r="F148" s="267" t="s">
        <v>1162</v>
      </c>
      <c r="G148" s="268">
        <v>45656.375</v>
      </c>
      <c r="H148" s="268">
        <v>45665.45833333334</v>
      </c>
      <c r="I148" s="267">
        <v>45672.45833333334</v>
      </c>
      <c r="J148" s="268" t="s">
        <v>1162</v>
      </c>
      <c r="K148" s="267">
        <v>45694.45833333334</v>
      </c>
      <c r="L148" s="268">
        <v>45699.45833333334</v>
      </c>
      <c r="M148" s="268">
        <v>45706.54166666666</v>
      </c>
      <c r="N148" s="267">
        <v>45713.54166666666</v>
      </c>
      <c r="O148" s="267">
        <v>45801.41666666666</v>
      </c>
      <c r="P148" s="267"/>
      <c r="Q148" s="267"/>
      <c r="R148" s="267"/>
      <c r="S148" s="267"/>
      <c r="T148" s="267"/>
      <c r="U148" s="268"/>
      <c r="V148" s="271"/>
      <c r="W148" s="272">
        <f t="shared" si="2"/>
        <v>45801.41667</v>
      </c>
      <c r="X148" s="287"/>
      <c r="Y148" s="287"/>
      <c r="Z148" s="287"/>
      <c r="AA148" s="288"/>
    </row>
    <row r="149" ht="15.75" hidden="1" customHeight="1">
      <c r="A149" s="275" t="s">
        <v>647</v>
      </c>
      <c r="B149" s="276" t="str">
        <f>IFERROR(VLOOKUP(A149&amp;"", STUDENTS!A:B, 2, 0), "")</f>
        <v>HỒ MẠNH DŨNG</v>
      </c>
      <c r="C149" s="122" t="s">
        <v>66</v>
      </c>
      <c r="D149" s="122" t="str">
        <f>IFERROR(VLOOKUP(C149, PIC!A:B, 2, 0), "")</f>
        <v>Thao Vu 2</v>
      </c>
      <c r="E149" s="123" t="s">
        <v>22</v>
      </c>
      <c r="F149" s="277" t="s">
        <v>1162</v>
      </c>
      <c r="G149" s="278">
        <v>45656.375</v>
      </c>
      <c r="H149" s="278">
        <v>45665.45833333334</v>
      </c>
      <c r="I149" s="277">
        <v>45672.45833333334</v>
      </c>
      <c r="J149" s="278">
        <v>45679.45833333334</v>
      </c>
      <c r="K149" s="277">
        <v>45694.45833333334</v>
      </c>
      <c r="L149" s="278">
        <v>45699.45833333334</v>
      </c>
      <c r="M149" s="278">
        <v>45706.54166666666</v>
      </c>
      <c r="N149" s="277">
        <v>45713.54166666666</v>
      </c>
      <c r="O149" s="277">
        <v>45801.41666666666</v>
      </c>
      <c r="P149" s="277"/>
      <c r="Q149" s="277"/>
      <c r="R149" s="277"/>
      <c r="S149" s="277"/>
      <c r="T149" s="277"/>
      <c r="U149" s="278"/>
      <c r="V149" s="281"/>
      <c r="W149" s="282">
        <f t="shared" si="2"/>
        <v>45801.41667</v>
      </c>
      <c r="X149" s="283"/>
      <c r="Y149" s="283"/>
      <c r="Z149" s="235"/>
      <c r="AA149" s="43"/>
    </row>
    <row r="150" ht="15.75" hidden="1" customHeight="1">
      <c r="A150" s="265" t="s">
        <v>433</v>
      </c>
      <c r="B150" s="266" t="str">
        <f>IFERROR(VLOOKUP(A150&amp;"", STUDENTS!A:B, 2, 0), "")</f>
        <v>LÊ MINH DUY</v>
      </c>
      <c r="C150" s="104" t="s">
        <v>66</v>
      </c>
      <c r="D150" s="104" t="str">
        <f>IFERROR(VLOOKUP(C150, PIC!A:B, 2, 0), "")</f>
        <v>Thao Vu 2</v>
      </c>
      <c r="E150" s="105" t="s">
        <v>22</v>
      </c>
      <c r="F150" s="267">
        <v>45644.45833333334</v>
      </c>
      <c r="G150" s="268">
        <v>45656.375</v>
      </c>
      <c r="H150" s="268">
        <v>45665.45833333334</v>
      </c>
      <c r="I150" s="267">
        <v>45672.45833333334</v>
      </c>
      <c r="J150" s="268">
        <v>45679.45833333334</v>
      </c>
      <c r="K150" s="267">
        <v>45694.45833333334</v>
      </c>
      <c r="L150" s="268" t="s">
        <v>1162</v>
      </c>
      <c r="M150" s="268">
        <v>45706.54166666666</v>
      </c>
      <c r="N150" s="267">
        <v>45713.54166666666</v>
      </c>
      <c r="O150" s="267">
        <v>45801.41666666666</v>
      </c>
      <c r="P150" s="267"/>
      <c r="Q150" s="267"/>
      <c r="R150" s="267"/>
      <c r="S150" s="267"/>
      <c r="T150" s="267"/>
      <c r="U150" s="268"/>
      <c r="V150" s="271"/>
      <c r="W150" s="272">
        <f t="shared" si="2"/>
        <v>45801.41667</v>
      </c>
      <c r="X150" s="287"/>
      <c r="Y150" s="287"/>
      <c r="Z150" s="287"/>
      <c r="AA150" s="288"/>
    </row>
    <row r="151" ht="15.75" hidden="1" customHeight="1">
      <c r="A151" s="275" t="s">
        <v>439</v>
      </c>
      <c r="B151" s="276" t="str">
        <f>IFERROR(VLOOKUP(A151&amp;"", STUDENTS!A:B, 2, 0), "")</f>
        <v>NGUYỄN NGỌC HOÀNG BẢO TRÂN</v>
      </c>
      <c r="C151" s="122" t="s">
        <v>66</v>
      </c>
      <c r="D151" s="122" t="str">
        <f>IFERROR(VLOOKUP(C151, PIC!A:B, 2, 0), "")</f>
        <v>Thao Vu 2</v>
      </c>
      <c r="E151" s="123" t="s">
        <v>22</v>
      </c>
      <c r="F151" s="277">
        <v>45637.375</v>
      </c>
      <c r="G151" s="278">
        <v>45656.375</v>
      </c>
      <c r="H151" s="278">
        <v>45665.45833333334</v>
      </c>
      <c r="I151" s="277">
        <v>45672.45833333334</v>
      </c>
      <c r="J151" s="278">
        <v>45679.45833333334</v>
      </c>
      <c r="K151" s="277">
        <v>45694.45833333334</v>
      </c>
      <c r="L151" s="278">
        <v>45699.45833333334</v>
      </c>
      <c r="M151" s="278">
        <v>45706.54166666666</v>
      </c>
      <c r="N151" s="277">
        <v>45713.54166666666</v>
      </c>
      <c r="O151" s="277">
        <v>45801.41666666666</v>
      </c>
      <c r="P151" s="277"/>
      <c r="Q151" s="277"/>
      <c r="R151" s="277"/>
      <c r="S151" s="277"/>
      <c r="T151" s="277"/>
      <c r="U151" s="278"/>
      <c r="V151" s="281"/>
      <c r="W151" s="282">
        <f t="shared" si="2"/>
        <v>45801.41667</v>
      </c>
      <c r="X151" s="283"/>
      <c r="Y151" s="283"/>
      <c r="Z151" s="235"/>
      <c r="AA151" s="43"/>
    </row>
    <row r="152" ht="15.75" hidden="1" customHeight="1">
      <c r="A152" s="265" t="s">
        <v>649</v>
      </c>
      <c r="B152" s="266" t="str">
        <f>IFERROR(VLOOKUP(A152&amp;"", STUDENTS!A:B, 2, 0), "")</f>
        <v>TRẦN ĐÌNH AN</v>
      </c>
      <c r="C152" s="104" t="s">
        <v>66</v>
      </c>
      <c r="D152" s="104" t="str">
        <f>IFERROR(VLOOKUP(C152, PIC!A:B, 2, 0), "")</f>
        <v>Thao Vu 2</v>
      </c>
      <c r="E152" s="105" t="s">
        <v>22</v>
      </c>
      <c r="F152" s="267">
        <v>45637.375</v>
      </c>
      <c r="G152" s="268">
        <v>45656.375</v>
      </c>
      <c r="H152" s="268">
        <v>45665.45833333334</v>
      </c>
      <c r="I152" s="267">
        <v>45671.45833333334</v>
      </c>
      <c r="J152" s="268">
        <v>45678.45833333334</v>
      </c>
      <c r="K152" s="267">
        <v>45692.41666666666</v>
      </c>
      <c r="L152" s="268">
        <v>45699.45833333334</v>
      </c>
      <c r="M152" s="268">
        <v>45706.54166666666</v>
      </c>
      <c r="N152" s="267">
        <v>45713.54166666666</v>
      </c>
      <c r="O152" s="267">
        <v>45801.41666666666</v>
      </c>
      <c r="P152" s="267"/>
      <c r="Q152" s="267"/>
      <c r="R152" s="267"/>
      <c r="S152" s="267"/>
      <c r="T152" s="267"/>
      <c r="U152" s="268"/>
      <c r="V152" s="271"/>
      <c r="W152" s="272">
        <f t="shared" si="2"/>
        <v>45801.41667</v>
      </c>
      <c r="X152" s="273"/>
      <c r="Y152" s="273"/>
      <c r="Z152" s="235"/>
      <c r="AA152" s="43"/>
    </row>
    <row r="153" ht="15.75" hidden="1" customHeight="1">
      <c r="A153" s="275" t="s">
        <v>651</v>
      </c>
      <c r="B153" s="276" t="str">
        <f>IFERROR(VLOOKUP(A153&amp;"", STUDENTS!A:B, 2, 0), "")</f>
        <v>VÕ NGUYỄN DUY ANH</v>
      </c>
      <c r="C153" s="122" t="s">
        <v>66</v>
      </c>
      <c r="D153" s="122" t="str">
        <f>IFERROR(VLOOKUP(C153, PIC!A:B, 2, 0), "")</f>
        <v>Thao Vu 2</v>
      </c>
      <c r="E153" s="123" t="s">
        <v>22</v>
      </c>
      <c r="F153" s="277">
        <v>45644.45833333334</v>
      </c>
      <c r="G153" s="278">
        <v>45656.375</v>
      </c>
      <c r="H153" s="278">
        <v>45665.45833333334</v>
      </c>
      <c r="I153" s="277">
        <v>45672.45833333334</v>
      </c>
      <c r="J153" s="278">
        <v>45679.45833333334</v>
      </c>
      <c r="K153" s="277">
        <v>45694.45833333334</v>
      </c>
      <c r="L153" s="278">
        <v>45699.45833333334</v>
      </c>
      <c r="M153" s="278">
        <v>45706.54166666666</v>
      </c>
      <c r="N153" s="277">
        <v>45713.54166666666</v>
      </c>
      <c r="O153" s="277">
        <v>45801.41666666666</v>
      </c>
      <c r="P153" s="277"/>
      <c r="Q153" s="277"/>
      <c r="R153" s="277"/>
      <c r="S153" s="277"/>
      <c r="T153" s="277"/>
      <c r="U153" s="278"/>
      <c r="V153" s="281"/>
      <c r="W153" s="282">
        <f t="shared" si="2"/>
        <v>45801.41667</v>
      </c>
      <c r="X153" s="287"/>
      <c r="Y153" s="287"/>
      <c r="Z153" s="287"/>
      <c r="AA153" s="288"/>
    </row>
    <row r="154" ht="15.75" hidden="1" customHeight="1">
      <c r="A154" s="289" t="s">
        <v>647</v>
      </c>
      <c r="B154" s="290" t="str">
        <f>IFERROR(VLOOKUP(A154&amp;"", STUDENTS!A:B, 2, 0), "")</f>
        <v>HỒ MẠNH DŨNG</v>
      </c>
      <c r="C154" s="291" t="s">
        <v>66</v>
      </c>
      <c r="D154" s="291" t="str">
        <f>IFERROR(VLOOKUP(C154, PIC!A:B, 2, 0), "")</f>
        <v>Thao Vu 2</v>
      </c>
      <c r="E154" s="292" t="s">
        <v>23</v>
      </c>
      <c r="F154" s="293">
        <v>45839.375</v>
      </c>
      <c r="G154" s="294">
        <v>45846.375</v>
      </c>
      <c r="H154" s="294">
        <v>45852.41666666666</v>
      </c>
      <c r="I154" s="293">
        <v>45859.41666666666</v>
      </c>
      <c r="J154" s="294"/>
      <c r="K154" s="293"/>
      <c r="L154" s="294"/>
      <c r="M154" s="294"/>
      <c r="N154" s="293"/>
      <c r="O154" s="293"/>
      <c r="P154" s="293"/>
      <c r="Q154" s="293"/>
      <c r="R154" s="293"/>
      <c r="S154" s="293"/>
      <c r="T154" s="293"/>
      <c r="U154" s="294"/>
      <c r="V154" s="295"/>
      <c r="W154" s="296">
        <f t="shared" si="2"/>
        <v>45859.41667</v>
      </c>
      <c r="X154" s="287"/>
      <c r="Y154" s="287"/>
      <c r="Z154" s="287"/>
      <c r="AA154" s="288"/>
    </row>
    <row r="155" ht="15.75" hidden="1" customHeight="1">
      <c r="A155" s="289" t="s">
        <v>433</v>
      </c>
      <c r="B155" s="290" t="str">
        <f>IFERROR(VLOOKUP(A155&amp;"", STUDENTS!A:B, 2, 0), "")</f>
        <v>LÊ MINH DUY</v>
      </c>
      <c r="C155" s="291" t="s">
        <v>66</v>
      </c>
      <c r="D155" s="291" t="str">
        <f>IFERROR(VLOOKUP(C155, PIC!A:B, 2, 0), "")</f>
        <v>Thao Vu 2</v>
      </c>
      <c r="E155" s="292" t="s">
        <v>23</v>
      </c>
      <c r="F155" s="293">
        <v>45839.375</v>
      </c>
      <c r="G155" s="294">
        <v>45846.375</v>
      </c>
      <c r="H155" s="294">
        <v>45852.41666666666</v>
      </c>
      <c r="I155" s="293">
        <v>45859.41666666666</v>
      </c>
      <c r="J155" s="294"/>
      <c r="K155" s="293"/>
      <c r="L155" s="294"/>
      <c r="M155" s="294"/>
      <c r="N155" s="293"/>
      <c r="O155" s="293"/>
      <c r="P155" s="293"/>
      <c r="Q155" s="293"/>
      <c r="R155" s="293"/>
      <c r="S155" s="293"/>
      <c r="T155" s="293"/>
      <c r="U155" s="294"/>
      <c r="V155" s="295"/>
      <c r="W155" s="296">
        <f t="shared" si="2"/>
        <v>45859.41667</v>
      </c>
      <c r="X155" s="287"/>
      <c r="Y155" s="287"/>
      <c r="Z155" s="287"/>
      <c r="AA155" s="288"/>
    </row>
    <row r="156" ht="15.75" hidden="1" customHeight="1">
      <c r="A156" s="289" t="s">
        <v>439</v>
      </c>
      <c r="B156" s="290" t="str">
        <f>IFERROR(VLOOKUP(A156&amp;"", STUDENTS!A:B, 2, 0), "")</f>
        <v>NGUYỄN NGỌC HOÀNG BẢO TRÂN</v>
      </c>
      <c r="C156" s="291" t="s">
        <v>66</v>
      </c>
      <c r="D156" s="291" t="str">
        <f>IFERROR(VLOOKUP(C156, PIC!A:B, 2, 0), "")</f>
        <v>Thao Vu 2</v>
      </c>
      <c r="E156" s="292" t="s">
        <v>23</v>
      </c>
      <c r="F156" s="293">
        <v>45839.375</v>
      </c>
      <c r="G156" s="294">
        <v>45846.375</v>
      </c>
      <c r="H156" s="294">
        <v>45852.41666666666</v>
      </c>
      <c r="I156" s="293">
        <v>45859.41666666666</v>
      </c>
      <c r="J156" s="294"/>
      <c r="K156" s="293"/>
      <c r="L156" s="294"/>
      <c r="M156" s="294"/>
      <c r="N156" s="293"/>
      <c r="O156" s="293"/>
      <c r="P156" s="293"/>
      <c r="Q156" s="293"/>
      <c r="R156" s="293"/>
      <c r="S156" s="293"/>
      <c r="T156" s="293"/>
      <c r="U156" s="294"/>
      <c r="V156" s="295"/>
      <c r="W156" s="296">
        <f t="shared" si="2"/>
        <v>45859.41667</v>
      </c>
      <c r="X156" s="287"/>
      <c r="Y156" s="287"/>
      <c r="Z156" s="287"/>
      <c r="AA156" s="288"/>
    </row>
    <row r="157" ht="15.75" hidden="1" customHeight="1">
      <c r="A157" s="289" t="s">
        <v>651</v>
      </c>
      <c r="B157" s="290" t="str">
        <f>IFERROR(VLOOKUP(A157&amp;"", STUDENTS!A:B, 2, 0), "")</f>
        <v>VÕ NGUYỄN DUY ANH</v>
      </c>
      <c r="C157" s="291" t="s">
        <v>66</v>
      </c>
      <c r="D157" s="291" t="str">
        <f>IFERROR(VLOOKUP(C157, PIC!A:B, 2, 0), "")</f>
        <v>Thao Vu 2</v>
      </c>
      <c r="E157" s="292" t="s">
        <v>23</v>
      </c>
      <c r="F157" s="293">
        <v>45839.375</v>
      </c>
      <c r="G157" s="294">
        <v>45846.375</v>
      </c>
      <c r="H157" s="294">
        <v>45852.41666666666</v>
      </c>
      <c r="I157" s="293">
        <v>45859.41666666666</v>
      </c>
      <c r="J157" s="294"/>
      <c r="K157" s="293"/>
      <c r="L157" s="294"/>
      <c r="M157" s="294"/>
      <c r="N157" s="293"/>
      <c r="O157" s="293"/>
      <c r="P157" s="293"/>
      <c r="Q157" s="293"/>
      <c r="R157" s="293"/>
      <c r="S157" s="293"/>
      <c r="T157" s="293"/>
      <c r="U157" s="294"/>
      <c r="V157" s="295"/>
      <c r="W157" s="296">
        <f t="shared" si="2"/>
        <v>45859.41667</v>
      </c>
      <c r="X157" s="287"/>
      <c r="Y157" s="287"/>
      <c r="Z157" s="287"/>
      <c r="AA157" s="288"/>
    </row>
    <row r="158" ht="15.75" hidden="1" customHeight="1">
      <c r="A158" s="289" t="s">
        <v>395</v>
      </c>
      <c r="B158" s="290" t="str">
        <f>IFERROR(VLOOKUP(A158&amp;"", STUDENTS!A:B, 2, 0), "")</f>
        <v>NGUYỄN ĐẶNG NGỌC MINH</v>
      </c>
      <c r="C158" s="291" t="s">
        <v>99</v>
      </c>
      <c r="D158" s="291" t="str">
        <f>IFERROR(VLOOKUP(C158, PIC!A:B, 2, 0), "")</f>
        <v>Minh Nguyen</v>
      </c>
      <c r="E158" s="292" t="s">
        <v>22</v>
      </c>
      <c r="F158" s="293">
        <v>45693.45833333334</v>
      </c>
      <c r="G158" s="294">
        <v>45705.58333333334</v>
      </c>
      <c r="H158" s="294">
        <v>45712.58333333334</v>
      </c>
      <c r="I158" s="293"/>
      <c r="J158" s="294"/>
      <c r="K158" s="293"/>
      <c r="L158" s="294"/>
      <c r="M158" s="294"/>
      <c r="N158" s="293"/>
      <c r="O158" s="293"/>
      <c r="P158" s="293"/>
      <c r="Q158" s="293"/>
      <c r="R158" s="293"/>
      <c r="S158" s="293"/>
      <c r="T158" s="293"/>
      <c r="U158" s="294"/>
      <c r="V158" s="295"/>
      <c r="W158" s="296">
        <f t="shared" si="2"/>
        <v>45712.58333</v>
      </c>
      <c r="X158" s="287"/>
      <c r="Y158" s="287"/>
      <c r="Z158" s="287"/>
      <c r="AA158" s="288"/>
    </row>
    <row r="159" ht="15.75" hidden="1" customHeight="1">
      <c r="A159" s="289" t="s">
        <v>398</v>
      </c>
      <c r="B159" s="290" t="str">
        <f>IFERROR(VLOOKUP(A159&amp;"", STUDENTS!A:B, 2, 0), "")</f>
        <v>NGUYỄN VĂN THÁI</v>
      </c>
      <c r="C159" s="291" t="s">
        <v>99</v>
      </c>
      <c r="D159" s="291" t="str">
        <f>IFERROR(VLOOKUP(C159, PIC!A:B, 2, 0), "")</f>
        <v>Minh Nguyen</v>
      </c>
      <c r="E159" s="292" t="s">
        <v>22</v>
      </c>
      <c r="F159" s="293">
        <v>45693.45833333334</v>
      </c>
      <c r="G159" s="294">
        <v>45705.58333333334</v>
      </c>
      <c r="H159" s="294" t="s">
        <v>1162</v>
      </c>
      <c r="I159" s="293"/>
      <c r="J159" s="294"/>
      <c r="K159" s="293"/>
      <c r="L159" s="294"/>
      <c r="M159" s="294"/>
      <c r="N159" s="293"/>
      <c r="O159" s="293"/>
      <c r="P159" s="293"/>
      <c r="Q159" s="293"/>
      <c r="R159" s="293"/>
      <c r="S159" s="293"/>
      <c r="T159" s="293"/>
      <c r="U159" s="294"/>
      <c r="V159" s="295"/>
      <c r="W159" s="296">
        <f t="shared" si="2"/>
        <v>45705.58333</v>
      </c>
      <c r="X159" s="287"/>
      <c r="Y159" s="287"/>
      <c r="Z159" s="287"/>
      <c r="AA159" s="288"/>
    </row>
    <row r="160" ht="15.75" hidden="1" customHeight="1">
      <c r="A160" s="289" t="s">
        <v>401</v>
      </c>
      <c r="B160" s="290" t="str">
        <f>IFERROR(VLOOKUP(A160&amp;"", STUDENTS!A:B, 2, 0), "")</f>
        <v>ÔNG HOÀI THỊNH</v>
      </c>
      <c r="C160" s="291" t="s">
        <v>99</v>
      </c>
      <c r="D160" s="291" t="str">
        <f>IFERROR(VLOOKUP(C160, PIC!A:B, 2, 0), "")</f>
        <v>Minh Nguyen</v>
      </c>
      <c r="E160" s="292" t="s">
        <v>22</v>
      </c>
      <c r="F160" s="293">
        <v>45693.45833333334</v>
      </c>
      <c r="G160" s="294">
        <v>45705.58333333334</v>
      </c>
      <c r="H160" s="294" t="s">
        <v>1162</v>
      </c>
      <c r="I160" s="293"/>
      <c r="J160" s="294"/>
      <c r="K160" s="293"/>
      <c r="L160" s="294"/>
      <c r="M160" s="294"/>
      <c r="N160" s="293"/>
      <c r="O160" s="293"/>
      <c r="P160" s="293"/>
      <c r="Q160" s="293"/>
      <c r="R160" s="293"/>
      <c r="S160" s="293"/>
      <c r="T160" s="293"/>
      <c r="U160" s="294"/>
      <c r="V160" s="295"/>
      <c r="W160" s="296">
        <f t="shared" si="2"/>
        <v>45705.58333</v>
      </c>
      <c r="X160" s="273"/>
      <c r="Y160" s="273"/>
      <c r="Z160" s="235"/>
      <c r="AA160" s="43"/>
    </row>
    <row r="161" ht="15.75" hidden="1" customHeight="1">
      <c r="A161" s="289" t="s">
        <v>403</v>
      </c>
      <c r="B161" s="290" t="str">
        <f>IFERROR(VLOOKUP(A161&amp;"", STUDENTS!A:B, 2, 0), "")</f>
        <v>PHẠM HỒ LƯỢNG</v>
      </c>
      <c r="C161" s="291" t="s">
        <v>99</v>
      </c>
      <c r="D161" s="291" t="str">
        <f>IFERROR(VLOOKUP(C161, PIC!A:B, 2, 0), "")</f>
        <v>Minh Nguyen</v>
      </c>
      <c r="E161" s="292" t="s">
        <v>22</v>
      </c>
      <c r="F161" s="293">
        <v>45693.45833333334</v>
      </c>
      <c r="G161" s="294">
        <v>45705.58333333334</v>
      </c>
      <c r="H161" s="294">
        <v>45712.58333333334</v>
      </c>
      <c r="I161" s="293"/>
      <c r="J161" s="294"/>
      <c r="K161" s="293"/>
      <c r="L161" s="294"/>
      <c r="M161" s="294"/>
      <c r="N161" s="293"/>
      <c r="O161" s="293"/>
      <c r="P161" s="293"/>
      <c r="Q161" s="293"/>
      <c r="R161" s="293"/>
      <c r="S161" s="293"/>
      <c r="T161" s="293"/>
      <c r="U161" s="294"/>
      <c r="V161" s="295"/>
      <c r="W161" s="296">
        <f t="shared" si="2"/>
        <v>45712.58333</v>
      </c>
      <c r="X161" s="283"/>
      <c r="Y161" s="283"/>
      <c r="Z161" s="235"/>
      <c r="AA161" s="43"/>
    </row>
    <row r="162" ht="15.75" hidden="1" customHeight="1">
      <c r="A162" s="289" t="s">
        <v>405</v>
      </c>
      <c r="B162" s="290" t="str">
        <f>IFERROR(VLOOKUP(A162&amp;"", STUDENTS!A:B, 2, 0), "")</f>
        <v>THÁI TRẦN HỒNG PHÚC</v>
      </c>
      <c r="C162" s="291" t="s">
        <v>99</v>
      </c>
      <c r="D162" s="291" t="str">
        <f>IFERROR(VLOOKUP(C162, PIC!A:B, 2, 0), "")</f>
        <v>Minh Nguyen</v>
      </c>
      <c r="E162" s="292" t="s">
        <v>22</v>
      </c>
      <c r="F162" s="293">
        <v>45693.45833333334</v>
      </c>
      <c r="G162" s="294">
        <v>45705.58333333334</v>
      </c>
      <c r="H162" s="294" t="s">
        <v>1162</v>
      </c>
      <c r="I162" s="293"/>
      <c r="J162" s="294"/>
      <c r="K162" s="293"/>
      <c r="L162" s="294"/>
      <c r="M162" s="294"/>
      <c r="N162" s="293"/>
      <c r="O162" s="293"/>
      <c r="P162" s="293"/>
      <c r="Q162" s="293"/>
      <c r="R162" s="293"/>
      <c r="S162" s="293"/>
      <c r="T162" s="293"/>
      <c r="U162" s="294"/>
      <c r="V162" s="295"/>
      <c r="W162" s="296">
        <f t="shared" si="2"/>
        <v>45705.58333</v>
      </c>
      <c r="X162" s="273"/>
      <c r="Y162" s="273"/>
      <c r="Z162" s="235"/>
      <c r="AA162" s="43"/>
    </row>
    <row r="163" ht="15.75" hidden="1" customHeight="1">
      <c r="A163" s="289" t="s">
        <v>407</v>
      </c>
      <c r="B163" s="290" t="str">
        <f>IFERROR(VLOOKUP(A163&amp;"", STUDENTS!A:B, 2, 0), "")</f>
        <v>TRẦN THẾ ANH</v>
      </c>
      <c r="C163" s="291" t="s">
        <v>99</v>
      </c>
      <c r="D163" s="291" t="str">
        <f>IFERROR(VLOOKUP(C163, PIC!A:B, 2, 0), "")</f>
        <v>Minh Nguyen</v>
      </c>
      <c r="E163" s="292" t="s">
        <v>22</v>
      </c>
      <c r="F163" s="293">
        <v>45693.45833333334</v>
      </c>
      <c r="G163" s="294">
        <v>45705.58333333334</v>
      </c>
      <c r="H163" s="294">
        <v>45712.58333333334</v>
      </c>
      <c r="I163" s="293"/>
      <c r="J163" s="294"/>
      <c r="K163" s="293"/>
      <c r="L163" s="294"/>
      <c r="M163" s="294"/>
      <c r="N163" s="293"/>
      <c r="O163" s="293"/>
      <c r="P163" s="293"/>
      <c r="Q163" s="293"/>
      <c r="R163" s="293"/>
      <c r="S163" s="293"/>
      <c r="T163" s="293"/>
      <c r="U163" s="294"/>
      <c r="V163" s="295"/>
      <c r="W163" s="296">
        <f t="shared" si="2"/>
        <v>45712.58333</v>
      </c>
      <c r="X163" s="283"/>
      <c r="Y163" s="283"/>
      <c r="Z163" s="235"/>
      <c r="AA163" s="43"/>
    </row>
    <row r="164" ht="15.75" hidden="1" customHeight="1">
      <c r="A164" s="265" t="s">
        <v>445</v>
      </c>
      <c r="B164" s="266" t="str">
        <f>IFERROR(VLOOKUP(A164&amp;"", STUDENTS!A:B, 2, 0), "")</f>
        <v>BÙI MINH NHẬT</v>
      </c>
      <c r="C164" s="104" t="s">
        <v>67</v>
      </c>
      <c r="D164" s="104" t="str">
        <f>IFERROR(VLOOKUP(C164, PIC!A:B, 2, 0), "")</f>
        <v>Nhat Bui</v>
      </c>
      <c r="E164" s="105" t="s">
        <v>22</v>
      </c>
      <c r="F164" s="267">
        <v>45639.458333333336</v>
      </c>
      <c r="G164" s="268">
        <v>45643.395833333336</v>
      </c>
      <c r="H164" s="268">
        <v>45653.416666666664</v>
      </c>
      <c r="I164" s="267">
        <v>45667.375</v>
      </c>
      <c r="J164" s="268">
        <v>45674.375</v>
      </c>
      <c r="K164" s="267">
        <v>45693.583333333336</v>
      </c>
      <c r="L164" s="268" t="s">
        <v>1162</v>
      </c>
      <c r="M164" s="268">
        <v>45707.416666666664</v>
      </c>
      <c r="N164" s="267">
        <v>45714.416666666664</v>
      </c>
      <c r="O164" s="267">
        <v>45769.583333333336</v>
      </c>
      <c r="P164" s="267"/>
      <c r="Q164" s="267"/>
      <c r="R164" s="267"/>
      <c r="S164" s="267"/>
      <c r="T164" s="267"/>
      <c r="U164" s="268"/>
      <c r="V164" s="271"/>
      <c r="W164" s="272">
        <f t="shared" si="2"/>
        <v>45769.58333</v>
      </c>
      <c r="X164" s="273"/>
      <c r="Y164" s="273"/>
      <c r="Z164" s="235"/>
      <c r="AA164" s="43"/>
    </row>
    <row r="165" ht="15.75" hidden="1" customHeight="1">
      <c r="A165" s="275" t="s">
        <v>447</v>
      </c>
      <c r="B165" s="276" t="str">
        <f>IFERROR(VLOOKUP(A165&amp;"", STUDENTS!A:B, 2, 0), "")</f>
        <v>DƯƠNG THỊ HƯƠNG LAN</v>
      </c>
      <c r="C165" s="122" t="s">
        <v>67</v>
      </c>
      <c r="D165" s="122" t="str">
        <f>IFERROR(VLOOKUP(C165, PIC!A:B, 2, 0), "")</f>
        <v>Nhat Bui</v>
      </c>
      <c r="E165" s="123" t="s">
        <v>22</v>
      </c>
      <c r="F165" s="277">
        <v>45639.458333333336</v>
      </c>
      <c r="G165" s="278" t="s">
        <v>1162</v>
      </c>
      <c r="H165" s="278">
        <v>45653.416666666664</v>
      </c>
      <c r="I165" s="277" t="s">
        <v>1162</v>
      </c>
      <c r="J165" s="278">
        <v>45674.375</v>
      </c>
      <c r="K165" s="277">
        <v>45693.583333333336</v>
      </c>
      <c r="L165" s="278">
        <v>45698.541666666664</v>
      </c>
      <c r="M165" s="278">
        <v>45707.416666666664</v>
      </c>
      <c r="N165" s="277">
        <v>45714.416666666664</v>
      </c>
      <c r="O165" s="277">
        <v>45769.583333333336</v>
      </c>
      <c r="P165" s="277"/>
      <c r="Q165" s="277"/>
      <c r="R165" s="277"/>
      <c r="S165" s="277"/>
      <c r="T165" s="277"/>
      <c r="U165" s="278"/>
      <c r="V165" s="281"/>
      <c r="W165" s="282">
        <f t="shared" si="2"/>
        <v>45769.58333</v>
      </c>
      <c r="X165" s="283"/>
      <c r="Y165" s="283"/>
      <c r="Z165" s="235"/>
      <c r="AA165" s="43"/>
    </row>
    <row r="166" ht="15.75" hidden="1" customHeight="1">
      <c r="A166" s="265" t="s">
        <v>449</v>
      </c>
      <c r="B166" s="266" t="str">
        <f>IFERROR(VLOOKUP(A166&amp;"", STUDENTS!A:B, 2, 0), "")</f>
        <v>HOÀNG NHƯ QUỲNH</v>
      </c>
      <c r="C166" s="104" t="s">
        <v>67</v>
      </c>
      <c r="D166" s="104" t="str">
        <f>IFERROR(VLOOKUP(C166, PIC!A:B, 2, 0), "")</f>
        <v>Nhat Bui</v>
      </c>
      <c r="E166" s="105" t="s">
        <v>22</v>
      </c>
      <c r="F166" s="267">
        <v>45639.458333333336</v>
      </c>
      <c r="G166" s="268">
        <v>45643.395833333336</v>
      </c>
      <c r="H166" s="268">
        <v>45653.416666666664</v>
      </c>
      <c r="I166" s="267" t="s">
        <v>1162</v>
      </c>
      <c r="J166" s="268" t="s">
        <v>1162</v>
      </c>
      <c r="K166" s="267">
        <v>45693.583333333336</v>
      </c>
      <c r="L166" s="268">
        <v>45698.541666666664</v>
      </c>
      <c r="M166" s="268">
        <v>45707.416666666664</v>
      </c>
      <c r="N166" s="267">
        <v>45714.416666666664</v>
      </c>
      <c r="O166" s="267">
        <v>45769.583333333336</v>
      </c>
      <c r="P166" s="267"/>
      <c r="Q166" s="267"/>
      <c r="R166" s="267"/>
      <c r="S166" s="267"/>
      <c r="T166" s="267"/>
      <c r="U166" s="268"/>
      <c r="V166" s="271"/>
      <c r="W166" s="272">
        <f t="shared" si="2"/>
        <v>45769.58333</v>
      </c>
      <c r="X166" s="273"/>
      <c r="Y166" s="273"/>
      <c r="Z166" s="235"/>
      <c r="AA166" s="43"/>
    </row>
    <row r="167" ht="15.75" hidden="1" customHeight="1">
      <c r="A167" s="275" t="s">
        <v>451</v>
      </c>
      <c r="B167" s="276" t="str">
        <f>IFERROR(VLOOKUP(A167&amp;"", STUDENTS!A:B, 2, 0), "")</f>
        <v>LÊ THỊ LAN ANH</v>
      </c>
      <c r="C167" s="122" t="s">
        <v>67</v>
      </c>
      <c r="D167" s="122" t="str">
        <f>IFERROR(VLOOKUP(C167, PIC!A:B, 2, 0), "")</f>
        <v>Nhat Bui</v>
      </c>
      <c r="E167" s="123" t="s">
        <v>22</v>
      </c>
      <c r="F167" s="277">
        <v>45639.458333333336</v>
      </c>
      <c r="G167" s="278" t="s">
        <v>1162</v>
      </c>
      <c r="H167" s="278" t="s">
        <v>1162</v>
      </c>
      <c r="I167" s="277">
        <v>45667.375</v>
      </c>
      <c r="J167" s="278">
        <v>45674.375</v>
      </c>
      <c r="K167" s="277">
        <v>45693.583333333336</v>
      </c>
      <c r="L167" s="278">
        <v>45698.541666666664</v>
      </c>
      <c r="M167" s="278">
        <v>45707.416666666664</v>
      </c>
      <c r="N167" s="277" t="s">
        <v>1162</v>
      </c>
      <c r="O167" s="277">
        <v>45769.583333333336</v>
      </c>
      <c r="P167" s="277"/>
      <c r="Q167" s="277"/>
      <c r="R167" s="277"/>
      <c r="S167" s="277"/>
      <c r="T167" s="277"/>
      <c r="U167" s="278"/>
      <c r="V167" s="281"/>
      <c r="W167" s="282">
        <f t="shared" si="2"/>
        <v>45769.58333</v>
      </c>
      <c r="X167" s="283"/>
      <c r="Y167" s="283"/>
      <c r="Z167" s="235"/>
      <c r="AA167" s="43"/>
    </row>
    <row r="168" ht="15.75" hidden="1" customHeight="1">
      <c r="A168" s="265" t="s">
        <v>593</v>
      </c>
      <c r="B168" s="266" t="str">
        <f>IFERROR(VLOOKUP(A168&amp;"", STUDENTS!A:B, 2, 0), "")</f>
        <v>NGUYỄN ĐẠT THỊNH</v>
      </c>
      <c r="C168" s="104" t="s">
        <v>67</v>
      </c>
      <c r="D168" s="104" t="str">
        <f>IFERROR(VLOOKUP(C168, PIC!A:B, 2, 0), "")</f>
        <v>Nhat Bui</v>
      </c>
      <c r="E168" s="105" t="s">
        <v>22</v>
      </c>
      <c r="F168" s="267">
        <v>45639.458333333336</v>
      </c>
      <c r="G168" s="268">
        <v>45643.395833333336</v>
      </c>
      <c r="H168" s="268">
        <v>45653.416666666664</v>
      </c>
      <c r="I168" s="267">
        <v>45667.375</v>
      </c>
      <c r="J168" s="268">
        <v>45674.375</v>
      </c>
      <c r="K168" s="267">
        <v>45693.583333333336</v>
      </c>
      <c r="L168" s="268">
        <v>45698.541666666664</v>
      </c>
      <c r="M168" s="268">
        <v>45707.416666666664</v>
      </c>
      <c r="N168" s="267">
        <v>45714.416666666664</v>
      </c>
      <c r="O168" s="267">
        <v>45769.583333333336</v>
      </c>
      <c r="P168" s="267"/>
      <c r="Q168" s="267"/>
      <c r="R168" s="267"/>
      <c r="S168" s="267"/>
      <c r="T168" s="267"/>
      <c r="U168" s="268"/>
      <c r="V168" s="271"/>
      <c r="W168" s="272">
        <f t="shared" si="2"/>
        <v>45769.58333</v>
      </c>
      <c r="X168" s="273"/>
      <c r="Y168" s="273"/>
      <c r="Z168" s="235"/>
      <c r="AA168" s="43"/>
    </row>
    <row r="169" ht="15.75" hidden="1" customHeight="1">
      <c r="A169" s="275" t="s">
        <v>453</v>
      </c>
      <c r="B169" s="276" t="str">
        <f>IFERROR(VLOOKUP(A169&amp;"", STUDENTS!A:B, 2, 0), "")</f>
        <v>NGUYỄN THỊ THÙY TRANG</v>
      </c>
      <c r="C169" s="122" t="s">
        <v>67</v>
      </c>
      <c r="D169" s="122" t="str">
        <f>IFERROR(VLOOKUP(C169, PIC!A:B, 2, 0), "")</f>
        <v>Nhat Bui</v>
      </c>
      <c r="E169" s="123" t="s">
        <v>22</v>
      </c>
      <c r="F169" s="277">
        <v>45639.458333333336</v>
      </c>
      <c r="G169" s="278">
        <v>45643.395833333336</v>
      </c>
      <c r="H169" s="278">
        <v>45653.416666666664</v>
      </c>
      <c r="I169" s="277">
        <v>45667.375</v>
      </c>
      <c r="J169" s="278">
        <v>45674.375</v>
      </c>
      <c r="K169" s="277">
        <v>45693.583333333336</v>
      </c>
      <c r="L169" s="278">
        <v>45698.541666666664</v>
      </c>
      <c r="M169" s="278">
        <v>45707.416666666664</v>
      </c>
      <c r="N169" s="277">
        <v>45714.416666666664</v>
      </c>
      <c r="O169" s="277">
        <v>45769.583333333336</v>
      </c>
      <c r="P169" s="277"/>
      <c r="Q169" s="277"/>
      <c r="R169" s="277"/>
      <c r="S169" s="277"/>
      <c r="T169" s="277"/>
      <c r="U169" s="278"/>
      <c r="V169" s="281"/>
      <c r="W169" s="282">
        <f t="shared" si="2"/>
        <v>45769.58333</v>
      </c>
      <c r="X169" s="287"/>
      <c r="Y169" s="287"/>
      <c r="Z169" s="287"/>
      <c r="AA169" s="288"/>
    </row>
    <row r="170" ht="15.75" hidden="1" customHeight="1">
      <c r="A170" s="265" t="s">
        <v>457</v>
      </c>
      <c r="B170" s="266" t="str">
        <f>IFERROR(VLOOKUP(A170&amp;"", STUDENTS!A:B, 2, 0), "")</f>
        <v>PHAN LÊ HỒNG LEL</v>
      </c>
      <c r="C170" s="104" t="s">
        <v>67</v>
      </c>
      <c r="D170" s="104" t="str">
        <f>IFERROR(VLOOKUP(C170, PIC!A:B, 2, 0), "")</f>
        <v>Nhat Bui</v>
      </c>
      <c r="E170" s="105" t="s">
        <v>22</v>
      </c>
      <c r="F170" s="267">
        <v>45639.458333333336</v>
      </c>
      <c r="G170" s="268">
        <v>45643.395833333336</v>
      </c>
      <c r="H170" s="268">
        <v>45653.416666666664</v>
      </c>
      <c r="I170" s="267" t="s">
        <v>1162</v>
      </c>
      <c r="J170" s="268" t="s">
        <v>1162</v>
      </c>
      <c r="K170" s="267" t="s">
        <v>1162</v>
      </c>
      <c r="L170" s="268" t="s">
        <v>1162</v>
      </c>
      <c r="M170" s="268" t="s">
        <v>1162</v>
      </c>
      <c r="N170" s="267" t="s">
        <v>1162</v>
      </c>
      <c r="O170" s="267" t="s">
        <v>1162</v>
      </c>
      <c r="P170" s="267"/>
      <c r="Q170" s="267"/>
      <c r="R170" s="267"/>
      <c r="S170" s="267"/>
      <c r="T170" s="267"/>
      <c r="U170" s="268"/>
      <c r="V170" s="271"/>
      <c r="W170" s="272">
        <f t="shared" si="2"/>
        <v>45653.41667</v>
      </c>
      <c r="X170" s="287"/>
      <c r="Y170" s="287"/>
      <c r="Z170" s="287"/>
      <c r="AA170" s="288"/>
    </row>
    <row r="171" ht="15.75" hidden="1" customHeight="1">
      <c r="A171" s="275" t="s">
        <v>455</v>
      </c>
      <c r="B171" s="276" t="str">
        <f>IFERROR(VLOOKUP(A171&amp;"", STUDENTS!A:B, 2, 0), "")</f>
        <v>TRẦN THỊ ÁNH NGUYỆT</v>
      </c>
      <c r="C171" s="122" t="s">
        <v>67</v>
      </c>
      <c r="D171" s="122" t="str">
        <f>IFERROR(VLOOKUP(C171, PIC!A:B, 2, 0), "")</f>
        <v>Nhat Bui</v>
      </c>
      <c r="E171" s="123" t="s">
        <v>22</v>
      </c>
      <c r="F171" s="277">
        <v>45639.458333333336</v>
      </c>
      <c r="G171" s="278">
        <v>45643.395833333336</v>
      </c>
      <c r="H171" s="278">
        <v>45653.416666666664</v>
      </c>
      <c r="I171" s="277">
        <v>45667.375</v>
      </c>
      <c r="J171" s="278">
        <v>45674.375</v>
      </c>
      <c r="K171" s="277" t="s">
        <v>1162</v>
      </c>
      <c r="L171" s="278">
        <v>45698.541666666664</v>
      </c>
      <c r="M171" s="278" t="s">
        <v>1162</v>
      </c>
      <c r="N171" s="277" t="s">
        <v>1162</v>
      </c>
      <c r="O171" s="277" t="s">
        <v>1162</v>
      </c>
      <c r="P171" s="277"/>
      <c r="Q171" s="277"/>
      <c r="R171" s="277"/>
      <c r="S171" s="277"/>
      <c r="T171" s="277"/>
      <c r="U171" s="278"/>
      <c r="V171" s="281"/>
      <c r="W171" s="282">
        <f t="shared" si="2"/>
        <v>45698.54167</v>
      </c>
      <c r="X171" s="283"/>
      <c r="Y171" s="283"/>
      <c r="Z171" s="235"/>
      <c r="AA171" s="43"/>
    </row>
    <row r="172" ht="15.75" hidden="1" customHeight="1">
      <c r="A172" s="265" t="s">
        <v>478</v>
      </c>
      <c r="B172" s="266" t="str">
        <f>IFERROR(VLOOKUP(A172&amp;"", STUDENTS!A:B, 2, 0), "")</f>
        <v>HOÀNG NAM VƯƠNG</v>
      </c>
      <c r="C172" s="104" t="s">
        <v>68</v>
      </c>
      <c r="D172" s="104" t="str">
        <f>IFERROR(VLOOKUP(C172, PIC!A:B, 2, 0), "")</f>
        <v>Nhat Phan 1</v>
      </c>
      <c r="E172" s="105" t="s">
        <v>22</v>
      </c>
      <c r="F172" s="267">
        <v>45645.41666666666</v>
      </c>
      <c r="G172" s="268">
        <v>45665.41666666666</v>
      </c>
      <c r="H172" s="268" t="s">
        <v>1162</v>
      </c>
      <c r="I172" s="267" t="s">
        <v>1162</v>
      </c>
      <c r="J172" s="268">
        <v>45756.41666666666</v>
      </c>
      <c r="K172" s="267">
        <v>45763.41666666666</v>
      </c>
      <c r="L172" s="268">
        <v>45789.41666666666</v>
      </c>
      <c r="M172" s="268">
        <v>45800.41666666666</v>
      </c>
      <c r="N172" s="267">
        <v>45803.375</v>
      </c>
      <c r="O172" s="267">
        <v>45819.41666666666</v>
      </c>
      <c r="P172" s="267">
        <v>45826.41666666666</v>
      </c>
      <c r="Q172" s="267">
        <v>45853.41666666666</v>
      </c>
      <c r="R172" s="267"/>
      <c r="S172" s="267"/>
      <c r="T172" s="267"/>
      <c r="U172" s="268"/>
      <c r="V172" s="271"/>
      <c r="W172" s="272">
        <f t="shared" si="2"/>
        <v>45853.41667</v>
      </c>
      <c r="X172" s="273"/>
      <c r="Y172" s="273"/>
      <c r="Z172" s="235"/>
      <c r="AA172" s="43"/>
    </row>
    <row r="173" ht="15.75" hidden="1" customHeight="1">
      <c r="A173" s="275" t="s">
        <v>482</v>
      </c>
      <c r="B173" s="276" t="str">
        <f>IFERROR(VLOOKUP(A173&amp;"", STUDENTS!A:B, 2, 0), "")</f>
        <v>NGUYỄN HOÀNG GIANG</v>
      </c>
      <c r="C173" s="122" t="s">
        <v>68</v>
      </c>
      <c r="D173" s="122" t="str">
        <f>IFERROR(VLOOKUP(C173, PIC!A:B, 2, 0), "")</f>
        <v>Nhat Phan 1</v>
      </c>
      <c r="E173" s="123" t="s">
        <v>22</v>
      </c>
      <c r="F173" s="277">
        <v>45645.41666666666</v>
      </c>
      <c r="G173" s="278">
        <v>45665.41666666666</v>
      </c>
      <c r="H173" s="278">
        <v>45707.375</v>
      </c>
      <c r="I173" s="277">
        <v>45714.375</v>
      </c>
      <c r="J173" s="278">
        <v>45756.41666666666</v>
      </c>
      <c r="K173" s="277">
        <v>45763.41666666666</v>
      </c>
      <c r="L173" s="278">
        <v>45789.41666666666</v>
      </c>
      <c r="M173" s="278">
        <v>45800.41666666666</v>
      </c>
      <c r="N173" s="277">
        <v>45803.375</v>
      </c>
      <c r="O173" s="277">
        <v>45819.41666666666</v>
      </c>
      <c r="P173" s="277" t="s">
        <v>1162</v>
      </c>
      <c r="Q173" s="277" t="s">
        <v>1162</v>
      </c>
      <c r="R173" s="277"/>
      <c r="S173" s="277"/>
      <c r="T173" s="277"/>
      <c r="U173" s="278"/>
      <c r="V173" s="281"/>
      <c r="W173" s="282">
        <f t="shared" si="2"/>
        <v>45819.41667</v>
      </c>
      <c r="X173" s="287"/>
      <c r="Y173" s="287"/>
      <c r="Z173" s="287"/>
      <c r="AA173" s="288"/>
    </row>
    <row r="174" ht="15.75" hidden="1" customHeight="1">
      <c r="A174" s="265" t="s">
        <v>484</v>
      </c>
      <c r="B174" s="266" t="str">
        <f>IFERROR(VLOOKUP(A174&amp;"", STUDENTS!A:B, 2, 0), "")</f>
        <v>PHAN ĐÌNH MINH NHẬT</v>
      </c>
      <c r="C174" s="104" t="s">
        <v>68</v>
      </c>
      <c r="D174" s="104" t="str">
        <f>IFERROR(VLOOKUP(C174, PIC!A:B, 2, 0), "")</f>
        <v>Nhat Phan 1</v>
      </c>
      <c r="E174" s="105" t="s">
        <v>22</v>
      </c>
      <c r="F174" s="267"/>
      <c r="G174" s="268">
        <v>45665.41666666666</v>
      </c>
      <c r="H174" s="268">
        <v>45707.375</v>
      </c>
      <c r="I174" s="267">
        <v>45714.375</v>
      </c>
      <c r="J174" s="268" t="s">
        <v>1162</v>
      </c>
      <c r="K174" s="267">
        <v>45763.41666666666</v>
      </c>
      <c r="L174" s="268">
        <v>45789.41666666666</v>
      </c>
      <c r="M174" s="268">
        <v>45800.41666666666</v>
      </c>
      <c r="N174" s="267">
        <v>45803.375</v>
      </c>
      <c r="O174" s="267">
        <v>45819.41666666666</v>
      </c>
      <c r="P174" s="267">
        <v>45826.41666666666</v>
      </c>
      <c r="Q174" s="267">
        <v>45853.41666666666</v>
      </c>
      <c r="R174" s="267"/>
      <c r="S174" s="267"/>
      <c r="T174" s="267"/>
      <c r="U174" s="268"/>
      <c r="V174" s="271"/>
      <c r="W174" s="272">
        <f t="shared" si="2"/>
        <v>45853.41667</v>
      </c>
      <c r="X174" s="287"/>
      <c r="Y174" s="287"/>
      <c r="Z174" s="287"/>
      <c r="AA174" s="288"/>
    </row>
    <row r="175" ht="15.75" hidden="1" customHeight="1">
      <c r="A175" s="275" t="s">
        <v>488</v>
      </c>
      <c r="B175" s="276" t="str">
        <f>IFERROR(VLOOKUP(A175&amp;"", STUDENTS!A:B, 2, 0), "")</f>
        <v>TRẦN THANH HIẾU</v>
      </c>
      <c r="C175" s="122" t="s">
        <v>68</v>
      </c>
      <c r="D175" s="122" t="str">
        <f>IFERROR(VLOOKUP(C175, PIC!A:B, 2, 0), "")</f>
        <v>Nhat Phan 1</v>
      </c>
      <c r="E175" s="123" t="s">
        <v>22</v>
      </c>
      <c r="F175" s="277">
        <v>45645.41666666666</v>
      </c>
      <c r="G175" s="278">
        <v>45665.41666666666</v>
      </c>
      <c r="H175" s="278">
        <v>45707.375</v>
      </c>
      <c r="I175" s="277">
        <v>45714.375</v>
      </c>
      <c r="J175" s="278">
        <v>45756.41666666666</v>
      </c>
      <c r="K175" s="277">
        <v>45763.41666666666</v>
      </c>
      <c r="L175" s="278">
        <v>45789.41666666666</v>
      </c>
      <c r="M175" s="278">
        <v>45800.41666666666</v>
      </c>
      <c r="N175" s="277">
        <v>45803.375</v>
      </c>
      <c r="O175" s="277">
        <v>45819.41666666666</v>
      </c>
      <c r="P175" s="277">
        <v>45826.41666666666</v>
      </c>
      <c r="Q175" s="277">
        <v>45853.41666666666</v>
      </c>
      <c r="R175" s="277"/>
      <c r="S175" s="277"/>
      <c r="T175" s="277"/>
      <c r="U175" s="278"/>
      <c r="V175" s="281"/>
      <c r="W175" s="282">
        <f t="shared" si="2"/>
        <v>45853.41667</v>
      </c>
      <c r="X175" s="283"/>
      <c r="Y175" s="283"/>
      <c r="Z175" s="235"/>
      <c r="AA175" s="43"/>
    </row>
    <row r="176" ht="15.75" hidden="1" customHeight="1">
      <c r="A176" s="289" t="s">
        <v>478</v>
      </c>
      <c r="B176" s="290" t="str">
        <f>IFERROR(VLOOKUP(A176&amp;"", STUDENTS!A:B, 2, 0), "")</f>
        <v>HOÀNG NAM VƯƠNG</v>
      </c>
      <c r="C176" s="291" t="s">
        <v>68</v>
      </c>
      <c r="D176" s="291" t="str">
        <f>IFERROR(VLOOKUP(C176, PIC!A:B, 2, 0), "")</f>
        <v>Nhat Phan 1</v>
      </c>
      <c r="E176" s="292" t="s">
        <v>23</v>
      </c>
      <c r="F176" s="293">
        <v>45887.375</v>
      </c>
      <c r="G176" s="294" t="s">
        <v>1162</v>
      </c>
      <c r="H176" s="294">
        <v>45912.58333333334</v>
      </c>
      <c r="I176" s="293">
        <v>45915.58333333334</v>
      </c>
      <c r="J176" s="294">
        <v>45922.625</v>
      </c>
      <c r="K176" s="293">
        <v>45926.58333333334</v>
      </c>
      <c r="L176" s="294">
        <v>45940.625</v>
      </c>
      <c r="M176" s="294">
        <v>45943.625</v>
      </c>
      <c r="N176" s="293">
        <v>45950.625</v>
      </c>
      <c r="O176" s="293">
        <v>45957.625</v>
      </c>
      <c r="P176" s="293">
        <v>46007.625</v>
      </c>
      <c r="Q176" s="293">
        <v>46021.58333333334</v>
      </c>
      <c r="R176" s="308"/>
      <c r="S176" s="308"/>
      <c r="T176" s="308"/>
      <c r="U176" s="309"/>
      <c r="V176" s="310"/>
      <c r="W176" s="296">
        <f t="shared" si="2"/>
        <v>46021.58333</v>
      </c>
      <c r="X176" s="287"/>
      <c r="Y176" s="287"/>
      <c r="Z176" s="287"/>
      <c r="AA176" s="288"/>
    </row>
    <row r="177" ht="15.75" hidden="1" customHeight="1">
      <c r="A177" s="289" t="s">
        <v>480</v>
      </c>
      <c r="B177" s="290" t="str">
        <f>IFERROR(VLOOKUP(A177&amp;"", STUDENTS!A:B, 2, 0), "")</f>
        <v>NGÔ MINH HIẾU</v>
      </c>
      <c r="C177" s="291" t="s">
        <v>68</v>
      </c>
      <c r="D177" s="291" t="str">
        <f>IFERROR(VLOOKUP(C177, PIC!A:B, 2, 0), "")</f>
        <v>Nhat Phan 1</v>
      </c>
      <c r="E177" s="292" t="s">
        <v>23</v>
      </c>
      <c r="F177" s="293">
        <v>45887.375</v>
      </c>
      <c r="G177" s="294">
        <v>45894.45833333334</v>
      </c>
      <c r="H177" s="294">
        <v>45912.58333333334</v>
      </c>
      <c r="I177" s="293">
        <v>45915.58333333334</v>
      </c>
      <c r="J177" s="294">
        <v>45922.625</v>
      </c>
      <c r="K177" s="293">
        <v>45926.58333333334</v>
      </c>
      <c r="L177" s="294" t="s">
        <v>1162</v>
      </c>
      <c r="M177" s="294">
        <v>45943.625</v>
      </c>
      <c r="N177" s="293">
        <v>45950.625</v>
      </c>
      <c r="O177" s="293">
        <v>45957.625</v>
      </c>
      <c r="P177" s="293">
        <v>46007.625</v>
      </c>
      <c r="Q177" s="293">
        <v>46021.58333333334</v>
      </c>
      <c r="R177" s="308"/>
      <c r="S177" s="308"/>
      <c r="T177" s="308"/>
      <c r="U177" s="309"/>
      <c r="V177" s="310"/>
      <c r="W177" s="296">
        <f t="shared" si="2"/>
        <v>46021.58333</v>
      </c>
      <c r="X177" s="287"/>
      <c r="Y177" s="287"/>
      <c r="Z177" s="287"/>
      <c r="AA177" s="288"/>
    </row>
    <row r="178" ht="15.75" hidden="1" customHeight="1">
      <c r="A178" s="289" t="s">
        <v>484</v>
      </c>
      <c r="B178" s="290" t="str">
        <f>IFERROR(VLOOKUP(A178&amp;"", STUDENTS!A:B, 2, 0), "")</f>
        <v>PHAN ĐÌNH MINH NHẬT</v>
      </c>
      <c r="C178" s="291" t="s">
        <v>68</v>
      </c>
      <c r="D178" s="291" t="str">
        <f>IFERROR(VLOOKUP(C178, PIC!A:B, 2, 0), "")</f>
        <v>Nhat Phan 1</v>
      </c>
      <c r="E178" s="292" t="s">
        <v>23</v>
      </c>
      <c r="F178" s="293">
        <v>45887.375</v>
      </c>
      <c r="G178" s="294">
        <v>45894.45833333334</v>
      </c>
      <c r="H178" s="294">
        <v>45912.58333333334</v>
      </c>
      <c r="I178" s="293">
        <v>45915.58333333334</v>
      </c>
      <c r="J178" s="294">
        <v>45922.625</v>
      </c>
      <c r="K178" s="293">
        <v>45926.58333333334</v>
      </c>
      <c r="L178" s="294">
        <v>45940.625</v>
      </c>
      <c r="M178" s="294">
        <v>45943.625</v>
      </c>
      <c r="N178" s="293">
        <v>45950.625</v>
      </c>
      <c r="O178" s="293">
        <v>45957.625</v>
      </c>
      <c r="P178" s="293" t="s">
        <v>1162</v>
      </c>
      <c r="Q178" s="293">
        <v>46021.58333333334</v>
      </c>
      <c r="R178" s="308"/>
      <c r="S178" s="308"/>
      <c r="T178" s="308"/>
      <c r="U178" s="309"/>
      <c r="V178" s="310"/>
      <c r="W178" s="296">
        <f t="shared" si="2"/>
        <v>46021.58333</v>
      </c>
      <c r="X178" s="273"/>
      <c r="Y178" s="273"/>
      <c r="Z178" s="235"/>
      <c r="AA178" s="43"/>
    </row>
    <row r="179" ht="15.75" hidden="1" customHeight="1">
      <c r="A179" s="289" t="s">
        <v>486</v>
      </c>
      <c r="B179" s="290" t="str">
        <f>IFERROR(VLOOKUP(A179&amp;"", STUDENTS!A:B, 2, 0), "")</f>
        <v>TRẦN QUỐC VIỆT</v>
      </c>
      <c r="C179" s="291" t="s">
        <v>68</v>
      </c>
      <c r="D179" s="291" t="str">
        <f>IFERROR(VLOOKUP(C179, PIC!A:B, 2, 0), "")</f>
        <v>Nhat Phan 1</v>
      </c>
      <c r="E179" s="292" t="s">
        <v>23</v>
      </c>
      <c r="F179" s="293">
        <v>45887.375</v>
      </c>
      <c r="G179" s="294">
        <v>45894.45833333334</v>
      </c>
      <c r="H179" s="294">
        <v>45912.58333333334</v>
      </c>
      <c r="I179" s="293">
        <v>45915.58333333334</v>
      </c>
      <c r="J179" s="294">
        <v>45922.625</v>
      </c>
      <c r="K179" s="293">
        <v>45926.58333333334</v>
      </c>
      <c r="L179" s="294">
        <v>45940.625</v>
      </c>
      <c r="M179" s="294">
        <v>45943.625</v>
      </c>
      <c r="N179" s="293">
        <v>45950.625</v>
      </c>
      <c r="O179" s="293">
        <v>45957.625</v>
      </c>
      <c r="P179" s="293">
        <v>46007.625</v>
      </c>
      <c r="Q179" s="293">
        <v>46021.58333333334</v>
      </c>
      <c r="R179" s="308"/>
      <c r="S179" s="308"/>
      <c r="T179" s="308"/>
      <c r="U179" s="309"/>
      <c r="V179" s="310"/>
      <c r="W179" s="296">
        <f t="shared" si="2"/>
        <v>46021.58333</v>
      </c>
      <c r="X179" s="283"/>
      <c r="Y179" s="283"/>
      <c r="Z179" s="235"/>
      <c r="AA179" s="43"/>
    </row>
    <row r="180" ht="15.75" hidden="1" customHeight="1">
      <c r="A180" s="289" t="s">
        <v>488</v>
      </c>
      <c r="B180" s="290" t="str">
        <f>IFERROR(VLOOKUP(A180&amp;"", STUDENTS!A:B, 2, 0), "")</f>
        <v>TRẦN THANH HIẾU</v>
      </c>
      <c r="C180" s="291" t="s">
        <v>68</v>
      </c>
      <c r="D180" s="291" t="str">
        <f>IFERROR(VLOOKUP(C180, PIC!A:B, 2, 0), "")</f>
        <v>Nhat Phan 1</v>
      </c>
      <c r="E180" s="292" t="s">
        <v>23</v>
      </c>
      <c r="F180" s="293">
        <v>45887.375</v>
      </c>
      <c r="G180" s="294">
        <v>45894.45833333334</v>
      </c>
      <c r="H180" s="294">
        <v>45912.58333333334</v>
      </c>
      <c r="I180" s="293" t="s">
        <v>1162</v>
      </c>
      <c r="J180" s="294">
        <v>45922.625</v>
      </c>
      <c r="K180" s="293">
        <v>45926.58333333334</v>
      </c>
      <c r="L180" s="294">
        <v>45940.625</v>
      </c>
      <c r="M180" s="294">
        <v>45943.625</v>
      </c>
      <c r="N180" s="293">
        <v>45950.625</v>
      </c>
      <c r="O180" s="293">
        <v>45957.625</v>
      </c>
      <c r="P180" s="293">
        <v>46007.625</v>
      </c>
      <c r="Q180" s="293">
        <v>46021.58333333334</v>
      </c>
      <c r="R180" s="308"/>
      <c r="S180" s="308"/>
      <c r="T180" s="308"/>
      <c r="U180" s="309"/>
      <c r="V180" s="310"/>
      <c r="W180" s="296">
        <f t="shared" si="2"/>
        <v>46021.58333</v>
      </c>
      <c r="X180" s="273"/>
      <c r="Y180" s="273"/>
      <c r="Z180" s="235"/>
      <c r="AA180" s="43"/>
    </row>
    <row r="181" ht="15.75" hidden="1" customHeight="1">
      <c r="A181" s="289" t="s">
        <v>490</v>
      </c>
      <c r="B181" s="290" t="str">
        <f>IFERROR(VLOOKUP(A181&amp;"", STUDENTS!A:B, 2, 0), "")</f>
        <v>VŨ NHẬT MINH TRƯỜNG</v>
      </c>
      <c r="C181" s="291" t="s">
        <v>68</v>
      </c>
      <c r="D181" s="291" t="str">
        <f>IFERROR(VLOOKUP(C181, PIC!A:B, 2, 0), "")</f>
        <v>Nhat Phan 1</v>
      </c>
      <c r="E181" s="292" t="s">
        <v>23</v>
      </c>
      <c r="F181" s="293">
        <v>45887.375</v>
      </c>
      <c r="G181" s="294">
        <v>45894.45833333334</v>
      </c>
      <c r="H181" s="294">
        <v>45912.58333333334</v>
      </c>
      <c r="I181" s="293" t="s">
        <v>1162</v>
      </c>
      <c r="J181" s="294">
        <v>45922.625</v>
      </c>
      <c r="K181" s="293">
        <v>45926.58333333334</v>
      </c>
      <c r="L181" s="294">
        <v>45940.625</v>
      </c>
      <c r="M181" s="294">
        <v>45943.625</v>
      </c>
      <c r="N181" s="293">
        <v>45950.625</v>
      </c>
      <c r="O181" s="293">
        <v>45957.625</v>
      </c>
      <c r="P181" s="293">
        <v>46007.625</v>
      </c>
      <c r="Q181" s="293">
        <v>46021.58333333334</v>
      </c>
      <c r="R181" s="308"/>
      <c r="S181" s="308"/>
      <c r="T181" s="308"/>
      <c r="U181" s="309"/>
      <c r="V181" s="310"/>
      <c r="W181" s="296">
        <f t="shared" si="2"/>
        <v>46021.58333</v>
      </c>
      <c r="X181" s="283"/>
      <c r="Y181" s="283"/>
      <c r="Z181" s="235"/>
      <c r="AA181" s="43"/>
    </row>
    <row r="182" ht="15.75" hidden="1" customHeight="1">
      <c r="A182" s="265" t="s">
        <v>494</v>
      </c>
      <c r="B182" s="266" t="str">
        <f>IFERROR(VLOOKUP(A182&amp;"", STUDENTS!A:B, 2, 0), "")</f>
        <v>LÊ ANH TIẾN</v>
      </c>
      <c r="C182" s="104" t="s">
        <v>69</v>
      </c>
      <c r="D182" s="104" t="str">
        <f>IFERROR(VLOOKUP(C182, PIC!A:B, 2, 0), "")</f>
        <v>Nhat Phan 2</v>
      </c>
      <c r="E182" s="105" t="s">
        <v>22</v>
      </c>
      <c r="F182" s="267">
        <v>45663.41666666666</v>
      </c>
      <c r="G182" s="268">
        <v>45671.41666666666</v>
      </c>
      <c r="H182" s="268">
        <v>45677.41666666666</v>
      </c>
      <c r="I182" s="267">
        <v>45695.45833333334</v>
      </c>
      <c r="J182" s="268">
        <v>45702.54166666666</v>
      </c>
      <c r="K182" s="267">
        <v>45706.45833333334</v>
      </c>
      <c r="L182" s="268">
        <v>45709.41666666666</v>
      </c>
      <c r="M182" s="268">
        <v>45713.45833333334</v>
      </c>
      <c r="N182" s="267">
        <v>45716.41666666666</v>
      </c>
      <c r="O182" s="267">
        <v>45758.41666666666</v>
      </c>
      <c r="P182" s="267">
        <v>45765.41666666666</v>
      </c>
      <c r="Q182" s="267">
        <v>45772.41666666666</v>
      </c>
      <c r="R182" s="267"/>
      <c r="S182" s="267"/>
      <c r="T182" s="267"/>
      <c r="U182" s="268"/>
      <c r="V182" s="271"/>
      <c r="W182" s="272">
        <f t="shared" si="2"/>
        <v>45772.41667</v>
      </c>
      <c r="X182" s="273"/>
      <c r="Y182" s="273"/>
      <c r="Z182" s="235"/>
      <c r="AA182" s="43"/>
    </row>
    <row r="183" ht="15.75" hidden="1" customHeight="1">
      <c r="A183" s="275" t="s">
        <v>492</v>
      </c>
      <c r="B183" s="276" t="str">
        <f>IFERROR(VLOOKUP(A183&amp;"", STUDENTS!A:B, 2, 0), "")</f>
        <v>LƯƠNG MINH QUÂN</v>
      </c>
      <c r="C183" s="122" t="s">
        <v>69</v>
      </c>
      <c r="D183" s="122" t="str">
        <f>IFERROR(VLOOKUP(C183, PIC!A:B, 2, 0), "")</f>
        <v>Nhat Phan 2</v>
      </c>
      <c r="E183" s="123" t="s">
        <v>22</v>
      </c>
      <c r="F183" s="277">
        <v>45663.41666666666</v>
      </c>
      <c r="G183" s="278">
        <v>45671.41666666666</v>
      </c>
      <c r="H183" s="278">
        <v>45677.41666666666</v>
      </c>
      <c r="I183" s="277">
        <v>45695.45833333334</v>
      </c>
      <c r="J183" s="278">
        <v>45702.54166666666</v>
      </c>
      <c r="K183" s="277">
        <v>45706.45833333334</v>
      </c>
      <c r="L183" s="278" t="s">
        <v>1162</v>
      </c>
      <c r="M183" s="278">
        <v>45713.45833333334</v>
      </c>
      <c r="N183" s="277">
        <v>45716.41666666666</v>
      </c>
      <c r="O183" s="277">
        <v>45758.41666666666</v>
      </c>
      <c r="P183" s="277">
        <v>45765.41666666666</v>
      </c>
      <c r="Q183" s="277">
        <v>45772.41666666666</v>
      </c>
      <c r="R183" s="277"/>
      <c r="S183" s="277"/>
      <c r="T183" s="277"/>
      <c r="U183" s="278"/>
      <c r="V183" s="281"/>
      <c r="W183" s="282">
        <f t="shared" si="2"/>
        <v>45772.41667</v>
      </c>
      <c r="X183" s="283"/>
      <c r="Y183" s="283"/>
      <c r="Z183" s="235"/>
      <c r="AA183" s="43"/>
    </row>
    <row r="184" ht="15.75" hidden="1" customHeight="1">
      <c r="A184" s="265" t="s">
        <v>480</v>
      </c>
      <c r="B184" s="266" t="str">
        <f>IFERROR(VLOOKUP(A184&amp;"", STUDENTS!A:B, 2, 0), "")</f>
        <v>NGÔ MINH HIẾU</v>
      </c>
      <c r="C184" s="104" t="s">
        <v>69</v>
      </c>
      <c r="D184" s="104" t="str">
        <f>IFERROR(VLOOKUP(C184, PIC!A:B, 2, 0), "")</f>
        <v>Nhat Phan 2</v>
      </c>
      <c r="E184" s="105" t="s">
        <v>22</v>
      </c>
      <c r="F184" s="267">
        <v>45663.41666666666</v>
      </c>
      <c r="G184" s="268">
        <v>45671.41666666666</v>
      </c>
      <c r="H184" s="268">
        <v>45677.41666666666</v>
      </c>
      <c r="I184" s="267">
        <v>45695.45833333334</v>
      </c>
      <c r="J184" s="268">
        <v>45702.54166666666</v>
      </c>
      <c r="K184" s="267">
        <v>45706.45833333334</v>
      </c>
      <c r="L184" s="268">
        <v>45709.41666666666</v>
      </c>
      <c r="M184" s="268">
        <v>45713.45833333334</v>
      </c>
      <c r="N184" s="267">
        <v>45716.41666666666</v>
      </c>
      <c r="O184" s="267" t="s">
        <v>1162</v>
      </c>
      <c r="P184" s="267">
        <v>45765.41666666666</v>
      </c>
      <c r="Q184" s="267">
        <v>45772.41666666666</v>
      </c>
      <c r="R184" s="267"/>
      <c r="S184" s="267"/>
      <c r="T184" s="267"/>
      <c r="U184" s="268"/>
      <c r="V184" s="271"/>
      <c r="W184" s="272">
        <f t="shared" si="2"/>
        <v>45772.41667</v>
      </c>
      <c r="X184" s="273"/>
      <c r="Y184" s="273"/>
      <c r="Z184" s="235"/>
      <c r="AA184" s="43"/>
    </row>
    <row r="185" ht="15.75" hidden="1" customHeight="1">
      <c r="A185" s="275" t="s">
        <v>496</v>
      </c>
      <c r="B185" s="276" t="str">
        <f>IFERROR(VLOOKUP(A185&amp;"", STUDENTS!A:B, 2, 0), "")</f>
        <v>NGUYỄN MINH DUY</v>
      </c>
      <c r="C185" s="122" t="s">
        <v>69</v>
      </c>
      <c r="D185" s="122" t="str">
        <f>IFERROR(VLOOKUP(C185, PIC!A:B, 2, 0), "")</f>
        <v>Nhat Phan 2</v>
      </c>
      <c r="E185" s="123" t="s">
        <v>22</v>
      </c>
      <c r="F185" s="277">
        <v>45663.41666666666</v>
      </c>
      <c r="G185" s="278">
        <v>45671.41666666666</v>
      </c>
      <c r="H185" s="278">
        <v>45677.41666666666</v>
      </c>
      <c r="I185" s="277">
        <v>45695.45833333334</v>
      </c>
      <c r="J185" s="278" t="s">
        <v>1162</v>
      </c>
      <c r="K185" s="277">
        <v>45706.45833333334</v>
      </c>
      <c r="L185" s="278">
        <v>45709.41666666666</v>
      </c>
      <c r="M185" s="278">
        <v>45713.45833333334</v>
      </c>
      <c r="N185" s="277">
        <v>45716.41666666666</v>
      </c>
      <c r="O185" s="277">
        <v>45758.41666666666</v>
      </c>
      <c r="P185" s="277" t="s">
        <v>1162</v>
      </c>
      <c r="Q185" s="277">
        <v>45772.41666666666</v>
      </c>
      <c r="R185" s="277"/>
      <c r="S185" s="277"/>
      <c r="T185" s="277"/>
      <c r="U185" s="278"/>
      <c r="V185" s="281"/>
      <c r="W185" s="282">
        <f t="shared" si="2"/>
        <v>45772.41667</v>
      </c>
      <c r="X185" s="287"/>
      <c r="Y185" s="287"/>
      <c r="Z185" s="287"/>
      <c r="AA185" s="288"/>
    </row>
    <row r="186" ht="15.75" hidden="1" customHeight="1">
      <c r="A186" s="265" t="s">
        <v>486</v>
      </c>
      <c r="B186" s="266" t="str">
        <f>IFERROR(VLOOKUP(A186&amp;"", STUDENTS!A:B, 2, 0), "")</f>
        <v>TRẦN QUỐC VIỆT</v>
      </c>
      <c r="C186" s="104" t="s">
        <v>69</v>
      </c>
      <c r="D186" s="104" t="str">
        <f>IFERROR(VLOOKUP(C186, PIC!A:B, 2, 0), "")</f>
        <v>Nhat Phan 2</v>
      </c>
      <c r="E186" s="105" t="s">
        <v>22</v>
      </c>
      <c r="F186" s="267">
        <v>45663.41666666666</v>
      </c>
      <c r="G186" s="268">
        <v>45671.41666666666</v>
      </c>
      <c r="H186" s="268">
        <v>45677.41666666666</v>
      </c>
      <c r="I186" s="267">
        <v>45695.45833333334</v>
      </c>
      <c r="J186" s="268">
        <v>45702.54166666666</v>
      </c>
      <c r="K186" s="267">
        <v>45706.45833333334</v>
      </c>
      <c r="L186" s="268">
        <v>45709.41666666666</v>
      </c>
      <c r="M186" s="268">
        <v>45713.45833333334</v>
      </c>
      <c r="N186" s="267">
        <v>45716.41666666666</v>
      </c>
      <c r="O186" s="267">
        <v>45758.41666666666</v>
      </c>
      <c r="P186" s="267">
        <v>45765.41666666666</v>
      </c>
      <c r="Q186" s="267">
        <v>45772.41666666666</v>
      </c>
      <c r="R186" s="267"/>
      <c r="S186" s="267"/>
      <c r="T186" s="267"/>
      <c r="U186" s="268"/>
      <c r="V186" s="271"/>
      <c r="W186" s="272">
        <f t="shared" si="2"/>
        <v>45772.41667</v>
      </c>
      <c r="X186" s="273"/>
      <c r="Y186" s="273"/>
      <c r="Z186" s="235"/>
      <c r="AA186" s="43"/>
    </row>
    <row r="187" ht="15.75" hidden="1" customHeight="1">
      <c r="A187" s="275" t="s">
        <v>490</v>
      </c>
      <c r="B187" s="276" t="str">
        <f>IFERROR(VLOOKUP(A187&amp;"", STUDENTS!A:B, 2, 0), "")</f>
        <v>VŨ NHẬT MINH TRƯỜNG</v>
      </c>
      <c r="C187" s="122" t="s">
        <v>69</v>
      </c>
      <c r="D187" s="122" t="str">
        <f>IFERROR(VLOOKUP(C187, PIC!A:B, 2, 0), "")</f>
        <v>Nhat Phan 2</v>
      </c>
      <c r="E187" s="123" t="s">
        <v>22</v>
      </c>
      <c r="F187" s="277">
        <v>45663.41666666666</v>
      </c>
      <c r="G187" s="278">
        <v>45671.41666666666</v>
      </c>
      <c r="H187" s="278">
        <v>45677.41666666666</v>
      </c>
      <c r="I187" s="277">
        <v>45695.45833333334</v>
      </c>
      <c r="J187" s="278">
        <v>45702.54166666666</v>
      </c>
      <c r="K187" s="277">
        <v>45706.45833333334</v>
      </c>
      <c r="L187" s="278">
        <v>45709.41666666666</v>
      </c>
      <c r="M187" s="278">
        <v>45713.45833333334</v>
      </c>
      <c r="N187" s="277">
        <v>45716.41666666666</v>
      </c>
      <c r="O187" s="277" t="s">
        <v>1162</v>
      </c>
      <c r="P187" s="277">
        <v>45765.41666666666</v>
      </c>
      <c r="Q187" s="277">
        <v>45772.41666666666</v>
      </c>
      <c r="R187" s="277"/>
      <c r="S187" s="277"/>
      <c r="T187" s="277"/>
      <c r="U187" s="278"/>
      <c r="V187" s="281"/>
      <c r="W187" s="282">
        <f t="shared" si="2"/>
        <v>45772.41667</v>
      </c>
      <c r="X187" s="287"/>
      <c r="Y187" s="287"/>
      <c r="Z187" s="287"/>
      <c r="AA187" s="288"/>
    </row>
    <row r="188" ht="15.75" customHeight="1">
      <c r="A188" s="265" t="s">
        <v>461</v>
      </c>
      <c r="B188" s="266" t="str">
        <f>IFERROR(VLOOKUP(A188&amp;"", STUDENTS!A:B, 2, 0), "")</f>
        <v>ĐINH TRƯƠNG THANH TUYỀN</v>
      </c>
      <c r="C188" s="104" t="s">
        <v>70</v>
      </c>
      <c r="D188" s="104" t="str">
        <f>IFERROR(VLOOKUP(C188, PIC!A:B, 2, 0), "")</f>
        <v>Qui Em</v>
      </c>
      <c r="E188" s="105" t="s">
        <v>22</v>
      </c>
      <c r="F188" s="267">
        <v>45638.41666666666</v>
      </c>
      <c r="G188" s="268">
        <v>45649.41666666666</v>
      </c>
      <c r="H188" s="270">
        <v>45666.416666666664</v>
      </c>
      <c r="I188" s="267">
        <v>45678.41666666666</v>
      </c>
      <c r="J188" s="268">
        <v>45694.41666666666</v>
      </c>
      <c r="K188" s="267" t="s">
        <v>1162</v>
      </c>
      <c r="L188" s="268" t="s">
        <v>1162</v>
      </c>
      <c r="M188" s="268" t="s">
        <v>1162</v>
      </c>
      <c r="N188" s="267">
        <v>45772.45833333334</v>
      </c>
      <c r="O188" s="267">
        <v>45807.41666666666</v>
      </c>
      <c r="P188" s="267"/>
      <c r="Q188" s="267"/>
      <c r="R188" s="267"/>
      <c r="S188" s="267"/>
      <c r="T188" s="267"/>
      <c r="U188" s="268"/>
      <c r="V188" s="271"/>
      <c r="W188" s="272">
        <f t="shared" si="2"/>
        <v>45807.41667</v>
      </c>
      <c r="X188" s="273"/>
      <c r="Y188" s="273"/>
      <c r="Z188" s="235"/>
      <c r="AA188" s="43"/>
    </row>
    <row r="189" ht="15.75" customHeight="1">
      <c r="A189" s="275" t="s">
        <v>474</v>
      </c>
      <c r="B189" s="276" t="str">
        <f>IFERROR(VLOOKUP(A189&amp;"", STUDENTS!A:B, 2, 0), "")</f>
        <v>ĐỖ VŨ GIA LONG</v>
      </c>
      <c r="C189" s="122" t="s">
        <v>70</v>
      </c>
      <c r="D189" s="122" t="str">
        <f>IFERROR(VLOOKUP(C189, PIC!A:B, 2, 0), "")</f>
        <v>Qui Em</v>
      </c>
      <c r="E189" s="123" t="s">
        <v>22</v>
      </c>
      <c r="F189" s="277"/>
      <c r="G189" s="278">
        <v>45649.41666666666</v>
      </c>
      <c r="H189" s="278">
        <v>45656.41666666666</v>
      </c>
      <c r="I189" s="277" t="s">
        <v>1162</v>
      </c>
      <c r="J189" s="278">
        <v>45701.41666666666</v>
      </c>
      <c r="K189" s="277">
        <v>45705.41666666666</v>
      </c>
      <c r="L189" s="278">
        <v>45712.41666666666</v>
      </c>
      <c r="M189" s="278">
        <v>45756.54166666666</v>
      </c>
      <c r="N189" s="277">
        <v>45772.45833333334</v>
      </c>
      <c r="O189" s="277">
        <v>45807.41666666666</v>
      </c>
      <c r="P189" s="277"/>
      <c r="Q189" s="277"/>
      <c r="R189" s="277"/>
      <c r="S189" s="277"/>
      <c r="T189" s="277"/>
      <c r="U189" s="278"/>
      <c r="V189" s="281"/>
      <c r="W189" s="282">
        <f t="shared" si="2"/>
        <v>45807.41667</v>
      </c>
      <c r="X189" s="287"/>
      <c r="Y189" s="287"/>
      <c r="Z189" s="287"/>
      <c r="AA189" s="288"/>
    </row>
    <row r="190" ht="15.75" customHeight="1">
      <c r="A190" s="265" t="s">
        <v>464</v>
      </c>
      <c r="B190" s="266" t="str">
        <f>IFERROR(VLOOKUP(A190&amp;"", STUDENTS!A:B, 2, 0), "")</f>
        <v>ĐOÀN KHÁNH NGUYÊN</v>
      </c>
      <c r="C190" s="104" t="s">
        <v>70</v>
      </c>
      <c r="D190" s="104" t="str">
        <f>IFERROR(VLOOKUP(C190, PIC!A:B, 2, 0), "")</f>
        <v>Qui Em</v>
      </c>
      <c r="E190" s="105" t="s">
        <v>22</v>
      </c>
      <c r="F190" s="267">
        <v>45638.41666666666</v>
      </c>
      <c r="G190" s="268">
        <v>45649.41666666666</v>
      </c>
      <c r="H190" s="270">
        <v>45666.416666666664</v>
      </c>
      <c r="I190" s="267">
        <v>45678.41666666666</v>
      </c>
      <c r="J190" s="268">
        <v>45701.41666666666</v>
      </c>
      <c r="K190" s="267" t="s">
        <v>1162</v>
      </c>
      <c r="L190" s="268">
        <v>45712.41666666666</v>
      </c>
      <c r="M190" s="268">
        <v>45756.54166666666</v>
      </c>
      <c r="N190" s="267">
        <v>45772.45833333334</v>
      </c>
      <c r="O190" s="267">
        <v>45807.41666666666</v>
      </c>
      <c r="P190" s="267"/>
      <c r="Q190" s="267"/>
      <c r="R190" s="267"/>
      <c r="S190" s="267"/>
      <c r="T190" s="267"/>
      <c r="U190" s="268"/>
      <c r="V190" s="271"/>
      <c r="W190" s="272">
        <f t="shared" si="2"/>
        <v>45807.41667</v>
      </c>
      <c r="X190" s="273"/>
      <c r="Y190" s="273"/>
      <c r="Z190" s="235"/>
      <c r="AA190" s="43"/>
    </row>
    <row r="191" ht="15.75" customHeight="1">
      <c r="A191" s="275" t="s">
        <v>561</v>
      </c>
      <c r="B191" s="276" t="str">
        <f>IFERROR(VLOOKUP(A191&amp;"", STUDENTS!A:B, 2, 0), "")</f>
        <v>ĐOÀN QUANG TUẤN</v>
      </c>
      <c r="C191" s="122" t="s">
        <v>70</v>
      </c>
      <c r="D191" s="122" t="str">
        <f>IFERROR(VLOOKUP(C191, PIC!A:B, 2, 0), "")</f>
        <v>Qui Em</v>
      </c>
      <c r="E191" s="123" t="s">
        <v>22</v>
      </c>
      <c r="F191" s="277">
        <v>45638.41666666666</v>
      </c>
      <c r="G191" s="278" t="s">
        <v>1162</v>
      </c>
      <c r="H191" s="280">
        <v>45666.416666666664</v>
      </c>
      <c r="I191" s="277">
        <v>45670.41666666666</v>
      </c>
      <c r="J191" s="278">
        <v>45701.41666666666</v>
      </c>
      <c r="K191" s="277">
        <v>45705.41666666666</v>
      </c>
      <c r="L191" s="278">
        <v>45712.41666666666</v>
      </c>
      <c r="M191" s="278">
        <v>45756.54166666666</v>
      </c>
      <c r="N191" s="277">
        <v>45772.45833333334</v>
      </c>
      <c r="O191" s="277">
        <v>45807.41666666666</v>
      </c>
      <c r="P191" s="277"/>
      <c r="Q191" s="277"/>
      <c r="R191" s="277"/>
      <c r="S191" s="277"/>
      <c r="T191" s="277"/>
      <c r="U191" s="278"/>
      <c r="V191" s="281"/>
      <c r="W191" s="282">
        <f t="shared" si="2"/>
        <v>45807.41667</v>
      </c>
      <c r="X191" s="283"/>
      <c r="Y191" s="283"/>
      <c r="Z191" s="235"/>
      <c r="AA191" s="43"/>
    </row>
    <row r="192" ht="15.75" customHeight="1">
      <c r="A192" s="265" t="s">
        <v>563</v>
      </c>
      <c r="B192" s="266" t="str">
        <f>IFERROR(VLOOKUP(A192&amp;"", STUDENTS!A:B, 2, 0), "")</f>
        <v>ĐƯỜNG QUANG HUY</v>
      </c>
      <c r="C192" s="104" t="s">
        <v>70</v>
      </c>
      <c r="D192" s="104" t="str">
        <f>IFERROR(VLOOKUP(C192, PIC!A:B, 2, 0), "")</f>
        <v>Qui Em</v>
      </c>
      <c r="E192" s="105" t="s">
        <v>22</v>
      </c>
      <c r="F192" s="267">
        <v>45638.41666666666</v>
      </c>
      <c r="G192" s="268">
        <v>45649.41666666666</v>
      </c>
      <c r="H192" s="268">
        <v>45656.41666666666</v>
      </c>
      <c r="I192" s="267">
        <v>45670.41666666666</v>
      </c>
      <c r="J192" s="268">
        <v>45694.41666666666</v>
      </c>
      <c r="K192" s="267">
        <v>45705.41666666666</v>
      </c>
      <c r="L192" s="268">
        <v>45712.41666666666</v>
      </c>
      <c r="M192" s="268">
        <v>45756.54166666666</v>
      </c>
      <c r="N192" s="267">
        <v>45772.45833333334</v>
      </c>
      <c r="O192" s="267">
        <v>45807.41666666666</v>
      </c>
      <c r="P192" s="267"/>
      <c r="Q192" s="267"/>
      <c r="R192" s="267"/>
      <c r="S192" s="267"/>
      <c r="T192" s="267"/>
      <c r="U192" s="268"/>
      <c r="V192" s="271"/>
      <c r="W192" s="272">
        <f t="shared" si="2"/>
        <v>45807.41667</v>
      </c>
      <c r="X192" s="273"/>
      <c r="Y192" s="273"/>
      <c r="Z192" s="235"/>
      <c r="AA192" s="43"/>
    </row>
    <row r="193" ht="15.75" customHeight="1">
      <c r="A193" s="275" t="s">
        <v>565</v>
      </c>
      <c r="B193" s="276" t="str">
        <f>IFERROR(VLOOKUP(A193&amp;"", STUDENTS!A:B, 2, 0), "")</f>
        <v>NGUYỄN QUÍ EM</v>
      </c>
      <c r="C193" s="122" t="s">
        <v>70</v>
      </c>
      <c r="D193" s="122" t="str">
        <f>IFERROR(VLOOKUP(C193, PIC!A:B, 2, 0), "")</f>
        <v>Qui Em</v>
      </c>
      <c r="E193" s="123" t="s">
        <v>22</v>
      </c>
      <c r="F193" s="277" t="s">
        <v>1162</v>
      </c>
      <c r="G193" s="278">
        <v>45649.41666666666</v>
      </c>
      <c r="H193" s="280">
        <v>45666.416666666664</v>
      </c>
      <c r="I193" s="277">
        <v>45678.41666666666</v>
      </c>
      <c r="J193" s="278">
        <v>45701.41666666666</v>
      </c>
      <c r="K193" s="277">
        <v>45705.41666666666</v>
      </c>
      <c r="L193" s="278" t="s">
        <v>1162</v>
      </c>
      <c r="M193" s="278">
        <v>45756.54166666666</v>
      </c>
      <c r="N193" s="277">
        <v>45772.45833333334</v>
      </c>
      <c r="O193" s="277">
        <v>45807.41666666666</v>
      </c>
      <c r="P193" s="277"/>
      <c r="Q193" s="277"/>
      <c r="R193" s="277"/>
      <c r="S193" s="277"/>
      <c r="T193" s="277"/>
      <c r="U193" s="278"/>
      <c r="V193" s="281"/>
      <c r="W193" s="282">
        <f t="shared" si="2"/>
        <v>45807.41667</v>
      </c>
      <c r="X193" s="287"/>
      <c r="Y193" s="287"/>
      <c r="Z193" s="287"/>
      <c r="AA193" s="288"/>
    </row>
    <row r="194" ht="15.75" customHeight="1">
      <c r="A194" s="265" t="s">
        <v>567</v>
      </c>
      <c r="B194" s="266" t="str">
        <f>IFERROR(VLOOKUP(A194&amp;"", STUDENTS!A:B, 2, 0), "")</f>
        <v>TRẦN ĐỨC NAM</v>
      </c>
      <c r="C194" s="104" t="s">
        <v>70</v>
      </c>
      <c r="D194" s="104" t="str">
        <f>IFERROR(VLOOKUP(C194, PIC!A:B, 2, 0), "")</f>
        <v>Qui Em</v>
      </c>
      <c r="E194" s="105" t="s">
        <v>22</v>
      </c>
      <c r="F194" s="267" t="s">
        <v>1162</v>
      </c>
      <c r="G194" s="268">
        <v>45649.41666666666</v>
      </c>
      <c r="H194" s="270">
        <v>45666.416666666664</v>
      </c>
      <c r="I194" s="267" t="s">
        <v>1162</v>
      </c>
      <c r="J194" s="268">
        <v>45694.41666666666</v>
      </c>
      <c r="K194" s="267" t="s">
        <v>1162</v>
      </c>
      <c r="L194" s="268">
        <v>45712.41666666666</v>
      </c>
      <c r="M194" s="268" t="s">
        <v>1162</v>
      </c>
      <c r="N194" s="267">
        <v>45772.45833333334</v>
      </c>
      <c r="O194" s="267">
        <v>45807.41666666666</v>
      </c>
      <c r="P194" s="267"/>
      <c r="Q194" s="267"/>
      <c r="R194" s="267"/>
      <c r="S194" s="267"/>
      <c r="T194" s="267"/>
      <c r="U194" s="268"/>
      <c r="V194" s="271"/>
      <c r="W194" s="272">
        <f t="shared" si="2"/>
        <v>45807.41667</v>
      </c>
      <c r="X194" s="273"/>
      <c r="Y194" s="273"/>
      <c r="Z194" s="235"/>
      <c r="AA194" s="43"/>
    </row>
    <row r="195" ht="15.75" customHeight="1">
      <c r="A195" s="275" t="s">
        <v>472</v>
      </c>
      <c r="B195" s="276" t="str">
        <f>IFERROR(VLOOKUP(A195&amp;"", STUDENTS!A:B, 2, 0), "")</f>
        <v>VÕ DUY KIỆT</v>
      </c>
      <c r="C195" s="122" t="s">
        <v>70</v>
      </c>
      <c r="D195" s="122" t="str">
        <f>IFERROR(VLOOKUP(C195, PIC!A:B, 2, 0), "")</f>
        <v>Qui Em</v>
      </c>
      <c r="E195" s="123" t="s">
        <v>22</v>
      </c>
      <c r="F195" s="277">
        <v>45638.41666666666</v>
      </c>
      <c r="G195" s="278">
        <v>45649.41666666666</v>
      </c>
      <c r="H195" s="278">
        <v>45656.41666666666</v>
      </c>
      <c r="I195" s="277">
        <v>45670.41666666666</v>
      </c>
      <c r="J195" s="278">
        <v>45694.41666666666</v>
      </c>
      <c r="K195" s="277">
        <v>45705.41666666666</v>
      </c>
      <c r="L195" s="278">
        <v>45712.41666666666</v>
      </c>
      <c r="M195" s="278">
        <v>45756.54166666666</v>
      </c>
      <c r="N195" s="277">
        <v>45772.45833333334</v>
      </c>
      <c r="O195" s="277">
        <v>45807.41666666666</v>
      </c>
      <c r="P195" s="277"/>
      <c r="Q195" s="277"/>
      <c r="R195" s="277"/>
      <c r="S195" s="277"/>
      <c r="T195" s="277"/>
      <c r="U195" s="278"/>
      <c r="V195" s="281"/>
      <c r="W195" s="282">
        <f t="shared" si="2"/>
        <v>45807.41667</v>
      </c>
      <c r="X195" s="283"/>
      <c r="Y195" s="283"/>
      <c r="Z195" s="235"/>
      <c r="AA195" s="43"/>
    </row>
    <row r="196" ht="15.75" customHeight="1">
      <c r="A196" s="289" t="s">
        <v>461</v>
      </c>
      <c r="B196" s="290" t="str">
        <f>IFERROR(VLOOKUP(A196&amp;"", STUDENTS!A:B, 2, 0), "")</f>
        <v>ĐINH TRƯƠNG THANH TUYỀN</v>
      </c>
      <c r="C196" s="291" t="s">
        <v>70</v>
      </c>
      <c r="D196" s="291" t="str">
        <f>IFERROR(VLOOKUP(C196, PIC!A:B, 2, 0), "")</f>
        <v>Qui Em</v>
      </c>
      <c r="E196" s="292" t="s">
        <v>23</v>
      </c>
      <c r="F196" s="293">
        <v>45841.58333333334</v>
      </c>
      <c r="G196" s="294">
        <v>45853.41666666666</v>
      </c>
      <c r="H196" s="294" t="s">
        <v>1162</v>
      </c>
      <c r="I196" s="293">
        <v>45889.625</v>
      </c>
      <c r="J196" s="294" t="s">
        <v>1162</v>
      </c>
      <c r="K196" s="293">
        <v>45924.625</v>
      </c>
      <c r="L196" s="294">
        <v>45931.625</v>
      </c>
      <c r="M196" s="294"/>
      <c r="N196" s="293"/>
      <c r="O196" s="293"/>
      <c r="P196" s="293"/>
      <c r="Q196" s="293"/>
      <c r="R196" s="293"/>
      <c r="S196" s="293"/>
      <c r="T196" s="293"/>
      <c r="U196" s="294"/>
      <c r="V196" s="295"/>
      <c r="W196" s="296">
        <f t="shared" si="2"/>
        <v>45931.625</v>
      </c>
      <c r="X196" s="287"/>
      <c r="Y196" s="287"/>
      <c r="Z196" s="287"/>
      <c r="AA196" s="288"/>
    </row>
    <row r="197" ht="15.75" customHeight="1">
      <c r="A197" s="289" t="s">
        <v>474</v>
      </c>
      <c r="B197" s="290" t="str">
        <f>IFERROR(VLOOKUP(A197&amp;"", STUDENTS!A:B, 2, 0), "")</f>
        <v>ĐỖ VŨ GIA LONG</v>
      </c>
      <c r="C197" s="291" t="s">
        <v>70</v>
      </c>
      <c r="D197" s="291" t="str">
        <f>IFERROR(VLOOKUP(C197, PIC!A:B, 2, 0), "")</f>
        <v>Qui Em</v>
      </c>
      <c r="E197" s="292" t="s">
        <v>23</v>
      </c>
      <c r="F197" s="293">
        <v>45841.58333333334</v>
      </c>
      <c r="G197" s="294">
        <v>45853.41666666666</v>
      </c>
      <c r="H197" s="294">
        <v>45882.625</v>
      </c>
      <c r="I197" s="293">
        <v>45889.625</v>
      </c>
      <c r="J197" s="294">
        <v>45917.625</v>
      </c>
      <c r="K197" s="293">
        <v>45924.625</v>
      </c>
      <c r="L197" s="294">
        <v>45931.625</v>
      </c>
      <c r="M197" s="294"/>
      <c r="N197" s="293"/>
      <c r="O197" s="293"/>
      <c r="P197" s="293"/>
      <c r="Q197" s="293"/>
      <c r="R197" s="293"/>
      <c r="S197" s="293"/>
      <c r="T197" s="293"/>
      <c r="U197" s="294"/>
      <c r="V197" s="295"/>
      <c r="W197" s="296">
        <f t="shared" si="2"/>
        <v>45931.625</v>
      </c>
      <c r="X197" s="287"/>
      <c r="Y197" s="287"/>
      <c r="Z197" s="287"/>
      <c r="AA197" s="288"/>
    </row>
    <row r="198" ht="15.75" customHeight="1">
      <c r="A198" s="289" t="s">
        <v>464</v>
      </c>
      <c r="B198" s="290" t="str">
        <f>IFERROR(VLOOKUP(A198&amp;"", STUDENTS!A:B, 2, 0), "")</f>
        <v>ĐOÀN KHÁNH NGUYÊN</v>
      </c>
      <c r="C198" s="291" t="s">
        <v>70</v>
      </c>
      <c r="D198" s="291" t="str">
        <f>IFERROR(VLOOKUP(C198, PIC!A:B, 2, 0), "")</f>
        <v>Qui Em</v>
      </c>
      <c r="E198" s="292" t="s">
        <v>23</v>
      </c>
      <c r="F198" s="293">
        <v>45841.58333333334</v>
      </c>
      <c r="G198" s="294">
        <v>45853.41666666666</v>
      </c>
      <c r="H198" s="294">
        <v>45882.625</v>
      </c>
      <c r="I198" s="293">
        <v>45889.625</v>
      </c>
      <c r="J198" s="294">
        <v>45917.625</v>
      </c>
      <c r="K198" s="293">
        <v>45924.625</v>
      </c>
      <c r="L198" s="294">
        <v>45931.625</v>
      </c>
      <c r="M198" s="294"/>
      <c r="N198" s="293"/>
      <c r="O198" s="293"/>
      <c r="P198" s="293"/>
      <c r="Q198" s="293"/>
      <c r="R198" s="293"/>
      <c r="S198" s="293"/>
      <c r="T198" s="293"/>
      <c r="U198" s="294"/>
      <c r="V198" s="295"/>
      <c r="W198" s="296">
        <f t="shared" si="2"/>
        <v>45931.625</v>
      </c>
      <c r="X198" s="287"/>
      <c r="Y198" s="287"/>
      <c r="Z198" s="287"/>
      <c r="AA198" s="288"/>
    </row>
    <row r="199" ht="15.75" customHeight="1">
      <c r="A199" s="289" t="s">
        <v>565</v>
      </c>
      <c r="B199" s="290" t="str">
        <f>IFERROR(VLOOKUP(A199&amp;"", STUDENTS!A:B, 2, 0), "")</f>
        <v>NGUYỄN QUÍ EM</v>
      </c>
      <c r="C199" s="291" t="s">
        <v>70</v>
      </c>
      <c r="D199" s="291" t="str">
        <f>IFERROR(VLOOKUP(C199, PIC!A:B, 2, 0), "")</f>
        <v>Qui Em</v>
      </c>
      <c r="E199" s="292" t="s">
        <v>23</v>
      </c>
      <c r="F199" s="293">
        <v>45841.58333333334</v>
      </c>
      <c r="G199" s="294">
        <v>45853.41666666666</v>
      </c>
      <c r="H199" s="294" t="s">
        <v>1162</v>
      </c>
      <c r="I199" s="293">
        <v>45889.625</v>
      </c>
      <c r="J199" s="294">
        <v>45917.625</v>
      </c>
      <c r="K199" s="293">
        <v>45924.625</v>
      </c>
      <c r="L199" s="294" t="s">
        <v>1162</v>
      </c>
      <c r="M199" s="294"/>
      <c r="N199" s="293"/>
      <c r="O199" s="293"/>
      <c r="P199" s="293"/>
      <c r="Q199" s="293"/>
      <c r="R199" s="293"/>
      <c r="S199" s="293"/>
      <c r="T199" s="293"/>
      <c r="U199" s="294"/>
      <c r="V199" s="295"/>
      <c r="W199" s="296">
        <f t="shared" si="2"/>
        <v>45924.625</v>
      </c>
      <c r="X199" s="287"/>
      <c r="Y199" s="287"/>
      <c r="Z199" s="287"/>
      <c r="AA199" s="288"/>
    </row>
    <row r="200" ht="15.75" customHeight="1">
      <c r="A200" s="289" t="s">
        <v>472</v>
      </c>
      <c r="B200" s="290" t="str">
        <f>IFERROR(VLOOKUP(A200&amp;"", STUDENTS!A:B, 2, 0), "")</f>
        <v>VÕ DUY KIỆT</v>
      </c>
      <c r="C200" s="291" t="s">
        <v>70</v>
      </c>
      <c r="D200" s="291" t="str">
        <f>IFERROR(VLOOKUP(C200, PIC!A:B, 2, 0), "")</f>
        <v>Qui Em</v>
      </c>
      <c r="E200" s="292" t="s">
        <v>23</v>
      </c>
      <c r="F200" s="293">
        <v>45841.58333333334</v>
      </c>
      <c r="G200" s="294">
        <v>45853.41666666666</v>
      </c>
      <c r="H200" s="294">
        <v>45882.625</v>
      </c>
      <c r="I200" s="293">
        <v>45889.625</v>
      </c>
      <c r="J200" s="294">
        <v>45917.625</v>
      </c>
      <c r="K200" s="293">
        <v>45924.625</v>
      </c>
      <c r="L200" s="294">
        <v>45931.625</v>
      </c>
      <c r="M200" s="294"/>
      <c r="N200" s="293"/>
      <c r="O200" s="293"/>
      <c r="P200" s="293"/>
      <c r="Q200" s="293"/>
      <c r="R200" s="293"/>
      <c r="S200" s="293"/>
      <c r="T200" s="293"/>
      <c r="U200" s="294"/>
      <c r="V200" s="295"/>
      <c r="W200" s="296">
        <f t="shared" si="2"/>
        <v>45931.625</v>
      </c>
      <c r="X200" s="287"/>
      <c r="Y200" s="287"/>
      <c r="Z200" s="287"/>
      <c r="AA200" s="288"/>
    </row>
    <row r="201" ht="15.75" hidden="1" customHeight="1">
      <c r="A201" s="275" t="s">
        <v>591</v>
      </c>
      <c r="B201" s="276" t="str">
        <f>IFERROR(VLOOKUP(A201&amp;"", STUDENTS!A:B, 2, 0), "")</f>
        <v>LÊ THỊ DIỄM QUYÊN</v>
      </c>
      <c r="C201" s="122" t="s">
        <v>71</v>
      </c>
      <c r="D201" s="122" t="str">
        <f>IFERROR(VLOOKUP(C201, PIC!A:B, 2, 0), "")</f>
        <v>Tan Tran</v>
      </c>
      <c r="E201" s="123" t="s">
        <v>25</v>
      </c>
      <c r="F201" s="277">
        <v>45713.58333333334</v>
      </c>
      <c r="G201" s="278">
        <v>45827.45833333334</v>
      </c>
      <c r="H201" s="278">
        <v>45833.625</v>
      </c>
      <c r="I201" s="277">
        <v>45853.625</v>
      </c>
      <c r="J201" s="278">
        <v>45869.375</v>
      </c>
      <c r="K201" s="277">
        <v>45882.45833333334</v>
      </c>
      <c r="L201" s="278" t="s">
        <v>1162</v>
      </c>
      <c r="M201" s="278">
        <v>45917.375</v>
      </c>
      <c r="N201" s="277">
        <v>45924.41666666666</v>
      </c>
      <c r="O201" s="277">
        <v>45952.45833333334</v>
      </c>
      <c r="P201" s="277">
        <v>45981.625</v>
      </c>
      <c r="Q201" s="277" t="s">
        <v>1162</v>
      </c>
      <c r="R201" s="277">
        <v>45994.45833333334</v>
      </c>
      <c r="S201" s="277">
        <v>46008.45833333334</v>
      </c>
      <c r="T201" s="277">
        <v>46050.54166666666</v>
      </c>
      <c r="U201" s="279">
        <v>46057.541666666664</v>
      </c>
      <c r="V201" s="311"/>
      <c r="W201" s="282">
        <f t="shared" si="2"/>
        <v>46057.54167</v>
      </c>
      <c r="X201" s="287"/>
      <c r="Y201" s="287"/>
      <c r="Z201" s="287"/>
      <c r="AA201" s="288"/>
    </row>
    <row r="202" ht="15.75" hidden="1" customHeight="1">
      <c r="A202" s="265" t="s">
        <v>593</v>
      </c>
      <c r="B202" s="266" t="str">
        <f>IFERROR(VLOOKUP(A202&amp;"", STUDENTS!A:B, 2, 0), "")</f>
        <v>NGUYỄN ĐẠT THỊNH</v>
      </c>
      <c r="C202" s="104" t="s">
        <v>71</v>
      </c>
      <c r="D202" s="104" t="str">
        <f>IFERROR(VLOOKUP(C202, PIC!A:B, 2, 0), "")</f>
        <v>Tan Tran</v>
      </c>
      <c r="E202" s="105" t="s">
        <v>25</v>
      </c>
      <c r="F202" s="267" t="s">
        <v>1162</v>
      </c>
      <c r="G202" s="268" t="s">
        <v>1162</v>
      </c>
      <c r="H202" s="268">
        <v>45833.625</v>
      </c>
      <c r="I202" s="267">
        <v>45853.625</v>
      </c>
      <c r="J202" s="268">
        <v>45869.375</v>
      </c>
      <c r="K202" s="267">
        <v>45882.45833333334</v>
      </c>
      <c r="L202" s="268">
        <v>45896.625</v>
      </c>
      <c r="M202" s="268">
        <v>45917.375</v>
      </c>
      <c r="N202" s="267">
        <v>45924.41666666666</v>
      </c>
      <c r="O202" s="267">
        <v>45952.45833333334</v>
      </c>
      <c r="P202" s="267">
        <v>45981.625</v>
      </c>
      <c r="Q202" s="267" t="s">
        <v>1162</v>
      </c>
      <c r="R202" s="267">
        <v>45994.45833333334</v>
      </c>
      <c r="S202" s="267">
        <v>46008.45833333334</v>
      </c>
      <c r="T202" s="267" t="s">
        <v>1162</v>
      </c>
      <c r="U202" s="269">
        <v>46057.541666666664</v>
      </c>
      <c r="V202" s="312"/>
      <c r="W202" s="272">
        <f t="shared" si="2"/>
        <v>46057.54167</v>
      </c>
      <c r="X202" s="287"/>
      <c r="Y202" s="287"/>
      <c r="Z202" s="287"/>
      <c r="AA202" s="288"/>
    </row>
    <row r="203" ht="15.75" hidden="1" customHeight="1">
      <c r="A203" s="275" t="s">
        <v>595</v>
      </c>
      <c r="B203" s="276" t="str">
        <f>IFERROR(VLOOKUP(A203&amp;"", STUDENTS!A:B, 2, 0), "")</f>
        <v>PHAN THU THẢO</v>
      </c>
      <c r="C203" s="122" t="s">
        <v>71</v>
      </c>
      <c r="D203" s="122" t="str">
        <f>IFERROR(VLOOKUP(C203, PIC!A:B, 2, 0), "")</f>
        <v>Tan Tran</v>
      </c>
      <c r="E203" s="123" t="s">
        <v>25</v>
      </c>
      <c r="F203" s="277" t="s">
        <v>1162</v>
      </c>
      <c r="G203" s="278" t="s">
        <v>1162</v>
      </c>
      <c r="H203" s="278" t="s">
        <v>1162</v>
      </c>
      <c r="I203" s="277" t="s">
        <v>1162</v>
      </c>
      <c r="J203" s="278">
        <v>45869.375</v>
      </c>
      <c r="K203" s="277">
        <v>45882.45833333334</v>
      </c>
      <c r="L203" s="278" t="s">
        <v>1162</v>
      </c>
      <c r="M203" s="278">
        <v>45917.375</v>
      </c>
      <c r="N203" s="277">
        <v>45924.41666666666</v>
      </c>
      <c r="O203" s="277">
        <v>45952.45833333334</v>
      </c>
      <c r="P203" s="277" t="s">
        <v>1162</v>
      </c>
      <c r="Q203" s="277">
        <v>45987.45833333334</v>
      </c>
      <c r="R203" s="277">
        <v>45994.45833333334</v>
      </c>
      <c r="S203" s="277">
        <v>46008.45833333334</v>
      </c>
      <c r="T203" s="277">
        <v>46050.54166666666</v>
      </c>
      <c r="U203" s="279">
        <v>46057.541666666664</v>
      </c>
      <c r="V203" s="311"/>
      <c r="W203" s="282">
        <f t="shared" si="2"/>
        <v>46057.54167</v>
      </c>
      <c r="X203" s="283"/>
      <c r="Y203" s="283"/>
      <c r="Z203" s="235"/>
      <c r="AA203" s="43"/>
    </row>
    <row r="204" ht="15.75" hidden="1" customHeight="1">
      <c r="A204" s="265" t="s">
        <v>597</v>
      </c>
      <c r="B204" s="266" t="str">
        <f>IFERROR(VLOOKUP(A204&amp;"", STUDENTS!A:B, 2, 0), "")</f>
        <v>TRẦN KIM HẰNG</v>
      </c>
      <c r="C204" s="104" t="s">
        <v>71</v>
      </c>
      <c r="D204" s="104" t="str">
        <f>IFERROR(VLOOKUP(C204, PIC!A:B, 2, 0), "")</f>
        <v>Tan Tran</v>
      </c>
      <c r="E204" s="105" t="s">
        <v>25</v>
      </c>
      <c r="F204" s="267">
        <v>45713.58333333334</v>
      </c>
      <c r="G204" s="268">
        <v>45827.45833333334</v>
      </c>
      <c r="H204" s="268">
        <v>45833.625</v>
      </c>
      <c r="I204" s="267">
        <v>45853.625</v>
      </c>
      <c r="J204" s="268">
        <v>45869.375</v>
      </c>
      <c r="K204" s="267">
        <v>45882.45833333334</v>
      </c>
      <c r="L204" s="268">
        <v>45896.625</v>
      </c>
      <c r="M204" s="268">
        <v>45917.375</v>
      </c>
      <c r="N204" s="267">
        <v>45924.41666666666</v>
      </c>
      <c r="O204" s="267">
        <v>45952.45833333334</v>
      </c>
      <c r="P204" s="267" t="s">
        <v>1162</v>
      </c>
      <c r="Q204" s="267">
        <v>45987.45833333334</v>
      </c>
      <c r="R204" s="267">
        <v>45994.45833333334</v>
      </c>
      <c r="S204" s="267">
        <v>46008.45833333334</v>
      </c>
      <c r="T204" s="267">
        <v>46050.54166666666</v>
      </c>
      <c r="U204" s="269">
        <v>46057.541666666664</v>
      </c>
      <c r="V204" s="312"/>
      <c r="W204" s="272">
        <f t="shared" si="2"/>
        <v>46057.54167</v>
      </c>
      <c r="X204" s="273"/>
      <c r="Y204" s="273"/>
      <c r="Z204" s="235"/>
      <c r="AA204" s="43"/>
    </row>
    <row r="205" ht="15.75" hidden="1" customHeight="1">
      <c r="A205" s="275" t="s">
        <v>599</v>
      </c>
      <c r="B205" s="276" t="str">
        <f>IFERROR(VLOOKUP(A205&amp;"", STUDENTS!A:B, 2, 0), "")</f>
        <v>TRẦN NHỰT TÂN</v>
      </c>
      <c r="C205" s="122" t="s">
        <v>71</v>
      </c>
      <c r="D205" s="122" t="str">
        <f>IFERROR(VLOOKUP(C205, PIC!A:B, 2, 0), "")</f>
        <v>Tan Tran</v>
      </c>
      <c r="E205" s="123" t="s">
        <v>25</v>
      </c>
      <c r="F205" s="277">
        <v>45713.58333333334</v>
      </c>
      <c r="G205" s="278">
        <v>45827.45833333334</v>
      </c>
      <c r="H205" s="278">
        <v>45833.625</v>
      </c>
      <c r="I205" s="277">
        <v>45853.625</v>
      </c>
      <c r="J205" s="278">
        <v>45869.375</v>
      </c>
      <c r="K205" s="277">
        <v>45882.45833333334</v>
      </c>
      <c r="L205" s="278" t="s">
        <v>1162</v>
      </c>
      <c r="M205" s="278">
        <v>45917.375</v>
      </c>
      <c r="N205" s="277">
        <v>45924.41666666666</v>
      </c>
      <c r="O205" s="277">
        <v>45952.45833333334</v>
      </c>
      <c r="P205" s="277">
        <v>45981.625</v>
      </c>
      <c r="Q205" s="277">
        <v>45987.45833333334</v>
      </c>
      <c r="R205" s="277">
        <v>45994.45833333334</v>
      </c>
      <c r="S205" s="277">
        <v>46008.45833333334</v>
      </c>
      <c r="T205" s="277">
        <v>46050.54166666666</v>
      </c>
      <c r="U205" s="279">
        <v>46057.541666666664</v>
      </c>
      <c r="V205" s="311"/>
      <c r="W205" s="282">
        <f t="shared" si="2"/>
        <v>46057.54167</v>
      </c>
      <c r="X205" s="283"/>
      <c r="Y205" s="283"/>
      <c r="Z205" s="235"/>
      <c r="AA205" s="43"/>
    </row>
    <row r="206" ht="15.75" hidden="1" customHeight="1">
      <c r="A206" s="265" t="s">
        <v>601</v>
      </c>
      <c r="B206" s="266" t="str">
        <f>IFERROR(VLOOKUP(A206&amp;"", STUDENTS!A:B, 2, 0), "")</f>
        <v>TRẦN QUANG TỐNG</v>
      </c>
      <c r="C206" s="104" t="s">
        <v>71</v>
      </c>
      <c r="D206" s="104" t="str">
        <f>IFERROR(VLOOKUP(C206, PIC!A:B, 2, 0), "")</f>
        <v>Tan Tran</v>
      </c>
      <c r="E206" s="105" t="s">
        <v>25</v>
      </c>
      <c r="F206" s="267">
        <v>45713.58333333334</v>
      </c>
      <c r="G206" s="268">
        <v>45827.45833333334</v>
      </c>
      <c r="H206" s="268">
        <v>45833.625</v>
      </c>
      <c r="I206" s="267">
        <v>45853.625</v>
      </c>
      <c r="J206" s="268">
        <v>45869.375</v>
      </c>
      <c r="K206" s="267">
        <v>45882.45833333334</v>
      </c>
      <c r="L206" s="268">
        <v>45896.625</v>
      </c>
      <c r="M206" s="268">
        <v>45917.375</v>
      </c>
      <c r="N206" s="267">
        <v>45924.41666666666</v>
      </c>
      <c r="O206" s="267" t="s">
        <v>1162</v>
      </c>
      <c r="P206" s="267">
        <v>45981.625</v>
      </c>
      <c r="Q206" s="267">
        <v>45987.45833333334</v>
      </c>
      <c r="R206" s="267">
        <v>45994.45833333334</v>
      </c>
      <c r="S206" s="267">
        <v>46008.45833333334</v>
      </c>
      <c r="T206" s="267">
        <v>46050.54166666666</v>
      </c>
      <c r="U206" s="269">
        <v>46057.541666666664</v>
      </c>
      <c r="V206" s="312"/>
      <c r="W206" s="272">
        <f t="shared" si="2"/>
        <v>46057.54167</v>
      </c>
      <c r="X206" s="273"/>
      <c r="Y206" s="273"/>
      <c r="Z206" s="235"/>
      <c r="AA206" s="43"/>
    </row>
    <row r="207" ht="15.75" hidden="1" customHeight="1">
      <c r="A207" s="275" t="s">
        <v>603</v>
      </c>
      <c r="B207" s="276" t="str">
        <f>IFERROR(VLOOKUP(A207&amp;"", STUDENTS!A:B, 2, 0), "")</f>
        <v>TRẦN VĨNH PHÚC</v>
      </c>
      <c r="C207" s="122" t="s">
        <v>71</v>
      </c>
      <c r="D207" s="122" t="str">
        <f>IFERROR(VLOOKUP(C207, PIC!A:B, 2, 0), "")</f>
        <v>Tan Tran</v>
      </c>
      <c r="E207" s="123" t="s">
        <v>25</v>
      </c>
      <c r="F207" s="277">
        <v>45713.58333333334</v>
      </c>
      <c r="G207" s="278">
        <v>45827.45833333334</v>
      </c>
      <c r="H207" s="278">
        <v>45833.625</v>
      </c>
      <c r="I207" s="277">
        <v>45853.625</v>
      </c>
      <c r="J207" s="278">
        <v>45869.375</v>
      </c>
      <c r="K207" s="277">
        <v>45882.45833333334</v>
      </c>
      <c r="L207" s="278">
        <v>45896.625</v>
      </c>
      <c r="M207" s="278">
        <v>45917.375</v>
      </c>
      <c r="N207" s="277">
        <v>45924.41666666666</v>
      </c>
      <c r="O207" s="277">
        <v>45952.45833333334</v>
      </c>
      <c r="P207" s="277">
        <v>45981.625</v>
      </c>
      <c r="Q207" s="277">
        <v>45987.45833333334</v>
      </c>
      <c r="R207" s="277">
        <v>45994.45833333334</v>
      </c>
      <c r="S207" s="277">
        <v>46008.45833333334</v>
      </c>
      <c r="T207" s="277">
        <v>46050.54166666666</v>
      </c>
      <c r="U207" s="279">
        <v>46057.541666666664</v>
      </c>
      <c r="V207" s="311"/>
      <c r="W207" s="282">
        <f t="shared" si="2"/>
        <v>46057.54167</v>
      </c>
      <c r="X207" s="283"/>
      <c r="Y207" s="283"/>
      <c r="Z207" s="235"/>
      <c r="AA207" s="43"/>
    </row>
    <row r="208" ht="15.75" hidden="1" customHeight="1">
      <c r="A208" s="265" t="s">
        <v>653</v>
      </c>
      <c r="B208" s="266" t="str">
        <f>IFERROR(VLOOKUP(A208&amp;"", STUDENTS!A:B, 2, 0), "")</f>
        <v>LÊ HỒNG QUÂN</v>
      </c>
      <c r="C208" s="104" t="s">
        <v>72</v>
      </c>
      <c r="D208" s="104" t="str">
        <f>IFERROR(VLOOKUP(C208, PIC!A:B, 2, 0), "")</f>
        <v>Thien Truong</v>
      </c>
      <c r="E208" s="105" t="s">
        <v>22</v>
      </c>
      <c r="F208" s="267">
        <v>45670.54166666666</v>
      </c>
      <c r="G208" s="268">
        <v>45679.375</v>
      </c>
      <c r="H208" s="268">
        <v>45698.45833333334</v>
      </c>
      <c r="I208" s="267">
        <v>45705.45833333334</v>
      </c>
      <c r="J208" s="268">
        <v>45712.54166666666</v>
      </c>
      <c r="K208" s="267">
        <v>45761.45833333334</v>
      </c>
      <c r="L208" s="268">
        <v>45769.45833333334</v>
      </c>
      <c r="M208" s="268" t="s">
        <v>1162</v>
      </c>
      <c r="N208" s="267">
        <v>45789.45833333334</v>
      </c>
      <c r="O208" s="267">
        <v>45803.54166666666</v>
      </c>
      <c r="P208" s="267">
        <v>45812.41666666666</v>
      </c>
      <c r="Q208" s="267">
        <v>45832.375</v>
      </c>
      <c r="R208" s="267"/>
      <c r="S208" s="267"/>
      <c r="T208" s="267"/>
      <c r="U208" s="268"/>
      <c r="V208" s="271"/>
      <c r="W208" s="272">
        <f t="shared" si="2"/>
        <v>45832.375</v>
      </c>
      <c r="X208" s="273"/>
      <c r="Y208" s="273"/>
      <c r="Z208" s="235"/>
      <c r="AA208" s="43"/>
    </row>
    <row r="209" ht="15.75" hidden="1" customHeight="1">
      <c r="A209" s="275" t="s">
        <v>111</v>
      </c>
      <c r="B209" s="276" t="str">
        <f>IFERROR(VLOOKUP(A209&amp;"", STUDENTS!A:B, 2, 0), "")</f>
        <v>LÊ THANH SƠN</v>
      </c>
      <c r="C209" s="122" t="s">
        <v>72</v>
      </c>
      <c r="D209" s="122" t="str">
        <f>IFERROR(VLOOKUP(C209, PIC!A:B, 2, 0), "")</f>
        <v>Thien Truong</v>
      </c>
      <c r="E209" s="123" t="s">
        <v>22</v>
      </c>
      <c r="F209" s="277">
        <v>45670.54166666666</v>
      </c>
      <c r="G209" s="278">
        <v>45679.375</v>
      </c>
      <c r="H209" s="278">
        <v>45698.45833333334</v>
      </c>
      <c r="I209" s="277">
        <v>45705.45833333334</v>
      </c>
      <c r="J209" s="278">
        <v>45712.54166666666</v>
      </c>
      <c r="K209" s="277">
        <v>45761.45833333334</v>
      </c>
      <c r="L209" s="278">
        <v>45769.45833333334</v>
      </c>
      <c r="M209" s="278">
        <v>45782.45833333334</v>
      </c>
      <c r="N209" s="277">
        <v>45789.45833333334</v>
      </c>
      <c r="O209" s="277">
        <v>45803.54166666666</v>
      </c>
      <c r="P209" s="277">
        <v>45812.41666666666</v>
      </c>
      <c r="Q209" s="277">
        <v>45832.375</v>
      </c>
      <c r="R209" s="277"/>
      <c r="S209" s="277"/>
      <c r="T209" s="277"/>
      <c r="U209" s="278"/>
      <c r="V209" s="281"/>
      <c r="W209" s="282">
        <f t="shared" si="2"/>
        <v>45832.375</v>
      </c>
      <c r="X209" s="283"/>
      <c r="Y209" s="283"/>
      <c r="Z209" s="235"/>
      <c r="AA209" s="43"/>
    </row>
    <row r="210" ht="15.75" hidden="1" customHeight="1">
      <c r="A210" s="265" t="s">
        <v>658</v>
      </c>
      <c r="B210" s="266" t="str">
        <f>IFERROR(VLOOKUP(A210&amp;"", STUDENTS!A:B, 2, 0), "")</f>
        <v>LÝ KHÁNH LONG</v>
      </c>
      <c r="C210" s="104" t="s">
        <v>72</v>
      </c>
      <c r="D210" s="104" t="str">
        <f>IFERROR(VLOOKUP(C210, PIC!A:B, 2, 0), "")</f>
        <v>Thien Truong</v>
      </c>
      <c r="E210" s="105" t="s">
        <v>22</v>
      </c>
      <c r="F210" s="267">
        <v>45670.54166666666</v>
      </c>
      <c r="G210" s="268">
        <v>45679.375</v>
      </c>
      <c r="H210" s="268">
        <v>45698.45833333334</v>
      </c>
      <c r="I210" s="267">
        <v>45705.45833333334</v>
      </c>
      <c r="J210" s="268">
        <v>45712.54166666666</v>
      </c>
      <c r="K210" s="267">
        <v>45761.45833333334</v>
      </c>
      <c r="L210" s="268">
        <v>45769.45833333334</v>
      </c>
      <c r="M210" s="268">
        <v>45782.45833333334</v>
      </c>
      <c r="N210" s="267" t="s">
        <v>1162</v>
      </c>
      <c r="O210" s="267">
        <v>45803.54166666666</v>
      </c>
      <c r="P210" s="267">
        <v>45812.41666666666</v>
      </c>
      <c r="Q210" s="267">
        <v>45832.375</v>
      </c>
      <c r="R210" s="267"/>
      <c r="S210" s="267"/>
      <c r="T210" s="267"/>
      <c r="U210" s="268"/>
      <c r="V210" s="271"/>
      <c r="W210" s="272">
        <f t="shared" si="2"/>
        <v>45832.375</v>
      </c>
      <c r="X210" s="273"/>
      <c r="Y210" s="273"/>
      <c r="Z210" s="235"/>
      <c r="AA210" s="43"/>
    </row>
    <row r="211" ht="15.75" hidden="1" customHeight="1">
      <c r="A211" s="275" t="s">
        <v>671</v>
      </c>
      <c r="B211" s="276" t="str">
        <f>IFERROR(VLOOKUP(A211&amp;"", STUDENTS!A:B, 2, 0), "")</f>
        <v>NGUYỄN BÁ PHI NHẬT</v>
      </c>
      <c r="C211" s="122" t="s">
        <v>72</v>
      </c>
      <c r="D211" s="122" t="str">
        <f>IFERROR(VLOOKUP(C211, PIC!A:B, 2, 0), "")</f>
        <v>Thien Truong</v>
      </c>
      <c r="E211" s="123" t="s">
        <v>22</v>
      </c>
      <c r="F211" s="277">
        <v>45670.54166666666</v>
      </c>
      <c r="G211" s="278">
        <v>45679.375</v>
      </c>
      <c r="H211" s="278">
        <v>45698.45833333334</v>
      </c>
      <c r="I211" s="277">
        <v>45705.45833333334</v>
      </c>
      <c r="J211" s="278">
        <v>45712.54166666666</v>
      </c>
      <c r="K211" s="277">
        <v>45761.45833333334</v>
      </c>
      <c r="L211" s="278">
        <v>45769.45833333334</v>
      </c>
      <c r="M211" s="278">
        <v>45782.45833333334</v>
      </c>
      <c r="N211" s="277" t="s">
        <v>1162</v>
      </c>
      <c r="O211" s="277">
        <v>45803.54166666666</v>
      </c>
      <c r="P211" s="277" t="s">
        <v>1162</v>
      </c>
      <c r="Q211" s="277">
        <v>45832.375</v>
      </c>
      <c r="R211" s="277"/>
      <c r="S211" s="277"/>
      <c r="T211" s="277"/>
      <c r="U211" s="278"/>
      <c r="V211" s="281"/>
      <c r="W211" s="282">
        <f t="shared" si="2"/>
        <v>45832.375</v>
      </c>
      <c r="X211" s="283"/>
      <c r="Y211" s="283"/>
      <c r="Z211" s="235"/>
      <c r="AA211" s="43"/>
    </row>
    <row r="212" ht="15.75" hidden="1" customHeight="1">
      <c r="A212" s="265" t="s">
        <v>662</v>
      </c>
      <c r="B212" s="266" t="str">
        <f>IFERROR(VLOOKUP(A212&amp;"", STUDENTS!A:B, 2, 0), "")</f>
        <v>NGUYỄN LÝ KHÁNH HUY</v>
      </c>
      <c r="C212" s="104" t="s">
        <v>72</v>
      </c>
      <c r="D212" s="104" t="str">
        <f>IFERROR(VLOOKUP(C212, PIC!A:B, 2, 0), "")</f>
        <v>Thien Truong</v>
      </c>
      <c r="E212" s="105" t="s">
        <v>22</v>
      </c>
      <c r="F212" s="267">
        <v>45670.54166666666</v>
      </c>
      <c r="G212" s="268">
        <v>45679.375</v>
      </c>
      <c r="H212" s="268" t="s">
        <v>1162</v>
      </c>
      <c r="I212" s="267">
        <v>45705.45833333334</v>
      </c>
      <c r="J212" s="268">
        <v>45712.54166666666</v>
      </c>
      <c r="K212" s="267">
        <v>45761.45833333334</v>
      </c>
      <c r="L212" s="268">
        <v>45769.45833333334</v>
      </c>
      <c r="M212" s="268">
        <v>45782.45833333334</v>
      </c>
      <c r="N212" s="267">
        <v>45789.45833333334</v>
      </c>
      <c r="O212" s="267">
        <v>45803.54166666666</v>
      </c>
      <c r="P212" s="267">
        <v>45812.41666666666</v>
      </c>
      <c r="Q212" s="267">
        <v>45832.375</v>
      </c>
      <c r="R212" s="267"/>
      <c r="S212" s="267"/>
      <c r="T212" s="267"/>
      <c r="U212" s="268"/>
      <c r="V212" s="271"/>
      <c r="W212" s="272">
        <f t="shared" si="2"/>
        <v>45832.375</v>
      </c>
      <c r="X212" s="273"/>
      <c r="Y212" s="273"/>
      <c r="Z212" s="235"/>
      <c r="AA212" s="43"/>
    </row>
    <row r="213" ht="15.75" hidden="1" customHeight="1">
      <c r="A213" s="275" t="s">
        <v>673</v>
      </c>
      <c r="B213" s="276" t="str">
        <f>IFERROR(VLOOKUP(A213&amp;"", STUDENTS!A:B, 2, 0), "")</f>
        <v>PHÙNG ĐÌNH HUY</v>
      </c>
      <c r="C213" s="122" t="s">
        <v>72</v>
      </c>
      <c r="D213" s="122" t="str">
        <f>IFERROR(VLOOKUP(C213, PIC!A:B, 2, 0), "")</f>
        <v>Thien Truong</v>
      </c>
      <c r="E213" s="123" t="s">
        <v>22</v>
      </c>
      <c r="F213" s="277">
        <v>45670.54166666666</v>
      </c>
      <c r="G213" s="278">
        <v>45679.375</v>
      </c>
      <c r="H213" s="278">
        <v>45698.45833333334</v>
      </c>
      <c r="I213" s="277">
        <v>45705.45833333334</v>
      </c>
      <c r="J213" s="278">
        <v>45712.54166666666</v>
      </c>
      <c r="K213" s="277">
        <v>45761.45833333334</v>
      </c>
      <c r="L213" s="278">
        <v>45769.45833333334</v>
      </c>
      <c r="M213" s="278">
        <v>45782.45833333334</v>
      </c>
      <c r="N213" s="277">
        <v>45789.45833333334</v>
      </c>
      <c r="O213" s="277">
        <v>45803.54166666666</v>
      </c>
      <c r="P213" s="277">
        <v>45812.41666666666</v>
      </c>
      <c r="Q213" s="277">
        <v>45832.375</v>
      </c>
      <c r="R213" s="277"/>
      <c r="S213" s="277"/>
      <c r="T213" s="277"/>
      <c r="U213" s="278"/>
      <c r="V213" s="281"/>
      <c r="W213" s="282">
        <f t="shared" si="2"/>
        <v>45832.375</v>
      </c>
      <c r="X213" s="283"/>
      <c r="Y213" s="283"/>
      <c r="Z213" s="235"/>
      <c r="AA213" s="43"/>
    </row>
    <row r="214" ht="15.75" hidden="1" customHeight="1">
      <c r="A214" s="265" t="s">
        <v>668</v>
      </c>
      <c r="B214" s="266" t="str">
        <f>IFERROR(VLOOKUP(A214&amp;"", STUDENTS!A:B, 2, 0), "")</f>
        <v>QUÁCH NHẬT TRUNG</v>
      </c>
      <c r="C214" s="104" t="s">
        <v>72</v>
      </c>
      <c r="D214" s="104" t="str">
        <f>IFERROR(VLOOKUP(C214, PIC!A:B, 2, 0), "")</f>
        <v>Thien Truong</v>
      </c>
      <c r="E214" s="105" t="s">
        <v>22</v>
      </c>
      <c r="F214" s="267">
        <v>45670.54166666666</v>
      </c>
      <c r="G214" s="268">
        <v>45679.375</v>
      </c>
      <c r="H214" s="268">
        <v>45698.45833333334</v>
      </c>
      <c r="I214" s="267">
        <v>45705.45833333334</v>
      </c>
      <c r="J214" s="268">
        <v>45712.54166666666</v>
      </c>
      <c r="K214" s="267">
        <v>45761.45833333334</v>
      </c>
      <c r="L214" s="268">
        <v>45769.45833333334</v>
      </c>
      <c r="M214" s="268">
        <v>45782.45833333334</v>
      </c>
      <c r="N214" s="267" t="s">
        <v>1162</v>
      </c>
      <c r="O214" s="267">
        <v>45803.54166666666</v>
      </c>
      <c r="P214" s="267">
        <v>45812.41666666666</v>
      </c>
      <c r="Q214" s="267">
        <v>45832.375</v>
      </c>
      <c r="R214" s="267"/>
      <c r="S214" s="267"/>
      <c r="T214" s="267"/>
      <c r="U214" s="268"/>
      <c r="V214" s="271"/>
      <c r="W214" s="272">
        <f t="shared" si="2"/>
        <v>45832.375</v>
      </c>
      <c r="X214" s="273"/>
      <c r="Y214" s="273"/>
      <c r="Z214" s="235"/>
      <c r="AA214" s="43"/>
    </row>
    <row r="215" ht="15.75" hidden="1" customHeight="1">
      <c r="A215" s="275" t="s">
        <v>666</v>
      </c>
      <c r="B215" s="276" t="str">
        <f>IFERROR(VLOOKUP(A215&amp;"", STUDENTS!A:B, 2, 0), "")</f>
        <v>TRƯƠNG TRUNG THIÊN</v>
      </c>
      <c r="C215" s="122" t="s">
        <v>72</v>
      </c>
      <c r="D215" s="122" t="str">
        <f>IFERROR(VLOOKUP(C215, PIC!A:B, 2, 0), "")</f>
        <v>Thien Truong</v>
      </c>
      <c r="E215" s="123" t="s">
        <v>22</v>
      </c>
      <c r="F215" s="277">
        <v>45670.54166666666</v>
      </c>
      <c r="G215" s="278">
        <v>45679.375</v>
      </c>
      <c r="H215" s="278">
        <v>45698.45833333334</v>
      </c>
      <c r="I215" s="277">
        <v>45705.45833333334</v>
      </c>
      <c r="J215" s="278">
        <v>45712.54166666666</v>
      </c>
      <c r="K215" s="277">
        <v>45761.45833333334</v>
      </c>
      <c r="L215" s="278">
        <v>45769.45833333334</v>
      </c>
      <c r="M215" s="278">
        <v>45782.45833333334</v>
      </c>
      <c r="N215" s="277">
        <v>45789.45833333334</v>
      </c>
      <c r="O215" s="277" t="s">
        <v>1162</v>
      </c>
      <c r="P215" s="277">
        <v>45812.41666666666</v>
      </c>
      <c r="Q215" s="277">
        <v>45832.375</v>
      </c>
      <c r="R215" s="277"/>
      <c r="S215" s="277"/>
      <c r="T215" s="277"/>
      <c r="U215" s="278"/>
      <c r="V215" s="281"/>
      <c r="W215" s="282">
        <f t="shared" si="2"/>
        <v>45832.375</v>
      </c>
      <c r="X215" s="283"/>
      <c r="Y215" s="283"/>
      <c r="Z215" s="235"/>
      <c r="AA215" s="43"/>
    </row>
    <row r="216" ht="15.75" hidden="1" customHeight="1">
      <c r="A216" s="265" t="s">
        <v>653</v>
      </c>
      <c r="B216" s="266" t="str">
        <f>IFERROR(VLOOKUP(A216&amp;"", STUDENTS!A:B, 2, 0), "")</f>
        <v>LÊ HỒNG QUÂN</v>
      </c>
      <c r="C216" s="104" t="s">
        <v>72</v>
      </c>
      <c r="D216" s="104" t="str">
        <f>IFERROR(VLOOKUP(C216, PIC!A:B, 2, 0), "")</f>
        <v>Thien Truong</v>
      </c>
      <c r="E216" s="105" t="s">
        <v>23</v>
      </c>
      <c r="F216" s="267">
        <v>45866.54166666666</v>
      </c>
      <c r="G216" s="268">
        <v>45910.45833333334</v>
      </c>
      <c r="H216" s="268">
        <v>45915.45833333334</v>
      </c>
      <c r="I216" s="267">
        <v>45922.45833333334</v>
      </c>
      <c r="J216" s="268">
        <v>45929.45833333334</v>
      </c>
      <c r="K216" s="267">
        <v>45943.41666666666</v>
      </c>
      <c r="L216" s="268">
        <v>45944.58333333334</v>
      </c>
      <c r="M216" s="268"/>
      <c r="N216" s="267">
        <v>45957.41666666666</v>
      </c>
      <c r="O216" s="267">
        <v>45964.58333333334</v>
      </c>
      <c r="P216" s="267">
        <v>45971.54166666666</v>
      </c>
      <c r="Q216" s="267">
        <v>45985.58333333334</v>
      </c>
      <c r="R216" s="267">
        <v>45992.54166666666</v>
      </c>
      <c r="S216" s="267" t="s">
        <v>1162</v>
      </c>
      <c r="T216" s="267">
        <v>46006.45833333334</v>
      </c>
      <c r="U216" s="268">
        <v>46048.41666666666</v>
      </c>
      <c r="V216" s="271"/>
      <c r="W216" s="272">
        <f t="shared" si="2"/>
        <v>46048.41667</v>
      </c>
      <c r="X216" s="273"/>
      <c r="Y216" s="273"/>
      <c r="Z216" s="235"/>
      <c r="AA216" s="43"/>
    </row>
    <row r="217" ht="15.75" hidden="1" customHeight="1">
      <c r="A217" s="275" t="s">
        <v>111</v>
      </c>
      <c r="B217" s="276" t="str">
        <f>IFERROR(VLOOKUP(A217&amp;"", STUDENTS!A:B, 2, 0), "")</f>
        <v>LÊ THANH SƠN</v>
      </c>
      <c r="C217" s="122" t="s">
        <v>72</v>
      </c>
      <c r="D217" s="122" t="str">
        <f>IFERROR(VLOOKUP(C217, PIC!A:B, 2, 0), "")</f>
        <v>Thien Truong</v>
      </c>
      <c r="E217" s="123" t="s">
        <v>23</v>
      </c>
      <c r="F217" s="277">
        <v>45866.54166666666</v>
      </c>
      <c r="G217" s="278">
        <v>45910.45833333334</v>
      </c>
      <c r="H217" s="278">
        <v>45915.45833333334</v>
      </c>
      <c r="I217" s="277">
        <v>45922.45833333334</v>
      </c>
      <c r="J217" s="278">
        <v>45929.45833333334</v>
      </c>
      <c r="K217" s="277">
        <v>45943.41666666666</v>
      </c>
      <c r="L217" s="278">
        <v>45944.58333333334</v>
      </c>
      <c r="M217" s="278"/>
      <c r="N217" s="277">
        <v>45957.41666666666</v>
      </c>
      <c r="O217" s="277">
        <v>45964.58333333334</v>
      </c>
      <c r="P217" s="277">
        <v>45971.54166666666</v>
      </c>
      <c r="Q217" s="277">
        <v>45985.58333333334</v>
      </c>
      <c r="R217" s="277">
        <v>45992.54166666666</v>
      </c>
      <c r="S217" s="277">
        <v>45999.41666666666</v>
      </c>
      <c r="T217" s="277">
        <v>46006.45833333334</v>
      </c>
      <c r="U217" s="278">
        <v>46048.41666666666</v>
      </c>
      <c r="V217" s="281"/>
      <c r="W217" s="282">
        <f t="shared" si="2"/>
        <v>46048.41667</v>
      </c>
      <c r="X217" s="283"/>
      <c r="Y217" s="283"/>
      <c r="Z217" s="235"/>
      <c r="AA217" s="43"/>
    </row>
    <row r="218" ht="15.75" hidden="1" customHeight="1">
      <c r="A218" s="265" t="s">
        <v>658</v>
      </c>
      <c r="B218" s="266" t="str">
        <f>IFERROR(VLOOKUP(A218&amp;"", STUDENTS!A:B, 2, 0), "")</f>
        <v>LÝ KHÁNH LONG</v>
      </c>
      <c r="C218" s="104" t="s">
        <v>72</v>
      </c>
      <c r="D218" s="104" t="str">
        <f>IFERROR(VLOOKUP(C218, PIC!A:B, 2, 0), "")</f>
        <v>Thien Truong</v>
      </c>
      <c r="E218" s="105" t="s">
        <v>23</v>
      </c>
      <c r="F218" s="267" t="s">
        <v>1162</v>
      </c>
      <c r="G218" s="268">
        <v>45910.45833333334</v>
      </c>
      <c r="H218" s="268">
        <v>45915.45833333334</v>
      </c>
      <c r="I218" s="267">
        <v>45922.45833333334</v>
      </c>
      <c r="J218" s="268">
        <v>45929.45833333334</v>
      </c>
      <c r="K218" s="267">
        <v>45943.41666666666</v>
      </c>
      <c r="L218" s="268">
        <v>45944.58333333334</v>
      </c>
      <c r="M218" s="268"/>
      <c r="N218" s="267">
        <v>45957.41666666666</v>
      </c>
      <c r="O218" s="267">
        <v>45964.58333333334</v>
      </c>
      <c r="P218" s="267">
        <v>45971.54166666666</v>
      </c>
      <c r="Q218" s="267">
        <v>45985.58333333334</v>
      </c>
      <c r="R218" s="267">
        <v>45992.54166666666</v>
      </c>
      <c r="S218" s="267">
        <v>45999.41666666666</v>
      </c>
      <c r="T218" s="267">
        <v>46006.45833333334</v>
      </c>
      <c r="U218" s="268">
        <v>46048.41666666666</v>
      </c>
      <c r="V218" s="271"/>
      <c r="W218" s="272">
        <f t="shared" si="2"/>
        <v>46048.41667</v>
      </c>
      <c r="X218" s="273"/>
      <c r="Y218" s="273"/>
      <c r="Z218" s="235"/>
      <c r="AA218" s="43"/>
    </row>
    <row r="219" ht="15.75" hidden="1" customHeight="1">
      <c r="A219" s="275" t="s">
        <v>671</v>
      </c>
      <c r="B219" s="276" t="str">
        <f>IFERROR(VLOOKUP(A219&amp;"", STUDENTS!A:B, 2, 0), "")</f>
        <v>NGUYỄN BÁ PHI NHẬT</v>
      </c>
      <c r="C219" s="122" t="s">
        <v>72</v>
      </c>
      <c r="D219" s="122" t="str">
        <f>IFERROR(VLOOKUP(C219, PIC!A:B, 2, 0), "")</f>
        <v>Thien Truong</v>
      </c>
      <c r="E219" s="123" t="s">
        <v>23</v>
      </c>
      <c r="F219" s="277">
        <v>45866.54166666666</v>
      </c>
      <c r="G219" s="278">
        <v>45910.45833333334</v>
      </c>
      <c r="H219" s="278">
        <v>45915.45833333334</v>
      </c>
      <c r="I219" s="277">
        <v>45922.45833333334</v>
      </c>
      <c r="J219" s="278" t="s">
        <v>1162</v>
      </c>
      <c r="K219" s="277">
        <v>45943.41666666666</v>
      </c>
      <c r="L219" s="278">
        <v>45944.58333333334</v>
      </c>
      <c r="M219" s="278"/>
      <c r="N219" s="277">
        <v>45957.41666666666</v>
      </c>
      <c r="O219" s="277">
        <v>45964.58333333334</v>
      </c>
      <c r="P219" s="277">
        <v>45971.54166666666</v>
      </c>
      <c r="Q219" s="277">
        <v>45985.58333333334</v>
      </c>
      <c r="R219" s="277">
        <v>45992.54166666666</v>
      </c>
      <c r="S219" s="277" t="s">
        <v>1162</v>
      </c>
      <c r="T219" s="277">
        <v>46006.45833333334</v>
      </c>
      <c r="U219" s="278" t="s">
        <v>1162</v>
      </c>
      <c r="V219" s="281"/>
      <c r="W219" s="282">
        <f t="shared" si="2"/>
        <v>46006.45833</v>
      </c>
      <c r="X219" s="283"/>
      <c r="Y219" s="283"/>
      <c r="Z219" s="235"/>
      <c r="AA219" s="43"/>
    </row>
    <row r="220" ht="15.75" hidden="1" customHeight="1">
      <c r="A220" s="265" t="s">
        <v>662</v>
      </c>
      <c r="B220" s="266" t="str">
        <f>IFERROR(VLOOKUP(A220&amp;"", STUDENTS!A:B, 2, 0), "")</f>
        <v>NGUYỄN LÝ KHÁNH HUY</v>
      </c>
      <c r="C220" s="104" t="s">
        <v>72</v>
      </c>
      <c r="D220" s="104" t="str">
        <f>IFERROR(VLOOKUP(C220, PIC!A:B, 2, 0), "")</f>
        <v>Thien Truong</v>
      </c>
      <c r="E220" s="105" t="s">
        <v>23</v>
      </c>
      <c r="F220" s="267" t="s">
        <v>1162</v>
      </c>
      <c r="G220" s="268">
        <v>45910.45833333334</v>
      </c>
      <c r="H220" s="268">
        <v>45915.45833333334</v>
      </c>
      <c r="I220" s="267">
        <v>45922.45833333334</v>
      </c>
      <c r="J220" s="268">
        <v>45929.45833333334</v>
      </c>
      <c r="K220" s="267" t="s">
        <v>1162</v>
      </c>
      <c r="L220" s="268">
        <v>45944.58333333334</v>
      </c>
      <c r="M220" s="268"/>
      <c r="N220" s="267">
        <v>45957.41666666666</v>
      </c>
      <c r="O220" s="267">
        <v>45964.58333333334</v>
      </c>
      <c r="P220" s="267">
        <v>45971.54166666666</v>
      </c>
      <c r="Q220" s="267">
        <v>45985.58333333334</v>
      </c>
      <c r="R220" s="267">
        <v>45992.54166666666</v>
      </c>
      <c r="S220" s="267">
        <v>45999.41666666666</v>
      </c>
      <c r="T220" s="267">
        <v>46006.45833333334</v>
      </c>
      <c r="U220" s="268">
        <v>46048.41666666666</v>
      </c>
      <c r="V220" s="271"/>
      <c r="W220" s="272">
        <f t="shared" si="2"/>
        <v>46048.41667</v>
      </c>
      <c r="X220" s="273"/>
      <c r="Y220" s="273"/>
      <c r="Z220" s="235"/>
      <c r="AA220" s="43"/>
    </row>
    <row r="221" ht="15.75" hidden="1" customHeight="1">
      <c r="A221" s="275" t="s">
        <v>673</v>
      </c>
      <c r="B221" s="276" t="str">
        <f>IFERROR(VLOOKUP(A221&amp;"", STUDENTS!A:B, 2, 0), "")</f>
        <v>PHÙNG ĐÌNH HUY</v>
      </c>
      <c r="C221" s="122" t="s">
        <v>72</v>
      </c>
      <c r="D221" s="122" t="str">
        <f>IFERROR(VLOOKUP(C221, PIC!A:B, 2, 0), "")</f>
        <v>Thien Truong</v>
      </c>
      <c r="E221" s="123" t="s">
        <v>23</v>
      </c>
      <c r="F221" s="277">
        <v>45866.54166666666</v>
      </c>
      <c r="G221" s="278">
        <v>45910.45833333334</v>
      </c>
      <c r="H221" s="278">
        <v>45915.45833333334</v>
      </c>
      <c r="I221" s="277">
        <v>45922.45833333334</v>
      </c>
      <c r="J221" s="278">
        <v>45929.45833333334</v>
      </c>
      <c r="K221" s="277">
        <v>45943.41666666666</v>
      </c>
      <c r="L221" s="278">
        <v>45944.58333333334</v>
      </c>
      <c r="M221" s="278"/>
      <c r="N221" s="277">
        <v>45957.41666666666</v>
      </c>
      <c r="O221" s="277">
        <v>45964.58333333334</v>
      </c>
      <c r="P221" s="277">
        <v>45971.54166666666</v>
      </c>
      <c r="Q221" s="277">
        <v>45985.58333333334</v>
      </c>
      <c r="R221" s="277">
        <v>45992.54166666666</v>
      </c>
      <c r="S221" s="277">
        <v>45999.41666666666</v>
      </c>
      <c r="T221" s="277" t="s">
        <v>1162</v>
      </c>
      <c r="U221" s="278">
        <v>46048.41666666666</v>
      </c>
      <c r="V221" s="281"/>
      <c r="W221" s="282">
        <f t="shared" si="2"/>
        <v>46048.41667</v>
      </c>
      <c r="X221" s="283"/>
      <c r="Y221" s="283"/>
      <c r="Z221" s="235"/>
      <c r="AA221" s="43"/>
    </row>
    <row r="222" ht="15.75" hidden="1" customHeight="1">
      <c r="A222" s="265" t="s">
        <v>668</v>
      </c>
      <c r="B222" s="266" t="str">
        <f>IFERROR(VLOOKUP(A222&amp;"", STUDENTS!A:B, 2, 0), "")</f>
        <v>QUÁCH NHẬT TRUNG</v>
      </c>
      <c r="C222" s="104" t="s">
        <v>72</v>
      </c>
      <c r="D222" s="104" t="str">
        <f>IFERROR(VLOOKUP(C222, PIC!A:B, 2, 0), "")</f>
        <v>Thien Truong</v>
      </c>
      <c r="E222" s="105" t="s">
        <v>23</v>
      </c>
      <c r="F222" s="267">
        <v>45866.54166666666</v>
      </c>
      <c r="G222" s="268" t="s">
        <v>1162</v>
      </c>
      <c r="H222" s="268">
        <v>45915.45833333334</v>
      </c>
      <c r="I222" s="267">
        <v>45922.45833333334</v>
      </c>
      <c r="J222" s="268">
        <v>45929.45833333334</v>
      </c>
      <c r="K222" s="267">
        <v>45943.41666666666</v>
      </c>
      <c r="L222" s="268">
        <v>45944.58333333334</v>
      </c>
      <c r="M222" s="268"/>
      <c r="N222" s="267">
        <v>45957.41666666666</v>
      </c>
      <c r="O222" s="267">
        <v>45964.58333333334</v>
      </c>
      <c r="P222" s="267">
        <v>45971.54166666666</v>
      </c>
      <c r="Q222" s="267">
        <v>45985.58333333334</v>
      </c>
      <c r="R222" s="267">
        <v>45992.54166666666</v>
      </c>
      <c r="S222" s="267">
        <v>45999.41666666666</v>
      </c>
      <c r="T222" s="267">
        <v>46006.45833333334</v>
      </c>
      <c r="U222" s="268">
        <v>46048.41666666666</v>
      </c>
      <c r="V222" s="271"/>
      <c r="W222" s="272">
        <f t="shared" si="2"/>
        <v>46048.41667</v>
      </c>
      <c r="X222" s="273"/>
      <c r="Y222" s="273"/>
      <c r="Z222" s="235"/>
      <c r="AA222" s="43"/>
    </row>
    <row r="223" ht="15.75" hidden="1" customHeight="1">
      <c r="A223" s="275" t="s">
        <v>666</v>
      </c>
      <c r="B223" s="276" t="str">
        <f>IFERROR(VLOOKUP(A223&amp;"", STUDENTS!A:B, 2, 0), "")</f>
        <v>TRƯƠNG TRUNG THIÊN</v>
      </c>
      <c r="C223" s="122" t="s">
        <v>72</v>
      </c>
      <c r="D223" s="122" t="str">
        <f>IFERROR(VLOOKUP(C223, PIC!A:B, 2, 0), "")</f>
        <v>Thien Truong</v>
      </c>
      <c r="E223" s="123" t="s">
        <v>23</v>
      </c>
      <c r="F223" s="277">
        <v>45866.54166666666</v>
      </c>
      <c r="G223" s="278" t="s">
        <v>1162</v>
      </c>
      <c r="H223" s="278">
        <v>45915.45833333334</v>
      </c>
      <c r="I223" s="277">
        <v>45922.45833333334</v>
      </c>
      <c r="J223" s="278">
        <v>45929.45833333334</v>
      </c>
      <c r="K223" s="277">
        <v>45943.41666666666</v>
      </c>
      <c r="L223" s="278">
        <v>45944.58333333334</v>
      </c>
      <c r="M223" s="278"/>
      <c r="N223" s="277">
        <v>45957.41666666666</v>
      </c>
      <c r="O223" s="277">
        <v>45964.58333333334</v>
      </c>
      <c r="P223" s="277" t="s">
        <v>1162</v>
      </c>
      <c r="Q223" s="277">
        <v>45985.58333333334</v>
      </c>
      <c r="R223" s="277">
        <v>45992.54166666666</v>
      </c>
      <c r="S223" s="277">
        <v>45999.41666666666</v>
      </c>
      <c r="T223" s="277">
        <v>46006.45833333334</v>
      </c>
      <c r="U223" s="278">
        <v>46048.41666666666</v>
      </c>
      <c r="V223" s="281"/>
      <c r="W223" s="282">
        <f t="shared" si="2"/>
        <v>46048.41667</v>
      </c>
      <c r="X223" s="283"/>
      <c r="Y223" s="283"/>
      <c r="Z223" s="235"/>
      <c r="AA223" s="43"/>
    </row>
    <row r="224" ht="15.75" hidden="1" customHeight="1">
      <c r="A224" s="265" t="s">
        <v>653</v>
      </c>
      <c r="B224" s="266" t="str">
        <f>IFERROR(VLOOKUP(A224&amp;"", STUDENTS!A:B, 2, 0), "")</f>
        <v>LÊ HỒNG QUÂN</v>
      </c>
      <c r="C224" s="104" t="s">
        <v>72</v>
      </c>
      <c r="D224" s="104" t="str">
        <f>IFERROR(VLOOKUP(C224, PIC!A:B, 2, 0), "")</f>
        <v>Thien Truong</v>
      </c>
      <c r="E224" s="105" t="s">
        <v>24</v>
      </c>
      <c r="F224" s="267">
        <v>46084.58333333334</v>
      </c>
      <c r="G224" s="268" t="s">
        <v>1162</v>
      </c>
      <c r="H224" s="268">
        <v>46106.45833333334</v>
      </c>
      <c r="I224" s="267">
        <v>46119.45833333334</v>
      </c>
      <c r="J224" s="268">
        <v>46127.54166666666</v>
      </c>
      <c r="K224" s="267">
        <v>46134.58333333334</v>
      </c>
      <c r="L224" s="269">
        <v>46169.458333333336</v>
      </c>
      <c r="M224" s="313" t="s">
        <v>1162</v>
      </c>
      <c r="N224" s="108" t="s">
        <v>1162</v>
      </c>
      <c r="O224" s="267"/>
      <c r="P224" s="267"/>
      <c r="Q224" s="267"/>
      <c r="R224" s="267"/>
      <c r="S224" s="267"/>
      <c r="T224" s="267"/>
      <c r="U224" s="108"/>
      <c r="V224" s="314"/>
      <c r="W224" s="272">
        <f t="shared" si="2"/>
        <v>46169.45833</v>
      </c>
      <c r="X224" s="273"/>
      <c r="Y224" s="273"/>
      <c r="Z224" s="235"/>
      <c r="AA224" s="43"/>
    </row>
    <row r="225" ht="15.75" hidden="1" customHeight="1">
      <c r="A225" s="275" t="s">
        <v>111</v>
      </c>
      <c r="B225" s="276" t="str">
        <f>IFERROR(VLOOKUP(A225&amp;"", STUDENTS!A:B, 2, 0), "")</f>
        <v>LÊ THANH SƠN</v>
      </c>
      <c r="C225" s="122" t="s">
        <v>72</v>
      </c>
      <c r="D225" s="122" t="str">
        <f>IFERROR(VLOOKUP(C225, PIC!A:B, 2, 0), "")</f>
        <v>Thien Truong</v>
      </c>
      <c r="E225" s="123" t="s">
        <v>24</v>
      </c>
      <c r="F225" s="277">
        <v>46084.58333333334</v>
      </c>
      <c r="G225" s="278">
        <v>46099.45833333334</v>
      </c>
      <c r="H225" s="278">
        <v>46106.45833333334</v>
      </c>
      <c r="I225" s="277">
        <v>46119.45833333334</v>
      </c>
      <c r="J225" s="278">
        <v>46127.54166666666</v>
      </c>
      <c r="K225" s="277">
        <v>46134.58333333334</v>
      </c>
      <c r="L225" s="279">
        <v>46169.458333333336</v>
      </c>
      <c r="M225" s="315" t="s">
        <v>1162</v>
      </c>
      <c r="N225" s="285" t="s">
        <v>1162</v>
      </c>
      <c r="O225" s="277"/>
      <c r="P225" s="277"/>
      <c r="Q225" s="277"/>
      <c r="R225" s="277"/>
      <c r="S225" s="277"/>
      <c r="T225" s="277"/>
      <c r="U225" s="285"/>
      <c r="V225" s="316"/>
      <c r="W225" s="282">
        <f t="shared" si="2"/>
        <v>46169.45833</v>
      </c>
      <c r="X225" s="283"/>
      <c r="Y225" s="283"/>
      <c r="Z225" s="235"/>
      <c r="AA225" s="43"/>
    </row>
    <row r="226" ht="15.75" hidden="1" customHeight="1">
      <c r="A226" s="265" t="s">
        <v>656</v>
      </c>
      <c r="B226" s="266" t="str">
        <f>IFERROR(VLOOKUP(A226&amp;"", STUDENTS!A:B, 2, 0), "")</f>
        <v>LÊ THỊ THU HIỀN</v>
      </c>
      <c r="C226" s="104" t="s">
        <v>72</v>
      </c>
      <c r="D226" s="104" t="str">
        <f>IFERROR(VLOOKUP(C226, PIC!A:B, 2, 0), "")</f>
        <v>Thien Truong</v>
      </c>
      <c r="E226" s="105" t="s">
        <v>24</v>
      </c>
      <c r="F226" s="267">
        <v>46084.58333333334</v>
      </c>
      <c r="G226" s="268">
        <v>46099.45833333334</v>
      </c>
      <c r="H226" s="268">
        <v>46106.45833333334</v>
      </c>
      <c r="I226" s="267" t="s">
        <v>1162</v>
      </c>
      <c r="J226" s="268">
        <v>46127.54166666666</v>
      </c>
      <c r="K226" s="267">
        <v>46134.58333333334</v>
      </c>
      <c r="L226" s="269">
        <v>46169.458333333336</v>
      </c>
      <c r="M226" s="313" t="s">
        <v>1162</v>
      </c>
      <c r="N226" s="269">
        <v>46211.541666666664</v>
      </c>
      <c r="O226" s="267"/>
      <c r="P226" s="267"/>
      <c r="Q226" s="267"/>
      <c r="R226" s="267"/>
      <c r="S226" s="267"/>
      <c r="T226" s="267"/>
      <c r="U226" s="269"/>
      <c r="V226" s="312"/>
      <c r="W226" s="272">
        <f t="shared" si="2"/>
        <v>46211.54167</v>
      </c>
      <c r="X226" s="273"/>
      <c r="Y226" s="273"/>
      <c r="Z226" s="235"/>
      <c r="AA226" s="43"/>
    </row>
    <row r="227" ht="15.75" hidden="1" customHeight="1">
      <c r="A227" s="275" t="s">
        <v>658</v>
      </c>
      <c r="B227" s="276" t="str">
        <f>IFERROR(VLOOKUP(A227&amp;"", STUDENTS!A:B, 2, 0), "")</f>
        <v>LÝ KHÁNH LONG</v>
      </c>
      <c r="C227" s="122" t="s">
        <v>72</v>
      </c>
      <c r="D227" s="122" t="str">
        <f>IFERROR(VLOOKUP(C227, PIC!A:B, 2, 0), "")</f>
        <v>Thien Truong</v>
      </c>
      <c r="E227" s="123" t="s">
        <v>24</v>
      </c>
      <c r="F227" s="277">
        <v>46084.58333333334</v>
      </c>
      <c r="G227" s="278">
        <v>46099.45833333334</v>
      </c>
      <c r="H227" s="278">
        <v>46106.45833333334</v>
      </c>
      <c r="I227" s="277">
        <v>46119.45833333334</v>
      </c>
      <c r="J227" s="278">
        <v>46127.54166666666</v>
      </c>
      <c r="K227" s="277">
        <v>46134.58333333334</v>
      </c>
      <c r="L227" s="279">
        <v>46169.458333333336</v>
      </c>
      <c r="M227" s="279">
        <v>46189.416666666664</v>
      </c>
      <c r="N227" s="285" t="s">
        <v>1162</v>
      </c>
      <c r="O227" s="277"/>
      <c r="P227" s="277"/>
      <c r="Q227" s="277"/>
      <c r="R227" s="277"/>
      <c r="S227" s="277"/>
      <c r="T227" s="277"/>
      <c r="U227" s="285"/>
      <c r="V227" s="316"/>
      <c r="W227" s="282">
        <f t="shared" si="2"/>
        <v>46189.41667</v>
      </c>
      <c r="X227" s="283"/>
      <c r="Y227" s="283"/>
      <c r="Z227" s="235"/>
      <c r="AA227" s="43"/>
    </row>
    <row r="228" ht="15.75" hidden="1" customHeight="1">
      <c r="A228" s="265" t="s">
        <v>660</v>
      </c>
      <c r="B228" s="266" t="str">
        <f>IFERROR(VLOOKUP(A228&amp;"", STUDENTS!A:B, 2, 0), "")</f>
        <v>LÝ THỊ DIỄM MY</v>
      </c>
      <c r="C228" s="104" t="s">
        <v>72</v>
      </c>
      <c r="D228" s="104" t="str">
        <f>IFERROR(VLOOKUP(C228, PIC!A:B, 2, 0), "")</f>
        <v>Thien Truong</v>
      </c>
      <c r="E228" s="105" t="s">
        <v>24</v>
      </c>
      <c r="F228" s="267">
        <v>46084.58333333334</v>
      </c>
      <c r="G228" s="268">
        <v>46099.45833333334</v>
      </c>
      <c r="H228" s="268">
        <v>46106.45833333334</v>
      </c>
      <c r="I228" s="267" t="s">
        <v>1162</v>
      </c>
      <c r="J228" s="268">
        <v>46127.54166666666</v>
      </c>
      <c r="K228" s="267">
        <v>46134.58333333334</v>
      </c>
      <c r="L228" s="269">
        <v>46169.458333333336</v>
      </c>
      <c r="M228" s="269">
        <v>46189.416666666664</v>
      </c>
      <c r="N228" s="269">
        <v>46211.541666666664</v>
      </c>
      <c r="O228" s="267"/>
      <c r="P228" s="267"/>
      <c r="Q228" s="267"/>
      <c r="R228" s="267"/>
      <c r="S228" s="267"/>
      <c r="T228" s="267"/>
      <c r="U228" s="269"/>
      <c r="V228" s="312"/>
      <c r="W228" s="272">
        <f t="shared" si="2"/>
        <v>46211.54167</v>
      </c>
      <c r="X228" s="273"/>
      <c r="Y228" s="273"/>
      <c r="Z228" s="235"/>
      <c r="AA228" s="43"/>
    </row>
    <row r="229" ht="15.75" hidden="1" customHeight="1">
      <c r="A229" s="275" t="s">
        <v>662</v>
      </c>
      <c r="B229" s="276" t="str">
        <f>IFERROR(VLOOKUP(A229&amp;"", STUDENTS!A:B, 2, 0), "")</f>
        <v>NGUYỄN LÝ KHÁNH HUY</v>
      </c>
      <c r="C229" s="122" t="s">
        <v>72</v>
      </c>
      <c r="D229" s="122" t="str">
        <f>IFERROR(VLOOKUP(C229, PIC!A:B, 2, 0), "")</f>
        <v>Thien Truong</v>
      </c>
      <c r="E229" s="123" t="s">
        <v>24</v>
      </c>
      <c r="F229" s="277">
        <v>46084.58333333334</v>
      </c>
      <c r="G229" s="278">
        <v>46099.45833333334</v>
      </c>
      <c r="H229" s="278" t="s">
        <v>1162</v>
      </c>
      <c r="I229" s="277">
        <v>46119.45833333334</v>
      </c>
      <c r="J229" s="278">
        <v>46127.54166666666</v>
      </c>
      <c r="K229" s="277">
        <v>46134.58333333334</v>
      </c>
      <c r="L229" s="279">
        <v>46169.458333333336</v>
      </c>
      <c r="M229" s="315" t="s">
        <v>1162</v>
      </c>
      <c r="N229" s="285" t="s">
        <v>1162</v>
      </c>
      <c r="O229" s="277"/>
      <c r="P229" s="277"/>
      <c r="Q229" s="277"/>
      <c r="R229" s="277"/>
      <c r="S229" s="277"/>
      <c r="T229" s="277"/>
      <c r="U229" s="285"/>
      <c r="V229" s="316"/>
      <c r="W229" s="282">
        <f t="shared" si="2"/>
        <v>46169.45833</v>
      </c>
      <c r="X229" s="283"/>
      <c r="Y229" s="283"/>
      <c r="Z229" s="235"/>
      <c r="AA229" s="43"/>
    </row>
    <row r="230" ht="15.75" hidden="1" customHeight="1">
      <c r="A230" s="265" t="s">
        <v>664</v>
      </c>
      <c r="B230" s="266" t="str">
        <f>IFERROR(VLOOKUP(A230&amp;"", STUDENTS!A:B, 2, 0), "")</f>
        <v>NGUYỄN THỊ NGỌC DUNG</v>
      </c>
      <c r="C230" s="104" t="s">
        <v>72</v>
      </c>
      <c r="D230" s="104" t="str">
        <f>IFERROR(VLOOKUP(C230, PIC!A:B, 2, 0), "")</f>
        <v>Thien Truong</v>
      </c>
      <c r="E230" s="105" t="s">
        <v>24</v>
      </c>
      <c r="F230" s="267"/>
      <c r="G230" s="268">
        <v>46099.45833333334</v>
      </c>
      <c r="H230" s="268">
        <v>46106.45833333334</v>
      </c>
      <c r="I230" s="267" t="s">
        <v>1162</v>
      </c>
      <c r="J230" s="268">
        <v>46127.54166666666</v>
      </c>
      <c r="K230" s="267">
        <v>46134.58333333334</v>
      </c>
      <c r="L230" s="108" t="s">
        <v>1162</v>
      </c>
      <c r="M230" s="269">
        <v>46189.416666666664</v>
      </c>
      <c r="N230" s="269">
        <v>46211.541666666664</v>
      </c>
      <c r="O230" s="267"/>
      <c r="P230" s="267"/>
      <c r="Q230" s="267"/>
      <c r="R230" s="267"/>
      <c r="S230" s="267"/>
      <c r="T230" s="267"/>
      <c r="U230" s="269"/>
      <c r="V230" s="312"/>
      <c r="W230" s="272">
        <f t="shared" si="2"/>
        <v>46211.54167</v>
      </c>
      <c r="X230" s="273"/>
      <c r="Y230" s="273"/>
      <c r="Z230" s="235"/>
      <c r="AA230" s="43"/>
    </row>
    <row r="231" ht="15.75" hidden="1" customHeight="1">
      <c r="A231" s="275" t="s">
        <v>666</v>
      </c>
      <c r="B231" s="276" t="str">
        <f>IFERROR(VLOOKUP(A231&amp;"", STUDENTS!A:B, 2, 0), "")</f>
        <v>TRƯƠNG TRUNG THIÊN</v>
      </c>
      <c r="C231" s="122" t="s">
        <v>72</v>
      </c>
      <c r="D231" s="122" t="str">
        <f>IFERROR(VLOOKUP(C231, PIC!A:B, 2, 0), "")</f>
        <v>Thien Truong</v>
      </c>
      <c r="E231" s="123" t="s">
        <v>24</v>
      </c>
      <c r="F231" s="277">
        <v>46084.58333333334</v>
      </c>
      <c r="G231" s="278">
        <v>46099.45833333334</v>
      </c>
      <c r="H231" s="278" t="s">
        <v>1162</v>
      </c>
      <c r="I231" s="277">
        <v>46119.45833333334</v>
      </c>
      <c r="J231" s="278">
        <v>46127.54166666666</v>
      </c>
      <c r="K231" s="277">
        <v>46134.58333333334</v>
      </c>
      <c r="L231" s="279">
        <v>46169.458333333336</v>
      </c>
      <c r="M231" s="315" t="s">
        <v>1162</v>
      </c>
      <c r="N231" s="285" t="s">
        <v>1162</v>
      </c>
      <c r="O231" s="277"/>
      <c r="P231" s="277"/>
      <c r="Q231" s="277"/>
      <c r="R231" s="277"/>
      <c r="S231" s="277"/>
      <c r="T231" s="277"/>
      <c r="U231" s="285"/>
      <c r="V231" s="316"/>
      <c r="W231" s="282">
        <f t="shared" si="2"/>
        <v>46169.45833</v>
      </c>
      <c r="X231" s="283"/>
      <c r="Y231" s="283"/>
      <c r="Z231" s="235"/>
      <c r="AA231" s="43"/>
    </row>
    <row r="232" ht="15.75" hidden="1" customHeight="1">
      <c r="A232" s="265" t="s">
        <v>721</v>
      </c>
      <c r="B232" s="266" t="str">
        <f>IFERROR(VLOOKUP(A232&amp;"", STUDENTS!A:B, 2, 0), "")</f>
        <v>LƯƠNG CÔNG KỲ</v>
      </c>
      <c r="C232" s="104" t="s">
        <v>73</v>
      </c>
      <c r="D232" s="104" t="str">
        <f>IFERROR(VLOOKUP(C232, PIC!A:B, 2, 0), "")</f>
        <v>Ky Luong</v>
      </c>
      <c r="E232" s="105" t="s">
        <v>22</v>
      </c>
      <c r="F232" s="267">
        <v>45765.375</v>
      </c>
      <c r="G232" s="268">
        <v>45783.41666666666</v>
      </c>
      <c r="H232" s="268">
        <v>45790.41666666666</v>
      </c>
      <c r="I232" s="267">
        <v>45804.41666666666</v>
      </c>
      <c r="J232" s="268">
        <v>45811.625</v>
      </c>
      <c r="K232" s="267">
        <v>45818.625</v>
      </c>
      <c r="L232" s="268">
        <v>45825.625</v>
      </c>
      <c r="M232" s="268">
        <v>45832.625</v>
      </c>
      <c r="N232" s="267">
        <v>45846.625</v>
      </c>
      <c r="O232" s="267">
        <v>45867.58333333334</v>
      </c>
      <c r="P232" s="267"/>
      <c r="Q232" s="267"/>
      <c r="R232" s="267"/>
      <c r="S232" s="267"/>
      <c r="T232" s="267"/>
      <c r="U232" s="268"/>
      <c r="V232" s="271"/>
      <c r="W232" s="272">
        <f t="shared" si="2"/>
        <v>45867.58333</v>
      </c>
      <c r="X232" s="273"/>
      <c r="Y232" s="273"/>
      <c r="Z232" s="235"/>
      <c r="AA232" s="43"/>
    </row>
    <row r="233" ht="15.75" hidden="1" customHeight="1">
      <c r="A233" s="275" t="s">
        <v>581</v>
      </c>
      <c r="B233" s="276" t="str">
        <f>IFERROR(VLOOKUP(A233&amp;"", STUDENTS!A:B, 2, 0), "")</f>
        <v>NGUYỄN BÁ NGỌC</v>
      </c>
      <c r="C233" s="122" t="s">
        <v>73</v>
      </c>
      <c r="D233" s="122" t="str">
        <f>IFERROR(VLOOKUP(C233, PIC!A:B, 2, 0), "")</f>
        <v>Ky Luong</v>
      </c>
      <c r="E233" s="123" t="s">
        <v>22</v>
      </c>
      <c r="F233" s="277">
        <v>45765.375</v>
      </c>
      <c r="G233" s="278">
        <v>45783.41666666666</v>
      </c>
      <c r="H233" s="278">
        <v>45790.41666666666</v>
      </c>
      <c r="I233" s="277">
        <v>45804.41666666666</v>
      </c>
      <c r="J233" s="278">
        <v>45811.625</v>
      </c>
      <c r="K233" s="277">
        <v>45818.625</v>
      </c>
      <c r="L233" s="278">
        <v>45825.625</v>
      </c>
      <c r="M233" s="278">
        <v>45832.625</v>
      </c>
      <c r="N233" s="277">
        <v>45846.625</v>
      </c>
      <c r="O233" s="277">
        <v>45867.58333333334</v>
      </c>
      <c r="P233" s="277"/>
      <c r="Q233" s="277"/>
      <c r="R233" s="277"/>
      <c r="S233" s="277"/>
      <c r="T233" s="277"/>
      <c r="U233" s="278"/>
      <c r="V233" s="281"/>
      <c r="W233" s="282">
        <f t="shared" si="2"/>
        <v>45867.58333</v>
      </c>
      <c r="X233" s="283"/>
      <c r="Y233" s="283"/>
      <c r="Z233" s="235"/>
      <c r="AA233" s="43"/>
    </row>
    <row r="234" ht="15.75" hidden="1" customHeight="1">
      <c r="A234" s="265" t="s">
        <v>766</v>
      </c>
      <c r="B234" s="266" t="str">
        <f>IFERROR(VLOOKUP(A234&amp;"", STUDENTS!A:B, 2, 0), "")</f>
        <v>NGUYỄN NHẬT HÀO</v>
      </c>
      <c r="C234" s="104" t="s">
        <v>73</v>
      </c>
      <c r="D234" s="104" t="str">
        <f>IFERROR(VLOOKUP(C234, PIC!A:B, 2, 0), "")</f>
        <v>Ky Luong</v>
      </c>
      <c r="E234" s="105" t="s">
        <v>22</v>
      </c>
      <c r="F234" s="267">
        <v>45765.375</v>
      </c>
      <c r="G234" s="268">
        <v>45783.41666666666</v>
      </c>
      <c r="H234" s="268">
        <v>45790.41666666666</v>
      </c>
      <c r="I234" s="267">
        <v>45804.41666666666</v>
      </c>
      <c r="J234" s="268">
        <v>45811.625</v>
      </c>
      <c r="K234" s="267">
        <v>45818.625</v>
      </c>
      <c r="L234" s="268">
        <v>45825.625</v>
      </c>
      <c r="M234" s="268">
        <v>45832.625</v>
      </c>
      <c r="N234" s="267">
        <v>45846.625</v>
      </c>
      <c r="O234" s="267">
        <v>45867.58333333334</v>
      </c>
      <c r="P234" s="267"/>
      <c r="Q234" s="267"/>
      <c r="R234" s="267"/>
      <c r="S234" s="267"/>
      <c r="T234" s="267"/>
      <c r="U234" s="268"/>
      <c r="V234" s="271"/>
      <c r="W234" s="272">
        <f t="shared" si="2"/>
        <v>45867.58333</v>
      </c>
      <c r="X234" s="273"/>
      <c r="Y234" s="273"/>
      <c r="Z234" s="235"/>
      <c r="AA234" s="43"/>
    </row>
    <row r="235" ht="15.75" hidden="1" customHeight="1">
      <c r="A235" s="275" t="s">
        <v>587</v>
      </c>
      <c r="B235" s="276" t="str">
        <f>IFERROR(VLOOKUP(A235&amp;"", STUDENTS!A:B, 2, 0), "")</f>
        <v>PHAN HUY NHÂN</v>
      </c>
      <c r="C235" s="122" t="s">
        <v>73</v>
      </c>
      <c r="D235" s="122" t="str">
        <f>IFERROR(VLOOKUP(C235, PIC!A:B, 2, 0), "")</f>
        <v>Ky Luong</v>
      </c>
      <c r="E235" s="123" t="s">
        <v>22</v>
      </c>
      <c r="F235" s="277">
        <v>45765.375</v>
      </c>
      <c r="G235" s="278">
        <v>45783.41666666666</v>
      </c>
      <c r="H235" s="278">
        <v>45790.41666666666</v>
      </c>
      <c r="I235" s="277">
        <v>45804.41666666666</v>
      </c>
      <c r="J235" s="278">
        <v>45811.625</v>
      </c>
      <c r="K235" s="277">
        <v>45818.625</v>
      </c>
      <c r="L235" s="278">
        <v>45825.625</v>
      </c>
      <c r="M235" s="278" t="s">
        <v>1162</v>
      </c>
      <c r="N235" s="277">
        <v>45846.625</v>
      </c>
      <c r="O235" s="277">
        <v>45867.58333333334</v>
      </c>
      <c r="P235" s="277"/>
      <c r="Q235" s="277"/>
      <c r="R235" s="277"/>
      <c r="S235" s="277"/>
      <c r="T235" s="277"/>
      <c r="U235" s="278"/>
      <c r="V235" s="281"/>
      <c r="W235" s="282">
        <f t="shared" si="2"/>
        <v>45867.58333</v>
      </c>
      <c r="X235" s="283"/>
      <c r="Y235" s="283"/>
      <c r="Z235" s="235"/>
      <c r="AA235" s="43"/>
    </row>
    <row r="236" ht="15.75" hidden="1" customHeight="1">
      <c r="A236" s="265" t="s">
        <v>589</v>
      </c>
      <c r="B236" s="266" t="str">
        <f>IFERROR(VLOOKUP(A236&amp;"", STUDENTS!A:B, 2, 0), "")</f>
        <v>VÕ CHÍ THIỆN</v>
      </c>
      <c r="C236" s="104" t="s">
        <v>73</v>
      </c>
      <c r="D236" s="104" t="str">
        <f>IFERROR(VLOOKUP(C236, PIC!A:B, 2, 0), "")</f>
        <v>Ky Luong</v>
      </c>
      <c r="E236" s="105" t="s">
        <v>22</v>
      </c>
      <c r="F236" s="267">
        <v>45765.375</v>
      </c>
      <c r="G236" s="268">
        <v>45783.41666666666</v>
      </c>
      <c r="H236" s="268">
        <v>45790.41666666666</v>
      </c>
      <c r="I236" s="267">
        <v>45804.41666666666</v>
      </c>
      <c r="J236" s="268">
        <v>45811.625</v>
      </c>
      <c r="K236" s="267">
        <v>45818.625</v>
      </c>
      <c r="L236" s="268">
        <v>45825.625</v>
      </c>
      <c r="M236" s="268">
        <v>45832.625</v>
      </c>
      <c r="N236" s="267">
        <v>45846.625</v>
      </c>
      <c r="O236" s="267">
        <v>45867.58333333334</v>
      </c>
      <c r="P236" s="267"/>
      <c r="Q236" s="267"/>
      <c r="R236" s="267"/>
      <c r="S236" s="267"/>
      <c r="T236" s="267"/>
      <c r="U236" s="268"/>
      <c r="V236" s="271"/>
      <c r="W236" s="272">
        <f t="shared" si="2"/>
        <v>45867.58333</v>
      </c>
      <c r="X236" s="273"/>
      <c r="Y236" s="273"/>
      <c r="Z236" s="235"/>
      <c r="AA236" s="43"/>
    </row>
    <row r="237" ht="15.75" hidden="1" customHeight="1">
      <c r="A237" s="275" t="s">
        <v>274</v>
      </c>
      <c r="B237" s="276" t="str">
        <f>IFERROR(VLOOKUP(A237&amp;"", STUDENTS!A:B, 2, 0), "")</f>
        <v>ĐOÀN ANH MINH</v>
      </c>
      <c r="C237" s="122" t="s">
        <v>74</v>
      </c>
      <c r="D237" s="122" t="str">
        <f>IFERROR(VLOOKUP(C237, PIC!A:B, 2, 0), "")</f>
        <v>Dung Hoang</v>
      </c>
      <c r="E237" s="123" t="s">
        <v>22</v>
      </c>
      <c r="F237" s="277">
        <v>45813.375</v>
      </c>
      <c r="G237" s="278">
        <v>45818.375</v>
      </c>
      <c r="H237" s="278">
        <v>45827.375</v>
      </c>
      <c r="I237" s="277">
        <v>45831.375</v>
      </c>
      <c r="J237" s="278">
        <v>45917.45833333334</v>
      </c>
      <c r="K237" s="277">
        <v>45923.45833333334</v>
      </c>
      <c r="L237" s="278">
        <v>45926.625</v>
      </c>
      <c r="M237" s="278">
        <v>45939.58333333334</v>
      </c>
      <c r="N237" s="277">
        <v>45940.54166666666</v>
      </c>
      <c r="O237" s="277">
        <v>45947.45833333334</v>
      </c>
      <c r="P237" s="277">
        <v>45957.58333333334</v>
      </c>
      <c r="Q237" s="277">
        <v>45964.45833333334</v>
      </c>
      <c r="R237" s="277">
        <v>45971.58333333334</v>
      </c>
      <c r="S237" s="277">
        <v>45985.41666666666</v>
      </c>
      <c r="T237" s="277"/>
      <c r="U237" s="278"/>
      <c r="V237" s="281"/>
      <c r="W237" s="282">
        <f t="shared" si="2"/>
        <v>45985.41667</v>
      </c>
      <c r="X237" s="283"/>
      <c r="Y237" s="283"/>
      <c r="Z237" s="235"/>
      <c r="AA237" s="43"/>
    </row>
    <row r="238" ht="15.75" hidden="1" customHeight="1">
      <c r="A238" s="265" t="s">
        <v>276</v>
      </c>
      <c r="B238" s="266" t="str">
        <f>IFERROR(VLOOKUP(A238&amp;"", STUDENTS!A:B, 2, 0), "")</f>
        <v>HOÀNG TIẾN DŨNG</v>
      </c>
      <c r="C238" s="104" t="s">
        <v>74</v>
      </c>
      <c r="D238" s="104" t="str">
        <f>IFERROR(VLOOKUP(C238, PIC!A:B, 2, 0), "")</f>
        <v>Dung Hoang</v>
      </c>
      <c r="E238" s="105" t="s">
        <v>22</v>
      </c>
      <c r="F238" s="267">
        <v>45813.375</v>
      </c>
      <c r="G238" s="268">
        <v>45818.375</v>
      </c>
      <c r="H238" s="268">
        <v>45827.375</v>
      </c>
      <c r="I238" s="267" t="s">
        <v>1162</v>
      </c>
      <c r="J238" s="268">
        <v>45917.45833333334</v>
      </c>
      <c r="K238" s="267">
        <v>45923.45833333334</v>
      </c>
      <c r="L238" s="268">
        <v>45926.625</v>
      </c>
      <c r="M238" s="268">
        <v>45939.58333333334</v>
      </c>
      <c r="N238" s="267">
        <v>45940.54166666666</v>
      </c>
      <c r="O238" s="267">
        <v>45947.45833333334</v>
      </c>
      <c r="P238" s="267">
        <v>45957.58333333334</v>
      </c>
      <c r="Q238" s="267">
        <v>45964.45833333334</v>
      </c>
      <c r="R238" s="267">
        <v>45971.58333333334</v>
      </c>
      <c r="S238" s="267">
        <v>45985.41666666666</v>
      </c>
      <c r="T238" s="267"/>
      <c r="U238" s="268"/>
      <c r="V238" s="271"/>
      <c r="W238" s="272">
        <f t="shared" si="2"/>
        <v>45985.41667</v>
      </c>
      <c r="X238" s="273"/>
      <c r="Y238" s="273"/>
      <c r="Z238" s="235"/>
      <c r="AA238" s="43"/>
    </row>
    <row r="239" ht="15.75" hidden="1" customHeight="1">
      <c r="A239" s="275" t="s">
        <v>278</v>
      </c>
      <c r="B239" s="276" t="str">
        <f>IFERROR(VLOOKUP(A239&amp;"", STUDENTS!A:B, 2, 0), "")</f>
        <v>NGUYỄN HOÀNG PHÚC</v>
      </c>
      <c r="C239" s="122" t="s">
        <v>74</v>
      </c>
      <c r="D239" s="122" t="str">
        <f>IFERROR(VLOOKUP(C239, PIC!A:B, 2, 0), "")</f>
        <v>Dung Hoang</v>
      </c>
      <c r="E239" s="123" t="s">
        <v>22</v>
      </c>
      <c r="F239" s="277" t="s">
        <v>1162</v>
      </c>
      <c r="G239" s="278">
        <v>45818.375</v>
      </c>
      <c r="H239" s="278">
        <v>45827.375</v>
      </c>
      <c r="I239" s="277" t="s">
        <v>1162</v>
      </c>
      <c r="J239" s="278">
        <v>45917.45833333334</v>
      </c>
      <c r="K239" s="277">
        <v>45923.45833333334</v>
      </c>
      <c r="L239" s="278">
        <v>45926.625</v>
      </c>
      <c r="M239" s="278">
        <v>45939.58333333334</v>
      </c>
      <c r="N239" s="277" t="s">
        <v>1162</v>
      </c>
      <c r="O239" s="277">
        <v>45947.45833333334</v>
      </c>
      <c r="P239" s="277">
        <v>45957.58333333334</v>
      </c>
      <c r="Q239" s="277">
        <v>45964.45833333334</v>
      </c>
      <c r="R239" s="277" t="s">
        <v>1162</v>
      </c>
      <c r="S239" s="277">
        <v>45985.41666666666</v>
      </c>
      <c r="T239" s="277"/>
      <c r="U239" s="278"/>
      <c r="V239" s="281"/>
      <c r="W239" s="282">
        <f t="shared" si="2"/>
        <v>45985.41667</v>
      </c>
      <c r="X239" s="283"/>
      <c r="Y239" s="283"/>
      <c r="Z239" s="235"/>
      <c r="AA239" s="43"/>
    </row>
    <row r="240" ht="15.75" hidden="1" customHeight="1">
      <c r="A240" s="265" t="s">
        <v>280</v>
      </c>
      <c r="B240" s="266" t="str">
        <f>IFERROR(VLOOKUP(A240&amp;"", STUDENTS!A:B, 2, 0), "")</f>
        <v>NGUYỄN PHÚC THANH TOÀN</v>
      </c>
      <c r="C240" s="104" t="s">
        <v>74</v>
      </c>
      <c r="D240" s="104" t="str">
        <f>IFERROR(VLOOKUP(C240, PIC!A:B, 2, 0), "")</f>
        <v>Dung Hoang</v>
      </c>
      <c r="E240" s="105" t="s">
        <v>22</v>
      </c>
      <c r="F240" s="267">
        <v>45813.375</v>
      </c>
      <c r="G240" s="268">
        <v>45818.375</v>
      </c>
      <c r="H240" s="268">
        <v>45827.375</v>
      </c>
      <c r="I240" s="267">
        <v>45831.375</v>
      </c>
      <c r="J240" s="268">
        <v>45917.45833333334</v>
      </c>
      <c r="K240" s="267">
        <v>45923.45833333334</v>
      </c>
      <c r="L240" s="268">
        <v>45926.625</v>
      </c>
      <c r="M240" s="268">
        <v>45939.58333333334</v>
      </c>
      <c r="N240" s="267">
        <v>45940.54166666666</v>
      </c>
      <c r="O240" s="267">
        <v>45947.45833333334</v>
      </c>
      <c r="P240" s="267">
        <v>45957.58333333334</v>
      </c>
      <c r="Q240" s="267">
        <v>45964.45833333334</v>
      </c>
      <c r="R240" s="267">
        <v>45971.58333333334</v>
      </c>
      <c r="S240" s="267">
        <v>45985.41666666666</v>
      </c>
      <c r="T240" s="267"/>
      <c r="U240" s="268"/>
      <c r="V240" s="271"/>
      <c r="W240" s="272">
        <f t="shared" si="2"/>
        <v>45985.41667</v>
      </c>
      <c r="X240" s="273"/>
      <c r="Y240" s="273"/>
      <c r="Z240" s="235"/>
      <c r="AA240" s="43"/>
    </row>
    <row r="241" ht="15.75" hidden="1" customHeight="1">
      <c r="A241" s="275" t="s">
        <v>282</v>
      </c>
      <c r="B241" s="276" t="str">
        <f>IFERROR(VLOOKUP(A241&amp;"", STUDENTS!A:B, 2, 0), "")</f>
        <v>NGUYỄN QUANG TRUNG</v>
      </c>
      <c r="C241" s="122" t="s">
        <v>74</v>
      </c>
      <c r="D241" s="122" t="str">
        <f>IFERROR(VLOOKUP(C241, PIC!A:B, 2, 0), "")</f>
        <v>Dung Hoang</v>
      </c>
      <c r="E241" s="123" t="s">
        <v>22</v>
      </c>
      <c r="F241" s="277">
        <v>45813.375</v>
      </c>
      <c r="G241" s="278">
        <v>45818.375</v>
      </c>
      <c r="H241" s="278">
        <v>45827.375</v>
      </c>
      <c r="I241" s="277">
        <v>45831.375</v>
      </c>
      <c r="J241" s="278">
        <v>45917.45833333334</v>
      </c>
      <c r="K241" s="277">
        <v>45923.45833333334</v>
      </c>
      <c r="L241" s="278">
        <v>45926.625</v>
      </c>
      <c r="M241" s="278">
        <v>45939.58333333334</v>
      </c>
      <c r="N241" s="277">
        <v>45940.54166666666</v>
      </c>
      <c r="O241" s="277">
        <v>45947.45833333334</v>
      </c>
      <c r="P241" s="277">
        <v>45957.58333333334</v>
      </c>
      <c r="Q241" s="277">
        <v>45964.45833333334</v>
      </c>
      <c r="R241" s="277">
        <v>45971.58333333334</v>
      </c>
      <c r="S241" s="277">
        <v>45985.41666666666</v>
      </c>
      <c r="T241" s="277"/>
      <c r="U241" s="278"/>
      <c r="V241" s="281"/>
      <c r="W241" s="282">
        <f t="shared" si="2"/>
        <v>45985.41667</v>
      </c>
      <c r="X241" s="283"/>
      <c r="Y241" s="283"/>
      <c r="Z241" s="235"/>
      <c r="AA241" s="43"/>
    </row>
    <row r="242" ht="15.75" hidden="1" customHeight="1">
      <c r="A242" s="265" t="s">
        <v>284</v>
      </c>
      <c r="B242" s="266" t="str">
        <f>IFERROR(VLOOKUP(A242&amp;"", STUDENTS!A:B, 2, 0), "")</f>
        <v>NGUYỄN THÀNH PHƯỚC</v>
      </c>
      <c r="C242" s="104" t="s">
        <v>74</v>
      </c>
      <c r="D242" s="104" t="str">
        <f>IFERROR(VLOOKUP(C242, PIC!A:B, 2, 0), "")</f>
        <v>Dung Hoang</v>
      </c>
      <c r="E242" s="105" t="s">
        <v>22</v>
      </c>
      <c r="F242" s="267" t="s">
        <v>1162</v>
      </c>
      <c r="G242" s="268">
        <v>45818.375</v>
      </c>
      <c r="H242" s="268">
        <v>45827.375</v>
      </c>
      <c r="I242" s="267">
        <v>45831.375</v>
      </c>
      <c r="J242" s="268">
        <v>45917.45833333334</v>
      </c>
      <c r="K242" s="267">
        <v>45923.45833333334</v>
      </c>
      <c r="L242" s="268">
        <v>45926.625</v>
      </c>
      <c r="M242" s="268">
        <v>45939.58333333334</v>
      </c>
      <c r="N242" s="267">
        <v>45940.54166666666</v>
      </c>
      <c r="O242" s="267">
        <v>45947.45833333334</v>
      </c>
      <c r="P242" s="267">
        <v>45957.58333333334</v>
      </c>
      <c r="Q242" s="267">
        <v>45964.45833333334</v>
      </c>
      <c r="R242" s="267">
        <v>45971.58333333334</v>
      </c>
      <c r="S242" s="267">
        <v>45985.41666666666</v>
      </c>
      <c r="T242" s="267"/>
      <c r="U242" s="268"/>
      <c r="V242" s="271"/>
      <c r="W242" s="272">
        <f t="shared" si="2"/>
        <v>45985.41667</v>
      </c>
      <c r="X242" s="273"/>
      <c r="Y242" s="273"/>
      <c r="Z242" s="235"/>
      <c r="AA242" s="43"/>
    </row>
    <row r="243" ht="15.75" hidden="1" customHeight="1">
      <c r="A243" s="275" t="s">
        <v>286</v>
      </c>
      <c r="B243" s="276" t="str">
        <f>IFERROR(VLOOKUP(A243&amp;"", STUDENTS!A:B, 2, 0), "")</f>
        <v>THỚI PHI LONG</v>
      </c>
      <c r="C243" s="122" t="s">
        <v>74</v>
      </c>
      <c r="D243" s="122" t="str">
        <f>IFERROR(VLOOKUP(C243, PIC!A:B, 2, 0), "")</f>
        <v>Dung Hoang</v>
      </c>
      <c r="E243" s="123" t="s">
        <v>22</v>
      </c>
      <c r="F243" s="277">
        <v>45813.375</v>
      </c>
      <c r="G243" s="278">
        <v>45818.375</v>
      </c>
      <c r="H243" s="278" t="s">
        <v>1162</v>
      </c>
      <c r="I243" s="277" t="s">
        <v>1162</v>
      </c>
      <c r="J243" s="278" t="s">
        <v>1162</v>
      </c>
      <c r="K243" s="277" t="s">
        <v>1162</v>
      </c>
      <c r="L243" s="278"/>
      <c r="M243" s="278" t="s">
        <v>1162</v>
      </c>
      <c r="N243" s="277" t="s">
        <v>1162</v>
      </c>
      <c r="O243" s="277" t="s">
        <v>1162</v>
      </c>
      <c r="P243" s="277" t="s">
        <v>1162</v>
      </c>
      <c r="Q243" s="277" t="s">
        <v>1162</v>
      </c>
      <c r="R243" s="277" t="s">
        <v>1162</v>
      </c>
      <c r="S243" s="277" t="s">
        <v>1162</v>
      </c>
      <c r="T243" s="277"/>
      <c r="U243" s="278"/>
      <c r="V243" s="281"/>
      <c r="W243" s="282">
        <f t="shared" si="2"/>
        <v>45818.375</v>
      </c>
      <c r="X243" s="283"/>
      <c r="Y243" s="283"/>
      <c r="Z243" s="235"/>
      <c r="AA243" s="43"/>
    </row>
    <row r="244" ht="15.75" hidden="1" customHeight="1">
      <c r="A244" s="265" t="s">
        <v>274</v>
      </c>
      <c r="B244" s="266" t="str">
        <f>IFERROR(VLOOKUP(A244&amp;"", STUDENTS!A:B, 2, 0), "")</f>
        <v>ĐOÀN ANH MINH</v>
      </c>
      <c r="C244" s="104" t="s">
        <v>74</v>
      </c>
      <c r="D244" s="104" t="str">
        <f>IFERROR(VLOOKUP(C244, PIC!A:B, 2, 0), "")</f>
        <v>Dung Hoang</v>
      </c>
      <c r="E244" s="105" t="s">
        <v>23</v>
      </c>
      <c r="F244" s="267"/>
      <c r="G244" s="268">
        <v>46106.41666666666</v>
      </c>
      <c r="H244" s="268" t="s">
        <v>1162</v>
      </c>
      <c r="I244" s="267">
        <v>46119.58333333334</v>
      </c>
      <c r="J244" s="268">
        <v>46126.41666666666</v>
      </c>
      <c r="K244" s="267">
        <v>46135.41666666666</v>
      </c>
      <c r="L244" s="270">
        <v>46157.625</v>
      </c>
      <c r="M244" s="269">
        <v>46170.416666666664</v>
      </c>
      <c r="N244" s="269">
        <v>46171.625</v>
      </c>
      <c r="O244" s="269">
        <v>46185.583333333336</v>
      </c>
      <c r="P244" s="269">
        <v>46189.458333333336</v>
      </c>
      <c r="Q244" s="269">
        <v>46204.458333333336</v>
      </c>
      <c r="R244" s="270">
        <v>46210.416666666664</v>
      </c>
      <c r="S244" s="267"/>
      <c r="T244" s="267"/>
      <c r="U244" s="268"/>
      <c r="V244" s="271"/>
      <c r="W244" s="272">
        <f t="shared" si="2"/>
        <v>46210.41667</v>
      </c>
      <c r="X244" s="273"/>
      <c r="Y244" s="273"/>
      <c r="Z244" s="235"/>
      <c r="AA244" s="43"/>
    </row>
    <row r="245" ht="15.75" hidden="1" customHeight="1">
      <c r="A245" s="275" t="s">
        <v>276</v>
      </c>
      <c r="B245" s="276" t="str">
        <f>IFERROR(VLOOKUP(A245&amp;"", STUDENTS!A:B, 2, 0), "")</f>
        <v>HOÀNG TIẾN DŨNG</v>
      </c>
      <c r="C245" s="122" t="s">
        <v>74</v>
      </c>
      <c r="D245" s="122" t="str">
        <f>IFERROR(VLOOKUP(C245, PIC!A:B, 2, 0), "")</f>
        <v>Dung Hoang</v>
      </c>
      <c r="E245" s="123" t="s">
        <v>23</v>
      </c>
      <c r="F245" s="277"/>
      <c r="G245" s="278">
        <v>46106.41666666666</v>
      </c>
      <c r="H245" s="278">
        <v>46114.45833333334</v>
      </c>
      <c r="I245" s="277">
        <v>46119.58333333334</v>
      </c>
      <c r="J245" s="278">
        <v>46126.41666666666</v>
      </c>
      <c r="K245" s="277">
        <v>46135.41666666666</v>
      </c>
      <c r="L245" s="280">
        <v>46157.625</v>
      </c>
      <c r="M245" s="279">
        <v>46170.416666666664</v>
      </c>
      <c r="N245" s="279">
        <v>46171.625</v>
      </c>
      <c r="O245" s="279">
        <v>46185.583333333336</v>
      </c>
      <c r="P245" s="279">
        <v>46189.458333333336</v>
      </c>
      <c r="Q245" s="279">
        <v>46204.458333333336</v>
      </c>
      <c r="R245" s="280">
        <v>46210.416666666664</v>
      </c>
      <c r="S245" s="277"/>
      <c r="T245" s="277"/>
      <c r="U245" s="278"/>
      <c r="V245" s="281"/>
      <c r="W245" s="282">
        <f t="shared" si="2"/>
        <v>46210.41667</v>
      </c>
      <c r="X245" s="283"/>
      <c r="Y245" s="283"/>
      <c r="Z245" s="235"/>
      <c r="AA245" s="43"/>
    </row>
    <row r="246" ht="15.75" hidden="1" customHeight="1">
      <c r="A246" s="265" t="s">
        <v>280</v>
      </c>
      <c r="B246" s="266" t="str">
        <f>IFERROR(VLOOKUP(A246&amp;"", STUDENTS!A:B, 2, 0), "")</f>
        <v>NGUYỄN PHÚC THANH TOÀN</v>
      </c>
      <c r="C246" s="104" t="s">
        <v>74</v>
      </c>
      <c r="D246" s="104" t="str">
        <f>IFERROR(VLOOKUP(C246, PIC!A:B, 2, 0), "")</f>
        <v>Dung Hoang</v>
      </c>
      <c r="E246" s="105" t="s">
        <v>23</v>
      </c>
      <c r="F246" s="267"/>
      <c r="G246" s="268">
        <v>46106.41666666666</v>
      </c>
      <c r="H246" s="268">
        <v>46114.45833333334</v>
      </c>
      <c r="I246" s="267">
        <v>46119.58333333334</v>
      </c>
      <c r="J246" s="267"/>
      <c r="K246" s="267">
        <v>46135.41666666666</v>
      </c>
      <c r="L246" s="108" t="s">
        <v>1162</v>
      </c>
      <c r="M246" s="269">
        <v>46170.416666666664</v>
      </c>
      <c r="N246" s="269">
        <v>46171.625</v>
      </c>
      <c r="O246" s="269">
        <v>46185.583333333336</v>
      </c>
      <c r="P246" s="269">
        <v>46189.458333333336</v>
      </c>
      <c r="Q246" s="269">
        <v>46204.458333333336</v>
      </c>
      <c r="R246" s="270">
        <v>46210.416666666664</v>
      </c>
      <c r="S246" s="267"/>
      <c r="T246" s="267"/>
      <c r="U246" s="268"/>
      <c r="V246" s="271"/>
      <c r="W246" s="272">
        <f t="shared" si="2"/>
        <v>46210.41667</v>
      </c>
      <c r="X246" s="273"/>
      <c r="Y246" s="273"/>
      <c r="Z246" s="235"/>
      <c r="AA246" s="43"/>
    </row>
    <row r="247" ht="15.75" hidden="1" customHeight="1">
      <c r="A247" s="275" t="s">
        <v>282</v>
      </c>
      <c r="B247" s="276" t="str">
        <f>IFERROR(VLOOKUP(A247&amp;"", STUDENTS!A:B, 2, 0), "")</f>
        <v>NGUYỄN QUANG TRUNG</v>
      </c>
      <c r="C247" s="122" t="s">
        <v>74</v>
      </c>
      <c r="D247" s="122" t="str">
        <f>IFERROR(VLOOKUP(C247, PIC!A:B, 2, 0), "")</f>
        <v>Dung Hoang</v>
      </c>
      <c r="E247" s="123" t="s">
        <v>23</v>
      </c>
      <c r="F247" s="277"/>
      <c r="G247" s="278">
        <v>46106.41666666666</v>
      </c>
      <c r="H247" s="278">
        <v>46114.45833333334</v>
      </c>
      <c r="I247" s="277">
        <v>46119.58333333334</v>
      </c>
      <c r="J247" s="278">
        <v>46126.41666666666</v>
      </c>
      <c r="K247" s="277">
        <v>46135.41666666666</v>
      </c>
      <c r="L247" s="280">
        <v>46157.625</v>
      </c>
      <c r="M247" s="279">
        <v>46170.416666666664</v>
      </c>
      <c r="N247" s="279">
        <v>46171.625</v>
      </c>
      <c r="O247" s="279">
        <v>46185.583333333336</v>
      </c>
      <c r="P247" s="279">
        <v>46189.458333333336</v>
      </c>
      <c r="Q247" s="279">
        <v>46204.458333333336</v>
      </c>
      <c r="R247" s="280">
        <v>46210.416666666664</v>
      </c>
      <c r="S247" s="277"/>
      <c r="T247" s="277"/>
      <c r="U247" s="278"/>
      <c r="V247" s="281"/>
      <c r="W247" s="282">
        <f t="shared" si="2"/>
        <v>46210.41667</v>
      </c>
      <c r="X247" s="283"/>
      <c r="Y247" s="283"/>
      <c r="Z247" s="235"/>
      <c r="AA247" s="43"/>
    </row>
    <row r="248" ht="15.75" hidden="1" customHeight="1">
      <c r="A248" s="265" t="s">
        <v>284</v>
      </c>
      <c r="B248" s="266" t="str">
        <f>IFERROR(VLOOKUP(A248&amp;"", STUDENTS!A:B, 2, 0), "")</f>
        <v>NGUYỄN THÀNH PHƯỚC</v>
      </c>
      <c r="C248" s="104" t="s">
        <v>74</v>
      </c>
      <c r="D248" s="104" t="str">
        <f>IFERROR(VLOOKUP(C248, PIC!A:B, 2, 0), "")</f>
        <v>Dung Hoang</v>
      </c>
      <c r="E248" s="105" t="s">
        <v>23</v>
      </c>
      <c r="F248" s="267"/>
      <c r="G248" s="268">
        <v>46106.41666666666</v>
      </c>
      <c r="H248" s="268">
        <v>46114.45833333334</v>
      </c>
      <c r="I248" s="267">
        <v>46119.58333333334</v>
      </c>
      <c r="J248" s="268">
        <v>46126.41666666666</v>
      </c>
      <c r="K248" s="267">
        <v>46135.41666666666</v>
      </c>
      <c r="L248" s="270">
        <v>46157.625</v>
      </c>
      <c r="M248" s="269">
        <v>46170.416666666664</v>
      </c>
      <c r="N248" s="269">
        <v>46171.625</v>
      </c>
      <c r="O248" s="269">
        <v>46185.583333333336</v>
      </c>
      <c r="P248" s="269">
        <v>46189.458333333336</v>
      </c>
      <c r="Q248" s="269">
        <v>46204.458333333336</v>
      </c>
      <c r="R248" s="270">
        <v>46210.416666666664</v>
      </c>
      <c r="S248" s="267"/>
      <c r="T248" s="267"/>
      <c r="U248" s="268"/>
      <c r="V248" s="271"/>
      <c r="W248" s="272">
        <f t="shared" si="2"/>
        <v>46210.41667</v>
      </c>
      <c r="X248" s="273"/>
      <c r="Y248" s="273"/>
      <c r="Z248" s="235"/>
      <c r="AA248" s="43"/>
    </row>
    <row r="249" ht="15.75" hidden="1" customHeight="1">
      <c r="A249" s="275" t="s">
        <v>278</v>
      </c>
      <c r="B249" s="276" t="str">
        <f>IFERROR(VLOOKUP(A249&amp;"", STUDENTS!A:B, 2, 0), "")</f>
        <v>NGUYỄN HOÀNG PHÚC</v>
      </c>
      <c r="C249" s="122" t="s">
        <v>74</v>
      </c>
      <c r="D249" s="122" t="str">
        <f>IFERROR(VLOOKUP(C249, PIC!A:B, 2, 0), "")</f>
        <v>Dung Hoang</v>
      </c>
      <c r="E249" s="123" t="s">
        <v>23</v>
      </c>
      <c r="F249" s="277"/>
      <c r="G249" s="278">
        <v>46106.41666666666</v>
      </c>
      <c r="H249" s="278">
        <v>46114.45833333334</v>
      </c>
      <c r="I249" s="277">
        <v>46119.58333333334</v>
      </c>
      <c r="J249" s="278">
        <v>46126.41666666666</v>
      </c>
      <c r="K249" s="277">
        <v>46135.41666666666</v>
      </c>
      <c r="L249" s="285" t="s">
        <v>1162</v>
      </c>
      <c r="M249" s="285" t="s">
        <v>1162</v>
      </c>
      <c r="N249" s="303" t="s">
        <v>1162</v>
      </c>
      <c r="O249" s="303" t="s">
        <v>1162</v>
      </c>
      <c r="P249" s="303" t="s">
        <v>1162</v>
      </c>
      <c r="Q249" s="303" t="s">
        <v>1162</v>
      </c>
      <c r="R249" s="303" t="s">
        <v>1162</v>
      </c>
      <c r="S249" s="277"/>
      <c r="T249" s="277"/>
      <c r="U249" s="278"/>
      <c r="V249" s="281"/>
      <c r="W249" s="282">
        <f t="shared" si="2"/>
        <v>46135.41667</v>
      </c>
      <c r="X249" s="283"/>
      <c r="Y249" s="283"/>
      <c r="Z249" s="235"/>
      <c r="AA249" s="43"/>
    </row>
    <row r="250" ht="15.75" hidden="1" customHeight="1">
      <c r="A250" s="265" t="s">
        <v>286</v>
      </c>
      <c r="B250" s="266" t="str">
        <f>IFERROR(VLOOKUP(A250&amp;"", STUDENTS!A:B, 2, 0), "")</f>
        <v>THỚI PHI LONG</v>
      </c>
      <c r="C250" s="104" t="s">
        <v>74</v>
      </c>
      <c r="D250" s="104" t="str">
        <f>IFERROR(VLOOKUP(C250, PIC!A:B, 2, 0), "")</f>
        <v>Dung Hoang</v>
      </c>
      <c r="E250" s="105" t="s">
        <v>23</v>
      </c>
      <c r="F250" s="267"/>
      <c r="G250" s="268" t="s">
        <v>1162</v>
      </c>
      <c r="H250" s="268" t="s">
        <v>1162</v>
      </c>
      <c r="I250" s="267" t="s">
        <v>1162</v>
      </c>
      <c r="J250" s="268" t="s">
        <v>1162</v>
      </c>
      <c r="K250" s="267" t="s">
        <v>1162</v>
      </c>
      <c r="L250" s="108" t="s">
        <v>1162</v>
      </c>
      <c r="M250" s="108" t="s">
        <v>1162</v>
      </c>
      <c r="N250" s="284" t="s">
        <v>1162</v>
      </c>
      <c r="O250" s="284" t="s">
        <v>1162</v>
      </c>
      <c r="P250" s="284" t="s">
        <v>1162</v>
      </c>
      <c r="Q250" s="267"/>
      <c r="R250" s="284" t="s">
        <v>1162</v>
      </c>
      <c r="S250" s="267"/>
      <c r="T250" s="267"/>
      <c r="U250" s="268"/>
      <c r="V250" s="271"/>
      <c r="W250" s="272">
        <f t="shared" si="2"/>
        <v>0</v>
      </c>
      <c r="X250" s="273"/>
      <c r="Y250" s="273"/>
      <c r="Z250" s="235"/>
      <c r="AA250" s="43"/>
    </row>
    <row r="251" ht="15.75" hidden="1" customHeight="1">
      <c r="A251" s="275" t="s">
        <v>274</v>
      </c>
      <c r="B251" s="276" t="str">
        <f>IFERROR(VLOOKUP(A251&amp;"", STUDENTS!A:B, 2, 0), "")</f>
        <v>ĐOÀN ANH MINH</v>
      </c>
      <c r="C251" s="122" t="s">
        <v>74</v>
      </c>
      <c r="D251" s="122" t="str">
        <f>IFERROR(VLOOKUP(C251, PIC!A:B, 2, 0), "")</f>
        <v>Dung Hoang</v>
      </c>
      <c r="E251" s="123" t="s">
        <v>26</v>
      </c>
      <c r="F251" s="277">
        <v>45818.375</v>
      </c>
      <c r="G251" s="278">
        <v>45827.375</v>
      </c>
      <c r="H251" s="278">
        <v>45831.375</v>
      </c>
      <c r="I251" s="277">
        <v>45840.45833333334</v>
      </c>
      <c r="J251" s="278">
        <v>45852.45833333334</v>
      </c>
      <c r="K251" s="277">
        <v>45855.45833333334</v>
      </c>
      <c r="L251" s="278">
        <v>45866.45833333334</v>
      </c>
      <c r="M251" s="278">
        <v>45881.625</v>
      </c>
      <c r="N251" s="277">
        <v>45884.58333333334</v>
      </c>
      <c r="O251" s="277">
        <v>45884.625</v>
      </c>
      <c r="P251" s="277">
        <v>45887.41666666666</v>
      </c>
      <c r="Q251" s="277">
        <v>45903.45833333334</v>
      </c>
      <c r="R251" s="277">
        <v>45904.45833333334</v>
      </c>
      <c r="S251" s="277">
        <v>45909.45833333334</v>
      </c>
      <c r="T251" s="277">
        <v>45989.625</v>
      </c>
      <c r="U251" s="278">
        <v>46041.41666666666</v>
      </c>
      <c r="V251" s="281"/>
      <c r="W251" s="282">
        <f t="shared" si="2"/>
        <v>46041.41667</v>
      </c>
      <c r="X251" s="283"/>
      <c r="Y251" s="283"/>
      <c r="Z251" s="235"/>
      <c r="AA251" s="43"/>
    </row>
    <row r="252" ht="15.75" hidden="1" customHeight="1">
      <c r="A252" s="265" t="s">
        <v>276</v>
      </c>
      <c r="B252" s="266" t="str">
        <f>IFERROR(VLOOKUP(A252&amp;"", STUDENTS!A:B, 2, 0), "")</f>
        <v>HOÀNG TIẾN DŨNG</v>
      </c>
      <c r="C252" s="104" t="s">
        <v>74</v>
      </c>
      <c r="D252" s="104" t="str">
        <f>IFERROR(VLOOKUP(C252, PIC!A:B, 2, 0), "")</f>
        <v>Dung Hoang</v>
      </c>
      <c r="E252" s="105" t="s">
        <v>26</v>
      </c>
      <c r="F252" s="267">
        <v>45818.375</v>
      </c>
      <c r="G252" s="268">
        <v>45827.375</v>
      </c>
      <c r="H252" s="268" t="s">
        <v>1162</v>
      </c>
      <c r="I252" s="267">
        <v>45840.45833333334</v>
      </c>
      <c r="J252" s="268">
        <v>45852.45833333334</v>
      </c>
      <c r="K252" s="267">
        <v>45855.45833333334</v>
      </c>
      <c r="L252" s="268">
        <v>45866.45833333334</v>
      </c>
      <c r="M252" s="268">
        <v>45881.625</v>
      </c>
      <c r="N252" s="267">
        <v>45884.58333333334</v>
      </c>
      <c r="O252" s="267">
        <v>45884.625</v>
      </c>
      <c r="P252" s="267">
        <v>45887.41666666666</v>
      </c>
      <c r="Q252" s="267">
        <v>45903.45833333334</v>
      </c>
      <c r="R252" s="267">
        <v>45904.45833333334</v>
      </c>
      <c r="S252" s="267">
        <v>45909.45833333334</v>
      </c>
      <c r="T252" s="267">
        <v>45989.625</v>
      </c>
      <c r="U252" s="268">
        <v>46041.41666666666</v>
      </c>
      <c r="V252" s="271"/>
      <c r="W252" s="272">
        <f t="shared" si="2"/>
        <v>46041.41667</v>
      </c>
      <c r="X252" s="273"/>
      <c r="Y252" s="273"/>
      <c r="Z252" s="235"/>
      <c r="AA252" s="43"/>
    </row>
    <row r="253" ht="15.75" hidden="1" customHeight="1">
      <c r="A253" s="275" t="s">
        <v>278</v>
      </c>
      <c r="B253" s="276" t="str">
        <f>IFERROR(VLOOKUP(A253&amp;"", STUDENTS!A:B, 2, 0), "")</f>
        <v>NGUYỄN HOÀNG PHÚC</v>
      </c>
      <c r="C253" s="122" t="s">
        <v>74</v>
      </c>
      <c r="D253" s="122" t="str">
        <f>IFERROR(VLOOKUP(C253, PIC!A:B, 2, 0), "")</f>
        <v>Dung Hoang</v>
      </c>
      <c r="E253" s="123" t="s">
        <v>26</v>
      </c>
      <c r="F253" s="277">
        <v>45818.375</v>
      </c>
      <c r="G253" s="278">
        <v>45827.375</v>
      </c>
      <c r="H253" s="278" t="s">
        <v>1162</v>
      </c>
      <c r="I253" s="277">
        <v>45840.45833333334</v>
      </c>
      <c r="J253" s="278">
        <v>45852.45833333334</v>
      </c>
      <c r="K253" s="277">
        <v>45855.45833333334</v>
      </c>
      <c r="L253" s="278">
        <v>45866.45833333334</v>
      </c>
      <c r="M253" s="278">
        <v>45881.625</v>
      </c>
      <c r="N253" s="277">
        <v>45884.58333333334</v>
      </c>
      <c r="O253" s="277">
        <v>45884.625</v>
      </c>
      <c r="P253" s="277">
        <v>45887.41666666666</v>
      </c>
      <c r="Q253" s="277">
        <v>45903.45833333334</v>
      </c>
      <c r="R253" s="277">
        <v>45904.45833333334</v>
      </c>
      <c r="S253" s="277">
        <v>45909.45833333334</v>
      </c>
      <c r="T253" s="277">
        <v>45989.625</v>
      </c>
      <c r="U253" s="278">
        <v>46041.41666666666</v>
      </c>
      <c r="V253" s="281"/>
      <c r="W253" s="282">
        <f t="shared" si="2"/>
        <v>46041.41667</v>
      </c>
      <c r="X253" s="283"/>
      <c r="Y253" s="283"/>
      <c r="Z253" s="235"/>
      <c r="AA253" s="43"/>
    </row>
    <row r="254" ht="15.75" hidden="1" customHeight="1">
      <c r="A254" s="265" t="s">
        <v>280</v>
      </c>
      <c r="B254" s="266" t="str">
        <f>IFERROR(VLOOKUP(A254&amp;"", STUDENTS!A:B, 2, 0), "")</f>
        <v>NGUYỄN PHÚC THANH TOÀN</v>
      </c>
      <c r="C254" s="104" t="s">
        <v>74</v>
      </c>
      <c r="D254" s="104" t="str">
        <f>IFERROR(VLOOKUP(C254, PIC!A:B, 2, 0), "")</f>
        <v>Dung Hoang</v>
      </c>
      <c r="E254" s="105" t="s">
        <v>26</v>
      </c>
      <c r="F254" s="267">
        <v>45818.375</v>
      </c>
      <c r="G254" s="268">
        <v>45827.375</v>
      </c>
      <c r="H254" s="268">
        <v>45831.375</v>
      </c>
      <c r="I254" s="267">
        <v>45840.45833333334</v>
      </c>
      <c r="J254" s="268">
        <v>45852.45833333334</v>
      </c>
      <c r="K254" s="267">
        <v>45855.45833333334</v>
      </c>
      <c r="L254" s="268">
        <v>45866.45833333334</v>
      </c>
      <c r="M254" s="268" t="s">
        <v>1162</v>
      </c>
      <c r="N254" s="267">
        <v>45884.58333333334</v>
      </c>
      <c r="O254" s="267">
        <v>45884.625</v>
      </c>
      <c r="P254" s="267">
        <v>45887.41666666666</v>
      </c>
      <c r="Q254" s="267">
        <v>45903.45833333334</v>
      </c>
      <c r="R254" s="267">
        <v>45904.45833333334</v>
      </c>
      <c r="S254" s="267">
        <v>45909.45833333334</v>
      </c>
      <c r="T254" s="267">
        <v>45989.625</v>
      </c>
      <c r="U254" s="268">
        <v>46041.41666666666</v>
      </c>
      <c r="V254" s="271"/>
      <c r="W254" s="272">
        <f t="shared" si="2"/>
        <v>46041.41667</v>
      </c>
      <c r="X254" s="273"/>
      <c r="Y254" s="273"/>
      <c r="Z254" s="235"/>
      <c r="AA254" s="43"/>
    </row>
    <row r="255" ht="15.75" hidden="1" customHeight="1">
      <c r="A255" s="275" t="s">
        <v>282</v>
      </c>
      <c r="B255" s="276" t="str">
        <f>IFERROR(VLOOKUP(A255&amp;"", STUDENTS!A:B, 2, 0), "")</f>
        <v>NGUYỄN QUANG TRUNG</v>
      </c>
      <c r="C255" s="122" t="s">
        <v>74</v>
      </c>
      <c r="D255" s="122" t="str">
        <f>IFERROR(VLOOKUP(C255, PIC!A:B, 2, 0), "")</f>
        <v>Dung Hoang</v>
      </c>
      <c r="E255" s="123" t="s">
        <v>26</v>
      </c>
      <c r="F255" s="277">
        <v>45818.375</v>
      </c>
      <c r="G255" s="278">
        <v>45827.375</v>
      </c>
      <c r="H255" s="278">
        <v>45831.375</v>
      </c>
      <c r="I255" s="277">
        <v>45840.45833333334</v>
      </c>
      <c r="J255" s="278">
        <v>45852.45833333334</v>
      </c>
      <c r="K255" s="277">
        <v>45855.45833333334</v>
      </c>
      <c r="L255" s="278">
        <v>45866.45833333334</v>
      </c>
      <c r="M255" s="278">
        <v>45881.625</v>
      </c>
      <c r="N255" s="277">
        <v>45884.58333333334</v>
      </c>
      <c r="O255" s="277">
        <v>45884.625</v>
      </c>
      <c r="P255" s="277">
        <v>45887.41666666666</v>
      </c>
      <c r="Q255" s="277">
        <v>45903.45833333334</v>
      </c>
      <c r="R255" s="277">
        <v>45904.45833333334</v>
      </c>
      <c r="S255" s="277">
        <v>45909.45833333334</v>
      </c>
      <c r="T255" s="277">
        <v>45989.625</v>
      </c>
      <c r="U255" s="278">
        <v>46041.41666666666</v>
      </c>
      <c r="V255" s="281"/>
      <c r="W255" s="282">
        <f t="shared" si="2"/>
        <v>46041.41667</v>
      </c>
      <c r="X255" s="283"/>
      <c r="Y255" s="283"/>
      <c r="Z255" s="235"/>
      <c r="AA255" s="43"/>
    </row>
    <row r="256" ht="15.75" hidden="1" customHeight="1">
      <c r="A256" s="265" t="s">
        <v>284</v>
      </c>
      <c r="B256" s="266" t="str">
        <f>IFERROR(VLOOKUP(A256&amp;"", STUDENTS!A:B, 2, 0), "")</f>
        <v>NGUYỄN THÀNH PHƯỚC</v>
      </c>
      <c r="C256" s="104" t="s">
        <v>74</v>
      </c>
      <c r="D256" s="104" t="str">
        <f>IFERROR(VLOOKUP(C256, PIC!A:B, 2, 0), "")</f>
        <v>Dung Hoang</v>
      </c>
      <c r="E256" s="105" t="s">
        <v>26</v>
      </c>
      <c r="F256" s="267">
        <v>45818.375</v>
      </c>
      <c r="G256" s="268">
        <v>45827.375</v>
      </c>
      <c r="H256" s="268">
        <v>45831.375</v>
      </c>
      <c r="I256" s="267">
        <v>45840.45833333334</v>
      </c>
      <c r="J256" s="268">
        <v>45852.45833333334</v>
      </c>
      <c r="K256" s="267">
        <v>45855.45833333334</v>
      </c>
      <c r="L256" s="268">
        <v>45866.45833333334</v>
      </c>
      <c r="M256" s="268">
        <v>45881.625</v>
      </c>
      <c r="N256" s="267">
        <v>45884.58333333334</v>
      </c>
      <c r="O256" s="267">
        <v>45884.625</v>
      </c>
      <c r="P256" s="267">
        <v>45887.41666666666</v>
      </c>
      <c r="Q256" s="267">
        <v>45903.45833333334</v>
      </c>
      <c r="R256" s="267">
        <v>45904.45833333334</v>
      </c>
      <c r="S256" s="267" t="s">
        <v>1162</v>
      </c>
      <c r="T256" s="267">
        <v>45989.625</v>
      </c>
      <c r="U256" s="268">
        <v>46041.41666666666</v>
      </c>
      <c r="V256" s="271"/>
      <c r="W256" s="272">
        <f t="shared" si="2"/>
        <v>46041.41667</v>
      </c>
      <c r="X256" s="273"/>
      <c r="Y256" s="273"/>
      <c r="Z256" s="235"/>
      <c r="AA256" s="43"/>
    </row>
    <row r="257" ht="15.75" hidden="1" customHeight="1">
      <c r="A257" s="275" t="s">
        <v>210</v>
      </c>
      <c r="B257" s="276" t="str">
        <f>IFERROR(VLOOKUP(A257&amp;"", STUDENTS!A:B, 2, 0), "")</f>
        <v>ĐỖ GIA KHÁNH</v>
      </c>
      <c r="C257" s="122" t="s">
        <v>75</v>
      </c>
      <c r="D257" s="122" t="str">
        <f>IFERROR(VLOOKUP(C257, PIC!A:B, 2, 0), "")</f>
        <v>Anh To</v>
      </c>
      <c r="E257" s="123" t="s">
        <v>22</v>
      </c>
      <c r="F257" s="277">
        <v>45761.41666666666</v>
      </c>
      <c r="G257" s="278">
        <v>45786.45833333334</v>
      </c>
      <c r="H257" s="278">
        <v>45793.45833333334</v>
      </c>
      <c r="I257" s="277">
        <v>45803.45833333334</v>
      </c>
      <c r="J257" s="278">
        <v>45817.45833333334</v>
      </c>
      <c r="K257" s="277">
        <v>45824.45833333334</v>
      </c>
      <c r="L257" s="278">
        <v>45852.625</v>
      </c>
      <c r="M257" s="278">
        <v>45859.375</v>
      </c>
      <c r="N257" s="277">
        <v>45866.41666666666</v>
      </c>
      <c r="O257" s="277">
        <v>45894.54166666666</v>
      </c>
      <c r="P257" s="277"/>
      <c r="Q257" s="277"/>
      <c r="R257" s="277"/>
      <c r="S257" s="277"/>
      <c r="T257" s="277"/>
      <c r="U257" s="278"/>
      <c r="V257" s="281"/>
      <c r="W257" s="282">
        <f t="shared" si="2"/>
        <v>45894.54167</v>
      </c>
      <c r="X257" s="283"/>
      <c r="Y257" s="283"/>
      <c r="Z257" s="235"/>
      <c r="AA257" s="43"/>
    </row>
    <row r="258" ht="15.75" hidden="1" customHeight="1">
      <c r="A258" s="265" t="s">
        <v>212</v>
      </c>
      <c r="B258" s="266" t="str">
        <f>IFERROR(VLOOKUP(A258&amp;"", STUDENTS!A:B, 2, 0), "")</f>
        <v>LÊ PHƯỚC THIỆN</v>
      </c>
      <c r="C258" s="104" t="s">
        <v>75</v>
      </c>
      <c r="D258" s="104" t="str">
        <f>IFERROR(VLOOKUP(C258, PIC!A:B, 2, 0), "")</f>
        <v>Anh To</v>
      </c>
      <c r="E258" s="105" t="s">
        <v>22</v>
      </c>
      <c r="F258" s="267">
        <v>45761.41666666666</v>
      </c>
      <c r="G258" s="268">
        <v>45786.45833333334</v>
      </c>
      <c r="H258" s="268">
        <v>45793.45833333334</v>
      </c>
      <c r="I258" s="267">
        <v>45803.45833333334</v>
      </c>
      <c r="J258" s="268">
        <v>45817.45833333334</v>
      </c>
      <c r="K258" s="267">
        <v>45824.45833333334</v>
      </c>
      <c r="L258" s="268">
        <v>45852.625</v>
      </c>
      <c r="M258" s="268">
        <v>45859.375</v>
      </c>
      <c r="N258" s="267" t="s">
        <v>1162</v>
      </c>
      <c r="O258" s="267">
        <v>45894.54166666666</v>
      </c>
      <c r="P258" s="267"/>
      <c r="Q258" s="267"/>
      <c r="R258" s="267"/>
      <c r="S258" s="267"/>
      <c r="T258" s="267"/>
      <c r="U258" s="268"/>
      <c r="V258" s="271"/>
      <c r="W258" s="272">
        <f t="shared" si="2"/>
        <v>45894.54167</v>
      </c>
      <c r="X258" s="273"/>
      <c r="Y258" s="273"/>
      <c r="Z258" s="235"/>
      <c r="AA258" s="43"/>
    </row>
    <row r="259" ht="15.75" hidden="1" customHeight="1">
      <c r="A259" s="275" t="s">
        <v>206</v>
      </c>
      <c r="B259" s="276" t="str">
        <f>IFERROR(VLOOKUP(A259&amp;"", STUDENTS!A:B, 2, 0), "")</f>
        <v>NGUYỄN BẢO ĐẠT</v>
      </c>
      <c r="C259" s="122" t="s">
        <v>75</v>
      </c>
      <c r="D259" s="122" t="str">
        <f>IFERROR(VLOOKUP(C259, PIC!A:B, 2, 0), "")</f>
        <v>Anh To</v>
      </c>
      <c r="E259" s="123" t="s">
        <v>22</v>
      </c>
      <c r="F259" s="277">
        <v>45761.41666666666</v>
      </c>
      <c r="G259" s="278">
        <v>45786.45833333334</v>
      </c>
      <c r="H259" s="278">
        <v>45793.45833333334</v>
      </c>
      <c r="I259" s="277">
        <v>45803.45833333334</v>
      </c>
      <c r="J259" s="278">
        <v>45817.45833333334</v>
      </c>
      <c r="K259" s="277">
        <v>45824.45833333334</v>
      </c>
      <c r="L259" s="278">
        <v>45852.625</v>
      </c>
      <c r="M259" s="278">
        <v>45859.375</v>
      </c>
      <c r="N259" s="277">
        <v>45866.41666666666</v>
      </c>
      <c r="O259" s="277">
        <v>45894.54166666666</v>
      </c>
      <c r="P259" s="277"/>
      <c r="Q259" s="277"/>
      <c r="R259" s="277"/>
      <c r="S259" s="277"/>
      <c r="T259" s="277"/>
      <c r="U259" s="278"/>
      <c r="V259" s="281"/>
      <c r="W259" s="282">
        <f t="shared" si="2"/>
        <v>45894.54167</v>
      </c>
      <c r="X259" s="283"/>
      <c r="Y259" s="283"/>
      <c r="Z259" s="235"/>
      <c r="AA259" s="43"/>
    </row>
    <row r="260" ht="15.75" hidden="1" customHeight="1">
      <c r="A260" s="265" t="s">
        <v>214</v>
      </c>
      <c r="B260" s="266" t="str">
        <f>IFERROR(VLOOKUP(A260&amp;"", STUDENTS!A:B, 2, 0), "")</f>
        <v>NGUYỄN NGỌC PHƯƠNG NHI</v>
      </c>
      <c r="C260" s="104" t="s">
        <v>75</v>
      </c>
      <c r="D260" s="104" t="str">
        <f>IFERROR(VLOOKUP(C260, PIC!A:B, 2, 0), "")</f>
        <v>Anh To</v>
      </c>
      <c r="E260" s="105" t="s">
        <v>22</v>
      </c>
      <c r="F260" s="267">
        <v>45761.41666666666</v>
      </c>
      <c r="G260" s="268" t="s">
        <v>1162</v>
      </c>
      <c r="H260" s="268">
        <v>45793.45833333334</v>
      </c>
      <c r="I260" s="267">
        <v>45803.45833333334</v>
      </c>
      <c r="J260" s="268">
        <v>45817.45833333334</v>
      </c>
      <c r="K260" s="267">
        <v>45824.45833333334</v>
      </c>
      <c r="L260" s="268">
        <v>45852.625</v>
      </c>
      <c r="M260" s="268">
        <v>45859.375</v>
      </c>
      <c r="N260" s="267">
        <v>45866.41666666666</v>
      </c>
      <c r="O260" s="267">
        <v>45894.54166666666</v>
      </c>
      <c r="P260" s="267"/>
      <c r="Q260" s="267"/>
      <c r="R260" s="267"/>
      <c r="S260" s="267"/>
      <c r="T260" s="267"/>
      <c r="U260" s="268"/>
      <c r="V260" s="271"/>
      <c r="W260" s="272">
        <f t="shared" si="2"/>
        <v>45894.54167</v>
      </c>
      <c r="X260" s="273"/>
      <c r="Y260" s="273"/>
      <c r="Z260" s="235"/>
      <c r="AA260" s="43"/>
    </row>
    <row r="261" ht="15.75" hidden="1" customHeight="1">
      <c r="A261" s="275" t="s">
        <v>218</v>
      </c>
      <c r="B261" s="276" t="str">
        <f>IFERROR(VLOOKUP(A261&amp;"", STUDENTS!A:B, 2, 0), "")</f>
        <v>THÁI NHẬT TÂN</v>
      </c>
      <c r="C261" s="122" t="s">
        <v>75</v>
      </c>
      <c r="D261" s="122" t="str">
        <f>IFERROR(VLOOKUP(C261, PIC!A:B, 2, 0), "")</f>
        <v>Anh To</v>
      </c>
      <c r="E261" s="123" t="s">
        <v>22</v>
      </c>
      <c r="F261" s="277">
        <v>45761.41666666666</v>
      </c>
      <c r="G261" s="278">
        <v>45786.45833333334</v>
      </c>
      <c r="H261" s="278">
        <v>45793.45833333334</v>
      </c>
      <c r="I261" s="277" t="s">
        <v>1162</v>
      </c>
      <c r="J261" s="278">
        <v>45817.45833333334</v>
      </c>
      <c r="K261" s="277">
        <v>45824.45833333334</v>
      </c>
      <c r="L261" s="278">
        <v>45852.625</v>
      </c>
      <c r="M261" s="278">
        <v>45859.375</v>
      </c>
      <c r="N261" s="277" t="s">
        <v>1162</v>
      </c>
      <c r="O261" s="277">
        <v>45894.54166666666</v>
      </c>
      <c r="P261" s="277"/>
      <c r="Q261" s="277"/>
      <c r="R261" s="277"/>
      <c r="S261" s="277"/>
      <c r="T261" s="277"/>
      <c r="U261" s="278"/>
      <c r="V261" s="281"/>
      <c r="W261" s="282">
        <f t="shared" si="2"/>
        <v>45894.54167</v>
      </c>
      <c r="X261" s="283"/>
      <c r="Y261" s="283"/>
      <c r="Z261" s="235"/>
      <c r="AA261" s="43"/>
    </row>
    <row r="262" ht="15.75" hidden="1" customHeight="1">
      <c r="A262" s="265" t="s">
        <v>216</v>
      </c>
      <c r="B262" s="266" t="str">
        <f>IFERROR(VLOOKUP(A262&amp;"", STUDENTS!A:B, 2, 0), "")</f>
        <v>TÔ DIỆP THIÊN ANH</v>
      </c>
      <c r="C262" s="104" t="s">
        <v>75</v>
      </c>
      <c r="D262" s="104" t="str">
        <f>IFERROR(VLOOKUP(C262, PIC!A:B, 2, 0), "")</f>
        <v>Anh To</v>
      </c>
      <c r="E262" s="105" t="s">
        <v>22</v>
      </c>
      <c r="F262" s="267">
        <v>45761.41666666666</v>
      </c>
      <c r="G262" s="268">
        <v>45786.45833333334</v>
      </c>
      <c r="H262" s="268" t="s">
        <v>1162</v>
      </c>
      <c r="I262" s="267">
        <v>45803.45833333334</v>
      </c>
      <c r="J262" s="268">
        <v>45817.45833333334</v>
      </c>
      <c r="K262" s="267">
        <v>45824.45833333334</v>
      </c>
      <c r="L262" s="268">
        <v>45852.625</v>
      </c>
      <c r="M262" s="268">
        <v>45859.375</v>
      </c>
      <c r="N262" s="267">
        <v>45866.41666666666</v>
      </c>
      <c r="O262" s="267">
        <v>45894.54166666666</v>
      </c>
      <c r="P262" s="267"/>
      <c r="Q262" s="267"/>
      <c r="R262" s="267"/>
      <c r="S262" s="267"/>
      <c r="T262" s="267"/>
      <c r="U262" s="268"/>
      <c r="V262" s="271"/>
      <c r="W262" s="272">
        <f t="shared" si="2"/>
        <v>45894.54167</v>
      </c>
      <c r="X262" s="273"/>
      <c r="Y262" s="273"/>
      <c r="Z262" s="235"/>
      <c r="AA262" s="43"/>
    </row>
    <row r="263" ht="15.75" hidden="1" customHeight="1">
      <c r="A263" s="275" t="s">
        <v>210</v>
      </c>
      <c r="B263" s="276" t="str">
        <f>IFERROR(VLOOKUP(A263&amp;"", STUDENTS!A:B, 2, 0), "")</f>
        <v>ĐỖ GIA KHÁNH</v>
      </c>
      <c r="C263" s="122" t="s">
        <v>75</v>
      </c>
      <c r="D263" s="122" t="str">
        <f>IFERROR(VLOOKUP(C263, PIC!A:B, 2, 0), "")</f>
        <v>Anh To</v>
      </c>
      <c r="E263" s="123" t="s">
        <v>23</v>
      </c>
      <c r="F263" s="277">
        <v>45922.41666666666</v>
      </c>
      <c r="G263" s="278">
        <v>45926.54166666666</v>
      </c>
      <c r="H263" s="278">
        <v>45929.41666666666</v>
      </c>
      <c r="I263" s="277"/>
      <c r="J263" s="278">
        <v>45947.41666666666</v>
      </c>
      <c r="K263" s="277">
        <v>45950.41666666666</v>
      </c>
      <c r="L263" s="278">
        <v>45971.625</v>
      </c>
      <c r="M263" s="278">
        <v>45980.625</v>
      </c>
      <c r="N263" s="277">
        <v>46008.625</v>
      </c>
      <c r="O263" s="277">
        <v>46017.625</v>
      </c>
      <c r="P263" s="277">
        <v>46041.625</v>
      </c>
      <c r="Q263" s="277">
        <v>46048.54166666666</v>
      </c>
      <c r="R263" s="277">
        <v>46086.41666666666</v>
      </c>
      <c r="S263" s="277">
        <v>46087.41666666666</v>
      </c>
      <c r="T263" s="277">
        <v>46094.41666666666</v>
      </c>
      <c r="U263" s="279">
        <v>46136.416666666664</v>
      </c>
      <c r="V263" s="311"/>
      <c r="W263" s="282">
        <f t="shared" si="2"/>
        <v>46136.41667</v>
      </c>
      <c r="X263" s="283"/>
      <c r="Y263" s="283"/>
      <c r="Z263" s="235"/>
      <c r="AA263" s="43"/>
    </row>
    <row r="264" ht="15.75" hidden="1" customHeight="1">
      <c r="A264" s="265" t="s">
        <v>212</v>
      </c>
      <c r="B264" s="266" t="str">
        <f>IFERROR(VLOOKUP(A264&amp;"", STUDENTS!A:B, 2, 0), "")</f>
        <v>LÊ PHƯỚC THIỆN</v>
      </c>
      <c r="C264" s="104" t="s">
        <v>75</v>
      </c>
      <c r="D264" s="104" t="str">
        <f>IFERROR(VLOOKUP(C264, PIC!A:B, 2, 0), "")</f>
        <v>Anh To</v>
      </c>
      <c r="E264" s="105" t="s">
        <v>23</v>
      </c>
      <c r="F264" s="267">
        <v>45922.41666666666</v>
      </c>
      <c r="G264" s="268">
        <v>45926.54166666666</v>
      </c>
      <c r="H264" s="268">
        <v>45929.41666666666</v>
      </c>
      <c r="I264" s="267"/>
      <c r="J264" s="268" t="s">
        <v>1162</v>
      </c>
      <c r="K264" s="267">
        <v>45950.41666666666</v>
      </c>
      <c r="L264" s="268">
        <v>45971.625</v>
      </c>
      <c r="M264" s="268">
        <v>45980.625</v>
      </c>
      <c r="N264" s="267">
        <v>46008.625</v>
      </c>
      <c r="O264" s="267" t="s">
        <v>1162</v>
      </c>
      <c r="P264" s="267">
        <v>46041.625</v>
      </c>
      <c r="Q264" s="267">
        <v>46048.54166666666</v>
      </c>
      <c r="R264" s="267">
        <v>46086.41666666666</v>
      </c>
      <c r="S264" s="267" t="s">
        <v>1162</v>
      </c>
      <c r="T264" s="267" t="s">
        <v>1162</v>
      </c>
      <c r="U264" s="269">
        <v>46136.416666666664</v>
      </c>
      <c r="V264" s="312"/>
      <c r="W264" s="272">
        <f t="shared" si="2"/>
        <v>46136.41667</v>
      </c>
      <c r="X264" s="273"/>
      <c r="Y264" s="273"/>
      <c r="Z264" s="235"/>
      <c r="AA264" s="43"/>
    </row>
    <row r="265" ht="15.75" hidden="1" customHeight="1">
      <c r="A265" s="275" t="s">
        <v>206</v>
      </c>
      <c r="B265" s="276" t="str">
        <f>IFERROR(VLOOKUP(A265&amp;"", STUDENTS!A:B, 2, 0), "")</f>
        <v>NGUYỄN BẢO ĐẠT</v>
      </c>
      <c r="C265" s="122" t="s">
        <v>75</v>
      </c>
      <c r="D265" s="122" t="str">
        <f>IFERROR(VLOOKUP(C265, PIC!A:B, 2, 0), "")</f>
        <v>Anh To</v>
      </c>
      <c r="E265" s="123" t="s">
        <v>23</v>
      </c>
      <c r="F265" s="277">
        <v>45922.41666666666</v>
      </c>
      <c r="G265" s="278">
        <v>45926.54166666666</v>
      </c>
      <c r="H265" s="278" t="s">
        <v>1162</v>
      </c>
      <c r="I265" s="277"/>
      <c r="J265" s="278">
        <v>45947.41666666666</v>
      </c>
      <c r="K265" s="277">
        <v>45950.41666666666</v>
      </c>
      <c r="L265" s="278">
        <v>45971.625</v>
      </c>
      <c r="M265" s="278">
        <v>45980.625</v>
      </c>
      <c r="N265" s="277" t="s">
        <v>1162</v>
      </c>
      <c r="O265" s="277">
        <v>46017.625</v>
      </c>
      <c r="P265" s="277">
        <v>46041.625</v>
      </c>
      <c r="Q265" s="277">
        <v>46048.54166666666</v>
      </c>
      <c r="R265" s="277">
        <v>46086.41666666666</v>
      </c>
      <c r="S265" s="277">
        <v>46087.41666666666</v>
      </c>
      <c r="T265" s="277">
        <v>46094.41666666666</v>
      </c>
      <c r="U265" s="279">
        <v>46136.416666666664</v>
      </c>
      <c r="V265" s="311"/>
      <c r="W265" s="282">
        <f t="shared" si="2"/>
        <v>46136.41667</v>
      </c>
      <c r="X265" s="283"/>
      <c r="Y265" s="283"/>
      <c r="Z265" s="235"/>
      <c r="AA265" s="43"/>
    </row>
    <row r="266" ht="15.75" hidden="1" customHeight="1">
      <c r="A266" s="265" t="s">
        <v>214</v>
      </c>
      <c r="B266" s="266" t="str">
        <f>IFERROR(VLOOKUP(A266&amp;"", STUDENTS!A:B, 2, 0), "")</f>
        <v>NGUYỄN NGỌC PHƯƠNG NHI</v>
      </c>
      <c r="C266" s="104" t="s">
        <v>75</v>
      </c>
      <c r="D266" s="104" t="str">
        <f>IFERROR(VLOOKUP(C266, PIC!A:B, 2, 0), "")</f>
        <v>Anh To</v>
      </c>
      <c r="E266" s="105" t="s">
        <v>23</v>
      </c>
      <c r="F266" s="267">
        <v>45922.41666666666</v>
      </c>
      <c r="G266" s="268">
        <v>45926.54166666666</v>
      </c>
      <c r="H266" s="268">
        <v>45929.41666666666</v>
      </c>
      <c r="I266" s="267"/>
      <c r="J266" s="268">
        <v>45947.41666666666</v>
      </c>
      <c r="K266" s="267">
        <v>45950.41666666666</v>
      </c>
      <c r="L266" s="268">
        <v>45971.625</v>
      </c>
      <c r="M266" s="268">
        <v>45980.625</v>
      </c>
      <c r="N266" s="267">
        <v>46008.625</v>
      </c>
      <c r="O266" s="267" t="s">
        <v>1162</v>
      </c>
      <c r="P266" s="267">
        <v>46041.625</v>
      </c>
      <c r="Q266" s="267">
        <v>46048.54166666666</v>
      </c>
      <c r="R266" s="267">
        <v>46086.41666666666</v>
      </c>
      <c r="S266" s="267">
        <v>46087.41666666666</v>
      </c>
      <c r="T266" s="267">
        <v>46094.41666666666</v>
      </c>
      <c r="U266" s="269">
        <v>46136.416666666664</v>
      </c>
      <c r="V266" s="312"/>
      <c r="W266" s="272">
        <f t="shared" si="2"/>
        <v>46136.41667</v>
      </c>
      <c r="X266" s="273"/>
      <c r="Y266" s="273"/>
      <c r="Z266" s="235"/>
      <c r="AA266" s="43"/>
    </row>
    <row r="267" ht="15.75" hidden="1" customHeight="1">
      <c r="A267" s="275" t="s">
        <v>216</v>
      </c>
      <c r="B267" s="276" t="str">
        <f>IFERROR(VLOOKUP(A267&amp;"", STUDENTS!A:B, 2, 0), "")</f>
        <v>TÔ DIỆP THIÊN ANH</v>
      </c>
      <c r="C267" s="122" t="s">
        <v>75</v>
      </c>
      <c r="D267" s="122" t="str">
        <f>IFERROR(VLOOKUP(C267, PIC!A:B, 2, 0), "")</f>
        <v>Anh To</v>
      </c>
      <c r="E267" s="123" t="s">
        <v>23</v>
      </c>
      <c r="F267" s="277">
        <v>45922.41666666666</v>
      </c>
      <c r="G267" s="278">
        <v>45926.54166666666</v>
      </c>
      <c r="H267" s="278">
        <v>45929.41666666666</v>
      </c>
      <c r="I267" s="277"/>
      <c r="J267" s="278">
        <v>45947.41666666666</v>
      </c>
      <c r="K267" s="277" t="s">
        <v>1162</v>
      </c>
      <c r="L267" s="278">
        <v>45971.625</v>
      </c>
      <c r="M267" s="278">
        <v>45980.625</v>
      </c>
      <c r="N267" s="277">
        <v>46008.625</v>
      </c>
      <c r="O267" s="277">
        <v>46017.625</v>
      </c>
      <c r="P267" s="277">
        <v>46041.625</v>
      </c>
      <c r="Q267" s="277">
        <v>46048.54166666666</v>
      </c>
      <c r="R267" s="277">
        <v>46086.41666666666</v>
      </c>
      <c r="S267" s="277">
        <v>46087.41666666666</v>
      </c>
      <c r="T267" s="277">
        <v>46094.41666666666</v>
      </c>
      <c r="U267" s="279">
        <v>46136.416666666664</v>
      </c>
      <c r="V267" s="311"/>
      <c r="W267" s="282">
        <f t="shared" si="2"/>
        <v>46136.41667</v>
      </c>
      <c r="X267" s="283"/>
      <c r="Y267" s="283"/>
      <c r="Z267" s="235"/>
      <c r="AA267" s="43"/>
    </row>
    <row r="268" ht="15.75" hidden="1" customHeight="1">
      <c r="A268" s="265" t="s">
        <v>419</v>
      </c>
      <c r="B268" s="266" t="str">
        <f>IFERROR(VLOOKUP(A268&amp;"", STUDENTS!A:B, 2, 0), "")</f>
        <v>HỒ HUỲNH THÔNG</v>
      </c>
      <c r="C268" s="104" t="s">
        <v>76</v>
      </c>
      <c r="D268" s="104" t="str">
        <f>IFERROR(VLOOKUP(C268, PIC!A:B, 2, 0), "")</f>
        <v>My Tran</v>
      </c>
      <c r="E268" s="105" t="s">
        <v>22</v>
      </c>
      <c r="F268" s="267">
        <v>45763.54166666666</v>
      </c>
      <c r="G268" s="268">
        <v>45769.54166666666</v>
      </c>
      <c r="H268" s="268">
        <v>45786.41666666666</v>
      </c>
      <c r="I268" s="267">
        <v>45804.54166666666</v>
      </c>
      <c r="J268" s="268">
        <v>45811.58333333334</v>
      </c>
      <c r="K268" s="267">
        <v>45818.58333333334</v>
      </c>
      <c r="L268" s="268">
        <v>45825.58333333334</v>
      </c>
      <c r="M268" s="268">
        <v>45832.58333333334</v>
      </c>
      <c r="N268" s="267">
        <v>45846.58333333334</v>
      </c>
      <c r="O268" s="267">
        <v>45868.375</v>
      </c>
      <c r="P268" s="267"/>
      <c r="Q268" s="267"/>
      <c r="R268" s="267"/>
      <c r="S268" s="267"/>
      <c r="T268" s="267"/>
      <c r="U268" s="268"/>
      <c r="V268" s="271"/>
      <c r="W268" s="272">
        <f t="shared" si="2"/>
        <v>45868.375</v>
      </c>
      <c r="X268" s="273"/>
      <c r="Y268" s="273"/>
      <c r="Z268" s="235"/>
      <c r="AA268" s="43"/>
    </row>
    <row r="269" ht="15.75" hidden="1" customHeight="1">
      <c r="A269" s="275" t="s">
        <v>322</v>
      </c>
      <c r="B269" s="276" t="str">
        <f>IFERROR(VLOOKUP(A269&amp;"", STUDENTS!A:B, 2, 0), "")</f>
        <v>NGUYỄN TẤN HUY</v>
      </c>
      <c r="C269" s="122" t="s">
        <v>76</v>
      </c>
      <c r="D269" s="122" t="str">
        <f>IFERROR(VLOOKUP(C269, PIC!A:B, 2, 0), "")</f>
        <v>My Tran</v>
      </c>
      <c r="E269" s="123" t="s">
        <v>22</v>
      </c>
      <c r="F269" s="277">
        <v>45763.54166666666</v>
      </c>
      <c r="G269" s="278">
        <v>45769.54166666666</v>
      </c>
      <c r="H269" s="278">
        <v>45786.41666666666</v>
      </c>
      <c r="I269" s="277">
        <v>45804.54166666666</v>
      </c>
      <c r="J269" s="278">
        <v>45811.58333333334</v>
      </c>
      <c r="K269" s="277">
        <v>45818.58333333334</v>
      </c>
      <c r="L269" s="278">
        <v>45825.58333333334</v>
      </c>
      <c r="M269" s="278">
        <v>45832.58333333334</v>
      </c>
      <c r="N269" s="277">
        <v>45846.58333333334</v>
      </c>
      <c r="O269" s="277">
        <v>45868.375</v>
      </c>
      <c r="P269" s="277"/>
      <c r="Q269" s="277"/>
      <c r="R269" s="277"/>
      <c r="S269" s="277"/>
      <c r="T269" s="277"/>
      <c r="U269" s="278"/>
      <c r="V269" s="281"/>
      <c r="W269" s="282">
        <f t="shared" si="2"/>
        <v>45868.375</v>
      </c>
      <c r="X269" s="283"/>
      <c r="Y269" s="283"/>
      <c r="Z269" s="235"/>
      <c r="AA269" s="43"/>
    </row>
    <row r="270" ht="15.75" hidden="1" customHeight="1">
      <c r="A270" s="265" t="s">
        <v>425</v>
      </c>
      <c r="B270" s="266" t="str">
        <f>IFERROR(VLOOKUP(A270&amp;"", STUDENTS!A:B, 2, 0), "")</f>
        <v>PHẠM ĐỨC ÁO</v>
      </c>
      <c r="C270" s="104" t="s">
        <v>76</v>
      </c>
      <c r="D270" s="104" t="str">
        <f>IFERROR(VLOOKUP(C270, PIC!A:B, 2, 0), "")</f>
        <v>My Tran</v>
      </c>
      <c r="E270" s="105" t="s">
        <v>22</v>
      </c>
      <c r="F270" s="267">
        <v>45763.54166666666</v>
      </c>
      <c r="G270" s="268">
        <v>45769.54166666666</v>
      </c>
      <c r="H270" s="268">
        <v>45786.41666666666</v>
      </c>
      <c r="I270" s="267">
        <v>45804.54166666666</v>
      </c>
      <c r="J270" s="268">
        <v>45811.58333333334</v>
      </c>
      <c r="K270" s="267">
        <v>45818.58333333334</v>
      </c>
      <c r="L270" s="268">
        <v>45825.58333333334</v>
      </c>
      <c r="M270" s="268">
        <v>45832.58333333334</v>
      </c>
      <c r="N270" s="267">
        <v>45846.58333333334</v>
      </c>
      <c r="O270" s="267">
        <v>45868.375</v>
      </c>
      <c r="P270" s="267"/>
      <c r="Q270" s="267"/>
      <c r="R270" s="267"/>
      <c r="S270" s="267"/>
      <c r="T270" s="267"/>
      <c r="U270" s="268"/>
      <c r="V270" s="271"/>
      <c r="W270" s="272">
        <f t="shared" si="2"/>
        <v>45868.375</v>
      </c>
      <c r="X270" s="273"/>
      <c r="Y270" s="273"/>
      <c r="Z270" s="235"/>
      <c r="AA270" s="43"/>
    </row>
    <row r="271" ht="15.75" hidden="1" customHeight="1">
      <c r="A271" s="275" t="s">
        <v>427</v>
      </c>
      <c r="B271" s="276" t="str">
        <f>IFERROR(VLOOKUP(A271&amp;"", STUDENTS!A:B, 2, 0), "")</f>
        <v>TÔ PHƯỚC THÁI</v>
      </c>
      <c r="C271" s="122" t="s">
        <v>76</v>
      </c>
      <c r="D271" s="122" t="str">
        <f>IFERROR(VLOOKUP(C271, PIC!A:B, 2, 0), "")</f>
        <v>My Tran</v>
      </c>
      <c r="E271" s="123" t="s">
        <v>22</v>
      </c>
      <c r="F271" s="277">
        <v>45763.54166666666</v>
      </c>
      <c r="G271" s="278">
        <v>45769.54166666666</v>
      </c>
      <c r="H271" s="278" t="s">
        <v>1162</v>
      </c>
      <c r="I271" s="277">
        <v>45804.54166666666</v>
      </c>
      <c r="J271" s="278">
        <v>45811.58333333334</v>
      </c>
      <c r="K271" s="277">
        <v>45818.58333333334</v>
      </c>
      <c r="L271" s="278">
        <v>45825.58333333334</v>
      </c>
      <c r="M271" s="278">
        <v>45832.58333333334</v>
      </c>
      <c r="N271" s="277" t="s">
        <v>1162</v>
      </c>
      <c r="O271" s="277">
        <v>45868.375</v>
      </c>
      <c r="P271" s="277"/>
      <c r="Q271" s="277"/>
      <c r="R271" s="277"/>
      <c r="S271" s="277"/>
      <c r="T271" s="277"/>
      <c r="U271" s="278"/>
      <c r="V271" s="281"/>
      <c r="W271" s="282">
        <f t="shared" si="2"/>
        <v>45868.375</v>
      </c>
      <c r="X271" s="287"/>
      <c r="Y271" s="287"/>
      <c r="Z271" s="287"/>
      <c r="AA271" s="288"/>
    </row>
    <row r="272" ht="15.75" hidden="1" customHeight="1">
      <c r="A272" s="265" t="s">
        <v>429</v>
      </c>
      <c r="B272" s="266" t="str">
        <f>IFERROR(VLOOKUP(A272&amp;"", STUDENTS!A:B, 2, 0), "")</f>
        <v>TRẦN HƯƠNG QUỲNH</v>
      </c>
      <c r="C272" s="104" t="s">
        <v>76</v>
      </c>
      <c r="D272" s="104" t="str">
        <f>IFERROR(VLOOKUP(C272, PIC!A:B, 2, 0), "")</f>
        <v>My Tran</v>
      </c>
      <c r="E272" s="105" t="s">
        <v>22</v>
      </c>
      <c r="F272" s="267">
        <v>45763.54166666666</v>
      </c>
      <c r="G272" s="268">
        <v>45769.54166666666</v>
      </c>
      <c r="H272" s="268">
        <v>45786.41666666666</v>
      </c>
      <c r="I272" s="267">
        <v>45804.54166666666</v>
      </c>
      <c r="J272" s="268">
        <v>45811.58333333334</v>
      </c>
      <c r="K272" s="267">
        <v>45818.58333333334</v>
      </c>
      <c r="L272" s="268">
        <v>45825.58333333334</v>
      </c>
      <c r="M272" s="268" t="s">
        <v>1162</v>
      </c>
      <c r="N272" s="267">
        <v>45846.58333333334</v>
      </c>
      <c r="O272" s="267">
        <v>45868.375</v>
      </c>
      <c r="P272" s="267"/>
      <c r="Q272" s="267"/>
      <c r="R272" s="267"/>
      <c r="S272" s="267"/>
      <c r="T272" s="267"/>
      <c r="U272" s="268"/>
      <c r="V272" s="271"/>
      <c r="W272" s="272">
        <f t="shared" si="2"/>
        <v>45868.375</v>
      </c>
      <c r="X272" s="287"/>
      <c r="Y272" s="287"/>
      <c r="Z272" s="287"/>
      <c r="AA272" s="288"/>
    </row>
    <row r="273" ht="15.75" hidden="1" customHeight="1">
      <c r="A273" s="275" t="s">
        <v>431</v>
      </c>
      <c r="B273" s="276" t="str">
        <f>IFERROR(VLOOKUP(A273&amp;"", STUDENTS!A:B, 2, 0), "")</f>
        <v>TRẦN THỊ HOÀN MỸ</v>
      </c>
      <c r="C273" s="122" t="s">
        <v>76</v>
      </c>
      <c r="D273" s="122" t="str">
        <f>IFERROR(VLOOKUP(C273, PIC!A:B, 2, 0), "")</f>
        <v>My Tran</v>
      </c>
      <c r="E273" s="123" t="s">
        <v>22</v>
      </c>
      <c r="F273" s="277">
        <v>45763.54166666666</v>
      </c>
      <c r="G273" s="278">
        <v>45769.54166666666</v>
      </c>
      <c r="H273" s="278">
        <v>45786.41666666666</v>
      </c>
      <c r="I273" s="277">
        <v>45804.54166666666</v>
      </c>
      <c r="J273" s="278">
        <v>45811.58333333334</v>
      </c>
      <c r="K273" s="277">
        <v>45818.58333333334</v>
      </c>
      <c r="L273" s="278">
        <v>45825.58333333334</v>
      </c>
      <c r="M273" s="278">
        <v>45832.58333333334</v>
      </c>
      <c r="N273" s="277">
        <v>45846.58333333334</v>
      </c>
      <c r="O273" s="277">
        <v>45868.375</v>
      </c>
      <c r="P273" s="277"/>
      <c r="Q273" s="277"/>
      <c r="R273" s="277"/>
      <c r="S273" s="277"/>
      <c r="T273" s="277"/>
      <c r="U273" s="278"/>
      <c r="V273" s="281"/>
      <c r="W273" s="282">
        <f t="shared" si="2"/>
        <v>45868.375</v>
      </c>
      <c r="X273" s="287"/>
      <c r="Y273" s="287"/>
      <c r="Z273" s="287"/>
      <c r="AA273" s="288"/>
    </row>
    <row r="274" ht="15.75" hidden="1" customHeight="1">
      <c r="A274" s="265" t="s">
        <v>326</v>
      </c>
      <c r="B274" s="266" t="str">
        <f>IFERROR(VLOOKUP(A274&amp;"", STUDENTS!A:B, 2, 0), "")</f>
        <v>TỪ NGUYỄN MINH NHẬT</v>
      </c>
      <c r="C274" s="104" t="s">
        <v>76</v>
      </c>
      <c r="D274" s="104" t="str">
        <f>IFERROR(VLOOKUP(C274, PIC!A:B, 2, 0), "")</f>
        <v>My Tran</v>
      </c>
      <c r="E274" s="105" t="s">
        <v>22</v>
      </c>
      <c r="F274" s="267">
        <v>45763.54166666666</v>
      </c>
      <c r="G274" s="268">
        <v>45769.54166666666</v>
      </c>
      <c r="H274" s="268">
        <v>45786.41666666666</v>
      </c>
      <c r="I274" s="267">
        <v>45804.54166666666</v>
      </c>
      <c r="J274" s="268">
        <v>45811.58333333334</v>
      </c>
      <c r="K274" s="267">
        <v>45818.58333333334</v>
      </c>
      <c r="L274" s="268">
        <v>45825.58333333334</v>
      </c>
      <c r="M274" s="268">
        <v>45832.58333333334</v>
      </c>
      <c r="N274" s="267">
        <v>45846.58333333334</v>
      </c>
      <c r="O274" s="267">
        <v>45868.375</v>
      </c>
      <c r="P274" s="267"/>
      <c r="Q274" s="267"/>
      <c r="R274" s="267"/>
      <c r="S274" s="267"/>
      <c r="T274" s="267"/>
      <c r="U274" s="268"/>
      <c r="V274" s="271"/>
      <c r="W274" s="272">
        <f t="shared" si="2"/>
        <v>45868.375</v>
      </c>
      <c r="X274" s="273"/>
      <c r="Y274" s="273"/>
      <c r="Z274" s="235"/>
      <c r="AA274" s="43"/>
    </row>
    <row r="275" ht="15.75" hidden="1" customHeight="1">
      <c r="A275" s="275" t="s">
        <v>329</v>
      </c>
      <c r="B275" s="276" t="str">
        <f>IFERROR(VLOOKUP(A275&amp;"", STUDENTS!A:B, 2, 0), "")</f>
        <v>VÕ THỊ TUYẾT HỒNG</v>
      </c>
      <c r="C275" s="122" t="s">
        <v>76</v>
      </c>
      <c r="D275" s="122" t="str">
        <f>IFERROR(VLOOKUP(C275, PIC!A:B, 2, 0), "")</f>
        <v>My Tran</v>
      </c>
      <c r="E275" s="123" t="s">
        <v>22</v>
      </c>
      <c r="F275" s="277">
        <v>45763.54166666666</v>
      </c>
      <c r="G275" s="278">
        <v>45769.54166666666</v>
      </c>
      <c r="H275" s="278">
        <v>45786.41666666666</v>
      </c>
      <c r="I275" s="277">
        <v>45804.54166666666</v>
      </c>
      <c r="J275" s="278">
        <v>45811.58333333334</v>
      </c>
      <c r="K275" s="277">
        <v>45818.58333333334</v>
      </c>
      <c r="L275" s="278">
        <v>45825.58333333334</v>
      </c>
      <c r="M275" s="278">
        <v>45832.58333333334</v>
      </c>
      <c r="N275" s="277">
        <v>45846.58333333334</v>
      </c>
      <c r="O275" s="277">
        <v>45868.375</v>
      </c>
      <c r="P275" s="277"/>
      <c r="Q275" s="277"/>
      <c r="R275" s="277"/>
      <c r="S275" s="277"/>
      <c r="T275" s="277"/>
      <c r="U275" s="278"/>
      <c r="V275" s="281"/>
      <c r="W275" s="282">
        <f t="shared" si="2"/>
        <v>45868.375</v>
      </c>
      <c r="X275" s="283"/>
      <c r="Y275" s="283"/>
      <c r="Z275" s="235"/>
      <c r="AA275" s="43"/>
    </row>
    <row r="276" ht="15.75" hidden="1" customHeight="1">
      <c r="A276" s="289" t="s">
        <v>419</v>
      </c>
      <c r="B276" s="290" t="str">
        <f>IFERROR(VLOOKUP(A276&amp;"", STUDENTS!A:B, 2, 0), "")</f>
        <v>HỒ HUỲNH THÔNG</v>
      </c>
      <c r="C276" s="291" t="s">
        <v>76</v>
      </c>
      <c r="D276" s="291" t="str">
        <f>IFERROR(VLOOKUP(C276, PIC!A:B, 2, 0), "")</f>
        <v>My Tran</v>
      </c>
      <c r="E276" s="292" t="s">
        <v>23</v>
      </c>
      <c r="F276" s="293">
        <v>45895.58333333334</v>
      </c>
      <c r="G276" s="294">
        <v>45895.58333333334</v>
      </c>
      <c r="H276" s="294" t="s">
        <v>1162</v>
      </c>
      <c r="I276" s="293">
        <v>45953.625</v>
      </c>
      <c r="J276" s="294" t="s">
        <v>1162</v>
      </c>
      <c r="K276" s="293">
        <v>45964.625</v>
      </c>
      <c r="L276" s="294" t="s">
        <v>1162</v>
      </c>
      <c r="M276" s="294">
        <v>45993.58333333334</v>
      </c>
      <c r="N276" s="293">
        <v>46000.58333333334</v>
      </c>
      <c r="O276" s="293">
        <v>46007.58333333334</v>
      </c>
      <c r="P276" s="293">
        <v>46013.58333333334</v>
      </c>
      <c r="Q276" s="293"/>
      <c r="R276" s="293"/>
      <c r="S276" s="293"/>
      <c r="T276" s="293"/>
      <c r="U276" s="294"/>
      <c r="V276" s="295"/>
      <c r="W276" s="296">
        <f t="shared" si="2"/>
        <v>46013.58333</v>
      </c>
      <c r="X276" s="287"/>
      <c r="Y276" s="287"/>
      <c r="Z276" s="287"/>
      <c r="AA276" s="288"/>
    </row>
    <row r="277" ht="15.75" hidden="1" customHeight="1">
      <c r="A277" s="289" t="s">
        <v>421</v>
      </c>
      <c r="B277" s="290" t="str">
        <f>IFERROR(VLOOKUP(A277&amp;"", STUDENTS!A:B, 2, 0), "")</f>
        <v>HUỲNH BỬU BỬU</v>
      </c>
      <c r="C277" s="291" t="s">
        <v>76</v>
      </c>
      <c r="D277" s="291" t="str">
        <f>IFERROR(VLOOKUP(C277, PIC!A:B, 2, 0), "")</f>
        <v>My Tran</v>
      </c>
      <c r="E277" s="292" t="s">
        <v>23</v>
      </c>
      <c r="F277" s="293">
        <v>45895.58333333334</v>
      </c>
      <c r="G277" s="294" t="s">
        <v>1162</v>
      </c>
      <c r="H277" s="294" t="s">
        <v>1162</v>
      </c>
      <c r="I277" s="293">
        <v>45923.625</v>
      </c>
      <c r="J277" s="294">
        <v>45930.625</v>
      </c>
      <c r="K277" s="293">
        <v>45964.625</v>
      </c>
      <c r="L277" s="294">
        <v>45979.625</v>
      </c>
      <c r="M277" s="294">
        <v>45993.58333333334</v>
      </c>
      <c r="N277" s="293">
        <v>46000.58333333334</v>
      </c>
      <c r="O277" s="293">
        <v>46007.58333333334</v>
      </c>
      <c r="P277" s="293">
        <v>46013.58333333334</v>
      </c>
      <c r="Q277" s="293"/>
      <c r="R277" s="293"/>
      <c r="S277" s="293"/>
      <c r="T277" s="293"/>
      <c r="U277" s="294"/>
      <c r="V277" s="295"/>
      <c r="W277" s="296">
        <f t="shared" si="2"/>
        <v>46013.58333</v>
      </c>
      <c r="X277" s="283"/>
      <c r="Y277" s="283"/>
      <c r="Z277" s="235"/>
      <c r="AA277" s="43"/>
    </row>
    <row r="278" ht="15.75" hidden="1" customHeight="1">
      <c r="A278" s="289" t="s">
        <v>423</v>
      </c>
      <c r="B278" s="290" t="str">
        <f>IFERROR(VLOOKUP(A278&amp;"", STUDENTS!A:B, 2, 0), "")</f>
        <v>NGUYỄN LÊ KHOA</v>
      </c>
      <c r="C278" s="291" t="s">
        <v>76</v>
      </c>
      <c r="D278" s="291" t="str">
        <f>IFERROR(VLOOKUP(C278, PIC!A:B, 2, 0), "")</f>
        <v>My Tran</v>
      </c>
      <c r="E278" s="292" t="s">
        <v>23</v>
      </c>
      <c r="F278" s="293">
        <v>45895.58333333334</v>
      </c>
      <c r="G278" s="294">
        <v>45895.58333333334</v>
      </c>
      <c r="H278" s="294">
        <v>45916.625</v>
      </c>
      <c r="I278" s="293">
        <v>45923.625</v>
      </c>
      <c r="J278" s="294">
        <v>45930.625</v>
      </c>
      <c r="K278" s="293">
        <v>45964.625</v>
      </c>
      <c r="L278" s="294">
        <v>45979.625</v>
      </c>
      <c r="M278" s="294">
        <v>45993.58333333334</v>
      </c>
      <c r="N278" s="293">
        <v>46000.58333333334</v>
      </c>
      <c r="O278" s="293" t="s">
        <v>1162</v>
      </c>
      <c r="P278" s="293">
        <v>46013.58333333334</v>
      </c>
      <c r="Q278" s="293"/>
      <c r="R278" s="293"/>
      <c r="S278" s="293"/>
      <c r="T278" s="293"/>
      <c r="U278" s="294"/>
      <c r="V278" s="295"/>
      <c r="W278" s="296">
        <f t="shared" si="2"/>
        <v>46013.58333</v>
      </c>
      <c r="X278" s="287"/>
      <c r="Y278" s="287"/>
      <c r="Z278" s="287"/>
      <c r="AA278" s="288"/>
    </row>
    <row r="279" ht="15.75" hidden="1" customHeight="1">
      <c r="A279" s="289" t="s">
        <v>417</v>
      </c>
      <c r="B279" s="290" t="str">
        <f>IFERROR(VLOOKUP(A279&amp;"", STUDENTS!A:B, 2, 0), "")</f>
        <v>PHẠM LÊ HOÀI PHƯƠNG</v>
      </c>
      <c r="C279" s="291" t="s">
        <v>76</v>
      </c>
      <c r="D279" s="291" t="str">
        <f>IFERROR(VLOOKUP(C279, PIC!A:B, 2, 0), "")</f>
        <v>My Tran</v>
      </c>
      <c r="E279" s="292" t="s">
        <v>23</v>
      </c>
      <c r="F279" s="293">
        <v>45895.58333333334</v>
      </c>
      <c r="G279" s="294">
        <v>45895.58333333334</v>
      </c>
      <c r="H279" s="294">
        <v>45916.625</v>
      </c>
      <c r="I279" s="293">
        <v>45923.625</v>
      </c>
      <c r="J279" s="294">
        <v>45930.625</v>
      </c>
      <c r="K279" s="293">
        <v>45964.625</v>
      </c>
      <c r="L279" s="294">
        <v>45979.625</v>
      </c>
      <c r="M279" s="294">
        <v>45993.58333333334</v>
      </c>
      <c r="N279" s="293">
        <v>46000.58333333334</v>
      </c>
      <c r="O279" s="293">
        <v>46007.58333333334</v>
      </c>
      <c r="P279" s="293">
        <v>46013.58333333334</v>
      </c>
      <c r="Q279" s="293"/>
      <c r="R279" s="293"/>
      <c r="S279" s="293"/>
      <c r="T279" s="293"/>
      <c r="U279" s="294"/>
      <c r="V279" s="295"/>
      <c r="W279" s="296">
        <f t="shared" si="2"/>
        <v>46013.58333</v>
      </c>
      <c r="X279" s="283"/>
      <c r="Y279" s="283"/>
      <c r="Z279" s="235"/>
      <c r="AA279" s="43"/>
    </row>
    <row r="280" ht="15.75" hidden="1" customHeight="1">
      <c r="A280" s="289" t="s">
        <v>427</v>
      </c>
      <c r="B280" s="290" t="str">
        <f>IFERROR(VLOOKUP(A280&amp;"", STUDENTS!A:B, 2, 0), "")</f>
        <v>TÔ PHƯỚC THÁI</v>
      </c>
      <c r="C280" s="291" t="s">
        <v>76</v>
      </c>
      <c r="D280" s="291" t="str">
        <f>IFERROR(VLOOKUP(C280, PIC!A:B, 2, 0), "")</f>
        <v>My Tran</v>
      </c>
      <c r="E280" s="292" t="s">
        <v>23</v>
      </c>
      <c r="F280" s="293">
        <v>45895.58333333334</v>
      </c>
      <c r="G280" s="294">
        <v>45895.58333333334</v>
      </c>
      <c r="H280" s="294">
        <v>45916.625</v>
      </c>
      <c r="I280" s="293">
        <v>45923.625</v>
      </c>
      <c r="J280" s="294">
        <v>45930.625</v>
      </c>
      <c r="K280" s="293" t="s">
        <v>1162</v>
      </c>
      <c r="L280" s="294">
        <v>45979.625</v>
      </c>
      <c r="M280" s="294">
        <v>45993.58333333334</v>
      </c>
      <c r="N280" s="293">
        <v>46000.58333333334</v>
      </c>
      <c r="O280" s="293">
        <v>46007.58333333334</v>
      </c>
      <c r="P280" s="293">
        <v>46013.58333333334</v>
      </c>
      <c r="Q280" s="293"/>
      <c r="R280" s="293"/>
      <c r="S280" s="293"/>
      <c r="T280" s="293"/>
      <c r="U280" s="294"/>
      <c r="V280" s="295"/>
      <c r="W280" s="296">
        <f t="shared" si="2"/>
        <v>46013.58333</v>
      </c>
      <c r="X280" s="287"/>
      <c r="Y280" s="287"/>
      <c r="Z280" s="287"/>
      <c r="AA280" s="288"/>
    </row>
    <row r="281" ht="15.75" hidden="1" customHeight="1">
      <c r="A281" s="289" t="s">
        <v>429</v>
      </c>
      <c r="B281" s="290" t="str">
        <f>IFERROR(VLOOKUP(A281&amp;"", STUDENTS!A:B, 2, 0), "")</f>
        <v>TRẦN HƯƠNG QUỲNH</v>
      </c>
      <c r="C281" s="291" t="s">
        <v>76</v>
      </c>
      <c r="D281" s="291" t="str">
        <f>IFERROR(VLOOKUP(C281, PIC!A:B, 2, 0), "")</f>
        <v>My Tran</v>
      </c>
      <c r="E281" s="292" t="s">
        <v>23</v>
      </c>
      <c r="F281" s="293">
        <v>45895.58333333334</v>
      </c>
      <c r="G281" s="294">
        <v>45895.58333333334</v>
      </c>
      <c r="H281" s="294">
        <v>45916.625</v>
      </c>
      <c r="I281" s="293">
        <v>45923.625</v>
      </c>
      <c r="J281" s="294">
        <v>45930.625</v>
      </c>
      <c r="K281" s="293">
        <v>45964.625</v>
      </c>
      <c r="L281" s="294">
        <v>45979.625</v>
      </c>
      <c r="M281" s="294">
        <v>45993.58333333334</v>
      </c>
      <c r="N281" s="293">
        <v>46000.58333333334</v>
      </c>
      <c r="O281" s="293" t="s">
        <v>1162</v>
      </c>
      <c r="P281" s="293">
        <v>46013.58333333334</v>
      </c>
      <c r="Q281" s="293"/>
      <c r="R281" s="293"/>
      <c r="S281" s="293"/>
      <c r="T281" s="293"/>
      <c r="U281" s="294"/>
      <c r="V281" s="295"/>
      <c r="W281" s="296">
        <f t="shared" si="2"/>
        <v>46013.58333</v>
      </c>
      <c r="X281" s="283"/>
      <c r="Y281" s="283"/>
      <c r="Z281" s="235"/>
      <c r="AA281" s="43"/>
    </row>
    <row r="282" ht="15.75" hidden="1" customHeight="1">
      <c r="A282" s="289" t="s">
        <v>431</v>
      </c>
      <c r="B282" s="290" t="str">
        <f>IFERROR(VLOOKUP(A282&amp;"", STUDENTS!A:B, 2, 0), "")</f>
        <v>TRẦN THỊ HOÀN MỸ</v>
      </c>
      <c r="C282" s="291" t="s">
        <v>76</v>
      </c>
      <c r="D282" s="291" t="str">
        <f>IFERROR(VLOOKUP(C282, PIC!A:B, 2, 0), "")</f>
        <v>My Tran</v>
      </c>
      <c r="E282" s="292" t="s">
        <v>23</v>
      </c>
      <c r="F282" s="293">
        <v>45895.58333333334</v>
      </c>
      <c r="G282" s="294">
        <v>45895.58333333334</v>
      </c>
      <c r="H282" s="294">
        <v>45916.625</v>
      </c>
      <c r="I282" s="293">
        <v>45953.625</v>
      </c>
      <c r="J282" s="294" t="s">
        <v>1162</v>
      </c>
      <c r="K282" s="293">
        <v>45964.625</v>
      </c>
      <c r="L282" s="294">
        <v>45979.625</v>
      </c>
      <c r="M282" s="294">
        <v>45993.58333333334</v>
      </c>
      <c r="N282" s="293">
        <v>46000.58333333334</v>
      </c>
      <c r="O282" s="293">
        <v>46007.58333333334</v>
      </c>
      <c r="P282" s="293">
        <v>46013.58333333334</v>
      </c>
      <c r="Q282" s="293"/>
      <c r="R282" s="293"/>
      <c r="S282" s="293"/>
      <c r="T282" s="293"/>
      <c r="U282" s="294"/>
      <c r="V282" s="295"/>
      <c r="W282" s="296">
        <f t="shared" si="2"/>
        <v>46013.58333</v>
      </c>
      <c r="X282" s="287"/>
      <c r="Y282" s="287"/>
      <c r="Z282" s="287"/>
      <c r="AA282" s="288"/>
    </row>
    <row r="283" ht="15.75" hidden="1" customHeight="1">
      <c r="A283" s="275" t="s">
        <v>741</v>
      </c>
      <c r="B283" s="276" t="str">
        <f>IFERROR(VLOOKUP(A283&amp;"", STUDENTS!A:B, 2, 0), "")</f>
        <v>CHU KHÁNH LINH</v>
      </c>
      <c r="C283" s="122" t="s">
        <v>77</v>
      </c>
      <c r="D283" s="122" t="str">
        <f>IFERROR(VLOOKUP(C283, PIC!A:B, 2, 0), "")</f>
        <v>Vinh Nguyen</v>
      </c>
      <c r="E283" s="123" t="s">
        <v>22</v>
      </c>
      <c r="F283" s="277">
        <v>45715.58333333334</v>
      </c>
      <c r="G283" s="278">
        <v>45756.58333333334</v>
      </c>
      <c r="H283" s="278">
        <v>45771.54166666666</v>
      </c>
      <c r="I283" s="277">
        <v>45786.54166666666</v>
      </c>
      <c r="J283" s="278">
        <v>45790.54166666666</v>
      </c>
      <c r="K283" s="277">
        <v>45799.54166666666</v>
      </c>
      <c r="L283" s="278">
        <v>45805.54166666666</v>
      </c>
      <c r="M283" s="278">
        <v>45813.58333333334</v>
      </c>
      <c r="N283" s="277">
        <v>45820.58333333334</v>
      </c>
      <c r="O283" s="277">
        <v>45849.54166666666</v>
      </c>
      <c r="P283" s="277"/>
      <c r="Q283" s="277"/>
      <c r="R283" s="277"/>
      <c r="S283" s="277"/>
      <c r="T283" s="277"/>
      <c r="U283" s="278"/>
      <c r="V283" s="281"/>
      <c r="W283" s="282">
        <f t="shared" si="2"/>
        <v>45849.54167</v>
      </c>
      <c r="X283" s="283"/>
      <c r="Y283" s="283"/>
      <c r="Z283" s="235"/>
      <c r="AA283" s="43"/>
    </row>
    <row r="284" ht="15.75" hidden="1" customHeight="1">
      <c r="A284" s="265" t="s">
        <v>298</v>
      </c>
      <c r="B284" s="266" t="str">
        <f>IFERROR(VLOOKUP(A284&amp;"", STUDENTS!A:B, 2, 0), "")</f>
        <v>LẠC MINH HOÀNG</v>
      </c>
      <c r="C284" s="104" t="s">
        <v>77</v>
      </c>
      <c r="D284" s="104" t="str">
        <f>IFERROR(VLOOKUP(C284, PIC!A:B, 2, 0), "")</f>
        <v>Vinh Nguyen</v>
      </c>
      <c r="E284" s="105" t="s">
        <v>22</v>
      </c>
      <c r="F284" s="267">
        <v>45715.58333333334</v>
      </c>
      <c r="G284" s="268">
        <v>45756.58333333334</v>
      </c>
      <c r="H284" s="268">
        <v>45771.54166666666</v>
      </c>
      <c r="I284" s="267">
        <v>45786.54166666666</v>
      </c>
      <c r="J284" s="268">
        <v>45790.54166666666</v>
      </c>
      <c r="K284" s="267">
        <v>45799.54166666666</v>
      </c>
      <c r="L284" s="268">
        <v>45805.54166666666</v>
      </c>
      <c r="M284" s="268">
        <v>45813.58333333334</v>
      </c>
      <c r="N284" s="267">
        <v>45820.58333333334</v>
      </c>
      <c r="O284" s="267">
        <v>45849.54166666666</v>
      </c>
      <c r="P284" s="267"/>
      <c r="Q284" s="267"/>
      <c r="R284" s="267"/>
      <c r="S284" s="267"/>
      <c r="T284" s="267"/>
      <c r="U284" s="268"/>
      <c r="V284" s="271"/>
      <c r="W284" s="272">
        <f t="shared" si="2"/>
        <v>45849.54167</v>
      </c>
      <c r="X284" s="273"/>
      <c r="Y284" s="273"/>
      <c r="Z284" s="235"/>
      <c r="AA284" s="43"/>
    </row>
    <row r="285" ht="15.75" hidden="1" customHeight="1">
      <c r="A285" s="275" t="s">
        <v>743</v>
      </c>
      <c r="B285" s="276" t="str">
        <f>IFERROR(VLOOKUP(A285&amp;"", STUDENTS!A:B, 2, 0), "")</f>
        <v>LÂM VĂN TIẾN</v>
      </c>
      <c r="C285" s="122" t="s">
        <v>77</v>
      </c>
      <c r="D285" s="122" t="str">
        <f>IFERROR(VLOOKUP(C285, PIC!A:B, 2, 0), "")</f>
        <v>Vinh Nguyen</v>
      </c>
      <c r="E285" s="123" t="s">
        <v>22</v>
      </c>
      <c r="F285" s="277">
        <v>45715.58333333334</v>
      </c>
      <c r="G285" s="278">
        <v>45756.58333333334</v>
      </c>
      <c r="H285" s="278">
        <v>45771.54166666666</v>
      </c>
      <c r="I285" s="277">
        <v>45786.54166666666</v>
      </c>
      <c r="J285" s="278">
        <v>45790.54166666666</v>
      </c>
      <c r="K285" s="277">
        <v>45799.54166666666</v>
      </c>
      <c r="L285" s="278">
        <v>45805.54166666666</v>
      </c>
      <c r="M285" s="278">
        <v>45813.58333333334</v>
      </c>
      <c r="N285" s="277">
        <v>45820.58333333334</v>
      </c>
      <c r="O285" s="277">
        <v>45849.54166666666</v>
      </c>
      <c r="P285" s="279"/>
      <c r="Q285" s="277"/>
      <c r="R285" s="277"/>
      <c r="S285" s="277"/>
      <c r="T285" s="277"/>
      <c r="U285" s="278"/>
      <c r="V285" s="281"/>
      <c r="W285" s="282">
        <f t="shared" si="2"/>
        <v>45849.54167</v>
      </c>
      <c r="X285" s="283"/>
      <c r="Y285" s="283"/>
      <c r="Z285" s="235"/>
      <c r="AA285" s="43"/>
    </row>
    <row r="286" ht="15.75" hidden="1" customHeight="1">
      <c r="A286" s="265" t="s">
        <v>391</v>
      </c>
      <c r="B286" s="266" t="str">
        <f>IFERROR(VLOOKUP(A286&amp;"", STUDENTS!A:B, 2, 0), "")</f>
        <v>LE MINH TRUONG</v>
      </c>
      <c r="C286" s="104" t="s">
        <v>77</v>
      </c>
      <c r="D286" s="104" t="str">
        <f>IFERROR(VLOOKUP(C286, PIC!A:B, 2, 0), "")</f>
        <v>Vinh Nguyen</v>
      </c>
      <c r="E286" s="105" t="s">
        <v>22</v>
      </c>
      <c r="F286" s="267" t="s">
        <v>1162</v>
      </c>
      <c r="G286" s="268">
        <v>45756.58333333334</v>
      </c>
      <c r="H286" s="268" t="s">
        <v>1162</v>
      </c>
      <c r="I286" s="267" t="s">
        <v>1162</v>
      </c>
      <c r="J286" s="268" t="s">
        <v>1162</v>
      </c>
      <c r="K286" s="267" t="s">
        <v>1162</v>
      </c>
      <c r="L286" s="268">
        <v>45805.54166666666</v>
      </c>
      <c r="M286" s="268">
        <v>45813.58333333334</v>
      </c>
      <c r="N286" s="267">
        <v>45820.58333333334</v>
      </c>
      <c r="O286" s="267">
        <v>45849.54166666666</v>
      </c>
      <c r="P286" s="267"/>
      <c r="Q286" s="267"/>
      <c r="R286" s="267"/>
      <c r="S286" s="267"/>
      <c r="T286" s="267"/>
      <c r="U286" s="268"/>
      <c r="V286" s="271"/>
      <c r="W286" s="272">
        <f t="shared" si="2"/>
        <v>45849.54167</v>
      </c>
      <c r="X286" s="273"/>
      <c r="Y286" s="273"/>
      <c r="Z286" s="235"/>
      <c r="AA286" s="43"/>
    </row>
    <row r="287" ht="15.75" hidden="1" customHeight="1">
      <c r="A287" s="275" t="s">
        <v>384</v>
      </c>
      <c r="B287" s="276" t="str">
        <f>IFERROR(VLOOKUP(A287&amp;"", STUDENTS!A:B, 2, 0), "")</f>
        <v>LE VAN DONG TAM</v>
      </c>
      <c r="C287" s="122" t="s">
        <v>77</v>
      </c>
      <c r="D287" s="122" t="str">
        <f>IFERROR(VLOOKUP(C287, PIC!A:B, 2, 0), "")</f>
        <v>Vinh Nguyen</v>
      </c>
      <c r="E287" s="123" t="s">
        <v>22</v>
      </c>
      <c r="F287" s="277">
        <v>45715.58333333334</v>
      </c>
      <c r="G287" s="278">
        <v>45756.58333333334</v>
      </c>
      <c r="H287" s="278">
        <v>45771.54166666666</v>
      </c>
      <c r="I287" s="277" t="s">
        <v>1162</v>
      </c>
      <c r="J287" s="278">
        <v>45790.54166666666</v>
      </c>
      <c r="K287" s="277" t="s">
        <v>1162</v>
      </c>
      <c r="L287" s="278">
        <v>45805.54166666666</v>
      </c>
      <c r="M287" s="278">
        <v>45813.58333333334</v>
      </c>
      <c r="N287" s="277">
        <v>45820.58333333334</v>
      </c>
      <c r="O287" s="277">
        <v>45849.54166666666</v>
      </c>
      <c r="P287" s="277"/>
      <c r="Q287" s="277"/>
      <c r="R287" s="277"/>
      <c r="S287" s="277"/>
      <c r="T287" s="277"/>
      <c r="U287" s="278"/>
      <c r="V287" s="281"/>
      <c r="W287" s="282">
        <f t="shared" si="2"/>
        <v>45849.54167</v>
      </c>
      <c r="X287" s="283"/>
      <c r="Y287" s="283"/>
      <c r="Z287" s="235"/>
      <c r="AA287" s="43"/>
    </row>
    <row r="288" ht="15.75" hidden="1" customHeight="1">
      <c r="A288" s="265" t="s">
        <v>745</v>
      </c>
      <c r="B288" s="266" t="str">
        <f>IFERROR(VLOOKUP(A288&amp;"", STUDENTS!A:B, 2, 0), "")</f>
        <v>NGUYỄN PHAN THẾ VINH</v>
      </c>
      <c r="C288" s="104" t="s">
        <v>77</v>
      </c>
      <c r="D288" s="104" t="str">
        <f>IFERROR(VLOOKUP(C288, PIC!A:B, 2, 0), "")</f>
        <v>Vinh Nguyen</v>
      </c>
      <c r="E288" s="105" t="s">
        <v>22</v>
      </c>
      <c r="F288" s="267">
        <v>45715.58333333334</v>
      </c>
      <c r="G288" s="268">
        <v>45756.58333333334</v>
      </c>
      <c r="H288" s="268">
        <v>45771.54166666666</v>
      </c>
      <c r="I288" s="267">
        <v>45786.54166666666</v>
      </c>
      <c r="J288" s="268">
        <v>45790.54166666666</v>
      </c>
      <c r="K288" s="267">
        <v>45799.54166666666</v>
      </c>
      <c r="L288" s="268">
        <v>45805.54166666666</v>
      </c>
      <c r="M288" s="268">
        <v>45813.58333333334</v>
      </c>
      <c r="N288" s="267">
        <v>45820.58333333334</v>
      </c>
      <c r="O288" s="267">
        <v>45849.54166666666</v>
      </c>
      <c r="P288" s="269"/>
      <c r="Q288" s="267"/>
      <c r="R288" s="267"/>
      <c r="S288" s="267"/>
      <c r="T288" s="267"/>
      <c r="U288" s="268"/>
      <c r="V288" s="271"/>
      <c r="W288" s="272">
        <f t="shared" si="2"/>
        <v>45849.54167</v>
      </c>
      <c r="X288" s="273"/>
      <c r="Y288" s="273"/>
      <c r="Z288" s="235"/>
      <c r="AA288" s="43"/>
    </row>
    <row r="289" ht="15.75" hidden="1" customHeight="1">
      <c r="A289" s="275" t="s">
        <v>748</v>
      </c>
      <c r="B289" s="276" t="str">
        <f>IFERROR(VLOOKUP(A289&amp;"", STUDENTS!A:B, 2, 0), "")</f>
        <v>NGUYỄN TRANG QUỲNH NHƯ</v>
      </c>
      <c r="C289" s="122" t="s">
        <v>77</v>
      </c>
      <c r="D289" s="122" t="str">
        <f>IFERROR(VLOOKUP(C289, PIC!A:B, 2, 0), "")</f>
        <v>Vinh Nguyen</v>
      </c>
      <c r="E289" s="123" t="s">
        <v>22</v>
      </c>
      <c r="F289" s="277">
        <v>45715.58333333334</v>
      </c>
      <c r="G289" s="278">
        <v>45756.58333333334</v>
      </c>
      <c r="H289" s="278">
        <v>45771.54166666666</v>
      </c>
      <c r="I289" s="277">
        <v>45786.54166666666</v>
      </c>
      <c r="J289" s="278">
        <v>45790.54166666666</v>
      </c>
      <c r="K289" s="277">
        <v>45799.54166666666</v>
      </c>
      <c r="L289" s="278">
        <v>45805.54166666666</v>
      </c>
      <c r="M289" s="278" t="s">
        <v>1162</v>
      </c>
      <c r="N289" s="277">
        <v>45820.58333333334</v>
      </c>
      <c r="O289" s="277">
        <v>45849.54166666666</v>
      </c>
      <c r="P289" s="277"/>
      <c r="Q289" s="277"/>
      <c r="R289" s="277"/>
      <c r="S289" s="277"/>
      <c r="T289" s="277"/>
      <c r="U289" s="278"/>
      <c r="V289" s="281"/>
      <c r="W289" s="282">
        <f t="shared" si="2"/>
        <v>45849.54167</v>
      </c>
      <c r="X289" s="283"/>
      <c r="Y289" s="283"/>
      <c r="Z289" s="235"/>
      <c r="AA289" s="43"/>
    </row>
    <row r="290" ht="15.75" hidden="1" customHeight="1">
      <c r="A290" s="265" t="s">
        <v>750</v>
      </c>
      <c r="B290" s="266" t="str">
        <f>IFERROR(VLOOKUP(A290&amp;"", STUDENTS!A:B, 2, 0), "")</f>
        <v>NGUYỄN TRÚC DUYÊN</v>
      </c>
      <c r="C290" s="104" t="s">
        <v>77</v>
      </c>
      <c r="D290" s="104" t="str">
        <f>IFERROR(VLOOKUP(C290, PIC!A:B, 2, 0), "")</f>
        <v>Vinh Nguyen</v>
      </c>
      <c r="E290" s="105" t="s">
        <v>22</v>
      </c>
      <c r="F290" s="267">
        <v>45715.58333333334</v>
      </c>
      <c r="G290" s="268" t="s">
        <v>1162</v>
      </c>
      <c r="H290" s="268">
        <v>45771.54166666666</v>
      </c>
      <c r="I290" s="267">
        <v>45786.54166666666</v>
      </c>
      <c r="J290" s="268">
        <v>45790.54166666666</v>
      </c>
      <c r="K290" s="267" t="s">
        <v>1162</v>
      </c>
      <c r="L290" s="268">
        <v>45805.54166666666</v>
      </c>
      <c r="M290" s="268">
        <v>45813.58333333334</v>
      </c>
      <c r="N290" s="267">
        <v>45820.58333333334</v>
      </c>
      <c r="O290" s="267">
        <v>45849.54166666666</v>
      </c>
      <c r="P290" s="267"/>
      <c r="Q290" s="267"/>
      <c r="R290" s="267"/>
      <c r="S290" s="267"/>
      <c r="T290" s="267"/>
      <c r="U290" s="268"/>
      <c r="V290" s="271"/>
      <c r="W290" s="272">
        <f t="shared" si="2"/>
        <v>45849.54167</v>
      </c>
      <c r="X290" s="273"/>
      <c r="Y290" s="273"/>
      <c r="Z290" s="235"/>
      <c r="AA290" s="43"/>
    </row>
    <row r="291" ht="15.75" hidden="1" customHeight="1">
      <c r="A291" s="275" t="s">
        <v>754</v>
      </c>
      <c r="B291" s="276" t="str">
        <f>IFERROR(VLOOKUP(A291&amp;"", STUDENTS!A:B, 2, 0), "")</f>
        <v>PHAN QUỐC BÌNH</v>
      </c>
      <c r="C291" s="122" t="s">
        <v>77</v>
      </c>
      <c r="D291" s="122" t="str">
        <f>IFERROR(VLOOKUP(C291, PIC!A:B, 2, 0), "")</f>
        <v>Vinh Nguyen</v>
      </c>
      <c r="E291" s="123" t="s">
        <v>22</v>
      </c>
      <c r="F291" s="277">
        <v>45715.58333333334</v>
      </c>
      <c r="G291" s="278">
        <v>45756.58333333334</v>
      </c>
      <c r="H291" s="278">
        <v>45771.54166666666</v>
      </c>
      <c r="I291" s="277">
        <v>45786.54166666666</v>
      </c>
      <c r="J291" s="278">
        <v>45790.54166666666</v>
      </c>
      <c r="K291" s="277">
        <v>45799.54166666666</v>
      </c>
      <c r="L291" s="278">
        <v>45805.54166666666</v>
      </c>
      <c r="M291" s="278">
        <v>45813.58333333334</v>
      </c>
      <c r="N291" s="277">
        <v>45820.58333333334</v>
      </c>
      <c r="O291" s="277">
        <v>45849.54166666666</v>
      </c>
      <c r="P291" s="277"/>
      <c r="Q291" s="277"/>
      <c r="R291" s="277"/>
      <c r="S291" s="277"/>
      <c r="T291" s="277"/>
      <c r="U291" s="278"/>
      <c r="V291" s="281"/>
      <c r="W291" s="282">
        <f t="shared" si="2"/>
        <v>45849.54167</v>
      </c>
      <c r="X291" s="283"/>
      <c r="Y291" s="283"/>
      <c r="Z291" s="235"/>
      <c r="AA291" s="43"/>
    </row>
    <row r="292" ht="15.75" hidden="1" customHeight="1">
      <c r="A292" s="265" t="s">
        <v>741</v>
      </c>
      <c r="B292" s="266" t="str">
        <f>IFERROR(VLOOKUP(A292&amp;"", STUDENTS!A:B, 2, 0), "")</f>
        <v>CHU KHÁNH LINH</v>
      </c>
      <c r="C292" s="104" t="s">
        <v>77</v>
      </c>
      <c r="D292" s="104" t="str">
        <f>IFERROR(VLOOKUP(C292, PIC!A:B, 2, 0), "")</f>
        <v>Vinh Nguyen</v>
      </c>
      <c r="E292" s="105" t="s">
        <v>23</v>
      </c>
      <c r="F292" s="267">
        <v>45890.54166666666</v>
      </c>
      <c r="G292" s="268">
        <v>45897.58333333334</v>
      </c>
      <c r="H292" s="268">
        <v>45911.58333333334</v>
      </c>
      <c r="I292" s="267">
        <v>45918.58333333334</v>
      </c>
      <c r="J292" s="268">
        <v>45925.58333333334</v>
      </c>
      <c r="K292" s="267">
        <v>45932.58333333334</v>
      </c>
      <c r="L292" s="268">
        <v>45946.58333333334</v>
      </c>
      <c r="M292" s="268">
        <v>45953.58333333334</v>
      </c>
      <c r="N292" s="267">
        <v>45960.58333333334</v>
      </c>
      <c r="O292" s="267">
        <v>45966.58333333334</v>
      </c>
      <c r="P292" s="267">
        <v>45982.58333333334</v>
      </c>
      <c r="Q292" s="267">
        <v>45988.58333333334</v>
      </c>
      <c r="R292" s="267">
        <v>45995.58333333334</v>
      </c>
      <c r="S292" s="267">
        <v>45999.45833333334</v>
      </c>
      <c r="T292" s="267">
        <v>46014.625</v>
      </c>
      <c r="U292" s="268">
        <v>46044.54166666666</v>
      </c>
      <c r="V292" s="271"/>
      <c r="W292" s="272">
        <f t="shared" si="2"/>
        <v>46044.54167</v>
      </c>
      <c r="X292" s="273"/>
      <c r="Y292" s="273"/>
      <c r="Z292" s="235"/>
      <c r="AA292" s="43"/>
    </row>
    <row r="293" ht="15.75" hidden="1" customHeight="1">
      <c r="A293" s="275" t="s">
        <v>752</v>
      </c>
      <c r="B293" s="276" t="str">
        <f>IFERROR(VLOOKUP(A293&amp;"", STUDENTS!A:B, 2, 0), "")</f>
        <v>ĐÀO SỸ THỜI</v>
      </c>
      <c r="C293" s="122" t="s">
        <v>77</v>
      </c>
      <c r="D293" s="122" t="str">
        <f>IFERROR(VLOOKUP(C293, PIC!A:B, 2, 0), "")</f>
        <v>Vinh Nguyen</v>
      </c>
      <c r="E293" s="123" t="s">
        <v>23</v>
      </c>
      <c r="F293" s="277">
        <v>45890.54166666666</v>
      </c>
      <c r="G293" s="278">
        <v>45897.58333333334</v>
      </c>
      <c r="H293" s="278">
        <v>45911.58333333334</v>
      </c>
      <c r="I293" s="277">
        <v>45918.58333333334</v>
      </c>
      <c r="J293" s="278">
        <v>45925.58333333334</v>
      </c>
      <c r="K293" s="277">
        <v>45932.58333333334</v>
      </c>
      <c r="L293" s="278">
        <v>45946.58333333334</v>
      </c>
      <c r="M293" s="278">
        <v>45953.58333333334</v>
      </c>
      <c r="N293" s="277">
        <v>45960.58333333334</v>
      </c>
      <c r="O293" s="277">
        <v>45966.58333333334</v>
      </c>
      <c r="P293" s="277">
        <v>45982.58333333334</v>
      </c>
      <c r="Q293" s="277">
        <v>45988.58333333334</v>
      </c>
      <c r="R293" s="277">
        <v>45995.58333333334</v>
      </c>
      <c r="S293" s="277" t="s">
        <v>1162</v>
      </c>
      <c r="T293" s="277">
        <v>46014.625</v>
      </c>
      <c r="U293" s="278">
        <v>46044.54166666666</v>
      </c>
      <c r="V293" s="281"/>
      <c r="W293" s="282">
        <f t="shared" si="2"/>
        <v>46044.54167</v>
      </c>
      <c r="X293" s="283"/>
      <c r="Y293" s="283"/>
      <c r="Z293" s="235"/>
      <c r="AA293" s="43"/>
    </row>
    <row r="294" ht="15.75" hidden="1" customHeight="1">
      <c r="A294" s="265" t="s">
        <v>743</v>
      </c>
      <c r="B294" s="266" t="str">
        <f>IFERROR(VLOOKUP(A294&amp;"", STUDENTS!A:B, 2, 0), "")</f>
        <v>LÂM VĂN TIẾN</v>
      </c>
      <c r="C294" s="104" t="s">
        <v>77</v>
      </c>
      <c r="D294" s="104" t="str">
        <f>IFERROR(VLOOKUP(C294, PIC!A:B, 2, 0), "")</f>
        <v>Vinh Nguyen</v>
      </c>
      <c r="E294" s="105" t="s">
        <v>23</v>
      </c>
      <c r="F294" s="267">
        <v>45890.54166666666</v>
      </c>
      <c r="G294" s="268">
        <v>45897.58333333334</v>
      </c>
      <c r="H294" s="268">
        <v>45911.58333333334</v>
      </c>
      <c r="I294" s="267">
        <v>45918.58333333334</v>
      </c>
      <c r="J294" s="268">
        <v>45925.58333333334</v>
      </c>
      <c r="K294" s="267">
        <v>45932.58333333334</v>
      </c>
      <c r="L294" s="268">
        <v>45946.58333333334</v>
      </c>
      <c r="M294" s="268">
        <v>45953.58333333334</v>
      </c>
      <c r="N294" s="267">
        <v>45960.58333333334</v>
      </c>
      <c r="O294" s="267">
        <v>45966.58333333334</v>
      </c>
      <c r="P294" s="267">
        <v>45982.58333333334</v>
      </c>
      <c r="Q294" s="267">
        <v>45988.58333333334</v>
      </c>
      <c r="R294" s="267">
        <v>45995.58333333334</v>
      </c>
      <c r="S294" s="267" t="s">
        <v>1162</v>
      </c>
      <c r="T294" s="267">
        <v>46014.625</v>
      </c>
      <c r="U294" s="268">
        <v>46044.54166666666</v>
      </c>
      <c r="V294" s="271"/>
      <c r="W294" s="272">
        <f t="shared" si="2"/>
        <v>46044.54167</v>
      </c>
      <c r="X294" s="273"/>
      <c r="Y294" s="273"/>
      <c r="Z294" s="235"/>
      <c r="AA294" s="43"/>
    </row>
    <row r="295" ht="15.75" hidden="1" customHeight="1">
      <c r="A295" s="275" t="s">
        <v>745</v>
      </c>
      <c r="B295" s="276" t="str">
        <f>IFERROR(VLOOKUP(A295&amp;"", STUDENTS!A:B, 2, 0), "")</f>
        <v>NGUYỄN PHAN THẾ VINH</v>
      </c>
      <c r="C295" s="122" t="s">
        <v>77</v>
      </c>
      <c r="D295" s="122" t="str">
        <f>IFERROR(VLOOKUP(C295, PIC!A:B, 2, 0), "")</f>
        <v>Vinh Nguyen</v>
      </c>
      <c r="E295" s="123" t="s">
        <v>23</v>
      </c>
      <c r="F295" s="277">
        <v>45890.54166666666</v>
      </c>
      <c r="G295" s="278">
        <v>45897.58333333334</v>
      </c>
      <c r="H295" s="278" t="s">
        <v>1162</v>
      </c>
      <c r="I295" s="277">
        <v>45918.58333333334</v>
      </c>
      <c r="J295" s="278">
        <v>45925.58333333334</v>
      </c>
      <c r="K295" s="277">
        <v>45932.58333333334</v>
      </c>
      <c r="L295" s="278">
        <v>45946.58333333334</v>
      </c>
      <c r="M295" s="278">
        <v>45953.58333333334</v>
      </c>
      <c r="N295" s="277">
        <v>45960.58333333334</v>
      </c>
      <c r="O295" s="277">
        <v>45966.58333333334</v>
      </c>
      <c r="P295" s="277">
        <v>45982.58333333334</v>
      </c>
      <c r="Q295" s="277">
        <v>45988.58333333334</v>
      </c>
      <c r="R295" s="277">
        <v>45995.58333333334</v>
      </c>
      <c r="S295" s="277">
        <v>45999.45833333334</v>
      </c>
      <c r="T295" s="277">
        <v>46014.625</v>
      </c>
      <c r="U295" s="278">
        <v>46044.54166666666</v>
      </c>
      <c r="V295" s="281"/>
      <c r="W295" s="282">
        <f t="shared" si="2"/>
        <v>46044.54167</v>
      </c>
      <c r="X295" s="283"/>
      <c r="Y295" s="283"/>
      <c r="Z295" s="235"/>
      <c r="AA295" s="43"/>
    </row>
    <row r="296" ht="15.75" hidden="1" customHeight="1">
      <c r="A296" s="265" t="s">
        <v>747</v>
      </c>
      <c r="B296" s="266" t="str">
        <f>IFERROR(VLOOKUP(A296&amp;"", STUDENTS!A:B, 2, 0), "")</f>
        <v>NGUYỄN QUANG TRUNG</v>
      </c>
      <c r="C296" s="104" t="s">
        <v>77</v>
      </c>
      <c r="D296" s="104" t="str">
        <f>IFERROR(VLOOKUP(C296, PIC!A:B, 2, 0), "")</f>
        <v>Vinh Nguyen</v>
      </c>
      <c r="E296" s="105" t="s">
        <v>23</v>
      </c>
      <c r="F296" s="267">
        <v>45890.54166666666</v>
      </c>
      <c r="G296" s="268">
        <v>45897.58333333334</v>
      </c>
      <c r="H296" s="268">
        <v>45911.58333333334</v>
      </c>
      <c r="I296" s="267">
        <v>45918.58333333334</v>
      </c>
      <c r="J296" s="268">
        <v>45925.58333333334</v>
      </c>
      <c r="K296" s="267">
        <v>45932.58333333334</v>
      </c>
      <c r="L296" s="268">
        <v>45946.58333333334</v>
      </c>
      <c r="M296" s="268" t="s">
        <v>1162</v>
      </c>
      <c r="N296" s="267" t="s">
        <v>1162</v>
      </c>
      <c r="O296" s="267">
        <v>45966.58333333334</v>
      </c>
      <c r="P296" s="267">
        <v>45982.58333333334</v>
      </c>
      <c r="Q296" s="267" t="s">
        <v>1162</v>
      </c>
      <c r="R296" s="267">
        <v>45995.58333333334</v>
      </c>
      <c r="S296" s="267">
        <v>45999.45833333334</v>
      </c>
      <c r="T296" s="267">
        <v>46014.625</v>
      </c>
      <c r="U296" s="268">
        <v>46044.54166666666</v>
      </c>
      <c r="V296" s="271"/>
      <c r="W296" s="272">
        <f t="shared" si="2"/>
        <v>46044.54167</v>
      </c>
      <c r="X296" s="273"/>
      <c r="Y296" s="273"/>
      <c r="Z296" s="235"/>
      <c r="AA296" s="43"/>
    </row>
    <row r="297" ht="15.75" hidden="1" customHeight="1">
      <c r="A297" s="275" t="s">
        <v>748</v>
      </c>
      <c r="B297" s="276" t="str">
        <f>IFERROR(VLOOKUP(A297&amp;"", STUDENTS!A:B, 2, 0), "")</f>
        <v>NGUYỄN TRANG QUỲNH NHƯ</v>
      </c>
      <c r="C297" s="122" t="s">
        <v>77</v>
      </c>
      <c r="D297" s="122" t="str">
        <f>IFERROR(VLOOKUP(C297, PIC!A:B, 2, 0), "")</f>
        <v>Vinh Nguyen</v>
      </c>
      <c r="E297" s="123" t="s">
        <v>23</v>
      </c>
      <c r="F297" s="277">
        <v>45890.54166666666</v>
      </c>
      <c r="G297" s="278">
        <v>45897.58333333334</v>
      </c>
      <c r="H297" s="278" t="s">
        <v>1162</v>
      </c>
      <c r="I297" s="277">
        <v>45918.58333333334</v>
      </c>
      <c r="J297" s="278">
        <v>45925.58333333334</v>
      </c>
      <c r="K297" s="277">
        <v>45932.58333333334</v>
      </c>
      <c r="L297" s="278">
        <v>45946.58333333334</v>
      </c>
      <c r="M297" s="278">
        <v>45953.58333333334</v>
      </c>
      <c r="N297" s="277">
        <v>45960.58333333334</v>
      </c>
      <c r="O297" s="277">
        <v>45966.58333333334</v>
      </c>
      <c r="P297" s="277">
        <v>45982.58333333334</v>
      </c>
      <c r="Q297" s="277" t="s">
        <v>1162</v>
      </c>
      <c r="R297" s="277">
        <v>45995.58333333334</v>
      </c>
      <c r="S297" s="277">
        <v>45999.45833333334</v>
      </c>
      <c r="T297" s="277">
        <v>46014.625</v>
      </c>
      <c r="U297" s="278">
        <v>46044.54166666666</v>
      </c>
      <c r="V297" s="281"/>
      <c r="W297" s="282">
        <f t="shared" si="2"/>
        <v>46044.54167</v>
      </c>
      <c r="X297" s="283"/>
      <c r="Y297" s="283"/>
      <c r="Z297" s="235"/>
      <c r="AA297" s="43"/>
    </row>
    <row r="298" ht="15.75" hidden="1" customHeight="1">
      <c r="A298" s="265" t="s">
        <v>750</v>
      </c>
      <c r="B298" s="266" t="str">
        <f>IFERROR(VLOOKUP(A298&amp;"", STUDENTS!A:B, 2, 0), "")</f>
        <v>NGUYỄN TRÚC DUYÊN</v>
      </c>
      <c r="C298" s="104" t="s">
        <v>77</v>
      </c>
      <c r="D298" s="104" t="str">
        <f>IFERROR(VLOOKUP(C298, PIC!A:B, 2, 0), "")</f>
        <v>Vinh Nguyen</v>
      </c>
      <c r="E298" s="105" t="s">
        <v>23</v>
      </c>
      <c r="F298" s="267">
        <v>45890.54166666666</v>
      </c>
      <c r="G298" s="268">
        <v>45897.58333333334</v>
      </c>
      <c r="H298" s="268">
        <v>45911.58333333334</v>
      </c>
      <c r="I298" s="267">
        <v>45918.58333333334</v>
      </c>
      <c r="J298" s="268">
        <v>45925.58333333334</v>
      </c>
      <c r="K298" s="267" t="s">
        <v>1162</v>
      </c>
      <c r="L298" s="268">
        <v>45946.58333333334</v>
      </c>
      <c r="M298" s="268" t="s">
        <v>1162</v>
      </c>
      <c r="N298" s="267">
        <v>45960.58333333334</v>
      </c>
      <c r="O298" s="267">
        <v>45966.58333333334</v>
      </c>
      <c r="P298" s="267">
        <v>45982.58333333334</v>
      </c>
      <c r="Q298" s="267">
        <v>45988.58333333334</v>
      </c>
      <c r="R298" s="267">
        <v>45995.58333333334</v>
      </c>
      <c r="S298" s="267">
        <v>45999.45833333334</v>
      </c>
      <c r="T298" s="267">
        <v>46014.625</v>
      </c>
      <c r="U298" s="268">
        <v>46044.54166666666</v>
      </c>
      <c r="V298" s="271"/>
      <c r="W298" s="272">
        <f t="shared" si="2"/>
        <v>46044.54167</v>
      </c>
      <c r="X298" s="273"/>
      <c r="Y298" s="273"/>
      <c r="Z298" s="235"/>
      <c r="AA298" s="43"/>
    </row>
    <row r="299" ht="15.75" hidden="1" customHeight="1">
      <c r="A299" s="275" t="s">
        <v>754</v>
      </c>
      <c r="B299" s="276" t="str">
        <f>IFERROR(VLOOKUP(A299&amp;"", STUDENTS!A:B, 2, 0), "")</f>
        <v>PHAN QUỐC BÌNH</v>
      </c>
      <c r="C299" s="122" t="s">
        <v>77</v>
      </c>
      <c r="D299" s="122" t="str">
        <f>IFERROR(VLOOKUP(C299, PIC!A:B, 2, 0), "")</f>
        <v>Vinh Nguyen</v>
      </c>
      <c r="E299" s="123" t="s">
        <v>23</v>
      </c>
      <c r="F299" s="277" t="s">
        <v>1162</v>
      </c>
      <c r="G299" s="278">
        <v>45897.58333333334</v>
      </c>
      <c r="H299" s="278" t="s">
        <v>1162</v>
      </c>
      <c r="I299" s="277"/>
      <c r="J299" s="278" t="s">
        <v>1162</v>
      </c>
      <c r="K299" s="277" t="s">
        <v>1162</v>
      </c>
      <c r="L299" s="278" t="s">
        <v>1162</v>
      </c>
      <c r="M299" s="278" t="s">
        <v>1162</v>
      </c>
      <c r="N299" s="277" t="s">
        <v>1162</v>
      </c>
      <c r="O299" s="277" t="s">
        <v>1162</v>
      </c>
      <c r="P299" s="277" t="s">
        <v>1162</v>
      </c>
      <c r="Q299" s="277" t="s">
        <v>1162</v>
      </c>
      <c r="R299" s="277" t="s">
        <v>1162</v>
      </c>
      <c r="S299" s="277" t="s">
        <v>1162</v>
      </c>
      <c r="T299" s="277" t="s">
        <v>1162</v>
      </c>
      <c r="U299" s="278" t="s">
        <v>1162</v>
      </c>
      <c r="V299" s="281"/>
      <c r="W299" s="282">
        <f t="shared" si="2"/>
        <v>45897.58333</v>
      </c>
      <c r="X299" s="283"/>
      <c r="Y299" s="283"/>
      <c r="Z299" s="235"/>
      <c r="AA299" s="43"/>
    </row>
    <row r="300" ht="15.75" hidden="1" customHeight="1">
      <c r="A300" s="317" t="s">
        <v>741</v>
      </c>
      <c r="B300" s="318" t="str">
        <f>IFERROR(VLOOKUP(A300&amp;"", STUDENTS!A:B, 2, 0), "")</f>
        <v>CHU KHÁNH LINH</v>
      </c>
      <c r="C300" s="319" t="s">
        <v>77</v>
      </c>
      <c r="D300" s="319" t="str">
        <f>IFERROR(VLOOKUP(C300, PIC!A:B, 2, 0), "")</f>
        <v>Vinh Nguyen</v>
      </c>
      <c r="E300" s="320" t="s">
        <v>24</v>
      </c>
      <c r="F300" s="321"/>
      <c r="G300" s="322">
        <v>46107.58333333334</v>
      </c>
      <c r="H300" s="322">
        <v>46114.58333333334</v>
      </c>
      <c r="I300" s="321">
        <v>46121.58333333334</v>
      </c>
      <c r="J300" s="322">
        <v>46128.58333333334</v>
      </c>
      <c r="K300" s="321" t="s">
        <v>1162</v>
      </c>
      <c r="L300" s="323">
        <v>46149.583333333336</v>
      </c>
      <c r="M300" s="324">
        <v>46156.583333333336</v>
      </c>
      <c r="N300" s="321"/>
      <c r="O300" s="323">
        <v>46184.541666666664</v>
      </c>
      <c r="P300" s="323">
        <v>46191.541666666664</v>
      </c>
      <c r="Q300" s="321"/>
      <c r="R300" s="321"/>
      <c r="S300" s="321"/>
      <c r="T300" s="321"/>
      <c r="U300" s="322"/>
      <c r="V300" s="325"/>
      <c r="W300" s="326">
        <f t="shared" si="2"/>
        <v>46191.54167</v>
      </c>
      <c r="X300" s="327"/>
      <c r="Y300" s="327"/>
      <c r="Z300" s="327"/>
      <c r="AA300" s="328"/>
    </row>
    <row r="301" ht="15.75" hidden="1" customHeight="1">
      <c r="A301" s="317" t="s">
        <v>752</v>
      </c>
      <c r="B301" s="318" t="str">
        <f>IFERROR(VLOOKUP(A301&amp;"", STUDENTS!A:B, 2, 0), "")</f>
        <v>ĐÀO SỸ THỜI</v>
      </c>
      <c r="C301" s="319" t="s">
        <v>77</v>
      </c>
      <c r="D301" s="319" t="str">
        <f>IFERROR(VLOOKUP(C301, PIC!A:B, 2, 0), "")</f>
        <v>Vinh Nguyen</v>
      </c>
      <c r="E301" s="320" t="s">
        <v>24</v>
      </c>
      <c r="F301" s="321"/>
      <c r="G301" s="322">
        <v>46107.58333333334</v>
      </c>
      <c r="H301" s="322">
        <v>46114.58333333334</v>
      </c>
      <c r="I301" s="321" t="s">
        <v>1162</v>
      </c>
      <c r="J301" s="322" t="s">
        <v>1162</v>
      </c>
      <c r="K301" s="321" t="s">
        <v>1162</v>
      </c>
      <c r="L301" s="329" t="s">
        <v>1162</v>
      </c>
      <c r="M301" s="329" t="s">
        <v>1162</v>
      </c>
      <c r="N301" s="330" t="s">
        <v>1162</v>
      </c>
      <c r="O301" s="330" t="s">
        <v>1162</v>
      </c>
      <c r="P301" s="330" t="s">
        <v>1162</v>
      </c>
      <c r="Q301" s="321"/>
      <c r="R301" s="321"/>
      <c r="S301" s="321"/>
      <c r="T301" s="321"/>
      <c r="U301" s="322"/>
      <c r="V301" s="325"/>
      <c r="W301" s="326">
        <f t="shared" si="2"/>
        <v>46114.58333</v>
      </c>
      <c r="X301" s="327"/>
      <c r="Y301" s="327"/>
      <c r="Z301" s="327"/>
      <c r="AA301" s="328"/>
    </row>
    <row r="302" ht="15.75" hidden="1" customHeight="1">
      <c r="A302" s="317" t="s">
        <v>743</v>
      </c>
      <c r="B302" s="318" t="str">
        <f>IFERROR(VLOOKUP(A302&amp;"", STUDENTS!A:B, 2, 0), "")</f>
        <v>LÂM VĂN TIẾN</v>
      </c>
      <c r="C302" s="319" t="s">
        <v>77</v>
      </c>
      <c r="D302" s="319" t="str">
        <f>IFERROR(VLOOKUP(C302, PIC!A:B, 2, 0), "")</f>
        <v>Vinh Nguyen</v>
      </c>
      <c r="E302" s="320" t="s">
        <v>24</v>
      </c>
      <c r="F302" s="321"/>
      <c r="G302" s="322">
        <v>46107.58333333334</v>
      </c>
      <c r="H302" s="322">
        <v>46114.58333333334</v>
      </c>
      <c r="I302" s="321">
        <v>46121.58333333334</v>
      </c>
      <c r="J302" s="322">
        <v>46128.58333333334</v>
      </c>
      <c r="K302" s="321">
        <v>46135.58333333334</v>
      </c>
      <c r="L302" s="323">
        <v>46149.583333333336</v>
      </c>
      <c r="M302" s="324">
        <v>46156.583333333336</v>
      </c>
      <c r="N302" s="323">
        <v>46171.583333333336</v>
      </c>
      <c r="O302" s="323">
        <v>46184.541666666664</v>
      </c>
      <c r="P302" s="323">
        <v>46191.541666666664</v>
      </c>
      <c r="Q302" s="321"/>
      <c r="R302" s="321"/>
      <c r="S302" s="321"/>
      <c r="T302" s="321"/>
      <c r="U302" s="322"/>
      <c r="V302" s="325"/>
      <c r="W302" s="326">
        <f t="shared" si="2"/>
        <v>46191.54167</v>
      </c>
      <c r="X302" s="327"/>
      <c r="Y302" s="327"/>
      <c r="Z302" s="327"/>
      <c r="AA302" s="328"/>
    </row>
    <row r="303" ht="15.75" hidden="1" customHeight="1">
      <c r="A303" s="317" t="s">
        <v>745</v>
      </c>
      <c r="B303" s="318" t="str">
        <f>IFERROR(VLOOKUP(A303&amp;"", STUDENTS!A:B, 2, 0), "")</f>
        <v>NGUYỄN PHAN THẾ VINH</v>
      </c>
      <c r="C303" s="319" t="s">
        <v>77</v>
      </c>
      <c r="D303" s="319" t="str">
        <f>IFERROR(VLOOKUP(C303, PIC!A:B, 2, 0), "")</f>
        <v>Vinh Nguyen</v>
      </c>
      <c r="E303" s="320" t="s">
        <v>24</v>
      </c>
      <c r="F303" s="321"/>
      <c r="G303" s="322">
        <v>46107.58333333334</v>
      </c>
      <c r="H303" s="322">
        <v>46114.58333333334</v>
      </c>
      <c r="I303" s="321">
        <v>46121.58333333334</v>
      </c>
      <c r="J303" s="322">
        <v>46128.58333333334</v>
      </c>
      <c r="K303" s="321" t="s">
        <v>1162</v>
      </c>
      <c r="L303" s="323">
        <v>46149.583333333336</v>
      </c>
      <c r="M303" s="324">
        <v>46156.583333333336</v>
      </c>
      <c r="N303" s="323">
        <v>46171.583333333336</v>
      </c>
      <c r="O303" s="323">
        <v>46184.541666666664</v>
      </c>
      <c r="P303" s="330" t="s">
        <v>1162</v>
      </c>
      <c r="Q303" s="321"/>
      <c r="R303" s="321"/>
      <c r="S303" s="321"/>
      <c r="T303" s="321"/>
      <c r="U303" s="322"/>
      <c r="V303" s="325"/>
      <c r="W303" s="326">
        <f t="shared" si="2"/>
        <v>46184.54167</v>
      </c>
      <c r="X303" s="327"/>
      <c r="Y303" s="327"/>
      <c r="Z303" s="327"/>
      <c r="AA303" s="328"/>
    </row>
    <row r="304" ht="15.75" hidden="1" customHeight="1">
      <c r="A304" s="317" t="s">
        <v>747</v>
      </c>
      <c r="B304" s="318" t="str">
        <f>IFERROR(VLOOKUP(A304&amp;"", STUDENTS!A:B, 2, 0), "")</f>
        <v>NGUYỄN QUANG TRUNG</v>
      </c>
      <c r="C304" s="319" t="s">
        <v>77</v>
      </c>
      <c r="D304" s="319" t="str">
        <f>IFERROR(VLOOKUP(C304, PIC!A:B, 2, 0), "")</f>
        <v>Vinh Nguyen</v>
      </c>
      <c r="E304" s="320" t="s">
        <v>24</v>
      </c>
      <c r="F304" s="321"/>
      <c r="G304" s="322">
        <v>46107.58333333334</v>
      </c>
      <c r="H304" s="322">
        <v>46114.58333333334</v>
      </c>
      <c r="I304" s="321">
        <v>46121.58333333334</v>
      </c>
      <c r="J304" s="322">
        <v>46128.58333333334</v>
      </c>
      <c r="K304" s="321">
        <v>46135.58333333334</v>
      </c>
      <c r="L304" s="323">
        <v>46149.583333333336</v>
      </c>
      <c r="M304" s="324">
        <v>46156.583333333336</v>
      </c>
      <c r="N304" s="323">
        <v>46171.583333333336</v>
      </c>
      <c r="O304" s="323">
        <v>46184.541666666664</v>
      </c>
      <c r="P304" s="323">
        <v>46191.541666666664</v>
      </c>
      <c r="Q304" s="321"/>
      <c r="R304" s="321"/>
      <c r="S304" s="321"/>
      <c r="T304" s="321"/>
      <c r="U304" s="322"/>
      <c r="V304" s="325"/>
      <c r="W304" s="326">
        <f t="shared" si="2"/>
        <v>46191.54167</v>
      </c>
      <c r="X304" s="327"/>
      <c r="Y304" s="327"/>
      <c r="Z304" s="327"/>
      <c r="AA304" s="328"/>
    </row>
    <row r="305" ht="15.75" hidden="1" customHeight="1">
      <c r="A305" s="317" t="s">
        <v>748</v>
      </c>
      <c r="B305" s="318" t="str">
        <f>IFERROR(VLOOKUP(A305&amp;"", STUDENTS!A:B, 2, 0), "")</f>
        <v>NGUYỄN TRANG QUỲNH NHƯ</v>
      </c>
      <c r="C305" s="319" t="s">
        <v>77</v>
      </c>
      <c r="D305" s="319" t="str">
        <f>IFERROR(VLOOKUP(C305, PIC!A:B, 2, 0), "")</f>
        <v>Vinh Nguyen</v>
      </c>
      <c r="E305" s="320" t="s">
        <v>24</v>
      </c>
      <c r="F305" s="321"/>
      <c r="G305" s="322">
        <v>46107.58333333334</v>
      </c>
      <c r="H305" s="322" t="s">
        <v>1162</v>
      </c>
      <c r="I305" s="321">
        <v>46121.58333333334</v>
      </c>
      <c r="J305" s="322">
        <v>46128.58333333334</v>
      </c>
      <c r="K305" s="321">
        <v>46135.58333333334</v>
      </c>
      <c r="L305" s="323">
        <v>46149.583333333336</v>
      </c>
      <c r="M305" s="324">
        <v>46156.583333333336</v>
      </c>
      <c r="N305" s="321"/>
      <c r="O305" s="323">
        <v>46184.541666666664</v>
      </c>
      <c r="P305" s="323">
        <v>46191.541666666664</v>
      </c>
      <c r="Q305" s="321"/>
      <c r="R305" s="321"/>
      <c r="S305" s="321"/>
      <c r="T305" s="321"/>
      <c r="U305" s="322"/>
      <c r="V305" s="325"/>
      <c r="W305" s="326">
        <f t="shared" si="2"/>
        <v>46191.54167</v>
      </c>
      <c r="X305" s="327"/>
      <c r="Y305" s="327"/>
      <c r="Z305" s="327"/>
      <c r="AA305" s="328"/>
    </row>
    <row r="306" ht="15.75" hidden="1" customHeight="1">
      <c r="A306" s="317" t="s">
        <v>750</v>
      </c>
      <c r="B306" s="318" t="str">
        <f>IFERROR(VLOOKUP(A306&amp;"", STUDENTS!A:B, 2, 0), "")</f>
        <v>NGUYỄN TRÚC DUYÊN</v>
      </c>
      <c r="C306" s="319" t="s">
        <v>77</v>
      </c>
      <c r="D306" s="319" t="str">
        <f>IFERROR(VLOOKUP(C306, PIC!A:B, 2, 0), "")</f>
        <v>Vinh Nguyen</v>
      </c>
      <c r="E306" s="320" t="s">
        <v>24</v>
      </c>
      <c r="F306" s="321"/>
      <c r="G306" s="322">
        <v>46107.58333333334</v>
      </c>
      <c r="H306" s="322">
        <v>46114.58333333334</v>
      </c>
      <c r="I306" s="321" t="s">
        <v>1162</v>
      </c>
      <c r="J306" s="322">
        <v>46128.58333333334</v>
      </c>
      <c r="K306" s="321">
        <v>46135.58333333334</v>
      </c>
      <c r="L306" s="323">
        <v>46149.583333333336</v>
      </c>
      <c r="M306" s="324">
        <v>46156.583333333336</v>
      </c>
      <c r="N306" s="321"/>
      <c r="O306" s="323">
        <v>46184.541666666664</v>
      </c>
      <c r="P306" s="323">
        <v>46191.541666666664</v>
      </c>
      <c r="Q306" s="321"/>
      <c r="R306" s="321"/>
      <c r="S306" s="321"/>
      <c r="T306" s="321"/>
      <c r="U306" s="322"/>
      <c r="V306" s="325"/>
      <c r="W306" s="326">
        <f t="shared" si="2"/>
        <v>46191.54167</v>
      </c>
      <c r="X306" s="327"/>
      <c r="Y306" s="327"/>
      <c r="Z306" s="327"/>
      <c r="AA306" s="328"/>
    </row>
    <row r="307" ht="15.75" hidden="1" customHeight="1">
      <c r="A307" s="275" t="s">
        <v>769</v>
      </c>
      <c r="B307" s="276" t="str">
        <f>IFERROR(VLOOKUP(A307&amp;"", STUDENTS!A:B, 2, 0), "")</f>
        <v>ĐỖ THANH TÙNG</v>
      </c>
      <c r="C307" s="122" t="s">
        <v>78</v>
      </c>
      <c r="D307" s="122" t="str">
        <f>IFERROR(VLOOKUP(C307, PIC!A:B, 2, 0), "")</f>
        <v>Yen Tran 1</v>
      </c>
      <c r="E307" s="123" t="s">
        <v>22</v>
      </c>
      <c r="F307" s="277">
        <v>45638.45833333334</v>
      </c>
      <c r="G307" s="278">
        <v>45659.45833333334</v>
      </c>
      <c r="H307" s="278">
        <v>45677.45833333334</v>
      </c>
      <c r="I307" s="277">
        <v>45692.45833333334</v>
      </c>
      <c r="J307" s="278">
        <v>45768.54166666666</v>
      </c>
      <c r="K307" s="277">
        <v>45817.54166666666</v>
      </c>
      <c r="L307" s="278">
        <v>45831.58333333334</v>
      </c>
      <c r="M307" s="278">
        <v>45861.41666666666</v>
      </c>
      <c r="N307" s="277">
        <v>45861.45833333334</v>
      </c>
      <c r="O307" s="277">
        <v>45887.54166666666</v>
      </c>
      <c r="P307" s="277"/>
      <c r="Q307" s="277"/>
      <c r="R307" s="277"/>
      <c r="S307" s="277"/>
      <c r="T307" s="277"/>
      <c r="U307" s="278"/>
      <c r="V307" s="281"/>
      <c r="W307" s="282">
        <f t="shared" si="2"/>
        <v>45887.54167</v>
      </c>
      <c r="X307" s="283"/>
      <c r="Y307" s="283"/>
      <c r="Z307" s="235"/>
      <c r="AA307" s="43"/>
    </row>
    <row r="308" ht="15.75" hidden="1" customHeight="1">
      <c r="A308" s="265" t="s">
        <v>771</v>
      </c>
      <c r="B308" s="266" t="str">
        <f>IFERROR(VLOOKUP(A308&amp;"", STUDENTS!A:B, 2, 0), "")</f>
        <v>LÊ CÔNG DUY</v>
      </c>
      <c r="C308" s="104" t="s">
        <v>78</v>
      </c>
      <c r="D308" s="104" t="str">
        <f>IFERROR(VLOOKUP(C308, PIC!A:B, 2, 0), "")</f>
        <v>Yen Tran 1</v>
      </c>
      <c r="E308" s="105" t="s">
        <v>22</v>
      </c>
      <c r="F308" s="267">
        <v>45638.45833333334</v>
      </c>
      <c r="G308" s="268">
        <v>45659.45833333334</v>
      </c>
      <c r="H308" s="268">
        <v>45677.45833333334</v>
      </c>
      <c r="I308" s="267">
        <v>45692.45833333334</v>
      </c>
      <c r="J308" s="268">
        <v>45768.54166666666</v>
      </c>
      <c r="K308" s="267">
        <v>45817.54166666666</v>
      </c>
      <c r="L308" s="268" t="s">
        <v>1162</v>
      </c>
      <c r="M308" s="268" t="s">
        <v>1162</v>
      </c>
      <c r="N308" s="267" t="s">
        <v>1162</v>
      </c>
      <c r="O308" s="267">
        <v>45887.54166666666</v>
      </c>
      <c r="P308" s="267"/>
      <c r="Q308" s="267"/>
      <c r="R308" s="267"/>
      <c r="S308" s="267"/>
      <c r="T308" s="267"/>
      <c r="U308" s="268"/>
      <c r="V308" s="271"/>
      <c r="W308" s="272">
        <f t="shared" si="2"/>
        <v>45887.54167</v>
      </c>
      <c r="X308" s="273"/>
      <c r="Y308" s="273"/>
      <c r="Z308" s="235"/>
      <c r="AA308" s="43"/>
    </row>
    <row r="309" ht="15.75" hidden="1" customHeight="1">
      <c r="A309" s="275" t="s">
        <v>777</v>
      </c>
      <c r="B309" s="276" t="str">
        <f>IFERROR(VLOOKUP(A309&amp;"", STUDENTS!A:B, 2, 0), "")</f>
        <v>LÊ ĐẮC CƯỜNG</v>
      </c>
      <c r="C309" s="122" t="s">
        <v>78</v>
      </c>
      <c r="D309" s="122" t="str">
        <f>IFERROR(VLOOKUP(C309, PIC!A:B, 2, 0), "")</f>
        <v>Yen Tran 1</v>
      </c>
      <c r="E309" s="123" t="s">
        <v>22</v>
      </c>
      <c r="F309" s="277">
        <v>45638.45833333334</v>
      </c>
      <c r="G309" s="278">
        <v>45659.45833333334</v>
      </c>
      <c r="H309" s="278">
        <v>45677.45833333334</v>
      </c>
      <c r="I309" s="277">
        <v>45692.45833333334</v>
      </c>
      <c r="J309" s="278" t="s">
        <v>1162</v>
      </c>
      <c r="K309" s="277">
        <v>45817.54166666666</v>
      </c>
      <c r="L309" s="278" t="s">
        <v>1162</v>
      </c>
      <c r="M309" s="278" t="s">
        <v>1162</v>
      </c>
      <c r="N309" s="277" t="s">
        <v>1162</v>
      </c>
      <c r="O309" s="277" t="s">
        <v>1162</v>
      </c>
      <c r="P309" s="277"/>
      <c r="Q309" s="277"/>
      <c r="R309" s="277"/>
      <c r="S309" s="277"/>
      <c r="T309" s="277"/>
      <c r="U309" s="278"/>
      <c r="V309" s="281"/>
      <c r="W309" s="282">
        <f t="shared" si="2"/>
        <v>45817.54167</v>
      </c>
      <c r="X309" s="283"/>
      <c r="Y309" s="283"/>
      <c r="Z309" s="235"/>
      <c r="AA309" s="43"/>
    </row>
    <row r="310" ht="15.75" hidden="1" customHeight="1">
      <c r="A310" s="265" t="s">
        <v>773</v>
      </c>
      <c r="B310" s="266" t="str">
        <f>IFERROR(VLOOKUP(A310&amp;"", STUDENTS!A:B, 2, 0), "")</f>
        <v>NGUYỄN PHI LONG</v>
      </c>
      <c r="C310" s="104" t="s">
        <v>78</v>
      </c>
      <c r="D310" s="104" t="str">
        <f>IFERROR(VLOOKUP(C310, PIC!A:B, 2, 0), "")</f>
        <v>Yen Tran 1</v>
      </c>
      <c r="E310" s="105" t="s">
        <v>22</v>
      </c>
      <c r="F310" s="267">
        <v>45638.45833333334</v>
      </c>
      <c r="G310" s="268">
        <v>45659.45833333334</v>
      </c>
      <c r="H310" s="268">
        <v>45677.45833333334</v>
      </c>
      <c r="I310" s="267">
        <v>45692.45833333334</v>
      </c>
      <c r="J310" s="268">
        <v>45768.54166666666</v>
      </c>
      <c r="K310" s="267">
        <v>45817.54166666666</v>
      </c>
      <c r="L310" s="268">
        <v>45831.58333333334</v>
      </c>
      <c r="M310" s="268">
        <v>45861.41666666666</v>
      </c>
      <c r="N310" s="267">
        <v>45861.45833333334</v>
      </c>
      <c r="O310" s="267">
        <v>45887.54166666666</v>
      </c>
      <c r="P310" s="267"/>
      <c r="Q310" s="267"/>
      <c r="R310" s="267"/>
      <c r="S310" s="267"/>
      <c r="T310" s="267"/>
      <c r="U310" s="268"/>
      <c r="V310" s="271"/>
      <c r="W310" s="272">
        <f t="shared" si="2"/>
        <v>45887.54167</v>
      </c>
      <c r="X310" s="273"/>
      <c r="Y310" s="273"/>
      <c r="Z310" s="235"/>
      <c r="AA310" s="43"/>
    </row>
    <row r="311" ht="15.75" hidden="1" customHeight="1">
      <c r="A311" s="275" t="s">
        <v>775</v>
      </c>
      <c r="B311" s="276" t="str">
        <f>IFERROR(VLOOKUP(A311&amp;"", STUDENTS!A:B, 2, 0), "")</f>
        <v>VŨ ANH THƯ</v>
      </c>
      <c r="C311" s="122" t="s">
        <v>78</v>
      </c>
      <c r="D311" s="122" t="str">
        <f>IFERROR(VLOOKUP(C311, PIC!A:B, 2, 0), "")</f>
        <v>Yen Tran 1</v>
      </c>
      <c r="E311" s="123" t="s">
        <v>22</v>
      </c>
      <c r="F311" s="277">
        <v>45638.45833333334</v>
      </c>
      <c r="G311" s="278">
        <v>45659.45833333334</v>
      </c>
      <c r="H311" s="278">
        <v>45677.45833333334</v>
      </c>
      <c r="I311" s="277">
        <v>45692.45833333334</v>
      </c>
      <c r="J311" s="278">
        <v>45768.54166666666</v>
      </c>
      <c r="K311" s="277">
        <v>45817.54166666666</v>
      </c>
      <c r="L311" s="278">
        <v>45831.58333333334</v>
      </c>
      <c r="M311" s="278">
        <v>45861.41666666666</v>
      </c>
      <c r="N311" s="277">
        <v>45861.45833333334</v>
      </c>
      <c r="O311" s="277">
        <v>45887.54166666666</v>
      </c>
      <c r="P311" s="277"/>
      <c r="Q311" s="277"/>
      <c r="R311" s="277"/>
      <c r="S311" s="277"/>
      <c r="T311" s="277"/>
      <c r="U311" s="278"/>
      <c r="V311" s="281"/>
      <c r="W311" s="282">
        <f t="shared" si="2"/>
        <v>45887.54167</v>
      </c>
      <c r="X311" s="283"/>
      <c r="Y311" s="283"/>
      <c r="Z311" s="235"/>
      <c r="AA311" s="43"/>
    </row>
    <row r="312" ht="15.75" hidden="1" customHeight="1">
      <c r="A312" s="265" t="s">
        <v>779</v>
      </c>
      <c r="B312" s="266" t="str">
        <f>IFERROR(VLOOKUP(A312&amp;"", STUDENTS!A:B, 2, 0), "")</f>
        <v>VŨ ANH TÚ</v>
      </c>
      <c r="C312" s="104" t="s">
        <v>78</v>
      </c>
      <c r="D312" s="104" t="str">
        <f>IFERROR(VLOOKUP(C312, PIC!A:B, 2, 0), "")</f>
        <v>Yen Tran 1</v>
      </c>
      <c r="E312" s="105" t="s">
        <v>22</v>
      </c>
      <c r="F312" s="267">
        <v>45638.45833333334</v>
      </c>
      <c r="G312" s="268">
        <v>45659.45833333334</v>
      </c>
      <c r="H312" s="268" t="s">
        <v>1162</v>
      </c>
      <c r="I312" s="267">
        <v>45692.45833333334</v>
      </c>
      <c r="J312" s="268" t="s">
        <v>1162</v>
      </c>
      <c r="K312" s="267">
        <v>45817.54166666666</v>
      </c>
      <c r="L312" s="268" t="s">
        <v>1162</v>
      </c>
      <c r="M312" s="268" t="s">
        <v>1162</v>
      </c>
      <c r="N312" s="267" t="s">
        <v>1162</v>
      </c>
      <c r="O312" s="267" t="s">
        <v>1162</v>
      </c>
      <c r="P312" s="267"/>
      <c r="Q312" s="267"/>
      <c r="R312" s="267"/>
      <c r="S312" s="267"/>
      <c r="T312" s="267"/>
      <c r="U312" s="268"/>
      <c r="V312" s="271"/>
      <c r="W312" s="272">
        <f t="shared" si="2"/>
        <v>45817.54167</v>
      </c>
      <c r="X312" s="273"/>
      <c r="Y312" s="273"/>
      <c r="Z312" s="235"/>
      <c r="AA312" s="43"/>
    </row>
    <row r="313" ht="15.75" hidden="1" customHeight="1">
      <c r="A313" s="275" t="s">
        <v>781</v>
      </c>
      <c r="B313" s="276" t="str">
        <f>IFERROR(VLOOKUP(A313&amp;"", STUDENTS!A:B, 2, 0), "")</f>
        <v>DƯƠNG LÊ XUÂN KHANG</v>
      </c>
      <c r="C313" s="122" t="s">
        <v>79</v>
      </c>
      <c r="D313" s="122" t="str">
        <f>IFERROR(VLOOKUP(C313, PIC!A:B, 2, 0), "")</f>
        <v>Yen Tran 2</v>
      </c>
      <c r="E313" s="123" t="s">
        <v>22</v>
      </c>
      <c r="F313" s="277">
        <v>45645.45833333334</v>
      </c>
      <c r="G313" s="278">
        <v>45652.45833333334</v>
      </c>
      <c r="H313" s="278">
        <v>45670.45833333334</v>
      </c>
      <c r="I313" s="277">
        <v>45698.41666666666</v>
      </c>
      <c r="J313" s="278">
        <v>45761.54166666666</v>
      </c>
      <c r="K313" s="277">
        <v>45789.54166666666</v>
      </c>
      <c r="L313" s="278">
        <v>45803.41666666666</v>
      </c>
      <c r="M313" s="278">
        <v>45817.41666666666</v>
      </c>
      <c r="N313" s="277">
        <v>45831.41666666666</v>
      </c>
      <c r="O313" s="277">
        <v>45859.54166666666</v>
      </c>
      <c r="P313" s="277"/>
      <c r="Q313" s="277"/>
      <c r="R313" s="277"/>
      <c r="S313" s="277"/>
      <c r="T313" s="277"/>
      <c r="U313" s="278"/>
      <c r="V313" s="281"/>
      <c r="W313" s="282">
        <f t="shared" si="2"/>
        <v>45859.54167</v>
      </c>
      <c r="X313" s="283"/>
      <c r="Y313" s="283"/>
      <c r="Z313" s="235"/>
      <c r="AA313" s="43"/>
    </row>
    <row r="314" ht="15.75" hidden="1" customHeight="1">
      <c r="A314" s="265" t="s">
        <v>783</v>
      </c>
      <c r="B314" s="266" t="str">
        <f>IFERROR(VLOOKUP(A314&amp;"", STUDENTS!A:B, 2, 0), "")</f>
        <v>HOÀNG ĐĂNG TRIỆU</v>
      </c>
      <c r="C314" s="104" t="s">
        <v>79</v>
      </c>
      <c r="D314" s="104" t="str">
        <f>IFERROR(VLOOKUP(C314, PIC!A:B, 2, 0), "")</f>
        <v>Yen Tran 2</v>
      </c>
      <c r="E314" s="105" t="s">
        <v>22</v>
      </c>
      <c r="F314" s="267">
        <v>45645.45833333334</v>
      </c>
      <c r="G314" s="268">
        <v>45652.45833333334</v>
      </c>
      <c r="H314" s="268">
        <v>45670.45833333334</v>
      </c>
      <c r="I314" s="267" t="s">
        <v>1162</v>
      </c>
      <c r="J314" s="268">
        <v>45761.54166666666</v>
      </c>
      <c r="K314" s="267">
        <v>45789.54166666666</v>
      </c>
      <c r="L314" s="268">
        <v>45803.41666666666</v>
      </c>
      <c r="M314" s="268">
        <v>45817.41666666666</v>
      </c>
      <c r="N314" s="267">
        <v>45831.41666666666</v>
      </c>
      <c r="O314" s="267">
        <v>45859.54166666666</v>
      </c>
      <c r="P314" s="267"/>
      <c r="Q314" s="267"/>
      <c r="R314" s="267"/>
      <c r="S314" s="267"/>
      <c r="T314" s="267"/>
      <c r="U314" s="268"/>
      <c r="V314" s="271"/>
      <c r="W314" s="272">
        <f t="shared" si="2"/>
        <v>45859.54167</v>
      </c>
      <c r="X314" s="273"/>
      <c r="Y314" s="273"/>
      <c r="Z314" s="235"/>
      <c r="AA314" s="43"/>
    </row>
    <row r="315" ht="15.75" hidden="1" customHeight="1">
      <c r="A315" s="275" t="s">
        <v>785</v>
      </c>
      <c r="B315" s="276" t="str">
        <f>IFERROR(VLOOKUP(A315&amp;"", STUDENTS!A:B, 2, 0), "")</f>
        <v>NGUYỄN QUỐC DUY</v>
      </c>
      <c r="C315" s="122" t="s">
        <v>79</v>
      </c>
      <c r="D315" s="122" t="str">
        <f>IFERROR(VLOOKUP(C315, PIC!A:B, 2, 0), "")</f>
        <v>Yen Tran 2</v>
      </c>
      <c r="E315" s="123" t="s">
        <v>22</v>
      </c>
      <c r="F315" s="277">
        <v>45645.45833333334</v>
      </c>
      <c r="G315" s="278">
        <v>45652.45833333334</v>
      </c>
      <c r="H315" s="278">
        <v>45670.45833333334</v>
      </c>
      <c r="I315" s="277">
        <v>45698.41666666666</v>
      </c>
      <c r="J315" s="278">
        <v>45761.54166666666</v>
      </c>
      <c r="K315" s="277">
        <v>45789.54166666666</v>
      </c>
      <c r="L315" s="278">
        <v>45803.41666666666</v>
      </c>
      <c r="M315" s="278">
        <v>45817.41666666666</v>
      </c>
      <c r="N315" s="277">
        <v>45831.41666666666</v>
      </c>
      <c r="O315" s="277">
        <v>45859.54166666666</v>
      </c>
      <c r="P315" s="277"/>
      <c r="Q315" s="277"/>
      <c r="R315" s="277"/>
      <c r="S315" s="277"/>
      <c r="T315" s="277"/>
      <c r="U315" s="278"/>
      <c r="V315" s="281"/>
      <c r="W315" s="282">
        <f t="shared" si="2"/>
        <v>45859.54167</v>
      </c>
      <c r="X315" s="283"/>
      <c r="Y315" s="283"/>
      <c r="Z315" s="235"/>
      <c r="AA315" s="43"/>
    </row>
    <row r="316" ht="15.75" hidden="1" customHeight="1">
      <c r="A316" s="265" t="s">
        <v>787</v>
      </c>
      <c r="B316" s="266" t="str">
        <f>IFERROR(VLOOKUP(A316&amp;"", STUDENTS!A:B, 2, 0), "")</f>
        <v>NGUYỄN THỊ NGỌC LỮ</v>
      </c>
      <c r="C316" s="104" t="s">
        <v>79</v>
      </c>
      <c r="D316" s="104" t="str">
        <f>IFERROR(VLOOKUP(C316, PIC!A:B, 2, 0), "")</f>
        <v>Yen Tran 2</v>
      </c>
      <c r="E316" s="105" t="s">
        <v>22</v>
      </c>
      <c r="F316" s="267">
        <v>45645.45833333334</v>
      </c>
      <c r="G316" s="268">
        <v>45652.45833333334</v>
      </c>
      <c r="H316" s="268" t="s">
        <v>1162</v>
      </c>
      <c r="I316" s="267">
        <v>45698.41666666666</v>
      </c>
      <c r="J316" s="268" t="s">
        <v>1162</v>
      </c>
      <c r="K316" s="267" t="s">
        <v>1162</v>
      </c>
      <c r="L316" s="268">
        <v>45803.41666666666</v>
      </c>
      <c r="M316" s="268">
        <v>45817.41666666666</v>
      </c>
      <c r="N316" s="267">
        <v>45831.41666666666</v>
      </c>
      <c r="O316" s="267">
        <v>45859.54166666666</v>
      </c>
      <c r="P316" s="267"/>
      <c r="Q316" s="267"/>
      <c r="R316" s="267"/>
      <c r="S316" s="267"/>
      <c r="T316" s="267"/>
      <c r="U316" s="268"/>
      <c r="V316" s="271"/>
      <c r="W316" s="272">
        <f t="shared" si="2"/>
        <v>45859.54167</v>
      </c>
      <c r="X316" s="273"/>
      <c r="Y316" s="273"/>
      <c r="Z316" s="235"/>
      <c r="AA316" s="43"/>
    </row>
    <row r="317" ht="15.75" hidden="1" customHeight="1">
      <c r="A317" s="275" t="s">
        <v>789</v>
      </c>
      <c r="B317" s="276" t="str">
        <f>IFERROR(VLOOKUP(A317&amp;"", STUDENTS!A:B, 2, 0), "")</f>
        <v>NGUYỄN TRẦN LỆ DUYÊN</v>
      </c>
      <c r="C317" s="122" t="s">
        <v>79</v>
      </c>
      <c r="D317" s="122" t="str">
        <f>IFERROR(VLOOKUP(C317, PIC!A:B, 2, 0), "")</f>
        <v>Yen Tran 2</v>
      </c>
      <c r="E317" s="123" t="s">
        <v>22</v>
      </c>
      <c r="F317" s="277">
        <v>45645.45833333334</v>
      </c>
      <c r="G317" s="278">
        <v>45652.45833333334</v>
      </c>
      <c r="H317" s="278">
        <v>45670.45833333334</v>
      </c>
      <c r="I317" s="277">
        <v>45698.41666666666</v>
      </c>
      <c r="J317" s="278" t="s">
        <v>1162</v>
      </c>
      <c r="K317" s="277">
        <v>45789.54166666666</v>
      </c>
      <c r="L317" s="278" t="s">
        <v>1162</v>
      </c>
      <c r="M317" s="278">
        <v>45817.58333333334</v>
      </c>
      <c r="N317" s="277">
        <v>45831.45833333334</v>
      </c>
      <c r="O317" s="277">
        <v>45859.54166666666</v>
      </c>
      <c r="P317" s="277"/>
      <c r="Q317" s="277"/>
      <c r="R317" s="277"/>
      <c r="S317" s="277"/>
      <c r="T317" s="277"/>
      <c r="U317" s="278"/>
      <c r="V317" s="281"/>
      <c r="W317" s="282">
        <f t="shared" si="2"/>
        <v>45859.54167</v>
      </c>
      <c r="X317" s="283"/>
      <c r="Y317" s="283"/>
      <c r="Z317" s="235"/>
      <c r="AA317" s="43"/>
    </row>
    <row r="318" ht="15.75" hidden="1" customHeight="1">
      <c r="A318" s="265" t="s">
        <v>805</v>
      </c>
      <c r="B318" s="266" t="str">
        <f>IFERROR(VLOOKUP(A318&amp;"", STUDENTS!A:B, 2, 0), "")</f>
        <v>PHẠM THỊ OANH THƠ</v>
      </c>
      <c r="C318" s="104" t="s">
        <v>79</v>
      </c>
      <c r="D318" s="104" t="str">
        <f>IFERROR(VLOOKUP(C318, PIC!A:B, 2, 0), "")</f>
        <v>Yen Tran 2</v>
      </c>
      <c r="E318" s="105" t="s">
        <v>22</v>
      </c>
      <c r="F318" s="267">
        <v>45645.45833333334</v>
      </c>
      <c r="G318" s="268">
        <v>45652.45833333334</v>
      </c>
      <c r="H318" s="268">
        <v>45670.45833333334</v>
      </c>
      <c r="I318" s="267">
        <v>45698.41666666666</v>
      </c>
      <c r="J318" s="268">
        <v>45761.54166666666</v>
      </c>
      <c r="K318" s="267">
        <v>45789.54166666666</v>
      </c>
      <c r="L318" s="268">
        <v>45803.41666666666</v>
      </c>
      <c r="M318" s="268">
        <v>45817.41666666666</v>
      </c>
      <c r="N318" s="267">
        <v>45831.41666666666</v>
      </c>
      <c r="O318" s="267">
        <v>45859.54166666666</v>
      </c>
      <c r="P318" s="267"/>
      <c r="Q318" s="267"/>
      <c r="R318" s="267"/>
      <c r="S318" s="267"/>
      <c r="T318" s="267"/>
      <c r="U318" s="268"/>
      <c r="V318" s="271"/>
      <c r="W318" s="272">
        <f t="shared" si="2"/>
        <v>45859.54167</v>
      </c>
      <c r="X318" s="273"/>
      <c r="Y318" s="273"/>
      <c r="Z318" s="235"/>
      <c r="AA318" s="43"/>
    </row>
    <row r="319" ht="15.75" hidden="1" customHeight="1">
      <c r="A319" s="275" t="s">
        <v>813</v>
      </c>
      <c r="B319" s="276" t="str">
        <f>IFERROR(VLOOKUP(A319&amp;"", STUDENTS!A:B, 2, 0), "")</f>
        <v>ĐẶNG QUỐC VIỆT</v>
      </c>
      <c r="C319" s="122" t="s">
        <v>80</v>
      </c>
      <c r="D319" s="122" t="str">
        <f>IFERROR(VLOOKUP(C319, PIC!A:B, 2, 0), "")</f>
        <v>Yen Tran 3</v>
      </c>
      <c r="E319" s="123" t="s">
        <v>22</v>
      </c>
      <c r="F319" s="277" t="s">
        <v>1162</v>
      </c>
      <c r="G319" s="278">
        <v>45666.45833333334</v>
      </c>
      <c r="H319" s="278">
        <v>45680.45833333334</v>
      </c>
      <c r="I319" s="277">
        <v>45701.45833333334</v>
      </c>
      <c r="J319" s="278">
        <v>45762.41666666666</v>
      </c>
      <c r="K319" s="277">
        <v>45790.45833333334</v>
      </c>
      <c r="L319" s="278">
        <v>45817.58333333334</v>
      </c>
      <c r="M319" s="278">
        <v>45831.45833333334</v>
      </c>
      <c r="N319" s="277">
        <v>45846.45833333334</v>
      </c>
      <c r="O319" s="279">
        <v>45853.458333333336</v>
      </c>
      <c r="P319" s="277"/>
      <c r="Q319" s="277"/>
      <c r="R319" s="277"/>
      <c r="S319" s="277"/>
      <c r="T319" s="277"/>
      <c r="U319" s="278"/>
      <c r="V319" s="281"/>
      <c r="W319" s="282">
        <f t="shared" si="2"/>
        <v>45853.45833</v>
      </c>
      <c r="X319" s="283"/>
      <c r="Y319" s="283"/>
      <c r="Z319" s="235"/>
      <c r="AA319" s="43"/>
    </row>
    <row r="320" ht="15.75" hidden="1" customHeight="1">
      <c r="A320" s="265" t="s">
        <v>815</v>
      </c>
      <c r="B320" s="266" t="str">
        <f>IFERROR(VLOOKUP(A320&amp;"", STUDENTS!A:B, 2, 0), "")</f>
        <v>ĐOÀN QUỐC HẢI</v>
      </c>
      <c r="C320" s="104" t="s">
        <v>80</v>
      </c>
      <c r="D320" s="104" t="str">
        <f>IFERROR(VLOOKUP(C320, PIC!A:B, 2, 0), "")</f>
        <v>Yen Tran 3</v>
      </c>
      <c r="E320" s="105" t="s">
        <v>22</v>
      </c>
      <c r="F320" s="267">
        <v>45646.41666666666</v>
      </c>
      <c r="G320" s="268">
        <v>45663.45833333334</v>
      </c>
      <c r="H320" s="268">
        <v>45680.45833333334</v>
      </c>
      <c r="I320" s="267">
        <v>45701.45833333334</v>
      </c>
      <c r="J320" s="268">
        <v>45762.41666666666</v>
      </c>
      <c r="K320" s="267">
        <v>45790.45833333334</v>
      </c>
      <c r="L320" s="268">
        <v>45817.58333333334</v>
      </c>
      <c r="M320" s="268">
        <v>45831.45833333334</v>
      </c>
      <c r="N320" s="267">
        <v>45846.45833333334</v>
      </c>
      <c r="O320" s="269">
        <v>45853.458333333336</v>
      </c>
      <c r="P320" s="267"/>
      <c r="Q320" s="267"/>
      <c r="R320" s="267"/>
      <c r="S320" s="267"/>
      <c r="T320" s="267"/>
      <c r="U320" s="268"/>
      <c r="V320" s="271"/>
      <c r="W320" s="272">
        <f t="shared" si="2"/>
        <v>45853.45833</v>
      </c>
      <c r="X320" s="273"/>
      <c r="Y320" s="273"/>
      <c r="Z320" s="235"/>
      <c r="AA320" s="43"/>
    </row>
    <row r="321" ht="15.75" hidden="1" customHeight="1">
      <c r="A321" s="275" t="s">
        <v>807</v>
      </c>
      <c r="B321" s="276" t="str">
        <f>IFERROR(VLOOKUP(A321&amp;"", STUDENTS!A:B, 2, 0), "")</f>
        <v>NGUYỄN THẢO QUỲNH NHƯ</v>
      </c>
      <c r="C321" s="122" t="s">
        <v>80</v>
      </c>
      <c r="D321" s="122" t="str">
        <f>IFERROR(VLOOKUP(C321, PIC!A:B, 2, 0), "")</f>
        <v>Yen Tran 3</v>
      </c>
      <c r="E321" s="123" t="s">
        <v>22</v>
      </c>
      <c r="F321" s="277">
        <v>45646.41666666666</v>
      </c>
      <c r="G321" s="278">
        <v>45663.45833333334</v>
      </c>
      <c r="H321" s="278" t="s">
        <v>1162</v>
      </c>
      <c r="I321" s="277" t="s">
        <v>1162</v>
      </c>
      <c r="J321" s="278">
        <v>45761.54166666666</v>
      </c>
      <c r="K321" s="277" t="s">
        <v>1162</v>
      </c>
      <c r="L321" s="278" t="s">
        <v>1162</v>
      </c>
      <c r="M321" s="278">
        <v>45817.41666666666</v>
      </c>
      <c r="N321" s="277" t="s">
        <v>1162</v>
      </c>
      <c r="O321" s="279">
        <v>45853.458333333336</v>
      </c>
      <c r="P321" s="277"/>
      <c r="Q321" s="277"/>
      <c r="R321" s="277"/>
      <c r="S321" s="277"/>
      <c r="T321" s="277"/>
      <c r="U321" s="278"/>
      <c r="V321" s="281"/>
      <c r="W321" s="282">
        <f t="shared" si="2"/>
        <v>45853.45833</v>
      </c>
      <c r="X321" s="283"/>
      <c r="Y321" s="283"/>
      <c r="Z321" s="235"/>
      <c r="AA321" s="43"/>
    </row>
    <row r="322" ht="15.75" hidden="1" customHeight="1">
      <c r="A322" s="265" t="s">
        <v>817</v>
      </c>
      <c r="B322" s="266" t="str">
        <f>IFERROR(VLOOKUP(A322&amp;"", STUDENTS!A:B, 2, 0), "")</f>
        <v>PHẠM NGỌC ANH DUYÊN</v>
      </c>
      <c r="C322" s="104" t="s">
        <v>80</v>
      </c>
      <c r="D322" s="104" t="str">
        <f>IFERROR(VLOOKUP(C322, PIC!A:B, 2, 0), "")</f>
        <v>Yen Tran 3</v>
      </c>
      <c r="E322" s="105" t="s">
        <v>22</v>
      </c>
      <c r="F322" s="267">
        <v>45646.41666666666</v>
      </c>
      <c r="G322" s="268">
        <v>45663.45833333334</v>
      </c>
      <c r="H322" s="268">
        <v>45680.45833333334</v>
      </c>
      <c r="I322" s="267">
        <v>45701.45833333334</v>
      </c>
      <c r="J322" s="268">
        <v>45762.41666666666</v>
      </c>
      <c r="K322" s="267">
        <v>45790.45833333334</v>
      </c>
      <c r="L322" s="268">
        <v>45817.58333333334</v>
      </c>
      <c r="M322" s="268" t="s">
        <v>1162</v>
      </c>
      <c r="N322" s="267">
        <v>45846.45833333334</v>
      </c>
      <c r="O322" s="269">
        <v>45853.458333333336</v>
      </c>
      <c r="P322" s="267"/>
      <c r="Q322" s="267"/>
      <c r="R322" s="267"/>
      <c r="S322" s="267"/>
      <c r="T322" s="267"/>
      <c r="U322" s="268"/>
      <c r="V322" s="271"/>
      <c r="W322" s="272">
        <f t="shared" si="2"/>
        <v>45853.45833</v>
      </c>
      <c r="X322" s="273"/>
      <c r="Y322" s="273"/>
      <c r="Z322" s="235"/>
      <c r="AA322" s="43"/>
    </row>
    <row r="323" ht="15.75" hidden="1" customHeight="1">
      <c r="A323" s="275" t="s">
        <v>809</v>
      </c>
      <c r="B323" s="276" t="str">
        <f>IFERROR(VLOOKUP(A323&amp;"", STUDENTS!A:B, 2, 0), "")</f>
        <v>TRẦN THỊ YẾN</v>
      </c>
      <c r="C323" s="122" t="s">
        <v>80</v>
      </c>
      <c r="D323" s="122" t="str">
        <f>IFERROR(VLOOKUP(C323, PIC!A:B, 2, 0), "")</f>
        <v>Yen Tran 3</v>
      </c>
      <c r="E323" s="123" t="s">
        <v>22</v>
      </c>
      <c r="F323" s="277">
        <v>45646.41666666666</v>
      </c>
      <c r="G323" s="278">
        <v>45663.45833333334</v>
      </c>
      <c r="H323" s="278">
        <v>45680.45833333334</v>
      </c>
      <c r="I323" s="277">
        <v>45701.45833333334</v>
      </c>
      <c r="J323" s="278">
        <v>45762.41666666666</v>
      </c>
      <c r="K323" s="277">
        <v>45790.45833333334</v>
      </c>
      <c r="L323" s="278">
        <v>45817.58333333334</v>
      </c>
      <c r="M323" s="278">
        <v>45831.45833333334</v>
      </c>
      <c r="N323" s="277">
        <v>45846.45833333334</v>
      </c>
      <c r="O323" s="279">
        <v>45853.458333333336</v>
      </c>
      <c r="P323" s="277"/>
      <c r="Q323" s="277"/>
      <c r="R323" s="277"/>
      <c r="S323" s="277"/>
      <c r="T323" s="277"/>
      <c r="U323" s="278"/>
      <c r="V323" s="281"/>
      <c r="W323" s="282">
        <f t="shared" si="2"/>
        <v>45853.45833</v>
      </c>
      <c r="X323" s="283"/>
      <c r="Y323" s="283"/>
      <c r="Z323" s="235"/>
      <c r="AA323" s="43"/>
    </row>
    <row r="324" ht="15.75" hidden="1" customHeight="1">
      <c r="A324" s="265" t="s">
        <v>819</v>
      </c>
      <c r="B324" s="266" t="str">
        <f>IFERROR(VLOOKUP(A324&amp;"", STUDENTS!A:B, 2, 0), "")</f>
        <v>VÕ QUỐC THIÊN</v>
      </c>
      <c r="C324" s="104" t="s">
        <v>80</v>
      </c>
      <c r="D324" s="104" t="str">
        <f>IFERROR(VLOOKUP(C324, PIC!A:B, 2, 0), "")</f>
        <v>Yen Tran 3</v>
      </c>
      <c r="E324" s="105" t="s">
        <v>22</v>
      </c>
      <c r="F324" s="267">
        <v>45646.41666666666</v>
      </c>
      <c r="G324" s="268">
        <v>45666.45833333334</v>
      </c>
      <c r="H324" s="268">
        <v>45680.45833333334</v>
      </c>
      <c r="I324" s="267">
        <v>45701.45833333334</v>
      </c>
      <c r="J324" s="268">
        <v>45762.41666666666</v>
      </c>
      <c r="K324" s="267">
        <v>45790.45833333334</v>
      </c>
      <c r="L324" s="268">
        <v>45817.58333333334</v>
      </c>
      <c r="M324" s="268">
        <v>45831.45833333334</v>
      </c>
      <c r="N324" s="267" t="s">
        <v>1162</v>
      </c>
      <c r="O324" s="269">
        <v>45853.458333333336</v>
      </c>
      <c r="P324" s="267"/>
      <c r="Q324" s="267"/>
      <c r="R324" s="267"/>
      <c r="S324" s="267"/>
      <c r="T324" s="267"/>
      <c r="U324" s="268"/>
      <c r="V324" s="271"/>
      <c r="W324" s="272">
        <f t="shared" si="2"/>
        <v>45853.45833</v>
      </c>
      <c r="X324" s="273"/>
      <c r="Y324" s="273"/>
      <c r="Z324" s="235"/>
      <c r="AA324" s="43"/>
    </row>
    <row r="325" ht="15.75" hidden="1" customHeight="1">
      <c r="A325" s="275" t="s">
        <v>811</v>
      </c>
      <c r="B325" s="276" t="str">
        <f>IFERROR(VLOOKUP(A325&amp;"", STUDENTS!A:B, 2, 0), "")</f>
        <v>VÕ THỊ THU HƯƠNG</v>
      </c>
      <c r="C325" s="122" t="s">
        <v>80</v>
      </c>
      <c r="D325" s="122" t="str">
        <f>IFERROR(VLOOKUP(C325, PIC!A:B, 2, 0), "")</f>
        <v>Yen Tran 3</v>
      </c>
      <c r="E325" s="123" t="s">
        <v>22</v>
      </c>
      <c r="F325" s="277">
        <v>45646.41666666666</v>
      </c>
      <c r="G325" s="278">
        <v>45663.45833333334</v>
      </c>
      <c r="H325" s="278" t="s">
        <v>1162</v>
      </c>
      <c r="I325" s="277">
        <v>45701.45833333334</v>
      </c>
      <c r="J325" s="278">
        <v>45762.41666666666</v>
      </c>
      <c r="K325" s="277">
        <v>45790.45833333334</v>
      </c>
      <c r="L325" s="278">
        <v>45817.58333333334</v>
      </c>
      <c r="M325" s="278">
        <v>45831.45833333334</v>
      </c>
      <c r="N325" s="277">
        <v>45846.45833333334</v>
      </c>
      <c r="O325" s="279">
        <v>45853.458333333336</v>
      </c>
      <c r="P325" s="277"/>
      <c r="Q325" s="277"/>
      <c r="R325" s="277"/>
      <c r="S325" s="277"/>
      <c r="T325" s="277"/>
      <c r="U325" s="278"/>
      <c r="V325" s="281"/>
      <c r="W325" s="282">
        <f t="shared" si="2"/>
        <v>45853.45833</v>
      </c>
      <c r="X325" s="283"/>
      <c r="Y325" s="283"/>
      <c r="Z325" s="235"/>
      <c r="AA325" s="43"/>
    </row>
    <row r="326" ht="15.75" hidden="1" customHeight="1">
      <c r="A326" s="265" t="s">
        <v>729</v>
      </c>
      <c r="B326" s="266" t="str">
        <f>IFERROR(VLOOKUP(A326&amp;"", STUDENTS!A:B, 2, 0), "")</f>
        <v>NGUYỄN VĂN TÀI</v>
      </c>
      <c r="C326" s="104" t="s">
        <v>81</v>
      </c>
      <c r="D326" s="104" t="str">
        <f>IFERROR(VLOOKUP(C326, PIC!A:B, 2, 0), "")</f>
        <v>Tai Nguyen</v>
      </c>
      <c r="E326" s="105" t="s">
        <v>22</v>
      </c>
      <c r="F326" s="267">
        <v>45765.41666666666</v>
      </c>
      <c r="G326" s="268">
        <v>45768.375</v>
      </c>
      <c r="H326" s="268">
        <v>45811.45833333334</v>
      </c>
      <c r="I326" s="267">
        <v>45818.45833333334</v>
      </c>
      <c r="J326" s="268">
        <v>45833.45833333334</v>
      </c>
      <c r="K326" s="267">
        <v>45839.45833333334</v>
      </c>
      <c r="L326" s="268">
        <v>45846.54166666666</v>
      </c>
      <c r="M326" s="268">
        <v>45853.45833333334</v>
      </c>
      <c r="N326" s="267">
        <v>45862.45833333334</v>
      </c>
      <c r="O326" s="267">
        <v>45883.41666666666</v>
      </c>
      <c r="P326" s="267"/>
      <c r="Q326" s="267"/>
      <c r="R326" s="267"/>
      <c r="S326" s="267"/>
      <c r="T326" s="267"/>
      <c r="U326" s="268"/>
      <c r="V326" s="271"/>
      <c r="W326" s="272">
        <f t="shared" si="2"/>
        <v>45883.41667</v>
      </c>
      <c r="X326" s="273"/>
      <c r="Y326" s="273"/>
      <c r="Z326" s="235"/>
      <c r="AA326" s="43"/>
    </row>
    <row r="327" ht="15.75" hidden="1" customHeight="1">
      <c r="A327" s="275" t="s">
        <v>731</v>
      </c>
      <c r="B327" s="276" t="str">
        <f>IFERROR(VLOOKUP(A327&amp;"", STUDENTS!A:B, 2, 0), "")</f>
        <v>PHẠM HOÀNG THÁI SƠN</v>
      </c>
      <c r="C327" s="122" t="s">
        <v>81</v>
      </c>
      <c r="D327" s="122" t="str">
        <f>IFERROR(VLOOKUP(C327, PIC!A:B, 2, 0), "")</f>
        <v>Tai Nguyen</v>
      </c>
      <c r="E327" s="123" t="s">
        <v>22</v>
      </c>
      <c r="F327" s="277">
        <v>45765.41666666666</v>
      </c>
      <c r="G327" s="278">
        <v>45768.375</v>
      </c>
      <c r="H327" s="278">
        <v>45811.45833333334</v>
      </c>
      <c r="I327" s="277">
        <v>45818.45833333334</v>
      </c>
      <c r="J327" s="278">
        <v>45833.45833333334</v>
      </c>
      <c r="K327" s="277">
        <v>45839.45833333334</v>
      </c>
      <c r="L327" s="278">
        <v>45846.54166666666</v>
      </c>
      <c r="M327" s="278">
        <v>45853.45833333334</v>
      </c>
      <c r="N327" s="277">
        <v>45862.45833333334</v>
      </c>
      <c r="O327" s="277">
        <v>45883.41666666666</v>
      </c>
      <c r="P327" s="277"/>
      <c r="Q327" s="277"/>
      <c r="R327" s="277"/>
      <c r="S327" s="277"/>
      <c r="T327" s="277"/>
      <c r="U327" s="278"/>
      <c r="V327" s="281"/>
      <c r="W327" s="282">
        <f t="shared" si="2"/>
        <v>45883.41667</v>
      </c>
      <c r="X327" s="283"/>
      <c r="Y327" s="283"/>
      <c r="Z327" s="235"/>
      <c r="AA327" s="43"/>
    </row>
    <row r="328" ht="15.75" hidden="1" customHeight="1">
      <c r="A328" s="265" t="s">
        <v>723</v>
      </c>
      <c r="B328" s="266" t="str">
        <f>IFERROR(VLOOKUP(A328&amp;"", STUDENTS!A:B, 2, 0), "")</f>
        <v>PHẠM HUY HOÀNG</v>
      </c>
      <c r="C328" s="104" t="s">
        <v>81</v>
      </c>
      <c r="D328" s="104" t="str">
        <f>IFERROR(VLOOKUP(C328, PIC!A:B, 2, 0), "")</f>
        <v>Tai Nguyen</v>
      </c>
      <c r="E328" s="105" t="s">
        <v>22</v>
      </c>
      <c r="F328" s="267">
        <v>45765.41666666666</v>
      </c>
      <c r="G328" s="268">
        <v>45768.375</v>
      </c>
      <c r="H328" s="268">
        <v>45811.45833333334</v>
      </c>
      <c r="I328" s="267">
        <v>45818.45833333334</v>
      </c>
      <c r="J328" s="268">
        <v>45833.45833333334</v>
      </c>
      <c r="K328" s="267">
        <v>45839.45833333334</v>
      </c>
      <c r="L328" s="268">
        <v>45846.54166666666</v>
      </c>
      <c r="M328" s="268">
        <v>45853.45833333334</v>
      </c>
      <c r="N328" s="267">
        <v>45862.45833333334</v>
      </c>
      <c r="O328" s="267">
        <v>45883.41666666666</v>
      </c>
      <c r="P328" s="267"/>
      <c r="Q328" s="267"/>
      <c r="R328" s="267"/>
      <c r="S328" s="267"/>
      <c r="T328" s="267"/>
      <c r="U328" s="268"/>
      <c r="V328" s="271"/>
      <c r="W328" s="272">
        <f t="shared" si="2"/>
        <v>45883.41667</v>
      </c>
      <c r="X328" s="273"/>
      <c r="Y328" s="273"/>
      <c r="Z328" s="235"/>
      <c r="AA328" s="43"/>
    </row>
    <row r="329" ht="16.5" hidden="1" customHeight="1">
      <c r="A329" s="275" t="s">
        <v>725</v>
      </c>
      <c r="B329" s="276" t="str">
        <f>IFERROR(VLOOKUP(A329&amp;"", STUDENTS!A:B, 2, 0), "")</f>
        <v>TRẦN MINH TRIẾT</v>
      </c>
      <c r="C329" s="122" t="s">
        <v>81</v>
      </c>
      <c r="D329" s="122" t="str">
        <f>IFERROR(VLOOKUP(C329, PIC!A:B, 2, 0), "")</f>
        <v>Tai Nguyen</v>
      </c>
      <c r="E329" s="123" t="s">
        <v>22</v>
      </c>
      <c r="F329" s="277">
        <v>45765.41666666666</v>
      </c>
      <c r="G329" s="278">
        <v>45768.375</v>
      </c>
      <c r="H329" s="278">
        <v>45811.45833333334</v>
      </c>
      <c r="I329" s="277">
        <v>45818.45833333334</v>
      </c>
      <c r="J329" s="278">
        <v>45833.45833333334</v>
      </c>
      <c r="K329" s="277">
        <v>45839.45833333334</v>
      </c>
      <c r="L329" s="278">
        <v>45846.54166666666</v>
      </c>
      <c r="M329" s="278">
        <v>45853.45833333334</v>
      </c>
      <c r="N329" s="277">
        <v>45862.45833333334</v>
      </c>
      <c r="O329" s="277">
        <v>45883.41666666666</v>
      </c>
      <c r="P329" s="277"/>
      <c r="Q329" s="277"/>
      <c r="R329" s="277"/>
      <c r="S329" s="277"/>
      <c r="T329" s="277"/>
      <c r="U329" s="278"/>
      <c r="V329" s="281"/>
      <c r="W329" s="282">
        <f t="shared" si="2"/>
        <v>45883.41667</v>
      </c>
      <c r="X329" s="283"/>
      <c r="Y329" s="283"/>
      <c r="Z329" s="235"/>
      <c r="AA329" s="43"/>
    </row>
    <row r="330" ht="15.75" hidden="1" customHeight="1">
      <c r="A330" s="265" t="s">
        <v>577</v>
      </c>
      <c r="B330" s="266" t="str">
        <f>IFERROR(VLOOKUP(A330&amp;"", STUDENTS!A:B, 2, 0), "")</f>
        <v>LÊ MINH PHƯỚC</v>
      </c>
      <c r="C330" s="104" t="s">
        <v>82</v>
      </c>
      <c r="D330" s="104" t="str">
        <f>IFERROR(VLOOKUP(C330, PIC!A:B, 2, 0), "")</f>
        <v>Tai Pham</v>
      </c>
      <c r="E330" s="105" t="s">
        <v>22</v>
      </c>
      <c r="F330" s="267">
        <v>45765.58333333334</v>
      </c>
      <c r="G330" s="268">
        <v>45770.58333333334</v>
      </c>
      <c r="H330" s="268">
        <v>45783.54166666666</v>
      </c>
      <c r="I330" s="267">
        <v>45791.58333333334</v>
      </c>
      <c r="J330" s="268">
        <v>45792.54166666666</v>
      </c>
      <c r="K330" s="267">
        <v>45805.58333333334</v>
      </c>
      <c r="L330" s="268" t="s">
        <v>1162</v>
      </c>
      <c r="M330" s="268">
        <v>45819.54166666666</v>
      </c>
      <c r="N330" s="267">
        <v>45825.54166666666</v>
      </c>
      <c r="O330" s="267">
        <v>45853.54166666666</v>
      </c>
      <c r="P330" s="267"/>
      <c r="Q330" s="267"/>
      <c r="R330" s="267"/>
      <c r="S330" s="267"/>
      <c r="T330" s="267"/>
      <c r="U330" s="268"/>
      <c r="V330" s="271"/>
      <c r="W330" s="272">
        <f t="shared" si="2"/>
        <v>45853.54167</v>
      </c>
      <c r="X330" s="273"/>
      <c r="Y330" s="273"/>
      <c r="Z330" s="235"/>
      <c r="AA330" s="43"/>
    </row>
    <row r="331" ht="15.75" hidden="1" customHeight="1">
      <c r="A331" s="275" t="s">
        <v>579</v>
      </c>
      <c r="B331" s="276" t="str">
        <f>IFERROR(VLOOKUP(A331&amp;"", STUDENTS!A:B, 2, 0), "")</f>
        <v>LÊ NHẬT LINH</v>
      </c>
      <c r="C331" s="122" t="s">
        <v>82</v>
      </c>
      <c r="D331" s="122" t="str">
        <f>IFERROR(VLOOKUP(C331, PIC!A:B, 2, 0), "")</f>
        <v>Tai Pham</v>
      </c>
      <c r="E331" s="123" t="s">
        <v>22</v>
      </c>
      <c r="F331" s="277">
        <v>45765.58333333334</v>
      </c>
      <c r="G331" s="278">
        <v>45770.58333333334</v>
      </c>
      <c r="H331" s="278">
        <v>45783.54166666666</v>
      </c>
      <c r="I331" s="277">
        <v>45791.58333333334</v>
      </c>
      <c r="J331" s="278">
        <v>45792.54166666666</v>
      </c>
      <c r="K331" s="277">
        <v>45805.58333333334</v>
      </c>
      <c r="L331" s="278">
        <v>45811.54166666666</v>
      </c>
      <c r="M331" s="278">
        <v>45819.54166666666</v>
      </c>
      <c r="N331" s="277">
        <v>45825.54166666666</v>
      </c>
      <c r="O331" s="277">
        <v>45853.54166666666</v>
      </c>
      <c r="P331" s="277"/>
      <c r="Q331" s="277"/>
      <c r="R331" s="277"/>
      <c r="S331" s="277"/>
      <c r="T331" s="277"/>
      <c r="U331" s="278"/>
      <c r="V331" s="281"/>
      <c r="W331" s="282">
        <f t="shared" si="2"/>
        <v>45853.54167</v>
      </c>
      <c r="X331" s="283"/>
      <c r="Y331" s="283"/>
      <c r="Z331" s="235"/>
      <c r="AA331" s="43"/>
    </row>
    <row r="332" ht="15.75" hidden="1" customHeight="1">
      <c r="A332" s="265" t="s">
        <v>719</v>
      </c>
      <c r="B332" s="266" t="str">
        <f>IFERROR(VLOOKUP(A332&amp;"", STUDENTS!A:B, 2, 0), "")</f>
        <v>LÊ TRIỆU HUẤN</v>
      </c>
      <c r="C332" s="104" t="s">
        <v>82</v>
      </c>
      <c r="D332" s="104" t="str">
        <f>IFERROR(VLOOKUP(C332, PIC!A:B, 2, 0), "")</f>
        <v>Tai Pham</v>
      </c>
      <c r="E332" s="105" t="s">
        <v>22</v>
      </c>
      <c r="F332" s="267">
        <v>45765.58333333334</v>
      </c>
      <c r="G332" s="268">
        <v>45770.58333333334</v>
      </c>
      <c r="H332" s="268">
        <v>45783.54166666666</v>
      </c>
      <c r="I332" s="267">
        <v>45791.58333333334</v>
      </c>
      <c r="J332" s="268">
        <v>45792.54166666666</v>
      </c>
      <c r="K332" s="267">
        <v>45805.58333333334</v>
      </c>
      <c r="L332" s="268">
        <v>45811.54166666666</v>
      </c>
      <c r="M332" s="268">
        <v>45819.54166666666</v>
      </c>
      <c r="N332" s="267">
        <v>45825.54166666666</v>
      </c>
      <c r="O332" s="267">
        <v>45853.54166666666</v>
      </c>
      <c r="P332" s="267"/>
      <c r="Q332" s="267"/>
      <c r="R332" s="267"/>
      <c r="S332" s="267"/>
      <c r="T332" s="267"/>
      <c r="U332" s="268"/>
      <c r="V332" s="271"/>
      <c r="W332" s="272">
        <f t="shared" si="2"/>
        <v>45853.54167</v>
      </c>
      <c r="X332" s="273"/>
      <c r="Y332" s="273"/>
      <c r="Z332" s="235"/>
      <c r="AA332" s="43"/>
    </row>
    <row r="333" ht="15.75" hidden="1" customHeight="1">
      <c r="A333" s="275" t="s">
        <v>583</v>
      </c>
      <c r="B333" s="276" t="str">
        <f>IFERROR(VLOOKUP(A333&amp;"", STUDENTS!A:B, 2, 0), "")</f>
        <v>NGUYỄN DOÃN NAM</v>
      </c>
      <c r="C333" s="122" t="s">
        <v>82</v>
      </c>
      <c r="D333" s="122" t="str">
        <f>IFERROR(VLOOKUP(C333, PIC!A:B, 2, 0), "")</f>
        <v>Tai Pham</v>
      </c>
      <c r="E333" s="123" t="s">
        <v>22</v>
      </c>
      <c r="F333" s="277">
        <v>45765.58333333334</v>
      </c>
      <c r="G333" s="278">
        <v>45770.58333333334</v>
      </c>
      <c r="H333" s="278" t="s">
        <v>1162</v>
      </c>
      <c r="I333" s="277">
        <v>45791.58333333334</v>
      </c>
      <c r="J333" s="278">
        <v>45792.54166666666</v>
      </c>
      <c r="K333" s="277">
        <v>45805.58333333334</v>
      </c>
      <c r="L333" s="278" t="s">
        <v>1162</v>
      </c>
      <c r="M333" s="278">
        <v>45819.54166666666</v>
      </c>
      <c r="N333" s="277">
        <v>45825.54166666666</v>
      </c>
      <c r="O333" s="277">
        <v>45853.54166666666</v>
      </c>
      <c r="P333" s="277"/>
      <c r="Q333" s="277"/>
      <c r="R333" s="277"/>
      <c r="S333" s="277"/>
      <c r="T333" s="277"/>
      <c r="U333" s="278"/>
      <c r="V333" s="281"/>
      <c r="W333" s="282">
        <f t="shared" si="2"/>
        <v>45853.54167</v>
      </c>
      <c r="X333" s="283"/>
      <c r="Y333" s="283"/>
      <c r="Z333" s="235"/>
      <c r="AA333" s="43"/>
    </row>
    <row r="334" ht="15.75" hidden="1" customHeight="1">
      <c r="A334" s="265" t="s">
        <v>585</v>
      </c>
      <c r="B334" s="266" t="str">
        <f>IFERROR(VLOOKUP(A334&amp;"", STUDENTS!A:B, 2, 0), "")</f>
        <v>PHẠM HỒNG THIÊN TÀI</v>
      </c>
      <c r="C334" s="104" t="s">
        <v>82</v>
      </c>
      <c r="D334" s="104" t="str">
        <f>IFERROR(VLOOKUP(C334, PIC!A:B, 2, 0), "")</f>
        <v>Tai Pham</v>
      </c>
      <c r="E334" s="105" t="s">
        <v>22</v>
      </c>
      <c r="F334" s="267">
        <v>45765.58333333334</v>
      </c>
      <c r="G334" s="268">
        <v>45770.58333333334</v>
      </c>
      <c r="H334" s="268">
        <v>45783.54166666666</v>
      </c>
      <c r="I334" s="267">
        <v>45791.58333333334</v>
      </c>
      <c r="J334" s="268">
        <v>45792.54166666666</v>
      </c>
      <c r="K334" s="267">
        <v>45805.58333333334</v>
      </c>
      <c r="L334" s="268">
        <v>45811.54166666666</v>
      </c>
      <c r="M334" s="268">
        <v>45819.54166666666</v>
      </c>
      <c r="N334" s="267">
        <v>45825.54166666666</v>
      </c>
      <c r="O334" s="267">
        <v>45853.54166666666</v>
      </c>
      <c r="P334" s="267"/>
      <c r="Q334" s="267"/>
      <c r="R334" s="267"/>
      <c r="S334" s="267"/>
      <c r="T334" s="267"/>
      <c r="U334" s="268"/>
      <c r="V334" s="271"/>
      <c r="W334" s="272">
        <f t="shared" si="2"/>
        <v>45853.54167</v>
      </c>
      <c r="X334" s="273"/>
      <c r="Y334" s="273"/>
      <c r="Z334" s="235"/>
      <c r="AA334" s="43"/>
    </row>
    <row r="335" ht="15.75" hidden="1" customHeight="1">
      <c r="A335" s="275" t="s">
        <v>577</v>
      </c>
      <c r="B335" s="276" t="str">
        <f>IFERROR(VLOOKUP(A335&amp;"", STUDENTS!A:B, 2, 0), "")</f>
        <v>LÊ MINH PHƯỚC</v>
      </c>
      <c r="C335" s="122" t="s">
        <v>82</v>
      </c>
      <c r="D335" s="122" t="str">
        <f>IFERROR(VLOOKUP(C335, PIC!A:B, 2, 0), "")</f>
        <v>Tai Pham</v>
      </c>
      <c r="E335" s="123" t="s">
        <v>23</v>
      </c>
      <c r="F335" s="277">
        <v>45881.54166666666</v>
      </c>
      <c r="G335" s="278">
        <v>45896.54166666666</v>
      </c>
      <c r="H335" s="278">
        <v>45909.58333333334</v>
      </c>
      <c r="I335" s="277">
        <v>45923.58333333334</v>
      </c>
      <c r="J335" s="278">
        <v>45930.58333333334</v>
      </c>
      <c r="K335" s="277" t="s">
        <v>1162</v>
      </c>
      <c r="L335" s="278"/>
      <c r="M335" s="278" t="s">
        <v>1162</v>
      </c>
      <c r="N335" s="277" t="s">
        <v>1162</v>
      </c>
      <c r="O335" s="277" t="s">
        <v>1162</v>
      </c>
      <c r="P335" s="277" t="s">
        <v>1162</v>
      </c>
      <c r="Q335" s="277" t="s">
        <v>1162</v>
      </c>
      <c r="R335" s="277">
        <v>45994.41666666666</v>
      </c>
      <c r="S335" s="277" t="s">
        <v>1162</v>
      </c>
      <c r="T335" s="277" t="s">
        <v>1162</v>
      </c>
      <c r="U335" s="278" t="s">
        <v>1162</v>
      </c>
      <c r="V335" s="281"/>
      <c r="W335" s="282">
        <f t="shared" si="2"/>
        <v>45994.41667</v>
      </c>
      <c r="X335" s="283"/>
      <c r="Y335" s="283"/>
      <c r="Z335" s="235"/>
      <c r="AA335" s="43"/>
    </row>
    <row r="336" ht="15.75" hidden="1" customHeight="1">
      <c r="A336" s="265" t="s">
        <v>579</v>
      </c>
      <c r="B336" s="266" t="str">
        <f>IFERROR(VLOOKUP(A336&amp;"", STUDENTS!A:B, 2, 0), "")</f>
        <v>LÊ NHẬT LINH</v>
      </c>
      <c r="C336" s="104" t="s">
        <v>82</v>
      </c>
      <c r="D336" s="104" t="str">
        <f>IFERROR(VLOOKUP(C336, PIC!A:B, 2, 0), "")</f>
        <v>Tai Pham</v>
      </c>
      <c r="E336" s="105" t="s">
        <v>23</v>
      </c>
      <c r="F336" s="267">
        <v>45881.54166666666</v>
      </c>
      <c r="G336" s="268">
        <v>45896.54166666666</v>
      </c>
      <c r="H336" s="268">
        <v>45909.58333333334</v>
      </c>
      <c r="I336" s="267">
        <v>45923.58333333334</v>
      </c>
      <c r="J336" s="268">
        <v>45930.58333333334</v>
      </c>
      <c r="K336" s="267">
        <v>45937.58333333334</v>
      </c>
      <c r="L336" s="268"/>
      <c r="M336" s="268" t="s">
        <v>1162</v>
      </c>
      <c r="N336" s="267">
        <v>45958.58333333334</v>
      </c>
      <c r="O336" s="267">
        <v>45966.45833333334</v>
      </c>
      <c r="P336" s="267"/>
      <c r="Q336" s="267"/>
      <c r="R336" s="267"/>
      <c r="S336" s="267"/>
      <c r="T336" s="267"/>
      <c r="U336" s="268"/>
      <c r="V336" s="271"/>
      <c r="W336" s="272">
        <f t="shared" si="2"/>
        <v>45966.45833</v>
      </c>
      <c r="X336" s="273"/>
      <c r="Y336" s="273"/>
      <c r="Z336" s="235"/>
      <c r="AA336" s="43"/>
    </row>
    <row r="337" ht="15.75" hidden="1" customHeight="1">
      <c r="A337" s="275" t="s">
        <v>719</v>
      </c>
      <c r="B337" s="276" t="str">
        <f>IFERROR(VLOOKUP(A337&amp;"", STUDENTS!A:B, 2, 0), "")</f>
        <v>LÊ TRIỆU HUẤN</v>
      </c>
      <c r="C337" s="122" t="s">
        <v>82</v>
      </c>
      <c r="D337" s="122" t="str">
        <f>IFERROR(VLOOKUP(C337, PIC!A:B, 2, 0), "")</f>
        <v>Tai Pham</v>
      </c>
      <c r="E337" s="123" t="s">
        <v>23</v>
      </c>
      <c r="F337" s="277">
        <v>45881.54166666666</v>
      </c>
      <c r="G337" s="278">
        <v>45896.54166666666</v>
      </c>
      <c r="H337" s="278">
        <v>45909.58333333334</v>
      </c>
      <c r="I337" s="277">
        <v>45923.58333333334</v>
      </c>
      <c r="J337" s="278">
        <v>45930.58333333334</v>
      </c>
      <c r="K337" s="277">
        <v>45937.58333333334</v>
      </c>
      <c r="L337" s="278"/>
      <c r="M337" s="278">
        <v>45951.58333333334</v>
      </c>
      <c r="N337" s="277">
        <v>45958.58333333334</v>
      </c>
      <c r="O337" s="277">
        <v>45966.45833333334</v>
      </c>
      <c r="P337" s="277" t="s">
        <v>1162</v>
      </c>
      <c r="Q337" s="277">
        <v>45987.58333333334</v>
      </c>
      <c r="R337" s="277">
        <v>45994.41666666666</v>
      </c>
      <c r="S337" s="277" t="s">
        <v>1162</v>
      </c>
      <c r="T337" s="277">
        <v>46013.625</v>
      </c>
      <c r="U337" s="278">
        <v>46035.41666666666</v>
      </c>
      <c r="V337" s="281"/>
      <c r="W337" s="282">
        <f t="shared" si="2"/>
        <v>46035.41667</v>
      </c>
      <c r="X337" s="283"/>
      <c r="Y337" s="283"/>
      <c r="Z337" s="235"/>
      <c r="AA337" s="43"/>
    </row>
    <row r="338" ht="15.75" hidden="1" customHeight="1">
      <c r="A338" s="265" t="s">
        <v>721</v>
      </c>
      <c r="B338" s="266" t="str">
        <f>IFERROR(VLOOKUP(A338&amp;"", STUDENTS!A:B, 2, 0), "")</f>
        <v>LƯƠNG CÔNG KỲ</v>
      </c>
      <c r="C338" s="104" t="s">
        <v>82</v>
      </c>
      <c r="D338" s="104" t="str">
        <f>IFERROR(VLOOKUP(C338, PIC!A:B, 2, 0), "")</f>
        <v>Tai Pham</v>
      </c>
      <c r="E338" s="105" t="s">
        <v>23</v>
      </c>
      <c r="F338" s="267">
        <v>45881.54166666666</v>
      </c>
      <c r="G338" s="268">
        <v>45896.54166666666</v>
      </c>
      <c r="H338" s="268">
        <v>45909.58333333334</v>
      </c>
      <c r="I338" s="267">
        <v>45923.58333333334</v>
      </c>
      <c r="J338" s="268">
        <v>45930.58333333334</v>
      </c>
      <c r="K338" s="267">
        <v>45937.58333333334</v>
      </c>
      <c r="L338" s="268"/>
      <c r="M338" s="268">
        <v>45951.58333333334</v>
      </c>
      <c r="N338" s="267">
        <v>45958.58333333334</v>
      </c>
      <c r="O338" s="267">
        <v>45966.45833333334</v>
      </c>
      <c r="P338" s="267">
        <v>45980.45833333334</v>
      </c>
      <c r="Q338" s="267" t="s">
        <v>1162</v>
      </c>
      <c r="R338" s="267">
        <v>45994.41666666666</v>
      </c>
      <c r="S338" s="267">
        <v>46006.625</v>
      </c>
      <c r="T338" s="267">
        <v>46013.625</v>
      </c>
      <c r="U338" s="268">
        <v>46035.41666666666</v>
      </c>
      <c r="V338" s="271"/>
      <c r="W338" s="272">
        <f t="shared" si="2"/>
        <v>46035.41667</v>
      </c>
      <c r="X338" s="273"/>
      <c r="Y338" s="273"/>
      <c r="Z338" s="235"/>
      <c r="AA338" s="43"/>
    </row>
    <row r="339" ht="15.75" hidden="1" customHeight="1">
      <c r="A339" s="275" t="s">
        <v>581</v>
      </c>
      <c r="B339" s="276" t="str">
        <f>IFERROR(VLOOKUP(A339&amp;"", STUDENTS!A:B, 2, 0), "")</f>
        <v>NGUYỄN BÁ NGỌC</v>
      </c>
      <c r="C339" s="122" t="s">
        <v>82</v>
      </c>
      <c r="D339" s="122" t="str">
        <f>IFERROR(VLOOKUP(C339, PIC!A:B, 2, 0), "")</f>
        <v>Tai Pham</v>
      </c>
      <c r="E339" s="123" t="s">
        <v>23</v>
      </c>
      <c r="F339" s="277">
        <v>45881.54166666666</v>
      </c>
      <c r="G339" s="278">
        <v>45896.54166666666</v>
      </c>
      <c r="H339" s="278">
        <v>45909.58333333334</v>
      </c>
      <c r="I339" s="277">
        <v>45923.58333333334</v>
      </c>
      <c r="J339" s="278">
        <v>45930.58333333334</v>
      </c>
      <c r="K339" s="277">
        <v>45937.58333333334</v>
      </c>
      <c r="L339" s="278"/>
      <c r="M339" s="278">
        <v>45951.58333333334</v>
      </c>
      <c r="N339" s="277">
        <v>45958.58333333334</v>
      </c>
      <c r="O339" s="277">
        <v>45966.45833333334</v>
      </c>
      <c r="P339" s="277">
        <v>45980.45833333334</v>
      </c>
      <c r="Q339" s="277">
        <v>45987.58333333334</v>
      </c>
      <c r="R339" s="277">
        <v>45994.41666666666</v>
      </c>
      <c r="S339" s="277">
        <v>46006.625</v>
      </c>
      <c r="T339" s="277">
        <v>46013.625</v>
      </c>
      <c r="U339" s="278">
        <v>46035.41666666666</v>
      </c>
      <c r="V339" s="281"/>
      <c r="W339" s="282">
        <f t="shared" si="2"/>
        <v>46035.41667</v>
      </c>
      <c r="X339" s="283"/>
      <c r="Y339" s="283"/>
      <c r="Z339" s="235"/>
      <c r="AA339" s="43"/>
    </row>
    <row r="340" ht="15.75" hidden="1" customHeight="1">
      <c r="A340" s="265" t="s">
        <v>585</v>
      </c>
      <c r="B340" s="266" t="str">
        <f>IFERROR(VLOOKUP(A340&amp;"", STUDENTS!A:B, 2, 0), "")</f>
        <v>PHẠM HỒNG THIÊN TÀI</v>
      </c>
      <c r="C340" s="104" t="s">
        <v>82</v>
      </c>
      <c r="D340" s="104" t="str">
        <f>IFERROR(VLOOKUP(C340, PIC!A:B, 2, 0), "")</f>
        <v>Tai Pham</v>
      </c>
      <c r="E340" s="105" t="s">
        <v>23</v>
      </c>
      <c r="F340" s="267">
        <v>45881.54166666666</v>
      </c>
      <c r="G340" s="268">
        <v>45896.54166666666</v>
      </c>
      <c r="H340" s="268">
        <v>45909.58333333334</v>
      </c>
      <c r="I340" s="267">
        <v>45923.58333333334</v>
      </c>
      <c r="J340" s="268">
        <v>45930.58333333334</v>
      </c>
      <c r="K340" s="267">
        <v>45937.58333333334</v>
      </c>
      <c r="L340" s="268"/>
      <c r="M340" s="268">
        <v>45951.58333333334</v>
      </c>
      <c r="N340" s="267">
        <v>45958.58333333334</v>
      </c>
      <c r="O340" s="267" t="s">
        <v>1162</v>
      </c>
      <c r="P340" s="267">
        <v>45980.45833333334</v>
      </c>
      <c r="Q340" s="267">
        <v>45987.58333333334</v>
      </c>
      <c r="R340" s="267">
        <v>45994.41666666666</v>
      </c>
      <c r="S340" s="267">
        <v>46006.625</v>
      </c>
      <c r="T340" s="267">
        <v>46013.625</v>
      </c>
      <c r="U340" s="268">
        <v>46035.41666666666</v>
      </c>
      <c r="V340" s="271"/>
      <c r="W340" s="272">
        <f t="shared" si="2"/>
        <v>46035.41667</v>
      </c>
      <c r="X340" s="273"/>
      <c r="Y340" s="273"/>
      <c r="Z340" s="235"/>
      <c r="AA340" s="43"/>
    </row>
    <row r="341" ht="15.75" hidden="1" customHeight="1">
      <c r="A341" s="275" t="s">
        <v>587</v>
      </c>
      <c r="B341" s="276" t="str">
        <f>IFERROR(VLOOKUP(A341&amp;"", STUDENTS!A:B, 2, 0), "")</f>
        <v>PHAN HUY NHÂN</v>
      </c>
      <c r="C341" s="122" t="s">
        <v>82</v>
      </c>
      <c r="D341" s="122" t="str">
        <f>IFERROR(VLOOKUP(C341, PIC!A:B, 2, 0), "")</f>
        <v>Tai Pham</v>
      </c>
      <c r="E341" s="123" t="s">
        <v>23</v>
      </c>
      <c r="F341" s="277">
        <v>45881.54166666666</v>
      </c>
      <c r="G341" s="278">
        <v>45896.54166666666</v>
      </c>
      <c r="H341" s="278">
        <v>45909.58333333334</v>
      </c>
      <c r="I341" s="277">
        <v>45923.58333333334</v>
      </c>
      <c r="J341" s="278">
        <v>45930.58333333334</v>
      </c>
      <c r="K341" s="277">
        <v>45937.58333333334</v>
      </c>
      <c r="L341" s="278"/>
      <c r="M341" s="278" t="s">
        <v>1162</v>
      </c>
      <c r="N341" s="277">
        <v>45958.58333333334</v>
      </c>
      <c r="O341" s="277">
        <v>45966.45833333334</v>
      </c>
      <c r="P341" s="277" t="s">
        <v>1162</v>
      </c>
      <c r="Q341" s="277">
        <v>45987.58333333334</v>
      </c>
      <c r="R341" s="277">
        <v>45994.41666666666</v>
      </c>
      <c r="S341" s="277">
        <v>46006.625</v>
      </c>
      <c r="T341" s="277">
        <v>46013.625</v>
      </c>
      <c r="U341" s="278">
        <v>46035.41666666666</v>
      </c>
      <c r="V341" s="281"/>
      <c r="W341" s="282">
        <f t="shared" si="2"/>
        <v>46035.41667</v>
      </c>
      <c r="X341" s="283"/>
      <c r="Y341" s="283"/>
      <c r="Z341" s="235"/>
      <c r="AA341" s="43"/>
    </row>
    <row r="342" ht="15.75" hidden="1" customHeight="1">
      <c r="A342" s="265" t="s">
        <v>589</v>
      </c>
      <c r="B342" s="266" t="str">
        <f>IFERROR(VLOOKUP(A342&amp;"", STUDENTS!A:B, 2, 0), "")</f>
        <v>VÕ CHÍ THIỆN</v>
      </c>
      <c r="C342" s="104" t="s">
        <v>82</v>
      </c>
      <c r="D342" s="104" t="str">
        <f>IFERROR(VLOOKUP(C342, PIC!A:B, 2, 0), "")</f>
        <v>Tai Pham</v>
      </c>
      <c r="E342" s="105" t="s">
        <v>23</v>
      </c>
      <c r="F342" s="267">
        <v>45881.54166666666</v>
      </c>
      <c r="G342" s="268">
        <v>45896.54166666666</v>
      </c>
      <c r="H342" s="268" t="s">
        <v>1162</v>
      </c>
      <c r="I342" s="267">
        <v>45923.58333333334</v>
      </c>
      <c r="J342" s="268">
        <v>45930.58333333334</v>
      </c>
      <c r="K342" s="267">
        <v>45937.58333333334</v>
      </c>
      <c r="L342" s="268"/>
      <c r="M342" s="268" t="s">
        <v>1162</v>
      </c>
      <c r="N342" s="267" t="s">
        <v>1162</v>
      </c>
      <c r="O342" s="267">
        <v>45966.45833333334</v>
      </c>
      <c r="P342" s="267">
        <v>45980.45833333334</v>
      </c>
      <c r="Q342" s="267">
        <v>45987.58333333334</v>
      </c>
      <c r="R342" s="267">
        <v>45994.41666666666</v>
      </c>
      <c r="S342" s="267">
        <v>46006.625</v>
      </c>
      <c r="T342" s="267" t="s">
        <v>1162</v>
      </c>
      <c r="U342" s="268">
        <v>46035.41666666666</v>
      </c>
      <c r="V342" s="271"/>
      <c r="W342" s="272">
        <f t="shared" si="2"/>
        <v>46035.41667</v>
      </c>
      <c r="X342" s="273"/>
      <c r="Y342" s="273"/>
      <c r="Z342" s="235"/>
      <c r="AA342" s="43"/>
    </row>
    <row r="343" ht="15.75" hidden="1" customHeight="1">
      <c r="A343" s="275" t="s">
        <v>717</v>
      </c>
      <c r="B343" s="276" t="str">
        <f>IFERROR(VLOOKUP(A343&amp;"", STUDENTS!A:B, 2, 0), "")</f>
        <v>HÀ TRẦN TUẤN ANH</v>
      </c>
      <c r="C343" s="122" t="s">
        <v>83</v>
      </c>
      <c r="D343" s="122" t="str">
        <f>IFERROR(VLOOKUP(C343, PIC!A:B, 2, 0), "")</f>
        <v>Anh Ha</v>
      </c>
      <c r="E343" s="123" t="s">
        <v>22</v>
      </c>
      <c r="F343" s="277">
        <v>45764.41666666666</v>
      </c>
      <c r="G343" s="278">
        <v>45784.58333333334</v>
      </c>
      <c r="H343" s="278">
        <v>45804.375</v>
      </c>
      <c r="I343" s="277">
        <v>45805.41666666666</v>
      </c>
      <c r="J343" s="278">
        <v>45812.45833333334</v>
      </c>
      <c r="K343" s="277">
        <v>45819.45833333334</v>
      </c>
      <c r="L343" s="278">
        <v>45827.41666666666</v>
      </c>
      <c r="M343" s="278">
        <v>45833.375</v>
      </c>
      <c r="N343" s="277">
        <v>45840.41666666666</v>
      </c>
      <c r="O343" s="277">
        <v>45861.54166666666</v>
      </c>
      <c r="P343" s="277"/>
      <c r="Q343" s="277"/>
      <c r="R343" s="277"/>
      <c r="S343" s="277"/>
      <c r="T343" s="277"/>
      <c r="U343" s="278"/>
      <c r="V343" s="281"/>
      <c r="W343" s="282">
        <f t="shared" si="2"/>
        <v>45861.54167</v>
      </c>
      <c r="X343" s="283"/>
      <c r="Y343" s="283"/>
      <c r="Z343" s="235"/>
      <c r="AA343" s="43"/>
    </row>
    <row r="344" ht="15.75" hidden="1" customHeight="1">
      <c r="A344" s="265" t="s">
        <v>185</v>
      </c>
      <c r="B344" s="266" t="str">
        <f>IFERROR(VLOOKUP(A344&amp;"", STUDENTS!A:B, 2, 0), "")</f>
        <v>HUỲNH TRẦN HẢI LONG</v>
      </c>
      <c r="C344" s="104" t="s">
        <v>83</v>
      </c>
      <c r="D344" s="104" t="str">
        <f>IFERROR(VLOOKUP(C344, PIC!A:B, 2, 0), "")</f>
        <v>Anh Ha</v>
      </c>
      <c r="E344" s="105" t="s">
        <v>22</v>
      </c>
      <c r="F344" s="267">
        <v>45764.41666666666</v>
      </c>
      <c r="G344" s="268">
        <v>45784.58333333334</v>
      </c>
      <c r="H344" s="268">
        <v>45804.375</v>
      </c>
      <c r="I344" s="267">
        <v>45805.41666666666</v>
      </c>
      <c r="J344" s="268">
        <v>45812.45833333334</v>
      </c>
      <c r="K344" s="267">
        <v>45819.45833333334</v>
      </c>
      <c r="L344" s="268">
        <v>45827.41666666666</v>
      </c>
      <c r="M344" s="268">
        <v>45833.375</v>
      </c>
      <c r="N344" s="267">
        <v>45840.41666666666</v>
      </c>
      <c r="O344" s="267">
        <v>45861.54166666666</v>
      </c>
      <c r="P344" s="267"/>
      <c r="Q344" s="267"/>
      <c r="R344" s="267"/>
      <c r="S344" s="267"/>
      <c r="T344" s="267"/>
      <c r="U344" s="268"/>
      <c r="V344" s="271"/>
      <c r="W344" s="272">
        <f t="shared" si="2"/>
        <v>45861.54167</v>
      </c>
      <c r="X344" s="273"/>
      <c r="Y344" s="273"/>
      <c r="Z344" s="235"/>
      <c r="AA344" s="43"/>
    </row>
    <row r="345" ht="15.75" hidden="1" customHeight="1">
      <c r="A345" s="275" t="s">
        <v>200</v>
      </c>
      <c r="B345" s="276" t="str">
        <f>IFERROR(VLOOKUP(A345&amp;"", STUDENTS!A:B, 2, 0), "")</f>
        <v>LÊ VĂN SƠN</v>
      </c>
      <c r="C345" s="122" t="s">
        <v>83</v>
      </c>
      <c r="D345" s="122" t="str">
        <f>IFERROR(VLOOKUP(C345, PIC!A:B, 2, 0), "")</f>
        <v>Anh Ha</v>
      </c>
      <c r="E345" s="123" t="s">
        <v>22</v>
      </c>
      <c r="F345" s="277">
        <v>45764.41666666666</v>
      </c>
      <c r="G345" s="278">
        <v>45784.58333333334</v>
      </c>
      <c r="H345" s="278">
        <v>45804.375</v>
      </c>
      <c r="I345" s="277">
        <v>45805.41666666666</v>
      </c>
      <c r="J345" s="278">
        <v>45812.45833333334</v>
      </c>
      <c r="K345" s="277">
        <v>45819.45833333334</v>
      </c>
      <c r="L345" s="278">
        <v>45827.41666666666</v>
      </c>
      <c r="M345" s="278">
        <v>45833.375</v>
      </c>
      <c r="N345" s="277">
        <v>45840.41666666666</v>
      </c>
      <c r="O345" s="277">
        <v>45861.54166666666</v>
      </c>
      <c r="P345" s="277"/>
      <c r="Q345" s="277"/>
      <c r="R345" s="277"/>
      <c r="S345" s="277"/>
      <c r="T345" s="277"/>
      <c r="U345" s="278"/>
      <c r="V345" s="281"/>
      <c r="W345" s="282">
        <f t="shared" si="2"/>
        <v>45861.54167</v>
      </c>
      <c r="X345" s="283"/>
      <c r="Y345" s="283"/>
      <c r="Z345" s="235"/>
      <c r="AA345" s="43"/>
    </row>
    <row r="346" ht="15.75" hidden="1" customHeight="1">
      <c r="A346" s="265" t="s">
        <v>187</v>
      </c>
      <c r="B346" s="266" t="str">
        <f>IFERROR(VLOOKUP(A346&amp;"", STUDENTS!A:B, 2, 0), "")</f>
        <v>NGUYỄN TẤN PHÁT</v>
      </c>
      <c r="C346" s="104" t="s">
        <v>83</v>
      </c>
      <c r="D346" s="104" t="str">
        <f>IFERROR(VLOOKUP(C346, PIC!A:B, 2, 0), "")</f>
        <v>Anh Ha</v>
      </c>
      <c r="E346" s="105" t="s">
        <v>22</v>
      </c>
      <c r="F346" s="267">
        <v>45764.41666666666</v>
      </c>
      <c r="G346" s="268">
        <v>45784.58333333334</v>
      </c>
      <c r="H346" s="268">
        <v>45804.375</v>
      </c>
      <c r="I346" s="267">
        <v>45805.41666666666</v>
      </c>
      <c r="J346" s="268" t="s">
        <v>1162</v>
      </c>
      <c r="K346" s="267">
        <v>45819.45833333334</v>
      </c>
      <c r="L346" s="268">
        <v>45827.41666666666</v>
      </c>
      <c r="M346" s="268">
        <v>45833.375</v>
      </c>
      <c r="N346" s="267">
        <v>45840.41666666666</v>
      </c>
      <c r="O346" s="267">
        <v>45861.54166666666</v>
      </c>
      <c r="P346" s="267"/>
      <c r="Q346" s="267"/>
      <c r="R346" s="267"/>
      <c r="S346" s="267"/>
      <c r="T346" s="267"/>
      <c r="U346" s="268"/>
      <c r="V346" s="271"/>
      <c r="W346" s="272">
        <f t="shared" si="2"/>
        <v>45861.54167</v>
      </c>
      <c r="X346" s="273"/>
      <c r="Y346" s="273"/>
      <c r="Z346" s="235"/>
      <c r="AA346" s="43"/>
    </row>
    <row r="347" ht="15.75" hidden="1" customHeight="1">
      <c r="A347" s="275" t="s">
        <v>194</v>
      </c>
      <c r="B347" s="276" t="str">
        <f>IFERROR(VLOOKUP(A347&amp;"", STUDENTS!A:B, 2, 0), "")</f>
        <v>TRẦN QUANG ĐẠO</v>
      </c>
      <c r="C347" s="122" t="s">
        <v>83</v>
      </c>
      <c r="D347" s="122" t="str">
        <f>IFERROR(VLOOKUP(C347, PIC!A:B, 2, 0), "")</f>
        <v>Anh Ha</v>
      </c>
      <c r="E347" s="123" t="s">
        <v>22</v>
      </c>
      <c r="F347" s="277">
        <v>45764.41666666666</v>
      </c>
      <c r="G347" s="278" t="s">
        <v>1162</v>
      </c>
      <c r="H347" s="278">
        <v>45804.375</v>
      </c>
      <c r="I347" s="277">
        <v>45805.41666666666</v>
      </c>
      <c r="J347" s="278">
        <v>45812.45833333334</v>
      </c>
      <c r="K347" s="277">
        <v>45819.45833333334</v>
      </c>
      <c r="L347" s="278">
        <v>45827.41666666666</v>
      </c>
      <c r="M347" s="278">
        <v>45833.375</v>
      </c>
      <c r="N347" s="277">
        <v>45840.41666666666</v>
      </c>
      <c r="O347" s="277">
        <v>45861.54166666666</v>
      </c>
      <c r="P347" s="277"/>
      <c r="Q347" s="277"/>
      <c r="R347" s="277"/>
      <c r="S347" s="277"/>
      <c r="T347" s="277"/>
      <c r="U347" s="278"/>
      <c r="V347" s="281"/>
      <c r="W347" s="282">
        <f t="shared" si="2"/>
        <v>45861.54167</v>
      </c>
      <c r="X347" s="283"/>
      <c r="Y347" s="283"/>
      <c r="Z347" s="235"/>
      <c r="AA347" s="43"/>
    </row>
    <row r="348" ht="15.75" hidden="1" customHeight="1">
      <c r="A348" s="265" t="s">
        <v>196</v>
      </c>
      <c r="B348" s="266" t="str">
        <f>IFERROR(VLOOKUP(A348&amp;"", STUDENTS!A:B, 2, 0), "")</f>
        <v>TRẦN THANH ĐIỀN</v>
      </c>
      <c r="C348" s="104" t="s">
        <v>83</v>
      </c>
      <c r="D348" s="104" t="str">
        <f>IFERROR(VLOOKUP(C348, PIC!A:B, 2, 0), "")</f>
        <v>Anh Ha</v>
      </c>
      <c r="E348" s="105" t="s">
        <v>22</v>
      </c>
      <c r="F348" s="267">
        <v>45764.41666666666</v>
      </c>
      <c r="G348" s="268">
        <v>45784.58333333334</v>
      </c>
      <c r="H348" s="268">
        <v>45804.375</v>
      </c>
      <c r="I348" s="267">
        <v>45805.41666666666</v>
      </c>
      <c r="J348" s="268" t="s">
        <v>1162</v>
      </c>
      <c r="K348" s="267">
        <v>45819.45833333334</v>
      </c>
      <c r="L348" s="268">
        <v>45827.41666666666</v>
      </c>
      <c r="M348" s="268">
        <v>45833.375</v>
      </c>
      <c r="N348" s="267">
        <v>45840.41666666666</v>
      </c>
      <c r="O348" s="267">
        <v>45861.54166666666</v>
      </c>
      <c r="P348" s="267"/>
      <c r="Q348" s="267"/>
      <c r="R348" s="267"/>
      <c r="S348" s="267"/>
      <c r="T348" s="267"/>
      <c r="U348" s="268"/>
      <c r="V348" s="271"/>
      <c r="W348" s="272">
        <f t="shared" si="2"/>
        <v>45861.54167</v>
      </c>
      <c r="X348" s="273"/>
      <c r="Y348" s="273"/>
      <c r="Z348" s="235"/>
      <c r="AA348" s="43"/>
    </row>
    <row r="349" ht="15.75" hidden="1" customHeight="1">
      <c r="A349" s="275" t="s">
        <v>198</v>
      </c>
      <c r="B349" s="276" t="str">
        <f>IFERROR(VLOOKUP(A349&amp;"", STUDENTS!A:B, 2, 0), "")</f>
        <v>TRẦN XUÂN KHOA</v>
      </c>
      <c r="C349" s="122" t="s">
        <v>83</v>
      </c>
      <c r="D349" s="122" t="str">
        <f>IFERROR(VLOOKUP(C349, PIC!A:B, 2, 0), "")</f>
        <v>Anh Ha</v>
      </c>
      <c r="E349" s="123" t="s">
        <v>22</v>
      </c>
      <c r="F349" s="277">
        <v>45764.41666666666</v>
      </c>
      <c r="G349" s="278" t="s">
        <v>1162</v>
      </c>
      <c r="H349" s="278">
        <v>45804.375</v>
      </c>
      <c r="I349" s="277">
        <v>45805.41666666666</v>
      </c>
      <c r="J349" s="278">
        <v>45812.45833333334</v>
      </c>
      <c r="K349" s="277">
        <v>45819.45833333334</v>
      </c>
      <c r="L349" s="278">
        <v>45827.41666666666</v>
      </c>
      <c r="M349" s="278">
        <v>45833.375</v>
      </c>
      <c r="N349" s="277">
        <v>45840.41666666666</v>
      </c>
      <c r="O349" s="277">
        <v>45861.54166666666</v>
      </c>
      <c r="P349" s="277"/>
      <c r="Q349" s="277"/>
      <c r="R349" s="277"/>
      <c r="S349" s="277"/>
      <c r="T349" s="277"/>
      <c r="U349" s="278"/>
      <c r="V349" s="281"/>
      <c r="W349" s="282">
        <f t="shared" si="2"/>
        <v>45861.54167</v>
      </c>
      <c r="X349" s="283"/>
      <c r="Y349" s="283"/>
      <c r="Z349" s="235"/>
      <c r="AA349" s="43"/>
    </row>
    <row r="350" ht="15.75" hidden="1" customHeight="1">
      <c r="A350" s="265" t="s">
        <v>717</v>
      </c>
      <c r="B350" s="266" t="str">
        <f>IFERROR(VLOOKUP(A350&amp;"", STUDENTS!A:B, 2, 0), "")</f>
        <v>HÀ TRẦN TUẤN ANH</v>
      </c>
      <c r="C350" s="104" t="s">
        <v>83</v>
      </c>
      <c r="D350" s="104" t="str">
        <f>IFERROR(VLOOKUP(C350, PIC!A:B, 2, 0), "")</f>
        <v>Anh Ha</v>
      </c>
      <c r="E350" s="105" t="s">
        <v>23</v>
      </c>
      <c r="F350" s="267">
        <v>45882.41666666666</v>
      </c>
      <c r="G350" s="268">
        <v>45889.41666666666</v>
      </c>
      <c r="H350" s="268">
        <v>45896.41666666666</v>
      </c>
      <c r="I350" s="267">
        <v>45903.41666666666</v>
      </c>
      <c r="J350" s="268">
        <v>45910.41666666666</v>
      </c>
      <c r="K350" s="267">
        <v>45924.45833333334</v>
      </c>
      <c r="L350" s="268">
        <v>45931.41666666666</v>
      </c>
      <c r="M350" s="268">
        <v>45938.45833333334</v>
      </c>
      <c r="N350" s="267">
        <v>45980.41666666666</v>
      </c>
      <c r="O350" s="267">
        <v>45987.41666666666</v>
      </c>
      <c r="P350" s="267">
        <v>45994.58333333334</v>
      </c>
      <c r="Q350" s="267">
        <v>46008.41666666666</v>
      </c>
      <c r="R350" s="267">
        <v>46036.41666666666</v>
      </c>
      <c r="S350" s="267">
        <v>46043.45833333334</v>
      </c>
      <c r="T350" s="267">
        <v>46050.41666666666</v>
      </c>
      <c r="U350" s="268">
        <v>46106.54166666666</v>
      </c>
      <c r="V350" s="271"/>
      <c r="W350" s="272">
        <f t="shared" si="2"/>
        <v>46106.54167</v>
      </c>
      <c r="X350" s="273"/>
      <c r="Y350" s="273"/>
      <c r="Z350" s="235"/>
      <c r="AA350" s="43"/>
    </row>
    <row r="351" ht="15.75" hidden="1" customHeight="1">
      <c r="A351" s="275" t="s">
        <v>183</v>
      </c>
      <c r="B351" s="276" t="str">
        <f>IFERROR(VLOOKUP(A351&amp;"", STUDENTS!A:B, 2, 0), "")</f>
        <v>HUỲNH THỊ BẢO YẾN</v>
      </c>
      <c r="C351" s="122" t="s">
        <v>83</v>
      </c>
      <c r="D351" s="122" t="str">
        <f>IFERROR(VLOOKUP(C351, PIC!A:B, 2, 0), "")</f>
        <v>Anh Ha</v>
      </c>
      <c r="E351" s="123" t="s">
        <v>23</v>
      </c>
      <c r="F351" s="277">
        <v>45882.58333333334</v>
      </c>
      <c r="G351" s="278">
        <v>45889.54166666666</v>
      </c>
      <c r="H351" s="278">
        <v>45895.54166666666</v>
      </c>
      <c r="I351" s="277">
        <v>45903.54166666666</v>
      </c>
      <c r="J351" s="278">
        <v>45910.58333333334</v>
      </c>
      <c r="K351" s="277" t="s">
        <v>1162</v>
      </c>
      <c r="L351" s="278">
        <v>45931.41666666666</v>
      </c>
      <c r="M351" s="278">
        <v>45938.45833333334</v>
      </c>
      <c r="N351" s="277">
        <v>45980.41666666666</v>
      </c>
      <c r="O351" s="277">
        <v>45987.41666666666</v>
      </c>
      <c r="P351" s="277">
        <v>45994.58333333334</v>
      </c>
      <c r="Q351" s="277">
        <v>46008.41666666666</v>
      </c>
      <c r="R351" s="277">
        <v>46036.41666666666</v>
      </c>
      <c r="S351" s="277">
        <v>46043.45833333334</v>
      </c>
      <c r="T351" s="277">
        <v>46050.41666666666</v>
      </c>
      <c r="U351" s="278">
        <v>46106.54166666666</v>
      </c>
      <c r="V351" s="281"/>
      <c r="W351" s="282">
        <f t="shared" si="2"/>
        <v>46106.54167</v>
      </c>
      <c r="X351" s="283"/>
      <c r="Y351" s="283"/>
      <c r="Z351" s="235"/>
      <c r="AA351" s="43"/>
    </row>
    <row r="352" ht="15.75" hidden="1" customHeight="1">
      <c r="A352" s="265" t="s">
        <v>185</v>
      </c>
      <c r="B352" s="266" t="str">
        <f>IFERROR(VLOOKUP(A352&amp;"", STUDENTS!A:B, 2, 0), "")</f>
        <v>HUỲNH TRẦN HẢI LONG</v>
      </c>
      <c r="C352" s="104" t="s">
        <v>83</v>
      </c>
      <c r="D352" s="104" t="str">
        <f>IFERROR(VLOOKUP(C352, PIC!A:B, 2, 0), "")</f>
        <v>Anh Ha</v>
      </c>
      <c r="E352" s="105" t="s">
        <v>23</v>
      </c>
      <c r="F352" s="267" t="s">
        <v>1162</v>
      </c>
      <c r="G352" s="268">
        <v>45889.41666666666</v>
      </c>
      <c r="H352" s="268">
        <v>45896.41666666666</v>
      </c>
      <c r="I352" s="267">
        <v>45903.41666666666</v>
      </c>
      <c r="J352" s="268">
        <v>45910.41666666666</v>
      </c>
      <c r="K352" s="267">
        <v>45924.45833333334</v>
      </c>
      <c r="L352" s="268" t="s">
        <v>1162</v>
      </c>
      <c r="M352" s="268">
        <v>45938.45833333334</v>
      </c>
      <c r="N352" s="267">
        <v>45980.41666666666</v>
      </c>
      <c r="O352" s="267">
        <v>45987.41666666666</v>
      </c>
      <c r="P352" s="267">
        <v>45994.58333333334</v>
      </c>
      <c r="Q352" s="267">
        <v>46008.41666666666</v>
      </c>
      <c r="R352" s="267" t="s">
        <v>1162</v>
      </c>
      <c r="S352" s="267" t="s">
        <v>1162</v>
      </c>
      <c r="T352" s="267">
        <v>46050.41666666666</v>
      </c>
      <c r="U352" s="268">
        <v>46106.54166666666</v>
      </c>
      <c r="V352" s="271"/>
      <c r="W352" s="272">
        <f t="shared" si="2"/>
        <v>46106.54167</v>
      </c>
      <c r="X352" s="273"/>
      <c r="Y352" s="273"/>
      <c r="Z352" s="235"/>
      <c r="AA352" s="43"/>
    </row>
    <row r="353" ht="15.75" hidden="1" customHeight="1">
      <c r="A353" s="275" t="s">
        <v>200</v>
      </c>
      <c r="B353" s="276" t="str">
        <f>IFERROR(VLOOKUP(A353&amp;"", STUDENTS!A:B, 2, 0), "")</f>
        <v>LÊ VĂN SƠN</v>
      </c>
      <c r="C353" s="122" t="s">
        <v>83</v>
      </c>
      <c r="D353" s="122" t="str">
        <f>IFERROR(VLOOKUP(C353, PIC!A:B, 2, 0), "")</f>
        <v>Anh Ha</v>
      </c>
      <c r="E353" s="123" t="s">
        <v>23</v>
      </c>
      <c r="F353" s="277">
        <v>45882.41666666666</v>
      </c>
      <c r="G353" s="278">
        <v>45889.41666666666</v>
      </c>
      <c r="H353" s="278">
        <v>45896.41666666666</v>
      </c>
      <c r="I353" s="277">
        <v>45903.41666666666</v>
      </c>
      <c r="J353" s="278">
        <v>45910.41666666666</v>
      </c>
      <c r="K353" s="277">
        <v>45924.45833333334</v>
      </c>
      <c r="L353" s="278">
        <v>45931.41666666666</v>
      </c>
      <c r="M353" s="278">
        <v>45938.45833333334</v>
      </c>
      <c r="N353" s="277">
        <v>45980.41666666666</v>
      </c>
      <c r="O353" s="277" t="s">
        <v>1162</v>
      </c>
      <c r="P353" s="277">
        <v>45994.58333333334</v>
      </c>
      <c r="Q353" s="277">
        <v>46008.41666666666</v>
      </c>
      <c r="R353" s="277">
        <v>46036.41666666666</v>
      </c>
      <c r="S353" s="277">
        <v>46043.45833333334</v>
      </c>
      <c r="T353" s="277">
        <v>46050.41666666666</v>
      </c>
      <c r="U353" s="278">
        <v>46106.54166666666</v>
      </c>
      <c r="V353" s="281"/>
      <c r="W353" s="282">
        <f t="shared" si="2"/>
        <v>46106.54167</v>
      </c>
      <c r="X353" s="283"/>
      <c r="Y353" s="283"/>
      <c r="Z353" s="235"/>
      <c r="AA353" s="43"/>
    </row>
    <row r="354" ht="15.75" hidden="1" customHeight="1">
      <c r="A354" s="265" t="s">
        <v>187</v>
      </c>
      <c r="B354" s="266" t="str">
        <f>IFERROR(VLOOKUP(A354&amp;"", STUDENTS!A:B, 2, 0), "")</f>
        <v>NGUYỄN TẤN PHÁT</v>
      </c>
      <c r="C354" s="104" t="s">
        <v>83</v>
      </c>
      <c r="D354" s="104" t="str">
        <f>IFERROR(VLOOKUP(C354, PIC!A:B, 2, 0), "")</f>
        <v>Anh Ha</v>
      </c>
      <c r="E354" s="105" t="s">
        <v>23</v>
      </c>
      <c r="F354" s="267">
        <v>45882.41666666666</v>
      </c>
      <c r="G354" s="268">
        <v>45889.41666666666</v>
      </c>
      <c r="H354" s="268">
        <v>45896.41666666666</v>
      </c>
      <c r="I354" s="267">
        <v>45903.41666666666</v>
      </c>
      <c r="J354" s="268">
        <v>45910.41666666666</v>
      </c>
      <c r="K354" s="267">
        <v>45924.45833333334</v>
      </c>
      <c r="L354" s="268">
        <v>45931.41666666666</v>
      </c>
      <c r="M354" s="268">
        <v>45938.45833333334</v>
      </c>
      <c r="N354" s="267">
        <v>45980.41666666666</v>
      </c>
      <c r="O354" s="267">
        <v>45987.41666666666</v>
      </c>
      <c r="P354" s="267">
        <v>45994.58333333334</v>
      </c>
      <c r="Q354" s="267">
        <v>46008.41666666666</v>
      </c>
      <c r="R354" s="267">
        <v>46036.41666666666</v>
      </c>
      <c r="S354" s="267">
        <v>46043.45833333334</v>
      </c>
      <c r="T354" s="267">
        <v>46050.41666666666</v>
      </c>
      <c r="U354" s="268">
        <v>46106.54166666666</v>
      </c>
      <c r="V354" s="271"/>
      <c r="W354" s="272">
        <f t="shared" si="2"/>
        <v>46106.54167</v>
      </c>
      <c r="X354" s="273"/>
      <c r="Y354" s="273"/>
      <c r="Z354" s="235"/>
      <c r="AA354" s="43"/>
    </row>
    <row r="355" ht="15.75" hidden="1" customHeight="1">
      <c r="A355" s="275" t="s">
        <v>191</v>
      </c>
      <c r="B355" s="276" t="str">
        <f>IFERROR(VLOOKUP(A355&amp;"", STUDENTS!A:B, 2, 0), "")</f>
        <v>NGUYỄN THỊ HOÀNG OANH</v>
      </c>
      <c r="C355" s="122" t="s">
        <v>83</v>
      </c>
      <c r="D355" s="122" t="str">
        <f>IFERROR(VLOOKUP(C355, PIC!A:B, 2, 0), "")</f>
        <v>Anh Ha</v>
      </c>
      <c r="E355" s="123" t="s">
        <v>23</v>
      </c>
      <c r="F355" s="277">
        <v>45882.58333333334</v>
      </c>
      <c r="G355" s="278">
        <v>45889.54166666666</v>
      </c>
      <c r="H355" s="278">
        <v>45895.54166666666</v>
      </c>
      <c r="I355" s="277">
        <v>45903.54166666666</v>
      </c>
      <c r="J355" s="278">
        <v>45910.58333333334</v>
      </c>
      <c r="K355" s="277" t="s">
        <v>1162</v>
      </c>
      <c r="L355" s="278">
        <v>45931.41666666666</v>
      </c>
      <c r="M355" s="278">
        <v>45938.45833333334</v>
      </c>
      <c r="N355" s="277">
        <v>45980.41666666666</v>
      </c>
      <c r="O355" s="277">
        <v>45987.41666666666</v>
      </c>
      <c r="P355" s="277">
        <v>45994.58333333334</v>
      </c>
      <c r="Q355" s="277">
        <v>46008.41666666666</v>
      </c>
      <c r="R355" s="277">
        <v>46036.41666666666</v>
      </c>
      <c r="S355" s="277">
        <v>46043.45833333334</v>
      </c>
      <c r="T355" s="277">
        <v>46050.41666666666</v>
      </c>
      <c r="U355" s="278" t="s">
        <v>1162</v>
      </c>
      <c r="V355" s="281"/>
      <c r="W355" s="282">
        <f t="shared" si="2"/>
        <v>46050.41667</v>
      </c>
      <c r="X355" s="283"/>
      <c r="Y355" s="283"/>
      <c r="Z355" s="235"/>
      <c r="AA355" s="43"/>
    </row>
    <row r="356" ht="15.75" hidden="1" customHeight="1">
      <c r="A356" s="265" t="s">
        <v>194</v>
      </c>
      <c r="B356" s="266" t="str">
        <f>IFERROR(VLOOKUP(A356&amp;"", STUDENTS!A:B, 2, 0), "")</f>
        <v>TRẦN QUANG ĐẠO</v>
      </c>
      <c r="C356" s="104" t="s">
        <v>83</v>
      </c>
      <c r="D356" s="104" t="str">
        <f>IFERROR(VLOOKUP(C356, PIC!A:B, 2, 0), "")</f>
        <v>Anh Ha</v>
      </c>
      <c r="E356" s="105" t="s">
        <v>23</v>
      </c>
      <c r="F356" s="267">
        <v>45882.41666666666</v>
      </c>
      <c r="G356" s="268">
        <v>45889.41666666666</v>
      </c>
      <c r="H356" s="268" t="s">
        <v>1162</v>
      </c>
      <c r="I356" s="267" t="s">
        <v>1162</v>
      </c>
      <c r="J356" s="268">
        <v>45910.41666666666</v>
      </c>
      <c r="K356" s="267">
        <v>45924.45833333334</v>
      </c>
      <c r="L356" s="268">
        <v>45931.41666666666</v>
      </c>
      <c r="M356" s="268">
        <v>45938.45833333334</v>
      </c>
      <c r="N356" s="267">
        <v>45980.41666666666</v>
      </c>
      <c r="O356" s="267">
        <v>45987.41666666666</v>
      </c>
      <c r="P356" s="267">
        <v>45994.58333333334</v>
      </c>
      <c r="Q356" s="267">
        <v>46008.41666666666</v>
      </c>
      <c r="R356" s="267">
        <v>46036.41666666666</v>
      </c>
      <c r="S356" s="267" t="s">
        <v>1162</v>
      </c>
      <c r="T356" s="267">
        <v>46050.41666666666</v>
      </c>
      <c r="U356" s="268">
        <v>46106.54166666666</v>
      </c>
      <c r="V356" s="271"/>
      <c r="W356" s="272">
        <f t="shared" si="2"/>
        <v>46106.54167</v>
      </c>
      <c r="X356" s="273"/>
      <c r="Y356" s="273"/>
      <c r="Z356" s="235"/>
      <c r="AA356" s="43"/>
    </row>
    <row r="357" ht="15.75" hidden="1" customHeight="1">
      <c r="A357" s="275" t="s">
        <v>196</v>
      </c>
      <c r="B357" s="276" t="str">
        <f>IFERROR(VLOOKUP(A357&amp;"", STUDENTS!A:B, 2, 0), "")</f>
        <v>TRẦN THANH ĐIỀN</v>
      </c>
      <c r="C357" s="122" t="s">
        <v>83</v>
      </c>
      <c r="D357" s="122" t="str">
        <f>IFERROR(VLOOKUP(C357, PIC!A:B, 2, 0), "")</f>
        <v>Anh Ha</v>
      </c>
      <c r="E357" s="123" t="s">
        <v>23</v>
      </c>
      <c r="F357" s="277">
        <v>45882.41666666666</v>
      </c>
      <c r="G357" s="278">
        <v>45889.41666666666</v>
      </c>
      <c r="H357" s="278">
        <v>45896.41666666666</v>
      </c>
      <c r="I357" s="277">
        <v>45903.41666666666</v>
      </c>
      <c r="J357" s="278">
        <v>45910.41666666666</v>
      </c>
      <c r="K357" s="277">
        <v>45924.45833333334</v>
      </c>
      <c r="L357" s="278">
        <v>45931.41666666666</v>
      </c>
      <c r="M357" s="278">
        <v>45938.45833333334</v>
      </c>
      <c r="N357" s="277">
        <v>45980.41666666666</v>
      </c>
      <c r="O357" s="277">
        <v>45987.41666666666</v>
      </c>
      <c r="P357" s="277">
        <v>45994.58333333334</v>
      </c>
      <c r="Q357" s="277">
        <v>46008.41666666666</v>
      </c>
      <c r="R357" s="277">
        <v>46036.41666666666</v>
      </c>
      <c r="S357" s="277">
        <v>46043.45833333334</v>
      </c>
      <c r="T357" s="277">
        <v>46050.41666666666</v>
      </c>
      <c r="U357" s="278">
        <v>46106.54166666666</v>
      </c>
      <c r="V357" s="281"/>
      <c r="W357" s="282">
        <f t="shared" si="2"/>
        <v>46106.54167</v>
      </c>
      <c r="X357" s="283"/>
      <c r="Y357" s="283"/>
      <c r="Z357" s="235"/>
      <c r="AA357" s="43"/>
    </row>
    <row r="358" ht="15.75" hidden="1" customHeight="1">
      <c r="A358" s="265" t="s">
        <v>198</v>
      </c>
      <c r="B358" s="266" t="str">
        <f>IFERROR(VLOOKUP(A358&amp;"", STUDENTS!A:B, 2, 0), "")</f>
        <v>TRẦN XUÂN KHOA</v>
      </c>
      <c r="C358" s="104" t="s">
        <v>83</v>
      </c>
      <c r="D358" s="104" t="str">
        <f>IFERROR(VLOOKUP(C358, PIC!A:B, 2, 0), "")</f>
        <v>Anh Ha</v>
      </c>
      <c r="E358" s="105" t="s">
        <v>23</v>
      </c>
      <c r="F358" s="267">
        <v>45882.41666666666</v>
      </c>
      <c r="G358" s="268">
        <v>45889.41666666666</v>
      </c>
      <c r="H358" s="268">
        <v>45896.41666666666</v>
      </c>
      <c r="I358" s="267">
        <v>45903.41666666666</v>
      </c>
      <c r="J358" s="268">
        <v>45910.41666666666</v>
      </c>
      <c r="K358" s="267">
        <v>45924.45833333334</v>
      </c>
      <c r="L358" s="268">
        <v>45931.41666666666</v>
      </c>
      <c r="M358" s="268">
        <v>45938.45833333334</v>
      </c>
      <c r="N358" s="267">
        <v>45980.41666666666</v>
      </c>
      <c r="O358" s="267" t="s">
        <v>1162</v>
      </c>
      <c r="P358" s="267">
        <v>45994.58333333334</v>
      </c>
      <c r="Q358" s="267">
        <v>46008.41666666666</v>
      </c>
      <c r="R358" s="267">
        <v>46036.41666666666</v>
      </c>
      <c r="S358" s="267">
        <v>46043.45833333334</v>
      </c>
      <c r="T358" s="267">
        <v>46050.41666666666</v>
      </c>
      <c r="U358" s="268">
        <v>46106.54166666666</v>
      </c>
      <c r="V358" s="271"/>
      <c r="W358" s="272">
        <f t="shared" si="2"/>
        <v>46106.54167</v>
      </c>
      <c r="X358" s="273"/>
      <c r="Y358" s="273"/>
      <c r="Z358" s="235"/>
      <c r="AA358" s="43"/>
    </row>
    <row r="359" ht="15.75" hidden="1" customHeight="1">
      <c r="A359" s="275" t="s">
        <v>675</v>
      </c>
      <c r="B359" s="276" t="str">
        <f>IFERROR(VLOOKUP(A359&amp;"", STUDENTS!A:B, 2, 0), "")</f>
        <v>LÂM THỊ YẾN NHI</v>
      </c>
      <c r="C359" s="122" t="s">
        <v>84</v>
      </c>
      <c r="D359" s="122" t="str">
        <f>IFERROR(VLOOKUP(C359, PIC!A:B, 2, 0), "")</f>
        <v>Thuong Tran</v>
      </c>
      <c r="E359" s="123" t="s">
        <v>25</v>
      </c>
      <c r="F359" s="277">
        <v>46091.54166666666</v>
      </c>
      <c r="G359" s="278">
        <v>46098.54166666666</v>
      </c>
      <c r="H359" s="278" t="s">
        <v>1162</v>
      </c>
      <c r="I359" s="277">
        <v>46114.54166666666</v>
      </c>
      <c r="J359" s="278">
        <v>46119.54166666666</v>
      </c>
      <c r="K359" s="277">
        <v>46126.54166666666</v>
      </c>
      <c r="L359" s="278"/>
      <c r="M359" s="280">
        <v>46154.541666666664</v>
      </c>
      <c r="N359" s="280">
        <v>46161.541666666664</v>
      </c>
      <c r="O359" s="280">
        <v>46168.541666666664</v>
      </c>
      <c r="P359" s="280">
        <v>46182.541666666664</v>
      </c>
      <c r="Q359" s="279">
        <v>46189.541666666664</v>
      </c>
      <c r="R359" s="303" t="s">
        <v>1180</v>
      </c>
      <c r="S359" s="280">
        <v>46203.541666666664</v>
      </c>
      <c r="T359" s="280">
        <v>46210.541666666664</v>
      </c>
      <c r="U359" s="278"/>
      <c r="V359" s="281"/>
      <c r="W359" s="282">
        <f t="shared" si="2"/>
        <v>46210.54167</v>
      </c>
      <c r="X359" s="283"/>
      <c r="Y359" s="283"/>
      <c r="Z359" s="235"/>
      <c r="AA359" s="43"/>
    </row>
    <row r="360" ht="15.75" hidden="1" customHeight="1">
      <c r="A360" s="265" t="s">
        <v>677</v>
      </c>
      <c r="B360" s="266" t="str">
        <f>IFERROR(VLOOKUP(A360&amp;"", STUDENTS!A:B, 2, 0), "")</f>
        <v>NGUYỄN THÁI SƠN</v>
      </c>
      <c r="C360" s="104" t="s">
        <v>84</v>
      </c>
      <c r="D360" s="104" t="str">
        <f>IFERROR(VLOOKUP(C360, PIC!A:B, 2, 0), "")</f>
        <v>Thuong Tran</v>
      </c>
      <c r="E360" s="105" t="s">
        <v>25</v>
      </c>
      <c r="F360" s="267">
        <v>46091.54166666666</v>
      </c>
      <c r="G360" s="268">
        <v>46098.54166666666</v>
      </c>
      <c r="H360" s="268" t="s">
        <v>1162</v>
      </c>
      <c r="I360" s="267">
        <v>46114.54166666666</v>
      </c>
      <c r="J360" s="268" t="s">
        <v>1162</v>
      </c>
      <c r="K360" s="267">
        <v>46126.54166666666</v>
      </c>
      <c r="L360" s="268"/>
      <c r="M360" s="270">
        <v>46154.541666666664</v>
      </c>
      <c r="N360" s="270">
        <v>46161.541666666664</v>
      </c>
      <c r="O360" s="270">
        <v>46168.541666666664</v>
      </c>
      <c r="P360" s="270">
        <v>46182.541666666664</v>
      </c>
      <c r="Q360" s="269">
        <v>46189.541666666664</v>
      </c>
      <c r="R360" s="284" t="s">
        <v>1180</v>
      </c>
      <c r="S360" s="270">
        <v>46203.541666666664</v>
      </c>
      <c r="T360" s="270">
        <v>46210.541666666664</v>
      </c>
      <c r="U360" s="268"/>
      <c r="V360" s="271"/>
      <c r="W360" s="272">
        <f t="shared" si="2"/>
        <v>46210.54167</v>
      </c>
      <c r="X360" s="273"/>
      <c r="Y360" s="273"/>
      <c r="Z360" s="235"/>
      <c r="AA360" s="43"/>
    </row>
    <row r="361" ht="15.75" hidden="1" customHeight="1">
      <c r="A361" s="275" t="s">
        <v>679</v>
      </c>
      <c r="B361" s="276" t="str">
        <f>IFERROR(VLOOKUP(A361&amp;"", STUDENTS!A:B, 2, 0), "")</f>
        <v>NGUYỄN TRẦN HOÀI MỸ</v>
      </c>
      <c r="C361" s="122" t="s">
        <v>84</v>
      </c>
      <c r="D361" s="122" t="str">
        <f>IFERROR(VLOOKUP(C361, PIC!A:B, 2, 0), "")</f>
        <v>Thuong Tran</v>
      </c>
      <c r="E361" s="123" t="s">
        <v>25</v>
      </c>
      <c r="F361" s="277">
        <v>46091.54166666666</v>
      </c>
      <c r="G361" s="278">
        <v>46098.54166666666</v>
      </c>
      <c r="H361" s="278">
        <v>46105.54166666666</v>
      </c>
      <c r="I361" s="277" t="s">
        <v>1162</v>
      </c>
      <c r="J361" s="278">
        <v>46119.54166666666</v>
      </c>
      <c r="K361" s="277">
        <v>46126.54166666666</v>
      </c>
      <c r="L361" s="278"/>
      <c r="M361" s="280">
        <v>46154.541666666664</v>
      </c>
      <c r="N361" s="280">
        <v>46161.541666666664</v>
      </c>
      <c r="O361" s="280">
        <v>46168.541666666664</v>
      </c>
      <c r="P361" s="280">
        <v>46182.541666666664</v>
      </c>
      <c r="Q361" s="279">
        <v>46189.541666666664</v>
      </c>
      <c r="R361" s="303" t="s">
        <v>1180</v>
      </c>
      <c r="S361" s="280">
        <v>46203.541666666664</v>
      </c>
      <c r="T361" s="280">
        <v>46210.541666666664</v>
      </c>
      <c r="U361" s="278"/>
      <c r="V361" s="281"/>
      <c r="W361" s="282">
        <f t="shared" si="2"/>
        <v>46210.54167</v>
      </c>
      <c r="X361" s="283"/>
      <c r="Y361" s="283"/>
      <c r="Z361" s="235"/>
      <c r="AA361" s="43"/>
    </row>
    <row r="362" ht="15.75" hidden="1" customHeight="1">
      <c r="A362" s="265" t="s">
        <v>683</v>
      </c>
      <c r="B362" s="266" t="str">
        <f>IFERROR(VLOOKUP(A362&amp;"", STUDENTS!A:B, 2, 0), "")</f>
        <v>TRẦN THỊ HOÀI THƯƠNG</v>
      </c>
      <c r="C362" s="104" t="s">
        <v>84</v>
      </c>
      <c r="D362" s="104" t="str">
        <f>IFERROR(VLOOKUP(C362, PIC!A:B, 2, 0), "")</f>
        <v>Thuong Tran</v>
      </c>
      <c r="E362" s="105" t="s">
        <v>25</v>
      </c>
      <c r="F362" s="269" t="s">
        <v>1162</v>
      </c>
      <c r="G362" s="268">
        <v>46098.54166666666</v>
      </c>
      <c r="H362" s="268">
        <v>46105.54166666666</v>
      </c>
      <c r="I362" s="267">
        <v>46114.54166666666</v>
      </c>
      <c r="J362" s="268">
        <v>46119.54166666666</v>
      </c>
      <c r="K362" s="267" t="s">
        <v>1162</v>
      </c>
      <c r="L362" s="268"/>
      <c r="M362" s="270">
        <v>46154.541666666664</v>
      </c>
      <c r="N362" s="270">
        <v>46161.541666666664</v>
      </c>
      <c r="O362" s="270">
        <v>46168.541666666664</v>
      </c>
      <c r="P362" s="270">
        <v>46182.541666666664</v>
      </c>
      <c r="Q362" s="269">
        <v>46189.541666666664</v>
      </c>
      <c r="R362" s="284" t="s">
        <v>1180</v>
      </c>
      <c r="S362" s="270">
        <v>46203.541666666664</v>
      </c>
      <c r="T362" s="270">
        <v>46210.541666666664</v>
      </c>
      <c r="U362" s="268"/>
      <c r="V362" s="271"/>
      <c r="W362" s="272">
        <f t="shared" si="2"/>
        <v>46210.54167</v>
      </c>
      <c r="X362" s="273"/>
      <c r="Y362" s="273"/>
      <c r="Z362" s="235"/>
      <c r="AA362" s="43"/>
    </row>
    <row r="363" ht="15.75" hidden="1" customHeight="1">
      <c r="A363" s="275" t="s">
        <v>681</v>
      </c>
      <c r="B363" s="276" t="str">
        <f>IFERROR(VLOOKUP(A363&amp;"", STUDENTS!A:B, 2, 0), "")</f>
        <v>TÔN THÀNH AN</v>
      </c>
      <c r="C363" s="122" t="s">
        <v>84</v>
      </c>
      <c r="D363" s="122" t="str">
        <f>IFERROR(VLOOKUP(C363, PIC!A:B, 2, 0), "")</f>
        <v>Thuong Tran</v>
      </c>
      <c r="E363" s="123" t="s">
        <v>25</v>
      </c>
      <c r="F363" s="277">
        <v>46091.54166666666</v>
      </c>
      <c r="G363" s="278">
        <v>46098.54166666666</v>
      </c>
      <c r="H363" s="278">
        <v>46105.54166666666</v>
      </c>
      <c r="I363" s="277">
        <v>46114.54166666666</v>
      </c>
      <c r="J363" s="278">
        <v>46119.54166666666</v>
      </c>
      <c r="K363" s="277">
        <v>46126.54166666666</v>
      </c>
      <c r="L363" s="278"/>
      <c r="M363" s="331">
        <v>46154.541666666664</v>
      </c>
      <c r="N363" s="280">
        <v>46161.541666666664</v>
      </c>
      <c r="O363" s="280">
        <v>46168.541666666664</v>
      </c>
      <c r="P363" s="280">
        <v>46182.541666666664</v>
      </c>
      <c r="Q363" s="279">
        <v>46189.541666666664</v>
      </c>
      <c r="R363" s="303" t="s">
        <v>1180</v>
      </c>
      <c r="S363" s="280">
        <v>46203.541666666664</v>
      </c>
      <c r="T363" s="280">
        <v>46210.541666666664</v>
      </c>
      <c r="U363" s="278"/>
      <c r="V363" s="281"/>
      <c r="W363" s="282">
        <f t="shared" si="2"/>
        <v>46210.54167</v>
      </c>
      <c r="X363" s="283"/>
      <c r="Y363" s="283"/>
      <c r="Z363" s="235"/>
      <c r="AA363" s="43"/>
    </row>
    <row r="364" ht="15.75" hidden="1" customHeight="1">
      <c r="A364" s="265" t="s">
        <v>689</v>
      </c>
      <c r="B364" s="266" t="str">
        <f>IFERROR(VLOOKUP(A364&amp;"", STUDENTS!A:B, 2, 0), "")</f>
        <v>TRẦN MINH TRUNG</v>
      </c>
      <c r="C364" s="104" t="s">
        <v>84</v>
      </c>
      <c r="D364" s="104" t="str">
        <f>IFERROR(VLOOKUP(C364, PIC!A:B, 2, 0), "")</f>
        <v>Thuong Tran</v>
      </c>
      <c r="E364" s="105" t="s">
        <v>25</v>
      </c>
      <c r="F364" s="267">
        <v>46091.54166666666</v>
      </c>
      <c r="G364" s="268">
        <v>46098.54166666666</v>
      </c>
      <c r="H364" s="268" t="s">
        <v>1162</v>
      </c>
      <c r="I364" s="267" t="s">
        <v>1162</v>
      </c>
      <c r="J364" s="268" t="s">
        <v>1162</v>
      </c>
      <c r="K364" s="267" t="s">
        <v>1162</v>
      </c>
      <c r="L364" s="268"/>
      <c r="M364" s="270" t="s">
        <v>1162</v>
      </c>
      <c r="N364" s="284" t="s">
        <v>1162</v>
      </c>
      <c r="O364" s="284" t="s">
        <v>1162</v>
      </c>
      <c r="P364" s="284" t="s">
        <v>1162</v>
      </c>
      <c r="Q364" s="284" t="s">
        <v>1162</v>
      </c>
      <c r="R364" s="284" t="s">
        <v>1162</v>
      </c>
      <c r="S364" s="284" t="s">
        <v>1162</v>
      </c>
      <c r="T364" s="284" t="s">
        <v>1162</v>
      </c>
      <c r="U364" s="268"/>
      <c r="V364" s="271"/>
      <c r="W364" s="272">
        <f t="shared" si="2"/>
        <v>46098.54167</v>
      </c>
      <c r="X364" s="273"/>
      <c r="Y364" s="273"/>
      <c r="Z364" s="235"/>
      <c r="AA364" s="43"/>
    </row>
    <row r="365" ht="15.75" hidden="1" customHeight="1">
      <c r="A365" s="275" t="s">
        <v>687</v>
      </c>
      <c r="B365" s="276" t="str">
        <f>IFERROR(VLOOKUP(A365&amp;"", STUDENTS!A:B, 2, 0), "")</f>
        <v>NGUYỄN VĂN HÙNG</v>
      </c>
      <c r="C365" s="122" t="s">
        <v>84</v>
      </c>
      <c r="D365" s="122" t="str">
        <f>IFERROR(VLOOKUP(C365, PIC!A:B, 2, 0), "")</f>
        <v>Thuong Tran</v>
      </c>
      <c r="E365" s="123" t="s">
        <v>25</v>
      </c>
      <c r="F365" s="277">
        <v>46091.54166666666</v>
      </c>
      <c r="G365" s="278">
        <v>46098.54166666666</v>
      </c>
      <c r="H365" s="278">
        <v>46105.54166666666</v>
      </c>
      <c r="I365" s="277" t="s">
        <v>1162</v>
      </c>
      <c r="J365" s="278">
        <v>46119.54166666666</v>
      </c>
      <c r="K365" s="277" t="s">
        <v>1162</v>
      </c>
      <c r="L365" s="285" t="s">
        <v>1162</v>
      </c>
      <c r="M365" s="280" t="s">
        <v>1162</v>
      </c>
      <c r="N365" s="303" t="s">
        <v>1162</v>
      </c>
      <c r="O365" s="303" t="s">
        <v>1162</v>
      </c>
      <c r="P365" s="303" t="s">
        <v>1162</v>
      </c>
      <c r="Q365" s="303" t="s">
        <v>1162</v>
      </c>
      <c r="R365" s="303" t="s">
        <v>1162</v>
      </c>
      <c r="S365" s="303" t="s">
        <v>1162</v>
      </c>
      <c r="T365" s="303" t="s">
        <v>1162</v>
      </c>
      <c r="U365" s="278"/>
      <c r="V365" s="281"/>
      <c r="W365" s="282">
        <f t="shared" si="2"/>
        <v>46119.54167</v>
      </c>
      <c r="X365" s="283"/>
      <c r="Y365" s="283"/>
      <c r="Z365" s="235"/>
      <c r="AA365" s="43"/>
    </row>
    <row r="366" ht="15.75" hidden="1" customHeight="1">
      <c r="A366" s="265" t="s">
        <v>183</v>
      </c>
      <c r="B366" s="266" t="str">
        <f>IFERROR(VLOOKUP(A366&amp;"", STUDENTS!A:B, 2, 0), "")</f>
        <v>HUỲNH THỊ BẢO YẾN</v>
      </c>
      <c r="C366" s="104" t="s">
        <v>84</v>
      </c>
      <c r="D366" s="104" t="str">
        <f>IFERROR(VLOOKUP(C366, PIC!A:B, 2, 0), "")</f>
        <v>Thuong Tran</v>
      </c>
      <c r="E366" s="105" t="s">
        <v>22</v>
      </c>
      <c r="F366" s="267" t="s">
        <v>1162</v>
      </c>
      <c r="G366" s="268">
        <v>45784.54166666666</v>
      </c>
      <c r="H366" s="268">
        <v>45791.54166666666</v>
      </c>
      <c r="I366" s="267">
        <v>45804.58333333334</v>
      </c>
      <c r="J366" s="268">
        <v>45812.58333333334</v>
      </c>
      <c r="K366" s="267">
        <v>45813.54166666666</v>
      </c>
      <c r="L366" s="268">
        <v>45818.54166666666</v>
      </c>
      <c r="M366" s="271">
        <v>45827.54166666666</v>
      </c>
      <c r="N366" s="267">
        <v>45833.54166666666</v>
      </c>
      <c r="O366" s="267">
        <v>45860.41666666666</v>
      </c>
      <c r="P366" s="267"/>
      <c r="Q366" s="267"/>
      <c r="R366" s="267"/>
      <c r="S366" s="267"/>
      <c r="T366" s="267"/>
      <c r="U366" s="268"/>
      <c r="V366" s="271"/>
      <c r="W366" s="272">
        <f t="shared" si="2"/>
        <v>45860.41667</v>
      </c>
      <c r="X366" s="300" t="s">
        <v>1175</v>
      </c>
      <c r="Y366" s="273"/>
      <c r="Z366" s="235"/>
      <c r="AA366" s="43"/>
    </row>
    <row r="367" ht="15.75" hidden="1" customHeight="1">
      <c r="A367" s="275" t="s">
        <v>675</v>
      </c>
      <c r="B367" s="276" t="str">
        <f>IFERROR(VLOOKUP(A367&amp;"", STUDENTS!A:B, 2, 0), "")</f>
        <v>LÂM THỊ YẾN NHI</v>
      </c>
      <c r="C367" s="122" t="s">
        <v>84</v>
      </c>
      <c r="D367" s="122" t="str">
        <f>IFERROR(VLOOKUP(C367, PIC!A:B, 2, 0), "")</f>
        <v>Thuong Tran</v>
      </c>
      <c r="E367" s="123" t="s">
        <v>22</v>
      </c>
      <c r="F367" s="277">
        <v>45764.58333333334</v>
      </c>
      <c r="G367" s="278">
        <v>45784.54166666666</v>
      </c>
      <c r="H367" s="278">
        <v>45791.54166666666</v>
      </c>
      <c r="I367" s="277">
        <v>45804.58333333334</v>
      </c>
      <c r="J367" s="278">
        <v>45812.58333333334</v>
      </c>
      <c r="K367" s="277">
        <v>45813.54166666666</v>
      </c>
      <c r="L367" s="278">
        <v>45818.54166666666</v>
      </c>
      <c r="M367" s="278">
        <v>45827.54166666666</v>
      </c>
      <c r="N367" s="277">
        <v>45833.54166666666</v>
      </c>
      <c r="O367" s="277">
        <v>45860.41666666666</v>
      </c>
      <c r="P367" s="277"/>
      <c r="Q367" s="277"/>
      <c r="R367" s="277"/>
      <c r="S367" s="277"/>
      <c r="T367" s="277"/>
      <c r="U367" s="278"/>
      <c r="V367" s="281"/>
      <c r="W367" s="282">
        <f t="shared" si="2"/>
        <v>45860.41667</v>
      </c>
      <c r="X367" s="298" t="s">
        <v>1175</v>
      </c>
      <c r="Y367" s="283"/>
      <c r="Z367" s="235"/>
      <c r="AA367" s="43"/>
    </row>
    <row r="368" ht="15.75" hidden="1" customHeight="1">
      <c r="A368" s="265" t="s">
        <v>677</v>
      </c>
      <c r="B368" s="266" t="str">
        <f>IFERROR(VLOOKUP(A368&amp;"", STUDENTS!A:B, 2, 0), "")</f>
        <v>NGUYỄN THÁI SƠN</v>
      </c>
      <c r="C368" s="104" t="s">
        <v>84</v>
      </c>
      <c r="D368" s="104" t="str">
        <f>IFERROR(VLOOKUP(C368, PIC!A:B, 2, 0), "")</f>
        <v>Thuong Tran</v>
      </c>
      <c r="E368" s="105" t="s">
        <v>22</v>
      </c>
      <c r="F368" s="267">
        <v>45764.58333333334</v>
      </c>
      <c r="G368" s="268" t="s">
        <v>1162</v>
      </c>
      <c r="H368" s="268">
        <v>45791.54166666666</v>
      </c>
      <c r="I368" s="267">
        <v>45804.58333333334</v>
      </c>
      <c r="J368" s="268">
        <v>45812.58333333334</v>
      </c>
      <c r="K368" s="267">
        <v>45813.54166666666</v>
      </c>
      <c r="L368" s="268">
        <v>45818.54166666666</v>
      </c>
      <c r="M368" s="268">
        <v>45827.54166666666</v>
      </c>
      <c r="N368" s="267">
        <v>45833.54166666666</v>
      </c>
      <c r="O368" s="267">
        <v>45860.41666666666</v>
      </c>
      <c r="P368" s="267"/>
      <c r="Q368" s="267"/>
      <c r="R368" s="267"/>
      <c r="S368" s="267"/>
      <c r="T368" s="267"/>
      <c r="U368" s="268"/>
      <c r="V368" s="271"/>
      <c r="W368" s="272">
        <f t="shared" si="2"/>
        <v>45860.41667</v>
      </c>
      <c r="X368" s="300" t="s">
        <v>1175</v>
      </c>
      <c r="Y368" s="273"/>
      <c r="Z368" s="235"/>
      <c r="AA368" s="43"/>
    </row>
    <row r="369" ht="15.75" hidden="1" customHeight="1">
      <c r="A369" s="275" t="s">
        <v>191</v>
      </c>
      <c r="B369" s="276" t="str">
        <f>IFERROR(VLOOKUP(A369&amp;"", STUDENTS!A:B, 2, 0), "")</f>
        <v>NGUYỄN THỊ HOÀNG OANH</v>
      </c>
      <c r="C369" s="122" t="s">
        <v>84</v>
      </c>
      <c r="D369" s="122" t="str">
        <f>IFERROR(VLOOKUP(C369, PIC!A:B, 2, 0), "")</f>
        <v>Thuong Tran</v>
      </c>
      <c r="E369" s="123" t="s">
        <v>22</v>
      </c>
      <c r="F369" s="277">
        <v>45764.58333333334</v>
      </c>
      <c r="G369" s="278">
        <v>45784.54166666666</v>
      </c>
      <c r="H369" s="278">
        <v>45791.54166666666</v>
      </c>
      <c r="I369" s="277">
        <v>45804.58333333334</v>
      </c>
      <c r="J369" s="278">
        <v>45812.58333333334</v>
      </c>
      <c r="K369" s="277">
        <v>45813.54166666666</v>
      </c>
      <c r="L369" s="278">
        <v>45818.54166666666</v>
      </c>
      <c r="M369" s="278">
        <v>45827.54166666666</v>
      </c>
      <c r="N369" s="277">
        <v>45833.54166666666</v>
      </c>
      <c r="O369" s="277">
        <v>45860.41666666666</v>
      </c>
      <c r="P369" s="277"/>
      <c r="Q369" s="277"/>
      <c r="R369" s="277"/>
      <c r="S369" s="277"/>
      <c r="T369" s="277"/>
      <c r="U369" s="278"/>
      <c r="V369" s="281"/>
      <c r="W369" s="282">
        <f t="shared" si="2"/>
        <v>45860.41667</v>
      </c>
      <c r="X369" s="298" t="s">
        <v>1175</v>
      </c>
      <c r="Y369" s="283"/>
      <c r="Z369" s="235"/>
      <c r="AA369" s="43"/>
    </row>
    <row r="370" ht="15.75" hidden="1" customHeight="1">
      <c r="A370" s="265" t="s">
        <v>685</v>
      </c>
      <c r="B370" s="266" t="str">
        <f>IFERROR(VLOOKUP(A370&amp;"", STUDENTS!A:B, 2, 0), "")</f>
        <v>NGUYỄN THỊ LOAN</v>
      </c>
      <c r="C370" s="104" t="s">
        <v>84</v>
      </c>
      <c r="D370" s="104" t="str">
        <f>IFERROR(VLOOKUP(C370, PIC!A:B, 2, 0), "")</f>
        <v>Thuong Tran</v>
      </c>
      <c r="E370" s="105" t="s">
        <v>22</v>
      </c>
      <c r="F370" s="267">
        <v>45764.58333333334</v>
      </c>
      <c r="G370" s="268">
        <v>45784.54166666666</v>
      </c>
      <c r="H370" s="268" t="s">
        <v>1162</v>
      </c>
      <c r="I370" s="267">
        <v>45804.58333333334</v>
      </c>
      <c r="J370" s="268">
        <v>45812.58333333334</v>
      </c>
      <c r="K370" s="267">
        <v>45813.54166666666</v>
      </c>
      <c r="L370" s="268">
        <v>45818.54166666666</v>
      </c>
      <c r="M370" s="268">
        <v>45827.54166666666</v>
      </c>
      <c r="N370" s="267" t="s">
        <v>1162</v>
      </c>
      <c r="O370" s="267" t="s">
        <v>1162</v>
      </c>
      <c r="P370" s="267"/>
      <c r="Q370" s="267"/>
      <c r="R370" s="267"/>
      <c r="S370" s="267"/>
      <c r="T370" s="267"/>
      <c r="U370" s="268"/>
      <c r="V370" s="271"/>
      <c r="W370" s="272">
        <f t="shared" si="2"/>
        <v>45827.54167</v>
      </c>
      <c r="X370" s="300" t="s">
        <v>1176</v>
      </c>
      <c r="Y370" s="273"/>
      <c r="Z370" s="235"/>
      <c r="AA370" s="43"/>
    </row>
    <row r="371" ht="15.75" hidden="1" customHeight="1">
      <c r="A371" s="275" t="s">
        <v>679</v>
      </c>
      <c r="B371" s="276" t="str">
        <f>IFERROR(VLOOKUP(A371&amp;"", STUDENTS!A:B, 2, 0), "")</f>
        <v>NGUYỄN TRẦN HOÀI MỸ</v>
      </c>
      <c r="C371" s="122" t="s">
        <v>84</v>
      </c>
      <c r="D371" s="122" t="str">
        <f>IFERROR(VLOOKUP(C371, PIC!A:B, 2, 0), "")</f>
        <v>Thuong Tran</v>
      </c>
      <c r="E371" s="123" t="s">
        <v>22</v>
      </c>
      <c r="F371" s="277">
        <v>45764.58333333334</v>
      </c>
      <c r="G371" s="278">
        <v>45784.54166666666</v>
      </c>
      <c r="H371" s="278">
        <v>45791.54166666666</v>
      </c>
      <c r="I371" s="277">
        <v>45804.58333333334</v>
      </c>
      <c r="J371" s="278">
        <v>45812.58333333334</v>
      </c>
      <c r="K371" s="277">
        <v>45813.54166666666</v>
      </c>
      <c r="L371" s="278">
        <v>45818.54166666666</v>
      </c>
      <c r="M371" s="281">
        <v>45827.54166666666</v>
      </c>
      <c r="N371" s="277">
        <v>45833.54166666666</v>
      </c>
      <c r="O371" s="277">
        <v>45860.41666666666</v>
      </c>
      <c r="P371" s="277"/>
      <c r="Q371" s="277"/>
      <c r="R371" s="277"/>
      <c r="S371" s="277"/>
      <c r="T371" s="277"/>
      <c r="U371" s="278"/>
      <c r="V371" s="281"/>
      <c r="W371" s="282">
        <f t="shared" si="2"/>
        <v>45860.41667</v>
      </c>
      <c r="X371" s="298" t="s">
        <v>1175</v>
      </c>
      <c r="Y371" s="283"/>
      <c r="Z371" s="235"/>
      <c r="AA371" s="43"/>
    </row>
    <row r="372" ht="15.75" hidden="1" customHeight="1">
      <c r="A372" s="265" t="s">
        <v>687</v>
      </c>
      <c r="B372" s="266" t="str">
        <f>IFERROR(VLOOKUP(A372&amp;"", STUDENTS!A:B, 2, 0), "")</f>
        <v>NGUYỄN VĂN HÙNG</v>
      </c>
      <c r="C372" s="104" t="s">
        <v>84</v>
      </c>
      <c r="D372" s="104" t="str">
        <f>IFERROR(VLOOKUP(C372, PIC!A:B, 2, 0), "")</f>
        <v>Thuong Tran</v>
      </c>
      <c r="E372" s="105" t="s">
        <v>22</v>
      </c>
      <c r="F372" s="267">
        <v>45764.58333333334</v>
      </c>
      <c r="G372" s="268">
        <v>45784.54166666666</v>
      </c>
      <c r="H372" s="268">
        <v>45791.54166666666</v>
      </c>
      <c r="I372" s="267">
        <v>45804.58333333334</v>
      </c>
      <c r="J372" s="268"/>
      <c r="K372" s="267" t="s">
        <v>1162</v>
      </c>
      <c r="L372" s="268">
        <v>45818.54166666666</v>
      </c>
      <c r="M372" s="268">
        <v>45827.54166666666</v>
      </c>
      <c r="N372" s="267">
        <v>45833.54166666666</v>
      </c>
      <c r="O372" s="267">
        <v>45860.41666666666</v>
      </c>
      <c r="P372" s="267"/>
      <c r="Q372" s="267"/>
      <c r="R372" s="267"/>
      <c r="S372" s="267"/>
      <c r="T372" s="267"/>
      <c r="U372" s="268"/>
      <c r="V372" s="271"/>
      <c r="W372" s="272">
        <f t="shared" si="2"/>
        <v>45860.41667</v>
      </c>
      <c r="X372" s="300" t="s">
        <v>1175</v>
      </c>
      <c r="Y372" s="273"/>
      <c r="Z372" s="235"/>
      <c r="AA372" s="43"/>
    </row>
    <row r="373" ht="15.75" hidden="1" customHeight="1">
      <c r="A373" s="275" t="s">
        <v>681</v>
      </c>
      <c r="B373" s="276" t="str">
        <f>IFERROR(VLOOKUP(A373&amp;"", STUDENTS!A:B, 2, 0), "")</f>
        <v>TÔN THÀNH AN</v>
      </c>
      <c r="C373" s="122" t="s">
        <v>84</v>
      </c>
      <c r="D373" s="122" t="str">
        <f>IFERROR(VLOOKUP(C373, PIC!A:B, 2, 0), "")</f>
        <v>Thuong Tran</v>
      </c>
      <c r="E373" s="123" t="s">
        <v>22</v>
      </c>
      <c r="F373" s="277">
        <v>45764.58333333334</v>
      </c>
      <c r="G373" s="278">
        <v>45784.54166666666</v>
      </c>
      <c r="H373" s="278">
        <v>45791.54166666666</v>
      </c>
      <c r="I373" s="277">
        <v>45804.58333333334</v>
      </c>
      <c r="J373" s="278">
        <v>45812.58333333334</v>
      </c>
      <c r="K373" s="277">
        <v>45813.54166666666</v>
      </c>
      <c r="L373" s="278">
        <v>45818.54166666666</v>
      </c>
      <c r="M373" s="278">
        <v>45827.54166666666</v>
      </c>
      <c r="N373" s="277">
        <v>45833.54166666666</v>
      </c>
      <c r="O373" s="277">
        <v>45860.41666666666</v>
      </c>
      <c r="P373" s="277"/>
      <c r="Q373" s="277"/>
      <c r="R373" s="277"/>
      <c r="S373" s="277"/>
      <c r="T373" s="277"/>
      <c r="U373" s="278"/>
      <c r="V373" s="281"/>
      <c r="W373" s="282">
        <f t="shared" si="2"/>
        <v>45860.41667</v>
      </c>
      <c r="X373" s="298" t="s">
        <v>1175</v>
      </c>
      <c r="Y373" s="283"/>
      <c r="Z373" s="235"/>
      <c r="AA373" s="43"/>
    </row>
    <row r="374" ht="15.75" hidden="1" customHeight="1">
      <c r="A374" s="265" t="s">
        <v>689</v>
      </c>
      <c r="B374" s="266" t="str">
        <f>IFERROR(VLOOKUP(A374&amp;"", STUDENTS!A:B, 2, 0), "")</f>
        <v>TRẦN MINH TRUNG</v>
      </c>
      <c r="C374" s="104" t="s">
        <v>84</v>
      </c>
      <c r="D374" s="104" t="str">
        <f>IFERROR(VLOOKUP(C374, PIC!A:B, 2, 0), "")</f>
        <v>Thuong Tran</v>
      </c>
      <c r="E374" s="105" t="s">
        <v>22</v>
      </c>
      <c r="F374" s="267">
        <v>45764.58333333334</v>
      </c>
      <c r="G374" s="268">
        <v>45784.54166666666</v>
      </c>
      <c r="H374" s="268">
        <v>45791.54166666666</v>
      </c>
      <c r="I374" s="267">
        <v>45804.58333333334</v>
      </c>
      <c r="J374" s="268">
        <v>45812.58333333334</v>
      </c>
      <c r="K374" s="267">
        <v>45813.54166666666</v>
      </c>
      <c r="L374" s="268">
        <v>45818.54166666666</v>
      </c>
      <c r="M374" s="268">
        <v>45827.54166666666</v>
      </c>
      <c r="N374" s="267">
        <v>45833.54166666666</v>
      </c>
      <c r="O374" s="267">
        <v>45860.41666666666</v>
      </c>
      <c r="P374" s="267"/>
      <c r="Q374" s="267"/>
      <c r="R374" s="267"/>
      <c r="S374" s="267"/>
      <c r="T374" s="267"/>
      <c r="U374" s="268"/>
      <c r="V374" s="271"/>
      <c r="W374" s="272">
        <f t="shared" si="2"/>
        <v>45860.41667</v>
      </c>
      <c r="X374" s="300" t="s">
        <v>1175</v>
      </c>
      <c r="Y374" s="273"/>
      <c r="Z374" s="235"/>
      <c r="AA374" s="43"/>
    </row>
    <row r="375" ht="15.75" hidden="1" customHeight="1">
      <c r="A375" s="275" t="s">
        <v>683</v>
      </c>
      <c r="B375" s="276" t="str">
        <f>IFERROR(VLOOKUP(A375&amp;"", STUDENTS!A:B, 2, 0), "")</f>
        <v>TRẦN THỊ HOÀI THƯƠNG</v>
      </c>
      <c r="C375" s="122" t="s">
        <v>84</v>
      </c>
      <c r="D375" s="122" t="str">
        <f>IFERROR(VLOOKUP(C375, PIC!A:B, 2, 0), "")</f>
        <v>Thuong Tran</v>
      </c>
      <c r="E375" s="123" t="s">
        <v>22</v>
      </c>
      <c r="F375" s="277">
        <v>45764.58333333334</v>
      </c>
      <c r="G375" s="278">
        <v>45784.54166666666</v>
      </c>
      <c r="H375" s="278" t="s">
        <v>1162</v>
      </c>
      <c r="I375" s="277">
        <v>45804.58333333334</v>
      </c>
      <c r="J375" s="278">
        <v>45812.58333333334</v>
      </c>
      <c r="K375" s="277">
        <v>45813.54166666666</v>
      </c>
      <c r="L375" s="278">
        <v>45818.54166666666</v>
      </c>
      <c r="M375" s="278">
        <v>45827.54166666666</v>
      </c>
      <c r="N375" s="277">
        <v>45833.54166666666</v>
      </c>
      <c r="O375" s="277">
        <v>45860.41666666666</v>
      </c>
      <c r="P375" s="277"/>
      <c r="Q375" s="277"/>
      <c r="R375" s="277"/>
      <c r="S375" s="277"/>
      <c r="T375" s="277"/>
      <c r="U375" s="278"/>
      <c r="V375" s="281"/>
      <c r="W375" s="282">
        <f t="shared" si="2"/>
        <v>45860.41667</v>
      </c>
      <c r="X375" s="298" t="s">
        <v>1175</v>
      </c>
      <c r="Y375" s="283"/>
      <c r="Z375" s="235"/>
      <c r="AA375" s="43"/>
    </row>
    <row r="376" ht="15.75" hidden="1" customHeight="1">
      <c r="A376" s="265" t="s">
        <v>675</v>
      </c>
      <c r="B376" s="266" t="str">
        <f>IFERROR(VLOOKUP(A376&amp;"", STUDENTS!A:B, 2, 0), "")</f>
        <v>LÂM THỊ YẾN NHI</v>
      </c>
      <c r="C376" s="104" t="s">
        <v>84</v>
      </c>
      <c r="D376" s="104" t="str">
        <f>IFERROR(VLOOKUP(C376, PIC!A:B, 2, 0), "")</f>
        <v>Thuong Tran</v>
      </c>
      <c r="E376" s="105" t="s">
        <v>23</v>
      </c>
      <c r="F376" s="267" t="s">
        <v>1162</v>
      </c>
      <c r="G376" s="268">
        <v>45889.54166666666</v>
      </c>
      <c r="H376" s="268">
        <v>45895.54166666666</v>
      </c>
      <c r="I376" s="267">
        <v>45903.54166666666</v>
      </c>
      <c r="J376" s="268">
        <v>45910.58333333334</v>
      </c>
      <c r="K376" s="267">
        <v>45917.54166666666</v>
      </c>
      <c r="L376" s="268">
        <v>45924.58333333334</v>
      </c>
      <c r="M376" s="268">
        <v>45940.58333333334</v>
      </c>
      <c r="N376" s="267" t="s">
        <v>1162</v>
      </c>
      <c r="O376" s="267">
        <v>45954.54166666666</v>
      </c>
      <c r="P376" s="267">
        <v>45961.54166666666</v>
      </c>
      <c r="Q376" s="267">
        <v>45965.54166666666</v>
      </c>
      <c r="R376" s="267">
        <v>45974.54166666666</v>
      </c>
      <c r="S376" s="267">
        <v>45980.54166666666</v>
      </c>
      <c r="T376" s="267">
        <v>45987.54166666666</v>
      </c>
      <c r="U376" s="268">
        <v>46045.54166666666</v>
      </c>
      <c r="V376" s="271"/>
      <c r="W376" s="272">
        <f t="shared" si="2"/>
        <v>46045.54167</v>
      </c>
      <c r="X376" s="300" t="s">
        <v>1175</v>
      </c>
      <c r="Y376" s="273"/>
      <c r="Z376" s="235"/>
      <c r="AA376" s="43"/>
    </row>
    <row r="377" ht="15.75" hidden="1" customHeight="1">
      <c r="A377" s="275" t="s">
        <v>677</v>
      </c>
      <c r="B377" s="276" t="str">
        <f>IFERROR(VLOOKUP(A377&amp;"", STUDENTS!A:B, 2, 0), "")</f>
        <v>NGUYỄN THÁI SƠN</v>
      </c>
      <c r="C377" s="122" t="s">
        <v>84</v>
      </c>
      <c r="D377" s="122" t="str">
        <f>IFERROR(VLOOKUP(C377, PIC!A:B, 2, 0), "")</f>
        <v>Thuong Tran</v>
      </c>
      <c r="E377" s="123" t="s">
        <v>23</v>
      </c>
      <c r="F377" s="277">
        <v>45882.58333333334</v>
      </c>
      <c r="G377" s="278">
        <v>45889.54166666666</v>
      </c>
      <c r="H377" s="278">
        <v>45895.54166666666</v>
      </c>
      <c r="I377" s="277">
        <v>45903.54166666666</v>
      </c>
      <c r="J377" s="278" t="s">
        <v>1162</v>
      </c>
      <c r="K377" s="277">
        <v>45917.54166666666</v>
      </c>
      <c r="L377" s="278">
        <v>45924.58333333334</v>
      </c>
      <c r="M377" s="281">
        <v>45940.58333333334</v>
      </c>
      <c r="N377" s="277">
        <v>45943.58333333334</v>
      </c>
      <c r="O377" s="277">
        <v>45954.54166666666</v>
      </c>
      <c r="P377" s="277">
        <v>45961.54166666666</v>
      </c>
      <c r="Q377" s="277">
        <v>45965.54166666666</v>
      </c>
      <c r="R377" s="277">
        <v>45974.54166666666</v>
      </c>
      <c r="S377" s="277" t="s">
        <v>1162</v>
      </c>
      <c r="T377" s="277">
        <v>45987.54166666666</v>
      </c>
      <c r="U377" s="278">
        <v>46045.54166666666</v>
      </c>
      <c r="V377" s="281"/>
      <c r="W377" s="282">
        <f t="shared" si="2"/>
        <v>46045.54167</v>
      </c>
      <c r="X377" s="298" t="s">
        <v>1175</v>
      </c>
      <c r="Y377" s="283"/>
      <c r="Z377" s="235"/>
      <c r="AA377" s="43"/>
    </row>
    <row r="378" ht="15.75" hidden="1" customHeight="1">
      <c r="A378" s="265" t="s">
        <v>679</v>
      </c>
      <c r="B378" s="266" t="str">
        <f>IFERROR(VLOOKUP(A378&amp;"", STUDENTS!A:B, 2, 0), "")</f>
        <v>NGUYỄN TRẦN HOÀI MỸ</v>
      </c>
      <c r="C378" s="104" t="s">
        <v>84</v>
      </c>
      <c r="D378" s="104" t="str">
        <f>IFERROR(VLOOKUP(C378, PIC!A:B, 2, 0), "")</f>
        <v>Thuong Tran</v>
      </c>
      <c r="E378" s="105" t="s">
        <v>23</v>
      </c>
      <c r="F378" s="267">
        <v>45882.58333333334</v>
      </c>
      <c r="G378" s="268">
        <v>45889.54166666666</v>
      </c>
      <c r="H378" s="268">
        <v>45895.54166666666</v>
      </c>
      <c r="I378" s="267">
        <v>45903.54166666666</v>
      </c>
      <c r="J378" s="268">
        <v>45910.58333333334</v>
      </c>
      <c r="K378" s="267" t="s">
        <v>1162</v>
      </c>
      <c r="L378" s="268">
        <v>45924.58333333334</v>
      </c>
      <c r="M378" s="268">
        <v>45940.58333333334</v>
      </c>
      <c r="N378" s="267" t="s">
        <v>1162</v>
      </c>
      <c r="O378" s="267">
        <v>45954.54166666666</v>
      </c>
      <c r="P378" s="267">
        <v>45961.54166666666</v>
      </c>
      <c r="Q378" s="267">
        <v>45965.54166666666</v>
      </c>
      <c r="R378" s="267">
        <v>45974.54166666666</v>
      </c>
      <c r="S378" s="267">
        <v>45980.54166666666</v>
      </c>
      <c r="T378" s="267">
        <v>45987.54166666666</v>
      </c>
      <c r="U378" s="268">
        <v>46045.54166666666</v>
      </c>
      <c r="V378" s="271"/>
      <c r="W378" s="272">
        <f t="shared" si="2"/>
        <v>46045.54167</v>
      </c>
      <c r="X378" s="300" t="s">
        <v>1175</v>
      </c>
      <c r="Y378" s="273"/>
      <c r="Z378" s="235"/>
      <c r="AA378" s="43"/>
    </row>
    <row r="379" ht="15.75" hidden="1" customHeight="1">
      <c r="A379" s="275" t="s">
        <v>687</v>
      </c>
      <c r="B379" s="276" t="str">
        <f>IFERROR(VLOOKUP(A379&amp;"", STUDENTS!A:B, 2, 0), "")</f>
        <v>NGUYỄN VĂN HÙNG</v>
      </c>
      <c r="C379" s="122" t="s">
        <v>84</v>
      </c>
      <c r="D379" s="122" t="str">
        <f>IFERROR(VLOOKUP(C379, PIC!A:B, 2, 0), "")</f>
        <v>Thuong Tran</v>
      </c>
      <c r="E379" s="123" t="s">
        <v>23</v>
      </c>
      <c r="F379" s="277">
        <v>45882.58333333334</v>
      </c>
      <c r="G379" s="278">
        <v>45889.54166666666</v>
      </c>
      <c r="H379" s="278">
        <v>45895.54166666666</v>
      </c>
      <c r="I379" s="277" t="s">
        <v>1162</v>
      </c>
      <c r="J379" s="278">
        <v>45910.58333333334</v>
      </c>
      <c r="K379" s="277">
        <v>45917.54166666666</v>
      </c>
      <c r="L379" s="278">
        <v>45924.58333333334</v>
      </c>
      <c r="M379" s="278">
        <v>45940.58333333334</v>
      </c>
      <c r="N379" s="277">
        <v>45943.58333333334</v>
      </c>
      <c r="O379" s="277">
        <v>45954.54166666666</v>
      </c>
      <c r="P379" s="277">
        <v>45961.54166666666</v>
      </c>
      <c r="Q379" s="277">
        <v>45965.54166666666</v>
      </c>
      <c r="R379" s="277">
        <v>45974.54166666666</v>
      </c>
      <c r="S379" s="277">
        <v>45980.54166666666</v>
      </c>
      <c r="T379" s="277">
        <v>45987.54166666666</v>
      </c>
      <c r="U379" s="278">
        <v>46045.54166666666</v>
      </c>
      <c r="V379" s="281"/>
      <c r="W379" s="282">
        <f t="shared" si="2"/>
        <v>46045.54167</v>
      </c>
      <c r="X379" s="298" t="s">
        <v>1175</v>
      </c>
      <c r="Y379" s="283"/>
      <c r="Z379" s="235"/>
      <c r="AA379" s="43"/>
    </row>
    <row r="380" ht="15.75" hidden="1" customHeight="1">
      <c r="A380" s="265" t="s">
        <v>681</v>
      </c>
      <c r="B380" s="266" t="str">
        <f>IFERROR(VLOOKUP(A380&amp;"", STUDENTS!A:B, 2, 0), "")</f>
        <v>TÔN THÀNH AN</v>
      </c>
      <c r="C380" s="104" t="s">
        <v>84</v>
      </c>
      <c r="D380" s="104" t="str">
        <f>IFERROR(VLOOKUP(C380, PIC!A:B, 2, 0), "")</f>
        <v>Thuong Tran</v>
      </c>
      <c r="E380" s="105" t="s">
        <v>23</v>
      </c>
      <c r="F380" s="267">
        <v>45882.58333333334</v>
      </c>
      <c r="G380" s="268">
        <v>45889.54166666666</v>
      </c>
      <c r="H380" s="268">
        <v>45895.54166666666</v>
      </c>
      <c r="I380" s="267">
        <v>45903.54166666666</v>
      </c>
      <c r="J380" s="268">
        <v>45910.58333333334</v>
      </c>
      <c r="K380" s="267">
        <v>45917.54166666666</v>
      </c>
      <c r="L380" s="268">
        <v>45924.58333333334</v>
      </c>
      <c r="M380" s="268">
        <v>45940.58333333334</v>
      </c>
      <c r="N380" s="267">
        <v>45943.58333333334</v>
      </c>
      <c r="O380" s="267">
        <v>45954.54166666666</v>
      </c>
      <c r="P380" s="267">
        <v>45961.54166666666</v>
      </c>
      <c r="Q380" s="267">
        <v>45965.54166666666</v>
      </c>
      <c r="R380" s="267">
        <v>45974.54166666666</v>
      </c>
      <c r="S380" s="267">
        <v>45980.54166666666</v>
      </c>
      <c r="T380" s="267">
        <v>45987.54166666666</v>
      </c>
      <c r="U380" s="268">
        <v>46045.54166666666</v>
      </c>
      <c r="V380" s="271"/>
      <c r="W380" s="272">
        <f t="shared" si="2"/>
        <v>46045.54167</v>
      </c>
      <c r="X380" s="300" t="s">
        <v>1175</v>
      </c>
      <c r="Y380" s="273"/>
      <c r="Z380" s="235"/>
      <c r="AA380" s="43"/>
    </row>
    <row r="381" ht="15.75" hidden="1" customHeight="1">
      <c r="A381" s="275" t="s">
        <v>689</v>
      </c>
      <c r="B381" s="276" t="str">
        <f>IFERROR(VLOOKUP(A381&amp;"", STUDENTS!A:B, 2, 0), "")</f>
        <v>TRẦN MINH TRUNG</v>
      </c>
      <c r="C381" s="122" t="s">
        <v>84</v>
      </c>
      <c r="D381" s="122" t="str">
        <f>IFERROR(VLOOKUP(C381, PIC!A:B, 2, 0), "")</f>
        <v>Thuong Tran</v>
      </c>
      <c r="E381" s="123" t="s">
        <v>23</v>
      </c>
      <c r="F381" s="277" t="s">
        <v>1162</v>
      </c>
      <c r="G381" s="278" t="s">
        <v>1162</v>
      </c>
      <c r="H381" s="278" t="s">
        <v>1162</v>
      </c>
      <c r="I381" s="277" t="s">
        <v>1162</v>
      </c>
      <c r="J381" s="278" t="s">
        <v>1162</v>
      </c>
      <c r="K381" s="277" t="s">
        <v>1162</v>
      </c>
      <c r="L381" s="278" t="s">
        <v>1162</v>
      </c>
      <c r="M381" s="278" t="s">
        <v>1162</v>
      </c>
      <c r="N381" s="277" t="s">
        <v>1162</v>
      </c>
      <c r="O381" s="277" t="s">
        <v>1162</v>
      </c>
      <c r="P381" s="277" t="s">
        <v>1162</v>
      </c>
      <c r="Q381" s="277" t="s">
        <v>1162</v>
      </c>
      <c r="R381" s="277" t="s">
        <v>1162</v>
      </c>
      <c r="S381" s="277" t="s">
        <v>1162</v>
      </c>
      <c r="T381" s="277" t="s">
        <v>1162</v>
      </c>
      <c r="U381" s="278" t="s">
        <v>1162</v>
      </c>
      <c r="V381" s="281"/>
      <c r="W381" s="282">
        <f t="shared" si="2"/>
        <v>0</v>
      </c>
      <c r="X381" s="298" t="s">
        <v>1175</v>
      </c>
      <c r="Y381" s="283"/>
      <c r="Z381" s="235"/>
      <c r="AA381" s="43"/>
    </row>
    <row r="382" ht="15.75" hidden="1" customHeight="1">
      <c r="A382" s="265" t="s">
        <v>683</v>
      </c>
      <c r="B382" s="266" t="str">
        <f>IFERROR(VLOOKUP(A382&amp;"", STUDENTS!A:B, 2, 0), "")</f>
        <v>TRẦN THỊ HOÀI THƯƠNG</v>
      </c>
      <c r="C382" s="104" t="s">
        <v>84</v>
      </c>
      <c r="D382" s="104" t="str">
        <f>IFERROR(VLOOKUP(C382, PIC!A:B, 2, 0), "")</f>
        <v>Thuong Tran</v>
      </c>
      <c r="E382" s="105" t="s">
        <v>23</v>
      </c>
      <c r="F382" s="267" t="s">
        <v>1162</v>
      </c>
      <c r="G382" s="268">
        <v>45889.54166666666</v>
      </c>
      <c r="H382" s="268">
        <v>45895.54166666666</v>
      </c>
      <c r="I382" s="267">
        <v>45903.54166666666</v>
      </c>
      <c r="J382" s="268">
        <v>45910.58333333334</v>
      </c>
      <c r="K382" s="267">
        <v>45917.54166666666</v>
      </c>
      <c r="L382" s="268">
        <v>45924.58333333334</v>
      </c>
      <c r="M382" s="268">
        <v>45940.58333333334</v>
      </c>
      <c r="N382" s="267">
        <v>45943.58333333334</v>
      </c>
      <c r="O382" s="267">
        <v>45954.54166666666</v>
      </c>
      <c r="P382" s="267">
        <v>45961.54166666666</v>
      </c>
      <c r="Q382" s="267">
        <v>45965.54166666666</v>
      </c>
      <c r="R382" s="267">
        <v>45974.54166666666</v>
      </c>
      <c r="S382" s="267">
        <v>45980.54166666666</v>
      </c>
      <c r="T382" s="267">
        <v>45987.54166666666</v>
      </c>
      <c r="U382" s="268">
        <v>46045.54166666666</v>
      </c>
      <c r="V382" s="271"/>
      <c r="W382" s="272">
        <f t="shared" si="2"/>
        <v>46045.54167</v>
      </c>
      <c r="X382" s="300" t="s">
        <v>1175</v>
      </c>
      <c r="Y382" s="273"/>
      <c r="Z382" s="235"/>
      <c r="AA382" s="43"/>
    </row>
    <row r="383" ht="15.75" hidden="1" customHeight="1">
      <c r="A383" s="275" t="s">
        <v>717</v>
      </c>
      <c r="B383" s="276" t="str">
        <f>IFERROR(VLOOKUP(A383&amp;"", STUDENTS!A:B, 2, 0), "")</f>
        <v>HÀ TRẦN TUẤN ANH</v>
      </c>
      <c r="C383" s="122" t="s">
        <v>85</v>
      </c>
      <c r="D383" s="122" t="str">
        <f>IFERROR(VLOOKUP(C383, PIC!A:B, 2, 0), "")</f>
        <v>Van Nguyen</v>
      </c>
      <c r="E383" s="123" t="s">
        <v>25</v>
      </c>
      <c r="F383" s="279" t="s">
        <v>1162</v>
      </c>
      <c r="G383" s="280" t="s">
        <v>1162</v>
      </c>
      <c r="H383" s="278" t="s">
        <v>1162</v>
      </c>
      <c r="I383" s="277">
        <v>46113.625</v>
      </c>
      <c r="J383" s="278">
        <v>46120.625</v>
      </c>
      <c r="K383" s="277">
        <v>46127.625</v>
      </c>
      <c r="L383" s="280">
        <v>46148.666666666664</v>
      </c>
      <c r="M383" s="279">
        <v>46155.625</v>
      </c>
      <c r="N383" s="303" t="s">
        <v>1162</v>
      </c>
      <c r="O383" s="279">
        <v>46169.625</v>
      </c>
      <c r="P383" s="280">
        <v>46183.625</v>
      </c>
      <c r="Q383" s="279">
        <v>46190.625</v>
      </c>
      <c r="R383" s="279">
        <v>46204.625</v>
      </c>
      <c r="S383" s="280">
        <v>46211.625</v>
      </c>
      <c r="T383" s="280"/>
      <c r="U383" s="278"/>
      <c r="V383" s="281"/>
      <c r="W383" s="282">
        <f t="shared" si="2"/>
        <v>46211.625</v>
      </c>
      <c r="X383" s="283"/>
      <c r="Y383" s="283"/>
      <c r="Z383" s="235"/>
      <c r="AA383" s="43"/>
    </row>
    <row r="384" ht="15.75" hidden="1" customHeight="1">
      <c r="A384" s="265" t="s">
        <v>721</v>
      </c>
      <c r="B384" s="266" t="str">
        <f>IFERROR(VLOOKUP(A384&amp;"", STUDENTS!A:B, 2, 0), "")</f>
        <v>LƯƠNG CÔNG KỲ</v>
      </c>
      <c r="C384" s="104" t="s">
        <v>85</v>
      </c>
      <c r="D384" s="104" t="str">
        <f>IFERROR(VLOOKUP(C384, PIC!A:B, 2, 0), "")</f>
        <v>Van Nguyen</v>
      </c>
      <c r="E384" s="105" t="s">
        <v>25</v>
      </c>
      <c r="F384" s="267">
        <v>46086.45833333334</v>
      </c>
      <c r="G384" s="268">
        <v>46098.45833333334</v>
      </c>
      <c r="H384" s="268">
        <v>46105.45833333334</v>
      </c>
      <c r="I384" s="267">
        <v>46113.625</v>
      </c>
      <c r="J384" s="268">
        <v>46120.625</v>
      </c>
      <c r="K384" s="267">
        <v>46127.625</v>
      </c>
      <c r="L384" s="270">
        <v>46148.666666666664</v>
      </c>
      <c r="M384" s="269">
        <v>46155.625</v>
      </c>
      <c r="N384" s="269">
        <v>46162.625</v>
      </c>
      <c r="O384" s="269">
        <v>46169.625</v>
      </c>
      <c r="P384" s="270">
        <v>46183.625</v>
      </c>
      <c r="Q384" s="269">
        <v>46190.625</v>
      </c>
      <c r="R384" s="269">
        <v>46204.625</v>
      </c>
      <c r="S384" s="270">
        <v>46211.625</v>
      </c>
      <c r="T384" s="270"/>
      <c r="U384" s="268"/>
      <c r="V384" s="271"/>
      <c r="W384" s="272">
        <f t="shared" si="2"/>
        <v>46211.625</v>
      </c>
      <c r="X384" s="273"/>
      <c r="Y384" s="273"/>
      <c r="Z384" s="235"/>
      <c r="AA384" s="43"/>
    </row>
    <row r="385" ht="15.75" hidden="1" customHeight="1">
      <c r="A385" s="275" t="s">
        <v>737</v>
      </c>
      <c r="B385" s="276" t="str">
        <f>IFERROR(VLOOKUP(A385&amp;"", STUDENTS!A:B, 2, 0), "")</f>
        <v>NGUYỄN LÊ HOÀNG VĂN</v>
      </c>
      <c r="C385" s="122" t="s">
        <v>85</v>
      </c>
      <c r="D385" s="122" t="str">
        <f>IFERROR(VLOOKUP(C385, PIC!A:B, 2, 0), "")</f>
        <v>Van Nguyen</v>
      </c>
      <c r="E385" s="123" t="s">
        <v>25</v>
      </c>
      <c r="F385" s="277">
        <v>46086.45833333334</v>
      </c>
      <c r="G385" s="278">
        <v>46098.45833333334</v>
      </c>
      <c r="H385" s="278" t="s">
        <v>1162</v>
      </c>
      <c r="I385" s="277">
        <v>46113.625</v>
      </c>
      <c r="J385" s="278">
        <v>46120.625</v>
      </c>
      <c r="K385" s="277">
        <v>46127.625</v>
      </c>
      <c r="L385" s="280">
        <v>46148.666666666664</v>
      </c>
      <c r="M385" s="279">
        <v>46155.625</v>
      </c>
      <c r="N385" s="303" t="s">
        <v>1162</v>
      </c>
      <c r="O385" s="303" t="s">
        <v>1162</v>
      </c>
      <c r="P385" s="303" t="s">
        <v>1162</v>
      </c>
      <c r="Q385" s="279">
        <v>46190.625</v>
      </c>
      <c r="R385" s="279">
        <v>46204.625</v>
      </c>
      <c r="S385" s="280">
        <v>46211.625</v>
      </c>
      <c r="T385" s="280"/>
      <c r="U385" s="278"/>
      <c r="V385" s="281"/>
      <c r="W385" s="282">
        <f t="shared" si="2"/>
        <v>46211.625</v>
      </c>
      <c r="X385" s="283"/>
      <c r="Y385" s="283"/>
      <c r="Z385" s="235"/>
      <c r="AA385" s="43"/>
    </row>
    <row r="386" ht="15.75" hidden="1" customHeight="1">
      <c r="A386" s="265" t="s">
        <v>725</v>
      </c>
      <c r="B386" s="266" t="str">
        <f>IFERROR(VLOOKUP(A386&amp;"", STUDENTS!A:B, 2, 0), "")</f>
        <v>TRẦN MINH TRIẾT</v>
      </c>
      <c r="C386" s="104" t="s">
        <v>85</v>
      </c>
      <c r="D386" s="104" t="str">
        <f>IFERROR(VLOOKUP(C386, PIC!A:B, 2, 0), "")</f>
        <v>Van Nguyen</v>
      </c>
      <c r="E386" s="105" t="s">
        <v>25</v>
      </c>
      <c r="F386" s="267">
        <v>46086.45833333334</v>
      </c>
      <c r="G386" s="268">
        <v>46098.45833333334</v>
      </c>
      <c r="H386" s="268">
        <v>46105.45833333334</v>
      </c>
      <c r="I386" s="267">
        <v>46113.625</v>
      </c>
      <c r="J386" s="268">
        <v>46120.625</v>
      </c>
      <c r="K386" s="267">
        <v>46127.625</v>
      </c>
      <c r="L386" s="270">
        <v>46148.666666666664</v>
      </c>
      <c r="M386" s="269">
        <v>46155.625</v>
      </c>
      <c r="N386" s="269">
        <v>46162.625</v>
      </c>
      <c r="O386" s="269">
        <v>46169.625</v>
      </c>
      <c r="P386" s="270">
        <v>46183.625</v>
      </c>
      <c r="Q386" s="269">
        <v>46190.625</v>
      </c>
      <c r="R386" s="269">
        <v>46204.625</v>
      </c>
      <c r="S386" s="270">
        <v>46211.625</v>
      </c>
      <c r="T386" s="270"/>
      <c r="U386" s="268"/>
      <c r="V386" s="271"/>
      <c r="W386" s="272">
        <f t="shared" si="2"/>
        <v>46211.625</v>
      </c>
      <c r="X386" s="273"/>
      <c r="Y386" s="273"/>
      <c r="Z386" s="235"/>
      <c r="AA386" s="43"/>
    </row>
    <row r="387" ht="15.75" hidden="1" customHeight="1">
      <c r="A387" s="275" t="s">
        <v>723</v>
      </c>
      <c r="B387" s="276" t="str">
        <f>IFERROR(VLOOKUP(A387&amp;"", STUDENTS!A:B, 2, 0), "")</f>
        <v>PHẠM HUY HOÀNG</v>
      </c>
      <c r="C387" s="122" t="s">
        <v>85</v>
      </c>
      <c r="D387" s="122" t="str">
        <f>IFERROR(VLOOKUP(C387, PIC!A:B, 2, 0), "")</f>
        <v>Van Nguyen</v>
      </c>
      <c r="E387" s="123" t="s">
        <v>25</v>
      </c>
      <c r="F387" s="277">
        <v>46086.45833333334</v>
      </c>
      <c r="G387" s="278">
        <v>46098.45833333334</v>
      </c>
      <c r="H387" s="278">
        <v>46105.45833333334</v>
      </c>
      <c r="I387" s="277">
        <v>46113.625</v>
      </c>
      <c r="J387" s="278">
        <v>46120.625</v>
      </c>
      <c r="K387" s="277">
        <v>46127.625</v>
      </c>
      <c r="L387" s="280">
        <v>46148.666666666664</v>
      </c>
      <c r="M387" s="279">
        <v>46155.625</v>
      </c>
      <c r="N387" s="303" t="s">
        <v>1162</v>
      </c>
      <c r="O387" s="279">
        <v>46169.625</v>
      </c>
      <c r="P387" s="280">
        <v>46183.625</v>
      </c>
      <c r="Q387" s="303" t="s">
        <v>1162</v>
      </c>
      <c r="R387" s="279">
        <v>46204.625</v>
      </c>
      <c r="S387" s="303" t="s">
        <v>1162</v>
      </c>
      <c r="T387" s="303"/>
      <c r="U387" s="278"/>
      <c r="V387" s="281"/>
      <c r="W387" s="282">
        <f t="shared" si="2"/>
        <v>46204.625</v>
      </c>
      <c r="X387" s="283"/>
      <c r="Y387" s="283"/>
      <c r="Z387" s="235"/>
      <c r="AA387" s="43"/>
    </row>
    <row r="388" ht="15.75" hidden="1" customHeight="1">
      <c r="A388" s="265" t="s">
        <v>719</v>
      </c>
      <c r="B388" s="266" t="str">
        <f>IFERROR(VLOOKUP(A388&amp;"", STUDENTS!A:B, 2, 0), "")</f>
        <v>LÊ TRIỆU HUẤN</v>
      </c>
      <c r="C388" s="104" t="s">
        <v>85</v>
      </c>
      <c r="D388" s="104" t="str">
        <f>IFERROR(VLOOKUP(C388, PIC!A:B, 2, 0), "")</f>
        <v>Van Nguyen</v>
      </c>
      <c r="E388" s="105" t="s">
        <v>25</v>
      </c>
      <c r="F388" s="267">
        <v>46086.45833333334</v>
      </c>
      <c r="G388" s="268">
        <v>46098.45833333334</v>
      </c>
      <c r="H388" s="268" t="s">
        <v>1162</v>
      </c>
      <c r="I388" s="267" t="s">
        <v>1162</v>
      </c>
      <c r="J388" s="268">
        <v>46120.625</v>
      </c>
      <c r="K388" s="267">
        <v>46127.625</v>
      </c>
      <c r="L388" s="270" t="s">
        <v>1162</v>
      </c>
      <c r="M388" s="108" t="s">
        <v>1162</v>
      </c>
      <c r="N388" s="284" t="s">
        <v>1162</v>
      </c>
      <c r="O388" s="284" t="s">
        <v>1162</v>
      </c>
      <c r="P388" s="284" t="s">
        <v>1162</v>
      </c>
      <c r="Q388" s="284" t="s">
        <v>1162</v>
      </c>
      <c r="R388" s="267"/>
      <c r="S388" s="284" t="s">
        <v>1162</v>
      </c>
      <c r="T388" s="284"/>
      <c r="U388" s="268"/>
      <c r="V388" s="271"/>
      <c r="W388" s="272">
        <f t="shared" si="2"/>
        <v>46127.625</v>
      </c>
      <c r="X388" s="273"/>
      <c r="Y388" s="273"/>
      <c r="Z388" s="235"/>
      <c r="AA388" s="43"/>
    </row>
    <row r="389" ht="15.75" hidden="1" customHeight="1">
      <c r="A389" s="275" t="s">
        <v>727</v>
      </c>
      <c r="B389" s="276" t="str">
        <f>IFERROR(VLOOKUP(A389&amp;"", STUDENTS!A:B, 2, 0), "")</f>
        <v>BẠCH NAM MINH TRÍ</v>
      </c>
      <c r="C389" s="122" t="s">
        <v>85</v>
      </c>
      <c r="D389" s="122" t="str">
        <f>IFERROR(VLOOKUP(C389, PIC!A:B, 2, 0), "")</f>
        <v>Van Nguyen</v>
      </c>
      <c r="E389" s="123" t="s">
        <v>25</v>
      </c>
      <c r="F389" s="277">
        <v>46086.45833333334</v>
      </c>
      <c r="G389" s="278" t="s">
        <v>1162</v>
      </c>
      <c r="H389" s="278" t="s">
        <v>1162</v>
      </c>
      <c r="I389" s="277" t="s">
        <v>1162</v>
      </c>
      <c r="J389" s="278" t="s">
        <v>1162</v>
      </c>
      <c r="K389" s="277" t="s">
        <v>1162</v>
      </c>
      <c r="L389" s="280" t="s">
        <v>1162</v>
      </c>
      <c r="M389" s="316" t="s">
        <v>1162</v>
      </c>
      <c r="N389" s="303" t="s">
        <v>1162</v>
      </c>
      <c r="O389" s="303" t="s">
        <v>1162</v>
      </c>
      <c r="P389" s="303" t="s">
        <v>1162</v>
      </c>
      <c r="Q389" s="303" t="s">
        <v>1162</v>
      </c>
      <c r="R389" s="277"/>
      <c r="S389" s="303" t="s">
        <v>1162</v>
      </c>
      <c r="T389" s="303"/>
      <c r="U389" s="278"/>
      <c r="V389" s="281"/>
      <c r="W389" s="282">
        <f t="shared" si="2"/>
        <v>46086.45833</v>
      </c>
      <c r="X389" s="283"/>
      <c r="Y389" s="283"/>
      <c r="Z389" s="235"/>
      <c r="AA389" s="43"/>
    </row>
    <row r="390" ht="15.75" hidden="1" customHeight="1">
      <c r="A390" s="265" t="s">
        <v>727</v>
      </c>
      <c r="B390" s="266" t="str">
        <f>IFERROR(VLOOKUP(A390&amp;"", STUDENTS!A:B, 2, 0), "")</f>
        <v>BẠCH NAM MINH TRÍ</v>
      </c>
      <c r="C390" s="104" t="s">
        <v>85</v>
      </c>
      <c r="D390" s="104" t="str">
        <f>IFERROR(VLOOKUP(C390, PIC!A:B, 2, 0), "")</f>
        <v>Van Nguyen</v>
      </c>
      <c r="E390" s="105" t="s">
        <v>22</v>
      </c>
      <c r="F390" s="267">
        <v>45772.58333333334</v>
      </c>
      <c r="G390" s="268">
        <v>45783.58333333334</v>
      </c>
      <c r="H390" s="268">
        <v>45790.375</v>
      </c>
      <c r="I390" s="267">
        <v>45804.45833333334</v>
      </c>
      <c r="J390" s="268" t="s">
        <v>1162</v>
      </c>
      <c r="K390" s="267">
        <v>45820.54166666666</v>
      </c>
      <c r="L390" s="268">
        <v>45826.45833333334</v>
      </c>
      <c r="M390" s="268">
        <v>45833.58333333334</v>
      </c>
      <c r="N390" s="267">
        <v>45839.54166666666</v>
      </c>
      <c r="O390" s="267">
        <v>45868.54166666666</v>
      </c>
      <c r="P390" s="267"/>
      <c r="Q390" s="267"/>
      <c r="R390" s="267"/>
      <c r="S390" s="267"/>
      <c r="T390" s="267"/>
      <c r="U390" s="268"/>
      <c r="V390" s="271"/>
      <c r="W390" s="272">
        <f t="shared" si="2"/>
        <v>45868.54167</v>
      </c>
      <c r="X390" s="273"/>
      <c r="Y390" s="273"/>
      <c r="Z390" s="235"/>
      <c r="AA390" s="43"/>
    </row>
    <row r="391" ht="15.75" hidden="1" customHeight="1">
      <c r="A391" s="275" t="s">
        <v>733</v>
      </c>
      <c r="B391" s="276" t="str">
        <f>IFERROR(VLOOKUP(A391&amp;"", STUDENTS!A:B, 2, 0), "")</f>
        <v>ĐINH TIẾN ĐẠT</v>
      </c>
      <c r="C391" s="122" t="s">
        <v>85</v>
      </c>
      <c r="D391" s="122" t="str">
        <f>IFERROR(VLOOKUP(C391, PIC!A:B, 2, 0), "")</f>
        <v>Van Nguyen</v>
      </c>
      <c r="E391" s="123" t="s">
        <v>22</v>
      </c>
      <c r="F391" s="277">
        <v>45764.45833333334</v>
      </c>
      <c r="G391" s="278">
        <v>45783.58333333334</v>
      </c>
      <c r="H391" s="278">
        <v>45790.375</v>
      </c>
      <c r="I391" s="277">
        <v>45804.45833333334</v>
      </c>
      <c r="J391" s="278">
        <v>45812.54166666666</v>
      </c>
      <c r="K391" s="277">
        <v>45820.54166666666</v>
      </c>
      <c r="L391" s="281">
        <v>45826.45833333334</v>
      </c>
      <c r="M391" s="278">
        <v>45833.58333333334</v>
      </c>
      <c r="N391" s="277">
        <v>45839.54166666666</v>
      </c>
      <c r="O391" s="277">
        <v>45868.54166666666</v>
      </c>
      <c r="P391" s="277"/>
      <c r="Q391" s="277"/>
      <c r="R391" s="277"/>
      <c r="S391" s="277"/>
      <c r="T391" s="277"/>
      <c r="U391" s="278"/>
      <c r="V391" s="281"/>
      <c r="W391" s="282">
        <f t="shared" si="2"/>
        <v>45868.54167</v>
      </c>
      <c r="X391" s="283"/>
      <c r="Y391" s="283"/>
      <c r="Z391" s="235"/>
      <c r="AA391" s="43"/>
    </row>
    <row r="392" ht="15.75" hidden="1" customHeight="1">
      <c r="A392" s="265" t="s">
        <v>735</v>
      </c>
      <c r="B392" s="266" t="str">
        <f>IFERROR(VLOOKUP(A392&amp;"", STUDENTS!A:B, 2, 0), "")</f>
        <v>LÊ NGỌC TRUNG HIẾU</v>
      </c>
      <c r="C392" s="104" t="s">
        <v>85</v>
      </c>
      <c r="D392" s="104" t="str">
        <f>IFERROR(VLOOKUP(C392, PIC!A:B, 2, 0), "")</f>
        <v>Van Nguyen</v>
      </c>
      <c r="E392" s="105" t="s">
        <v>22</v>
      </c>
      <c r="F392" s="267">
        <v>45764.45833333334</v>
      </c>
      <c r="G392" s="268">
        <v>45783.58333333334</v>
      </c>
      <c r="H392" s="268">
        <v>45790.375</v>
      </c>
      <c r="I392" s="267">
        <v>45804.45833333334</v>
      </c>
      <c r="J392" s="268">
        <v>45812.54166666666</v>
      </c>
      <c r="K392" s="267">
        <v>45820.54166666666</v>
      </c>
      <c r="L392" s="268">
        <v>45826.45833333334</v>
      </c>
      <c r="M392" s="268">
        <v>45833.58333333334</v>
      </c>
      <c r="N392" s="267">
        <v>45839.54166666666</v>
      </c>
      <c r="O392" s="267">
        <v>45868.54166666666</v>
      </c>
      <c r="P392" s="267"/>
      <c r="Q392" s="267"/>
      <c r="R392" s="267"/>
      <c r="S392" s="267"/>
      <c r="T392" s="267"/>
      <c r="U392" s="268"/>
      <c r="V392" s="271"/>
      <c r="W392" s="272">
        <f t="shared" si="2"/>
        <v>45868.54167</v>
      </c>
      <c r="X392" s="273"/>
      <c r="Y392" s="273"/>
      <c r="Z392" s="235"/>
      <c r="AA392" s="43"/>
    </row>
    <row r="393" ht="15.75" hidden="1" customHeight="1">
      <c r="A393" s="275" t="s">
        <v>737</v>
      </c>
      <c r="B393" s="276" t="str">
        <f>IFERROR(VLOOKUP(A393&amp;"", STUDENTS!A:B, 2, 0), "")</f>
        <v>NGUYỄN LÊ HOÀNG VĂN</v>
      </c>
      <c r="C393" s="122" t="s">
        <v>85</v>
      </c>
      <c r="D393" s="122" t="str">
        <f>IFERROR(VLOOKUP(C393, PIC!A:B, 2, 0), "")</f>
        <v>Van Nguyen</v>
      </c>
      <c r="E393" s="123" t="s">
        <v>22</v>
      </c>
      <c r="F393" s="277">
        <v>45765.41666666666</v>
      </c>
      <c r="G393" s="278">
        <v>45783.58333333334</v>
      </c>
      <c r="H393" s="278">
        <v>45790.375</v>
      </c>
      <c r="I393" s="277">
        <v>45804.45833333334</v>
      </c>
      <c r="J393" s="278">
        <v>45812.54166666666</v>
      </c>
      <c r="K393" s="277" t="s">
        <v>1162</v>
      </c>
      <c r="L393" s="278">
        <v>45826.45833333334</v>
      </c>
      <c r="M393" s="278">
        <v>45833.58333333334</v>
      </c>
      <c r="N393" s="277">
        <v>45839.54166666666</v>
      </c>
      <c r="O393" s="277">
        <v>45868.54166666666</v>
      </c>
      <c r="P393" s="277"/>
      <c r="Q393" s="277"/>
      <c r="R393" s="277"/>
      <c r="S393" s="277"/>
      <c r="T393" s="277"/>
      <c r="U393" s="278"/>
      <c r="V393" s="281"/>
      <c r="W393" s="282">
        <f t="shared" si="2"/>
        <v>45868.54167</v>
      </c>
      <c r="X393" s="283"/>
      <c r="Y393" s="283"/>
      <c r="Z393" s="235"/>
      <c r="AA393" s="43"/>
    </row>
    <row r="394" ht="15.75" hidden="1" customHeight="1">
      <c r="A394" s="265" t="s">
        <v>320</v>
      </c>
      <c r="B394" s="266" t="str">
        <f>IFERROR(VLOOKUP(A394&amp;"", STUDENTS!A:B, 2, 0), "")</f>
        <v>TRƯƠNG NHỰT MINH THƯ</v>
      </c>
      <c r="C394" s="104" t="s">
        <v>85</v>
      </c>
      <c r="D394" s="104" t="str">
        <f>IFERROR(VLOOKUP(C394, PIC!A:B, 2, 0), "")</f>
        <v>Van Nguyen</v>
      </c>
      <c r="E394" s="105" t="s">
        <v>22</v>
      </c>
      <c r="F394" s="267">
        <v>45764.45833333334</v>
      </c>
      <c r="G394" s="268">
        <v>45783.58333333334</v>
      </c>
      <c r="H394" s="268">
        <v>45790.375</v>
      </c>
      <c r="I394" s="267">
        <v>45804.45833333334</v>
      </c>
      <c r="J394" s="268">
        <v>45812.54166666666</v>
      </c>
      <c r="K394" s="267">
        <v>45820.54166666666</v>
      </c>
      <c r="L394" s="268">
        <v>45826.45833333334</v>
      </c>
      <c r="M394" s="268">
        <v>45833.58333333334</v>
      </c>
      <c r="N394" s="267">
        <v>45839.54166666666</v>
      </c>
      <c r="O394" s="267">
        <v>45868.54166666666</v>
      </c>
      <c r="P394" s="267"/>
      <c r="Q394" s="267"/>
      <c r="R394" s="267"/>
      <c r="S394" s="267"/>
      <c r="T394" s="267"/>
      <c r="U394" s="268"/>
      <c r="V394" s="271"/>
      <c r="W394" s="272">
        <f t="shared" si="2"/>
        <v>45868.54167</v>
      </c>
      <c r="X394" s="273"/>
      <c r="Y394" s="273"/>
      <c r="Z394" s="235"/>
      <c r="AA394" s="43"/>
    </row>
    <row r="395" ht="15.75" hidden="1" customHeight="1">
      <c r="A395" s="275" t="s">
        <v>739</v>
      </c>
      <c r="B395" s="276" t="str">
        <f>IFERROR(VLOOKUP(A395&amp;"", STUDENTS!A:B, 2, 0), "")</f>
        <v>VŨ THỊ HỒNG LIÊN</v>
      </c>
      <c r="C395" s="122" t="s">
        <v>85</v>
      </c>
      <c r="D395" s="122" t="str">
        <f>IFERROR(VLOOKUP(C395, PIC!A:B, 2, 0), "")</f>
        <v>Van Nguyen</v>
      </c>
      <c r="E395" s="123" t="s">
        <v>22</v>
      </c>
      <c r="F395" s="277" t="s">
        <v>1162</v>
      </c>
      <c r="G395" s="278">
        <v>45783.58333333334</v>
      </c>
      <c r="H395" s="278">
        <v>45790.375</v>
      </c>
      <c r="I395" s="277">
        <v>45804.45833333334</v>
      </c>
      <c r="J395" s="278">
        <v>45812.54166666666</v>
      </c>
      <c r="K395" s="277">
        <v>45820.54166666666</v>
      </c>
      <c r="L395" s="281">
        <v>45826.45833333334</v>
      </c>
      <c r="M395" s="278">
        <v>45833.58333333334</v>
      </c>
      <c r="N395" s="277">
        <v>45839.54166666666</v>
      </c>
      <c r="O395" s="277">
        <v>45868.54166666666</v>
      </c>
      <c r="P395" s="277"/>
      <c r="Q395" s="277"/>
      <c r="R395" s="277"/>
      <c r="S395" s="277"/>
      <c r="T395" s="277"/>
      <c r="U395" s="278"/>
      <c r="V395" s="281"/>
      <c r="W395" s="282">
        <f t="shared" si="2"/>
        <v>45868.54167</v>
      </c>
      <c r="X395" s="283"/>
      <c r="Y395" s="283"/>
      <c r="Z395" s="235"/>
      <c r="AA395" s="43"/>
    </row>
    <row r="396" ht="15.75" hidden="1" customHeight="1">
      <c r="A396" s="265" t="s">
        <v>727</v>
      </c>
      <c r="B396" s="266" t="str">
        <f>IFERROR(VLOOKUP(A396&amp;"", STUDENTS!A:B, 2, 0), "")</f>
        <v>BẠCH NAM MINH TRÍ</v>
      </c>
      <c r="C396" s="104" t="s">
        <v>85</v>
      </c>
      <c r="D396" s="104" t="str">
        <f>IFERROR(VLOOKUP(C396, PIC!A:B, 2, 0), "")</f>
        <v>Van Nguyen</v>
      </c>
      <c r="E396" s="105" t="s">
        <v>23</v>
      </c>
      <c r="F396" s="267">
        <v>45910.54166666666</v>
      </c>
      <c r="G396" s="268">
        <v>45916.54166666666</v>
      </c>
      <c r="H396" s="268">
        <v>45924.54166666666</v>
      </c>
      <c r="I396" s="267">
        <v>45931.54166666666</v>
      </c>
      <c r="J396" s="268">
        <v>45938.41666666666</v>
      </c>
      <c r="K396" s="267" t="s">
        <v>1162</v>
      </c>
      <c r="L396" s="271">
        <v>45952.41666666666</v>
      </c>
      <c r="M396" s="268">
        <v>45959.45833333334</v>
      </c>
      <c r="N396" s="267">
        <v>45967.45833333334</v>
      </c>
      <c r="O396" s="267" t="s">
        <v>1162</v>
      </c>
      <c r="P396" s="267">
        <v>45981.45833333334</v>
      </c>
      <c r="Q396" s="267">
        <v>45988.45833333334</v>
      </c>
      <c r="R396" s="267">
        <v>45995.45833333334</v>
      </c>
      <c r="S396" s="267">
        <v>46007.54166666666</v>
      </c>
      <c r="T396" s="267" t="s">
        <v>1162</v>
      </c>
      <c r="U396" s="268">
        <v>46051.41666666666</v>
      </c>
      <c r="V396" s="271"/>
      <c r="W396" s="272">
        <f t="shared" si="2"/>
        <v>46051.41667</v>
      </c>
      <c r="X396" s="273"/>
      <c r="Y396" s="273"/>
      <c r="Z396" s="235"/>
      <c r="AA396" s="43"/>
    </row>
    <row r="397" ht="15.75" hidden="1" customHeight="1">
      <c r="A397" s="275" t="s">
        <v>733</v>
      </c>
      <c r="B397" s="276" t="str">
        <f>IFERROR(VLOOKUP(A397&amp;"", STUDENTS!A:B, 2, 0), "")</f>
        <v>ĐINH TIẾN ĐẠT</v>
      </c>
      <c r="C397" s="122" t="s">
        <v>85</v>
      </c>
      <c r="D397" s="122" t="str">
        <f>IFERROR(VLOOKUP(C397, PIC!A:B, 2, 0), "")</f>
        <v>Van Nguyen</v>
      </c>
      <c r="E397" s="123" t="s">
        <v>23</v>
      </c>
      <c r="F397" s="277">
        <v>45910.54166666666</v>
      </c>
      <c r="G397" s="278">
        <v>45916.54166666666</v>
      </c>
      <c r="H397" s="278">
        <v>45924.54166666666</v>
      </c>
      <c r="I397" s="277">
        <v>45931.54166666666</v>
      </c>
      <c r="J397" s="278">
        <v>45938.41666666666</v>
      </c>
      <c r="K397" s="277">
        <v>45951.41666666666</v>
      </c>
      <c r="L397" s="278">
        <v>45952.41666666666</v>
      </c>
      <c r="M397" s="278">
        <v>45959.45833333334</v>
      </c>
      <c r="N397" s="277">
        <v>45967.45833333334</v>
      </c>
      <c r="O397" s="277" t="s">
        <v>1162</v>
      </c>
      <c r="P397" s="277"/>
      <c r="Q397" s="277"/>
      <c r="R397" s="277" t="s">
        <v>1162</v>
      </c>
      <c r="S397" s="277" t="s">
        <v>1162</v>
      </c>
      <c r="T397" s="277" t="s">
        <v>1162</v>
      </c>
      <c r="U397" s="278" t="s">
        <v>1162</v>
      </c>
      <c r="V397" s="281"/>
      <c r="W397" s="282">
        <f t="shared" si="2"/>
        <v>45967.45833</v>
      </c>
      <c r="X397" s="283"/>
      <c r="Y397" s="283"/>
      <c r="Z397" s="235"/>
      <c r="AA397" s="43"/>
    </row>
    <row r="398" ht="15.75" hidden="1" customHeight="1">
      <c r="A398" s="265" t="s">
        <v>735</v>
      </c>
      <c r="B398" s="266" t="str">
        <f>IFERROR(VLOOKUP(A398&amp;"", STUDENTS!A:B, 2, 0), "")</f>
        <v>LÊ NGỌC TRUNG HIẾU</v>
      </c>
      <c r="C398" s="104" t="s">
        <v>85</v>
      </c>
      <c r="D398" s="104" t="str">
        <f>IFERROR(VLOOKUP(C398, PIC!A:B, 2, 0), "")</f>
        <v>Van Nguyen</v>
      </c>
      <c r="E398" s="105" t="s">
        <v>23</v>
      </c>
      <c r="F398" s="267" t="s">
        <v>1162</v>
      </c>
      <c r="G398" s="268" t="s">
        <v>1162</v>
      </c>
      <c r="H398" s="268" t="s">
        <v>1162</v>
      </c>
      <c r="I398" s="267" t="s">
        <v>1162</v>
      </c>
      <c r="J398" s="268" t="s">
        <v>1162</v>
      </c>
      <c r="K398" s="267" t="s">
        <v>1162</v>
      </c>
      <c r="L398" s="268" t="s">
        <v>1162</v>
      </c>
      <c r="M398" s="268" t="s">
        <v>1162</v>
      </c>
      <c r="N398" s="267" t="s">
        <v>1162</v>
      </c>
      <c r="O398" s="267" t="s">
        <v>1162</v>
      </c>
      <c r="P398" s="267" t="s">
        <v>1162</v>
      </c>
      <c r="Q398" s="267" t="s">
        <v>1162</v>
      </c>
      <c r="R398" s="267" t="s">
        <v>1162</v>
      </c>
      <c r="S398" s="267" t="s">
        <v>1162</v>
      </c>
      <c r="T398" s="267" t="s">
        <v>1162</v>
      </c>
      <c r="U398" s="268" t="s">
        <v>1162</v>
      </c>
      <c r="V398" s="271"/>
      <c r="W398" s="272">
        <f t="shared" si="2"/>
        <v>0</v>
      </c>
      <c r="X398" s="273"/>
      <c r="Y398" s="273"/>
      <c r="Z398" s="235"/>
      <c r="AA398" s="43"/>
    </row>
    <row r="399" ht="15.75" hidden="1" customHeight="1">
      <c r="A399" s="275" t="s">
        <v>737</v>
      </c>
      <c r="B399" s="276" t="str">
        <f>IFERROR(VLOOKUP(A399&amp;"", STUDENTS!A:B, 2, 0), "")</f>
        <v>NGUYỄN LÊ HOÀNG VĂN</v>
      </c>
      <c r="C399" s="122" t="s">
        <v>85</v>
      </c>
      <c r="D399" s="122" t="str">
        <f>IFERROR(VLOOKUP(C399, PIC!A:B, 2, 0), "")</f>
        <v>Van Nguyen</v>
      </c>
      <c r="E399" s="123" t="s">
        <v>23</v>
      </c>
      <c r="F399" s="277">
        <v>45910.54166666666</v>
      </c>
      <c r="G399" s="278">
        <v>45916.54166666666</v>
      </c>
      <c r="H399" s="278">
        <v>45924.54166666666</v>
      </c>
      <c r="I399" s="277">
        <v>45931.54166666666</v>
      </c>
      <c r="J399" s="278">
        <v>45938.41666666666</v>
      </c>
      <c r="K399" s="277">
        <v>45951.41666666666</v>
      </c>
      <c r="L399" s="278">
        <v>45952.41666666666</v>
      </c>
      <c r="M399" s="278">
        <v>45959.45833333334</v>
      </c>
      <c r="N399" s="277">
        <v>45967.45833333334</v>
      </c>
      <c r="O399" s="277">
        <v>45974.45833333334</v>
      </c>
      <c r="P399" s="277">
        <v>45981.45833333334</v>
      </c>
      <c r="Q399" s="277">
        <v>45988.45833333334</v>
      </c>
      <c r="R399" s="277">
        <v>45995.45833333334</v>
      </c>
      <c r="S399" s="277">
        <v>46007.54166666666</v>
      </c>
      <c r="T399" s="277">
        <v>46021.45833333334</v>
      </c>
      <c r="U399" s="278">
        <v>46051.41666666666</v>
      </c>
      <c r="V399" s="281"/>
      <c r="W399" s="282">
        <f t="shared" si="2"/>
        <v>46051.41667</v>
      </c>
      <c r="X399" s="283"/>
      <c r="Y399" s="283"/>
      <c r="Z399" s="235"/>
      <c r="AA399" s="43"/>
    </row>
    <row r="400" ht="15.75" hidden="1" customHeight="1">
      <c r="A400" s="265" t="s">
        <v>729</v>
      </c>
      <c r="B400" s="266" t="str">
        <f>IFERROR(VLOOKUP(A400&amp;"", STUDENTS!A:B, 2, 0), "")</f>
        <v>NGUYỄN VĂN TÀI</v>
      </c>
      <c r="C400" s="104" t="s">
        <v>85</v>
      </c>
      <c r="D400" s="104" t="str">
        <f>IFERROR(VLOOKUP(C400, PIC!A:B, 2, 0), "")</f>
        <v>Van Nguyen</v>
      </c>
      <c r="E400" s="105" t="s">
        <v>23</v>
      </c>
      <c r="F400" s="267">
        <v>45910.54166666666</v>
      </c>
      <c r="G400" s="268">
        <v>45916.54166666666</v>
      </c>
      <c r="H400" s="268">
        <v>45924.54166666666</v>
      </c>
      <c r="I400" s="267">
        <v>45931.54166666666</v>
      </c>
      <c r="J400" s="268">
        <v>45938.41666666666</v>
      </c>
      <c r="K400" s="267" t="s">
        <v>1162</v>
      </c>
      <c r="L400" s="268" t="s">
        <v>1162</v>
      </c>
      <c r="M400" s="268">
        <v>45959.45833333334</v>
      </c>
      <c r="N400" s="267">
        <v>45967.45833333334</v>
      </c>
      <c r="O400" s="267">
        <v>45974.45833333334</v>
      </c>
      <c r="P400" s="267"/>
      <c r="Q400" s="267"/>
      <c r="R400" s="267"/>
      <c r="S400" s="267"/>
      <c r="T400" s="267"/>
      <c r="U400" s="268"/>
      <c r="V400" s="271"/>
      <c r="W400" s="272">
        <f t="shared" si="2"/>
        <v>45974.45833</v>
      </c>
      <c r="X400" s="273"/>
      <c r="Y400" s="273"/>
      <c r="Z400" s="235"/>
      <c r="AA400" s="43"/>
    </row>
    <row r="401" ht="15.75" hidden="1" customHeight="1">
      <c r="A401" s="275" t="s">
        <v>731</v>
      </c>
      <c r="B401" s="276" t="str">
        <f>IFERROR(VLOOKUP(A401&amp;"", STUDENTS!A:B, 2, 0), "")</f>
        <v>PHẠM HOÀNG THÁI SƠN</v>
      </c>
      <c r="C401" s="122" t="s">
        <v>85</v>
      </c>
      <c r="D401" s="122" t="str">
        <f>IFERROR(VLOOKUP(C401, PIC!A:B, 2, 0), "")</f>
        <v>Van Nguyen</v>
      </c>
      <c r="E401" s="123" t="s">
        <v>23</v>
      </c>
      <c r="F401" s="277">
        <v>45910.54166666666</v>
      </c>
      <c r="G401" s="278">
        <v>45916.54166666666</v>
      </c>
      <c r="H401" s="278">
        <v>45924.54166666666</v>
      </c>
      <c r="I401" s="277">
        <v>45931.54166666666</v>
      </c>
      <c r="J401" s="278">
        <v>45938.41666666666</v>
      </c>
      <c r="K401" s="277" t="s">
        <v>1162</v>
      </c>
      <c r="L401" s="281" t="s">
        <v>1162</v>
      </c>
      <c r="M401" s="278">
        <v>45959.45833333334</v>
      </c>
      <c r="N401" s="277">
        <v>45967.45833333334</v>
      </c>
      <c r="O401" s="277">
        <v>45974.45833333334</v>
      </c>
      <c r="P401" s="277">
        <v>45981.45833333334</v>
      </c>
      <c r="Q401" s="277">
        <v>45988.45833333334</v>
      </c>
      <c r="R401" s="277">
        <v>45995.45833333334</v>
      </c>
      <c r="S401" s="277">
        <v>46007.54166666666</v>
      </c>
      <c r="T401" s="277">
        <v>46021.45833333334</v>
      </c>
      <c r="U401" s="278">
        <v>46051.41666666666</v>
      </c>
      <c r="V401" s="281"/>
      <c r="W401" s="282">
        <f t="shared" si="2"/>
        <v>46051.41667</v>
      </c>
      <c r="X401" s="283"/>
      <c r="Y401" s="283"/>
      <c r="Z401" s="235"/>
      <c r="AA401" s="43"/>
    </row>
    <row r="402" ht="15.75" hidden="1" customHeight="1">
      <c r="A402" s="265" t="s">
        <v>723</v>
      </c>
      <c r="B402" s="266" t="str">
        <f>IFERROR(VLOOKUP(A402&amp;"", STUDENTS!A:B, 2, 0), "")</f>
        <v>PHẠM HUY HOÀNG</v>
      </c>
      <c r="C402" s="104" t="s">
        <v>85</v>
      </c>
      <c r="D402" s="104" t="str">
        <f>IFERROR(VLOOKUP(C402, PIC!A:B, 2, 0), "")</f>
        <v>Van Nguyen</v>
      </c>
      <c r="E402" s="105" t="s">
        <v>23</v>
      </c>
      <c r="F402" s="267">
        <v>45910.54166666666</v>
      </c>
      <c r="G402" s="268">
        <v>45916.54166666666</v>
      </c>
      <c r="H402" s="268">
        <v>45924.54166666666</v>
      </c>
      <c r="I402" s="267">
        <v>45931.54166666666</v>
      </c>
      <c r="J402" s="268">
        <v>45938.41666666666</v>
      </c>
      <c r="K402" s="267">
        <v>45951.41666666666</v>
      </c>
      <c r="L402" s="268">
        <v>45952.41666666666</v>
      </c>
      <c r="M402" s="268">
        <v>45959.45833333334</v>
      </c>
      <c r="N402" s="267">
        <v>45967.45833333334</v>
      </c>
      <c r="O402" s="267">
        <v>45974.45833333334</v>
      </c>
      <c r="P402" s="267">
        <v>45981.45833333334</v>
      </c>
      <c r="Q402" s="267">
        <v>45988.45833333334</v>
      </c>
      <c r="R402" s="267">
        <v>45995.45833333334</v>
      </c>
      <c r="S402" s="267">
        <v>46007.54166666666</v>
      </c>
      <c r="T402" s="267">
        <v>46021.45833333334</v>
      </c>
      <c r="U402" s="268">
        <v>46051.41666666666</v>
      </c>
      <c r="V402" s="271"/>
      <c r="W402" s="272">
        <f t="shared" si="2"/>
        <v>46051.41667</v>
      </c>
      <c r="X402" s="273"/>
      <c r="Y402" s="273"/>
      <c r="Z402" s="235"/>
      <c r="AA402" s="43"/>
    </row>
    <row r="403" ht="15.75" hidden="1" customHeight="1">
      <c r="A403" s="275" t="s">
        <v>725</v>
      </c>
      <c r="B403" s="276" t="str">
        <f>IFERROR(VLOOKUP(A403&amp;"", STUDENTS!A:B, 2, 0), "")</f>
        <v>TRẦN MINH TRIẾT</v>
      </c>
      <c r="C403" s="122" t="s">
        <v>85</v>
      </c>
      <c r="D403" s="122" t="str">
        <f>IFERROR(VLOOKUP(C403, PIC!A:B, 2, 0), "")</f>
        <v>Van Nguyen</v>
      </c>
      <c r="E403" s="123" t="s">
        <v>23</v>
      </c>
      <c r="F403" s="277">
        <v>45910.54166666666</v>
      </c>
      <c r="G403" s="278">
        <v>45916.54166666666</v>
      </c>
      <c r="H403" s="278">
        <v>45924.54166666666</v>
      </c>
      <c r="I403" s="277">
        <v>45931.54166666666</v>
      </c>
      <c r="J403" s="278">
        <v>45938.41666666666</v>
      </c>
      <c r="K403" s="277">
        <v>45951.41666666666</v>
      </c>
      <c r="L403" s="281">
        <v>45952.41666666666</v>
      </c>
      <c r="M403" s="278">
        <v>45959.45833333334</v>
      </c>
      <c r="N403" s="277">
        <v>45967.45833333334</v>
      </c>
      <c r="O403" s="277" t="s">
        <v>1162</v>
      </c>
      <c r="P403" s="277">
        <v>45981.45833333334</v>
      </c>
      <c r="Q403" s="277">
        <v>45988.45833333334</v>
      </c>
      <c r="R403" s="277">
        <v>45995.45833333334</v>
      </c>
      <c r="S403" s="277">
        <v>46007.54166666666</v>
      </c>
      <c r="T403" s="277">
        <v>46021.45833333334</v>
      </c>
      <c r="U403" s="278">
        <v>46051.41666666666</v>
      </c>
      <c r="V403" s="281"/>
      <c r="W403" s="282">
        <f t="shared" si="2"/>
        <v>46051.41667</v>
      </c>
      <c r="X403" s="283"/>
      <c r="Y403" s="283"/>
      <c r="Z403" s="235"/>
      <c r="AA403" s="43"/>
    </row>
    <row r="404" ht="15.75" hidden="1" customHeight="1">
      <c r="A404" s="265" t="s">
        <v>739</v>
      </c>
      <c r="B404" s="266" t="str">
        <f>IFERROR(VLOOKUP(A404&amp;"", STUDENTS!A:B, 2, 0), "")</f>
        <v>VŨ THỊ HỒNG LIÊN</v>
      </c>
      <c r="C404" s="104" t="s">
        <v>85</v>
      </c>
      <c r="D404" s="104" t="str">
        <f>IFERROR(VLOOKUP(C404, PIC!A:B, 2, 0), "")</f>
        <v>Van Nguyen</v>
      </c>
      <c r="E404" s="105" t="s">
        <v>23</v>
      </c>
      <c r="F404" s="267">
        <v>45910.54166666666</v>
      </c>
      <c r="G404" s="268"/>
      <c r="H404" s="268">
        <v>45924.54166666666</v>
      </c>
      <c r="I404" s="267">
        <v>45931.54166666666</v>
      </c>
      <c r="J404" s="268">
        <v>45938.41666666666</v>
      </c>
      <c r="K404" s="267">
        <v>45951.41666666666</v>
      </c>
      <c r="L404" s="268">
        <v>45952.41666666666</v>
      </c>
      <c r="M404" s="268">
        <v>45959.45833333334</v>
      </c>
      <c r="N404" s="267">
        <v>45967.45833333334</v>
      </c>
      <c r="O404" s="267">
        <v>45974.45833333334</v>
      </c>
      <c r="P404" s="267">
        <v>45981.45833333334</v>
      </c>
      <c r="Q404" s="267">
        <v>45988.45833333334</v>
      </c>
      <c r="R404" s="267">
        <v>45995.45833333334</v>
      </c>
      <c r="S404" s="267">
        <v>46007.54166666666</v>
      </c>
      <c r="T404" s="267">
        <v>46021.45833333334</v>
      </c>
      <c r="U404" s="268">
        <v>46051.41666666666</v>
      </c>
      <c r="V404" s="271"/>
      <c r="W404" s="272">
        <f t="shared" si="2"/>
        <v>46051.41667</v>
      </c>
      <c r="X404" s="273"/>
      <c r="Y404" s="273"/>
      <c r="Z404" s="235"/>
      <c r="AA404" s="43"/>
    </row>
    <row r="405" ht="15.75" hidden="1" customHeight="1">
      <c r="A405" s="275" t="s">
        <v>553</v>
      </c>
      <c r="B405" s="276" t="str">
        <f>IFERROR(VLOOKUP(A405&amp;"", STUDENTS!A:B, 2, 0), "")</f>
        <v>LÊ NHẬT</v>
      </c>
      <c r="C405" s="122" t="s">
        <v>86</v>
      </c>
      <c r="D405" s="122" t="str">
        <f>IFERROR(VLOOKUP(C405, PIC!A:B, 2, 0), "")</f>
        <v>Quan Nguyen</v>
      </c>
      <c r="E405" s="123" t="s">
        <v>22</v>
      </c>
      <c r="F405" s="277"/>
      <c r="G405" s="278">
        <v>45930.41666666666</v>
      </c>
      <c r="H405" s="278">
        <v>45932.58333333334</v>
      </c>
      <c r="I405" s="277">
        <v>45937.41666666666</v>
      </c>
      <c r="J405" s="278">
        <v>45939.625</v>
      </c>
      <c r="K405" s="277">
        <v>45951.41666666666</v>
      </c>
      <c r="L405" s="278">
        <v>45953.625</v>
      </c>
      <c r="M405" s="278">
        <v>45958.41666666666</v>
      </c>
      <c r="N405" s="277">
        <v>45958.45833333334</v>
      </c>
      <c r="O405" s="277">
        <v>45965.625</v>
      </c>
      <c r="P405" s="277" t="s">
        <v>1162</v>
      </c>
      <c r="Q405" s="277" t="s">
        <v>1162</v>
      </c>
      <c r="R405" s="277">
        <v>45979.41666666666</v>
      </c>
      <c r="S405" s="277">
        <v>45987.625</v>
      </c>
      <c r="T405" s="277">
        <v>45993.41666666666</v>
      </c>
      <c r="U405" s="278">
        <v>46000.625</v>
      </c>
      <c r="V405" s="281"/>
      <c r="W405" s="282">
        <f t="shared" si="2"/>
        <v>46000.625</v>
      </c>
      <c r="X405" s="298" t="s">
        <v>1175</v>
      </c>
      <c r="Y405" s="283"/>
      <c r="Z405" s="235"/>
      <c r="AA405" s="43"/>
    </row>
    <row r="406" ht="15.75" hidden="1" customHeight="1">
      <c r="A406" s="265" t="s">
        <v>555</v>
      </c>
      <c r="B406" s="266" t="str">
        <f>IFERROR(VLOOKUP(A406&amp;"", STUDENTS!A:B, 2, 0), "")</f>
        <v>NGUYỄN ĐỨC ANH</v>
      </c>
      <c r="C406" s="104" t="s">
        <v>86</v>
      </c>
      <c r="D406" s="104" t="str">
        <f>IFERROR(VLOOKUP(C406, PIC!A:B, 2, 0), "")</f>
        <v>Quan Nguyen</v>
      </c>
      <c r="E406" s="105" t="s">
        <v>22</v>
      </c>
      <c r="F406" s="267"/>
      <c r="G406" s="268">
        <v>45930.41666666666</v>
      </c>
      <c r="H406" s="268">
        <v>45932.58333333334</v>
      </c>
      <c r="I406" s="267">
        <v>45937.41666666666</v>
      </c>
      <c r="J406" s="268" t="s">
        <v>1162</v>
      </c>
      <c r="K406" s="267">
        <v>45951.41666666666</v>
      </c>
      <c r="L406" s="268">
        <v>45953.625</v>
      </c>
      <c r="M406" s="268" t="s">
        <v>1162</v>
      </c>
      <c r="N406" s="267" t="s">
        <v>1162</v>
      </c>
      <c r="O406" s="267">
        <v>45965.625</v>
      </c>
      <c r="P406" s="267" t="s">
        <v>1162</v>
      </c>
      <c r="Q406" s="267" t="s">
        <v>1162</v>
      </c>
      <c r="R406" s="267" t="s">
        <v>1162</v>
      </c>
      <c r="S406" s="267" t="s">
        <v>1162</v>
      </c>
      <c r="T406" s="267" t="s">
        <v>1162</v>
      </c>
      <c r="U406" s="268" t="s">
        <v>1162</v>
      </c>
      <c r="V406" s="271"/>
      <c r="W406" s="272">
        <f t="shared" si="2"/>
        <v>45965.625</v>
      </c>
      <c r="X406" s="300" t="s">
        <v>1176</v>
      </c>
      <c r="Y406" s="273"/>
      <c r="Z406" s="235"/>
      <c r="AA406" s="43"/>
    </row>
    <row r="407" ht="15.75" hidden="1" customHeight="1">
      <c r="A407" s="275" t="s">
        <v>544</v>
      </c>
      <c r="B407" s="276" t="str">
        <f>IFERROR(VLOOKUP(A407&amp;"", STUDENTS!A:B, 2, 0), "")</f>
        <v>NGUYỄN MINH QUÂN</v>
      </c>
      <c r="C407" s="122" t="s">
        <v>86</v>
      </c>
      <c r="D407" s="122" t="str">
        <f>IFERROR(VLOOKUP(C407, PIC!A:B, 2, 0), "")</f>
        <v>Quan Nguyen</v>
      </c>
      <c r="E407" s="123" t="s">
        <v>22</v>
      </c>
      <c r="F407" s="277"/>
      <c r="G407" s="278">
        <v>45930.41666666666</v>
      </c>
      <c r="H407" s="278">
        <v>45932.58333333334</v>
      </c>
      <c r="I407" s="277">
        <v>45937.41666666666</v>
      </c>
      <c r="J407" s="278">
        <v>45939.54166666666</v>
      </c>
      <c r="K407" s="277">
        <v>45951.41666666666</v>
      </c>
      <c r="L407" s="278">
        <v>45953.625</v>
      </c>
      <c r="M407" s="278">
        <v>45958.41666666666</v>
      </c>
      <c r="N407" s="277">
        <v>45958.45833333334</v>
      </c>
      <c r="O407" s="277" t="s">
        <v>1162</v>
      </c>
      <c r="P407" s="277">
        <v>45972.625</v>
      </c>
      <c r="Q407" s="277">
        <v>45979.41666666666</v>
      </c>
      <c r="R407" s="277">
        <v>45979.41666666666</v>
      </c>
      <c r="S407" s="277">
        <v>45987.625</v>
      </c>
      <c r="T407" s="277">
        <v>45993.41666666666</v>
      </c>
      <c r="U407" s="278">
        <v>46000.625</v>
      </c>
      <c r="V407" s="281"/>
      <c r="W407" s="282">
        <f t="shared" si="2"/>
        <v>46000.625</v>
      </c>
      <c r="X407" s="298" t="s">
        <v>1175</v>
      </c>
      <c r="Y407" s="283"/>
      <c r="Z407" s="235"/>
      <c r="AA407" s="43"/>
    </row>
    <row r="408" ht="15.75" hidden="1" customHeight="1">
      <c r="A408" s="265" t="s">
        <v>546</v>
      </c>
      <c r="B408" s="266" t="str">
        <f>IFERROR(VLOOKUP(A408&amp;"", STUDENTS!A:B, 2, 0), "")</f>
        <v>NGUYỄN QUANG ĐỨC</v>
      </c>
      <c r="C408" s="104" t="s">
        <v>86</v>
      </c>
      <c r="D408" s="104" t="str">
        <f>IFERROR(VLOOKUP(C408, PIC!A:B, 2, 0), "")</f>
        <v>Quan Nguyen</v>
      </c>
      <c r="E408" s="105" t="s">
        <v>22</v>
      </c>
      <c r="F408" s="267"/>
      <c r="G408" s="268">
        <v>45930.41666666666</v>
      </c>
      <c r="H408" s="268">
        <v>45932.58333333334</v>
      </c>
      <c r="I408" s="267">
        <v>45937.41666666666</v>
      </c>
      <c r="J408" s="268">
        <v>45939.625</v>
      </c>
      <c r="K408" s="267">
        <v>45951.41666666666</v>
      </c>
      <c r="L408" s="268">
        <v>45953.625</v>
      </c>
      <c r="M408" s="268">
        <v>45958.41666666666</v>
      </c>
      <c r="N408" s="267">
        <v>45958.45833333334</v>
      </c>
      <c r="O408" s="267">
        <v>45965.625</v>
      </c>
      <c r="P408" s="267" t="s">
        <v>1162</v>
      </c>
      <c r="Q408" s="267">
        <v>45979.41666666666</v>
      </c>
      <c r="R408" s="267">
        <v>45979.41666666666</v>
      </c>
      <c r="S408" s="267">
        <v>45987.625</v>
      </c>
      <c r="T408" s="267" t="s">
        <v>1162</v>
      </c>
      <c r="U408" s="268">
        <v>46000.625</v>
      </c>
      <c r="V408" s="271"/>
      <c r="W408" s="272">
        <f t="shared" si="2"/>
        <v>46000.625</v>
      </c>
      <c r="X408" s="300" t="s">
        <v>1175</v>
      </c>
      <c r="Y408" s="273"/>
      <c r="Z408" s="235"/>
      <c r="AA408" s="43"/>
    </row>
    <row r="409" ht="15.75" hidden="1" customHeight="1">
      <c r="A409" s="275" t="s">
        <v>548</v>
      </c>
      <c r="B409" s="276" t="str">
        <f>IFERROR(VLOOKUP(A409&amp;"", STUDENTS!A:B, 2, 0), "")</f>
        <v>PHẠM MAI NHẬT</v>
      </c>
      <c r="C409" s="122" t="s">
        <v>86</v>
      </c>
      <c r="D409" s="122" t="str">
        <f>IFERROR(VLOOKUP(C409, PIC!A:B, 2, 0), "")</f>
        <v>Quan Nguyen</v>
      </c>
      <c r="E409" s="123" t="s">
        <v>22</v>
      </c>
      <c r="F409" s="277"/>
      <c r="G409" s="278">
        <v>45930.41666666666</v>
      </c>
      <c r="H409" s="278">
        <v>45932.58333333334</v>
      </c>
      <c r="I409" s="277">
        <v>45937.41666666666</v>
      </c>
      <c r="J409" s="278">
        <v>45939.625</v>
      </c>
      <c r="K409" s="277" t="s">
        <v>1162</v>
      </c>
      <c r="L409" s="278">
        <v>45953.625</v>
      </c>
      <c r="M409" s="278">
        <v>45958.41666666666</v>
      </c>
      <c r="N409" s="277">
        <v>45958.45833333334</v>
      </c>
      <c r="O409" s="277">
        <v>45965.625</v>
      </c>
      <c r="P409" s="277">
        <v>45972.625</v>
      </c>
      <c r="Q409" s="277">
        <v>45979.41666666666</v>
      </c>
      <c r="R409" s="277">
        <v>45979.41666666666</v>
      </c>
      <c r="S409" s="277">
        <v>45987.625</v>
      </c>
      <c r="T409" s="277">
        <v>45993.41666666666</v>
      </c>
      <c r="U409" s="278">
        <v>46000.625</v>
      </c>
      <c r="V409" s="281"/>
      <c r="W409" s="282">
        <f t="shared" si="2"/>
        <v>46000.625</v>
      </c>
      <c r="X409" s="298" t="s">
        <v>1175</v>
      </c>
      <c r="Y409" s="283"/>
      <c r="Z409" s="235"/>
      <c r="AA409" s="43"/>
    </row>
    <row r="410" ht="15.75" hidden="1" customHeight="1">
      <c r="A410" s="265" t="s">
        <v>557</v>
      </c>
      <c r="B410" s="266" t="str">
        <f>IFERROR(VLOOKUP(A410&amp;"", STUDENTS!A:B, 2, 0), "")</f>
        <v>TRẦN NHỰT DUY</v>
      </c>
      <c r="C410" s="104" t="s">
        <v>86</v>
      </c>
      <c r="D410" s="104" t="str">
        <f>IFERROR(VLOOKUP(C410, PIC!A:B, 2, 0), "")</f>
        <v>Quan Nguyen</v>
      </c>
      <c r="E410" s="105" t="s">
        <v>22</v>
      </c>
      <c r="F410" s="267"/>
      <c r="G410" s="268">
        <v>45930.41666666666</v>
      </c>
      <c r="H410" s="268">
        <v>45932.58333333334</v>
      </c>
      <c r="I410" s="267">
        <v>45937.41666666666</v>
      </c>
      <c r="J410" s="268">
        <v>45939.625</v>
      </c>
      <c r="K410" s="267">
        <v>45951.41666666666</v>
      </c>
      <c r="L410" s="268">
        <v>45953.625</v>
      </c>
      <c r="M410" s="268">
        <v>45958.41666666666</v>
      </c>
      <c r="N410" s="267">
        <v>45958.45833333334</v>
      </c>
      <c r="O410" s="267">
        <v>45965.625</v>
      </c>
      <c r="P410" s="267">
        <v>45972.625</v>
      </c>
      <c r="Q410" s="267" t="s">
        <v>1162</v>
      </c>
      <c r="R410" s="267" t="s">
        <v>1162</v>
      </c>
      <c r="S410" s="267" t="s">
        <v>1162</v>
      </c>
      <c r="T410" s="267" t="s">
        <v>1162</v>
      </c>
      <c r="U410" s="268" t="s">
        <v>1162</v>
      </c>
      <c r="V410" s="271"/>
      <c r="W410" s="272">
        <f t="shared" si="2"/>
        <v>45972.625</v>
      </c>
      <c r="X410" s="300" t="s">
        <v>1176</v>
      </c>
      <c r="Y410" s="273"/>
      <c r="Z410" s="235"/>
      <c r="AA410" s="43"/>
    </row>
    <row r="411" ht="15.75" hidden="1" customHeight="1">
      <c r="A411" s="275" t="s">
        <v>559</v>
      </c>
      <c r="B411" s="276" t="str">
        <f>IFERROR(VLOOKUP(A411&amp;"", STUDENTS!A:B, 2, 0), "")</f>
        <v>TRƯƠNG ĐÌNH ÁNH</v>
      </c>
      <c r="C411" s="122" t="s">
        <v>86</v>
      </c>
      <c r="D411" s="122" t="str">
        <f>IFERROR(VLOOKUP(C411, PIC!A:B, 2, 0), "")</f>
        <v>Quan Nguyen</v>
      </c>
      <c r="E411" s="123" t="s">
        <v>22</v>
      </c>
      <c r="F411" s="277"/>
      <c r="G411" s="278">
        <v>45930.41666666666</v>
      </c>
      <c r="H411" s="278">
        <v>45932.58333333334</v>
      </c>
      <c r="I411" s="277" t="s">
        <v>1162</v>
      </c>
      <c r="J411" s="278">
        <v>45939.625</v>
      </c>
      <c r="K411" s="277" t="s">
        <v>1162</v>
      </c>
      <c r="L411" s="278">
        <v>45953.625</v>
      </c>
      <c r="M411" s="278" t="s">
        <v>1162</v>
      </c>
      <c r="N411" s="277">
        <v>45958.45833333334</v>
      </c>
      <c r="O411" s="277">
        <v>45965.625</v>
      </c>
      <c r="P411" s="277" t="s">
        <v>1162</v>
      </c>
      <c r="Q411" s="277">
        <v>45979.41666666666</v>
      </c>
      <c r="R411" s="277">
        <v>45979.41666666666</v>
      </c>
      <c r="S411" s="277">
        <v>45987.625</v>
      </c>
      <c r="T411" s="277">
        <v>45993.41666666666</v>
      </c>
      <c r="U411" s="278">
        <v>46000.625</v>
      </c>
      <c r="V411" s="281"/>
      <c r="W411" s="282">
        <f t="shared" si="2"/>
        <v>46000.625</v>
      </c>
      <c r="X411" s="298" t="s">
        <v>1175</v>
      </c>
      <c r="Y411" s="283"/>
      <c r="Z411" s="235"/>
      <c r="AA411" s="43"/>
    </row>
    <row r="412" ht="15.75" hidden="1" customHeight="1">
      <c r="A412" s="265" t="s">
        <v>551</v>
      </c>
      <c r="B412" s="266" t="str">
        <f>IFERROR(VLOOKUP(A412&amp;"", STUDENTS!A:B, 2, 0), "")</f>
        <v>VÕ CHÍ ĐẠI</v>
      </c>
      <c r="C412" s="104" t="s">
        <v>86</v>
      </c>
      <c r="D412" s="104" t="str">
        <f>IFERROR(VLOOKUP(C412, PIC!A:B, 2, 0), "")</f>
        <v>Quan Nguyen</v>
      </c>
      <c r="E412" s="105" t="s">
        <v>22</v>
      </c>
      <c r="F412" s="267"/>
      <c r="G412" s="268">
        <v>45930.41666666666</v>
      </c>
      <c r="H412" s="268">
        <v>45932.58333333334</v>
      </c>
      <c r="I412" s="267">
        <v>45937.41666666666</v>
      </c>
      <c r="J412" s="268">
        <v>45939.625</v>
      </c>
      <c r="K412" s="267">
        <v>45951.41666666666</v>
      </c>
      <c r="L412" s="268">
        <v>45953.625</v>
      </c>
      <c r="M412" s="268" t="s">
        <v>1162</v>
      </c>
      <c r="N412" s="267" t="s">
        <v>1162</v>
      </c>
      <c r="O412" s="267">
        <v>45965.625</v>
      </c>
      <c r="P412" s="267">
        <v>45972.625</v>
      </c>
      <c r="Q412" s="267" t="s">
        <v>1162</v>
      </c>
      <c r="R412" s="267">
        <v>45979.41666666666</v>
      </c>
      <c r="S412" s="267">
        <v>45987.625</v>
      </c>
      <c r="T412" s="267">
        <v>45993.41666666666</v>
      </c>
      <c r="U412" s="268">
        <v>46000.625</v>
      </c>
      <c r="V412" s="271"/>
      <c r="W412" s="272">
        <f t="shared" si="2"/>
        <v>46000.625</v>
      </c>
      <c r="X412" s="300" t="s">
        <v>1175</v>
      </c>
      <c r="Y412" s="273"/>
      <c r="Z412" s="235"/>
      <c r="AA412" s="43"/>
    </row>
    <row r="413" ht="15.75" hidden="1" customHeight="1">
      <c r="A413" s="275" t="s">
        <v>544</v>
      </c>
      <c r="B413" s="276" t="str">
        <f>IFERROR(VLOOKUP(A413&amp;"", STUDENTS!A:B, 2, 0), "")</f>
        <v>NGUYỄN MINH QUÂN</v>
      </c>
      <c r="C413" s="122" t="s">
        <v>86</v>
      </c>
      <c r="D413" s="122" t="str">
        <f>IFERROR(VLOOKUP(C413, PIC!A:B, 2, 0), "")</f>
        <v>Quan Nguyen</v>
      </c>
      <c r="E413" s="123" t="s">
        <v>23</v>
      </c>
      <c r="F413" s="277">
        <v>46098.625</v>
      </c>
      <c r="G413" s="278">
        <v>46105.625</v>
      </c>
      <c r="H413" s="278">
        <v>46112.625</v>
      </c>
      <c r="I413" s="277">
        <v>46119.625</v>
      </c>
      <c r="J413" s="279">
        <v>46149.625</v>
      </c>
      <c r="K413" s="279">
        <v>46156.416666666664</v>
      </c>
      <c r="L413" s="279">
        <v>46170.583333333336</v>
      </c>
      <c r="M413" s="279">
        <v>46184.625</v>
      </c>
      <c r="N413" s="280">
        <v>46196.625</v>
      </c>
      <c r="O413" s="280">
        <v>46203.625</v>
      </c>
      <c r="P413" s="280">
        <v>46210.625</v>
      </c>
      <c r="Q413" s="277"/>
      <c r="R413" s="277"/>
      <c r="S413" s="277"/>
      <c r="T413" s="277"/>
      <c r="U413" s="278"/>
      <c r="V413" s="281"/>
      <c r="W413" s="282">
        <f t="shared" si="2"/>
        <v>46210.625</v>
      </c>
      <c r="X413" s="283"/>
      <c r="Y413" s="283"/>
      <c r="Z413" s="235"/>
      <c r="AA413" s="43"/>
    </row>
    <row r="414" ht="15.75" hidden="1" customHeight="1">
      <c r="A414" s="265" t="s">
        <v>546</v>
      </c>
      <c r="B414" s="266" t="str">
        <f>IFERROR(VLOOKUP(A414&amp;"", STUDENTS!A:B, 2, 0), "")</f>
        <v>NGUYỄN QUANG ĐỨC</v>
      </c>
      <c r="C414" s="104" t="s">
        <v>86</v>
      </c>
      <c r="D414" s="104" t="str">
        <f>IFERROR(VLOOKUP(C414, PIC!A:B, 2, 0), "")</f>
        <v>Quan Nguyen</v>
      </c>
      <c r="E414" s="105" t="s">
        <v>23</v>
      </c>
      <c r="F414" s="267">
        <v>46098.625</v>
      </c>
      <c r="G414" s="268">
        <v>46105.625</v>
      </c>
      <c r="H414" s="268">
        <v>46112.625</v>
      </c>
      <c r="I414" s="267">
        <v>46119.625</v>
      </c>
      <c r="J414" s="269">
        <v>46149.625</v>
      </c>
      <c r="K414" s="269">
        <v>46156.416666666664</v>
      </c>
      <c r="L414" s="269">
        <v>46170.583333333336</v>
      </c>
      <c r="M414" s="269">
        <v>46184.625</v>
      </c>
      <c r="N414" s="270">
        <v>46196.625</v>
      </c>
      <c r="O414" s="270">
        <v>46203.625</v>
      </c>
      <c r="P414" s="270">
        <v>46210.625</v>
      </c>
      <c r="Q414" s="267"/>
      <c r="R414" s="267"/>
      <c r="S414" s="267"/>
      <c r="T414" s="267"/>
      <c r="U414" s="268"/>
      <c r="V414" s="271"/>
      <c r="W414" s="272">
        <f t="shared" si="2"/>
        <v>46210.625</v>
      </c>
      <c r="X414" s="273"/>
      <c r="Y414" s="273"/>
      <c r="Z414" s="235"/>
      <c r="AA414" s="43"/>
    </row>
    <row r="415" ht="15.75" hidden="1" customHeight="1">
      <c r="A415" s="275" t="s">
        <v>548</v>
      </c>
      <c r="B415" s="276" t="str">
        <f>IFERROR(VLOOKUP(A415&amp;"", STUDENTS!A:B, 2, 0), "")</f>
        <v>PHẠM MAI NHẬT</v>
      </c>
      <c r="C415" s="122" t="s">
        <v>86</v>
      </c>
      <c r="D415" s="122" t="str">
        <f>IFERROR(VLOOKUP(C415, PIC!A:B, 2, 0), "")</f>
        <v>Quan Nguyen</v>
      </c>
      <c r="E415" s="123" t="s">
        <v>23</v>
      </c>
      <c r="F415" s="277">
        <v>46098.625</v>
      </c>
      <c r="G415" s="278">
        <v>46105.625</v>
      </c>
      <c r="H415" s="278">
        <v>46112.625</v>
      </c>
      <c r="I415" s="277">
        <v>46119.625</v>
      </c>
      <c r="J415" s="279">
        <v>46149.625</v>
      </c>
      <c r="K415" s="279">
        <v>46156.416666666664</v>
      </c>
      <c r="L415" s="279">
        <v>46170.583333333336</v>
      </c>
      <c r="M415" s="279">
        <v>46184.625</v>
      </c>
      <c r="N415" s="280">
        <v>46196.625</v>
      </c>
      <c r="O415" s="280">
        <v>46203.625</v>
      </c>
      <c r="P415" s="280">
        <v>46210.625</v>
      </c>
      <c r="Q415" s="277"/>
      <c r="R415" s="277"/>
      <c r="S415" s="277"/>
      <c r="T415" s="277"/>
      <c r="U415" s="278"/>
      <c r="V415" s="281"/>
      <c r="W415" s="282">
        <f t="shared" si="2"/>
        <v>46210.625</v>
      </c>
      <c r="X415" s="283"/>
      <c r="Y415" s="283"/>
      <c r="Z415" s="235"/>
      <c r="AA415" s="43"/>
    </row>
    <row r="416" ht="15.75" hidden="1" customHeight="1">
      <c r="A416" s="265" t="s">
        <v>551</v>
      </c>
      <c r="B416" s="266" t="str">
        <f>IFERROR(VLOOKUP(A416&amp;"", STUDENTS!A:B, 2, 0), "")</f>
        <v>VÕ CHÍ ĐẠI</v>
      </c>
      <c r="C416" s="104" t="s">
        <v>86</v>
      </c>
      <c r="D416" s="104" t="str">
        <f>IFERROR(VLOOKUP(C416, PIC!A:B, 2, 0), "")</f>
        <v>Quan Nguyen</v>
      </c>
      <c r="E416" s="105" t="s">
        <v>23</v>
      </c>
      <c r="F416" s="267">
        <v>46098.625</v>
      </c>
      <c r="G416" s="268">
        <v>46105.625</v>
      </c>
      <c r="H416" s="268">
        <v>46112.625</v>
      </c>
      <c r="I416" s="267">
        <v>46119.625</v>
      </c>
      <c r="J416" s="269">
        <v>46149.625</v>
      </c>
      <c r="K416" s="269">
        <v>46156.416666666664</v>
      </c>
      <c r="L416" s="269">
        <v>46170.583333333336</v>
      </c>
      <c r="M416" s="269">
        <v>46184.625</v>
      </c>
      <c r="N416" s="270">
        <v>46196.625</v>
      </c>
      <c r="O416" s="270">
        <v>46203.625</v>
      </c>
      <c r="P416" s="270">
        <v>46210.625</v>
      </c>
      <c r="Q416" s="267"/>
      <c r="R416" s="267"/>
      <c r="S416" s="267"/>
      <c r="T416" s="267"/>
      <c r="U416" s="268"/>
      <c r="V416" s="271"/>
      <c r="W416" s="272">
        <f t="shared" si="2"/>
        <v>46210.625</v>
      </c>
      <c r="X416" s="273"/>
      <c r="Y416" s="273"/>
      <c r="Z416" s="235"/>
      <c r="AA416" s="43"/>
    </row>
    <row r="417" ht="15.75" hidden="1" customHeight="1">
      <c r="A417" s="275" t="s">
        <v>579</v>
      </c>
      <c r="B417" s="276" t="str">
        <f>IFERROR(VLOOKUP(A417&amp;"", STUDENTS!A:B, 2, 0), "")</f>
        <v>LÊ NHẬT LINH</v>
      </c>
      <c r="C417" s="122" t="s">
        <v>86</v>
      </c>
      <c r="D417" s="122" t="str">
        <f>IFERROR(VLOOKUP(C417, PIC!A:B, 2, 0), "")</f>
        <v>Quan Nguyen</v>
      </c>
      <c r="E417" s="123" t="s">
        <v>23</v>
      </c>
      <c r="F417" s="277"/>
      <c r="G417" s="278"/>
      <c r="H417" s="278"/>
      <c r="I417" s="277"/>
      <c r="J417" s="279"/>
      <c r="K417" s="279"/>
      <c r="L417" s="279"/>
      <c r="M417" s="279"/>
      <c r="N417" s="277"/>
      <c r="O417" s="280">
        <v>46203.625</v>
      </c>
      <c r="P417" s="280">
        <v>46210.625</v>
      </c>
      <c r="Q417" s="277"/>
      <c r="R417" s="277"/>
      <c r="S417" s="277"/>
      <c r="T417" s="277"/>
      <c r="U417" s="278"/>
      <c r="V417" s="281"/>
      <c r="W417" s="282">
        <f t="shared" si="2"/>
        <v>46210.625</v>
      </c>
      <c r="X417" s="283"/>
      <c r="Y417" s="283"/>
      <c r="Z417" s="235"/>
      <c r="AA417" s="43"/>
    </row>
    <row r="418" ht="15.75" hidden="1" customHeight="1">
      <c r="A418" s="265" t="s">
        <v>382</v>
      </c>
      <c r="B418" s="266" t="str">
        <f>IFERROR(VLOOKUP(A418&amp;"", STUDENTS!A:B, 2, 0), "")</f>
        <v>ĐẶNG GIA LỘC</v>
      </c>
      <c r="C418" s="104" t="s">
        <v>86</v>
      </c>
      <c r="D418" s="104" t="str">
        <f>IFERROR(VLOOKUP(C418, PIC!A:B, 2, 0), "")</f>
        <v>Quan Nguyen</v>
      </c>
      <c r="E418" s="105" t="s">
        <v>26</v>
      </c>
      <c r="F418" s="267">
        <v>45805.375</v>
      </c>
      <c r="G418" s="268">
        <v>45811.41666666666</v>
      </c>
      <c r="H418" s="268">
        <v>45818.41666666666</v>
      </c>
      <c r="I418" s="267">
        <v>45825.41666666666</v>
      </c>
      <c r="J418" s="268">
        <v>45839.41666666666</v>
      </c>
      <c r="K418" s="267">
        <v>45846.41666666666</v>
      </c>
      <c r="L418" s="268">
        <v>45855.41666666666</v>
      </c>
      <c r="M418" s="268">
        <v>45860.625</v>
      </c>
      <c r="N418" s="267">
        <v>45869.45833333334</v>
      </c>
      <c r="O418" s="267">
        <v>45881.5</v>
      </c>
      <c r="P418" s="267">
        <v>45888.54166666666</v>
      </c>
      <c r="Q418" s="267">
        <v>45897.45833333334</v>
      </c>
      <c r="R418" s="267">
        <v>45909.41666666666</v>
      </c>
      <c r="S418" s="267">
        <v>45923.41666666666</v>
      </c>
      <c r="T418" s="267">
        <v>45925.625</v>
      </c>
      <c r="U418" s="269">
        <v>45932.625</v>
      </c>
      <c r="V418" s="312"/>
      <c r="W418" s="272">
        <f t="shared" si="2"/>
        <v>45932.625</v>
      </c>
      <c r="X418" s="300" t="s">
        <v>1175</v>
      </c>
      <c r="Y418" s="273"/>
      <c r="Z418" s="235"/>
      <c r="AA418" s="43"/>
    </row>
    <row r="419" ht="15.75" hidden="1" customHeight="1">
      <c r="A419" s="275" t="s">
        <v>553</v>
      </c>
      <c r="B419" s="276" t="str">
        <f>IFERROR(VLOOKUP(A419&amp;"", STUDENTS!A:B, 2, 0), "")</f>
        <v>LÊ NHẬT</v>
      </c>
      <c r="C419" s="122" t="s">
        <v>86</v>
      </c>
      <c r="D419" s="122" t="str">
        <f>IFERROR(VLOOKUP(C419, PIC!A:B, 2, 0), "")</f>
        <v>Quan Nguyen</v>
      </c>
      <c r="E419" s="123" t="s">
        <v>26</v>
      </c>
      <c r="F419" s="277">
        <v>45805.375</v>
      </c>
      <c r="G419" s="278">
        <v>45811.41666666666</v>
      </c>
      <c r="H419" s="278">
        <v>45818.41666666666</v>
      </c>
      <c r="I419" s="277">
        <v>45825.41666666666</v>
      </c>
      <c r="J419" s="278">
        <v>45839.41666666666</v>
      </c>
      <c r="K419" s="277">
        <v>45846.41666666666</v>
      </c>
      <c r="L419" s="278">
        <v>45855.41666666666</v>
      </c>
      <c r="M419" s="278">
        <v>45860.625</v>
      </c>
      <c r="N419" s="277" t="s">
        <v>1162</v>
      </c>
      <c r="O419" s="277">
        <v>45881.5</v>
      </c>
      <c r="P419" s="277">
        <v>45888.54166666666</v>
      </c>
      <c r="Q419" s="277">
        <v>45897.45833333334</v>
      </c>
      <c r="R419" s="277">
        <v>45909.41666666666</v>
      </c>
      <c r="S419" s="277">
        <v>45923.41666666666</v>
      </c>
      <c r="T419" s="277">
        <v>45925.625</v>
      </c>
      <c r="U419" s="279">
        <v>45932.625</v>
      </c>
      <c r="V419" s="311"/>
      <c r="W419" s="282">
        <f t="shared" si="2"/>
        <v>45932.625</v>
      </c>
      <c r="X419" s="298" t="s">
        <v>1175</v>
      </c>
      <c r="Y419" s="283"/>
      <c r="Z419" s="235"/>
      <c r="AA419" s="43"/>
    </row>
    <row r="420" ht="15.75" hidden="1" customHeight="1">
      <c r="A420" s="265" t="s">
        <v>555</v>
      </c>
      <c r="B420" s="266" t="str">
        <f>IFERROR(VLOOKUP(A420&amp;"", STUDENTS!A:B, 2, 0), "")</f>
        <v>NGUYỄN ĐỨC ANH</v>
      </c>
      <c r="C420" s="104" t="s">
        <v>86</v>
      </c>
      <c r="D420" s="104" t="str">
        <f>IFERROR(VLOOKUP(C420, PIC!A:B, 2, 0), "")</f>
        <v>Quan Nguyen</v>
      </c>
      <c r="E420" s="105" t="s">
        <v>26</v>
      </c>
      <c r="F420" s="267">
        <v>45805.375</v>
      </c>
      <c r="G420" s="268">
        <v>45811.41666666666</v>
      </c>
      <c r="H420" s="268">
        <v>45818.41666666666</v>
      </c>
      <c r="I420" s="267">
        <v>45825.41666666666</v>
      </c>
      <c r="J420" s="268">
        <v>45839.41666666666</v>
      </c>
      <c r="K420" s="267">
        <v>45846.41666666666</v>
      </c>
      <c r="L420" s="268">
        <v>45855.41666666666</v>
      </c>
      <c r="M420" s="268">
        <v>45860.625</v>
      </c>
      <c r="N420" s="267">
        <v>45869.45833333334</v>
      </c>
      <c r="O420" s="267">
        <v>45881.5</v>
      </c>
      <c r="P420" s="267">
        <v>45888.54166666666</v>
      </c>
      <c r="Q420" s="267">
        <v>45897.45833333334</v>
      </c>
      <c r="R420" s="267" t="s">
        <v>1162</v>
      </c>
      <c r="S420" s="267">
        <v>45923.41666666666</v>
      </c>
      <c r="T420" s="267">
        <v>45925.625</v>
      </c>
      <c r="U420" s="269">
        <v>45932.625</v>
      </c>
      <c r="V420" s="312"/>
      <c r="W420" s="272">
        <f t="shared" si="2"/>
        <v>45932.625</v>
      </c>
      <c r="X420" s="300" t="s">
        <v>1175</v>
      </c>
      <c r="Y420" s="273"/>
      <c r="Z420" s="235"/>
      <c r="AA420" s="43"/>
    </row>
    <row r="421" ht="15.75" hidden="1" customHeight="1">
      <c r="A421" s="275" t="s">
        <v>544</v>
      </c>
      <c r="B421" s="276" t="str">
        <f>IFERROR(VLOOKUP(A421&amp;"", STUDENTS!A:B, 2, 0), "")</f>
        <v>NGUYỄN MINH QUÂN</v>
      </c>
      <c r="C421" s="122" t="s">
        <v>86</v>
      </c>
      <c r="D421" s="122" t="str">
        <f>IFERROR(VLOOKUP(C421, PIC!A:B, 2, 0), "")</f>
        <v>Quan Nguyen</v>
      </c>
      <c r="E421" s="123" t="s">
        <v>26</v>
      </c>
      <c r="F421" s="277" t="s">
        <v>1162</v>
      </c>
      <c r="G421" s="278">
        <v>45811.41666666666</v>
      </c>
      <c r="H421" s="278">
        <v>45818.41666666666</v>
      </c>
      <c r="I421" s="277">
        <v>45825.41666666666</v>
      </c>
      <c r="J421" s="278">
        <v>45839.41666666666</v>
      </c>
      <c r="K421" s="277">
        <v>45846.41666666666</v>
      </c>
      <c r="L421" s="278">
        <v>45855.41666666666</v>
      </c>
      <c r="M421" s="278">
        <v>45860.625</v>
      </c>
      <c r="N421" s="277">
        <v>45869.45833333334</v>
      </c>
      <c r="O421" s="277">
        <v>45881.5</v>
      </c>
      <c r="P421" s="277">
        <v>45888.54166666666</v>
      </c>
      <c r="Q421" s="277">
        <v>45897.45833333334</v>
      </c>
      <c r="R421" s="277">
        <v>45909.41666666666</v>
      </c>
      <c r="S421" s="277">
        <v>45923.41666666666</v>
      </c>
      <c r="T421" s="277">
        <v>45925.625</v>
      </c>
      <c r="U421" s="279">
        <v>45932.625</v>
      </c>
      <c r="V421" s="311"/>
      <c r="W421" s="282">
        <f t="shared" si="2"/>
        <v>45932.625</v>
      </c>
      <c r="X421" s="298" t="s">
        <v>1175</v>
      </c>
      <c r="Y421" s="283"/>
      <c r="Z421" s="235"/>
      <c r="AA421" s="43"/>
    </row>
    <row r="422" ht="15.75" hidden="1" customHeight="1">
      <c r="A422" s="265" t="s">
        <v>546</v>
      </c>
      <c r="B422" s="266" t="str">
        <f>IFERROR(VLOOKUP(A422&amp;"", STUDENTS!A:B, 2, 0), "")</f>
        <v>NGUYỄN QUANG ĐỨC</v>
      </c>
      <c r="C422" s="104" t="s">
        <v>86</v>
      </c>
      <c r="D422" s="104" t="str">
        <f>IFERROR(VLOOKUP(C422, PIC!A:B, 2, 0), "")</f>
        <v>Quan Nguyen</v>
      </c>
      <c r="E422" s="105" t="s">
        <v>26</v>
      </c>
      <c r="F422" s="267">
        <v>45805.375</v>
      </c>
      <c r="G422" s="268">
        <v>45811.41666666666</v>
      </c>
      <c r="H422" s="268">
        <v>45818.41666666666</v>
      </c>
      <c r="I422" s="267">
        <v>45825.41666666666</v>
      </c>
      <c r="J422" s="268">
        <v>45839.41666666666</v>
      </c>
      <c r="K422" s="267">
        <v>45846.41666666666</v>
      </c>
      <c r="L422" s="268">
        <v>45855.41666666666</v>
      </c>
      <c r="M422" s="268" t="s">
        <v>1162</v>
      </c>
      <c r="N422" s="267">
        <v>45869.45833333334</v>
      </c>
      <c r="O422" s="267">
        <v>45881.5</v>
      </c>
      <c r="P422" s="267">
        <v>45888.54166666666</v>
      </c>
      <c r="Q422" s="267" t="s">
        <v>1162</v>
      </c>
      <c r="R422" s="267">
        <v>45909.41666666666</v>
      </c>
      <c r="S422" s="267" t="s">
        <v>1162</v>
      </c>
      <c r="T422" s="267">
        <v>45925.625</v>
      </c>
      <c r="U422" s="269">
        <v>45932.625</v>
      </c>
      <c r="V422" s="312"/>
      <c r="W422" s="272">
        <f t="shared" si="2"/>
        <v>45932.625</v>
      </c>
      <c r="X422" s="300" t="s">
        <v>1175</v>
      </c>
      <c r="Y422" s="273"/>
      <c r="Z422" s="235"/>
      <c r="AA422" s="43"/>
    </row>
    <row r="423" ht="15.75" hidden="1" customHeight="1">
      <c r="A423" s="275" t="s">
        <v>548</v>
      </c>
      <c r="B423" s="276" t="str">
        <f>IFERROR(VLOOKUP(A423&amp;"", STUDENTS!A:B, 2, 0), "")</f>
        <v>PHẠM MAI NHẬT</v>
      </c>
      <c r="C423" s="122" t="s">
        <v>86</v>
      </c>
      <c r="D423" s="122" t="str">
        <f>IFERROR(VLOOKUP(C423, PIC!A:B, 2, 0), "")</f>
        <v>Quan Nguyen</v>
      </c>
      <c r="E423" s="123" t="s">
        <v>26</v>
      </c>
      <c r="F423" s="277">
        <v>45805.375</v>
      </c>
      <c r="G423" s="278">
        <v>45811.41666666666</v>
      </c>
      <c r="H423" s="278">
        <v>45818.41666666666</v>
      </c>
      <c r="I423" s="277">
        <v>45825.41666666666</v>
      </c>
      <c r="J423" s="278">
        <v>45839.41666666666</v>
      </c>
      <c r="K423" s="277">
        <v>45846.41666666666</v>
      </c>
      <c r="L423" s="278">
        <v>45855.41666666666</v>
      </c>
      <c r="M423" s="278">
        <v>45860.625</v>
      </c>
      <c r="N423" s="277">
        <v>45869.45833333334</v>
      </c>
      <c r="O423" s="277">
        <v>45881.5</v>
      </c>
      <c r="P423" s="277">
        <v>45888.54166666666</v>
      </c>
      <c r="Q423" s="277" t="s">
        <v>1162</v>
      </c>
      <c r="R423" s="277">
        <v>45909.41666666666</v>
      </c>
      <c r="S423" s="277">
        <v>45923.41666666666</v>
      </c>
      <c r="T423" s="277">
        <v>45925.625</v>
      </c>
      <c r="U423" s="279">
        <v>45932.625</v>
      </c>
      <c r="V423" s="311"/>
      <c r="W423" s="282">
        <f t="shared" si="2"/>
        <v>45932.625</v>
      </c>
      <c r="X423" s="298" t="s">
        <v>1175</v>
      </c>
      <c r="Y423" s="283"/>
      <c r="Z423" s="235"/>
      <c r="AA423" s="43"/>
    </row>
    <row r="424" ht="15.75" hidden="1" customHeight="1">
      <c r="A424" s="265" t="s">
        <v>557</v>
      </c>
      <c r="B424" s="266" t="str">
        <f>IFERROR(VLOOKUP(A424&amp;"", STUDENTS!A:B, 2, 0), "")</f>
        <v>TRẦN NHỰT DUY</v>
      </c>
      <c r="C424" s="104" t="s">
        <v>86</v>
      </c>
      <c r="D424" s="104" t="str">
        <f>IFERROR(VLOOKUP(C424, PIC!A:B, 2, 0), "")</f>
        <v>Quan Nguyen</v>
      </c>
      <c r="E424" s="105" t="s">
        <v>26</v>
      </c>
      <c r="F424" s="267">
        <v>45805.375</v>
      </c>
      <c r="G424" s="268">
        <v>45811.41666666666</v>
      </c>
      <c r="H424" s="268">
        <v>45818.41666666666</v>
      </c>
      <c r="I424" s="267">
        <v>45825.41666666666</v>
      </c>
      <c r="J424" s="268">
        <v>45839.41666666666</v>
      </c>
      <c r="K424" s="267">
        <v>45846.41666666666</v>
      </c>
      <c r="L424" s="268">
        <v>45855.41666666666</v>
      </c>
      <c r="M424" s="268">
        <v>45860.625</v>
      </c>
      <c r="N424" s="267">
        <v>45869.45833333334</v>
      </c>
      <c r="O424" s="267">
        <v>45881.5</v>
      </c>
      <c r="P424" s="267">
        <v>45888.54166666666</v>
      </c>
      <c r="Q424" s="267">
        <v>45897.45833333334</v>
      </c>
      <c r="R424" s="267">
        <v>45909.41666666666</v>
      </c>
      <c r="S424" s="267">
        <v>45923.41666666666</v>
      </c>
      <c r="T424" s="267">
        <v>45925.625</v>
      </c>
      <c r="U424" s="269">
        <v>45932.625</v>
      </c>
      <c r="V424" s="312"/>
      <c r="W424" s="272">
        <f t="shared" si="2"/>
        <v>45932.625</v>
      </c>
      <c r="X424" s="300" t="s">
        <v>1175</v>
      </c>
      <c r="Y424" s="273"/>
      <c r="Z424" s="235"/>
      <c r="AA424" s="43"/>
    </row>
    <row r="425" ht="15.75" hidden="1" customHeight="1">
      <c r="A425" s="275" t="s">
        <v>559</v>
      </c>
      <c r="B425" s="276" t="str">
        <f>IFERROR(VLOOKUP(A425&amp;"", STUDENTS!A:B, 2, 0), "")</f>
        <v>TRƯƠNG ĐÌNH ÁNH</v>
      </c>
      <c r="C425" s="122" t="s">
        <v>86</v>
      </c>
      <c r="D425" s="122" t="str">
        <f>IFERROR(VLOOKUP(C425, PIC!A:B, 2, 0), "")</f>
        <v>Quan Nguyen</v>
      </c>
      <c r="E425" s="123" t="s">
        <v>26</v>
      </c>
      <c r="F425" s="277">
        <v>45805.375</v>
      </c>
      <c r="G425" s="278">
        <v>45811.41666666666</v>
      </c>
      <c r="H425" s="278">
        <v>45818.41666666666</v>
      </c>
      <c r="I425" s="277">
        <v>45825.41666666666</v>
      </c>
      <c r="J425" s="278">
        <v>45839.41666666666</v>
      </c>
      <c r="K425" s="277">
        <v>45846.41666666666</v>
      </c>
      <c r="L425" s="278">
        <v>45855.41666666666</v>
      </c>
      <c r="M425" s="278" t="s">
        <v>1162</v>
      </c>
      <c r="N425" s="277">
        <v>45869.45833333334</v>
      </c>
      <c r="O425" s="277">
        <v>45881.5</v>
      </c>
      <c r="P425" s="277">
        <v>45888.54166666666</v>
      </c>
      <c r="Q425" s="277">
        <v>45897.45833333334</v>
      </c>
      <c r="R425" s="277">
        <v>45909.41666666666</v>
      </c>
      <c r="S425" s="277">
        <v>45923.41666666666</v>
      </c>
      <c r="T425" s="277" t="s">
        <v>1162</v>
      </c>
      <c r="U425" s="279">
        <v>45932.625</v>
      </c>
      <c r="V425" s="311"/>
      <c r="W425" s="282">
        <f t="shared" si="2"/>
        <v>45932.625</v>
      </c>
      <c r="X425" s="298" t="s">
        <v>1175</v>
      </c>
      <c r="Y425" s="283"/>
      <c r="Z425" s="235"/>
      <c r="AA425" s="43"/>
    </row>
    <row r="426" ht="15.75" hidden="1" customHeight="1">
      <c r="A426" s="265" t="s">
        <v>551</v>
      </c>
      <c r="B426" s="266" t="str">
        <f>IFERROR(VLOOKUP(A426&amp;"", STUDENTS!A:B, 2, 0), "")</f>
        <v>VÕ CHÍ ĐẠI</v>
      </c>
      <c r="C426" s="104" t="s">
        <v>86</v>
      </c>
      <c r="D426" s="104" t="str">
        <f>IFERROR(VLOOKUP(C426, PIC!A:B, 2, 0), "")</f>
        <v>Quan Nguyen</v>
      </c>
      <c r="E426" s="105" t="s">
        <v>26</v>
      </c>
      <c r="F426" s="267">
        <v>45805.375</v>
      </c>
      <c r="G426" s="268">
        <v>45811.41666666666</v>
      </c>
      <c r="H426" s="268">
        <v>45818.41666666666</v>
      </c>
      <c r="I426" s="267">
        <v>45825.41666666666</v>
      </c>
      <c r="J426" s="268">
        <v>45839.41666666666</v>
      </c>
      <c r="K426" s="267">
        <v>45846.41666666666</v>
      </c>
      <c r="L426" s="268">
        <v>45855.41666666666</v>
      </c>
      <c r="M426" s="268">
        <v>45860.625</v>
      </c>
      <c r="N426" s="267">
        <v>45869.45833333334</v>
      </c>
      <c r="O426" s="267" t="s">
        <v>1162</v>
      </c>
      <c r="P426" s="267">
        <v>45888.54166666666</v>
      </c>
      <c r="Q426" s="267">
        <v>45897.45833333334</v>
      </c>
      <c r="R426" s="267">
        <v>45909.41666666666</v>
      </c>
      <c r="S426" s="267">
        <v>45923.41666666666</v>
      </c>
      <c r="T426" s="267" t="s">
        <v>1162</v>
      </c>
      <c r="U426" s="269">
        <v>45932.625</v>
      </c>
      <c r="V426" s="312"/>
      <c r="W426" s="272">
        <f t="shared" si="2"/>
        <v>45932.625</v>
      </c>
      <c r="X426" s="300" t="s">
        <v>1175</v>
      </c>
      <c r="Y426" s="273"/>
      <c r="Z426" s="235"/>
      <c r="AA426" s="43"/>
    </row>
    <row r="427" ht="15.75" hidden="1" customHeight="1">
      <c r="A427" s="275" t="s">
        <v>409</v>
      </c>
      <c r="B427" s="276" t="str">
        <f>IFERROR(VLOOKUP(A427&amp;"", STUDENTS!A:B, 2, 0), "")</f>
        <v>Nguyễn Hồng Mỹ</v>
      </c>
      <c r="C427" s="122" t="s">
        <v>87</v>
      </c>
      <c r="D427" s="122" t="str">
        <f>IFERROR(VLOOKUP(C427, PIC!A:B, 2, 0), "")</f>
        <v>My Nguyen</v>
      </c>
      <c r="E427" s="123" t="s">
        <v>22</v>
      </c>
      <c r="F427" s="277">
        <v>45813.45833333334</v>
      </c>
      <c r="G427" s="278">
        <v>45820.45833333334</v>
      </c>
      <c r="H427" s="278">
        <v>45841.625</v>
      </c>
      <c r="I427" s="277">
        <v>45849.41666666666</v>
      </c>
      <c r="J427" s="278">
        <v>45855.625</v>
      </c>
      <c r="K427" s="277">
        <v>45890.45833333334</v>
      </c>
      <c r="L427" s="278">
        <v>45911.625</v>
      </c>
      <c r="M427" s="278">
        <v>45912.54166666666</v>
      </c>
      <c r="N427" s="277">
        <v>45918.625</v>
      </c>
      <c r="O427" s="277">
        <v>45996.45833333334</v>
      </c>
      <c r="P427" s="277"/>
      <c r="Q427" s="277"/>
      <c r="R427" s="277"/>
      <c r="S427" s="277"/>
      <c r="T427" s="277"/>
      <c r="U427" s="278"/>
      <c r="V427" s="281"/>
      <c r="W427" s="282">
        <f t="shared" si="2"/>
        <v>45996.45833</v>
      </c>
      <c r="X427" s="283"/>
      <c r="Y427" s="283"/>
      <c r="Z427" s="235"/>
      <c r="AA427" s="43"/>
    </row>
    <row r="428" ht="15.75" hidden="1" customHeight="1">
      <c r="A428" s="265" t="s">
        <v>411</v>
      </c>
      <c r="B428" s="266" t="str">
        <f>IFERROR(VLOOKUP(A428&amp;"", STUDENTS!A:B, 2, 0), "")</f>
        <v>Nguyễn Hữu Phước</v>
      </c>
      <c r="C428" s="104" t="s">
        <v>87</v>
      </c>
      <c r="D428" s="104" t="str">
        <f>IFERROR(VLOOKUP(C428, PIC!A:B, 2, 0), "")</f>
        <v>My Nguyen</v>
      </c>
      <c r="E428" s="105" t="s">
        <v>22</v>
      </c>
      <c r="F428" s="267">
        <v>45813.45833333334</v>
      </c>
      <c r="G428" s="268">
        <v>45820.45833333334</v>
      </c>
      <c r="H428" s="268">
        <v>45841.625</v>
      </c>
      <c r="I428" s="267">
        <v>45849.41666666666</v>
      </c>
      <c r="J428" s="268">
        <v>45855.625</v>
      </c>
      <c r="K428" s="267">
        <v>45890.45833333334</v>
      </c>
      <c r="L428" s="268">
        <v>45911.625</v>
      </c>
      <c r="M428" s="268">
        <v>45912.54166666666</v>
      </c>
      <c r="N428" s="267">
        <v>45918.625</v>
      </c>
      <c r="O428" s="267">
        <v>45996.45833333334</v>
      </c>
      <c r="P428" s="267"/>
      <c r="Q428" s="267"/>
      <c r="R428" s="267"/>
      <c r="S428" s="267"/>
      <c r="T428" s="267"/>
      <c r="U428" s="268"/>
      <c r="V428" s="271"/>
      <c r="W428" s="272">
        <f t="shared" si="2"/>
        <v>45996.45833</v>
      </c>
      <c r="X428" s="273"/>
      <c r="Y428" s="273"/>
      <c r="Z428" s="235"/>
      <c r="AA428" s="43"/>
    </row>
    <row r="429" ht="15.75" hidden="1" customHeight="1">
      <c r="A429" s="275" t="s">
        <v>413</v>
      </c>
      <c r="B429" s="276" t="str">
        <f>IFERROR(VLOOKUP(A429&amp;"", STUDENTS!A:B, 2, 0), "")</f>
        <v>Trần Quốc Hiệp</v>
      </c>
      <c r="C429" s="122" t="s">
        <v>87</v>
      </c>
      <c r="D429" s="122" t="str">
        <f>IFERROR(VLOOKUP(C429, PIC!A:B, 2, 0), "")</f>
        <v>My Nguyen</v>
      </c>
      <c r="E429" s="123" t="s">
        <v>22</v>
      </c>
      <c r="F429" s="277">
        <v>45813.45833333334</v>
      </c>
      <c r="G429" s="278">
        <v>45820.45833333334</v>
      </c>
      <c r="H429" s="278" t="s">
        <v>1162</v>
      </c>
      <c r="I429" s="277">
        <v>45849.41666666666</v>
      </c>
      <c r="J429" s="278" t="s">
        <v>1162</v>
      </c>
      <c r="K429" s="277">
        <v>45890.45833333334</v>
      </c>
      <c r="L429" s="278">
        <v>45911.625</v>
      </c>
      <c r="M429" s="278">
        <v>45912.54166666666</v>
      </c>
      <c r="N429" s="277">
        <v>45918.625</v>
      </c>
      <c r="O429" s="277">
        <v>45996.45833333334</v>
      </c>
      <c r="P429" s="277"/>
      <c r="Q429" s="277"/>
      <c r="R429" s="277"/>
      <c r="S429" s="277"/>
      <c r="T429" s="277"/>
      <c r="U429" s="278"/>
      <c r="V429" s="281"/>
      <c r="W429" s="282">
        <f t="shared" si="2"/>
        <v>45996.45833</v>
      </c>
      <c r="X429" s="283"/>
      <c r="Y429" s="283"/>
      <c r="Z429" s="235"/>
      <c r="AA429" s="43"/>
    </row>
    <row r="430" ht="15.75" hidden="1" customHeight="1">
      <c r="A430" s="265" t="s">
        <v>415</v>
      </c>
      <c r="B430" s="266" t="str">
        <f>IFERROR(VLOOKUP(A430&amp;"", STUDENTS!A:B, 2, 0), "")</f>
        <v>Trần Tuấn Kiệt</v>
      </c>
      <c r="C430" s="104" t="s">
        <v>87</v>
      </c>
      <c r="D430" s="104" t="str">
        <f>IFERROR(VLOOKUP(C430, PIC!A:B, 2, 0), "")</f>
        <v>My Nguyen</v>
      </c>
      <c r="E430" s="105" t="s">
        <v>22</v>
      </c>
      <c r="F430" s="267">
        <v>45813.45833333334</v>
      </c>
      <c r="G430" s="268">
        <v>45820.45833333334</v>
      </c>
      <c r="H430" s="268">
        <v>45841.625</v>
      </c>
      <c r="I430" s="267">
        <v>45849.41666666666</v>
      </c>
      <c r="J430" s="268">
        <v>45855.625</v>
      </c>
      <c r="K430" s="267">
        <v>45890.45833333334</v>
      </c>
      <c r="L430" s="268" t="s">
        <v>1162</v>
      </c>
      <c r="M430" s="268">
        <v>45912.54166666666</v>
      </c>
      <c r="N430" s="267">
        <v>45918.625</v>
      </c>
      <c r="O430" s="267">
        <v>45996.45833333334</v>
      </c>
      <c r="P430" s="267"/>
      <c r="Q430" s="267"/>
      <c r="R430" s="267"/>
      <c r="S430" s="267"/>
      <c r="T430" s="267"/>
      <c r="U430" s="268"/>
      <c r="V430" s="271"/>
      <c r="W430" s="272">
        <f t="shared" si="2"/>
        <v>45996.45833</v>
      </c>
      <c r="X430" s="273"/>
      <c r="Y430" s="273"/>
      <c r="Z430" s="235"/>
      <c r="AA430" s="43"/>
    </row>
    <row r="431" ht="15.75" hidden="1" customHeight="1">
      <c r="A431" s="289" t="s">
        <v>409</v>
      </c>
      <c r="B431" s="290" t="str">
        <f>IFERROR(VLOOKUP(A431&amp;"", STUDENTS!A:B, 2, 0), "")</f>
        <v>Nguyễn Hồng Mỹ</v>
      </c>
      <c r="C431" s="291" t="s">
        <v>87</v>
      </c>
      <c r="D431" s="291" t="str">
        <f>IFERROR(VLOOKUP(C431, PIC!A:B, 2, 0), "")</f>
        <v>My Nguyen</v>
      </c>
      <c r="E431" s="292" t="s">
        <v>23</v>
      </c>
      <c r="F431" s="293">
        <v>46038.41666666666</v>
      </c>
      <c r="G431" s="294">
        <v>46044.45833333334</v>
      </c>
      <c r="H431" s="294">
        <v>46051.58333333334</v>
      </c>
      <c r="I431" s="293">
        <v>46052.45833333334</v>
      </c>
      <c r="J431" s="294">
        <v>46086.54166666666</v>
      </c>
      <c r="K431" s="293"/>
      <c r="L431" s="294"/>
      <c r="M431" s="294"/>
      <c r="N431" s="293"/>
      <c r="O431" s="293"/>
      <c r="P431" s="293"/>
      <c r="Q431" s="293"/>
      <c r="R431" s="293"/>
      <c r="S431" s="293"/>
      <c r="T431" s="293"/>
      <c r="U431" s="294"/>
      <c r="V431" s="295"/>
      <c r="W431" s="296">
        <f t="shared" si="2"/>
        <v>46086.54167</v>
      </c>
      <c r="X431" s="287"/>
      <c r="Y431" s="287"/>
      <c r="Z431" s="287"/>
      <c r="AA431" s="288"/>
    </row>
    <row r="432" ht="15.75" hidden="1" customHeight="1">
      <c r="A432" s="289" t="s">
        <v>411</v>
      </c>
      <c r="B432" s="290" t="str">
        <f>IFERROR(VLOOKUP(A432&amp;"", STUDENTS!A:B, 2, 0), "")</f>
        <v>Nguyễn Hữu Phước</v>
      </c>
      <c r="C432" s="291" t="s">
        <v>87</v>
      </c>
      <c r="D432" s="291" t="str">
        <f>IFERROR(VLOOKUP(C432, PIC!A:B, 2, 0), "")</f>
        <v>My Nguyen</v>
      </c>
      <c r="E432" s="292" t="s">
        <v>23</v>
      </c>
      <c r="F432" s="293">
        <v>46038.41666666666</v>
      </c>
      <c r="G432" s="294">
        <v>46044.45833333334</v>
      </c>
      <c r="H432" s="294">
        <v>46051.58333333334</v>
      </c>
      <c r="I432" s="293">
        <v>46052.45833333334</v>
      </c>
      <c r="J432" s="294">
        <v>46086.54166666666</v>
      </c>
      <c r="K432" s="293"/>
      <c r="L432" s="294"/>
      <c r="M432" s="294"/>
      <c r="N432" s="293"/>
      <c r="O432" s="293"/>
      <c r="P432" s="293"/>
      <c r="Q432" s="293"/>
      <c r="R432" s="293"/>
      <c r="S432" s="293"/>
      <c r="T432" s="293"/>
      <c r="U432" s="294"/>
      <c r="V432" s="295"/>
      <c r="W432" s="296">
        <f t="shared" si="2"/>
        <v>46086.54167</v>
      </c>
      <c r="X432" s="273"/>
      <c r="Y432" s="273"/>
      <c r="Z432" s="235"/>
      <c r="AA432" s="43"/>
    </row>
    <row r="433" ht="15.75" hidden="1" customHeight="1">
      <c r="A433" s="289" t="s">
        <v>413</v>
      </c>
      <c r="B433" s="290" t="str">
        <f>IFERROR(VLOOKUP(A433&amp;"", STUDENTS!A:B, 2, 0), "")</f>
        <v>Trần Quốc Hiệp</v>
      </c>
      <c r="C433" s="291" t="s">
        <v>87</v>
      </c>
      <c r="D433" s="291" t="str">
        <f>IFERROR(VLOOKUP(C433, PIC!A:B, 2, 0), "")</f>
        <v>My Nguyen</v>
      </c>
      <c r="E433" s="292" t="s">
        <v>23</v>
      </c>
      <c r="F433" s="293">
        <v>46038.41666666666</v>
      </c>
      <c r="G433" s="294">
        <v>46044.45833333334</v>
      </c>
      <c r="H433" s="294">
        <v>46051.58333333334</v>
      </c>
      <c r="I433" s="293">
        <v>46052.45833333334</v>
      </c>
      <c r="J433" s="294" t="s">
        <v>1162</v>
      </c>
      <c r="K433" s="293"/>
      <c r="L433" s="294"/>
      <c r="M433" s="294"/>
      <c r="N433" s="293"/>
      <c r="O433" s="293"/>
      <c r="P433" s="293"/>
      <c r="Q433" s="293"/>
      <c r="R433" s="293"/>
      <c r="S433" s="293"/>
      <c r="T433" s="293"/>
      <c r="U433" s="294"/>
      <c r="V433" s="295"/>
      <c r="W433" s="296">
        <f t="shared" si="2"/>
        <v>46052.45833</v>
      </c>
      <c r="X433" s="287"/>
      <c r="Y433" s="287"/>
      <c r="Z433" s="287"/>
      <c r="AA433" s="288"/>
    </row>
    <row r="434" ht="15.75" hidden="1" customHeight="1">
      <c r="A434" s="289" t="s">
        <v>415</v>
      </c>
      <c r="B434" s="290" t="str">
        <f>IFERROR(VLOOKUP(A434&amp;"", STUDENTS!A:B, 2, 0), "")</f>
        <v>Trần Tuấn Kiệt</v>
      </c>
      <c r="C434" s="291" t="s">
        <v>87</v>
      </c>
      <c r="D434" s="291" t="str">
        <f>IFERROR(VLOOKUP(C434, PIC!A:B, 2, 0), "")</f>
        <v>My Nguyen</v>
      </c>
      <c r="E434" s="292" t="s">
        <v>23</v>
      </c>
      <c r="F434" s="293">
        <v>46038.41666666666</v>
      </c>
      <c r="G434" s="294" t="s">
        <v>1162</v>
      </c>
      <c r="H434" s="294">
        <v>46051.58333333334</v>
      </c>
      <c r="I434" s="293">
        <v>46052.45833333334</v>
      </c>
      <c r="J434" s="294">
        <v>46086.54166666666</v>
      </c>
      <c r="K434" s="293"/>
      <c r="L434" s="294"/>
      <c r="M434" s="294"/>
      <c r="N434" s="293"/>
      <c r="O434" s="293"/>
      <c r="P434" s="293"/>
      <c r="Q434" s="293"/>
      <c r="R434" s="293"/>
      <c r="S434" s="293"/>
      <c r="T434" s="293"/>
      <c r="U434" s="294"/>
      <c r="V434" s="295"/>
      <c r="W434" s="296">
        <f t="shared" si="2"/>
        <v>46086.54167</v>
      </c>
      <c r="X434" s="273"/>
      <c r="Y434" s="273"/>
      <c r="Z434" s="235"/>
      <c r="AA434" s="43"/>
    </row>
    <row r="435" ht="15.75" hidden="1" customHeight="1">
      <c r="A435" s="275" t="s">
        <v>316</v>
      </c>
      <c r="B435" s="276" t="str">
        <f>IFERROR(VLOOKUP(A435&amp;"", STUDENTS!A:B, 2, 0), "")</f>
        <v>NGÔ THỤY THANH NHƯ</v>
      </c>
      <c r="C435" s="122" t="s">
        <v>88</v>
      </c>
      <c r="D435" s="122" t="str">
        <f>IFERROR(VLOOKUP(C435, PIC!A:B, 2, 0), "")</f>
        <v>Huy Nguyen</v>
      </c>
      <c r="E435" s="123" t="s">
        <v>22</v>
      </c>
      <c r="F435" s="277"/>
      <c r="G435" s="278"/>
      <c r="H435" s="278"/>
      <c r="I435" s="277"/>
      <c r="J435" s="278"/>
      <c r="K435" s="277">
        <v>45889.58333333334</v>
      </c>
      <c r="L435" s="278" t="s">
        <v>1162</v>
      </c>
      <c r="M435" s="278">
        <v>45910.625</v>
      </c>
      <c r="N435" s="277">
        <v>45916.375</v>
      </c>
      <c r="O435" s="277">
        <v>45959.41666666666</v>
      </c>
      <c r="P435" s="277"/>
      <c r="Q435" s="277"/>
      <c r="R435" s="277"/>
      <c r="S435" s="277"/>
      <c r="T435" s="277"/>
      <c r="U435" s="278"/>
      <c r="V435" s="281"/>
      <c r="W435" s="282">
        <f t="shared" si="2"/>
        <v>45959.41667</v>
      </c>
      <c r="X435" s="287"/>
      <c r="Y435" s="287"/>
      <c r="Z435" s="287"/>
      <c r="AA435" s="288"/>
    </row>
    <row r="436" ht="15.75" hidden="1" customHeight="1">
      <c r="A436" s="265" t="s">
        <v>766</v>
      </c>
      <c r="B436" s="266" t="str">
        <f>IFERROR(VLOOKUP(A436&amp;"", STUDENTS!A:B, 2, 0), "")</f>
        <v>NGUYỄN NHẬT HÀO</v>
      </c>
      <c r="C436" s="104" t="s">
        <v>88</v>
      </c>
      <c r="D436" s="104" t="str">
        <f>IFERROR(VLOOKUP(C436, PIC!A:B, 2, 0), "")</f>
        <v>Huy Nguyen</v>
      </c>
      <c r="E436" s="105" t="s">
        <v>22</v>
      </c>
      <c r="F436" s="267"/>
      <c r="G436" s="268"/>
      <c r="H436" s="268"/>
      <c r="I436" s="267"/>
      <c r="J436" s="268">
        <v>45882.54166666666</v>
      </c>
      <c r="K436" s="267">
        <v>45889.58333333334</v>
      </c>
      <c r="L436" s="268">
        <v>45896.58333333334</v>
      </c>
      <c r="M436" s="268" t="s">
        <v>1162</v>
      </c>
      <c r="N436" s="267" t="s">
        <v>1162</v>
      </c>
      <c r="O436" s="267" t="s">
        <v>1162</v>
      </c>
      <c r="P436" s="267"/>
      <c r="Q436" s="267"/>
      <c r="R436" s="267"/>
      <c r="S436" s="267"/>
      <c r="T436" s="267"/>
      <c r="U436" s="268"/>
      <c r="V436" s="271"/>
      <c r="W436" s="272">
        <f t="shared" si="2"/>
        <v>45896.58333</v>
      </c>
      <c r="X436" s="273"/>
      <c r="Y436" s="273"/>
      <c r="Z436" s="235"/>
      <c r="AA436" s="43"/>
    </row>
    <row r="437" ht="15.75" hidden="1" customHeight="1">
      <c r="A437" s="275" t="s">
        <v>322</v>
      </c>
      <c r="B437" s="276" t="str">
        <f>IFERROR(VLOOKUP(A437&amp;"", STUDENTS!A:B, 2, 0), "")</f>
        <v>NGUYỄN TẤN HUY</v>
      </c>
      <c r="C437" s="122" t="s">
        <v>88</v>
      </c>
      <c r="D437" s="122" t="str">
        <f>IFERROR(VLOOKUP(C437, PIC!A:B, 2, 0), "")</f>
        <v>Huy Nguyen</v>
      </c>
      <c r="E437" s="123" t="s">
        <v>22</v>
      </c>
      <c r="F437" s="277"/>
      <c r="G437" s="278"/>
      <c r="H437" s="278"/>
      <c r="I437" s="277"/>
      <c r="J437" s="278">
        <v>45882.54166666666</v>
      </c>
      <c r="K437" s="277" t="s">
        <v>1162</v>
      </c>
      <c r="L437" s="278">
        <v>45896.58333333334</v>
      </c>
      <c r="M437" s="278">
        <v>45910.625</v>
      </c>
      <c r="N437" s="277">
        <v>45916.375</v>
      </c>
      <c r="O437" s="277">
        <v>45959.41666666666</v>
      </c>
      <c r="P437" s="277"/>
      <c r="Q437" s="277"/>
      <c r="R437" s="277"/>
      <c r="S437" s="277"/>
      <c r="T437" s="277"/>
      <c r="U437" s="278"/>
      <c r="V437" s="281"/>
      <c r="W437" s="282">
        <f t="shared" si="2"/>
        <v>45959.41667</v>
      </c>
      <c r="X437" s="287"/>
      <c r="Y437" s="287"/>
      <c r="Z437" s="287"/>
      <c r="AA437" s="288"/>
    </row>
    <row r="438" ht="15.75" hidden="1" customHeight="1">
      <c r="A438" s="265" t="s">
        <v>318</v>
      </c>
      <c r="B438" s="266" t="str">
        <f>IFERROR(VLOOKUP(A438&amp;"", STUDENTS!A:B, 2, 0), "")</f>
        <v>NGUYỄN THỊ HIỀN NI</v>
      </c>
      <c r="C438" s="104" t="s">
        <v>88</v>
      </c>
      <c r="D438" s="104" t="str">
        <f>IFERROR(VLOOKUP(C438, PIC!A:B, 2, 0), "")</f>
        <v>Huy Nguyen</v>
      </c>
      <c r="E438" s="105" t="s">
        <v>22</v>
      </c>
      <c r="F438" s="267"/>
      <c r="G438" s="268"/>
      <c r="H438" s="268"/>
      <c r="I438" s="267"/>
      <c r="J438" s="268"/>
      <c r="K438" s="267" t="s">
        <v>1162</v>
      </c>
      <c r="L438" s="268">
        <v>45896.58333333334</v>
      </c>
      <c r="M438" s="268">
        <v>45910.625</v>
      </c>
      <c r="N438" s="267">
        <v>45916.375</v>
      </c>
      <c r="O438" s="267">
        <v>45959.41666666666</v>
      </c>
      <c r="P438" s="267"/>
      <c r="Q438" s="267"/>
      <c r="R438" s="267"/>
      <c r="S438" s="267"/>
      <c r="T438" s="267"/>
      <c r="U438" s="268"/>
      <c r="V438" s="271"/>
      <c r="W438" s="272">
        <f t="shared" si="2"/>
        <v>45959.41667</v>
      </c>
      <c r="X438" s="273"/>
      <c r="Y438" s="273"/>
      <c r="Z438" s="235"/>
      <c r="AA438" s="43"/>
    </row>
    <row r="439" ht="15.75" hidden="1" customHeight="1">
      <c r="A439" s="275" t="s">
        <v>324</v>
      </c>
      <c r="B439" s="276" t="str">
        <f>IFERROR(VLOOKUP(A439&amp;"", STUDENTS!A:B, 2, 0), "")</f>
        <v>TRẦN VĨNH THUẬN</v>
      </c>
      <c r="C439" s="122" t="s">
        <v>88</v>
      </c>
      <c r="D439" s="122" t="str">
        <f>IFERROR(VLOOKUP(C439, PIC!A:B, 2, 0), "")</f>
        <v>Huy Nguyen</v>
      </c>
      <c r="E439" s="123" t="s">
        <v>22</v>
      </c>
      <c r="F439" s="277"/>
      <c r="G439" s="278"/>
      <c r="H439" s="278"/>
      <c r="I439" s="277"/>
      <c r="J439" s="278">
        <v>45882.54166666666</v>
      </c>
      <c r="K439" s="277">
        <v>45889.58333333334</v>
      </c>
      <c r="L439" s="278">
        <v>45896.58333333334</v>
      </c>
      <c r="M439" s="278" t="s">
        <v>1162</v>
      </c>
      <c r="N439" s="277" t="s">
        <v>1162</v>
      </c>
      <c r="O439" s="277" t="s">
        <v>1162</v>
      </c>
      <c r="P439" s="277"/>
      <c r="Q439" s="277"/>
      <c r="R439" s="277"/>
      <c r="S439" s="277"/>
      <c r="T439" s="277"/>
      <c r="U439" s="278"/>
      <c r="V439" s="281"/>
      <c r="W439" s="282">
        <f t="shared" si="2"/>
        <v>45896.58333</v>
      </c>
      <c r="X439" s="283"/>
      <c r="Y439" s="283"/>
      <c r="Z439" s="235"/>
      <c r="AA439" s="43"/>
    </row>
    <row r="440" ht="15.75" hidden="1" customHeight="1">
      <c r="A440" s="265" t="s">
        <v>320</v>
      </c>
      <c r="B440" s="266" t="str">
        <f>IFERROR(VLOOKUP(A440&amp;"", STUDENTS!A:B, 2, 0), "")</f>
        <v>TRƯƠNG NHỰT MINH THƯ</v>
      </c>
      <c r="C440" s="104" t="s">
        <v>88</v>
      </c>
      <c r="D440" s="104" t="str">
        <f>IFERROR(VLOOKUP(C440, PIC!A:B, 2, 0), "")</f>
        <v>Huy Nguyen</v>
      </c>
      <c r="E440" s="105" t="s">
        <v>22</v>
      </c>
      <c r="F440" s="267"/>
      <c r="G440" s="268"/>
      <c r="H440" s="268"/>
      <c r="I440" s="267"/>
      <c r="J440" s="268">
        <v>45882.54166666666</v>
      </c>
      <c r="K440" s="267">
        <v>45889.58333333334</v>
      </c>
      <c r="L440" s="268">
        <v>45896.58333333334</v>
      </c>
      <c r="M440" s="268">
        <v>45910.58333333334</v>
      </c>
      <c r="N440" s="267">
        <v>45916.375</v>
      </c>
      <c r="O440" s="267">
        <v>45959.41666666666</v>
      </c>
      <c r="P440" s="267"/>
      <c r="Q440" s="267"/>
      <c r="R440" s="267"/>
      <c r="S440" s="267"/>
      <c r="T440" s="267"/>
      <c r="U440" s="268"/>
      <c r="V440" s="271"/>
      <c r="W440" s="272">
        <f t="shared" si="2"/>
        <v>45959.41667</v>
      </c>
      <c r="X440" s="273"/>
      <c r="Y440" s="273"/>
      <c r="Z440" s="235"/>
      <c r="AA440" s="43"/>
    </row>
    <row r="441" ht="15.75" hidden="1" customHeight="1">
      <c r="A441" s="275" t="s">
        <v>326</v>
      </c>
      <c r="B441" s="276" t="str">
        <f>IFERROR(VLOOKUP(A441&amp;"", STUDENTS!A:B, 2, 0), "")</f>
        <v>TỪ NGUYỄN MINH NHẬT</v>
      </c>
      <c r="C441" s="122" t="s">
        <v>88</v>
      </c>
      <c r="D441" s="122" t="str">
        <f>IFERROR(VLOOKUP(C441, PIC!A:B, 2, 0), "")</f>
        <v>Huy Nguyen</v>
      </c>
      <c r="E441" s="123" t="s">
        <v>22</v>
      </c>
      <c r="F441" s="277"/>
      <c r="G441" s="278"/>
      <c r="H441" s="281"/>
      <c r="I441" s="277"/>
      <c r="J441" s="278">
        <v>45882.54166666666</v>
      </c>
      <c r="K441" s="277">
        <v>45889.58333333334</v>
      </c>
      <c r="L441" s="278">
        <v>45896.58333333334</v>
      </c>
      <c r="M441" s="278">
        <v>45910.625</v>
      </c>
      <c r="N441" s="297">
        <v>45916.375</v>
      </c>
      <c r="O441" s="277">
        <v>45959.41666666666</v>
      </c>
      <c r="P441" s="277"/>
      <c r="Q441" s="277"/>
      <c r="R441" s="277"/>
      <c r="S441" s="277"/>
      <c r="T441" s="277"/>
      <c r="U441" s="278"/>
      <c r="V441" s="281"/>
      <c r="W441" s="282">
        <f t="shared" si="2"/>
        <v>45959.41667</v>
      </c>
      <c r="X441" s="283"/>
      <c r="Y441" s="283"/>
      <c r="Z441" s="235"/>
      <c r="AA441" s="43"/>
    </row>
    <row r="442" ht="15.75" hidden="1" customHeight="1">
      <c r="A442" s="265" t="s">
        <v>329</v>
      </c>
      <c r="B442" s="266" t="str">
        <f>IFERROR(VLOOKUP(A442&amp;"", STUDENTS!A:B, 2, 0), "")</f>
        <v>VÕ THỊ TUYẾT HỒNG</v>
      </c>
      <c r="C442" s="104" t="s">
        <v>88</v>
      </c>
      <c r="D442" s="104" t="str">
        <f>IFERROR(VLOOKUP(C442, PIC!A:B, 2, 0), "")</f>
        <v>Huy Nguyen</v>
      </c>
      <c r="E442" s="105" t="s">
        <v>22</v>
      </c>
      <c r="F442" s="267"/>
      <c r="G442" s="268"/>
      <c r="H442" s="268"/>
      <c r="I442" s="267"/>
      <c r="J442" s="268">
        <v>45882.54166666666</v>
      </c>
      <c r="K442" s="267">
        <v>45889.58333333334</v>
      </c>
      <c r="L442" s="268">
        <v>45896.58333333334</v>
      </c>
      <c r="M442" s="268">
        <v>45910.625</v>
      </c>
      <c r="N442" s="267">
        <v>45916.375</v>
      </c>
      <c r="O442" s="267">
        <v>45959.41666666666</v>
      </c>
      <c r="P442" s="267"/>
      <c r="Q442" s="267"/>
      <c r="R442" s="267"/>
      <c r="S442" s="267"/>
      <c r="T442" s="267"/>
      <c r="U442" s="268"/>
      <c r="V442" s="271"/>
      <c r="W442" s="272">
        <f t="shared" si="2"/>
        <v>45959.41667</v>
      </c>
      <c r="X442" s="273"/>
      <c r="Y442" s="273"/>
      <c r="Z442" s="235"/>
      <c r="AA442" s="43"/>
    </row>
    <row r="443" ht="15.75" hidden="1" customHeight="1">
      <c r="A443" s="275" t="s">
        <v>631</v>
      </c>
      <c r="B443" s="276" t="str">
        <f>IFERROR(VLOOKUP(A443&amp;"", STUDENTS!A:B, 2, 0), "")</f>
        <v>PHẠM NGUYỄN TRƯỜNG BẢO</v>
      </c>
      <c r="C443" s="122" t="s">
        <v>89</v>
      </c>
      <c r="D443" s="122" t="str">
        <f>IFERROR(VLOOKUP(C443, PIC!A:B, 2, 0), "")</f>
        <v>Thanh Phung</v>
      </c>
      <c r="E443" s="123" t="s">
        <v>27</v>
      </c>
      <c r="F443" s="277">
        <v>46126.58333333334</v>
      </c>
      <c r="G443" s="278">
        <v>46129.58333333334</v>
      </c>
      <c r="H443" s="280">
        <v>46147.583333333336</v>
      </c>
      <c r="I443" s="280">
        <v>46150.583333333336</v>
      </c>
      <c r="J443" s="280">
        <v>46154.583333333336</v>
      </c>
      <c r="K443" s="280">
        <v>46157.583333333336</v>
      </c>
      <c r="L443" s="278"/>
      <c r="M443" s="278"/>
      <c r="N443" s="277"/>
      <c r="O443" s="277"/>
      <c r="P443" s="277"/>
      <c r="Q443" s="277"/>
      <c r="R443" s="277"/>
      <c r="S443" s="277"/>
      <c r="T443" s="277"/>
      <c r="U443" s="278"/>
      <c r="V443" s="281"/>
      <c r="W443" s="282">
        <f t="shared" si="2"/>
        <v>46157.58333</v>
      </c>
      <c r="X443" s="283"/>
      <c r="Y443" s="283"/>
      <c r="Z443" s="235"/>
      <c r="AA443" s="43"/>
    </row>
    <row r="444" ht="15.75" hidden="1" customHeight="1">
      <c r="A444" s="265" t="s">
        <v>633</v>
      </c>
      <c r="B444" s="266" t="str">
        <f>IFERROR(VLOOKUP(A444&amp;"", STUDENTS!A:B, 2, 0), "")</f>
        <v>PHAN GIA LỘC</v>
      </c>
      <c r="C444" s="104" t="s">
        <v>89</v>
      </c>
      <c r="D444" s="104" t="str">
        <f>IFERROR(VLOOKUP(C444, PIC!A:B, 2, 0), "")</f>
        <v>Thanh Phung</v>
      </c>
      <c r="E444" s="105" t="s">
        <v>27</v>
      </c>
      <c r="F444" s="267">
        <v>46126.58333333334</v>
      </c>
      <c r="G444" s="268">
        <v>46129.58333333334</v>
      </c>
      <c r="H444" s="270">
        <v>46147.583333333336</v>
      </c>
      <c r="I444" s="270">
        <v>46150.583333333336</v>
      </c>
      <c r="J444" s="270" t="s">
        <v>1162</v>
      </c>
      <c r="K444" s="270">
        <v>46157.583333333336</v>
      </c>
      <c r="L444" s="268"/>
      <c r="M444" s="268"/>
      <c r="N444" s="267"/>
      <c r="O444" s="267"/>
      <c r="P444" s="267"/>
      <c r="Q444" s="267"/>
      <c r="R444" s="267"/>
      <c r="S444" s="267"/>
      <c r="T444" s="267"/>
      <c r="U444" s="268"/>
      <c r="V444" s="271"/>
      <c r="W444" s="272">
        <f t="shared" si="2"/>
        <v>46157.58333</v>
      </c>
      <c r="X444" s="273"/>
      <c r="Y444" s="273"/>
      <c r="Z444" s="235"/>
      <c r="AA444" s="43"/>
    </row>
    <row r="445" ht="15.75" hidden="1" customHeight="1">
      <c r="A445" s="275" t="s">
        <v>635</v>
      </c>
      <c r="B445" s="276" t="str">
        <f>IFERROR(VLOOKUP(A445&amp;"", STUDENTS!A:B, 2, 0), "")</f>
        <v>PHÙNG QUANG THÀNH</v>
      </c>
      <c r="C445" s="122" t="s">
        <v>89</v>
      </c>
      <c r="D445" s="122" t="str">
        <f>IFERROR(VLOOKUP(C445, PIC!A:B, 2, 0), "")</f>
        <v>Thanh Phung</v>
      </c>
      <c r="E445" s="123" t="s">
        <v>27</v>
      </c>
      <c r="F445" s="277">
        <v>46126.58333333334</v>
      </c>
      <c r="G445" s="278">
        <v>46129.58333333334</v>
      </c>
      <c r="H445" s="280">
        <v>46147.583333333336</v>
      </c>
      <c r="I445" s="280">
        <v>46150.583333333336</v>
      </c>
      <c r="J445" s="280">
        <v>46154.583333333336</v>
      </c>
      <c r="K445" s="280">
        <v>46157.583333333336</v>
      </c>
      <c r="L445" s="278"/>
      <c r="M445" s="278"/>
      <c r="N445" s="277"/>
      <c r="O445" s="277"/>
      <c r="P445" s="277"/>
      <c r="Q445" s="277"/>
      <c r="R445" s="277"/>
      <c r="S445" s="277"/>
      <c r="T445" s="277"/>
      <c r="U445" s="278"/>
      <c r="V445" s="281"/>
      <c r="W445" s="282">
        <f t="shared" si="2"/>
        <v>46157.58333</v>
      </c>
      <c r="X445" s="283"/>
      <c r="Y445" s="283"/>
      <c r="Z445" s="235"/>
      <c r="AA445" s="43"/>
    </row>
    <row r="446" ht="15.75" hidden="1" customHeight="1">
      <c r="A446" s="265" t="s">
        <v>705</v>
      </c>
      <c r="B446" s="266" t="str">
        <f>IFERROR(VLOOKUP(A446&amp;"", STUDENTS!A:B, 2, 0), "")</f>
        <v>ĐÀO TRUNG HIẾU</v>
      </c>
      <c r="C446" s="104" t="s">
        <v>89</v>
      </c>
      <c r="D446" s="104" t="str">
        <f>IFERROR(VLOOKUP(C446, PIC!A:B, 2, 0), "")</f>
        <v>Thanh Phung</v>
      </c>
      <c r="E446" s="105" t="s">
        <v>26</v>
      </c>
      <c r="F446" s="267" t="s">
        <v>1162</v>
      </c>
      <c r="G446" s="268" t="s">
        <v>1162</v>
      </c>
      <c r="H446" s="268" t="s">
        <v>1162</v>
      </c>
      <c r="I446" s="267" t="s">
        <v>1162</v>
      </c>
      <c r="J446" s="268">
        <v>45953.54166666666</v>
      </c>
      <c r="K446" s="267">
        <v>45960.54166666666</v>
      </c>
      <c r="L446" s="268">
        <v>45967.54166666666</v>
      </c>
      <c r="M446" s="268">
        <v>45982.54166666666</v>
      </c>
      <c r="N446" s="267">
        <v>45989.54166666666</v>
      </c>
      <c r="O446" s="267">
        <v>45996.54166666666</v>
      </c>
      <c r="P446" s="267">
        <v>46010.54166666666</v>
      </c>
      <c r="Q446" s="267">
        <v>46038.54166666666</v>
      </c>
      <c r="R446" s="267">
        <v>46049.58333333334</v>
      </c>
      <c r="S446" s="267">
        <v>46049.58333333334</v>
      </c>
      <c r="T446" s="267">
        <v>46052.54166666666</v>
      </c>
      <c r="U446" s="268">
        <v>46108.54166666666</v>
      </c>
      <c r="V446" s="271"/>
      <c r="W446" s="272">
        <f t="shared" si="2"/>
        <v>46108.54167</v>
      </c>
      <c r="X446" s="273"/>
      <c r="Y446" s="273"/>
      <c r="Z446" s="235"/>
      <c r="AA446" s="43"/>
    </row>
    <row r="447" ht="15.75" hidden="1" customHeight="1">
      <c r="A447" s="275" t="s">
        <v>709</v>
      </c>
      <c r="B447" s="276" t="str">
        <f>IFERROR(VLOOKUP(A447&amp;"", STUDENTS!A:B, 2, 0), "")</f>
        <v>LÊ THỊ HOÀNG KIM</v>
      </c>
      <c r="C447" s="122" t="s">
        <v>89</v>
      </c>
      <c r="D447" s="122" t="str">
        <f>IFERROR(VLOOKUP(C447, PIC!A:B, 2, 0), "")</f>
        <v>Thanh Phung</v>
      </c>
      <c r="E447" s="123" t="s">
        <v>26</v>
      </c>
      <c r="F447" s="277">
        <v>45916.45833333334</v>
      </c>
      <c r="G447" s="278">
        <v>45925.54166666666</v>
      </c>
      <c r="H447" s="278">
        <v>45931.58333333334</v>
      </c>
      <c r="I447" s="277">
        <v>45938.54166666666</v>
      </c>
      <c r="J447" s="278">
        <v>45953.54166666666</v>
      </c>
      <c r="K447" s="277">
        <v>45960.54166666666</v>
      </c>
      <c r="L447" s="278">
        <v>45967.54166666666</v>
      </c>
      <c r="M447" s="278">
        <v>45982.54166666666</v>
      </c>
      <c r="N447" s="277">
        <v>45989.54166666666</v>
      </c>
      <c r="O447" s="277">
        <v>45996.54166666666</v>
      </c>
      <c r="P447" s="277">
        <v>46010.54166666666</v>
      </c>
      <c r="Q447" s="277">
        <v>46038.54166666666</v>
      </c>
      <c r="R447" s="277">
        <v>46049.58333333334</v>
      </c>
      <c r="S447" s="277">
        <v>46049.58333333334</v>
      </c>
      <c r="T447" s="277">
        <v>46052.54166666666</v>
      </c>
      <c r="U447" s="278">
        <v>46108.54166666666</v>
      </c>
      <c r="V447" s="281"/>
      <c r="W447" s="282">
        <f t="shared" si="2"/>
        <v>46108.54167</v>
      </c>
      <c r="X447" s="283"/>
      <c r="Y447" s="283"/>
      <c r="Z447" s="235"/>
      <c r="AA447" s="43"/>
    </row>
    <row r="448" ht="15.75" hidden="1" customHeight="1">
      <c r="A448" s="265" t="s">
        <v>637</v>
      </c>
      <c r="B448" s="266" t="str">
        <f>IFERROR(VLOOKUP(A448&amp;"", STUDENTS!A:B, 2, 0), "")</f>
        <v>NGUYỄN HỮU TRƯỜNG</v>
      </c>
      <c r="C448" s="104" t="s">
        <v>89</v>
      </c>
      <c r="D448" s="104" t="str">
        <f>IFERROR(VLOOKUP(C448, PIC!A:B, 2, 0), "")</f>
        <v>Thanh Phung</v>
      </c>
      <c r="E448" s="105" t="s">
        <v>26</v>
      </c>
      <c r="F448" s="267">
        <v>45916.45833333334</v>
      </c>
      <c r="G448" s="268">
        <v>45925.54166666666</v>
      </c>
      <c r="H448" s="268">
        <v>45931.58333333334</v>
      </c>
      <c r="I448" s="267">
        <v>45938.54166666666</v>
      </c>
      <c r="J448" s="268">
        <v>45953.54166666666</v>
      </c>
      <c r="K448" s="267">
        <v>45960.54166666666</v>
      </c>
      <c r="L448" s="268">
        <v>45967.54166666666</v>
      </c>
      <c r="M448" s="268">
        <v>45982.54166666666</v>
      </c>
      <c r="N448" s="267">
        <v>45989.54166666666</v>
      </c>
      <c r="O448" s="267">
        <v>45996.54166666666</v>
      </c>
      <c r="P448" s="267">
        <v>46010.54166666666</v>
      </c>
      <c r="Q448" s="267" t="s">
        <v>1162</v>
      </c>
      <c r="R448" s="267" t="s">
        <v>1162</v>
      </c>
      <c r="S448" s="267" t="s">
        <v>1162</v>
      </c>
      <c r="T448" s="267" t="s">
        <v>1162</v>
      </c>
      <c r="U448" s="268" t="s">
        <v>1162</v>
      </c>
      <c r="V448" s="271"/>
      <c r="W448" s="272">
        <f t="shared" si="2"/>
        <v>46010.54167</v>
      </c>
      <c r="X448" s="273"/>
      <c r="Y448" s="273"/>
      <c r="Z448" s="235"/>
      <c r="AA448" s="43"/>
    </row>
    <row r="449" ht="15.75" hidden="1" customHeight="1">
      <c r="A449" s="275" t="s">
        <v>711</v>
      </c>
      <c r="B449" s="276" t="str">
        <f>IFERROR(VLOOKUP(A449&amp;"", STUDENTS!A:B, 2, 0), "")</f>
        <v>NGUYỄN THỊ KIM OANH</v>
      </c>
      <c r="C449" s="122" t="s">
        <v>89</v>
      </c>
      <c r="D449" s="122" t="str">
        <f>IFERROR(VLOOKUP(C449, PIC!A:B, 2, 0), "")</f>
        <v>Thanh Phung</v>
      </c>
      <c r="E449" s="123" t="s">
        <v>26</v>
      </c>
      <c r="F449" s="277">
        <v>45916.45833333334</v>
      </c>
      <c r="G449" s="278">
        <v>45925.54166666666</v>
      </c>
      <c r="H449" s="278">
        <v>45931.58333333334</v>
      </c>
      <c r="I449" s="277" t="s">
        <v>1162</v>
      </c>
      <c r="J449" s="278">
        <v>45953.54166666666</v>
      </c>
      <c r="K449" s="277">
        <v>45960.54166666666</v>
      </c>
      <c r="L449" s="278">
        <v>45967.54166666666</v>
      </c>
      <c r="M449" s="278">
        <v>45982.54166666666</v>
      </c>
      <c r="N449" s="277">
        <v>45989.54166666666</v>
      </c>
      <c r="O449" s="277">
        <v>45996.54166666666</v>
      </c>
      <c r="P449" s="277">
        <v>46010.54166666666</v>
      </c>
      <c r="Q449" s="277">
        <v>46038.54166666666</v>
      </c>
      <c r="R449" s="277">
        <v>46049.58333333334</v>
      </c>
      <c r="S449" s="277">
        <v>46049.58333333334</v>
      </c>
      <c r="T449" s="277">
        <v>46052.54166666666</v>
      </c>
      <c r="U449" s="278">
        <v>46108.54166666666</v>
      </c>
      <c r="V449" s="281"/>
      <c r="W449" s="282">
        <f t="shared" si="2"/>
        <v>46108.54167</v>
      </c>
      <c r="X449" s="283"/>
      <c r="Y449" s="283"/>
      <c r="Z449" s="235"/>
      <c r="AA449" s="43"/>
    </row>
    <row r="450" ht="15.75" hidden="1" customHeight="1">
      <c r="A450" s="265" t="s">
        <v>715</v>
      </c>
      <c r="B450" s="266" t="str">
        <f>IFERROR(VLOOKUP(A450&amp;"", STUDENTS!A:B, 2, 0), "")</f>
        <v>NGUYỄN VŨ LUÂN</v>
      </c>
      <c r="C450" s="104" t="s">
        <v>89</v>
      </c>
      <c r="D450" s="104" t="str">
        <f>IFERROR(VLOOKUP(C450, PIC!A:B, 2, 0), "")</f>
        <v>Thanh Phung</v>
      </c>
      <c r="E450" s="105" t="s">
        <v>26</v>
      </c>
      <c r="F450" s="267">
        <v>45916.45833333334</v>
      </c>
      <c r="G450" s="268" t="s">
        <v>1162</v>
      </c>
      <c r="H450" s="268">
        <v>45931.58333333334</v>
      </c>
      <c r="I450" s="267">
        <v>45938.54166666666</v>
      </c>
      <c r="J450" s="268">
        <v>45953.54166666666</v>
      </c>
      <c r="K450" s="267" t="s">
        <v>1162</v>
      </c>
      <c r="L450" s="268">
        <v>45967.54166666666</v>
      </c>
      <c r="M450" s="268">
        <v>45982.54166666666</v>
      </c>
      <c r="N450" s="267">
        <v>45989.54166666666</v>
      </c>
      <c r="O450" s="267">
        <v>45996.54166666666</v>
      </c>
      <c r="P450" s="267">
        <v>46010.54166666666</v>
      </c>
      <c r="Q450" s="267">
        <v>46038.54166666666</v>
      </c>
      <c r="R450" s="267" t="s">
        <v>1162</v>
      </c>
      <c r="S450" s="267" t="s">
        <v>1162</v>
      </c>
      <c r="T450" s="267">
        <v>46052.54166666666</v>
      </c>
      <c r="U450" s="268">
        <v>46108.54166666666</v>
      </c>
      <c r="V450" s="271"/>
      <c r="W450" s="272">
        <f t="shared" si="2"/>
        <v>46108.54167</v>
      </c>
      <c r="X450" s="273"/>
      <c r="Y450" s="273"/>
      <c r="Z450" s="235"/>
      <c r="AA450" s="43"/>
    </row>
    <row r="451" ht="15.75" hidden="1" customHeight="1">
      <c r="A451" s="275" t="s">
        <v>631</v>
      </c>
      <c r="B451" s="276" t="str">
        <f>IFERROR(VLOOKUP(A451&amp;"", STUDENTS!A:B, 2, 0), "")</f>
        <v>PHẠM NGUYỄN TRƯỜNG BẢO</v>
      </c>
      <c r="C451" s="122" t="s">
        <v>89</v>
      </c>
      <c r="D451" s="122" t="str">
        <f>IFERROR(VLOOKUP(C451, PIC!A:B, 2, 0), "")</f>
        <v>Thanh Phung</v>
      </c>
      <c r="E451" s="123" t="s">
        <v>26</v>
      </c>
      <c r="F451" s="277">
        <v>45916.45833333334</v>
      </c>
      <c r="G451" s="278">
        <v>45925.54166666666</v>
      </c>
      <c r="H451" s="278" t="s">
        <v>1162</v>
      </c>
      <c r="I451" s="277">
        <v>45938.54166666666</v>
      </c>
      <c r="J451" s="278">
        <v>45953.54166666666</v>
      </c>
      <c r="K451" s="277">
        <v>45960.54166666666</v>
      </c>
      <c r="L451" s="278">
        <v>45967.54166666666</v>
      </c>
      <c r="M451" s="278">
        <v>45982.54166666666</v>
      </c>
      <c r="N451" s="277">
        <v>45989.54166666666</v>
      </c>
      <c r="O451" s="277">
        <v>45996.54166666666</v>
      </c>
      <c r="P451" s="277">
        <v>46010.54166666666</v>
      </c>
      <c r="Q451" s="277">
        <v>46038.54166666666</v>
      </c>
      <c r="R451" s="277">
        <v>46049.58333333334</v>
      </c>
      <c r="S451" s="277">
        <v>46049.58333333334</v>
      </c>
      <c r="T451" s="277">
        <v>46052.54166666666</v>
      </c>
      <c r="U451" s="278">
        <v>46108.54166666666</v>
      </c>
      <c r="V451" s="281"/>
      <c r="W451" s="282">
        <f t="shared" si="2"/>
        <v>46108.54167</v>
      </c>
      <c r="X451" s="283"/>
      <c r="Y451" s="283"/>
      <c r="Z451" s="235"/>
      <c r="AA451" s="43"/>
    </row>
    <row r="452" ht="15.75" hidden="1" customHeight="1">
      <c r="A452" s="265" t="s">
        <v>633</v>
      </c>
      <c r="B452" s="266" t="str">
        <f>IFERROR(VLOOKUP(A452&amp;"", STUDENTS!A:B, 2, 0), "")</f>
        <v>PHAN GIA LỘC</v>
      </c>
      <c r="C452" s="104" t="s">
        <v>89</v>
      </c>
      <c r="D452" s="104" t="str">
        <f>IFERROR(VLOOKUP(C452, PIC!A:B, 2, 0), "")</f>
        <v>Thanh Phung</v>
      </c>
      <c r="E452" s="105" t="s">
        <v>26</v>
      </c>
      <c r="F452" s="267">
        <v>45916.45833333334</v>
      </c>
      <c r="G452" s="268">
        <v>45925.54166666666</v>
      </c>
      <c r="H452" s="268">
        <v>45931.58333333334</v>
      </c>
      <c r="I452" s="267">
        <v>45938.54166666666</v>
      </c>
      <c r="J452" s="268">
        <v>45953.54166666666</v>
      </c>
      <c r="K452" s="267">
        <v>45960.54166666666</v>
      </c>
      <c r="L452" s="268">
        <v>45967.54166666666</v>
      </c>
      <c r="M452" s="268">
        <v>45982.54166666666</v>
      </c>
      <c r="N452" s="267">
        <v>45989.54166666666</v>
      </c>
      <c r="O452" s="267">
        <v>45996.54166666666</v>
      </c>
      <c r="P452" s="267">
        <v>46010.54166666666</v>
      </c>
      <c r="Q452" s="267">
        <v>46038.54166666666</v>
      </c>
      <c r="R452" s="267">
        <v>46049.58333333334</v>
      </c>
      <c r="S452" s="267">
        <v>46049.58333333334</v>
      </c>
      <c r="T452" s="267" t="s">
        <v>1162</v>
      </c>
      <c r="U452" s="268">
        <v>46108.54166666666</v>
      </c>
      <c r="V452" s="271"/>
      <c r="W452" s="272">
        <f t="shared" si="2"/>
        <v>46108.54167</v>
      </c>
      <c r="X452" s="273"/>
      <c r="Y452" s="273"/>
      <c r="Z452" s="235"/>
      <c r="AA452" s="43"/>
    </row>
    <row r="453" ht="15.75" hidden="1" customHeight="1">
      <c r="A453" s="275" t="s">
        <v>635</v>
      </c>
      <c r="B453" s="276" t="str">
        <f>IFERROR(VLOOKUP(A453&amp;"", STUDENTS!A:B, 2, 0), "")</f>
        <v>PHÙNG QUANG THÀNH</v>
      </c>
      <c r="C453" s="122" t="s">
        <v>89</v>
      </c>
      <c r="D453" s="122" t="str">
        <f>IFERROR(VLOOKUP(C453, PIC!A:B, 2, 0), "")</f>
        <v>Thanh Phung</v>
      </c>
      <c r="E453" s="123" t="s">
        <v>26</v>
      </c>
      <c r="F453" s="277">
        <v>45916.45833333334</v>
      </c>
      <c r="G453" s="278">
        <v>45925.54166666666</v>
      </c>
      <c r="H453" s="278" t="s">
        <v>1162</v>
      </c>
      <c r="I453" s="277">
        <v>45938.54166666666</v>
      </c>
      <c r="J453" s="278">
        <v>45953.54166666666</v>
      </c>
      <c r="K453" s="277">
        <v>45960.54166666666</v>
      </c>
      <c r="L453" s="278">
        <v>45967.54166666666</v>
      </c>
      <c r="M453" s="278">
        <v>45982.54166666666</v>
      </c>
      <c r="N453" s="277">
        <v>45989.54166666666</v>
      </c>
      <c r="O453" s="277">
        <v>45996.54166666666</v>
      </c>
      <c r="P453" s="277">
        <v>46010.54166666666</v>
      </c>
      <c r="Q453" s="277">
        <v>46038.54166666666</v>
      </c>
      <c r="R453" s="277">
        <v>46049.58333333334</v>
      </c>
      <c r="S453" s="277">
        <v>46049.58333333334</v>
      </c>
      <c r="T453" s="277">
        <v>46052.54166666666</v>
      </c>
      <c r="U453" s="278">
        <v>46108.54166666666</v>
      </c>
      <c r="V453" s="281"/>
      <c r="W453" s="282">
        <f t="shared" si="2"/>
        <v>46108.54167</v>
      </c>
      <c r="X453" s="283"/>
      <c r="Y453" s="283"/>
      <c r="Z453" s="235"/>
      <c r="AA453" s="43"/>
    </row>
    <row r="454" ht="15.75" hidden="1" customHeight="1">
      <c r="A454" s="265" t="s">
        <v>498</v>
      </c>
      <c r="B454" s="266" t="str">
        <f>IFERROR(VLOOKUP(A454&amp;"", STUDENTS!A:B, 2, 0), "")</f>
        <v>LÂM MINH HOÀNG</v>
      </c>
      <c r="C454" s="104" t="s">
        <v>90</v>
      </c>
      <c r="D454" s="104" t="str">
        <f>IFERROR(VLOOKUP(C454, PIC!A:B, 2, 0), "")</f>
        <v>Phu Nguyen</v>
      </c>
      <c r="E454" s="105" t="s">
        <v>22</v>
      </c>
      <c r="F454" s="267">
        <v>45917.58333333334</v>
      </c>
      <c r="G454" s="268">
        <v>45923.54166666666</v>
      </c>
      <c r="H454" s="268">
        <v>45930.54166666666</v>
      </c>
      <c r="I454" s="267">
        <v>45937.54166666666</v>
      </c>
      <c r="J454" s="268" t="s">
        <v>1162</v>
      </c>
      <c r="K454" s="267" t="s">
        <v>1162</v>
      </c>
      <c r="L454" s="268" t="s">
        <v>1162</v>
      </c>
      <c r="M454" s="268" t="s">
        <v>1162</v>
      </c>
      <c r="N454" s="269" t="s">
        <v>1162</v>
      </c>
      <c r="O454" s="269" t="s">
        <v>1162</v>
      </c>
      <c r="P454" s="267"/>
      <c r="Q454" s="267"/>
      <c r="R454" s="267"/>
      <c r="S454" s="267"/>
      <c r="T454" s="267"/>
      <c r="U454" s="268"/>
      <c r="V454" s="271"/>
      <c r="W454" s="272">
        <f t="shared" si="2"/>
        <v>45937.54167</v>
      </c>
      <c r="X454" s="273"/>
      <c r="Y454" s="273"/>
      <c r="Z454" s="235"/>
      <c r="AA454" s="43"/>
    </row>
    <row r="455" ht="15.75" hidden="1" customHeight="1">
      <c r="A455" s="275" t="s">
        <v>500</v>
      </c>
      <c r="B455" s="276" t="str">
        <f>IFERROR(VLOOKUP(A455&amp;"", STUDENTS!A:B, 2, 0), "")</f>
        <v>NGUYỄN BẢO DUY</v>
      </c>
      <c r="C455" s="122" t="s">
        <v>90</v>
      </c>
      <c r="D455" s="122" t="str">
        <f>IFERROR(VLOOKUP(C455, PIC!A:B, 2, 0), "")</f>
        <v>Phu Nguyen</v>
      </c>
      <c r="E455" s="123" t="s">
        <v>22</v>
      </c>
      <c r="F455" s="277">
        <v>45917.58333333334</v>
      </c>
      <c r="G455" s="278">
        <v>45923.54166666666</v>
      </c>
      <c r="H455" s="278">
        <v>45930.54166666666</v>
      </c>
      <c r="I455" s="277">
        <v>45937.54166666666</v>
      </c>
      <c r="J455" s="281" t="s">
        <v>1162</v>
      </c>
      <c r="K455" s="277">
        <v>45958.54166666666</v>
      </c>
      <c r="L455" s="278">
        <v>45965.58333333334</v>
      </c>
      <c r="M455" s="278">
        <v>45979.58333333334</v>
      </c>
      <c r="N455" s="280">
        <v>45986.583333333336</v>
      </c>
      <c r="O455" s="280">
        <v>45993.583333333336</v>
      </c>
      <c r="P455" s="277"/>
      <c r="Q455" s="277"/>
      <c r="R455" s="277"/>
      <c r="S455" s="277"/>
      <c r="T455" s="277"/>
      <c r="U455" s="278"/>
      <c r="V455" s="281"/>
      <c r="W455" s="282">
        <f t="shared" si="2"/>
        <v>45993.58333</v>
      </c>
      <c r="X455" s="283"/>
      <c r="Y455" s="283"/>
      <c r="Z455" s="235"/>
      <c r="AA455" s="43"/>
    </row>
    <row r="456" ht="15.75" hidden="1" customHeight="1">
      <c r="A456" s="265" t="s">
        <v>502</v>
      </c>
      <c r="B456" s="266" t="str">
        <f>IFERROR(VLOOKUP(A456&amp;"", STUDENTS!A:B, 2, 0), "")</f>
        <v>NGUYEN DUY PHU</v>
      </c>
      <c r="C456" s="104" t="s">
        <v>90</v>
      </c>
      <c r="D456" s="104" t="str">
        <f>IFERROR(VLOOKUP(C456, PIC!A:B, 2, 0), "")</f>
        <v>Phu Nguyen</v>
      </c>
      <c r="E456" s="105" t="s">
        <v>22</v>
      </c>
      <c r="F456" s="267" t="s">
        <v>1162</v>
      </c>
      <c r="G456" s="268" t="s">
        <v>1162</v>
      </c>
      <c r="H456" s="268">
        <v>45930.54166666666</v>
      </c>
      <c r="I456" s="267" t="s">
        <v>1162</v>
      </c>
      <c r="J456" s="268" t="s">
        <v>1162</v>
      </c>
      <c r="K456" s="267" t="s">
        <v>1162</v>
      </c>
      <c r="L456" s="268" t="s">
        <v>1162</v>
      </c>
      <c r="M456" s="268" t="s">
        <v>1162</v>
      </c>
      <c r="N456" s="269" t="s">
        <v>1162</v>
      </c>
      <c r="O456" s="269" t="s">
        <v>1162</v>
      </c>
      <c r="P456" s="267"/>
      <c r="Q456" s="267"/>
      <c r="R456" s="267"/>
      <c r="S456" s="267"/>
      <c r="T456" s="267"/>
      <c r="U456" s="268"/>
      <c r="V456" s="271"/>
      <c r="W456" s="272">
        <f t="shared" si="2"/>
        <v>45930.54167</v>
      </c>
      <c r="X456" s="273"/>
      <c r="Y456" s="273"/>
      <c r="Z456" s="235"/>
      <c r="AA456" s="43"/>
    </row>
    <row r="457" ht="15.75" hidden="1" customHeight="1">
      <c r="A457" s="275" t="s">
        <v>504</v>
      </c>
      <c r="B457" s="276" t="str">
        <f>IFERROR(VLOOKUP(A457&amp;"", STUDENTS!A:B, 2, 0), "")</f>
        <v>NGUYỄN HOÀNG PHÚC</v>
      </c>
      <c r="C457" s="122" t="s">
        <v>90</v>
      </c>
      <c r="D457" s="122" t="str">
        <f>IFERROR(VLOOKUP(C457, PIC!A:B, 2, 0), "")</f>
        <v>Phu Nguyen</v>
      </c>
      <c r="E457" s="123" t="s">
        <v>22</v>
      </c>
      <c r="F457" s="277">
        <v>45917.58333333334</v>
      </c>
      <c r="G457" s="278">
        <v>45923.54166666666</v>
      </c>
      <c r="H457" s="278">
        <v>45930.54166666666</v>
      </c>
      <c r="I457" s="277">
        <v>45937.54166666666</v>
      </c>
      <c r="J457" s="278">
        <v>45944.54166666666</v>
      </c>
      <c r="K457" s="277">
        <v>45958.54166666666</v>
      </c>
      <c r="L457" s="278">
        <v>45965.58333333334</v>
      </c>
      <c r="M457" s="278">
        <v>45979.58333333334</v>
      </c>
      <c r="N457" s="280">
        <v>45986.583333333336</v>
      </c>
      <c r="O457" s="280">
        <v>45993.583333333336</v>
      </c>
      <c r="P457" s="277"/>
      <c r="Q457" s="277"/>
      <c r="R457" s="277"/>
      <c r="S457" s="277"/>
      <c r="T457" s="277"/>
      <c r="U457" s="278"/>
      <c r="V457" s="281"/>
      <c r="W457" s="282">
        <f t="shared" si="2"/>
        <v>45993.58333</v>
      </c>
      <c r="X457" s="283"/>
      <c r="Y457" s="283"/>
      <c r="Z457" s="235"/>
      <c r="AA457" s="43"/>
    </row>
    <row r="458" ht="15.75" hidden="1" customHeight="1">
      <c r="A458" s="265" t="s">
        <v>506</v>
      </c>
      <c r="B458" s="266" t="str">
        <f>IFERROR(VLOOKUP(A458&amp;"", STUDENTS!A:B, 2, 0), "")</f>
        <v>NGUYỄN THÀNH NHÂN</v>
      </c>
      <c r="C458" s="104" t="s">
        <v>90</v>
      </c>
      <c r="D458" s="104" t="str">
        <f>IFERROR(VLOOKUP(C458, PIC!A:B, 2, 0), "")</f>
        <v>Phu Nguyen</v>
      </c>
      <c r="E458" s="105" t="s">
        <v>22</v>
      </c>
      <c r="F458" s="267" t="s">
        <v>1162</v>
      </c>
      <c r="G458" s="268">
        <v>45923.54166666666</v>
      </c>
      <c r="H458" s="268">
        <v>45930.54166666666</v>
      </c>
      <c r="I458" s="267" t="s">
        <v>1162</v>
      </c>
      <c r="J458" s="268">
        <v>45944.54166666666</v>
      </c>
      <c r="K458" s="267">
        <v>45958.54166666666</v>
      </c>
      <c r="L458" s="268" t="s">
        <v>1162</v>
      </c>
      <c r="M458" s="268" t="s">
        <v>1162</v>
      </c>
      <c r="N458" s="269" t="s">
        <v>1162</v>
      </c>
      <c r="O458" s="269" t="s">
        <v>1162</v>
      </c>
      <c r="P458" s="267"/>
      <c r="Q458" s="267"/>
      <c r="R458" s="267"/>
      <c r="S458" s="267"/>
      <c r="T458" s="267"/>
      <c r="U458" s="268"/>
      <c r="V458" s="271"/>
      <c r="W458" s="272">
        <f t="shared" si="2"/>
        <v>45958.54167</v>
      </c>
      <c r="X458" s="273"/>
      <c r="Y458" s="273"/>
      <c r="Z458" s="235"/>
      <c r="AA458" s="43"/>
    </row>
    <row r="459" ht="15.75" hidden="1" customHeight="1">
      <c r="A459" s="275" t="s">
        <v>508</v>
      </c>
      <c r="B459" s="276" t="str">
        <f>IFERROR(VLOOKUP(A459&amp;"", STUDENTS!A:B, 2, 0), "")</f>
        <v>NGUYỄN THANH TÙNG</v>
      </c>
      <c r="C459" s="122" t="s">
        <v>90</v>
      </c>
      <c r="D459" s="122" t="str">
        <f>IFERROR(VLOOKUP(C459, PIC!A:B, 2, 0), "")</f>
        <v>Phu Nguyen</v>
      </c>
      <c r="E459" s="123" t="s">
        <v>22</v>
      </c>
      <c r="F459" s="277" t="s">
        <v>1162</v>
      </c>
      <c r="G459" s="278">
        <v>45923.54166666666</v>
      </c>
      <c r="H459" s="278" t="s">
        <v>1162</v>
      </c>
      <c r="I459" s="277">
        <v>45937.54166666666</v>
      </c>
      <c r="J459" s="281">
        <v>45944.54166666666</v>
      </c>
      <c r="K459" s="277" t="s">
        <v>1162</v>
      </c>
      <c r="L459" s="278" t="s">
        <v>1162</v>
      </c>
      <c r="M459" s="278" t="s">
        <v>1162</v>
      </c>
      <c r="N459" s="279" t="s">
        <v>1162</v>
      </c>
      <c r="O459" s="279" t="s">
        <v>1162</v>
      </c>
      <c r="P459" s="277"/>
      <c r="Q459" s="277"/>
      <c r="R459" s="277"/>
      <c r="S459" s="277"/>
      <c r="T459" s="277"/>
      <c r="U459" s="278"/>
      <c r="V459" s="281"/>
      <c r="W459" s="282">
        <f t="shared" si="2"/>
        <v>45944.54167</v>
      </c>
      <c r="X459" s="283"/>
      <c r="Y459" s="283"/>
      <c r="Z459" s="235"/>
      <c r="AA459" s="43"/>
    </row>
    <row r="460" ht="15.75" hidden="1" customHeight="1">
      <c r="A460" s="265" t="s">
        <v>629</v>
      </c>
      <c r="B460" s="266" t="str">
        <f>IFERROR(VLOOKUP(A460&amp;"", STUDENTS!A:B, 2, 0), "")</f>
        <v>NGUYỄN TRẦN MINH NGHĨA</v>
      </c>
      <c r="C460" s="104" t="s">
        <v>90</v>
      </c>
      <c r="D460" s="104" t="str">
        <f>IFERROR(VLOOKUP(C460, PIC!A:B, 2, 0), "")</f>
        <v>Phu Nguyen</v>
      </c>
      <c r="E460" s="105" t="s">
        <v>22</v>
      </c>
      <c r="F460" s="267">
        <v>45917.58333333334</v>
      </c>
      <c r="G460" s="268">
        <v>45923.54166666666</v>
      </c>
      <c r="H460" s="268">
        <v>45930.54166666666</v>
      </c>
      <c r="I460" s="267">
        <v>45937.54166666666</v>
      </c>
      <c r="J460" s="268">
        <v>45944.54166666666</v>
      </c>
      <c r="K460" s="267">
        <v>45958.54166666666</v>
      </c>
      <c r="L460" s="268">
        <v>45965.58333333334</v>
      </c>
      <c r="M460" s="268">
        <v>45979.58333333334</v>
      </c>
      <c r="N460" s="270">
        <v>45986.583333333336</v>
      </c>
      <c r="O460" s="270">
        <v>45993.583333333336</v>
      </c>
      <c r="P460" s="267"/>
      <c r="Q460" s="267"/>
      <c r="R460" s="267"/>
      <c r="S460" s="267"/>
      <c r="T460" s="267"/>
      <c r="U460" s="332"/>
      <c r="V460" s="333"/>
      <c r="W460" s="272">
        <f t="shared" si="2"/>
        <v>45993.58333</v>
      </c>
      <c r="X460" s="273"/>
      <c r="Y460" s="273"/>
      <c r="Z460" s="235"/>
      <c r="AA460" s="43"/>
    </row>
    <row r="461" ht="15.75" hidden="1" customHeight="1">
      <c r="A461" s="275" t="s">
        <v>510</v>
      </c>
      <c r="B461" s="276" t="str">
        <f>IFERROR(VLOOKUP(A461&amp;"", STUDENTS!A:B, 2, 0), "")</f>
        <v>PHẠM TƯỜNG NHÂN</v>
      </c>
      <c r="C461" s="122" t="s">
        <v>90</v>
      </c>
      <c r="D461" s="122" t="str">
        <f>IFERROR(VLOOKUP(C461, PIC!A:B, 2, 0), "")</f>
        <v>Phu Nguyen</v>
      </c>
      <c r="E461" s="123" t="s">
        <v>22</v>
      </c>
      <c r="F461" s="277">
        <v>45917.58333333334</v>
      </c>
      <c r="G461" s="278">
        <v>45923.54166666666</v>
      </c>
      <c r="H461" s="278">
        <v>45930.54166666666</v>
      </c>
      <c r="I461" s="277">
        <v>45937.54166666666</v>
      </c>
      <c r="J461" s="278" t="s">
        <v>1162</v>
      </c>
      <c r="K461" s="277">
        <v>45958.54166666666</v>
      </c>
      <c r="L461" s="278">
        <v>45965.58333333334</v>
      </c>
      <c r="M461" s="278">
        <v>45979.58333333334</v>
      </c>
      <c r="N461" s="280">
        <v>45986.583333333336</v>
      </c>
      <c r="O461" s="280">
        <v>45993.583333333336</v>
      </c>
      <c r="P461" s="277"/>
      <c r="Q461" s="277"/>
      <c r="R461" s="277"/>
      <c r="S461" s="277"/>
      <c r="T461" s="277"/>
      <c r="U461" s="278"/>
      <c r="V461" s="281"/>
      <c r="W461" s="282">
        <f t="shared" si="2"/>
        <v>45993.58333</v>
      </c>
      <c r="X461" s="283"/>
      <c r="Y461" s="283"/>
      <c r="Z461" s="235"/>
      <c r="AA461" s="43"/>
    </row>
    <row r="462" ht="15.75" hidden="1" customHeight="1">
      <c r="A462" s="265" t="s">
        <v>756</v>
      </c>
      <c r="B462" s="266" t="str">
        <f>IFERROR(VLOOKUP(A462&amp;"", STUDENTS!A:B, 2, 0), "")</f>
        <v>GIANG KHIẾT ĐÌNH</v>
      </c>
      <c r="C462" s="104" t="s">
        <v>91</v>
      </c>
      <c r="D462" s="104" t="str">
        <f>IFERROR(VLOOKUP(C462, PIC!A:B, 2, 0), "")</f>
        <v>Vinh Tran</v>
      </c>
      <c r="E462" s="105" t="s">
        <v>22</v>
      </c>
      <c r="F462" s="267">
        <v>45909.54166666666</v>
      </c>
      <c r="G462" s="268"/>
      <c r="H462" s="268">
        <v>45912.625</v>
      </c>
      <c r="I462" s="267">
        <v>45916.58333333334</v>
      </c>
      <c r="J462" s="268">
        <v>45925.375</v>
      </c>
      <c r="K462" s="267">
        <v>45932.54166666666</v>
      </c>
      <c r="L462" s="268">
        <v>45939.54166666666</v>
      </c>
      <c r="M462" s="268">
        <v>45946.54166666666</v>
      </c>
      <c r="N462" s="267">
        <v>45952.54166666666</v>
      </c>
      <c r="O462" s="267">
        <v>45959.54166666666</v>
      </c>
      <c r="P462" s="267">
        <v>45964.54166666666</v>
      </c>
      <c r="Q462" s="267">
        <v>45979.54166666666</v>
      </c>
      <c r="R462" s="267">
        <v>45988.54166666666</v>
      </c>
      <c r="S462" s="267" t="s">
        <v>1162</v>
      </c>
      <c r="T462" s="267">
        <v>46000.54166666666</v>
      </c>
      <c r="U462" s="268">
        <v>46036.54166666666</v>
      </c>
      <c r="V462" s="271"/>
      <c r="W462" s="272">
        <f t="shared" si="2"/>
        <v>46036.54167</v>
      </c>
      <c r="X462" s="273"/>
      <c r="Y462" s="273"/>
      <c r="Z462" s="235"/>
      <c r="AA462" s="43"/>
    </row>
    <row r="463" ht="15.75" hidden="1" customHeight="1">
      <c r="A463" s="275" t="s">
        <v>758</v>
      </c>
      <c r="B463" s="276" t="str">
        <f>IFERROR(VLOOKUP(A463&amp;"", STUDENTS!A:B, 2, 0), "")</f>
        <v>NGUYỄN HOÀNG BẢO TRÂN</v>
      </c>
      <c r="C463" s="122" t="s">
        <v>91</v>
      </c>
      <c r="D463" s="122" t="str">
        <f>IFERROR(VLOOKUP(C463, PIC!A:B, 2, 0), "")</f>
        <v>Vinh Tran</v>
      </c>
      <c r="E463" s="123" t="s">
        <v>22</v>
      </c>
      <c r="F463" s="277">
        <v>45909.54166666666</v>
      </c>
      <c r="G463" s="278"/>
      <c r="H463" s="278">
        <v>45912.625</v>
      </c>
      <c r="I463" s="277">
        <v>45916.58333333334</v>
      </c>
      <c r="J463" s="278">
        <v>45925.375</v>
      </c>
      <c r="K463" s="277">
        <v>45932.54166666666</v>
      </c>
      <c r="L463" s="278">
        <v>45939.54166666666</v>
      </c>
      <c r="M463" s="278">
        <v>45946.54166666666</v>
      </c>
      <c r="N463" s="277">
        <v>45952.54166666666</v>
      </c>
      <c r="O463" s="277">
        <v>45959.54166666666</v>
      </c>
      <c r="P463" s="277">
        <v>45964.54166666666</v>
      </c>
      <c r="Q463" s="277">
        <v>45979.54166666666</v>
      </c>
      <c r="R463" s="277" t="s">
        <v>1162</v>
      </c>
      <c r="S463" s="277">
        <v>45995.54166666666</v>
      </c>
      <c r="T463" s="277">
        <v>46000.54166666666</v>
      </c>
      <c r="U463" s="278">
        <v>46036.54166666666</v>
      </c>
      <c r="V463" s="281"/>
      <c r="W463" s="282">
        <f t="shared" si="2"/>
        <v>46036.54167</v>
      </c>
      <c r="X463" s="283"/>
      <c r="Y463" s="283"/>
      <c r="Z463" s="235"/>
      <c r="AA463" s="43"/>
    </row>
    <row r="464" ht="15.75" hidden="1" customHeight="1">
      <c r="A464" s="265" t="s">
        <v>766</v>
      </c>
      <c r="B464" s="266" t="str">
        <f>IFERROR(VLOOKUP(A464&amp;"", STUDENTS!A:B, 2, 0), "")</f>
        <v>NGUYỄN NHẬT HÀO</v>
      </c>
      <c r="C464" s="104" t="s">
        <v>91</v>
      </c>
      <c r="D464" s="104" t="str">
        <f>IFERROR(VLOOKUP(C464, PIC!A:B, 2, 0), "")</f>
        <v>Vinh Tran</v>
      </c>
      <c r="E464" s="105" t="s">
        <v>22</v>
      </c>
      <c r="F464" s="267">
        <v>45909.54166666666</v>
      </c>
      <c r="G464" s="268"/>
      <c r="H464" s="268" t="s">
        <v>1162</v>
      </c>
      <c r="I464" s="267" t="s">
        <v>1162</v>
      </c>
      <c r="J464" s="268">
        <v>45925.375</v>
      </c>
      <c r="K464" s="267" t="s">
        <v>1162</v>
      </c>
      <c r="L464" s="268" t="s">
        <v>1162</v>
      </c>
      <c r="M464" s="268">
        <v>45946.54166666666</v>
      </c>
      <c r="N464" s="267">
        <v>45952.54166666666</v>
      </c>
      <c r="O464" s="267">
        <v>45959.54166666666</v>
      </c>
      <c r="P464" s="267">
        <v>45964.54166666666</v>
      </c>
      <c r="Q464" s="267">
        <v>45979.54166666666</v>
      </c>
      <c r="R464" s="267" t="s">
        <v>1162</v>
      </c>
      <c r="S464" s="267">
        <v>45995.54166666666</v>
      </c>
      <c r="T464" s="267">
        <v>46000.54166666666</v>
      </c>
      <c r="U464" s="271">
        <v>46036.54166666666</v>
      </c>
      <c r="V464" s="271"/>
      <c r="W464" s="272">
        <f t="shared" si="2"/>
        <v>46036.54167</v>
      </c>
      <c r="X464" s="273"/>
      <c r="Y464" s="273"/>
      <c r="Z464" s="235"/>
      <c r="AA464" s="43"/>
    </row>
    <row r="465" ht="15.75" hidden="1" customHeight="1">
      <c r="A465" s="275" t="s">
        <v>760</v>
      </c>
      <c r="B465" s="276" t="str">
        <f>IFERROR(VLOOKUP(A465&amp;"", STUDENTS!A:B, 2, 0), "")</f>
        <v>NGUYỄN THẾ ANH</v>
      </c>
      <c r="C465" s="122" t="s">
        <v>91</v>
      </c>
      <c r="D465" s="122" t="str">
        <f>IFERROR(VLOOKUP(C465, PIC!A:B, 2, 0), "")</f>
        <v>Vinh Tran</v>
      </c>
      <c r="E465" s="123" t="s">
        <v>22</v>
      </c>
      <c r="F465" s="277">
        <v>45909.54166666666</v>
      </c>
      <c r="G465" s="278"/>
      <c r="H465" s="278">
        <v>45912.625</v>
      </c>
      <c r="I465" s="277">
        <v>45916.58333333334</v>
      </c>
      <c r="J465" s="278">
        <v>45925.375</v>
      </c>
      <c r="K465" s="277">
        <v>45932.54166666666</v>
      </c>
      <c r="L465" s="278">
        <v>45939.54166666666</v>
      </c>
      <c r="M465" s="278">
        <v>45946.54166666666</v>
      </c>
      <c r="N465" s="277">
        <v>45952.54166666666</v>
      </c>
      <c r="O465" s="277">
        <v>45959.54166666666</v>
      </c>
      <c r="P465" s="277">
        <v>45964.54166666666</v>
      </c>
      <c r="Q465" s="277">
        <v>45979.54166666666</v>
      </c>
      <c r="R465" s="277">
        <v>45988.54166666666</v>
      </c>
      <c r="S465" s="277" t="s">
        <v>1162</v>
      </c>
      <c r="T465" s="277">
        <v>46000.54166666666</v>
      </c>
      <c r="U465" s="278">
        <v>46036.54166666666</v>
      </c>
      <c r="V465" s="281"/>
      <c r="W465" s="282">
        <f t="shared" si="2"/>
        <v>46036.54167</v>
      </c>
      <c r="X465" s="283"/>
      <c r="Y465" s="283"/>
      <c r="Z465" s="235"/>
      <c r="AA465" s="43"/>
    </row>
    <row r="466" ht="15.75" hidden="1" customHeight="1">
      <c r="A466" s="265" t="s">
        <v>762</v>
      </c>
      <c r="B466" s="266" t="str">
        <f>IFERROR(VLOOKUP(A466&amp;"", STUDENTS!A:B, 2, 0), "")</f>
        <v>PHẠM LÊ QUỲNH HƯƠNG</v>
      </c>
      <c r="C466" s="104" t="s">
        <v>91</v>
      </c>
      <c r="D466" s="104" t="str">
        <f>IFERROR(VLOOKUP(C466, PIC!A:B, 2, 0), "")</f>
        <v>Vinh Tran</v>
      </c>
      <c r="E466" s="105" t="s">
        <v>22</v>
      </c>
      <c r="F466" s="267">
        <v>45909.54166666666</v>
      </c>
      <c r="G466" s="268"/>
      <c r="H466" s="268">
        <v>45912.625</v>
      </c>
      <c r="I466" s="267">
        <v>45916.58333333334</v>
      </c>
      <c r="J466" s="268">
        <v>45925.375</v>
      </c>
      <c r="K466" s="267">
        <v>45932.54166666666</v>
      </c>
      <c r="L466" s="268">
        <v>45939.54166666666</v>
      </c>
      <c r="M466" s="268">
        <v>45946.54166666666</v>
      </c>
      <c r="N466" s="267">
        <v>45952.54166666666</v>
      </c>
      <c r="O466" s="267">
        <v>45959.54166666666</v>
      </c>
      <c r="P466" s="267">
        <v>45964.54166666666</v>
      </c>
      <c r="Q466" s="267">
        <v>45979.54166666666</v>
      </c>
      <c r="R466" s="267">
        <v>45988.54166666666</v>
      </c>
      <c r="S466" s="267">
        <v>45995.54166666666</v>
      </c>
      <c r="T466" s="267">
        <v>46000.54166666666</v>
      </c>
      <c r="U466" s="268">
        <v>46036.54166666666</v>
      </c>
      <c r="V466" s="271"/>
      <c r="W466" s="272">
        <f t="shared" si="2"/>
        <v>46036.54167</v>
      </c>
      <c r="X466" s="273"/>
      <c r="Y466" s="273"/>
      <c r="Z466" s="235"/>
      <c r="AA466" s="43"/>
    </row>
    <row r="467" ht="15.75" hidden="1" customHeight="1">
      <c r="A467" s="275" t="s">
        <v>764</v>
      </c>
      <c r="B467" s="276" t="str">
        <f>IFERROR(VLOOKUP(A467&amp;"", STUDENTS!A:B, 2, 0), "")</f>
        <v>TRẦN ĐỨC VINH</v>
      </c>
      <c r="C467" s="122" t="s">
        <v>91</v>
      </c>
      <c r="D467" s="122" t="str">
        <f>IFERROR(VLOOKUP(C467, PIC!A:B, 2, 0), "")</f>
        <v>Vinh Tran</v>
      </c>
      <c r="E467" s="123" t="s">
        <v>22</v>
      </c>
      <c r="F467" s="277">
        <v>45909.54166666666</v>
      </c>
      <c r="G467" s="278"/>
      <c r="H467" s="278">
        <v>45912.625</v>
      </c>
      <c r="I467" s="277">
        <v>45916.58333333334</v>
      </c>
      <c r="J467" s="278">
        <v>45925.375</v>
      </c>
      <c r="K467" s="277">
        <v>45932.54166666666</v>
      </c>
      <c r="L467" s="278">
        <v>45939.54166666666</v>
      </c>
      <c r="M467" s="278">
        <v>45946.54166666666</v>
      </c>
      <c r="N467" s="277">
        <v>45952.54166666666</v>
      </c>
      <c r="O467" s="277">
        <v>45959.54166666666</v>
      </c>
      <c r="P467" s="277">
        <v>45964.54166666666</v>
      </c>
      <c r="Q467" s="277">
        <v>45979.54166666666</v>
      </c>
      <c r="R467" s="277">
        <v>45988.54166666666</v>
      </c>
      <c r="S467" s="277">
        <v>45995.54166666666</v>
      </c>
      <c r="T467" s="277">
        <v>46000.54166666666</v>
      </c>
      <c r="U467" s="278">
        <v>46036.54166666666</v>
      </c>
      <c r="V467" s="281"/>
      <c r="W467" s="282">
        <f t="shared" si="2"/>
        <v>46036.54167</v>
      </c>
      <c r="X467" s="283"/>
      <c r="Y467" s="283"/>
      <c r="Z467" s="235"/>
      <c r="AA467" s="43"/>
    </row>
    <row r="468" ht="15.75" hidden="1" customHeight="1">
      <c r="A468" s="265" t="s">
        <v>756</v>
      </c>
      <c r="B468" s="266" t="str">
        <f>IFERROR(VLOOKUP(A468&amp;"", STUDENTS!A:B, 2, 0), "")</f>
        <v>GIANG KHIẾT ĐÌNH</v>
      </c>
      <c r="C468" s="104" t="s">
        <v>91</v>
      </c>
      <c r="D468" s="104" t="str">
        <f>IFERROR(VLOOKUP(C468, PIC!A:B, 2, 0), "")</f>
        <v>Vinh Tran</v>
      </c>
      <c r="E468" s="105" t="s">
        <v>23</v>
      </c>
      <c r="F468" s="267">
        <v>46093.54166666666</v>
      </c>
      <c r="G468" s="268">
        <v>46107.54166666666</v>
      </c>
      <c r="H468" s="268">
        <v>46128.54166666666</v>
      </c>
      <c r="I468" s="267">
        <v>46134.54166666666</v>
      </c>
      <c r="J468" s="269">
        <v>46149.541666666664</v>
      </c>
      <c r="K468" s="270">
        <v>46163.541666666664</v>
      </c>
      <c r="L468" s="269">
        <v>46170.541666666664</v>
      </c>
      <c r="M468" s="268"/>
      <c r="N468" s="269">
        <v>46198.541666666664</v>
      </c>
      <c r="O468" s="267"/>
      <c r="P468" s="267"/>
      <c r="Q468" s="267"/>
      <c r="R468" s="267"/>
      <c r="S468" s="267"/>
      <c r="T468" s="267"/>
      <c r="U468" s="268"/>
      <c r="V468" s="271"/>
      <c r="W468" s="272">
        <f t="shared" si="2"/>
        <v>46198.54167</v>
      </c>
      <c r="X468" s="273"/>
      <c r="Y468" s="273"/>
      <c r="Z468" s="235"/>
      <c r="AA468" s="43"/>
    </row>
    <row r="469" ht="15.75" hidden="1" customHeight="1">
      <c r="A469" s="275" t="s">
        <v>758</v>
      </c>
      <c r="B469" s="276" t="str">
        <f>IFERROR(VLOOKUP(A469&amp;"", STUDENTS!A:B, 2, 0), "")</f>
        <v>NGUYỄN HOÀNG BẢO TRÂN</v>
      </c>
      <c r="C469" s="122" t="s">
        <v>91</v>
      </c>
      <c r="D469" s="122" t="str">
        <f>IFERROR(VLOOKUP(C469, PIC!A:B, 2, 0), "")</f>
        <v>Vinh Tran</v>
      </c>
      <c r="E469" s="123" t="s">
        <v>23</v>
      </c>
      <c r="F469" s="277">
        <v>46093.54166666666</v>
      </c>
      <c r="G469" s="278">
        <v>46107.54166666666</v>
      </c>
      <c r="H469" s="278">
        <v>46128.54166666666</v>
      </c>
      <c r="I469" s="277">
        <v>46134.54166666666</v>
      </c>
      <c r="J469" s="279">
        <v>46149.541666666664</v>
      </c>
      <c r="K469" s="280">
        <v>46163.541666666664</v>
      </c>
      <c r="L469" s="285" t="s">
        <v>1162</v>
      </c>
      <c r="M469" s="278"/>
      <c r="N469" s="279">
        <v>46198.541666666664</v>
      </c>
      <c r="O469" s="277"/>
      <c r="P469" s="277"/>
      <c r="Q469" s="277"/>
      <c r="R469" s="277"/>
      <c r="S469" s="277"/>
      <c r="T469" s="277"/>
      <c r="U469" s="278"/>
      <c r="V469" s="281"/>
      <c r="W469" s="282">
        <f t="shared" si="2"/>
        <v>46198.54167</v>
      </c>
      <c r="X469" s="283"/>
      <c r="Y469" s="283"/>
      <c r="Z469" s="235"/>
      <c r="AA469" s="43"/>
    </row>
    <row r="470" ht="15.75" hidden="1" customHeight="1">
      <c r="A470" s="265" t="s">
        <v>760</v>
      </c>
      <c r="B470" s="266" t="str">
        <f>IFERROR(VLOOKUP(A470&amp;"", STUDENTS!A:B, 2, 0), "")</f>
        <v>NGUYỄN THẾ ANH</v>
      </c>
      <c r="C470" s="104" t="s">
        <v>91</v>
      </c>
      <c r="D470" s="104" t="str">
        <f>IFERROR(VLOOKUP(C470, PIC!A:B, 2, 0), "")</f>
        <v>Vinh Tran</v>
      </c>
      <c r="E470" s="105" t="s">
        <v>23</v>
      </c>
      <c r="F470" s="267">
        <v>46093.54166666666</v>
      </c>
      <c r="G470" s="268">
        <v>46107.54166666666</v>
      </c>
      <c r="H470" s="268">
        <v>46128.54166666666</v>
      </c>
      <c r="I470" s="267">
        <v>46134.54166666666</v>
      </c>
      <c r="J470" s="269">
        <v>46149.541666666664</v>
      </c>
      <c r="K470" s="284" t="s">
        <v>1162</v>
      </c>
      <c r="L470" s="269">
        <v>46170.541666666664</v>
      </c>
      <c r="M470" s="268"/>
      <c r="N470" s="269">
        <v>46198.541666666664</v>
      </c>
      <c r="O470" s="267"/>
      <c r="P470" s="267"/>
      <c r="Q470" s="267"/>
      <c r="R470" s="267"/>
      <c r="S470" s="267"/>
      <c r="T470" s="267"/>
      <c r="U470" s="268"/>
      <c r="V470" s="271"/>
      <c r="W470" s="272">
        <f t="shared" si="2"/>
        <v>46198.54167</v>
      </c>
      <c r="X470" s="273"/>
      <c r="Y470" s="273"/>
      <c r="Z470" s="235"/>
      <c r="AA470" s="43"/>
    </row>
    <row r="471" ht="15.75" hidden="1" customHeight="1">
      <c r="A471" s="275" t="s">
        <v>762</v>
      </c>
      <c r="B471" s="276" t="str">
        <f>IFERROR(VLOOKUP(A471&amp;"", STUDENTS!A:B, 2, 0), "")</f>
        <v>PHẠM LÊ QUỲNH HƯƠNG</v>
      </c>
      <c r="C471" s="122" t="s">
        <v>91</v>
      </c>
      <c r="D471" s="122" t="str">
        <f>IFERROR(VLOOKUP(C471, PIC!A:B, 2, 0), "")</f>
        <v>Vinh Tran</v>
      </c>
      <c r="E471" s="123" t="s">
        <v>23</v>
      </c>
      <c r="F471" s="277" t="s">
        <v>1162</v>
      </c>
      <c r="G471" s="278">
        <v>46107.54166666666</v>
      </c>
      <c r="H471" s="278">
        <v>46128.54166666666</v>
      </c>
      <c r="I471" s="277" t="s">
        <v>1162</v>
      </c>
      <c r="J471" s="279">
        <v>46149.541666666664</v>
      </c>
      <c r="K471" s="280">
        <v>46163.541666666664</v>
      </c>
      <c r="L471" s="279">
        <v>46170.541666666664</v>
      </c>
      <c r="M471" s="278"/>
      <c r="N471" s="279">
        <v>46198.541666666664</v>
      </c>
      <c r="O471" s="277"/>
      <c r="P471" s="277"/>
      <c r="Q471" s="277"/>
      <c r="R471" s="277"/>
      <c r="S471" s="277"/>
      <c r="T471" s="277"/>
      <c r="U471" s="278"/>
      <c r="V471" s="281"/>
      <c r="W471" s="282">
        <f t="shared" si="2"/>
        <v>46198.54167</v>
      </c>
      <c r="X471" s="283"/>
      <c r="Y471" s="283"/>
      <c r="Z471" s="235"/>
      <c r="AA471" s="43"/>
    </row>
    <row r="472" ht="15.75" hidden="1" customHeight="1">
      <c r="A472" s="265" t="s">
        <v>764</v>
      </c>
      <c r="B472" s="266" t="str">
        <f>IFERROR(VLOOKUP(A472&amp;"", STUDENTS!A:B, 2, 0), "")</f>
        <v>TRẦN ĐỨC VINH</v>
      </c>
      <c r="C472" s="104" t="s">
        <v>91</v>
      </c>
      <c r="D472" s="104" t="str">
        <f>IFERROR(VLOOKUP(C472, PIC!A:B, 2, 0), "")</f>
        <v>Vinh Tran</v>
      </c>
      <c r="E472" s="105" t="s">
        <v>23</v>
      </c>
      <c r="F472" s="267">
        <v>46093.54166666666</v>
      </c>
      <c r="G472" s="268">
        <v>46107.54166666666</v>
      </c>
      <c r="H472" s="268">
        <v>46128.54166666666</v>
      </c>
      <c r="I472" s="267">
        <v>46134.54166666666</v>
      </c>
      <c r="J472" s="269">
        <v>46149.541666666664</v>
      </c>
      <c r="K472" s="270">
        <v>46163.541666666664</v>
      </c>
      <c r="L472" s="269">
        <v>46170.541666666664</v>
      </c>
      <c r="M472" s="268"/>
      <c r="N472" s="269">
        <v>46198.541666666664</v>
      </c>
      <c r="O472" s="267"/>
      <c r="P472" s="267"/>
      <c r="Q472" s="267"/>
      <c r="R472" s="267"/>
      <c r="S472" s="267"/>
      <c r="T472" s="267"/>
      <c r="U472" s="268"/>
      <c r="V472" s="271"/>
      <c r="W472" s="272">
        <f t="shared" si="2"/>
        <v>46198.54167</v>
      </c>
      <c r="X472" s="273"/>
      <c r="Y472" s="273"/>
      <c r="Z472" s="235"/>
      <c r="AA472" s="43"/>
    </row>
    <row r="473" ht="15.75" hidden="1" customHeight="1">
      <c r="A473" s="275" t="s">
        <v>766</v>
      </c>
      <c r="B473" s="276" t="str">
        <f>IFERROR(VLOOKUP(A473&amp;"", STUDENTS!A:B, 2, 0), "")</f>
        <v>NGUYỄN NHẬT HÀO</v>
      </c>
      <c r="C473" s="122" t="s">
        <v>91</v>
      </c>
      <c r="D473" s="122" t="str">
        <f>IFERROR(VLOOKUP(C473, PIC!A:B, 2, 0), "")</f>
        <v>Vinh Tran</v>
      </c>
      <c r="E473" s="123" t="s">
        <v>23</v>
      </c>
      <c r="F473" s="277">
        <v>46093.54166666666</v>
      </c>
      <c r="G473" s="278">
        <v>46107.54166666666</v>
      </c>
      <c r="H473" s="278" t="s">
        <v>1162</v>
      </c>
      <c r="I473" s="277" t="s">
        <v>1162</v>
      </c>
      <c r="J473" s="285" t="s">
        <v>1162</v>
      </c>
      <c r="K473" s="303" t="s">
        <v>1162</v>
      </c>
      <c r="L473" s="285" t="s">
        <v>1162</v>
      </c>
      <c r="M473" s="278"/>
      <c r="N473" s="303" t="s">
        <v>1162</v>
      </c>
      <c r="O473" s="277"/>
      <c r="P473" s="277"/>
      <c r="Q473" s="277"/>
      <c r="R473" s="277"/>
      <c r="S473" s="277"/>
      <c r="T473" s="277"/>
      <c r="U473" s="278"/>
      <c r="V473" s="281"/>
      <c r="W473" s="282">
        <f t="shared" si="2"/>
        <v>46107.54167</v>
      </c>
      <c r="X473" s="283"/>
      <c r="Y473" s="283"/>
      <c r="Z473" s="235"/>
      <c r="AA473" s="43"/>
    </row>
    <row r="474" ht="15.75" hidden="1" customHeight="1">
      <c r="A474" s="265" t="s">
        <v>382</v>
      </c>
      <c r="B474" s="266" t="str">
        <f>IFERROR(VLOOKUP(A474&amp;"", STUDENTS!A:B, 2, 0), "")</f>
        <v>ĐẶNG GIA LỘC</v>
      </c>
      <c r="C474" s="104" t="s">
        <v>92</v>
      </c>
      <c r="D474" s="104" t="str">
        <f>IFERROR(VLOOKUP(C474, PIC!A:B, 2, 0), "")</f>
        <v>Liên Nguyễn</v>
      </c>
      <c r="E474" s="105" t="s">
        <v>26</v>
      </c>
      <c r="F474" s="267"/>
      <c r="G474" s="268"/>
      <c r="H474" s="268"/>
      <c r="I474" s="267">
        <v>45938.58333333334</v>
      </c>
      <c r="J474" s="268" t="s">
        <v>1162</v>
      </c>
      <c r="K474" s="267">
        <v>45952.625</v>
      </c>
      <c r="L474" s="268">
        <v>45961.58333333334</v>
      </c>
      <c r="M474" s="268">
        <v>45966.625</v>
      </c>
      <c r="N474" s="267">
        <v>45974.58333333334</v>
      </c>
      <c r="O474" s="267" t="s">
        <v>1162</v>
      </c>
      <c r="P474" s="267">
        <v>45989.58333333334</v>
      </c>
      <c r="Q474" s="267">
        <v>45994.54166666666</v>
      </c>
      <c r="R474" s="267" t="s">
        <v>1162</v>
      </c>
      <c r="S474" s="267">
        <v>46049.54166666666</v>
      </c>
      <c r="T474" s="267" t="s">
        <v>1162</v>
      </c>
      <c r="U474" s="268">
        <v>46083.58333333334</v>
      </c>
      <c r="V474" s="271"/>
      <c r="W474" s="272">
        <f t="shared" si="2"/>
        <v>46083.58333</v>
      </c>
      <c r="X474" s="273"/>
      <c r="Y474" s="273"/>
      <c r="Z474" s="235"/>
      <c r="AA474" s="43"/>
    </row>
    <row r="475" ht="15.75" hidden="1" customHeight="1">
      <c r="A475" s="275" t="s">
        <v>707</v>
      </c>
      <c r="B475" s="276" t="str">
        <f>IFERROR(VLOOKUP(A475&amp;"", STUDENTS!A:B, 2, 0), "")</f>
        <v>LÊ MINH HY</v>
      </c>
      <c r="C475" s="122" t="s">
        <v>92</v>
      </c>
      <c r="D475" s="122" t="str">
        <f>IFERROR(VLOOKUP(C475, PIC!A:B, 2, 0), "")</f>
        <v>Liên Nguyễn</v>
      </c>
      <c r="E475" s="123" t="s">
        <v>26</v>
      </c>
      <c r="F475" s="277"/>
      <c r="G475" s="278"/>
      <c r="H475" s="278"/>
      <c r="I475" s="277" t="s">
        <v>1162</v>
      </c>
      <c r="J475" s="278">
        <v>45947.54166666666</v>
      </c>
      <c r="K475" s="277">
        <v>45952.625</v>
      </c>
      <c r="L475" s="278">
        <v>45961.58333333334</v>
      </c>
      <c r="M475" s="278" t="s">
        <v>1162</v>
      </c>
      <c r="N475" s="277">
        <v>45974.58333333334</v>
      </c>
      <c r="O475" s="277">
        <v>45982.625</v>
      </c>
      <c r="P475" s="277">
        <v>45989.58333333334</v>
      </c>
      <c r="Q475" s="277">
        <v>45994.54166666666</v>
      </c>
      <c r="R475" s="277">
        <v>46010.58333333334</v>
      </c>
      <c r="S475" s="277">
        <v>46049.54166666666</v>
      </c>
      <c r="T475" s="277">
        <v>46052.58333333334</v>
      </c>
      <c r="U475" s="278">
        <v>46083.58333333334</v>
      </c>
      <c r="V475" s="281"/>
      <c r="W475" s="282">
        <f t="shared" si="2"/>
        <v>46083.58333</v>
      </c>
      <c r="X475" s="283"/>
      <c r="Y475" s="283"/>
      <c r="Z475" s="235"/>
      <c r="AA475" s="43"/>
    </row>
    <row r="476" ht="15.75" hidden="1" customHeight="1">
      <c r="A476" s="265" t="s">
        <v>391</v>
      </c>
      <c r="B476" s="266" t="str">
        <f>IFERROR(VLOOKUP(A476&amp;"", STUDENTS!A:B, 2, 0), "")</f>
        <v>LE MINH TRUONG</v>
      </c>
      <c r="C476" s="104" t="s">
        <v>92</v>
      </c>
      <c r="D476" s="104" t="str">
        <f>IFERROR(VLOOKUP(C476, PIC!A:B, 2, 0), "")</f>
        <v>Liên Nguyễn</v>
      </c>
      <c r="E476" s="105" t="s">
        <v>26</v>
      </c>
      <c r="F476" s="267"/>
      <c r="G476" s="268"/>
      <c r="H476" s="268"/>
      <c r="I476" s="267">
        <v>45938.58333333334</v>
      </c>
      <c r="J476" s="268">
        <v>45947.54166666666</v>
      </c>
      <c r="K476" s="267">
        <v>45952.625</v>
      </c>
      <c r="L476" s="268">
        <v>45961.58333333334</v>
      </c>
      <c r="M476" s="268" t="s">
        <v>1162</v>
      </c>
      <c r="N476" s="267">
        <v>45974.58333333334</v>
      </c>
      <c r="O476" s="267" t="s">
        <v>1162</v>
      </c>
      <c r="P476" s="267">
        <v>45989.58333333334</v>
      </c>
      <c r="Q476" s="267">
        <v>45994.54166666666</v>
      </c>
      <c r="R476" s="267">
        <v>46010.58333333334</v>
      </c>
      <c r="S476" s="267">
        <v>46049.54166666666</v>
      </c>
      <c r="T476" s="267">
        <v>46052.58333333334</v>
      </c>
      <c r="U476" s="268" t="s">
        <v>1162</v>
      </c>
      <c r="V476" s="271"/>
      <c r="W476" s="272">
        <f t="shared" si="2"/>
        <v>46052.58333</v>
      </c>
      <c r="X476" s="273"/>
      <c r="Y476" s="273"/>
      <c r="Z476" s="235"/>
      <c r="AA476" s="43"/>
    </row>
    <row r="477" ht="15.75" hidden="1" customHeight="1">
      <c r="A477" s="275" t="s">
        <v>384</v>
      </c>
      <c r="B477" s="276" t="str">
        <f>IFERROR(VLOOKUP(A477&amp;"", STUDENTS!A:B, 2, 0), "")</f>
        <v>LE VAN DONG TAM</v>
      </c>
      <c r="C477" s="122" t="s">
        <v>92</v>
      </c>
      <c r="D477" s="122" t="str">
        <f>IFERROR(VLOOKUP(C477, PIC!A:B, 2, 0), "")</f>
        <v>Liên Nguyễn</v>
      </c>
      <c r="E477" s="123" t="s">
        <v>26</v>
      </c>
      <c r="F477" s="277"/>
      <c r="G477" s="278"/>
      <c r="H477" s="278"/>
      <c r="I477" s="277" t="s">
        <v>1162</v>
      </c>
      <c r="J477" s="278" t="s">
        <v>1162</v>
      </c>
      <c r="K477" s="277">
        <v>45952.625</v>
      </c>
      <c r="L477" s="278">
        <v>45961.58333333334</v>
      </c>
      <c r="M477" s="278" t="s">
        <v>1162</v>
      </c>
      <c r="N477" s="277" t="s">
        <v>1162</v>
      </c>
      <c r="O477" s="277">
        <v>45982.625</v>
      </c>
      <c r="P477" s="277">
        <v>45989.58333333334</v>
      </c>
      <c r="Q477" s="277" t="s">
        <v>1162</v>
      </c>
      <c r="R477" s="277">
        <v>46010.58333333334</v>
      </c>
      <c r="S477" s="277">
        <v>46049.54166666666</v>
      </c>
      <c r="T477" s="277">
        <v>46052.58333333334</v>
      </c>
      <c r="U477" s="278">
        <v>46083.58333333334</v>
      </c>
      <c r="V477" s="281"/>
      <c r="W477" s="282">
        <f t="shared" si="2"/>
        <v>46083.58333</v>
      </c>
      <c r="X477" s="283"/>
      <c r="Y477" s="283"/>
      <c r="Z477" s="235"/>
      <c r="AA477" s="43"/>
    </row>
    <row r="478" ht="15.75" hidden="1" customHeight="1">
      <c r="A478" s="265" t="s">
        <v>393</v>
      </c>
      <c r="B478" s="266" t="str">
        <f>IFERROR(VLOOKUP(A478&amp;"", STUDENTS!A:B, 2, 0), "")</f>
        <v>NGUYEN HUU DUY</v>
      </c>
      <c r="C478" s="104" t="s">
        <v>92</v>
      </c>
      <c r="D478" s="104" t="str">
        <f>IFERROR(VLOOKUP(C478, PIC!A:B, 2, 0), "")</f>
        <v>Liên Nguyễn</v>
      </c>
      <c r="E478" s="105" t="s">
        <v>26</v>
      </c>
      <c r="F478" s="267"/>
      <c r="G478" s="268"/>
      <c r="H478" s="268"/>
      <c r="I478" s="267">
        <v>45938.58333333334</v>
      </c>
      <c r="J478" s="268">
        <v>45947.54166666666</v>
      </c>
      <c r="K478" s="267">
        <v>45952.625</v>
      </c>
      <c r="L478" s="268">
        <v>45961.58333333334</v>
      </c>
      <c r="M478" s="268" t="s">
        <v>1162</v>
      </c>
      <c r="N478" s="267">
        <v>45974.58333333334</v>
      </c>
      <c r="O478" s="267" t="s">
        <v>1162</v>
      </c>
      <c r="P478" s="267">
        <v>45989.58333333334</v>
      </c>
      <c r="Q478" s="267" t="s">
        <v>1162</v>
      </c>
      <c r="R478" s="267">
        <v>46010.58333333334</v>
      </c>
      <c r="S478" s="267" t="s">
        <v>1162</v>
      </c>
      <c r="T478" s="267">
        <v>46052.58333333334</v>
      </c>
      <c r="U478" s="268">
        <v>46083.58333333334</v>
      </c>
      <c r="V478" s="271"/>
      <c r="W478" s="272">
        <f t="shared" si="2"/>
        <v>46083.58333</v>
      </c>
      <c r="X478" s="273"/>
      <c r="Y478" s="273"/>
      <c r="Z478" s="235"/>
      <c r="AA478" s="43"/>
    </row>
    <row r="479" ht="15.75" hidden="1" customHeight="1">
      <c r="A479" s="275" t="s">
        <v>387</v>
      </c>
      <c r="B479" s="276" t="str">
        <f>IFERROR(VLOOKUP(A479&amp;"", STUDENTS!A:B, 2, 0), "")</f>
        <v>NGUYỄN MINH LIÊN</v>
      </c>
      <c r="C479" s="122" t="s">
        <v>92</v>
      </c>
      <c r="D479" s="122" t="str">
        <f>IFERROR(VLOOKUP(C479, PIC!A:B, 2, 0), "")</f>
        <v>Liên Nguyễn</v>
      </c>
      <c r="E479" s="123" t="s">
        <v>26</v>
      </c>
      <c r="F479" s="277">
        <v>45917.58333333334</v>
      </c>
      <c r="G479" s="278">
        <v>45925.54166666666</v>
      </c>
      <c r="H479" s="278"/>
      <c r="I479" s="277">
        <v>45938.58333333334</v>
      </c>
      <c r="J479" s="278" t="s">
        <v>1162</v>
      </c>
      <c r="K479" s="277">
        <v>45952.625</v>
      </c>
      <c r="L479" s="278">
        <v>45961.58333333334</v>
      </c>
      <c r="M479" s="278">
        <v>45966.625</v>
      </c>
      <c r="N479" s="277">
        <v>45974.58333333334</v>
      </c>
      <c r="O479" s="277" t="s">
        <v>1162</v>
      </c>
      <c r="P479" s="277" t="s">
        <v>1162</v>
      </c>
      <c r="Q479" s="277"/>
      <c r="R479" s="277">
        <v>46010.58333333334</v>
      </c>
      <c r="S479" s="277" t="s">
        <v>1162</v>
      </c>
      <c r="T479" s="277">
        <v>46052.58333333334</v>
      </c>
      <c r="U479" s="278">
        <v>46083.58333333334</v>
      </c>
      <c r="V479" s="281"/>
      <c r="W479" s="282">
        <f t="shared" si="2"/>
        <v>46083.58333</v>
      </c>
      <c r="X479" s="283"/>
      <c r="Y479" s="283"/>
      <c r="Z479" s="235"/>
      <c r="AA479" s="43"/>
    </row>
    <row r="480" ht="15.75" hidden="1" customHeight="1">
      <c r="A480" s="265" t="s">
        <v>713</v>
      </c>
      <c r="B480" s="266" t="str">
        <f>IFERROR(VLOOKUP(A480&amp;"", STUDENTS!A:B, 2, 0), "")</f>
        <v>NGUYỄN THỊ KIM TRANG</v>
      </c>
      <c r="C480" s="104" t="s">
        <v>92</v>
      </c>
      <c r="D480" s="104" t="str">
        <f>IFERROR(VLOOKUP(C480, PIC!A:B, 2, 0), "")</f>
        <v>Liên Nguyễn</v>
      </c>
      <c r="E480" s="105" t="s">
        <v>26</v>
      </c>
      <c r="F480" s="267">
        <v>45917.58333333334</v>
      </c>
      <c r="G480" s="268">
        <v>45925.54166666666</v>
      </c>
      <c r="H480" s="268"/>
      <c r="I480" s="267">
        <v>45938.58333333334</v>
      </c>
      <c r="J480" s="268">
        <v>45947.54166666666</v>
      </c>
      <c r="K480" s="267">
        <v>45952.625</v>
      </c>
      <c r="L480" s="268" t="s">
        <v>1162</v>
      </c>
      <c r="M480" s="268">
        <v>45966.625</v>
      </c>
      <c r="N480" s="267">
        <v>45974.58333333334</v>
      </c>
      <c r="O480" s="267">
        <v>45982.625</v>
      </c>
      <c r="P480" s="267">
        <v>45989.58333333334</v>
      </c>
      <c r="Q480" s="267" t="s">
        <v>1162</v>
      </c>
      <c r="R480" s="267">
        <v>46010.58333333334</v>
      </c>
      <c r="S480" s="267">
        <v>46049.54166666666</v>
      </c>
      <c r="T480" s="267">
        <v>46052.58333333334</v>
      </c>
      <c r="U480" s="268">
        <v>46083.58333333334</v>
      </c>
      <c r="V480" s="271"/>
      <c r="W480" s="272">
        <f t="shared" si="2"/>
        <v>46083.58333</v>
      </c>
      <c r="X480" s="273"/>
      <c r="Y480" s="273"/>
      <c r="Z480" s="235"/>
      <c r="AA480" s="43"/>
    </row>
    <row r="481" ht="15.75" hidden="1" customHeight="1">
      <c r="A481" s="275" t="s">
        <v>389</v>
      </c>
      <c r="B481" s="276" t="str">
        <f>IFERROR(VLOOKUP(A481&amp;"", STUDENTS!A:B, 2, 0), "")</f>
        <v>PHẠM HUỲNH TÂN</v>
      </c>
      <c r="C481" s="122" t="s">
        <v>92</v>
      </c>
      <c r="D481" s="122" t="str">
        <f>IFERROR(VLOOKUP(C481, PIC!A:B, 2, 0), "")</f>
        <v>Liên Nguyễn</v>
      </c>
      <c r="E481" s="123" t="s">
        <v>26</v>
      </c>
      <c r="F481" s="277">
        <v>45917.58333333334</v>
      </c>
      <c r="G481" s="278">
        <v>45925.54166666666</v>
      </c>
      <c r="H481" s="278"/>
      <c r="I481" s="277">
        <v>45938.58333333334</v>
      </c>
      <c r="J481" s="278">
        <v>45947.54166666666</v>
      </c>
      <c r="K481" s="277" t="s">
        <v>1162</v>
      </c>
      <c r="L481" s="278">
        <v>45961.58333333334</v>
      </c>
      <c r="M481" s="278">
        <v>45966.625</v>
      </c>
      <c r="N481" s="277">
        <v>45974.58333333334</v>
      </c>
      <c r="O481" s="277">
        <v>45982.625</v>
      </c>
      <c r="P481" s="277" t="s">
        <v>1162</v>
      </c>
      <c r="Q481" s="277" t="s">
        <v>1162</v>
      </c>
      <c r="R481" s="277">
        <v>46010.58333333334</v>
      </c>
      <c r="S481" s="277">
        <v>46049.54166666666</v>
      </c>
      <c r="T481" s="277">
        <v>46052.58333333334</v>
      </c>
      <c r="U481" s="278">
        <v>46083.58333333334</v>
      </c>
      <c r="V481" s="281"/>
      <c r="W481" s="282">
        <f t="shared" si="2"/>
        <v>46083.58333</v>
      </c>
      <c r="X481" s="283"/>
      <c r="Y481" s="283"/>
      <c r="Z481" s="235"/>
      <c r="AA481" s="43"/>
    </row>
    <row r="482" ht="15.75" hidden="1" customHeight="1">
      <c r="A482" s="265" t="s">
        <v>391</v>
      </c>
      <c r="B482" s="266" t="str">
        <f>IFERROR(VLOOKUP(A482&amp;"", STUDENTS!A:B, 2, 0), "")</f>
        <v>LE MINH TRUONG</v>
      </c>
      <c r="C482" s="104" t="s">
        <v>93</v>
      </c>
      <c r="D482" s="104" t="str">
        <f>IFERROR(VLOOKUP(C482, PIC!A:B, 2, 0), "")</f>
        <v>Quyen Nguyen</v>
      </c>
      <c r="E482" s="105" t="s">
        <v>22</v>
      </c>
      <c r="F482" s="267">
        <v>45929.58333333334</v>
      </c>
      <c r="G482" s="268" t="s">
        <v>1162</v>
      </c>
      <c r="H482" s="268" t="s">
        <v>1162</v>
      </c>
      <c r="I482" s="267" t="s">
        <v>1162</v>
      </c>
      <c r="J482" s="268" t="s">
        <v>1162</v>
      </c>
      <c r="K482" s="267" t="s">
        <v>1162</v>
      </c>
      <c r="L482" s="268" t="s">
        <v>1162</v>
      </c>
      <c r="M482" s="268"/>
      <c r="N482" s="267"/>
      <c r="O482" s="267"/>
      <c r="P482" s="267"/>
      <c r="Q482" s="267"/>
      <c r="R482" s="267"/>
      <c r="S482" s="267"/>
      <c r="T482" s="267"/>
      <c r="U482" s="268"/>
      <c r="V482" s="271"/>
      <c r="W482" s="272">
        <f t="shared" si="2"/>
        <v>45929.58333</v>
      </c>
      <c r="X482" s="273"/>
      <c r="Y482" s="273"/>
      <c r="Z482" s="235"/>
      <c r="AA482" s="43"/>
    </row>
    <row r="483" ht="15.75" hidden="1" customHeight="1">
      <c r="A483" s="275" t="s">
        <v>393</v>
      </c>
      <c r="B483" s="276" t="str">
        <f>IFERROR(VLOOKUP(A483&amp;"", STUDENTS!A:B, 2, 0), "")</f>
        <v>NGUYEN HUU DUY</v>
      </c>
      <c r="C483" s="122" t="s">
        <v>93</v>
      </c>
      <c r="D483" s="122" t="str">
        <f>IFERROR(VLOOKUP(C483, PIC!A:B, 2, 0), "")</f>
        <v>Quyen Nguyen</v>
      </c>
      <c r="E483" s="123" t="s">
        <v>22</v>
      </c>
      <c r="F483" s="277">
        <v>45929.58333333334</v>
      </c>
      <c r="G483" s="278" t="s">
        <v>1162</v>
      </c>
      <c r="H483" s="278" t="s">
        <v>1162</v>
      </c>
      <c r="I483" s="277" t="s">
        <v>1162</v>
      </c>
      <c r="J483" s="278" t="s">
        <v>1162</v>
      </c>
      <c r="K483" s="277" t="s">
        <v>1162</v>
      </c>
      <c r="L483" s="278" t="s">
        <v>1162</v>
      </c>
      <c r="M483" s="278"/>
      <c r="N483" s="277"/>
      <c r="O483" s="277"/>
      <c r="P483" s="277"/>
      <c r="Q483" s="277"/>
      <c r="R483" s="277"/>
      <c r="S483" s="277"/>
      <c r="T483" s="277"/>
      <c r="U483" s="278"/>
      <c r="V483" s="281"/>
      <c r="W483" s="282">
        <f t="shared" si="2"/>
        <v>45929.58333</v>
      </c>
      <c r="X483" s="283"/>
      <c r="Y483" s="283"/>
      <c r="Z483" s="235"/>
      <c r="AA483" s="43"/>
    </row>
    <row r="484" ht="15.75" hidden="1" customHeight="1">
      <c r="A484" s="265" t="s">
        <v>569</v>
      </c>
      <c r="B484" s="266" t="str">
        <f>IFERROR(VLOOKUP(A484&amp;"", STUDENTS!A:B, 2, 0), "")</f>
        <v>NGUYỄN PHÚC VINH</v>
      </c>
      <c r="C484" s="104" t="s">
        <v>93</v>
      </c>
      <c r="D484" s="104" t="str">
        <f>IFERROR(VLOOKUP(C484, PIC!A:B, 2, 0), "")</f>
        <v>Quyen Nguyen</v>
      </c>
      <c r="E484" s="105" t="s">
        <v>22</v>
      </c>
      <c r="F484" s="267">
        <v>45929.58333333334</v>
      </c>
      <c r="G484" s="268">
        <v>45938.58333333334</v>
      </c>
      <c r="H484" s="268">
        <v>45950.54166666666</v>
      </c>
      <c r="I484" s="267">
        <v>45952.58333333334</v>
      </c>
      <c r="J484" s="268">
        <v>45959.58333333334</v>
      </c>
      <c r="K484" s="267">
        <v>45966.54166666666</v>
      </c>
      <c r="L484" s="268">
        <v>45985.54166666666</v>
      </c>
      <c r="M484" s="268">
        <v>45999.54166666666</v>
      </c>
      <c r="N484" s="267">
        <v>46006.54166666666</v>
      </c>
      <c r="O484" s="267">
        <v>46008.54166666666</v>
      </c>
      <c r="P484" s="267">
        <v>46013.54166666666</v>
      </c>
      <c r="Q484" s="267">
        <v>46041.58333333334</v>
      </c>
      <c r="R484" s="267">
        <v>46048.58333333334</v>
      </c>
      <c r="S484" s="267">
        <v>46087.54166666666</v>
      </c>
      <c r="T484" s="267">
        <v>46094.54166666666</v>
      </c>
      <c r="U484" s="268"/>
      <c r="V484" s="271"/>
      <c r="W484" s="272">
        <f t="shared" si="2"/>
        <v>46094.54167</v>
      </c>
      <c r="X484" s="273"/>
      <c r="Y484" s="273"/>
      <c r="Z484" s="235"/>
      <c r="AA484" s="43"/>
    </row>
    <row r="485" ht="15.75" hidden="1" customHeight="1">
      <c r="A485" s="275" t="s">
        <v>571</v>
      </c>
      <c r="B485" s="276" t="str">
        <f>IFERROR(VLOOKUP(A485&amp;"", STUDENTS!A:B, 2, 0), "")</f>
        <v>NGUYỄN TRƯƠNG BẢO QUYÊN</v>
      </c>
      <c r="C485" s="122" t="s">
        <v>93</v>
      </c>
      <c r="D485" s="122" t="str">
        <f>IFERROR(VLOOKUP(C485, PIC!A:B, 2, 0), "")</f>
        <v>Quyen Nguyen</v>
      </c>
      <c r="E485" s="123" t="s">
        <v>22</v>
      </c>
      <c r="F485" s="277">
        <v>45929.58333333334</v>
      </c>
      <c r="G485" s="278">
        <v>45938.58333333334</v>
      </c>
      <c r="H485" s="278">
        <v>45950.54166666666</v>
      </c>
      <c r="I485" s="277">
        <v>45952.58333333334</v>
      </c>
      <c r="J485" s="278">
        <v>45959.58333333334</v>
      </c>
      <c r="K485" s="277">
        <v>45966.54166666666</v>
      </c>
      <c r="L485" s="278">
        <v>45985.54166666666</v>
      </c>
      <c r="M485" s="278">
        <v>45999.54166666666</v>
      </c>
      <c r="N485" s="277">
        <v>46006.54166666666</v>
      </c>
      <c r="O485" s="277">
        <v>46008.54166666666</v>
      </c>
      <c r="P485" s="277">
        <v>46013.54166666666</v>
      </c>
      <c r="Q485" s="277">
        <v>46041.58333333334</v>
      </c>
      <c r="R485" s="277">
        <v>46048.58333333334</v>
      </c>
      <c r="S485" s="277">
        <v>46087.54166666666</v>
      </c>
      <c r="T485" s="277">
        <v>46094.54166666666</v>
      </c>
      <c r="U485" s="278"/>
      <c r="V485" s="281"/>
      <c r="W485" s="282">
        <f t="shared" si="2"/>
        <v>46094.54167</v>
      </c>
      <c r="X485" s="283"/>
      <c r="Y485" s="283"/>
      <c r="Z485" s="235"/>
      <c r="AA485" s="43"/>
    </row>
    <row r="486" ht="15.75" hidden="1" customHeight="1">
      <c r="A486" s="265" t="s">
        <v>573</v>
      </c>
      <c r="B486" s="266" t="str">
        <f>IFERROR(VLOOKUP(A486&amp;"", STUDENTS!A:B, 2, 0), "")</f>
        <v>TRẦN THỊ HUỲNH NHƯ</v>
      </c>
      <c r="C486" s="104" t="s">
        <v>93</v>
      </c>
      <c r="D486" s="104" t="str">
        <f>IFERROR(VLOOKUP(C486, PIC!A:B, 2, 0), "")</f>
        <v>Quyen Nguyen</v>
      </c>
      <c r="E486" s="105" t="s">
        <v>22</v>
      </c>
      <c r="F486" s="267">
        <v>45929.58333333334</v>
      </c>
      <c r="G486" s="268">
        <v>45938.58333333334</v>
      </c>
      <c r="H486" s="268">
        <v>45950.54166666666</v>
      </c>
      <c r="I486" s="267">
        <v>45952.58333333334</v>
      </c>
      <c r="J486" s="268" t="s">
        <v>1162</v>
      </c>
      <c r="K486" s="267">
        <v>45966.54166666666</v>
      </c>
      <c r="L486" s="268">
        <v>45985.54166666666</v>
      </c>
      <c r="M486" s="268">
        <v>45999.54166666666</v>
      </c>
      <c r="N486" s="267">
        <v>46006.54166666666</v>
      </c>
      <c r="O486" s="267">
        <v>46008.54166666666</v>
      </c>
      <c r="P486" s="267">
        <v>46013.54166666666</v>
      </c>
      <c r="Q486" s="267">
        <v>46041.58333333334</v>
      </c>
      <c r="R486" s="267">
        <v>46048.58333333334</v>
      </c>
      <c r="S486" s="267">
        <v>46087.54166666666</v>
      </c>
      <c r="T486" s="267">
        <v>46094.54166666666</v>
      </c>
      <c r="U486" s="268"/>
      <c r="V486" s="271"/>
      <c r="W486" s="272">
        <f t="shared" si="2"/>
        <v>46094.54167</v>
      </c>
      <c r="X486" s="273"/>
      <c r="Y486" s="273"/>
      <c r="Z486" s="235"/>
      <c r="AA486" s="43"/>
    </row>
    <row r="487" ht="15.75" hidden="1" customHeight="1">
      <c r="A487" s="275" t="s">
        <v>575</v>
      </c>
      <c r="B487" s="276" t="str">
        <f>IFERROR(VLOOKUP(A487&amp;"", STUDENTS!A:B, 2, 0), "")</f>
        <v>VÕ THỊ HƯƠNG GIANG</v>
      </c>
      <c r="C487" s="122" t="s">
        <v>93</v>
      </c>
      <c r="D487" s="122" t="str">
        <f>IFERROR(VLOOKUP(C487, PIC!A:B, 2, 0), "")</f>
        <v>Quyen Nguyen</v>
      </c>
      <c r="E487" s="123" t="s">
        <v>22</v>
      </c>
      <c r="F487" s="277">
        <v>45929.58333333334</v>
      </c>
      <c r="G487" s="278">
        <v>45938.58333333334</v>
      </c>
      <c r="H487" s="278">
        <v>45950.54166666666</v>
      </c>
      <c r="I487" s="277">
        <v>45952.58333333334</v>
      </c>
      <c r="J487" s="278">
        <v>45959.58333333334</v>
      </c>
      <c r="K487" s="277">
        <v>45966.54166666666</v>
      </c>
      <c r="L487" s="278">
        <v>45985.54166666666</v>
      </c>
      <c r="M487" s="278">
        <v>45999.54166666666</v>
      </c>
      <c r="N487" s="277">
        <v>46006.54166666666</v>
      </c>
      <c r="O487" s="277" t="s">
        <v>1162</v>
      </c>
      <c r="P487" s="277" t="s">
        <v>1162</v>
      </c>
      <c r="Q487" s="277" t="s">
        <v>1162</v>
      </c>
      <c r="R487" s="277" t="s">
        <v>1162</v>
      </c>
      <c r="S487" s="277" t="s">
        <v>1162</v>
      </c>
      <c r="T487" s="277"/>
      <c r="U487" s="278"/>
      <c r="V487" s="281"/>
      <c r="W487" s="282">
        <f t="shared" si="2"/>
        <v>46006.54167</v>
      </c>
      <c r="X487" s="283"/>
      <c r="Y487" s="283"/>
      <c r="Z487" s="235"/>
      <c r="AA487" s="43"/>
    </row>
    <row r="488" ht="15.75" hidden="1" customHeight="1">
      <c r="A488" s="265" t="s">
        <v>530</v>
      </c>
      <c r="B488" s="266" t="str">
        <f>IFERROR(VLOOKUP(A488&amp;"", STUDENTS!A:B, 2, 0), "")</f>
        <v>Chu Thị Lệ Quỳnh</v>
      </c>
      <c r="C488" s="104" t="s">
        <v>94</v>
      </c>
      <c r="D488" s="104" t="str">
        <f>IFERROR(VLOOKUP(C488, PIC!A:B, 2, 0), "")</f>
        <v>Phuoc Ta</v>
      </c>
      <c r="E488" s="105" t="s">
        <v>22</v>
      </c>
      <c r="F488" s="267"/>
      <c r="G488" s="268"/>
      <c r="H488" s="268">
        <v>46098.41666666666</v>
      </c>
      <c r="I488" s="267">
        <v>46104.54166666666</v>
      </c>
      <c r="J488" s="268">
        <v>46112.45833333334</v>
      </c>
      <c r="K488" s="267">
        <v>46119.41666666666</v>
      </c>
      <c r="L488" s="268">
        <v>46126.45833333334</v>
      </c>
      <c r="M488" s="270">
        <v>46147.416666666664</v>
      </c>
      <c r="N488" s="270">
        <v>46147.458333333336</v>
      </c>
      <c r="O488" s="270">
        <v>46154.458333333336</v>
      </c>
      <c r="P488" s="270">
        <v>46161.458333333336</v>
      </c>
      <c r="Q488" s="270">
        <v>46168.458333333336</v>
      </c>
      <c r="R488" s="108" t="s">
        <v>1162</v>
      </c>
      <c r="S488" s="270">
        <v>46210.458333333336</v>
      </c>
      <c r="T488" s="267"/>
      <c r="U488" s="268"/>
      <c r="V488" s="271"/>
      <c r="W488" s="272">
        <f t="shared" si="2"/>
        <v>46210.45833</v>
      </c>
      <c r="X488" s="273"/>
      <c r="Y488" s="273"/>
      <c r="Z488" s="235"/>
      <c r="AA488" s="43"/>
    </row>
    <row r="489" ht="15.75" hidden="1" customHeight="1">
      <c r="A489" s="275" t="s">
        <v>532</v>
      </c>
      <c r="B489" s="276" t="str">
        <f>IFERROR(VLOOKUP(A489&amp;"", STUDENTS!A:B, 2, 0), "")</f>
        <v>Nguyễn Đặng Khương Duy (Dustin)</v>
      </c>
      <c r="C489" s="122" t="s">
        <v>94</v>
      </c>
      <c r="D489" s="122" t="str">
        <f>IFERROR(VLOOKUP(C489, PIC!A:B, 2, 0), "")</f>
        <v>Phuoc Ta</v>
      </c>
      <c r="E489" s="123" t="s">
        <v>22</v>
      </c>
      <c r="F489" s="277">
        <v>46083.625</v>
      </c>
      <c r="G489" s="278">
        <v>46091.41666666666</v>
      </c>
      <c r="H489" s="278">
        <v>46098.41666666666</v>
      </c>
      <c r="I489" s="277">
        <v>46104.54166666666</v>
      </c>
      <c r="J489" s="278">
        <v>46112.45833333334</v>
      </c>
      <c r="K489" s="277">
        <v>46119.41666666666</v>
      </c>
      <c r="L489" s="278">
        <v>46126.45833333334</v>
      </c>
      <c r="M489" s="280">
        <v>46147.416666666664</v>
      </c>
      <c r="N489" s="280">
        <v>46147.458333333336</v>
      </c>
      <c r="O489" s="280">
        <v>46154.458333333336</v>
      </c>
      <c r="P489" s="280">
        <v>46161.458333333336</v>
      </c>
      <c r="Q489" s="280">
        <v>46168.458333333336</v>
      </c>
      <c r="R489" s="280">
        <v>46182.458333333336</v>
      </c>
      <c r="S489" s="280">
        <v>46210.458333333336</v>
      </c>
      <c r="T489" s="277"/>
      <c r="U489" s="278"/>
      <c r="V489" s="281"/>
      <c r="W489" s="282">
        <f t="shared" si="2"/>
        <v>46210.45833</v>
      </c>
      <c r="X489" s="283"/>
      <c r="Y489" s="283"/>
      <c r="Z489" s="235"/>
      <c r="AA489" s="43"/>
    </row>
    <row r="490" ht="15.75" hidden="1" customHeight="1">
      <c r="A490" s="265" t="s">
        <v>534</v>
      </c>
      <c r="B490" s="266" t="str">
        <f>IFERROR(VLOOKUP(A490&amp;"", STUDENTS!A:B, 2, 0), "")</f>
        <v>Nguyễn Hà Vi (V)</v>
      </c>
      <c r="C490" s="104" t="s">
        <v>94</v>
      </c>
      <c r="D490" s="104" t="str">
        <f>IFERROR(VLOOKUP(C490, PIC!A:B, 2, 0), "")</f>
        <v>Phuoc Ta</v>
      </c>
      <c r="E490" s="105" t="s">
        <v>22</v>
      </c>
      <c r="F490" s="267">
        <v>46083.625</v>
      </c>
      <c r="G490" s="268">
        <v>46091.41666666666</v>
      </c>
      <c r="H490" s="268">
        <v>46098.41666666666</v>
      </c>
      <c r="I490" s="267">
        <v>46104.54166666666</v>
      </c>
      <c r="J490" s="268">
        <v>46112.45833333334</v>
      </c>
      <c r="K490" s="267">
        <v>46119.41666666666</v>
      </c>
      <c r="L490" s="268" t="s">
        <v>1162</v>
      </c>
      <c r="M490" s="270">
        <v>46147.416666666664</v>
      </c>
      <c r="N490" s="270">
        <v>46147.458333333336</v>
      </c>
      <c r="O490" s="270">
        <v>46154.458333333336</v>
      </c>
      <c r="P490" s="270">
        <v>46161.458333333336</v>
      </c>
      <c r="Q490" s="270">
        <v>46168.458333333336</v>
      </c>
      <c r="R490" s="270">
        <v>46182.458333333336</v>
      </c>
      <c r="S490" s="270">
        <v>46210.458333333336</v>
      </c>
      <c r="T490" s="267"/>
      <c r="U490" s="268"/>
      <c r="V490" s="271"/>
      <c r="W490" s="272">
        <f t="shared" si="2"/>
        <v>46210.45833</v>
      </c>
      <c r="X490" s="273"/>
      <c r="Y490" s="273"/>
      <c r="Z490" s="235"/>
      <c r="AA490" s="43"/>
    </row>
    <row r="491" ht="15.75" hidden="1" customHeight="1">
      <c r="A491" s="275" t="s">
        <v>536</v>
      </c>
      <c r="B491" s="276" t="str">
        <f>IFERROR(VLOOKUP(A491&amp;"", STUDENTS!A:B, 2, 0), "")</f>
        <v>Phạm Ngọc Hưng (Zero)</v>
      </c>
      <c r="C491" s="122" t="s">
        <v>94</v>
      </c>
      <c r="D491" s="122" t="str">
        <f>IFERROR(VLOOKUP(C491, PIC!A:B, 2, 0), "")</f>
        <v>Phuoc Ta</v>
      </c>
      <c r="E491" s="123" t="s">
        <v>22</v>
      </c>
      <c r="F491" s="277">
        <v>46083.625</v>
      </c>
      <c r="G491" s="278" t="s">
        <v>1162</v>
      </c>
      <c r="H491" s="278">
        <v>46098.41666666666</v>
      </c>
      <c r="I491" s="277">
        <v>46104.54166666666</v>
      </c>
      <c r="J491" s="278">
        <v>46112.45833333334</v>
      </c>
      <c r="K491" s="277">
        <v>46119.41666666666</v>
      </c>
      <c r="L491" s="278">
        <v>46126.45833333334</v>
      </c>
      <c r="M491" s="280">
        <v>46147.416666666664</v>
      </c>
      <c r="N491" s="280">
        <v>46147.458333333336</v>
      </c>
      <c r="O491" s="280">
        <v>46154.458333333336</v>
      </c>
      <c r="P491" s="280">
        <v>46161.458333333336</v>
      </c>
      <c r="Q491" s="280">
        <v>46168.458333333336</v>
      </c>
      <c r="R491" s="280">
        <v>46182.458333333336</v>
      </c>
      <c r="S491" s="280">
        <v>46210.458333333336</v>
      </c>
      <c r="T491" s="277"/>
      <c r="U491" s="278"/>
      <c r="V491" s="281"/>
      <c r="W491" s="282">
        <f t="shared" si="2"/>
        <v>46210.45833</v>
      </c>
      <c r="X491" s="283"/>
      <c r="Y491" s="283"/>
      <c r="Z491" s="235"/>
      <c r="AA491" s="43"/>
    </row>
    <row r="492" ht="15.75" hidden="1" customHeight="1">
      <c r="A492" s="265" t="s">
        <v>538</v>
      </c>
      <c r="B492" s="266" t="str">
        <f>IFERROR(VLOOKUP(A492&amp;"", STUDENTS!A:B, 2, 0), "")</f>
        <v>Tạ Phạm Minh Chương (Chivas)</v>
      </c>
      <c r="C492" s="104" t="s">
        <v>94</v>
      </c>
      <c r="D492" s="104" t="str">
        <f>IFERROR(VLOOKUP(C492, PIC!A:B, 2, 0), "")</f>
        <v>Phuoc Ta</v>
      </c>
      <c r="E492" s="105" t="s">
        <v>22</v>
      </c>
      <c r="F492" s="267">
        <v>46083.625</v>
      </c>
      <c r="G492" s="268">
        <v>46091.41666666666</v>
      </c>
      <c r="H492" s="268">
        <v>46098.41666666666</v>
      </c>
      <c r="I492" s="267" t="s">
        <v>1162</v>
      </c>
      <c r="J492" s="268">
        <v>46112.45833333334</v>
      </c>
      <c r="K492" s="267" t="s">
        <v>1162</v>
      </c>
      <c r="L492" s="268" t="s">
        <v>1162</v>
      </c>
      <c r="M492" s="270">
        <v>46147.416666666664</v>
      </c>
      <c r="N492" s="270">
        <v>46147.458333333336</v>
      </c>
      <c r="O492" s="270">
        <v>46154.458333333336</v>
      </c>
      <c r="P492" s="270">
        <v>46161.458333333336</v>
      </c>
      <c r="Q492" s="270">
        <v>46168.458333333336</v>
      </c>
      <c r="R492" s="270">
        <v>46182.458333333336</v>
      </c>
      <c r="S492" s="270">
        <v>46210.458333333336</v>
      </c>
      <c r="T492" s="267"/>
      <c r="U492" s="268"/>
      <c r="V492" s="271"/>
      <c r="W492" s="272">
        <f t="shared" si="2"/>
        <v>46210.45833</v>
      </c>
      <c r="X492" s="273"/>
      <c r="Y492" s="273"/>
      <c r="Z492" s="235"/>
      <c r="AA492" s="43"/>
    </row>
    <row r="493" ht="15.75" hidden="1" customHeight="1">
      <c r="A493" s="275" t="s">
        <v>540</v>
      </c>
      <c r="B493" s="276" t="str">
        <f>IFERROR(VLOOKUP(A493&amp;"", STUDENTS!A:B, 2, 0), "")</f>
        <v>Tạ Thiên Phước (Noah)</v>
      </c>
      <c r="C493" s="122" t="s">
        <v>94</v>
      </c>
      <c r="D493" s="122" t="str">
        <f>IFERROR(VLOOKUP(C493, PIC!A:B, 2, 0), "")</f>
        <v>Phuoc Ta</v>
      </c>
      <c r="E493" s="123" t="s">
        <v>22</v>
      </c>
      <c r="F493" s="277">
        <v>46083.625</v>
      </c>
      <c r="G493" s="278">
        <v>46091.41666666666</v>
      </c>
      <c r="H493" s="278">
        <v>46098.41666666666</v>
      </c>
      <c r="I493" s="277">
        <v>46104.54166666666</v>
      </c>
      <c r="J493" s="278">
        <v>46112.45833333334</v>
      </c>
      <c r="K493" s="277">
        <v>46119.41666666666</v>
      </c>
      <c r="L493" s="278">
        <v>46126.45833333334</v>
      </c>
      <c r="M493" s="280">
        <v>46147.416666666664</v>
      </c>
      <c r="N493" s="280">
        <v>46147.458333333336</v>
      </c>
      <c r="O493" s="280">
        <v>46154.458333333336</v>
      </c>
      <c r="P493" s="280">
        <v>46161.458333333336</v>
      </c>
      <c r="Q493" s="280">
        <v>46168.458333333336</v>
      </c>
      <c r="R493" s="280">
        <v>46182.458333333336</v>
      </c>
      <c r="S493" s="280">
        <v>46210.458333333336</v>
      </c>
      <c r="T493" s="277"/>
      <c r="U493" s="278"/>
      <c r="V493" s="281"/>
      <c r="W493" s="282">
        <f t="shared" si="2"/>
        <v>46210.45833</v>
      </c>
      <c r="X493" s="283"/>
      <c r="Y493" s="283"/>
      <c r="Z493" s="235"/>
      <c r="AA493" s="43"/>
    </row>
    <row r="494" ht="15.75" hidden="1" customHeight="1">
      <c r="A494" s="265" t="s">
        <v>542</v>
      </c>
      <c r="B494" s="266" t="str">
        <f>IFERROR(VLOOKUP(A494&amp;"", STUDENTS!A:B, 2, 0), "")</f>
        <v>Trần Hùng Cường (Ethan)</v>
      </c>
      <c r="C494" s="104" t="s">
        <v>94</v>
      </c>
      <c r="D494" s="104" t="str">
        <f>IFERROR(VLOOKUP(C494, PIC!A:B, 2, 0), "")</f>
        <v>Phuoc Ta</v>
      </c>
      <c r="E494" s="105" t="s">
        <v>22</v>
      </c>
      <c r="F494" s="267">
        <v>46083.625</v>
      </c>
      <c r="G494" s="268">
        <v>46091.41666666666</v>
      </c>
      <c r="H494" s="268">
        <v>46098.41666666666</v>
      </c>
      <c r="I494" s="267" t="s">
        <v>1162</v>
      </c>
      <c r="J494" s="268">
        <v>46112.45833333334</v>
      </c>
      <c r="K494" s="267">
        <v>46119.41666666666</v>
      </c>
      <c r="L494" s="268">
        <v>46126.45833333334</v>
      </c>
      <c r="M494" s="270">
        <v>46147.416666666664</v>
      </c>
      <c r="N494" s="270">
        <v>46147.458333333336</v>
      </c>
      <c r="O494" s="334">
        <v>46154.458333333336</v>
      </c>
      <c r="P494" s="270">
        <v>46161.458333333336</v>
      </c>
      <c r="Q494" s="270">
        <v>46168.458333333336</v>
      </c>
      <c r="R494" s="270">
        <v>46182.458333333336</v>
      </c>
      <c r="S494" s="270">
        <v>46210.458333333336</v>
      </c>
      <c r="T494" s="267"/>
      <c r="U494" s="268"/>
      <c r="V494" s="271"/>
      <c r="W494" s="272">
        <f t="shared" si="2"/>
        <v>46210.45833</v>
      </c>
      <c r="X494" s="273"/>
      <c r="Y494" s="273"/>
      <c r="Z494" s="235"/>
      <c r="AA494" s="43"/>
    </row>
    <row r="495" ht="15.75" hidden="1" customHeight="1">
      <c r="A495" s="275" t="s">
        <v>605</v>
      </c>
      <c r="B495" s="276" t="str">
        <f>IFERROR(VLOOKUP(A495&amp;"", STUDENTS!A:B, 2, 0), "")</f>
        <v>Bui Duy Tan</v>
      </c>
      <c r="C495" s="307" t="s">
        <v>1100</v>
      </c>
      <c r="D495" s="122" t="str">
        <f>IFERROR(VLOOKUP(C495, PIC!A:B, 2, 0), "")</f>
        <v>Thai Nguyen 1</v>
      </c>
      <c r="E495" s="123" t="s">
        <v>22</v>
      </c>
      <c r="F495" s="277"/>
      <c r="G495" s="278" t="s">
        <v>1162</v>
      </c>
      <c r="H495" s="278">
        <v>46127.45833333334</v>
      </c>
      <c r="I495" s="277">
        <v>46134.45833333334</v>
      </c>
      <c r="J495" s="285" t="s">
        <v>1162</v>
      </c>
      <c r="K495" s="303" t="s">
        <v>1162</v>
      </c>
      <c r="L495" s="285" t="s">
        <v>1162</v>
      </c>
      <c r="M495" s="285" t="s">
        <v>1162</v>
      </c>
      <c r="N495" s="280">
        <v>46150.416666666664</v>
      </c>
      <c r="O495" s="311">
        <v>46155.583333333336</v>
      </c>
      <c r="P495" s="279">
        <v>46162.583333333336</v>
      </c>
      <c r="Q495" s="279">
        <v>46171.416666666664</v>
      </c>
      <c r="R495" s="279">
        <v>46184.416666666664</v>
      </c>
      <c r="S495" s="279">
        <v>46198.458333333336</v>
      </c>
      <c r="T495" s="279">
        <v>46205.583333333336</v>
      </c>
      <c r="U495" s="279">
        <v>46212.583333333336</v>
      </c>
      <c r="V495" s="281"/>
      <c r="W495" s="282">
        <f t="shared" si="2"/>
        <v>46212.58333</v>
      </c>
      <c r="X495" s="283"/>
      <c r="Y495" s="283"/>
      <c r="Z495" s="235"/>
      <c r="AA495" s="43"/>
    </row>
    <row r="496" ht="15.75" hidden="1" customHeight="1">
      <c r="A496" s="335" t="s">
        <v>609</v>
      </c>
      <c r="B496" s="336" t="s">
        <v>610</v>
      </c>
      <c r="C496" s="337" t="s">
        <v>1100</v>
      </c>
      <c r="D496" s="104" t="str">
        <f>IFERROR(VLOOKUP(C496, PIC!A:B, 2, 0), "")</f>
        <v>Thai Nguyen 1</v>
      </c>
      <c r="E496" s="108" t="s">
        <v>22</v>
      </c>
      <c r="F496" s="268">
        <v>46085.58333333334</v>
      </c>
      <c r="G496" s="268">
        <v>46093.58333333334</v>
      </c>
      <c r="H496" s="268">
        <v>46099.58333333334</v>
      </c>
      <c r="I496" s="268">
        <v>46108.41666666666</v>
      </c>
      <c r="J496" s="268">
        <v>46114.625</v>
      </c>
      <c r="K496" s="268">
        <v>46121.625</v>
      </c>
      <c r="L496" s="268">
        <v>46129.41666666666</v>
      </c>
      <c r="M496" s="268">
        <v>46135.54166666666</v>
      </c>
      <c r="N496" s="270">
        <v>46150.416666666664</v>
      </c>
      <c r="O496" s="312">
        <v>46155.583333333336</v>
      </c>
      <c r="P496" s="269">
        <v>46162.583333333336</v>
      </c>
      <c r="Q496" s="269">
        <v>46171.416666666664</v>
      </c>
      <c r="R496" s="108" t="s">
        <v>1162</v>
      </c>
      <c r="S496" s="269">
        <v>46198.416666666664</v>
      </c>
      <c r="T496" s="269">
        <v>46205.416666666664</v>
      </c>
      <c r="U496" s="269">
        <v>46212.416666666664</v>
      </c>
      <c r="V496" s="271"/>
      <c r="W496" s="272">
        <f t="shared" si="2"/>
        <v>46212.41667</v>
      </c>
      <c r="X496" s="273"/>
      <c r="Y496" s="273"/>
      <c r="Z496" s="235"/>
      <c r="AA496" s="43"/>
    </row>
    <row r="497" ht="15.75" hidden="1" customHeight="1">
      <c r="A497" s="338" t="s">
        <v>611</v>
      </c>
      <c r="B497" s="339" t="s">
        <v>612</v>
      </c>
      <c r="C497" s="307" t="s">
        <v>1100</v>
      </c>
      <c r="D497" s="122" t="str">
        <f>IFERROR(VLOOKUP(C497, PIC!A:B, 2, 0), "")</f>
        <v>Thai Nguyen 1</v>
      </c>
      <c r="E497" s="285" t="s">
        <v>22</v>
      </c>
      <c r="F497" s="278">
        <v>46085.58333333334</v>
      </c>
      <c r="G497" s="278">
        <v>46093.58333333334</v>
      </c>
      <c r="H497" s="278">
        <v>46099.58333333334</v>
      </c>
      <c r="I497" s="278">
        <v>46108.41666666666</v>
      </c>
      <c r="J497" s="278"/>
      <c r="K497" s="278">
        <v>46121.625</v>
      </c>
      <c r="L497" s="278">
        <v>46129.41666666666</v>
      </c>
      <c r="M497" s="278" t="s">
        <v>1162</v>
      </c>
      <c r="N497" s="280">
        <v>46150.416666666664</v>
      </c>
      <c r="O497" s="311">
        <v>46155.583333333336</v>
      </c>
      <c r="P497" s="279">
        <v>46162.583333333336</v>
      </c>
      <c r="Q497" s="279">
        <v>46171.416666666664</v>
      </c>
      <c r="R497" s="279">
        <v>46184.416666666664</v>
      </c>
      <c r="S497" s="279">
        <v>46198.416666666664</v>
      </c>
      <c r="T497" s="279">
        <v>46205.416666666664</v>
      </c>
      <c r="U497" s="279">
        <v>46212.416666666664</v>
      </c>
      <c r="V497" s="281"/>
      <c r="W497" s="282">
        <f t="shared" si="2"/>
        <v>46212.41667</v>
      </c>
      <c r="X497" s="283"/>
      <c r="Y497" s="283"/>
      <c r="Z497" s="235"/>
      <c r="AA497" s="43"/>
    </row>
    <row r="498" ht="15.75" hidden="1" customHeight="1">
      <c r="A498" s="335" t="s">
        <v>613</v>
      </c>
      <c r="B498" s="336" t="s">
        <v>614</v>
      </c>
      <c r="C498" s="337" t="s">
        <v>1100</v>
      </c>
      <c r="D498" s="104" t="str">
        <f>IFERROR(VLOOKUP(C498, PIC!A:B, 2, 0), "")</f>
        <v>Thai Nguyen 1</v>
      </c>
      <c r="E498" s="108" t="s">
        <v>22</v>
      </c>
      <c r="F498" s="268">
        <v>46085.58333333334</v>
      </c>
      <c r="G498" s="268">
        <v>46093.58333333334</v>
      </c>
      <c r="H498" s="268">
        <v>46099.58333333334</v>
      </c>
      <c r="I498" s="268">
        <v>46108.41666666666</v>
      </c>
      <c r="J498" s="268">
        <v>46114.625</v>
      </c>
      <c r="K498" s="268">
        <v>46121.625</v>
      </c>
      <c r="L498" s="268">
        <v>46129.41666666666</v>
      </c>
      <c r="M498" s="268">
        <v>46135.54166666666</v>
      </c>
      <c r="N498" s="270">
        <v>46150.416666666664</v>
      </c>
      <c r="O498" s="312">
        <v>46155.583333333336</v>
      </c>
      <c r="P498" s="269">
        <v>46162.583333333336</v>
      </c>
      <c r="Q498" s="269">
        <v>46171.416666666664</v>
      </c>
      <c r="R498" s="269">
        <v>46184.416666666664</v>
      </c>
      <c r="S498" s="269">
        <v>46198.416666666664</v>
      </c>
      <c r="T498" s="269">
        <v>46205.416666666664</v>
      </c>
      <c r="U498" s="269">
        <v>46212.416666666664</v>
      </c>
      <c r="V498" s="271"/>
      <c r="W498" s="272">
        <f t="shared" si="2"/>
        <v>46212.41667</v>
      </c>
      <c r="X498" s="273"/>
      <c r="Y498" s="273"/>
      <c r="Z498" s="235"/>
      <c r="AA498" s="43"/>
    </row>
    <row r="499" ht="15.75" hidden="1" customHeight="1">
      <c r="A499" s="338" t="s">
        <v>615</v>
      </c>
      <c r="B499" s="339" t="s">
        <v>616</v>
      </c>
      <c r="C499" s="307" t="s">
        <v>1100</v>
      </c>
      <c r="D499" s="122" t="str">
        <f>IFERROR(VLOOKUP(C499, PIC!A:B, 2, 0), "")</f>
        <v>Thai Nguyen 1</v>
      </c>
      <c r="E499" s="285" t="s">
        <v>22</v>
      </c>
      <c r="F499" s="278">
        <v>46085.58333333334</v>
      </c>
      <c r="G499" s="278">
        <v>46093.58333333334</v>
      </c>
      <c r="H499" s="278">
        <v>46099.58333333334</v>
      </c>
      <c r="I499" s="278">
        <v>46108.41666666666</v>
      </c>
      <c r="J499" s="278">
        <v>46114.625</v>
      </c>
      <c r="K499" s="278">
        <v>46121.625</v>
      </c>
      <c r="L499" s="278">
        <v>46129.41666666666</v>
      </c>
      <c r="M499" s="278">
        <v>46135.54166666666</v>
      </c>
      <c r="N499" s="280">
        <v>46150.416666666664</v>
      </c>
      <c r="O499" s="311">
        <v>46155.583333333336</v>
      </c>
      <c r="P499" s="279">
        <v>46162.583333333336</v>
      </c>
      <c r="Q499" s="279">
        <v>46171.416666666664</v>
      </c>
      <c r="R499" s="285" t="s">
        <v>1162</v>
      </c>
      <c r="S499" s="279">
        <v>46198.416666666664</v>
      </c>
      <c r="T499" s="279">
        <v>46205.416666666664</v>
      </c>
      <c r="U499" s="279">
        <v>46212.416666666664</v>
      </c>
      <c r="V499" s="281"/>
      <c r="W499" s="282">
        <f t="shared" si="2"/>
        <v>46212.41667</v>
      </c>
      <c r="X499" s="283"/>
      <c r="Y499" s="283"/>
      <c r="Z499" s="235"/>
      <c r="AA499" s="43"/>
    </row>
    <row r="500" ht="15.75" hidden="1" customHeight="1">
      <c r="A500" s="335" t="s">
        <v>617</v>
      </c>
      <c r="B500" s="336" t="s">
        <v>1181</v>
      </c>
      <c r="C500" s="337" t="s">
        <v>1100</v>
      </c>
      <c r="D500" s="104" t="str">
        <f>IFERROR(VLOOKUP(C500, PIC!A:B, 2, 0), "")</f>
        <v>Thai Nguyen 1</v>
      </c>
      <c r="E500" s="108" t="s">
        <v>22</v>
      </c>
      <c r="F500" s="268">
        <v>46085.58333333334</v>
      </c>
      <c r="G500" s="268">
        <v>46093.58333333334</v>
      </c>
      <c r="H500" s="268" t="s">
        <v>1162</v>
      </c>
      <c r="I500" s="268">
        <v>46108.41666666666</v>
      </c>
      <c r="J500" s="268">
        <v>46114.625</v>
      </c>
      <c r="K500" s="268">
        <v>46121.625</v>
      </c>
      <c r="L500" s="268" t="s">
        <v>1162</v>
      </c>
      <c r="M500" s="268">
        <v>46135.54166666666</v>
      </c>
      <c r="N500" s="270">
        <v>46150.416666666664</v>
      </c>
      <c r="O500" s="312">
        <v>46155.583333333336</v>
      </c>
      <c r="P500" s="269">
        <v>46162.583333333336</v>
      </c>
      <c r="Q500" s="269">
        <v>46171.416666666664</v>
      </c>
      <c r="R500" s="269">
        <v>46184.416666666664</v>
      </c>
      <c r="S500" s="269">
        <v>46198.416666666664</v>
      </c>
      <c r="T500" s="269">
        <v>46205.416666666664</v>
      </c>
      <c r="U500" s="269">
        <v>46212.416666666664</v>
      </c>
      <c r="V500" s="271"/>
      <c r="W500" s="272">
        <f t="shared" si="2"/>
        <v>46212.41667</v>
      </c>
      <c r="X500" s="273"/>
      <c r="Y500" s="273"/>
      <c r="Z500" s="235"/>
      <c r="AA500" s="43"/>
    </row>
    <row r="501" ht="15.75" hidden="1" customHeight="1">
      <c r="A501" s="335" t="s">
        <v>607</v>
      </c>
      <c r="B501" s="339" t="s">
        <v>608</v>
      </c>
      <c r="C501" s="307" t="s">
        <v>1100</v>
      </c>
      <c r="D501" s="122" t="str">
        <f>IFERROR(VLOOKUP(C501, PIC!A:B, 2, 0), "")</f>
        <v>Thai Nguyen 1</v>
      </c>
      <c r="E501" s="285" t="s">
        <v>22</v>
      </c>
      <c r="F501" s="278">
        <v>46085.58333333334</v>
      </c>
      <c r="G501" s="278">
        <v>46093.58333333334</v>
      </c>
      <c r="H501" s="278" t="s">
        <v>1162</v>
      </c>
      <c r="I501" s="278">
        <v>46108.41666666666</v>
      </c>
      <c r="J501" s="278">
        <v>46114.625</v>
      </c>
      <c r="K501" s="278">
        <v>46121.625</v>
      </c>
      <c r="L501" s="281">
        <v>46129.41666666666</v>
      </c>
      <c r="M501" s="278">
        <v>46135.54166666666</v>
      </c>
      <c r="N501" s="280">
        <v>46150.416666666664</v>
      </c>
      <c r="O501" s="279">
        <v>46155.583333333336</v>
      </c>
      <c r="P501" s="279">
        <v>46162.583333333336</v>
      </c>
      <c r="Q501" s="279">
        <v>46171.416666666664</v>
      </c>
      <c r="R501" s="279">
        <v>46184.416666666664</v>
      </c>
      <c r="S501" s="279">
        <v>46198.458333333336</v>
      </c>
      <c r="T501" s="279">
        <v>46205.416666666664</v>
      </c>
      <c r="U501" s="279">
        <v>46212.416666666664</v>
      </c>
      <c r="V501" s="281"/>
      <c r="W501" s="282">
        <f t="shared" si="2"/>
        <v>46212.41667</v>
      </c>
      <c r="X501" s="283"/>
      <c r="Y501" s="283"/>
      <c r="Z501" s="235"/>
      <c r="AA501" s="43"/>
    </row>
    <row r="502" ht="15.75" hidden="1" customHeight="1">
      <c r="A502" s="338" t="s">
        <v>619</v>
      </c>
      <c r="B502" s="339" t="s">
        <v>620</v>
      </c>
      <c r="C502" s="337" t="s">
        <v>1101</v>
      </c>
      <c r="D502" s="104" t="str">
        <f>IFERROR(VLOOKUP(C502, PIC!A:B, 2, 0), "")</f>
        <v>Thai Nguyen 2</v>
      </c>
      <c r="E502" s="108" t="s">
        <v>22</v>
      </c>
      <c r="F502" s="268">
        <v>46085.625</v>
      </c>
      <c r="G502" s="268">
        <v>46093.41666666666</v>
      </c>
      <c r="H502" s="268">
        <v>46099.58333333334</v>
      </c>
      <c r="I502" s="268">
        <v>46107.41666666666</v>
      </c>
      <c r="J502" s="268">
        <v>46115.625</v>
      </c>
      <c r="K502" s="268">
        <v>46128.625</v>
      </c>
      <c r="L502" s="271">
        <v>46129.41666666666</v>
      </c>
      <c r="M502" s="268">
        <v>46135.625</v>
      </c>
      <c r="N502" s="270">
        <v>46149.458333333336</v>
      </c>
      <c r="O502" s="270">
        <v>46157.416666666664</v>
      </c>
      <c r="P502" s="269">
        <v>46162.458333333336</v>
      </c>
      <c r="Q502" s="269">
        <v>46169.541666666664</v>
      </c>
      <c r="R502" s="269">
        <v>46184.583333333336</v>
      </c>
      <c r="S502" s="269">
        <v>46198.458333333336</v>
      </c>
      <c r="T502" s="269">
        <v>46205.583333333336</v>
      </c>
      <c r="U502" s="269">
        <v>46212.583333333336</v>
      </c>
      <c r="V502" s="271"/>
      <c r="W502" s="272">
        <f t="shared" si="2"/>
        <v>46212.58333</v>
      </c>
      <c r="X502" s="273"/>
      <c r="Y502" s="273"/>
      <c r="Z502" s="235"/>
      <c r="AA502" s="43"/>
    </row>
    <row r="503" ht="15.75" hidden="1" customHeight="1">
      <c r="A503" s="335" t="s">
        <v>621</v>
      </c>
      <c r="B503" s="336" t="s">
        <v>622</v>
      </c>
      <c r="C503" s="307" t="s">
        <v>1101</v>
      </c>
      <c r="D503" s="122" t="str">
        <f>IFERROR(VLOOKUP(C503, PIC!A:B, 2, 0), "")</f>
        <v>Thai Nguyen 2</v>
      </c>
      <c r="E503" s="285" t="s">
        <v>22</v>
      </c>
      <c r="F503" s="278">
        <v>46085.625</v>
      </c>
      <c r="G503" s="278">
        <v>46093.41666666666</v>
      </c>
      <c r="H503" s="278">
        <v>46099.58333333334</v>
      </c>
      <c r="I503" s="278">
        <v>46107.41666666666</v>
      </c>
      <c r="J503" s="278" t="s">
        <v>1162</v>
      </c>
      <c r="K503" s="278">
        <v>46128.625</v>
      </c>
      <c r="L503" s="281">
        <v>46129.41666666666</v>
      </c>
      <c r="M503" s="278">
        <v>46135.625</v>
      </c>
      <c r="N503" s="280">
        <v>46149.458333333336</v>
      </c>
      <c r="O503" s="280">
        <v>46157.416666666664</v>
      </c>
      <c r="P503" s="279">
        <v>46162.458333333336</v>
      </c>
      <c r="Q503" s="279">
        <v>46169.583333333336</v>
      </c>
      <c r="R503" s="279">
        <v>46184.583333333336</v>
      </c>
      <c r="S503" s="279">
        <v>46198.458333333336</v>
      </c>
      <c r="T503" s="279">
        <v>46205.583333333336</v>
      </c>
      <c r="U503" s="279">
        <v>46212.583333333336</v>
      </c>
      <c r="V503" s="281"/>
      <c r="W503" s="282">
        <f t="shared" si="2"/>
        <v>46212.58333</v>
      </c>
      <c r="X503" s="283"/>
      <c r="Y503" s="283"/>
      <c r="Z503" s="235"/>
      <c r="AA503" s="43"/>
    </row>
    <row r="504" ht="15.75" hidden="1" customHeight="1">
      <c r="A504" s="335" t="s">
        <v>625</v>
      </c>
      <c r="B504" s="336" t="s">
        <v>626</v>
      </c>
      <c r="C504" s="337" t="s">
        <v>1101</v>
      </c>
      <c r="D504" s="104" t="str">
        <f>IFERROR(VLOOKUP(C504, PIC!A:B, 2, 0), "")</f>
        <v>Thai Nguyen 2</v>
      </c>
      <c r="E504" s="108" t="s">
        <v>22</v>
      </c>
      <c r="F504" s="268">
        <v>46085.625</v>
      </c>
      <c r="G504" s="268">
        <v>46093.41666666666</v>
      </c>
      <c r="H504" s="268" t="s">
        <v>1162</v>
      </c>
      <c r="I504" s="268">
        <v>46107.41666666666</v>
      </c>
      <c r="J504" s="268">
        <v>46115.625</v>
      </c>
      <c r="K504" s="268">
        <v>46128.625</v>
      </c>
      <c r="L504" s="271">
        <v>46129.41666666666</v>
      </c>
      <c r="M504" s="268">
        <v>46135.625</v>
      </c>
      <c r="N504" s="270">
        <v>46149.458333333336</v>
      </c>
      <c r="O504" s="108" t="s">
        <v>1162</v>
      </c>
      <c r="P504" s="269">
        <v>46162.458333333336</v>
      </c>
      <c r="Q504" s="269">
        <v>46169.541666666664</v>
      </c>
      <c r="R504" s="269">
        <v>46184.583333333336</v>
      </c>
      <c r="S504" s="269">
        <v>46198.458333333336</v>
      </c>
      <c r="T504" s="284" t="s">
        <v>1162</v>
      </c>
      <c r="U504" s="269">
        <v>46212.583333333336</v>
      </c>
      <c r="V504" s="271"/>
      <c r="W504" s="272">
        <f t="shared" si="2"/>
        <v>46212.58333</v>
      </c>
      <c r="X504" s="273"/>
      <c r="Y504" s="273"/>
      <c r="Z504" s="235"/>
      <c r="AA504" s="43"/>
    </row>
    <row r="505" ht="15.75" hidden="1" customHeight="1">
      <c r="A505" s="338" t="s">
        <v>627</v>
      </c>
      <c r="B505" s="339" t="s">
        <v>628</v>
      </c>
      <c r="C505" s="307" t="s">
        <v>1101</v>
      </c>
      <c r="D505" s="122" t="str">
        <f>IFERROR(VLOOKUP(C505, PIC!A:B, 2, 0), "")</f>
        <v>Thai Nguyen 2</v>
      </c>
      <c r="E505" s="285" t="s">
        <v>22</v>
      </c>
      <c r="F505" s="278">
        <v>46085.625</v>
      </c>
      <c r="G505" s="278">
        <v>46093.41666666666</v>
      </c>
      <c r="H505" s="278">
        <v>46099.58333333334</v>
      </c>
      <c r="I505" s="278">
        <v>46107.41666666666</v>
      </c>
      <c r="J505" s="278">
        <v>46115.625</v>
      </c>
      <c r="K505" s="278">
        <v>46128.625</v>
      </c>
      <c r="L505" s="281">
        <v>46129.41666666666</v>
      </c>
      <c r="M505" s="278">
        <v>46135.625</v>
      </c>
      <c r="N505" s="280">
        <v>46149.458333333336</v>
      </c>
      <c r="O505" s="280">
        <v>46157.416666666664</v>
      </c>
      <c r="P505" s="279">
        <v>46162.458333333336</v>
      </c>
      <c r="Q505" s="279">
        <v>46169.541666666664</v>
      </c>
      <c r="R505" s="279">
        <v>46184.583333333336</v>
      </c>
      <c r="S505" s="279">
        <v>46198.458333333336</v>
      </c>
      <c r="T505" s="279">
        <v>46205.583333333336</v>
      </c>
      <c r="U505" s="279">
        <v>46212.583333333336</v>
      </c>
      <c r="V505" s="281"/>
      <c r="W505" s="282">
        <f t="shared" si="2"/>
        <v>46212.58333</v>
      </c>
      <c r="X505" s="283"/>
      <c r="Y505" s="283"/>
      <c r="Z505" s="235"/>
      <c r="AA505" s="43"/>
    </row>
    <row r="506" ht="15.75" hidden="1" customHeight="1">
      <c r="A506" s="335" t="s">
        <v>629</v>
      </c>
      <c r="B506" s="339" t="s">
        <v>1102</v>
      </c>
      <c r="C506" s="337" t="s">
        <v>1101</v>
      </c>
      <c r="D506" s="104" t="str">
        <f>IFERROR(VLOOKUP(C506, PIC!A:B, 2, 0), "")</f>
        <v>Thai Nguyen 2</v>
      </c>
      <c r="E506" s="108" t="s">
        <v>22</v>
      </c>
      <c r="F506" s="268"/>
      <c r="G506" s="268"/>
      <c r="H506" s="268"/>
      <c r="I506" s="268">
        <v>46107.41666666666</v>
      </c>
      <c r="J506" s="268" t="s">
        <v>1162</v>
      </c>
      <c r="K506" s="268">
        <v>46128.625</v>
      </c>
      <c r="L506" s="268"/>
      <c r="M506" s="268">
        <v>46135.625</v>
      </c>
      <c r="N506" s="270">
        <v>46149.458333333336</v>
      </c>
      <c r="O506" s="270">
        <v>46157.416666666664</v>
      </c>
      <c r="P506" s="269">
        <v>46162.458333333336</v>
      </c>
      <c r="Q506" s="108" t="s">
        <v>1162</v>
      </c>
      <c r="R506" s="269">
        <v>46184.583333333336</v>
      </c>
      <c r="S506" s="284" t="s">
        <v>1162</v>
      </c>
      <c r="T506" s="269">
        <v>46205.583333333336</v>
      </c>
      <c r="U506" s="269">
        <v>46212.583333333336</v>
      </c>
      <c r="V506" s="271"/>
      <c r="W506" s="272">
        <f t="shared" si="2"/>
        <v>46212.58333</v>
      </c>
      <c r="X506" s="273"/>
      <c r="Y506" s="273"/>
      <c r="Z506" s="235"/>
      <c r="AA506" s="43"/>
    </row>
    <row r="507" ht="15.75" hidden="1" customHeight="1">
      <c r="A507" s="338" t="s">
        <v>623</v>
      </c>
      <c r="B507" s="339" t="s">
        <v>624</v>
      </c>
      <c r="C507" s="307" t="s">
        <v>1101</v>
      </c>
      <c r="D507" s="122" t="str">
        <f>IFERROR(VLOOKUP(C507, PIC!A:B, 2, 0), "")</f>
        <v>Thai Nguyen 2</v>
      </c>
      <c r="E507" s="285" t="s">
        <v>22</v>
      </c>
      <c r="F507" s="278">
        <v>46085.625</v>
      </c>
      <c r="G507" s="278">
        <v>46093.41666666666</v>
      </c>
      <c r="H507" s="278" t="s">
        <v>1162</v>
      </c>
      <c r="I507" s="278">
        <v>46107.41666666666</v>
      </c>
      <c r="J507" s="278">
        <v>46115.625</v>
      </c>
      <c r="K507" s="278">
        <v>46128.625</v>
      </c>
      <c r="L507" s="281">
        <v>46129.41666666666</v>
      </c>
      <c r="M507" s="278">
        <v>46135.625</v>
      </c>
      <c r="N507" s="285" t="s">
        <v>1162</v>
      </c>
      <c r="O507" s="285" t="s">
        <v>1162</v>
      </c>
      <c r="P507" s="285" t="s">
        <v>1162</v>
      </c>
      <c r="Q507" s="285" t="s">
        <v>1162</v>
      </c>
      <c r="R507" s="279">
        <v>46184.583333333336</v>
      </c>
      <c r="S507" s="303" t="s">
        <v>1162</v>
      </c>
      <c r="T507" s="303" t="s">
        <v>1162</v>
      </c>
      <c r="U507" s="285" t="s">
        <v>1162</v>
      </c>
      <c r="V507" s="281"/>
      <c r="W507" s="282">
        <f t="shared" si="2"/>
        <v>46184.58333</v>
      </c>
      <c r="X507" s="283"/>
      <c r="Y507" s="283"/>
      <c r="Z507" s="235"/>
      <c r="AA507" s="43"/>
    </row>
    <row r="508" ht="15.75" hidden="1" customHeight="1">
      <c r="A508" s="338" t="s">
        <v>693</v>
      </c>
      <c r="B508" s="339" t="s">
        <v>694</v>
      </c>
      <c r="C508" s="337" t="s">
        <v>1103</v>
      </c>
      <c r="D508" s="104" t="str">
        <f>IFERROR(VLOOKUP(C508, PIC!A:B, 2, 0), "")</f>
        <v>Trang Ngo</v>
      </c>
      <c r="E508" s="108" t="s">
        <v>22</v>
      </c>
      <c r="F508" s="268"/>
      <c r="G508" s="268"/>
      <c r="H508" s="268">
        <v>46113.58333333334</v>
      </c>
      <c r="I508" s="268">
        <v>46120.41666666666</v>
      </c>
      <c r="J508" s="268" t="s">
        <v>1162</v>
      </c>
      <c r="K508" s="268">
        <v>46134.41666666666</v>
      </c>
      <c r="L508" s="334">
        <v>46148.458333333336</v>
      </c>
      <c r="M508" s="270">
        <v>46154.416666666664</v>
      </c>
      <c r="N508" s="270">
        <v>46163.583333333336</v>
      </c>
      <c r="O508" s="270">
        <v>46168.416666666664</v>
      </c>
      <c r="P508" s="270">
        <v>46183.458333333336</v>
      </c>
      <c r="Q508" s="269">
        <v>46191.625</v>
      </c>
      <c r="R508" s="270">
        <v>46197.458333333336</v>
      </c>
      <c r="S508" s="284" t="s">
        <v>1162</v>
      </c>
      <c r="T508" s="269">
        <v>46212.541666666664</v>
      </c>
      <c r="U508" s="268"/>
      <c r="V508" s="271"/>
      <c r="W508" s="272">
        <f t="shared" si="2"/>
        <v>46212.54167</v>
      </c>
      <c r="X508" s="273"/>
      <c r="Y508" s="273"/>
      <c r="Z508" s="235"/>
      <c r="AA508" s="43"/>
    </row>
    <row r="509" ht="15.75" hidden="1" customHeight="1">
      <c r="A509" s="335" t="s">
        <v>695</v>
      </c>
      <c r="B509" s="336" t="s">
        <v>696</v>
      </c>
      <c r="C509" s="307" t="s">
        <v>1103</v>
      </c>
      <c r="D509" s="122" t="str">
        <f>IFERROR(VLOOKUP(C509, PIC!A:B, 2, 0), "")</f>
        <v>Trang Ngo</v>
      </c>
      <c r="E509" s="285" t="s">
        <v>22</v>
      </c>
      <c r="F509" s="278"/>
      <c r="G509" s="278"/>
      <c r="H509" s="278">
        <v>46113.58333333334</v>
      </c>
      <c r="I509" s="278">
        <v>46120.41666666666</v>
      </c>
      <c r="J509" s="278">
        <v>46127.41666666666</v>
      </c>
      <c r="K509" s="278">
        <v>46134.41666666666</v>
      </c>
      <c r="L509" s="280">
        <v>46148.458333333336</v>
      </c>
      <c r="M509" s="280" t="s">
        <v>1162</v>
      </c>
      <c r="N509" s="280">
        <v>46163.583333333336</v>
      </c>
      <c r="O509" s="280">
        <v>46168.416666666664</v>
      </c>
      <c r="P509" s="280">
        <v>46183.458333333336</v>
      </c>
      <c r="Q509" s="285" t="s">
        <v>1162</v>
      </c>
      <c r="R509" s="280">
        <v>46197.458333333336</v>
      </c>
      <c r="S509" s="279">
        <v>46205.541666666664</v>
      </c>
      <c r="T509" s="279">
        <v>46212.541666666664</v>
      </c>
      <c r="U509" s="278"/>
      <c r="V509" s="281"/>
      <c r="W509" s="282">
        <f t="shared" si="2"/>
        <v>46212.54167</v>
      </c>
      <c r="X509" s="283"/>
      <c r="Y509" s="283"/>
      <c r="Z509" s="235"/>
      <c r="AA509" s="43"/>
    </row>
    <row r="510" ht="15.75" hidden="1" customHeight="1">
      <c r="A510" s="335" t="s">
        <v>691</v>
      </c>
      <c r="B510" s="336" t="s">
        <v>692</v>
      </c>
      <c r="C510" s="337" t="s">
        <v>1103</v>
      </c>
      <c r="D510" s="104" t="str">
        <f>IFERROR(VLOOKUP(C510, PIC!A:B, 2, 0), "")</f>
        <v>Trang Ngo</v>
      </c>
      <c r="E510" s="108" t="s">
        <v>22</v>
      </c>
      <c r="F510" s="268"/>
      <c r="G510" s="268"/>
      <c r="H510" s="268">
        <v>46113.58333333334</v>
      </c>
      <c r="I510" s="268">
        <v>46120.41666666666</v>
      </c>
      <c r="J510" s="268">
        <v>46127.41666666666</v>
      </c>
      <c r="K510" s="268">
        <v>46134.41666666666</v>
      </c>
      <c r="L510" s="334" t="s">
        <v>1162</v>
      </c>
      <c r="M510" s="270">
        <v>46154.416666666664</v>
      </c>
      <c r="N510" s="108" t="s">
        <v>1162</v>
      </c>
      <c r="O510" s="270">
        <v>46168.416666666664</v>
      </c>
      <c r="P510" s="270">
        <v>46183.458333333336</v>
      </c>
      <c r="Q510" s="269">
        <v>46191.625</v>
      </c>
      <c r="R510" s="270">
        <v>46197.458333333336</v>
      </c>
      <c r="S510" s="269">
        <v>46205.541666666664</v>
      </c>
      <c r="T510" s="269">
        <v>46212.541666666664</v>
      </c>
      <c r="U510" s="268"/>
      <c r="V510" s="271"/>
      <c r="W510" s="272">
        <f t="shared" si="2"/>
        <v>46212.54167</v>
      </c>
      <c r="X510" s="273"/>
      <c r="Y510" s="273"/>
      <c r="Z510" s="235"/>
      <c r="AA510" s="43"/>
    </row>
    <row r="511" ht="15.75" hidden="1" customHeight="1">
      <c r="A511" s="338" t="s">
        <v>697</v>
      </c>
      <c r="B511" s="339" t="s">
        <v>698</v>
      </c>
      <c r="C511" s="307" t="s">
        <v>1103</v>
      </c>
      <c r="D511" s="122" t="str">
        <f>IFERROR(VLOOKUP(C511, PIC!A:B, 2, 0), "")</f>
        <v>Trang Ngo</v>
      </c>
      <c r="E511" s="285" t="s">
        <v>22</v>
      </c>
      <c r="F511" s="278"/>
      <c r="G511" s="278"/>
      <c r="H511" s="278" t="s">
        <v>1162</v>
      </c>
      <c r="I511" s="278">
        <v>46120.41666666666</v>
      </c>
      <c r="J511" s="278">
        <v>46127.41666666666</v>
      </c>
      <c r="K511" s="278">
        <v>46134.41666666666</v>
      </c>
      <c r="L511" s="280">
        <v>46148.458333333336</v>
      </c>
      <c r="M511" s="280">
        <v>46154.416666666664</v>
      </c>
      <c r="N511" s="280">
        <v>46163.583333333336</v>
      </c>
      <c r="O511" s="280">
        <v>46168.416666666664</v>
      </c>
      <c r="P511" s="285" t="s">
        <v>1162</v>
      </c>
      <c r="Q511" s="279">
        <v>46191.625</v>
      </c>
      <c r="R511" s="280">
        <v>46197.458333333336</v>
      </c>
      <c r="S511" s="285" t="s">
        <v>1162</v>
      </c>
      <c r="T511" s="279">
        <v>46212.541666666664</v>
      </c>
      <c r="U511" s="278"/>
      <c r="V511" s="281"/>
      <c r="W511" s="282">
        <f t="shared" si="2"/>
        <v>46212.54167</v>
      </c>
      <c r="X511" s="283"/>
      <c r="Y511" s="283"/>
      <c r="Z511" s="235"/>
      <c r="AA511" s="43"/>
    </row>
    <row r="512" ht="15.75" hidden="1" customHeight="1">
      <c r="A512" s="335" t="s">
        <v>699</v>
      </c>
      <c r="B512" s="336" t="s">
        <v>700</v>
      </c>
      <c r="C512" s="337" t="s">
        <v>1103</v>
      </c>
      <c r="D512" s="104" t="str">
        <f>IFERROR(VLOOKUP(C512, PIC!A:B, 2, 0), "")</f>
        <v>Trang Ngo</v>
      </c>
      <c r="E512" s="108" t="s">
        <v>22</v>
      </c>
      <c r="F512" s="268"/>
      <c r="G512" s="268"/>
      <c r="H512" s="268">
        <v>46113.58333333334</v>
      </c>
      <c r="I512" s="268">
        <v>46120.41666666666</v>
      </c>
      <c r="J512" s="268">
        <v>46127.41666666666</v>
      </c>
      <c r="K512" s="268">
        <v>46134.41666666666</v>
      </c>
      <c r="L512" s="270">
        <v>46148.458333333336</v>
      </c>
      <c r="M512" s="270">
        <v>46154.416666666664</v>
      </c>
      <c r="N512" s="270">
        <v>46163.583333333336</v>
      </c>
      <c r="O512" s="270">
        <v>46168.416666666664</v>
      </c>
      <c r="P512" s="270">
        <v>46183.458333333336</v>
      </c>
      <c r="Q512" s="269">
        <v>46191.625</v>
      </c>
      <c r="R512" s="108" t="s">
        <v>1162</v>
      </c>
      <c r="S512" s="269">
        <v>46205.541666666664</v>
      </c>
      <c r="T512" s="269">
        <v>46212.541666666664</v>
      </c>
      <c r="U512" s="268"/>
      <c r="V512" s="271"/>
      <c r="W512" s="272">
        <f t="shared" si="2"/>
        <v>46212.54167</v>
      </c>
      <c r="X512" s="273"/>
      <c r="Y512" s="273"/>
      <c r="Z512" s="235"/>
      <c r="AA512" s="43"/>
    </row>
    <row r="513" ht="15.75" hidden="1" customHeight="1">
      <c r="A513" s="338" t="s">
        <v>701</v>
      </c>
      <c r="B513" s="339" t="s">
        <v>702</v>
      </c>
      <c r="C513" s="307" t="s">
        <v>1103</v>
      </c>
      <c r="D513" s="122" t="str">
        <f>IFERROR(VLOOKUP(C513, PIC!A:B, 2, 0), "")</f>
        <v>Trang Ngo</v>
      </c>
      <c r="E513" s="285" t="s">
        <v>22</v>
      </c>
      <c r="F513" s="278"/>
      <c r="G513" s="278"/>
      <c r="H513" s="278">
        <v>46113.58333333334</v>
      </c>
      <c r="I513" s="278">
        <v>46120.41666666666</v>
      </c>
      <c r="J513" s="278">
        <v>46127.41666666666</v>
      </c>
      <c r="K513" s="278">
        <v>46134.41666666666</v>
      </c>
      <c r="L513" s="280">
        <v>46148.458333333336</v>
      </c>
      <c r="M513" s="280">
        <v>46154.416666666664</v>
      </c>
      <c r="N513" s="280">
        <v>46163.583333333336</v>
      </c>
      <c r="O513" s="280">
        <v>46168.416666666664</v>
      </c>
      <c r="P513" s="280">
        <v>46183.458333333336</v>
      </c>
      <c r="Q513" s="279">
        <v>46191.625</v>
      </c>
      <c r="R513" s="280">
        <v>46197.458333333336</v>
      </c>
      <c r="S513" s="279">
        <v>46205.541666666664</v>
      </c>
      <c r="T513" s="279">
        <v>46212.541666666664</v>
      </c>
      <c r="U513" s="278"/>
      <c r="V513" s="281"/>
      <c r="W513" s="282">
        <f t="shared" si="2"/>
        <v>46212.54167</v>
      </c>
      <c r="X513" s="283"/>
      <c r="Y513" s="283"/>
      <c r="Z513" s="235"/>
      <c r="AA513" s="43"/>
    </row>
    <row r="514" ht="15.75" hidden="1" customHeight="1">
      <c r="A514" s="104" t="s">
        <v>703</v>
      </c>
      <c r="B514" s="108" t="s">
        <v>1105</v>
      </c>
      <c r="C514" s="337" t="s">
        <v>1103</v>
      </c>
      <c r="D514" s="104" t="str">
        <f>IFERROR(VLOOKUP(C514, PIC!A:B, 2, 0), "")</f>
        <v>Trang Ngo</v>
      </c>
      <c r="E514" s="108" t="s">
        <v>22</v>
      </c>
      <c r="F514" s="268"/>
      <c r="G514" s="268"/>
      <c r="H514" s="268">
        <v>46113.58333333334</v>
      </c>
      <c r="I514" s="268">
        <v>46120.41666666666</v>
      </c>
      <c r="J514" s="268" t="s">
        <v>1162</v>
      </c>
      <c r="K514" s="268">
        <v>46134.41666666666</v>
      </c>
      <c r="L514" s="270">
        <v>46148.458333333336</v>
      </c>
      <c r="M514" s="270">
        <v>46154.416666666664</v>
      </c>
      <c r="N514" s="270">
        <v>46163.583333333336</v>
      </c>
      <c r="O514" s="270">
        <v>46168.416666666664</v>
      </c>
      <c r="P514" s="108" t="s">
        <v>1162</v>
      </c>
      <c r="Q514" s="269">
        <v>46191.625</v>
      </c>
      <c r="R514" s="108" t="s">
        <v>1162</v>
      </c>
      <c r="S514" s="269">
        <v>46205.541666666664</v>
      </c>
      <c r="T514" s="269">
        <v>46212.541666666664</v>
      </c>
      <c r="U514" s="268"/>
      <c r="V514" s="271"/>
      <c r="W514" s="272">
        <f t="shared" si="2"/>
        <v>46212.54167</v>
      </c>
      <c r="X514" s="273"/>
      <c r="Y514" s="273"/>
      <c r="Z514" s="235"/>
      <c r="AA514" s="43"/>
    </row>
    <row r="515" ht="15.75" hidden="1" customHeight="1">
      <c r="A515" s="275" t="s">
        <v>512</v>
      </c>
      <c r="B515" s="276" t="str">
        <f>IFERROR(VLOOKUP(A515&amp;"", STUDENTS!A:B, 2, 0), "")</f>
        <v>CHUNG QUANG PHƯƠNG</v>
      </c>
      <c r="C515" s="122" t="s">
        <v>95</v>
      </c>
      <c r="D515" s="122" t="str">
        <f>IFERROR(VLOOKUP(C515, PIC!A:B, 2, 0), "")</f>
        <v>Phung Nguyen</v>
      </c>
      <c r="E515" s="123" t="s">
        <v>26</v>
      </c>
      <c r="F515" s="277">
        <v>46086.58333333334</v>
      </c>
      <c r="G515" s="278">
        <v>46107.625</v>
      </c>
      <c r="H515" s="278" t="s">
        <v>1162</v>
      </c>
      <c r="I515" s="277">
        <v>46128.41666666666</v>
      </c>
      <c r="J515" s="278">
        <v>46129.54166666666</v>
      </c>
      <c r="K515" s="277">
        <v>46135.45833333334</v>
      </c>
      <c r="L515" s="280">
        <v>46150.458333333336</v>
      </c>
      <c r="M515" s="280">
        <v>46157.458333333336</v>
      </c>
      <c r="N515" s="279">
        <v>46171.458333333336</v>
      </c>
      <c r="O515" s="279">
        <v>46176.458333333336</v>
      </c>
      <c r="P515" s="279">
        <v>46185.458333333336</v>
      </c>
      <c r="Q515" s="303" t="s">
        <v>1162</v>
      </c>
      <c r="R515" s="279">
        <v>46199.458333333336</v>
      </c>
      <c r="S515" s="279">
        <v>46205.625</v>
      </c>
      <c r="T515" s="279">
        <v>46211.458333333336</v>
      </c>
      <c r="U515" s="278"/>
      <c r="V515" s="281"/>
      <c r="W515" s="282">
        <f t="shared" si="2"/>
        <v>46211.45833</v>
      </c>
      <c r="X515" s="283"/>
      <c r="Y515" s="283"/>
      <c r="Z515" s="235"/>
      <c r="AA515" s="43"/>
    </row>
    <row r="516" ht="15.75" hidden="1" customHeight="1">
      <c r="A516" s="265" t="s">
        <v>516</v>
      </c>
      <c r="B516" s="266" t="str">
        <f>IFERROR(VLOOKUP(A516&amp;"", STUDENTS!A:B, 2, 0), "")</f>
        <v>ĐỖ NGỌC THÀNH</v>
      </c>
      <c r="C516" s="104" t="s">
        <v>95</v>
      </c>
      <c r="D516" s="104" t="str">
        <f>IFERROR(VLOOKUP(C516, PIC!A:B, 2, 0), "")</f>
        <v>Phung Nguyen</v>
      </c>
      <c r="E516" s="105" t="s">
        <v>26</v>
      </c>
      <c r="F516" s="267">
        <v>46087.45833333334</v>
      </c>
      <c r="G516" s="268">
        <v>46107.625</v>
      </c>
      <c r="H516" s="268">
        <v>46115.45833333334</v>
      </c>
      <c r="I516" s="267">
        <v>46128.41666666666</v>
      </c>
      <c r="J516" s="268">
        <v>46129.54166666666</v>
      </c>
      <c r="K516" s="267">
        <v>46135.45833333334</v>
      </c>
      <c r="L516" s="270">
        <v>46150.458333333336</v>
      </c>
      <c r="M516" s="270">
        <v>46157.458333333336</v>
      </c>
      <c r="N516" s="284" t="s">
        <v>1162</v>
      </c>
      <c r="O516" s="284" t="s">
        <v>1162</v>
      </c>
      <c r="P516" s="269">
        <v>46185.458333333336</v>
      </c>
      <c r="Q516" s="269">
        <v>46191.458333333336</v>
      </c>
      <c r="R516" s="269">
        <v>46199.458333333336</v>
      </c>
      <c r="S516" s="269">
        <v>46205.625</v>
      </c>
      <c r="T516" s="269">
        <v>46211.458333333336</v>
      </c>
      <c r="U516" s="268"/>
      <c r="V516" s="271"/>
      <c r="W516" s="272">
        <f t="shared" si="2"/>
        <v>46211.45833</v>
      </c>
      <c r="X516" s="273"/>
      <c r="Y516" s="273"/>
      <c r="Z516" s="235"/>
      <c r="AA516" s="43"/>
    </row>
    <row r="517" ht="15.75" hidden="1" customHeight="1">
      <c r="A517" s="275" t="s">
        <v>518</v>
      </c>
      <c r="B517" s="276" t="str">
        <f>IFERROR(VLOOKUP(A517&amp;"", STUDENTS!A:B, 2, 0), "")</f>
        <v>LÊ THẾ PHƯƠNG</v>
      </c>
      <c r="C517" s="122" t="s">
        <v>95</v>
      </c>
      <c r="D517" s="122" t="str">
        <f>IFERROR(VLOOKUP(C517, PIC!A:B, 2, 0), "")</f>
        <v>Phung Nguyen</v>
      </c>
      <c r="E517" s="123" t="s">
        <v>26</v>
      </c>
      <c r="F517" s="277">
        <v>46087.45833333334</v>
      </c>
      <c r="G517" s="278">
        <v>46107.625</v>
      </c>
      <c r="H517" s="281">
        <v>46115.45833333334</v>
      </c>
      <c r="I517" s="277">
        <v>46128.41666666666</v>
      </c>
      <c r="J517" s="278">
        <v>46129.54166666666</v>
      </c>
      <c r="K517" s="277">
        <v>46135.45833333334</v>
      </c>
      <c r="L517" s="280">
        <v>46150.458333333336</v>
      </c>
      <c r="M517" s="280">
        <v>46157.458333333336</v>
      </c>
      <c r="N517" s="303" t="s">
        <v>1162</v>
      </c>
      <c r="O517" s="279">
        <v>46176.458333333336</v>
      </c>
      <c r="P517" s="279">
        <v>46185.458333333336</v>
      </c>
      <c r="Q517" s="279">
        <v>46191.458333333336</v>
      </c>
      <c r="R517" s="279">
        <v>46199.458333333336</v>
      </c>
      <c r="S517" s="279">
        <v>46205.625</v>
      </c>
      <c r="T517" s="279">
        <v>46211.458333333336</v>
      </c>
      <c r="U517" s="278"/>
      <c r="V517" s="281"/>
      <c r="W517" s="282">
        <f t="shared" si="2"/>
        <v>46211.45833</v>
      </c>
      <c r="X517" s="283"/>
      <c r="Y517" s="283"/>
      <c r="Z517" s="235"/>
      <c r="AA517" s="43"/>
    </row>
    <row r="518" ht="15.75" hidden="1" customHeight="1">
      <c r="A518" s="265" t="s">
        <v>520</v>
      </c>
      <c r="B518" s="266" t="str">
        <f>IFERROR(VLOOKUP(A518&amp;"", STUDENTS!A:B, 2, 0), "")</f>
        <v>NGUYỄN ĐỨC TIẾN</v>
      </c>
      <c r="C518" s="104" t="s">
        <v>95</v>
      </c>
      <c r="D518" s="104" t="str">
        <f>IFERROR(VLOOKUP(C518, PIC!A:B, 2, 0), "")</f>
        <v>Phung Nguyen</v>
      </c>
      <c r="E518" s="105" t="s">
        <v>26</v>
      </c>
      <c r="F518" s="267">
        <v>46087.45833333334</v>
      </c>
      <c r="G518" s="268">
        <v>46107.625</v>
      </c>
      <c r="H518" s="271">
        <v>46115.45833333334</v>
      </c>
      <c r="I518" s="267">
        <v>46128.41666666666</v>
      </c>
      <c r="J518" s="268">
        <v>46129.54166666666</v>
      </c>
      <c r="K518" s="267">
        <v>46135.45833333334</v>
      </c>
      <c r="L518" s="270">
        <v>46150.458333333336</v>
      </c>
      <c r="M518" s="270">
        <v>46157.458333333336</v>
      </c>
      <c r="N518" s="284" t="s">
        <v>1162</v>
      </c>
      <c r="O518" s="340" t="s">
        <v>1162</v>
      </c>
      <c r="P518" s="269">
        <v>46185.458333333336</v>
      </c>
      <c r="Q518" s="269">
        <v>46191.458333333336</v>
      </c>
      <c r="R518" s="269">
        <v>46199.458333333336</v>
      </c>
      <c r="S518" s="269">
        <v>46205.625</v>
      </c>
      <c r="T518" s="269">
        <v>46211.458333333336</v>
      </c>
      <c r="U518" s="268"/>
      <c r="V518" s="271"/>
      <c r="W518" s="272">
        <f t="shared" si="2"/>
        <v>46211.45833</v>
      </c>
      <c r="X518" s="273"/>
      <c r="Y518" s="273"/>
      <c r="Z518" s="235"/>
      <c r="AA518" s="43"/>
    </row>
    <row r="519" ht="15.75" hidden="1" customHeight="1">
      <c r="A519" s="275" t="s">
        <v>522</v>
      </c>
      <c r="B519" s="276" t="str">
        <f>IFERROR(VLOOKUP(A519&amp;"", STUDENTS!A:B, 2, 0), "")</f>
        <v>NGUYỄN DUY PHÚ</v>
      </c>
      <c r="C519" s="122" t="s">
        <v>95</v>
      </c>
      <c r="D519" s="122" t="str">
        <f>IFERROR(VLOOKUP(C519, PIC!A:B, 2, 0), "")</f>
        <v>Phung Nguyen</v>
      </c>
      <c r="E519" s="123" t="s">
        <v>26</v>
      </c>
      <c r="F519" s="277">
        <v>46087.45833333334</v>
      </c>
      <c r="G519" s="278">
        <v>46107.625</v>
      </c>
      <c r="H519" s="281">
        <v>46115.45833333334</v>
      </c>
      <c r="I519" s="277">
        <v>46128.41666666666</v>
      </c>
      <c r="J519" s="278">
        <v>46129.54166666666</v>
      </c>
      <c r="K519" s="277">
        <v>46135.45833333334</v>
      </c>
      <c r="L519" s="280">
        <v>46150.458333333336</v>
      </c>
      <c r="M519" s="280">
        <v>46157.458333333336</v>
      </c>
      <c r="N519" s="279">
        <v>46171.458333333336</v>
      </c>
      <c r="O519" s="279">
        <v>46176.458333333336</v>
      </c>
      <c r="P519" s="279">
        <v>46185.458333333336</v>
      </c>
      <c r="Q519" s="279">
        <v>46191.458333333336</v>
      </c>
      <c r="R519" s="279">
        <v>46199.458333333336</v>
      </c>
      <c r="S519" s="279">
        <v>46205.625</v>
      </c>
      <c r="T519" s="303" t="s">
        <v>1162</v>
      </c>
      <c r="U519" s="278"/>
      <c r="V519" s="281"/>
      <c r="W519" s="282">
        <f t="shared" si="2"/>
        <v>46205.625</v>
      </c>
      <c r="X519" s="283"/>
      <c r="Y519" s="283"/>
      <c r="Z519" s="235"/>
      <c r="AA519" s="43"/>
    </row>
    <row r="520" ht="15.75" hidden="1" customHeight="1">
      <c r="A520" s="265" t="s">
        <v>524</v>
      </c>
      <c r="B520" s="266" t="str">
        <f>IFERROR(VLOOKUP(A520&amp;"", STUDENTS!A:B, 2, 0), "")</f>
        <v>NGUYỄN HUỲNH SƠN</v>
      </c>
      <c r="C520" s="104" t="s">
        <v>95</v>
      </c>
      <c r="D520" s="104" t="str">
        <f>IFERROR(VLOOKUP(C520, PIC!A:B, 2, 0), "")</f>
        <v>Phung Nguyen</v>
      </c>
      <c r="E520" s="105" t="s">
        <v>26</v>
      </c>
      <c r="F520" s="267">
        <v>46087.45833333334</v>
      </c>
      <c r="G520" s="268">
        <v>46107.625</v>
      </c>
      <c r="H520" s="271">
        <v>46115.45833333334</v>
      </c>
      <c r="I520" s="267">
        <v>46128.41666666666</v>
      </c>
      <c r="J520" s="268">
        <v>46129.54166666666</v>
      </c>
      <c r="K520" s="267">
        <v>46135.45833333334</v>
      </c>
      <c r="L520" s="270">
        <v>46150.458333333336</v>
      </c>
      <c r="M520" s="270">
        <v>46157.458333333336</v>
      </c>
      <c r="N520" s="284" t="s">
        <v>1162</v>
      </c>
      <c r="O520" s="269">
        <v>46176.458333333336</v>
      </c>
      <c r="P520" s="269">
        <v>46185.458333333336</v>
      </c>
      <c r="Q520" s="269">
        <v>46191.458333333336</v>
      </c>
      <c r="R520" s="269">
        <v>46199.458333333336</v>
      </c>
      <c r="S520" s="269">
        <v>46205.625</v>
      </c>
      <c r="T520" s="269">
        <v>46211.458333333336</v>
      </c>
      <c r="U520" s="268"/>
      <c r="V520" s="271"/>
      <c r="W520" s="272">
        <f t="shared" si="2"/>
        <v>46211.45833</v>
      </c>
      <c r="X520" s="273"/>
      <c r="Y520" s="273"/>
      <c r="Z520" s="235"/>
      <c r="AA520" s="43"/>
    </row>
    <row r="521" ht="15.75" hidden="1" customHeight="1">
      <c r="A521" s="275" t="s">
        <v>526</v>
      </c>
      <c r="B521" s="276" t="str">
        <f>IFERROR(VLOOKUP(A521&amp;"", STUDENTS!A:B, 2, 0), "")</f>
        <v>NGUYỄN MINH QUANG</v>
      </c>
      <c r="C521" s="122" t="s">
        <v>95</v>
      </c>
      <c r="D521" s="122" t="str">
        <f>IFERROR(VLOOKUP(C521, PIC!A:B, 2, 0), "")</f>
        <v>Phung Nguyen</v>
      </c>
      <c r="E521" s="123" t="s">
        <v>26</v>
      </c>
      <c r="F521" s="277">
        <v>46087.45833333334</v>
      </c>
      <c r="G521" s="278">
        <v>46107.625</v>
      </c>
      <c r="H521" s="281">
        <v>46115.45833333334</v>
      </c>
      <c r="I521" s="277">
        <v>46128.41666666666</v>
      </c>
      <c r="J521" s="278">
        <v>46129.54166666666</v>
      </c>
      <c r="K521" s="277">
        <v>46135.45833333334</v>
      </c>
      <c r="L521" s="280">
        <v>46150.458333333336</v>
      </c>
      <c r="M521" s="280">
        <v>46157.458333333336</v>
      </c>
      <c r="N521" s="279">
        <v>46171.458333333336</v>
      </c>
      <c r="O521" s="279">
        <v>46176.458333333336</v>
      </c>
      <c r="P521" s="279">
        <v>46185.458333333336</v>
      </c>
      <c r="Q521" s="279">
        <v>46191.458333333336</v>
      </c>
      <c r="R521" s="279">
        <v>46199.458333333336</v>
      </c>
      <c r="S521" s="279">
        <v>46205.625</v>
      </c>
      <c r="T521" s="279">
        <v>46211.458333333336</v>
      </c>
      <c r="U521" s="278"/>
      <c r="V521" s="281"/>
      <c r="W521" s="282">
        <f t="shared" si="2"/>
        <v>46211.45833</v>
      </c>
      <c r="X521" s="283"/>
      <c r="Y521" s="283"/>
      <c r="Z521" s="235"/>
      <c r="AA521" s="43"/>
    </row>
    <row r="522" ht="15.75" hidden="1" customHeight="1">
      <c r="A522" s="341" t="s">
        <v>528</v>
      </c>
      <c r="B522" s="342" t="str">
        <f>IFERROR(VLOOKUP(A522&amp;"", STUDENTS!A:B, 2, 0), "")</f>
        <v>THẠCH THÁI HUY</v>
      </c>
      <c r="C522" s="343" t="s">
        <v>95</v>
      </c>
      <c r="D522" s="104" t="str">
        <f>IFERROR(VLOOKUP(C522, PIC!A:B, 2, 0), "")</f>
        <v>Phung Nguyen</v>
      </c>
      <c r="E522" s="344" t="s">
        <v>26</v>
      </c>
      <c r="F522" s="299">
        <v>46087.45833333334</v>
      </c>
      <c r="G522" s="271">
        <v>46107.625</v>
      </c>
      <c r="H522" s="271">
        <v>46115.45833333334</v>
      </c>
      <c r="I522" s="267">
        <v>46128.41666666666</v>
      </c>
      <c r="J522" s="271"/>
      <c r="K522" s="299">
        <v>46135.45833333334</v>
      </c>
      <c r="L522" s="334">
        <v>46150.458333333336</v>
      </c>
      <c r="M522" s="108" t="s">
        <v>1162</v>
      </c>
      <c r="N522" s="269">
        <v>46171.458333333336</v>
      </c>
      <c r="O522" s="267"/>
      <c r="P522" s="313" t="s">
        <v>1162</v>
      </c>
      <c r="Q522" s="269">
        <v>46191.458333333336</v>
      </c>
      <c r="R522" s="269">
        <v>46199.458333333336</v>
      </c>
      <c r="S522" s="269">
        <v>46205.625</v>
      </c>
      <c r="T522" s="269">
        <v>46211.458333333336</v>
      </c>
      <c r="U522" s="271"/>
      <c r="V522" s="271"/>
      <c r="W522" s="272">
        <f t="shared" si="2"/>
        <v>46211.45833</v>
      </c>
      <c r="X522" s="273"/>
      <c r="Y522" s="273"/>
      <c r="Z522" s="235"/>
      <c r="AA522" s="43"/>
    </row>
    <row r="523" ht="15.75" hidden="1" customHeight="1">
      <c r="A523" s="275" t="s">
        <v>703</v>
      </c>
      <c r="B523" s="276" t="str">
        <f>IFERROR(VLOOKUP(A523&amp;"", STUDENTS!A:B, 2, 0), "")</f>
        <v>NGUYỄN THỊ THÙY LINH</v>
      </c>
      <c r="C523" s="122" t="s">
        <v>95</v>
      </c>
      <c r="D523" s="122" t="str">
        <f>IFERROR(VLOOKUP(C523, PIC!A:B, 2, 0), "")</f>
        <v>Phung Nguyen</v>
      </c>
      <c r="E523" s="123" t="s">
        <v>26</v>
      </c>
      <c r="F523" s="277">
        <v>46087.45833333334</v>
      </c>
      <c r="G523" s="278" t="s">
        <v>1162</v>
      </c>
      <c r="H523" s="278" t="s">
        <v>1162</v>
      </c>
      <c r="I523" s="277" t="s">
        <v>1162</v>
      </c>
      <c r="J523" s="278" t="s">
        <v>1162</v>
      </c>
      <c r="K523" s="277" t="s">
        <v>1162</v>
      </c>
      <c r="L523" s="280" t="s">
        <v>1162</v>
      </c>
      <c r="M523" s="285" t="s">
        <v>1162</v>
      </c>
      <c r="N523" s="303" t="s">
        <v>1162</v>
      </c>
      <c r="O523" s="345" t="s">
        <v>1162</v>
      </c>
      <c r="P523" s="315" t="s">
        <v>1162</v>
      </c>
      <c r="Q523" s="303" t="s">
        <v>1162</v>
      </c>
      <c r="R523" s="277"/>
      <c r="S523" s="303" t="s">
        <v>1162</v>
      </c>
      <c r="T523" s="303" t="s">
        <v>1162</v>
      </c>
      <c r="U523" s="278"/>
      <c r="V523" s="281"/>
      <c r="W523" s="282">
        <f t="shared" si="2"/>
        <v>46087.45833</v>
      </c>
      <c r="X523" s="283"/>
      <c r="Y523" s="283"/>
      <c r="Z523" s="235"/>
      <c r="AA523" s="43"/>
    </row>
    <row r="524" ht="15.75" hidden="1" customHeight="1">
      <c r="A524" s="265" t="s">
        <v>514</v>
      </c>
      <c r="B524" s="266" t="str">
        <f>IFERROR(VLOOKUP(A524&amp;"", STUDENTS!A:B, 2, 0), "")</f>
        <v>ĐINH QUỐC HUẤN</v>
      </c>
      <c r="C524" s="104" t="s">
        <v>95</v>
      </c>
      <c r="D524" s="104" t="str">
        <f>IFERROR(VLOOKUP(C524, PIC!A:B, 2, 0), "")</f>
        <v>Phung Nguyen</v>
      </c>
      <c r="E524" s="105" t="s">
        <v>26</v>
      </c>
      <c r="F524" s="267">
        <v>46086.58333333334</v>
      </c>
      <c r="G524" s="268">
        <v>46107.625</v>
      </c>
      <c r="H524" s="268">
        <v>46115.45833333334</v>
      </c>
      <c r="I524" s="267">
        <v>46128.41666666666</v>
      </c>
      <c r="J524" s="268">
        <v>46129.54166666666</v>
      </c>
      <c r="K524" s="267">
        <v>46135.45833333334</v>
      </c>
      <c r="L524" s="270">
        <v>46150.458333333336</v>
      </c>
      <c r="M524" s="270">
        <v>46157.458333333336</v>
      </c>
      <c r="N524" s="284" t="s">
        <v>1162</v>
      </c>
      <c r="O524" s="269">
        <v>46176.458333333336</v>
      </c>
      <c r="P524" s="313" t="s">
        <v>1162</v>
      </c>
      <c r="Q524" s="284" t="s">
        <v>1162</v>
      </c>
      <c r="R524" s="284" t="s">
        <v>1162</v>
      </c>
      <c r="S524" s="284" t="s">
        <v>1162</v>
      </c>
      <c r="T524" s="284" t="s">
        <v>1162</v>
      </c>
      <c r="U524" s="268"/>
      <c r="V524" s="271"/>
      <c r="W524" s="272">
        <f t="shared" si="2"/>
        <v>46176.45833</v>
      </c>
      <c r="X524" s="273"/>
      <c r="Y524" s="273"/>
      <c r="Z524" s="235"/>
      <c r="AA524" s="43"/>
    </row>
    <row r="525" ht="15.75" hidden="1" customHeight="1">
      <c r="A525" s="346" t="s">
        <v>433</v>
      </c>
      <c r="B525" s="347" t="str">
        <f>IFERROR(VLOOKUP(A525&amp;"", STUDENTS!A:B, 2, 0), "")</f>
        <v>LÊ MINH DUY</v>
      </c>
      <c r="C525" s="348" t="s">
        <v>96</v>
      </c>
      <c r="D525" s="122" t="str">
        <f>IFERROR(VLOOKUP(C525, PIC!A:B, 2, 0), "")</f>
        <v>Nam Nguyen</v>
      </c>
      <c r="E525" s="349" t="s">
        <v>22</v>
      </c>
      <c r="F525" s="297"/>
      <c r="G525" s="281">
        <v>46120.45833333334</v>
      </c>
      <c r="H525" s="281">
        <v>46127.45833333334</v>
      </c>
      <c r="I525" s="297">
        <v>46134.45833333334</v>
      </c>
      <c r="J525" s="311">
        <v>46155.458333333336</v>
      </c>
      <c r="K525" s="297"/>
      <c r="L525" s="281"/>
      <c r="M525" s="278"/>
      <c r="N525" s="297"/>
      <c r="O525" s="297"/>
      <c r="P525" s="277"/>
      <c r="Q525" s="297"/>
      <c r="R525" s="297"/>
      <c r="S525" s="297"/>
      <c r="T525" s="297"/>
      <c r="U525" s="281"/>
      <c r="V525" s="281"/>
      <c r="W525" s="282">
        <f t="shared" si="2"/>
        <v>46155.45833</v>
      </c>
      <c r="X525" s="283"/>
      <c r="Y525" s="283"/>
      <c r="Z525" s="235"/>
      <c r="AA525" s="43"/>
    </row>
    <row r="526" ht="15.75" hidden="1" customHeight="1">
      <c r="A526" s="341" t="s">
        <v>435</v>
      </c>
      <c r="B526" s="342" t="str">
        <f>IFERROR(VLOOKUP(A526&amp;"", STUDENTS!A:B, 2, 0), "")</f>
        <v>Le Thi Diem Phuong</v>
      </c>
      <c r="C526" s="343" t="s">
        <v>96</v>
      </c>
      <c r="D526" s="104" t="str">
        <f>IFERROR(VLOOKUP(C526, PIC!A:B, 2, 0), "")</f>
        <v>Nam Nguyen</v>
      </c>
      <c r="E526" s="344" t="s">
        <v>22</v>
      </c>
      <c r="F526" s="299"/>
      <c r="G526" s="271">
        <v>46120.45833333334</v>
      </c>
      <c r="H526" s="271">
        <v>46127.45833333334</v>
      </c>
      <c r="I526" s="299">
        <v>46134.45833333334</v>
      </c>
      <c r="J526" s="312">
        <v>46155.458333333336</v>
      </c>
      <c r="K526" s="299"/>
      <c r="L526" s="271"/>
      <c r="M526" s="268"/>
      <c r="N526" s="299"/>
      <c r="O526" s="267"/>
      <c r="P526" s="267"/>
      <c r="Q526" s="299"/>
      <c r="R526" s="299"/>
      <c r="S526" s="299"/>
      <c r="T526" s="299"/>
      <c r="U526" s="271"/>
      <c r="V526" s="271"/>
      <c r="W526" s="272">
        <f t="shared" si="2"/>
        <v>46155.45833</v>
      </c>
      <c r="X526" s="273"/>
      <c r="Y526" s="273"/>
      <c r="Z526" s="235"/>
      <c r="AA526" s="43"/>
    </row>
    <row r="527" ht="15.75" hidden="1" customHeight="1">
      <c r="A527" s="346" t="s">
        <v>437</v>
      </c>
      <c r="B527" s="347" t="str">
        <f>IFERROR(VLOOKUP(A527&amp;"", STUDENTS!A:B, 2, 0), "")</f>
        <v>Nguyen Hoai Nam</v>
      </c>
      <c r="C527" s="348" t="s">
        <v>96</v>
      </c>
      <c r="D527" s="122" t="str">
        <f>IFERROR(VLOOKUP(C527, PIC!A:B, 2, 0), "")</f>
        <v>Nam Nguyen</v>
      </c>
      <c r="E527" s="349" t="s">
        <v>22</v>
      </c>
      <c r="F527" s="297"/>
      <c r="G527" s="281">
        <v>46120.45833333334</v>
      </c>
      <c r="H527" s="281">
        <v>46127.45833333334</v>
      </c>
      <c r="I527" s="297">
        <v>46134.45833333334</v>
      </c>
      <c r="J527" s="316" t="s">
        <v>1162</v>
      </c>
      <c r="K527" s="297"/>
      <c r="L527" s="281"/>
      <c r="M527" s="281"/>
      <c r="N527" s="297"/>
      <c r="O527" s="297"/>
      <c r="P527" s="297"/>
      <c r="Q527" s="297"/>
      <c r="R527" s="297"/>
      <c r="S527" s="297"/>
      <c r="T527" s="297"/>
      <c r="U527" s="281"/>
      <c r="V527" s="281"/>
      <c r="W527" s="282">
        <f t="shared" si="2"/>
        <v>46134.45833</v>
      </c>
      <c r="X527" s="283"/>
      <c r="Y527" s="283"/>
      <c r="Z527" s="235"/>
      <c r="AA527" s="43"/>
    </row>
    <row r="528" ht="15.75" hidden="1" customHeight="1">
      <c r="A528" s="341" t="s">
        <v>439</v>
      </c>
      <c r="B528" s="342" t="str">
        <f>IFERROR(VLOOKUP(A528&amp;"", STUDENTS!A:B, 2, 0), "")</f>
        <v>NGUYỄN NGỌC HOÀNG BẢO TRÂN</v>
      </c>
      <c r="C528" s="343" t="s">
        <v>96</v>
      </c>
      <c r="D528" s="104" t="str">
        <f>IFERROR(VLOOKUP(C528, PIC!A:B, 2, 0), "")</f>
        <v>Nam Nguyen</v>
      </c>
      <c r="E528" s="344" t="s">
        <v>22</v>
      </c>
      <c r="F528" s="299"/>
      <c r="G528" s="271">
        <v>46120.45833333334</v>
      </c>
      <c r="H528" s="271">
        <v>46127.45833333334</v>
      </c>
      <c r="I528" s="299">
        <v>46134.45833333334</v>
      </c>
      <c r="J528" s="312">
        <v>46155.458333333336</v>
      </c>
      <c r="K528" s="299"/>
      <c r="L528" s="271"/>
      <c r="M528" s="268"/>
      <c r="N528" s="299"/>
      <c r="O528" s="267"/>
      <c r="P528" s="299"/>
      <c r="Q528" s="299"/>
      <c r="R528" s="299"/>
      <c r="S528" s="299"/>
      <c r="T528" s="299"/>
      <c r="U528" s="271"/>
      <c r="V528" s="271"/>
      <c r="W528" s="272">
        <f t="shared" si="2"/>
        <v>46155.45833</v>
      </c>
      <c r="X528" s="273"/>
      <c r="Y528" s="273"/>
      <c r="Z528" s="235"/>
      <c r="AA528" s="43"/>
    </row>
    <row r="529" ht="15.75" hidden="1" customHeight="1">
      <c r="A529" s="346" t="s">
        <v>441</v>
      </c>
      <c r="B529" s="347" t="str">
        <f>IFERROR(VLOOKUP(A529&amp;"", STUDENTS!A:B, 2, 0), "")</f>
        <v>Tran Thi Huyen Tran</v>
      </c>
      <c r="C529" s="122" t="s">
        <v>96</v>
      </c>
      <c r="D529" s="122" t="str">
        <f>IFERROR(VLOOKUP(C529, PIC!A:B, 2, 0), "")</f>
        <v>Nam Nguyen</v>
      </c>
      <c r="E529" s="123" t="s">
        <v>22</v>
      </c>
      <c r="F529" s="277"/>
      <c r="G529" s="278">
        <v>46120.45833333334</v>
      </c>
      <c r="H529" s="278">
        <v>46127.45833333334</v>
      </c>
      <c r="I529" s="277">
        <v>46134.45833333334</v>
      </c>
      <c r="J529" s="279">
        <v>46155.458333333336</v>
      </c>
      <c r="K529" s="277"/>
      <c r="L529" s="278"/>
      <c r="M529" s="278"/>
      <c r="N529" s="297"/>
      <c r="O529" s="277"/>
      <c r="P529" s="277"/>
      <c r="Q529" s="277"/>
      <c r="R529" s="277"/>
      <c r="S529" s="277"/>
      <c r="T529" s="277"/>
      <c r="U529" s="278"/>
      <c r="V529" s="281"/>
      <c r="W529" s="282">
        <f t="shared" si="2"/>
        <v>46155.45833</v>
      </c>
      <c r="X529" s="283"/>
      <c r="Y529" s="283"/>
      <c r="Z529" s="235"/>
      <c r="AA529" s="43"/>
    </row>
    <row r="530" ht="15.75" hidden="1" customHeight="1">
      <c r="A530" s="341" t="s">
        <v>443</v>
      </c>
      <c r="B530" s="342" t="str">
        <f>IFERROR(VLOOKUP(A530&amp;"", STUDENTS!A:B, 2, 0), "")</f>
        <v>Trang Duy Thông</v>
      </c>
      <c r="C530" s="343" t="s">
        <v>96</v>
      </c>
      <c r="D530" s="104" t="str">
        <f>IFERROR(VLOOKUP(C530, PIC!A:B, 2, 0), "")</f>
        <v>Nam Nguyen</v>
      </c>
      <c r="E530" s="344" t="s">
        <v>22</v>
      </c>
      <c r="F530" s="299"/>
      <c r="G530" s="271">
        <v>46120.45833333334</v>
      </c>
      <c r="H530" s="271">
        <v>46127.45833333334</v>
      </c>
      <c r="I530" s="299">
        <v>46134.45833333334</v>
      </c>
      <c r="J530" s="312">
        <v>46155.458333333336</v>
      </c>
      <c r="K530" s="299"/>
      <c r="L530" s="271"/>
      <c r="M530" s="271"/>
      <c r="N530" s="299"/>
      <c r="O530" s="299"/>
      <c r="P530" s="299"/>
      <c r="Q530" s="299"/>
      <c r="R530" s="299"/>
      <c r="S530" s="299"/>
      <c r="T530" s="299"/>
      <c r="U530" s="271"/>
      <c r="V530" s="271"/>
      <c r="W530" s="272">
        <f t="shared" si="2"/>
        <v>46155.45833</v>
      </c>
      <c r="X530" s="273"/>
      <c r="Y530" s="273"/>
      <c r="Z530" s="235"/>
      <c r="AA530" s="43"/>
    </row>
    <row r="531" ht="15.75" hidden="1" customHeight="1">
      <c r="A531" s="346" t="s">
        <v>433</v>
      </c>
      <c r="B531" s="347" t="str">
        <f>IFERROR(VLOOKUP(A531&amp;"", STUDENTS!A:B, 2, 0), "")</f>
        <v>LÊ MINH DUY</v>
      </c>
      <c r="C531" s="348" t="s">
        <v>96</v>
      </c>
      <c r="D531" s="122" t="str">
        <f>IFERROR(VLOOKUP(C531, PIC!A:B, 2, 0), "")</f>
        <v>Nam Nguyen</v>
      </c>
      <c r="E531" s="316" t="s">
        <v>26</v>
      </c>
      <c r="F531" s="297"/>
      <c r="G531" s="311">
        <v>46162.416666666664</v>
      </c>
      <c r="H531" s="331">
        <v>46169.416666666664</v>
      </c>
      <c r="I531" s="311">
        <v>46176.416666666664</v>
      </c>
      <c r="J531" s="280">
        <v>46183.416666666664</v>
      </c>
      <c r="K531" s="279">
        <v>46204.416666666664</v>
      </c>
      <c r="L531" s="280">
        <v>46211.416666666664</v>
      </c>
      <c r="M531" s="281"/>
      <c r="N531" s="297"/>
      <c r="O531" s="297"/>
      <c r="P531" s="297"/>
      <c r="Q531" s="297"/>
      <c r="R531" s="297"/>
      <c r="S531" s="297"/>
      <c r="T531" s="297"/>
      <c r="U531" s="281"/>
      <c r="V531" s="281"/>
      <c r="W531" s="282">
        <f t="shared" si="2"/>
        <v>46211.41667</v>
      </c>
      <c r="X531" s="283"/>
      <c r="Y531" s="283"/>
      <c r="Z531" s="235"/>
      <c r="AA531" s="43"/>
    </row>
    <row r="532" ht="15.75" hidden="1" customHeight="1">
      <c r="A532" s="341" t="s">
        <v>435</v>
      </c>
      <c r="B532" s="342" t="str">
        <f>IFERROR(VLOOKUP(A532&amp;"", STUDENTS!A:B, 2, 0), "")</f>
        <v>Le Thi Diem Phuong</v>
      </c>
      <c r="C532" s="343" t="s">
        <v>96</v>
      </c>
      <c r="D532" s="104" t="str">
        <f>IFERROR(VLOOKUP(C532, PIC!A:B, 2, 0), "")</f>
        <v>Nam Nguyen</v>
      </c>
      <c r="E532" s="314" t="s">
        <v>26</v>
      </c>
      <c r="F532" s="299"/>
      <c r="G532" s="312">
        <v>46162.416666666664</v>
      </c>
      <c r="H532" s="334">
        <v>46169.416666666664</v>
      </c>
      <c r="I532" s="312">
        <v>46176.416666666664</v>
      </c>
      <c r="J532" s="270">
        <v>46183.416666666664</v>
      </c>
      <c r="K532" s="269">
        <v>46204.416666666664</v>
      </c>
      <c r="L532" s="270">
        <v>46211.416666666664</v>
      </c>
      <c r="M532" s="271"/>
      <c r="N532" s="299"/>
      <c r="O532" s="299"/>
      <c r="P532" s="299"/>
      <c r="Q532" s="299"/>
      <c r="R532" s="299"/>
      <c r="S532" s="299"/>
      <c r="T532" s="299"/>
      <c r="U532" s="271"/>
      <c r="V532" s="271"/>
      <c r="W532" s="272">
        <f t="shared" si="2"/>
        <v>46211.41667</v>
      </c>
      <c r="X532" s="273"/>
      <c r="Y532" s="273"/>
      <c r="Z532" s="235"/>
      <c r="AA532" s="43"/>
    </row>
    <row r="533" ht="15.75" hidden="1" customHeight="1">
      <c r="A533" s="346" t="s">
        <v>437</v>
      </c>
      <c r="B533" s="347" t="str">
        <f>IFERROR(VLOOKUP(A533&amp;"", STUDENTS!A:B, 2, 0), "")</f>
        <v>Nguyen Hoai Nam</v>
      </c>
      <c r="C533" s="348" t="s">
        <v>96</v>
      </c>
      <c r="D533" s="122" t="str">
        <f>IFERROR(VLOOKUP(C533, PIC!A:B, 2, 0), "")</f>
        <v>Nam Nguyen</v>
      </c>
      <c r="E533" s="316" t="s">
        <v>26</v>
      </c>
      <c r="F533" s="297"/>
      <c r="G533" s="311">
        <v>46162.416666666664</v>
      </c>
      <c r="H533" s="331">
        <v>46169.416666666664</v>
      </c>
      <c r="I533" s="311">
        <v>46176.416666666664</v>
      </c>
      <c r="J533" s="280">
        <v>46183.416666666664</v>
      </c>
      <c r="K533" s="345" t="s">
        <v>1162</v>
      </c>
      <c r="L533" s="280">
        <v>46211.416666666664</v>
      </c>
      <c r="M533" s="281"/>
      <c r="N533" s="297"/>
      <c r="O533" s="297"/>
      <c r="P533" s="297"/>
      <c r="Q533" s="297"/>
      <c r="R533" s="297"/>
      <c r="S533" s="297"/>
      <c r="T533" s="297"/>
      <c r="U533" s="281"/>
      <c r="V533" s="281"/>
      <c r="W533" s="282">
        <f t="shared" si="2"/>
        <v>46211.41667</v>
      </c>
      <c r="X533" s="283"/>
      <c r="Y533" s="283"/>
      <c r="Z533" s="235"/>
      <c r="AA533" s="43"/>
    </row>
    <row r="534" ht="15.75" hidden="1" customHeight="1">
      <c r="A534" s="341" t="s">
        <v>439</v>
      </c>
      <c r="B534" s="342" t="str">
        <f>IFERROR(VLOOKUP(A534&amp;"", STUDENTS!A:B, 2, 0), "")</f>
        <v>NGUYỄN NGỌC HOÀNG BẢO TRÂN</v>
      </c>
      <c r="C534" s="343" t="s">
        <v>96</v>
      </c>
      <c r="D534" s="104" t="str">
        <f>IFERROR(VLOOKUP(C534, PIC!A:B, 2, 0), "")</f>
        <v>Nam Nguyen</v>
      </c>
      <c r="E534" s="314" t="s">
        <v>26</v>
      </c>
      <c r="F534" s="299"/>
      <c r="G534" s="312">
        <v>46162.416666666664</v>
      </c>
      <c r="H534" s="334">
        <v>46169.416666666664</v>
      </c>
      <c r="I534" s="312">
        <v>46176.416666666664</v>
      </c>
      <c r="J534" s="270">
        <v>46183.416666666664</v>
      </c>
      <c r="K534" s="269">
        <v>46204.416666666664</v>
      </c>
      <c r="L534" s="270">
        <v>46211.416666666664</v>
      </c>
      <c r="M534" s="271"/>
      <c r="N534" s="299"/>
      <c r="O534" s="299"/>
      <c r="P534" s="299"/>
      <c r="Q534" s="299"/>
      <c r="R534" s="299"/>
      <c r="S534" s="299"/>
      <c r="T534" s="299"/>
      <c r="U534" s="271"/>
      <c r="V534" s="271"/>
      <c r="W534" s="272">
        <f t="shared" si="2"/>
        <v>46211.41667</v>
      </c>
      <c r="X534" s="273"/>
      <c r="Y534" s="273"/>
      <c r="Z534" s="235"/>
      <c r="AA534" s="43"/>
    </row>
    <row r="535" ht="15.75" hidden="1" customHeight="1">
      <c r="A535" s="346" t="s">
        <v>441</v>
      </c>
      <c r="B535" s="347" t="str">
        <f>IFERROR(VLOOKUP(A535&amp;"", STUDENTS!A:B, 2, 0), "")</f>
        <v>Tran Thi Huyen Tran</v>
      </c>
      <c r="C535" s="348" t="s">
        <v>96</v>
      </c>
      <c r="D535" s="122" t="str">
        <f>IFERROR(VLOOKUP(C535, PIC!A:B, 2, 0), "")</f>
        <v>Nam Nguyen</v>
      </c>
      <c r="E535" s="316" t="s">
        <v>26</v>
      </c>
      <c r="F535" s="297"/>
      <c r="G535" s="311">
        <v>46162.416666666664</v>
      </c>
      <c r="H535" s="331">
        <v>46169.416666666664</v>
      </c>
      <c r="I535" s="311">
        <v>46176.416666666664</v>
      </c>
      <c r="J535" s="280">
        <v>46183.416666666664</v>
      </c>
      <c r="K535" s="279">
        <v>46204.416666666664</v>
      </c>
      <c r="L535" s="280">
        <v>46211.416666666664</v>
      </c>
      <c r="M535" s="281"/>
      <c r="N535" s="297"/>
      <c r="O535" s="297"/>
      <c r="P535" s="297"/>
      <c r="Q535" s="297"/>
      <c r="R535" s="297"/>
      <c r="S535" s="297"/>
      <c r="T535" s="297"/>
      <c r="U535" s="281"/>
      <c r="V535" s="281"/>
      <c r="W535" s="282">
        <f t="shared" si="2"/>
        <v>46211.41667</v>
      </c>
      <c r="X535" s="283"/>
      <c r="Y535" s="283"/>
      <c r="Z535" s="235"/>
      <c r="AA535" s="43"/>
    </row>
    <row r="536" ht="15.75" hidden="1" customHeight="1">
      <c r="A536" s="341" t="s">
        <v>443</v>
      </c>
      <c r="B536" s="342" t="str">
        <f>IFERROR(VLOOKUP(A536&amp;"", STUDENTS!A:B, 2, 0), "")</f>
        <v>Trang Duy Thông</v>
      </c>
      <c r="C536" s="343" t="s">
        <v>96</v>
      </c>
      <c r="D536" s="104" t="str">
        <f>IFERROR(VLOOKUP(C536, PIC!A:B, 2, 0), "")</f>
        <v>Nam Nguyen</v>
      </c>
      <c r="E536" s="314" t="s">
        <v>26</v>
      </c>
      <c r="F536" s="299"/>
      <c r="G536" s="312">
        <v>46162.416666666664</v>
      </c>
      <c r="H536" s="334">
        <v>46169.416666666664</v>
      </c>
      <c r="I536" s="312">
        <v>46176.416666666664</v>
      </c>
      <c r="J536" s="270">
        <v>46183.416666666664</v>
      </c>
      <c r="K536" s="269">
        <v>46204.416666666664</v>
      </c>
      <c r="L536" s="270">
        <v>46211.416666666664</v>
      </c>
      <c r="M536" s="271"/>
      <c r="N536" s="299"/>
      <c r="O536" s="299"/>
      <c r="P536" s="299"/>
      <c r="Q536" s="299"/>
      <c r="R536" s="299"/>
      <c r="S536" s="299"/>
      <c r="T536" s="299"/>
      <c r="U536" s="271"/>
      <c r="V536" s="271"/>
      <c r="W536" s="272">
        <f t="shared" si="2"/>
        <v>46211.41667</v>
      </c>
      <c r="X536" s="273"/>
      <c r="Y536" s="273"/>
      <c r="Z536" s="235"/>
      <c r="AA536" s="43"/>
    </row>
    <row r="537" ht="15.75" hidden="1" customHeight="1">
      <c r="A537" s="275" t="s">
        <v>705</v>
      </c>
      <c r="B537" s="276" t="str">
        <f>IFERROR(VLOOKUP(A537&amp;"", STUDENTS!A:B, 2, 0), "")</f>
        <v>ĐÀO TRUNG HIẾU</v>
      </c>
      <c r="C537" s="348" t="s">
        <v>97</v>
      </c>
      <c r="D537" s="122" t="str">
        <f>IFERROR(VLOOKUP(C537, PIC!A:B, 2, 0), "")</f>
        <v>Trang Nguyen</v>
      </c>
      <c r="E537" s="349" t="s">
        <v>22</v>
      </c>
      <c r="F537" s="297">
        <v>46126.625</v>
      </c>
      <c r="G537" s="281">
        <v>46129.625</v>
      </c>
      <c r="H537" s="331">
        <v>46148.541666666664</v>
      </c>
      <c r="I537" s="331">
        <v>46157.541666666664</v>
      </c>
      <c r="J537" s="331">
        <v>46161.583333333336</v>
      </c>
      <c r="K537" s="331">
        <v>46168.583333333336</v>
      </c>
      <c r="L537" s="280">
        <v>46176.583333333336</v>
      </c>
      <c r="M537" s="280">
        <v>46183.583333333336</v>
      </c>
      <c r="N537" s="279">
        <v>46189.583333333336</v>
      </c>
      <c r="O537" s="303" t="s">
        <v>1182</v>
      </c>
      <c r="P537" s="280">
        <v>46203.583333333336</v>
      </c>
      <c r="Q537" s="280">
        <v>46210.583333333336</v>
      </c>
      <c r="R537" s="297"/>
      <c r="S537" s="297"/>
      <c r="T537" s="297"/>
      <c r="U537" s="281"/>
      <c r="V537" s="281"/>
      <c r="W537" s="282">
        <f t="shared" si="2"/>
        <v>46210.58333</v>
      </c>
      <c r="X537" s="283"/>
      <c r="Y537" s="283"/>
      <c r="Z537" s="235"/>
      <c r="AA537" s="43"/>
    </row>
    <row r="538" ht="15.75" hidden="1" customHeight="1">
      <c r="A538" s="265" t="s">
        <v>707</v>
      </c>
      <c r="B538" s="266" t="str">
        <f>IFERROR(VLOOKUP(A538&amp;"", STUDENTS!A:B, 2, 0), "")</f>
        <v>LÊ MINH HY</v>
      </c>
      <c r="C538" s="343" t="s">
        <v>97</v>
      </c>
      <c r="D538" s="104" t="str">
        <f>IFERROR(VLOOKUP(C538, PIC!A:B, 2, 0), "")</f>
        <v>Trang Nguyen</v>
      </c>
      <c r="E538" s="344" t="s">
        <v>22</v>
      </c>
      <c r="F538" s="299">
        <v>46126.625</v>
      </c>
      <c r="G538" s="271">
        <v>46129.625</v>
      </c>
      <c r="H538" s="334">
        <v>46148.541666666664</v>
      </c>
      <c r="I538" s="350" t="s">
        <v>1162</v>
      </c>
      <c r="J538" s="334">
        <v>46161.583333333336</v>
      </c>
      <c r="K538" s="334">
        <v>46168.583333333336</v>
      </c>
      <c r="L538" s="270">
        <v>46176.583333333336</v>
      </c>
      <c r="M538" s="270">
        <v>46183.583333333336</v>
      </c>
      <c r="N538" s="269">
        <v>46189.583333333336</v>
      </c>
      <c r="O538" s="284" t="s">
        <v>1182</v>
      </c>
      <c r="P538" s="270">
        <v>46203.583333333336</v>
      </c>
      <c r="Q538" s="350" t="s">
        <v>1162</v>
      </c>
      <c r="R538" s="299"/>
      <c r="S538" s="299"/>
      <c r="T538" s="299"/>
      <c r="U538" s="271"/>
      <c r="V538" s="271"/>
      <c r="W538" s="272">
        <f t="shared" si="2"/>
        <v>46203.58333</v>
      </c>
      <c r="X538" s="273"/>
      <c r="Y538" s="273"/>
      <c r="Z538" s="235"/>
      <c r="AA538" s="43"/>
    </row>
    <row r="539" ht="15.75" hidden="1" customHeight="1">
      <c r="A539" s="275" t="s">
        <v>709</v>
      </c>
      <c r="B539" s="276" t="str">
        <f>IFERROR(VLOOKUP(A539&amp;"", STUDENTS!A:B, 2, 0), "")</f>
        <v>LÊ THỊ HOÀNG KIM</v>
      </c>
      <c r="C539" s="348" t="s">
        <v>97</v>
      </c>
      <c r="D539" s="122" t="str">
        <f>IFERROR(VLOOKUP(C539, PIC!A:B, 2, 0), "")</f>
        <v>Trang Nguyen</v>
      </c>
      <c r="E539" s="349" t="s">
        <v>22</v>
      </c>
      <c r="F539" s="297">
        <v>46126.625</v>
      </c>
      <c r="G539" s="281">
        <v>46129.625</v>
      </c>
      <c r="H539" s="331">
        <v>46148.541666666664</v>
      </c>
      <c r="I539" s="331">
        <v>46157.541666666664</v>
      </c>
      <c r="J539" s="331">
        <v>46161.583333333336</v>
      </c>
      <c r="K539" s="331">
        <v>46168.583333333336</v>
      </c>
      <c r="L539" s="280">
        <v>46176.583333333336</v>
      </c>
      <c r="M539" s="280">
        <v>46183.583333333336</v>
      </c>
      <c r="N539" s="279">
        <v>46189.583333333336</v>
      </c>
      <c r="O539" s="303" t="s">
        <v>1182</v>
      </c>
      <c r="P539" s="345" t="s">
        <v>1162</v>
      </c>
      <c r="Q539" s="280">
        <v>46210.583333333336</v>
      </c>
      <c r="R539" s="297"/>
      <c r="S539" s="297"/>
      <c r="T539" s="297"/>
      <c r="U539" s="281"/>
      <c r="V539" s="281"/>
      <c r="W539" s="282">
        <f t="shared" si="2"/>
        <v>46210.58333</v>
      </c>
      <c r="X539" s="283"/>
      <c r="Y539" s="283"/>
      <c r="Z539" s="235"/>
      <c r="AA539" s="43"/>
    </row>
    <row r="540" ht="15.75" hidden="1" customHeight="1">
      <c r="A540" s="265" t="s">
        <v>711</v>
      </c>
      <c r="B540" s="266" t="str">
        <f>IFERROR(VLOOKUP(A540&amp;"", STUDENTS!A:B, 2, 0), "")</f>
        <v>NGUYỄN THỊ KIM OANH</v>
      </c>
      <c r="C540" s="343" t="s">
        <v>97</v>
      </c>
      <c r="D540" s="104" t="str">
        <f>IFERROR(VLOOKUP(C540, PIC!A:B, 2, 0), "")</f>
        <v>Trang Nguyen</v>
      </c>
      <c r="E540" s="344" t="s">
        <v>22</v>
      </c>
      <c r="F540" s="299">
        <v>46126.625</v>
      </c>
      <c r="G540" s="271" t="s">
        <v>1162</v>
      </c>
      <c r="H540" s="334">
        <v>46148.541666666664</v>
      </c>
      <c r="I540" s="334">
        <v>46157.541666666664</v>
      </c>
      <c r="J540" s="334">
        <v>46161.583333333336</v>
      </c>
      <c r="K540" s="334">
        <v>46168.583333333336</v>
      </c>
      <c r="L540" s="270">
        <v>46176.583333333336</v>
      </c>
      <c r="M540" s="270">
        <v>46183.583333333336</v>
      </c>
      <c r="N540" s="269">
        <v>46189.583333333336</v>
      </c>
      <c r="O540" s="284" t="s">
        <v>1182</v>
      </c>
      <c r="P540" s="270">
        <v>46203.583333333336</v>
      </c>
      <c r="Q540" s="270">
        <v>46210.583333333336</v>
      </c>
      <c r="R540" s="299"/>
      <c r="S540" s="299"/>
      <c r="T540" s="299"/>
      <c r="U540" s="271"/>
      <c r="V540" s="271"/>
      <c r="W540" s="272">
        <f t="shared" si="2"/>
        <v>46210.58333</v>
      </c>
      <c r="X540" s="273"/>
      <c r="Y540" s="273"/>
      <c r="Z540" s="235"/>
      <c r="AA540" s="43"/>
    </row>
    <row r="541" ht="15.75" hidden="1" customHeight="1">
      <c r="A541" s="275" t="s">
        <v>713</v>
      </c>
      <c r="B541" s="276" t="str">
        <f>IFERROR(VLOOKUP(A541&amp;"", STUDENTS!A:B, 2, 0), "")</f>
        <v>NGUYỄN THỊ KIM TRANG</v>
      </c>
      <c r="C541" s="348" t="s">
        <v>97</v>
      </c>
      <c r="D541" s="122" t="str">
        <f>IFERROR(VLOOKUP(C541, PIC!A:B, 2, 0), "")</f>
        <v>Trang Nguyen</v>
      </c>
      <c r="E541" s="349" t="s">
        <v>22</v>
      </c>
      <c r="F541" s="297">
        <v>46126.625</v>
      </c>
      <c r="G541" s="281">
        <v>46129.625</v>
      </c>
      <c r="H541" s="331">
        <v>46148.541666666664</v>
      </c>
      <c r="I541" s="331">
        <v>46157.541666666664</v>
      </c>
      <c r="J541" s="331">
        <v>46161.583333333336</v>
      </c>
      <c r="K541" s="331">
        <v>46168.583333333336</v>
      </c>
      <c r="L541" s="280">
        <v>46176.583333333336</v>
      </c>
      <c r="M541" s="316" t="s">
        <v>1162</v>
      </c>
      <c r="N541" s="279">
        <v>46189.583333333336</v>
      </c>
      <c r="O541" s="303" t="s">
        <v>1182</v>
      </c>
      <c r="P541" s="280">
        <v>46203.583333333336</v>
      </c>
      <c r="Q541" s="345" t="s">
        <v>1162</v>
      </c>
      <c r="R541" s="297"/>
      <c r="S541" s="297"/>
      <c r="T541" s="297"/>
      <c r="U541" s="281"/>
      <c r="V541" s="281"/>
      <c r="W541" s="282">
        <f t="shared" si="2"/>
        <v>46203.58333</v>
      </c>
      <c r="X541" s="283"/>
      <c r="Y541" s="283"/>
      <c r="Z541" s="235"/>
      <c r="AA541" s="43"/>
    </row>
    <row r="542" ht="15.75" hidden="1" customHeight="1">
      <c r="A542" s="265" t="s">
        <v>715</v>
      </c>
      <c r="B542" s="266" t="str">
        <f>IFERROR(VLOOKUP(A542&amp;"", STUDENTS!A:B, 2, 0), "")</f>
        <v>NGUYỄN VŨ LUÂN</v>
      </c>
      <c r="C542" s="343" t="s">
        <v>97</v>
      </c>
      <c r="D542" s="104" t="str">
        <f>IFERROR(VLOOKUP(C542, PIC!A:B, 2, 0), "")</f>
        <v>Trang Nguyen</v>
      </c>
      <c r="E542" s="344" t="s">
        <v>22</v>
      </c>
      <c r="F542" s="299">
        <v>46126.625</v>
      </c>
      <c r="G542" s="271">
        <v>46129.625</v>
      </c>
      <c r="H542" s="334" t="s">
        <v>1162</v>
      </c>
      <c r="I542" s="334">
        <v>46157.541666666664</v>
      </c>
      <c r="J542" s="334">
        <v>46161.583333333336</v>
      </c>
      <c r="K542" s="334">
        <v>46168.583333333336</v>
      </c>
      <c r="L542" s="314" t="s">
        <v>1162</v>
      </c>
      <c r="M542" s="314" t="s">
        <v>1162</v>
      </c>
      <c r="N542" s="269">
        <v>46189.583333333336</v>
      </c>
      <c r="O542" s="284" t="s">
        <v>1182</v>
      </c>
      <c r="P542" s="350" t="s">
        <v>1162</v>
      </c>
      <c r="Q542" s="350" t="s">
        <v>1162</v>
      </c>
      <c r="R542" s="299"/>
      <c r="S542" s="299"/>
      <c r="T542" s="299"/>
      <c r="U542" s="271"/>
      <c r="V542" s="271"/>
      <c r="W542" s="272">
        <f t="shared" si="2"/>
        <v>46189.58333</v>
      </c>
      <c r="X542" s="273"/>
      <c r="Y542" s="273"/>
      <c r="Z542" s="235"/>
      <c r="AA542" s="43"/>
    </row>
    <row r="543" ht="15.75" hidden="1" customHeight="1">
      <c r="A543" s="351" t="s">
        <v>791</v>
      </c>
      <c r="B543" s="352" t="s">
        <v>792</v>
      </c>
      <c r="C543" s="348" t="s">
        <v>97</v>
      </c>
      <c r="D543" s="122" t="str">
        <f>IFERROR(VLOOKUP(C543, PIC!A:B, 2, 0), "")</f>
        <v>Trang Nguyen</v>
      </c>
      <c r="E543" s="349" t="s">
        <v>22</v>
      </c>
      <c r="F543" s="297"/>
      <c r="G543" s="316" t="s">
        <v>1162</v>
      </c>
      <c r="H543" s="281"/>
      <c r="I543" s="297"/>
      <c r="J543" s="281"/>
      <c r="K543" s="297"/>
      <c r="L543" s="281"/>
      <c r="M543" s="281"/>
      <c r="N543" s="297"/>
      <c r="O543" s="303" t="s">
        <v>1182</v>
      </c>
      <c r="P543" s="345" t="s">
        <v>1162</v>
      </c>
      <c r="Q543" s="280">
        <v>46210.583333333336</v>
      </c>
      <c r="R543" s="297"/>
      <c r="S543" s="297"/>
      <c r="T543" s="297"/>
      <c r="U543" s="281"/>
      <c r="V543" s="281"/>
      <c r="W543" s="282">
        <f t="shared" si="2"/>
        <v>46210.58333</v>
      </c>
      <c r="X543" s="283"/>
      <c r="Y543" s="283"/>
      <c r="Z543" s="235"/>
      <c r="AA543" s="43"/>
    </row>
    <row r="544" ht="15.75" hidden="1" customHeight="1">
      <c r="A544" s="353" t="s">
        <v>793</v>
      </c>
      <c r="B544" s="241" t="s">
        <v>794</v>
      </c>
      <c r="C544" s="354" t="s">
        <v>1106</v>
      </c>
      <c r="D544" s="104" t="str">
        <f>IFERROR(VLOOKUP(C544, PIC!A:B, 2, 0), "")</f>
        <v>Duong Pham</v>
      </c>
      <c r="E544" s="314" t="s">
        <v>26</v>
      </c>
      <c r="F544" s="299"/>
      <c r="G544" s="269">
        <v>46190.458333333336</v>
      </c>
      <c r="H544" s="269">
        <v>46196.416666666664</v>
      </c>
      <c r="I544" s="269">
        <v>46204.583333333336</v>
      </c>
      <c r="J544" s="271"/>
      <c r="K544" s="299"/>
      <c r="L544" s="271"/>
      <c r="M544" s="271"/>
      <c r="N544" s="299"/>
      <c r="O544" s="299"/>
      <c r="P544" s="299"/>
      <c r="Q544" s="299"/>
      <c r="R544" s="299"/>
      <c r="S544" s="299"/>
      <c r="T544" s="299"/>
      <c r="U544" s="271"/>
      <c r="V544" s="271"/>
      <c r="W544" s="272">
        <f t="shared" si="2"/>
        <v>46204.58333</v>
      </c>
      <c r="X544" s="273"/>
      <c r="Y544" s="273"/>
      <c r="Z544" s="235"/>
      <c r="AA544" s="43"/>
    </row>
    <row r="545" ht="15.75" hidden="1" customHeight="1">
      <c r="A545" s="353" t="s">
        <v>795</v>
      </c>
      <c r="B545" s="241" t="s">
        <v>796</v>
      </c>
      <c r="C545" s="355" t="s">
        <v>1106</v>
      </c>
      <c r="D545" s="122" t="str">
        <f>IFERROR(VLOOKUP(C545, PIC!A:B, 2, 0), "")</f>
        <v>Duong Pham</v>
      </c>
      <c r="E545" s="316" t="s">
        <v>26</v>
      </c>
      <c r="F545" s="297"/>
      <c r="G545" s="279">
        <v>46190.458333333336</v>
      </c>
      <c r="H545" s="279">
        <v>46196.416666666664</v>
      </c>
      <c r="I545" s="345" t="s">
        <v>1162</v>
      </c>
      <c r="J545" s="281"/>
      <c r="K545" s="297"/>
      <c r="L545" s="281"/>
      <c r="M545" s="281"/>
      <c r="N545" s="297"/>
      <c r="O545" s="297"/>
      <c r="P545" s="297"/>
      <c r="Q545" s="297"/>
      <c r="R545" s="297"/>
      <c r="S545" s="297"/>
      <c r="T545" s="297"/>
      <c r="U545" s="281"/>
      <c r="V545" s="281"/>
      <c r="W545" s="282">
        <f t="shared" si="2"/>
        <v>46196.41667</v>
      </c>
      <c r="X545" s="283"/>
      <c r="Y545" s="283"/>
      <c r="Z545" s="235"/>
      <c r="AA545" s="43"/>
    </row>
    <row r="546" ht="15.75" hidden="1" customHeight="1">
      <c r="A546" s="353" t="s">
        <v>797</v>
      </c>
      <c r="B546" s="241" t="s">
        <v>798</v>
      </c>
      <c r="C546" s="354" t="s">
        <v>1106</v>
      </c>
      <c r="D546" s="104" t="str">
        <f>IFERROR(VLOOKUP(C546, PIC!A:B, 2, 0), "")</f>
        <v>Duong Pham</v>
      </c>
      <c r="E546" s="314" t="s">
        <v>26</v>
      </c>
      <c r="F546" s="299"/>
      <c r="G546" s="269">
        <v>46190.458333333336</v>
      </c>
      <c r="H546" s="269">
        <v>46196.416666666664</v>
      </c>
      <c r="I546" s="269">
        <v>46204.583333333336</v>
      </c>
      <c r="J546" s="271"/>
      <c r="K546" s="299"/>
      <c r="L546" s="271"/>
      <c r="M546" s="271"/>
      <c r="N546" s="299"/>
      <c r="O546" s="299"/>
      <c r="P546" s="299"/>
      <c r="Q546" s="299"/>
      <c r="R546" s="299"/>
      <c r="S546" s="299"/>
      <c r="T546" s="299"/>
      <c r="U546" s="271"/>
      <c r="V546" s="271"/>
      <c r="W546" s="272">
        <f t="shared" si="2"/>
        <v>46204.58333</v>
      </c>
      <c r="X546" s="273"/>
      <c r="Y546" s="273"/>
      <c r="Z546" s="235"/>
      <c r="AA546" s="43"/>
    </row>
    <row r="547" ht="15.75" hidden="1" customHeight="1">
      <c r="A547" s="353" t="s">
        <v>799</v>
      </c>
      <c r="B547" s="241" t="s">
        <v>800</v>
      </c>
      <c r="C547" s="355" t="s">
        <v>1106</v>
      </c>
      <c r="D547" s="122" t="str">
        <f>IFERROR(VLOOKUP(C547, PIC!A:B, 2, 0), "")</f>
        <v>Duong Pham</v>
      </c>
      <c r="E547" s="316" t="s">
        <v>26</v>
      </c>
      <c r="F547" s="297"/>
      <c r="G547" s="279">
        <v>46190.458333333336</v>
      </c>
      <c r="H547" s="279">
        <v>46196.416666666664</v>
      </c>
      <c r="I547" s="279">
        <v>46204.583333333336</v>
      </c>
      <c r="J547" s="281"/>
      <c r="K547" s="297"/>
      <c r="L547" s="281"/>
      <c r="M547" s="281"/>
      <c r="N547" s="297"/>
      <c r="O547" s="297"/>
      <c r="P547" s="297"/>
      <c r="Q547" s="297"/>
      <c r="R547" s="297"/>
      <c r="S547" s="297"/>
      <c r="T547" s="297"/>
      <c r="U547" s="281"/>
      <c r="V547" s="281"/>
      <c r="W547" s="282">
        <f t="shared" si="2"/>
        <v>46204.58333</v>
      </c>
      <c r="X547" s="283"/>
      <c r="Y547" s="283"/>
      <c r="Z547" s="235"/>
      <c r="AA547" s="43"/>
    </row>
    <row r="548" ht="15.75" hidden="1" customHeight="1">
      <c r="A548" s="353" t="s">
        <v>801</v>
      </c>
      <c r="B548" s="241" t="s">
        <v>802</v>
      </c>
      <c r="C548" s="354" t="s">
        <v>1106</v>
      </c>
      <c r="D548" s="104" t="str">
        <f>IFERROR(VLOOKUP(C548, PIC!A:B, 2, 0), "")</f>
        <v>Duong Pham</v>
      </c>
      <c r="E548" s="314" t="s">
        <v>26</v>
      </c>
      <c r="F548" s="299"/>
      <c r="G548" s="269">
        <v>46190.458333333336</v>
      </c>
      <c r="H548" s="269">
        <v>46196.416666666664</v>
      </c>
      <c r="I548" s="269">
        <v>46204.583333333336</v>
      </c>
      <c r="J548" s="271"/>
      <c r="K548" s="299"/>
      <c r="L548" s="271"/>
      <c r="M548" s="271"/>
      <c r="N548" s="299"/>
      <c r="O548" s="299"/>
      <c r="P548" s="299"/>
      <c r="Q548" s="299"/>
      <c r="R548" s="299"/>
      <c r="S548" s="299"/>
      <c r="T548" s="299"/>
      <c r="U548" s="271"/>
      <c r="V548" s="271"/>
      <c r="W548" s="272">
        <f t="shared" si="2"/>
        <v>46204.58333</v>
      </c>
      <c r="X548" s="273"/>
      <c r="Y548" s="273"/>
      <c r="Z548" s="235"/>
      <c r="AA548" s="43"/>
    </row>
    <row r="549" ht="15.75" hidden="1" customHeight="1">
      <c r="A549" s="353" t="s">
        <v>803</v>
      </c>
      <c r="B549" s="241" t="s">
        <v>804</v>
      </c>
      <c r="C549" s="355" t="s">
        <v>1106</v>
      </c>
      <c r="D549" s="122" t="str">
        <f>IFERROR(VLOOKUP(C549, PIC!A:B, 2, 0), "")</f>
        <v>Duong Pham</v>
      </c>
      <c r="E549" s="316" t="s">
        <v>26</v>
      </c>
      <c r="F549" s="297"/>
      <c r="G549" s="279">
        <v>46190.458333333336</v>
      </c>
      <c r="H549" s="279">
        <v>46196.416666666664</v>
      </c>
      <c r="I549" s="279">
        <v>46204.583333333336</v>
      </c>
      <c r="J549" s="281"/>
      <c r="K549" s="297"/>
      <c r="L549" s="281"/>
      <c r="M549" s="281"/>
      <c r="N549" s="297"/>
      <c r="O549" s="297"/>
      <c r="P549" s="297"/>
      <c r="Q549" s="297"/>
      <c r="R549" s="297"/>
      <c r="S549" s="297"/>
      <c r="T549" s="297"/>
      <c r="U549" s="281"/>
      <c r="V549" s="281"/>
      <c r="W549" s="282">
        <f t="shared" si="2"/>
        <v>46204.58333</v>
      </c>
      <c r="X549" s="283"/>
      <c r="Y549" s="283"/>
      <c r="Z549" s="235"/>
      <c r="AA549" s="43"/>
    </row>
    <row r="550" ht="15.75" customHeight="1">
      <c r="A550" s="343"/>
      <c r="B550" s="344"/>
      <c r="C550" s="343"/>
      <c r="D550" s="343"/>
      <c r="E550" s="344"/>
      <c r="F550" s="356"/>
      <c r="G550" s="356"/>
      <c r="H550" s="356"/>
      <c r="I550" s="356"/>
      <c r="J550" s="356"/>
      <c r="K550" s="356"/>
      <c r="L550" s="356"/>
      <c r="M550" s="356"/>
      <c r="N550" s="356"/>
      <c r="O550" s="356"/>
      <c r="P550" s="356"/>
      <c r="Q550" s="356"/>
      <c r="R550" s="356"/>
      <c r="S550" s="356"/>
      <c r="T550" s="356"/>
      <c r="U550" s="356"/>
      <c r="V550" s="356"/>
      <c r="W550" s="272"/>
      <c r="X550" s="273"/>
      <c r="Y550" s="273"/>
      <c r="Z550" s="235"/>
      <c r="AA550" s="43"/>
    </row>
    <row r="551" ht="15.75" customHeight="1">
      <c r="A551" s="348"/>
      <c r="B551" s="349"/>
      <c r="C551" s="348"/>
      <c r="D551" s="348"/>
      <c r="E551" s="349"/>
      <c r="F551" s="357"/>
      <c r="G551" s="357"/>
      <c r="H551" s="357"/>
      <c r="I551" s="357"/>
      <c r="J551" s="357"/>
      <c r="K551" s="357"/>
      <c r="L551" s="357"/>
      <c r="M551" s="357"/>
      <c r="N551" s="357"/>
      <c r="O551" s="357"/>
      <c r="P551" s="357"/>
      <c r="Q551" s="357"/>
      <c r="R551" s="357"/>
      <c r="S551" s="357"/>
      <c r="T551" s="357"/>
      <c r="U551" s="357"/>
      <c r="V551" s="357"/>
      <c r="W551" s="282"/>
      <c r="X551" s="283"/>
      <c r="Y551" s="283"/>
      <c r="Z551" s="235"/>
      <c r="AA551" s="43"/>
    </row>
    <row r="552" ht="15.75" customHeight="1">
      <c r="A552" s="343"/>
      <c r="B552" s="344"/>
      <c r="C552" s="343"/>
      <c r="D552" s="343"/>
      <c r="E552" s="344"/>
      <c r="F552" s="356"/>
      <c r="G552" s="356"/>
      <c r="H552" s="356"/>
      <c r="I552" s="356"/>
      <c r="J552" s="356"/>
      <c r="K552" s="356"/>
      <c r="L552" s="356"/>
      <c r="M552" s="356"/>
      <c r="N552" s="356"/>
      <c r="O552" s="356"/>
      <c r="P552" s="356"/>
      <c r="Q552" s="356"/>
      <c r="R552" s="356"/>
      <c r="S552" s="356"/>
      <c r="T552" s="356"/>
      <c r="U552" s="356"/>
      <c r="V552" s="356"/>
      <c r="W552" s="272"/>
      <c r="X552" s="273"/>
      <c r="Y552" s="273"/>
      <c r="Z552" s="235"/>
      <c r="AA552" s="43"/>
    </row>
    <row r="553" ht="15.75" customHeight="1">
      <c r="A553" s="358" t="s">
        <v>741</v>
      </c>
      <c r="B553" s="359" t="str">
        <f>IFERROR(VLOOKUP(A553&amp;"", STUDENTS!A:B, 2, 0), "")</f>
        <v>CHU KHÁNH LINH</v>
      </c>
      <c r="C553" s="348"/>
      <c r="D553" s="348"/>
      <c r="E553" s="349"/>
      <c r="F553" s="357"/>
      <c r="G553" s="357"/>
      <c r="H553" s="357"/>
      <c r="I553" s="357"/>
      <c r="J553" s="357"/>
      <c r="K553" s="357"/>
      <c r="L553" s="357"/>
      <c r="M553" s="357"/>
      <c r="N553" s="357"/>
      <c r="O553" s="357"/>
      <c r="P553" s="357"/>
      <c r="Q553" s="357"/>
      <c r="R553" s="357"/>
      <c r="S553" s="357"/>
      <c r="T553" s="357"/>
      <c r="U553" s="357"/>
      <c r="V553" s="357"/>
      <c r="W553" s="282"/>
      <c r="X553" s="283"/>
      <c r="Y553" s="283"/>
      <c r="Z553" s="235"/>
      <c r="AA553" s="43"/>
    </row>
    <row r="554" ht="15.75" customHeight="1">
      <c r="A554" s="358" t="s">
        <v>743</v>
      </c>
      <c r="B554" s="359" t="str">
        <f>IFERROR(VLOOKUP(A554&amp;"", STUDENTS!A:B, 2, 0), "")</f>
        <v>LÂM VĂN TIẾN</v>
      </c>
      <c r="C554" s="343"/>
      <c r="D554" s="343"/>
      <c r="E554" s="344"/>
      <c r="F554" s="356"/>
      <c r="G554" s="356"/>
      <c r="H554" s="356"/>
      <c r="I554" s="356"/>
      <c r="J554" s="356"/>
      <c r="K554" s="356"/>
      <c r="L554" s="356"/>
      <c r="M554" s="356"/>
      <c r="N554" s="356"/>
      <c r="O554" s="356"/>
      <c r="P554" s="356"/>
      <c r="Q554" s="356"/>
      <c r="R554" s="356"/>
      <c r="S554" s="356"/>
      <c r="T554" s="356"/>
      <c r="U554" s="356"/>
      <c r="V554" s="356"/>
      <c r="W554" s="272"/>
      <c r="X554" s="273"/>
      <c r="Y554" s="273"/>
      <c r="Z554" s="235"/>
      <c r="AA554" s="43"/>
    </row>
    <row r="555" ht="15.75" customHeight="1">
      <c r="A555" s="358" t="s">
        <v>747</v>
      </c>
      <c r="B555" s="359" t="str">
        <f>IFERROR(VLOOKUP(A555&amp;"", STUDENTS!A:B, 2, 0), "")</f>
        <v>NGUYỄN QUANG TRUNG</v>
      </c>
      <c r="C555" s="348"/>
      <c r="D555" s="348"/>
      <c r="E555" s="349"/>
      <c r="F555" s="357"/>
      <c r="G555" s="357"/>
      <c r="H555" s="357"/>
      <c r="I555" s="357"/>
      <c r="J555" s="357"/>
      <c r="K555" s="357"/>
      <c r="L555" s="357"/>
      <c r="M555" s="357"/>
      <c r="N555" s="357"/>
      <c r="O555" s="357"/>
      <c r="P555" s="357"/>
      <c r="Q555" s="357"/>
      <c r="R555" s="357"/>
      <c r="S555" s="357"/>
      <c r="T555" s="357"/>
      <c r="U555" s="357"/>
      <c r="V555" s="357"/>
      <c r="W555" s="282"/>
      <c r="X555" s="283"/>
      <c r="Y555" s="283"/>
      <c r="Z555" s="235"/>
      <c r="AA555" s="43"/>
    </row>
    <row r="556" ht="15.75" customHeight="1">
      <c r="A556" s="358" t="s">
        <v>748</v>
      </c>
      <c r="B556" s="359" t="str">
        <f>IFERROR(VLOOKUP(A556&amp;"", STUDENTS!A:B, 2, 0), "")</f>
        <v>NGUYỄN TRANG QUỲNH NHƯ</v>
      </c>
      <c r="C556" s="343"/>
      <c r="D556" s="343"/>
      <c r="E556" s="344"/>
      <c r="F556" s="356"/>
      <c r="G556" s="356"/>
      <c r="H556" s="356"/>
      <c r="I556" s="356"/>
      <c r="J556" s="356"/>
      <c r="K556" s="356"/>
      <c r="L556" s="356"/>
      <c r="M556" s="356"/>
      <c r="N556" s="356"/>
      <c r="O556" s="356"/>
      <c r="P556" s="356"/>
      <c r="Q556" s="356"/>
      <c r="R556" s="356"/>
      <c r="S556" s="356"/>
      <c r="T556" s="356"/>
      <c r="U556" s="356"/>
      <c r="V556" s="356"/>
      <c r="W556" s="272"/>
      <c r="X556" s="273"/>
      <c r="Y556" s="273"/>
      <c r="Z556" s="235"/>
      <c r="AA556" s="43"/>
    </row>
    <row r="557" ht="15.75" customHeight="1">
      <c r="A557" s="358" t="s">
        <v>750</v>
      </c>
      <c r="B557" s="359" t="str">
        <f>IFERROR(VLOOKUP(A557&amp;"", STUDENTS!A:B, 2, 0), "")</f>
        <v>NGUYỄN TRÚC DUYÊN</v>
      </c>
      <c r="C557" s="348"/>
      <c r="D557" s="348"/>
      <c r="E557" s="349"/>
      <c r="F557" s="357"/>
      <c r="G557" s="357"/>
      <c r="H557" s="357"/>
      <c r="I557" s="357"/>
      <c r="J557" s="357"/>
      <c r="K557" s="357"/>
      <c r="L557" s="357"/>
      <c r="M557" s="357"/>
      <c r="N557" s="357"/>
      <c r="O557" s="357"/>
      <c r="P557" s="357"/>
      <c r="Q557" s="357"/>
      <c r="R557" s="357"/>
      <c r="S557" s="357"/>
      <c r="T557" s="357"/>
      <c r="U557" s="357"/>
      <c r="V557" s="357"/>
      <c r="W557" s="282"/>
      <c r="X557" s="283"/>
      <c r="Y557" s="283"/>
      <c r="Z557" s="235"/>
      <c r="AA557" s="43"/>
    </row>
    <row r="558" ht="15.75" customHeight="1">
      <c r="A558" s="343"/>
      <c r="B558" s="344"/>
      <c r="C558" s="343"/>
      <c r="D558" s="343"/>
      <c r="E558" s="344"/>
      <c r="F558" s="356"/>
      <c r="G558" s="356"/>
      <c r="H558" s="356"/>
      <c r="I558" s="356"/>
      <c r="J558" s="356"/>
      <c r="K558" s="356"/>
      <c r="L558" s="356"/>
      <c r="M558" s="356"/>
      <c r="N558" s="356"/>
      <c r="O558" s="356"/>
      <c r="P558" s="356"/>
      <c r="Q558" s="356"/>
      <c r="R558" s="356"/>
      <c r="S558" s="356"/>
      <c r="T558" s="356"/>
      <c r="U558" s="356"/>
      <c r="V558" s="356"/>
      <c r="W558" s="272"/>
      <c r="X558" s="273"/>
      <c r="Y558" s="273"/>
      <c r="Z558" s="235"/>
      <c r="AA558" s="43"/>
    </row>
    <row r="559" ht="15.75" customHeight="1">
      <c r="A559" s="348"/>
      <c r="B559" s="349"/>
      <c r="C559" s="348"/>
      <c r="D559" s="348"/>
      <c r="E559" s="349"/>
      <c r="F559" s="357"/>
      <c r="G559" s="357"/>
      <c r="H559" s="357"/>
      <c r="I559" s="357"/>
      <c r="J559" s="357"/>
      <c r="K559" s="357"/>
      <c r="L559" s="357"/>
      <c r="M559" s="357"/>
      <c r="N559" s="357"/>
      <c r="O559" s="357"/>
      <c r="P559" s="357"/>
      <c r="Q559" s="357"/>
      <c r="R559" s="357"/>
      <c r="S559" s="357"/>
      <c r="T559" s="357"/>
      <c r="U559" s="357"/>
      <c r="V559" s="357"/>
      <c r="W559" s="282"/>
      <c r="X559" s="283"/>
      <c r="Y559" s="283"/>
      <c r="Z559" s="235"/>
      <c r="AA559" s="43"/>
    </row>
    <row r="560" ht="15.75" customHeight="1">
      <c r="A560" s="343"/>
      <c r="B560" s="344"/>
      <c r="C560" s="343"/>
      <c r="D560" s="343"/>
      <c r="E560" s="344"/>
      <c r="F560" s="356"/>
      <c r="G560" s="356"/>
      <c r="H560" s="356"/>
      <c r="I560" s="356"/>
      <c r="J560" s="356"/>
      <c r="K560" s="356"/>
      <c r="L560" s="356"/>
      <c r="M560" s="356"/>
      <c r="N560" s="356"/>
      <c r="O560" s="356"/>
      <c r="P560" s="356"/>
      <c r="Q560" s="356"/>
      <c r="R560" s="356"/>
      <c r="S560" s="356"/>
      <c r="T560" s="356"/>
      <c r="U560" s="356"/>
      <c r="V560" s="356"/>
      <c r="W560" s="272"/>
      <c r="X560" s="273"/>
      <c r="Y560" s="273"/>
      <c r="Z560" s="235"/>
      <c r="AA560" s="43"/>
    </row>
    <row r="561" ht="15.75" customHeight="1">
      <c r="A561" s="348"/>
      <c r="B561" s="349"/>
      <c r="C561" s="348"/>
      <c r="D561" s="348"/>
      <c r="E561" s="349"/>
      <c r="F561" s="357"/>
      <c r="G561" s="357"/>
      <c r="H561" s="357"/>
      <c r="I561" s="357"/>
      <c r="J561" s="357"/>
      <c r="K561" s="357"/>
      <c r="L561" s="357"/>
      <c r="M561" s="357"/>
      <c r="N561" s="357"/>
      <c r="O561" s="357"/>
      <c r="P561" s="357"/>
      <c r="Q561" s="357"/>
      <c r="R561" s="357"/>
      <c r="S561" s="357"/>
      <c r="T561" s="357"/>
      <c r="U561" s="357"/>
      <c r="V561" s="357"/>
      <c r="W561" s="282"/>
      <c r="X561" s="283"/>
      <c r="Y561" s="283"/>
      <c r="Z561" s="235"/>
      <c r="AA561" s="43"/>
    </row>
    <row r="562" ht="15.75" customHeight="1">
      <c r="A562" s="343"/>
      <c r="B562" s="344"/>
      <c r="C562" s="343"/>
      <c r="D562" s="343"/>
      <c r="E562" s="344"/>
      <c r="F562" s="356"/>
      <c r="G562" s="356"/>
      <c r="H562" s="356"/>
      <c r="I562" s="356"/>
      <c r="J562" s="356"/>
      <c r="K562" s="356"/>
      <c r="L562" s="356"/>
      <c r="M562" s="356"/>
      <c r="N562" s="356"/>
      <c r="O562" s="356"/>
      <c r="P562" s="356"/>
      <c r="Q562" s="356"/>
      <c r="R562" s="356"/>
      <c r="S562" s="356"/>
      <c r="T562" s="356"/>
      <c r="U562" s="356"/>
      <c r="V562" s="356"/>
      <c r="W562" s="272"/>
      <c r="X562" s="273"/>
      <c r="Y562" s="273"/>
      <c r="Z562" s="235"/>
      <c r="AA562" s="43"/>
    </row>
    <row r="563" ht="15.75" customHeight="1">
      <c r="A563" s="348"/>
      <c r="B563" s="349"/>
      <c r="C563" s="348"/>
      <c r="D563" s="348"/>
      <c r="E563" s="349"/>
      <c r="F563" s="357"/>
      <c r="G563" s="357"/>
      <c r="H563" s="357"/>
      <c r="I563" s="357"/>
      <c r="J563" s="357"/>
      <c r="K563" s="357"/>
      <c r="L563" s="357"/>
      <c r="M563" s="357"/>
      <c r="N563" s="357"/>
      <c r="O563" s="357"/>
      <c r="P563" s="357"/>
      <c r="Q563" s="357"/>
      <c r="R563" s="357"/>
      <c r="S563" s="357"/>
      <c r="T563" s="357"/>
      <c r="U563" s="357"/>
      <c r="V563" s="357"/>
      <c r="W563" s="282"/>
      <c r="X563" s="283"/>
      <c r="Y563" s="283"/>
      <c r="Z563" s="235"/>
      <c r="AA563" s="43"/>
    </row>
    <row r="564" ht="15.75" customHeight="1">
      <c r="A564" s="343"/>
      <c r="B564" s="344"/>
      <c r="C564" s="343"/>
      <c r="D564" s="343"/>
      <c r="E564" s="344"/>
      <c r="F564" s="356"/>
      <c r="G564" s="356"/>
      <c r="H564" s="356"/>
      <c r="I564" s="356"/>
      <c r="J564" s="356"/>
      <c r="K564" s="356"/>
      <c r="L564" s="356"/>
      <c r="M564" s="356"/>
      <c r="N564" s="356"/>
      <c r="O564" s="356"/>
      <c r="P564" s="356"/>
      <c r="Q564" s="356"/>
      <c r="R564" s="356"/>
      <c r="S564" s="356"/>
      <c r="T564" s="356"/>
      <c r="U564" s="356"/>
      <c r="V564" s="356"/>
      <c r="W564" s="272"/>
      <c r="X564" s="273"/>
      <c r="Y564" s="273"/>
      <c r="Z564" s="235"/>
      <c r="AA564" s="43"/>
    </row>
    <row r="565" ht="15.75" customHeight="1">
      <c r="A565" s="348"/>
      <c r="B565" s="349"/>
      <c r="C565" s="348"/>
      <c r="D565" s="348"/>
      <c r="E565" s="349"/>
      <c r="F565" s="357"/>
      <c r="G565" s="357"/>
      <c r="H565" s="357"/>
      <c r="I565" s="357"/>
      <c r="J565" s="357"/>
      <c r="K565" s="357"/>
      <c r="L565" s="357"/>
      <c r="M565" s="357"/>
      <c r="N565" s="357"/>
      <c r="O565" s="357"/>
      <c r="P565" s="357"/>
      <c r="Q565" s="357"/>
      <c r="R565" s="357"/>
      <c r="S565" s="357"/>
      <c r="T565" s="357"/>
      <c r="U565" s="357"/>
      <c r="V565" s="357"/>
      <c r="W565" s="282"/>
      <c r="X565" s="283"/>
      <c r="Y565" s="283"/>
      <c r="Z565" s="235"/>
      <c r="AA565" s="43"/>
    </row>
    <row r="566" ht="15.75" customHeight="1">
      <c r="A566" s="343"/>
      <c r="B566" s="344"/>
      <c r="C566" s="343"/>
      <c r="D566" s="343"/>
      <c r="E566" s="344"/>
      <c r="F566" s="356"/>
      <c r="G566" s="356"/>
      <c r="H566" s="356"/>
      <c r="I566" s="356"/>
      <c r="J566" s="356"/>
      <c r="K566" s="356"/>
      <c r="L566" s="356"/>
      <c r="M566" s="356"/>
      <c r="N566" s="356"/>
      <c r="O566" s="356"/>
      <c r="P566" s="356"/>
      <c r="Q566" s="356"/>
      <c r="R566" s="356"/>
      <c r="S566" s="356"/>
      <c r="T566" s="356"/>
      <c r="U566" s="356"/>
      <c r="V566" s="356"/>
      <c r="W566" s="272"/>
      <c r="X566" s="273"/>
      <c r="Y566" s="273"/>
      <c r="Z566" s="235"/>
      <c r="AA566" s="43"/>
    </row>
    <row r="567" ht="15.75" customHeight="1">
      <c r="A567" s="348"/>
      <c r="B567" s="349"/>
      <c r="C567" s="348"/>
      <c r="D567" s="348"/>
      <c r="E567" s="349"/>
      <c r="F567" s="357"/>
      <c r="G567" s="357"/>
      <c r="H567" s="357"/>
      <c r="I567" s="357"/>
      <c r="J567" s="357"/>
      <c r="K567" s="357"/>
      <c r="L567" s="357"/>
      <c r="M567" s="357"/>
      <c r="N567" s="357"/>
      <c r="O567" s="357"/>
      <c r="P567" s="357"/>
      <c r="Q567" s="357"/>
      <c r="R567" s="357"/>
      <c r="S567" s="357"/>
      <c r="T567" s="357"/>
      <c r="U567" s="357"/>
      <c r="V567" s="357"/>
      <c r="W567" s="282"/>
      <c r="X567" s="283"/>
      <c r="Y567" s="283"/>
      <c r="Z567" s="235"/>
      <c r="AA567" s="43"/>
    </row>
    <row r="568" ht="15.75" customHeight="1">
      <c r="A568" s="343"/>
      <c r="B568" s="344"/>
      <c r="C568" s="343"/>
      <c r="D568" s="343"/>
      <c r="E568" s="344"/>
      <c r="F568" s="356"/>
      <c r="G568" s="356"/>
      <c r="H568" s="356"/>
      <c r="I568" s="356"/>
      <c r="J568" s="356"/>
      <c r="K568" s="356"/>
      <c r="L568" s="356"/>
      <c r="M568" s="356"/>
      <c r="N568" s="356"/>
      <c r="O568" s="356"/>
      <c r="P568" s="356"/>
      <c r="Q568" s="356"/>
      <c r="R568" s="356"/>
      <c r="S568" s="356"/>
      <c r="T568" s="356"/>
      <c r="U568" s="356"/>
      <c r="V568" s="356"/>
      <c r="W568" s="272"/>
      <c r="X568" s="273"/>
      <c r="Y568" s="273"/>
      <c r="Z568" s="235"/>
      <c r="AA568" s="43"/>
    </row>
    <row r="569" ht="15.75" customHeight="1">
      <c r="A569" s="348"/>
      <c r="B569" s="349"/>
      <c r="C569" s="348"/>
      <c r="D569" s="348"/>
      <c r="E569" s="349"/>
      <c r="F569" s="357"/>
      <c r="G569" s="357"/>
      <c r="H569" s="357"/>
      <c r="I569" s="357"/>
      <c r="J569" s="357"/>
      <c r="K569" s="357"/>
      <c r="L569" s="357"/>
      <c r="M569" s="357"/>
      <c r="N569" s="357"/>
      <c r="O569" s="357"/>
      <c r="P569" s="357"/>
      <c r="Q569" s="357"/>
      <c r="R569" s="357"/>
      <c r="S569" s="357"/>
      <c r="T569" s="357"/>
      <c r="U569" s="357"/>
      <c r="V569" s="357"/>
      <c r="W569" s="282"/>
      <c r="X569" s="283"/>
      <c r="Y569" s="283"/>
      <c r="Z569" s="235"/>
      <c r="AA569" s="43"/>
    </row>
    <row r="570" ht="15.75" customHeight="1">
      <c r="A570" s="343"/>
      <c r="B570" s="344"/>
      <c r="C570" s="343"/>
      <c r="D570" s="343"/>
      <c r="E570" s="344"/>
      <c r="F570" s="356"/>
      <c r="G570" s="356"/>
      <c r="H570" s="356"/>
      <c r="I570" s="356"/>
      <c r="J570" s="356"/>
      <c r="K570" s="356"/>
      <c r="L570" s="356"/>
      <c r="M570" s="356"/>
      <c r="N570" s="356"/>
      <c r="O570" s="356"/>
      <c r="P570" s="356"/>
      <c r="Q570" s="356"/>
      <c r="R570" s="356"/>
      <c r="S570" s="356"/>
      <c r="T570" s="356"/>
      <c r="U570" s="356"/>
      <c r="V570" s="356"/>
      <c r="W570" s="272"/>
      <c r="X570" s="273"/>
      <c r="Y570" s="273"/>
      <c r="Z570" s="235"/>
      <c r="AA570" s="43"/>
    </row>
    <row r="571" ht="15.75" customHeight="1">
      <c r="A571" s="348"/>
      <c r="B571" s="349"/>
      <c r="C571" s="348"/>
      <c r="D571" s="348"/>
      <c r="E571" s="349"/>
      <c r="F571" s="357"/>
      <c r="G571" s="357"/>
      <c r="H571" s="357"/>
      <c r="I571" s="357"/>
      <c r="J571" s="357"/>
      <c r="K571" s="357"/>
      <c r="L571" s="357"/>
      <c r="M571" s="357"/>
      <c r="N571" s="357"/>
      <c r="O571" s="357"/>
      <c r="P571" s="357"/>
      <c r="Q571" s="357"/>
      <c r="R571" s="357"/>
      <c r="S571" s="357"/>
      <c r="T571" s="357"/>
      <c r="U571" s="357"/>
      <c r="V571" s="357"/>
      <c r="W571" s="282"/>
      <c r="X571" s="283"/>
      <c r="Y571" s="283"/>
      <c r="Z571" s="235"/>
      <c r="AA571" s="43"/>
    </row>
    <row r="572" ht="15.75" customHeight="1">
      <c r="A572" s="343"/>
      <c r="B572" s="344"/>
      <c r="C572" s="343"/>
      <c r="D572" s="343"/>
      <c r="E572" s="344"/>
      <c r="F572" s="356"/>
      <c r="G572" s="356"/>
      <c r="H572" s="356"/>
      <c r="I572" s="356"/>
      <c r="J572" s="356"/>
      <c r="K572" s="356"/>
      <c r="L572" s="356"/>
      <c r="M572" s="356"/>
      <c r="N572" s="356"/>
      <c r="O572" s="356"/>
      <c r="P572" s="356"/>
      <c r="Q572" s="356"/>
      <c r="R572" s="356"/>
      <c r="S572" s="356"/>
      <c r="T572" s="356"/>
      <c r="U572" s="356"/>
      <c r="V572" s="356"/>
      <c r="W572" s="272"/>
      <c r="X572" s="273"/>
      <c r="Y572" s="273"/>
      <c r="Z572" s="235"/>
      <c r="AA572" s="43"/>
    </row>
    <row r="573" ht="15.75" customHeight="1">
      <c r="A573" s="348"/>
      <c r="B573" s="349"/>
      <c r="C573" s="348"/>
      <c r="D573" s="348"/>
      <c r="E573" s="349"/>
      <c r="F573" s="357"/>
      <c r="G573" s="357"/>
      <c r="H573" s="357"/>
      <c r="I573" s="357"/>
      <c r="J573" s="357"/>
      <c r="K573" s="357"/>
      <c r="L573" s="357"/>
      <c r="M573" s="357"/>
      <c r="N573" s="357"/>
      <c r="O573" s="357"/>
      <c r="P573" s="357"/>
      <c r="Q573" s="357"/>
      <c r="R573" s="357"/>
      <c r="S573" s="357"/>
      <c r="T573" s="357"/>
      <c r="U573" s="357"/>
      <c r="V573" s="357"/>
      <c r="W573" s="282"/>
      <c r="X573" s="283"/>
      <c r="Y573" s="283"/>
      <c r="Z573" s="235"/>
      <c r="AA573" s="43"/>
    </row>
    <row r="574" ht="15.75" customHeight="1">
      <c r="A574" s="343"/>
      <c r="B574" s="344"/>
      <c r="C574" s="343"/>
      <c r="D574" s="343"/>
      <c r="E574" s="344"/>
      <c r="F574" s="356"/>
      <c r="G574" s="356"/>
      <c r="H574" s="356"/>
      <c r="I574" s="356"/>
      <c r="J574" s="356"/>
      <c r="K574" s="356"/>
      <c r="L574" s="356"/>
      <c r="M574" s="356"/>
      <c r="N574" s="356"/>
      <c r="O574" s="356"/>
      <c r="P574" s="356"/>
      <c r="Q574" s="356"/>
      <c r="R574" s="356"/>
      <c r="S574" s="356"/>
      <c r="T574" s="356"/>
      <c r="U574" s="356"/>
      <c r="V574" s="356"/>
      <c r="W574" s="272"/>
      <c r="X574" s="273"/>
      <c r="Y574" s="273"/>
      <c r="Z574" s="235"/>
      <c r="AA574" s="43"/>
    </row>
    <row r="575" ht="15.75" customHeight="1">
      <c r="A575" s="348"/>
      <c r="B575" s="349"/>
      <c r="C575" s="348"/>
      <c r="D575" s="348"/>
      <c r="E575" s="349"/>
      <c r="F575" s="357"/>
      <c r="G575" s="357"/>
      <c r="H575" s="357"/>
      <c r="I575" s="357"/>
      <c r="J575" s="357"/>
      <c r="K575" s="357"/>
      <c r="L575" s="357"/>
      <c r="M575" s="357"/>
      <c r="N575" s="357"/>
      <c r="O575" s="357"/>
      <c r="P575" s="357"/>
      <c r="Q575" s="357"/>
      <c r="R575" s="357"/>
      <c r="S575" s="357"/>
      <c r="T575" s="357"/>
      <c r="U575" s="357"/>
      <c r="V575" s="357"/>
      <c r="W575" s="282"/>
      <c r="X575" s="283"/>
      <c r="Y575" s="283"/>
      <c r="Z575" s="235"/>
      <c r="AA575" s="43"/>
    </row>
    <row r="576" ht="15.75" customHeight="1">
      <c r="A576" s="343"/>
      <c r="B576" s="344"/>
      <c r="C576" s="343"/>
      <c r="D576" s="343"/>
      <c r="E576" s="344"/>
      <c r="F576" s="356"/>
      <c r="G576" s="356"/>
      <c r="H576" s="356"/>
      <c r="I576" s="356"/>
      <c r="J576" s="356"/>
      <c r="K576" s="356"/>
      <c r="L576" s="356"/>
      <c r="M576" s="356"/>
      <c r="N576" s="356"/>
      <c r="O576" s="356"/>
      <c r="P576" s="356"/>
      <c r="Q576" s="356"/>
      <c r="R576" s="356"/>
      <c r="S576" s="356"/>
      <c r="T576" s="356"/>
      <c r="U576" s="356"/>
      <c r="V576" s="356"/>
      <c r="W576" s="272"/>
      <c r="X576" s="273"/>
      <c r="Y576" s="273"/>
      <c r="Z576" s="235"/>
      <c r="AA576" s="43"/>
    </row>
    <row r="577" ht="15.75" customHeight="1">
      <c r="A577" s="348"/>
      <c r="B577" s="349"/>
      <c r="C577" s="348"/>
      <c r="D577" s="348"/>
      <c r="E577" s="349"/>
      <c r="F577" s="357"/>
      <c r="G577" s="357"/>
      <c r="H577" s="357"/>
      <c r="I577" s="357"/>
      <c r="J577" s="357"/>
      <c r="K577" s="357"/>
      <c r="L577" s="357"/>
      <c r="M577" s="357"/>
      <c r="N577" s="357"/>
      <c r="O577" s="357"/>
      <c r="P577" s="357"/>
      <c r="Q577" s="357"/>
      <c r="R577" s="357"/>
      <c r="S577" s="357"/>
      <c r="T577" s="357"/>
      <c r="U577" s="357"/>
      <c r="V577" s="357"/>
      <c r="W577" s="282"/>
      <c r="X577" s="283"/>
      <c r="Y577" s="283"/>
      <c r="Z577" s="235"/>
      <c r="AA577" s="43"/>
    </row>
    <row r="578" ht="15.75" customHeight="1">
      <c r="A578" s="343"/>
      <c r="B578" s="344"/>
      <c r="C578" s="343"/>
      <c r="D578" s="343"/>
      <c r="E578" s="344"/>
      <c r="F578" s="356"/>
      <c r="G578" s="356"/>
      <c r="H578" s="356"/>
      <c r="I578" s="356"/>
      <c r="J578" s="356"/>
      <c r="K578" s="356"/>
      <c r="L578" s="356"/>
      <c r="M578" s="356"/>
      <c r="N578" s="356"/>
      <c r="O578" s="356"/>
      <c r="P578" s="356"/>
      <c r="Q578" s="356"/>
      <c r="R578" s="356"/>
      <c r="S578" s="356"/>
      <c r="T578" s="356"/>
      <c r="U578" s="356"/>
      <c r="V578" s="356"/>
      <c r="W578" s="272"/>
      <c r="X578" s="273"/>
      <c r="Y578" s="273"/>
      <c r="Z578" s="235"/>
      <c r="AA578" s="43"/>
    </row>
    <row r="579" ht="15.75" customHeight="1">
      <c r="A579" s="348"/>
      <c r="B579" s="349"/>
      <c r="C579" s="348"/>
      <c r="D579" s="348"/>
      <c r="E579" s="349"/>
      <c r="F579" s="357"/>
      <c r="G579" s="357"/>
      <c r="H579" s="357"/>
      <c r="I579" s="357"/>
      <c r="J579" s="357"/>
      <c r="K579" s="357"/>
      <c r="L579" s="357"/>
      <c r="M579" s="357"/>
      <c r="N579" s="357"/>
      <c r="O579" s="357"/>
      <c r="P579" s="357"/>
      <c r="Q579" s="357"/>
      <c r="R579" s="357"/>
      <c r="S579" s="357"/>
      <c r="T579" s="357"/>
      <c r="U579" s="357"/>
      <c r="V579" s="357"/>
      <c r="W579" s="282"/>
      <c r="X579" s="283"/>
      <c r="Y579" s="283"/>
      <c r="Z579" s="235"/>
      <c r="AA579" s="43"/>
    </row>
    <row r="580" ht="15.75" customHeight="1">
      <c r="A580" s="343"/>
      <c r="B580" s="344"/>
      <c r="C580" s="343"/>
      <c r="D580" s="343"/>
      <c r="E580" s="344"/>
      <c r="F580" s="356"/>
      <c r="G580" s="356"/>
      <c r="H580" s="356"/>
      <c r="I580" s="356"/>
      <c r="J580" s="356"/>
      <c r="K580" s="356"/>
      <c r="L580" s="356"/>
      <c r="M580" s="356"/>
      <c r="N580" s="356"/>
      <c r="O580" s="356"/>
      <c r="P580" s="356"/>
      <c r="Q580" s="356"/>
      <c r="R580" s="356"/>
      <c r="S580" s="356"/>
      <c r="T580" s="356"/>
      <c r="U580" s="356"/>
      <c r="V580" s="356"/>
      <c r="W580" s="272"/>
      <c r="X580" s="273"/>
      <c r="Y580" s="273"/>
      <c r="Z580" s="235"/>
      <c r="AA580" s="43"/>
    </row>
    <row r="581" ht="15.75" customHeight="1">
      <c r="A581" s="348"/>
      <c r="B581" s="349"/>
      <c r="C581" s="348"/>
      <c r="D581" s="348"/>
      <c r="E581" s="349"/>
      <c r="F581" s="357"/>
      <c r="G581" s="357"/>
      <c r="H581" s="357"/>
      <c r="I581" s="357"/>
      <c r="J581" s="357"/>
      <c r="K581" s="357"/>
      <c r="L581" s="357"/>
      <c r="M581" s="357"/>
      <c r="N581" s="357"/>
      <c r="O581" s="357"/>
      <c r="P581" s="357"/>
      <c r="Q581" s="357"/>
      <c r="R581" s="357"/>
      <c r="S581" s="357"/>
      <c r="T581" s="357"/>
      <c r="U581" s="357"/>
      <c r="V581" s="357"/>
      <c r="W581" s="282"/>
      <c r="X581" s="283"/>
      <c r="Y581" s="283"/>
      <c r="Z581" s="235"/>
      <c r="AA581" s="43"/>
    </row>
    <row r="582" ht="15.75" customHeight="1">
      <c r="A582" s="343"/>
      <c r="B582" s="344"/>
      <c r="C582" s="343"/>
      <c r="D582" s="343"/>
      <c r="E582" s="344"/>
      <c r="F582" s="356"/>
      <c r="G582" s="356"/>
      <c r="H582" s="356"/>
      <c r="I582" s="356"/>
      <c r="J582" s="356"/>
      <c r="K582" s="356"/>
      <c r="L582" s="356"/>
      <c r="M582" s="356"/>
      <c r="N582" s="356"/>
      <c r="O582" s="356"/>
      <c r="P582" s="356"/>
      <c r="Q582" s="356"/>
      <c r="R582" s="356"/>
      <c r="S582" s="356"/>
      <c r="T582" s="356"/>
      <c r="U582" s="356"/>
      <c r="V582" s="356"/>
      <c r="W582" s="272"/>
      <c r="X582" s="273"/>
      <c r="Y582" s="273"/>
      <c r="Z582" s="235"/>
      <c r="AA582" s="43"/>
    </row>
    <row r="583" ht="15.75" customHeight="1">
      <c r="A583" s="348"/>
      <c r="B583" s="349"/>
      <c r="C583" s="348"/>
      <c r="D583" s="348"/>
      <c r="E583" s="349"/>
      <c r="F583" s="357"/>
      <c r="G583" s="357"/>
      <c r="H583" s="357"/>
      <c r="I583" s="357"/>
      <c r="J583" s="357"/>
      <c r="K583" s="357"/>
      <c r="L583" s="357"/>
      <c r="M583" s="357"/>
      <c r="N583" s="357"/>
      <c r="O583" s="357"/>
      <c r="P583" s="357"/>
      <c r="Q583" s="357"/>
      <c r="R583" s="357"/>
      <c r="S583" s="357"/>
      <c r="T583" s="357"/>
      <c r="U583" s="357"/>
      <c r="V583" s="357"/>
      <c r="W583" s="282"/>
      <c r="X583" s="283"/>
      <c r="Y583" s="283"/>
      <c r="Z583" s="235"/>
      <c r="AA583" s="43"/>
    </row>
    <row r="584" ht="15.75" customHeight="1">
      <c r="A584" s="343"/>
      <c r="B584" s="344"/>
      <c r="C584" s="343"/>
      <c r="D584" s="343"/>
      <c r="E584" s="344"/>
      <c r="F584" s="356"/>
      <c r="G584" s="356"/>
      <c r="H584" s="356"/>
      <c r="I584" s="356"/>
      <c r="J584" s="356"/>
      <c r="K584" s="356"/>
      <c r="L584" s="356"/>
      <c r="M584" s="356"/>
      <c r="N584" s="356"/>
      <c r="O584" s="356"/>
      <c r="P584" s="356"/>
      <c r="Q584" s="356"/>
      <c r="R584" s="356"/>
      <c r="S584" s="356"/>
      <c r="T584" s="356"/>
      <c r="U584" s="356"/>
      <c r="V584" s="356"/>
      <c r="W584" s="272"/>
      <c r="X584" s="273"/>
      <c r="Y584" s="273"/>
      <c r="Z584" s="235"/>
      <c r="AA584" s="43"/>
    </row>
    <row r="585" ht="15.75" customHeight="1">
      <c r="A585" s="348"/>
      <c r="B585" s="349"/>
      <c r="C585" s="348"/>
      <c r="D585" s="348"/>
      <c r="E585" s="349"/>
      <c r="F585" s="357"/>
      <c r="G585" s="357"/>
      <c r="H585" s="357"/>
      <c r="I585" s="357"/>
      <c r="J585" s="357"/>
      <c r="K585" s="357"/>
      <c r="L585" s="357"/>
      <c r="M585" s="357"/>
      <c r="N585" s="357"/>
      <c r="O585" s="357"/>
      <c r="P585" s="357"/>
      <c r="Q585" s="357"/>
      <c r="R585" s="357"/>
      <c r="S585" s="357"/>
      <c r="T585" s="357"/>
      <c r="U585" s="357"/>
      <c r="V585" s="357"/>
      <c r="W585" s="282"/>
      <c r="X585" s="283"/>
      <c r="Y585" s="283"/>
      <c r="Z585" s="235"/>
      <c r="AA585" s="43"/>
    </row>
    <row r="586" ht="15.75" customHeight="1">
      <c r="A586" s="343"/>
      <c r="B586" s="344"/>
      <c r="C586" s="343"/>
      <c r="D586" s="343"/>
      <c r="E586" s="344"/>
      <c r="F586" s="356"/>
      <c r="G586" s="356"/>
      <c r="H586" s="356"/>
      <c r="I586" s="356"/>
      <c r="J586" s="356"/>
      <c r="K586" s="356"/>
      <c r="L586" s="356"/>
      <c r="M586" s="356"/>
      <c r="N586" s="356"/>
      <c r="O586" s="356"/>
      <c r="P586" s="356"/>
      <c r="Q586" s="356"/>
      <c r="R586" s="356"/>
      <c r="S586" s="356"/>
      <c r="T586" s="356"/>
      <c r="U586" s="356"/>
      <c r="V586" s="356"/>
      <c r="W586" s="272"/>
      <c r="X586" s="273"/>
      <c r="Y586" s="273"/>
      <c r="Z586" s="235"/>
      <c r="AA586" s="43"/>
    </row>
    <row r="587" ht="15.75" customHeight="1">
      <c r="A587" s="348"/>
      <c r="B587" s="349"/>
      <c r="C587" s="348"/>
      <c r="D587" s="348"/>
      <c r="E587" s="349"/>
      <c r="F587" s="357"/>
      <c r="G587" s="357"/>
      <c r="H587" s="357"/>
      <c r="I587" s="357"/>
      <c r="J587" s="357"/>
      <c r="K587" s="357"/>
      <c r="L587" s="357"/>
      <c r="M587" s="357"/>
      <c r="N587" s="357"/>
      <c r="O587" s="357"/>
      <c r="P587" s="357"/>
      <c r="Q587" s="357"/>
      <c r="R587" s="357"/>
      <c r="S587" s="357"/>
      <c r="T587" s="357"/>
      <c r="U587" s="357"/>
      <c r="V587" s="357"/>
      <c r="W587" s="282"/>
      <c r="X587" s="283"/>
      <c r="Y587" s="283"/>
      <c r="Z587" s="235"/>
      <c r="AA587" s="43"/>
    </row>
    <row r="588" ht="15.75" customHeight="1">
      <c r="A588" s="343"/>
      <c r="B588" s="344"/>
      <c r="C588" s="343"/>
      <c r="D588" s="343"/>
      <c r="E588" s="344"/>
      <c r="F588" s="356"/>
      <c r="G588" s="356"/>
      <c r="H588" s="356"/>
      <c r="I588" s="356"/>
      <c r="J588" s="356"/>
      <c r="K588" s="356"/>
      <c r="L588" s="356"/>
      <c r="M588" s="356"/>
      <c r="N588" s="356"/>
      <c r="O588" s="356"/>
      <c r="P588" s="356"/>
      <c r="Q588" s="356"/>
      <c r="R588" s="356"/>
      <c r="S588" s="356"/>
      <c r="T588" s="356"/>
      <c r="U588" s="356"/>
      <c r="V588" s="356"/>
      <c r="W588" s="272"/>
      <c r="X588" s="273"/>
      <c r="Y588" s="273"/>
      <c r="Z588" s="235"/>
      <c r="AA588" s="43"/>
    </row>
    <row r="589" ht="15.75" customHeight="1">
      <c r="A589" s="348"/>
      <c r="B589" s="349"/>
      <c r="C589" s="348"/>
      <c r="D589" s="348"/>
      <c r="E589" s="349"/>
      <c r="F589" s="357"/>
      <c r="G589" s="357"/>
      <c r="H589" s="357"/>
      <c r="I589" s="357"/>
      <c r="J589" s="357"/>
      <c r="K589" s="357"/>
      <c r="L589" s="357"/>
      <c r="M589" s="357"/>
      <c r="N589" s="357"/>
      <c r="O589" s="357"/>
      <c r="P589" s="357"/>
      <c r="Q589" s="357"/>
      <c r="R589" s="357"/>
      <c r="S589" s="357"/>
      <c r="T589" s="357"/>
      <c r="U589" s="357"/>
      <c r="V589" s="357"/>
      <c r="W589" s="282"/>
      <c r="X589" s="283"/>
      <c r="Y589" s="283"/>
      <c r="Z589" s="235"/>
      <c r="AA589" s="43"/>
    </row>
    <row r="590" ht="15.75" customHeight="1">
      <c r="A590" s="343"/>
      <c r="B590" s="344"/>
      <c r="C590" s="343"/>
      <c r="D590" s="343"/>
      <c r="E590" s="344"/>
      <c r="F590" s="356"/>
      <c r="G590" s="356"/>
      <c r="H590" s="356"/>
      <c r="I590" s="356"/>
      <c r="J590" s="356"/>
      <c r="K590" s="356"/>
      <c r="L590" s="356"/>
      <c r="M590" s="356"/>
      <c r="N590" s="356"/>
      <c r="O590" s="356"/>
      <c r="P590" s="356"/>
      <c r="Q590" s="356"/>
      <c r="R590" s="356"/>
      <c r="S590" s="356"/>
      <c r="T590" s="356"/>
      <c r="U590" s="356"/>
      <c r="V590" s="356"/>
      <c r="W590" s="272"/>
      <c r="X590" s="273"/>
      <c r="Y590" s="273"/>
      <c r="Z590" s="235"/>
      <c r="AA590" s="43"/>
    </row>
    <row r="591" ht="15.75" customHeight="1">
      <c r="A591" s="348"/>
      <c r="B591" s="349"/>
      <c r="C591" s="348"/>
      <c r="D591" s="348"/>
      <c r="E591" s="349"/>
      <c r="F591" s="357"/>
      <c r="G591" s="357"/>
      <c r="H591" s="357"/>
      <c r="I591" s="357"/>
      <c r="J591" s="357"/>
      <c r="K591" s="357"/>
      <c r="L591" s="357"/>
      <c r="M591" s="357"/>
      <c r="N591" s="357"/>
      <c r="O591" s="357"/>
      <c r="P591" s="357"/>
      <c r="Q591" s="357"/>
      <c r="R591" s="357"/>
      <c r="S591" s="357"/>
      <c r="T591" s="357"/>
      <c r="U591" s="357"/>
      <c r="V591" s="357"/>
      <c r="W591" s="282"/>
      <c r="X591" s="283"/>
      <c r="Y591" s="283"/>
      <c r="Z591" s="235"/>
      <c r="AA591" s="43"/>
    </row>
    <row r="592" ht="15.75" customHeight="1">
      <c r="A592" s="343"/>
      <c r="B592" s="344"/>
      <c r="C592" s="343"/>
      <c r="D592" s="343"/>
      <c r="E592" s="344"/>
      <c r="F592" s="356"/>
      <c r="G592" s="356"/>
      <c r="H592" s="356"/>
      <c r="I592" s="356"/>
      <c r="J592" s="356"/>
      <c r="K592" s="356"/>
      <c r="L592" s="356"/>
      <c r="M592" s="356"/>
      <c r="N592" s="356"/>
      <c r="O592" s="356"/>
      <c r="P592" s="356"/>
      <c r="Q592" s="356"/>
      <c r="R592" s="356"/>
      <c r="S592" s="356"/>
      <c r="T592" s="356"/>
      <c r="U592" s="356"/>
      <c r="V592" s="356"/>
      <c r="W592" s="272"/>
      <c r="X592" s="273"/>
      <c r="Y592" s="273"/>
      <c r="Z592" s="235"/>
      <c r="AA592" s="43"/>
    </row>
    <row r="593" ht="15.75" customHeight="1">
      <c r="A593" s="348"/>
      <c r="B593" s="349"/>
      <c r="C593" s="348"/>
      <c r="D593" s="348"/>
      <c r="E593" s="349"/>
      <c r="F593" s="357"/>
      <c r="G593" s="357"/>
      <c r="H593" s="357"/>
      <c r="I593" s="357"/>
      <c r="J593" s="357"/>
      <c r="K593" s="357"/>
      <c r="L593" s="357"/>
      <c r="M593" s="357"/>
      <c r="N593" s="357"/>
      <c r="O593" s="357"/>
      <c r="P593" s="357"/>
      <c r="Q593" s="357"/>
      <c r="R593" s="357"/>
      <c r="S593" s="357"/>
      <c r="T593" s="357"/>
      <c r="U593" s="357"/>
      <c r="V593" s="357"/>
      <c r="W593" s="282"/>
      <c r="X593" s="283"/>
      <c r="Y593" s="283"/>
      <c r="Z593" s="235"/>
      <c r="AA593" s="43"/>
    </row>
    <row r="594" ht="15.75" customHeight="1">
      <c r="A594" s="343"/>
      <c r="B594" s="344"/>
      <c r="C594" s="343"/>
      <c r="D594" s="343"/>
      <c r="E594" s="344"/>
      <c r="F594" s="356"/>
      <c r="G594" s="356"/>
      <c r="H594" s="356"/>
      <c r="I594" s="356"/>
      <c r="J594" s="356"/>
      <c r="K594" s="356"/>
      <c r="L594" s="356"/>
      <c r="M594" s="356"/>
      <c r="N594" s="356"/>
      <c r="O594" s="356"/>
      <c r="P594" s="356"/>
      <c r="Q594" s="356"/>
      <c r="R594" s="356"/>
      <c r="S594" s="356"/>
      <c r="T594" s="356"/>
      <c r="U594" s="356"/>
      <c r="V594" s="356"/>
      <c r="W594" s="272"/>
      <c r="X594" s="273"/>
      <c r="Y594" s="273"/>
      <c r="Z594" s="235"/>
      <c r="AA594" s="43"/>
    </row>
    <row r="595" ht="15.75" customHeight="1">
      <c r="A595" s="348"/>
      <c r="B595" s="349"/>
      <c r="C595" s="348"/>
      <c r="D595" s="348"/>
      <c r="E595" s="349"/>
      <c r="F595" s="357"/>
      <c r="G595" s="357"/>
      <c r="H595" s="357"/>
      <c r="I595" s="357"/>
      <c r="J595" s="357"/>
      <c r="K595" s="357"/>
      <c r="L595" s="357"/>
      <c r="M595" s="357"/>
      <c r="N595" s="357"/>
      <c r="O595" s="357"/>
      <c r="P595" s="357"/>
      <c r="Q595" s="357"/>
      <c r="R595" s="357"/>
      <c r="S595" s="357"/>
      <c r="T595" s="357"/>
      <c r="U595" s="357"/>
      <c r="V595" s="357"/>
      <c r="W595" s="282"/>
      <c r="X595" s="283"/>
      <c r="Y595" s="283"/>
      <c r="Z595" s="235"/>
      <c r="AA595" s="43"/>
    </row>
    <row r="596" ht="15.75" customHeight="1">
      <c r="A596" s="343"/>
      <c r="B596" s="344"/>
      <c r="C596" s="343"/>
      <c r="D596" s="343"/>
      <c r="E596" s="344"/>
      <c r="F596" s="356"/>
      <c r="G596" s="356"/>
      <c r="H596" s="356"/>
      <c r="I596" s="356"/>
      <c r="J596" s="356"/>
      <c r="K596" s="356"/>
      <c r="L596" s="356"/>
      <c r="M596" s="356"/>
      <c r="N596" s="356"/>
      <c r="O596" s="356"/>
      <c r="P596" s="356"/>
      <c r="Q596" s="356"/>
      <c r="R596" s="356"/>
      <c r="S596" s="356"/>
      <c r="T596" s="356"/>
      <c r="U596" s="356"/>
      <c r="V596" s="356"/>
      <c r="W596" s="272"/>
      <c r="X596" s="273"/>
      <c r="Y596" s="273"/>
      <c r="Z596" s="235"/>
      <c r="AA596" s="43"/>
    </row>
    <row r="597" ht="15.75" customHeight="1">
      <c r="A597" s="348"/>
      <c r="B597" s="349"/>
      <c r="C597" s="348"/>
      <c r="D597" s="348"/>
      <c r="E597" s="349"/>
      <c r="F597" s="357"/>
      <c r="G597" s="357"/>
      <c r="H597" s="357"/>
      <c r="I597" s="357"/>
      <c r="J597" s="357"/>
      <c r="K597" s="357"/>
      <c r="L597" s="357"/>
      <c r="M597" s="357"/>
      <c r="N597" s="357"/>
      <c r="O597" s="357"/>
      <c r="P597" s="357"/>
      <c r="Q597" s="357"/>
      <c r="R597" s="357"/>
      <c r="S597" s="357"/>
      <c r="T597" s="357"/>
      <c r="U597" s="357"/>
      <c r="V597" s="357"/>
      <c r="W597" s="282"/>
      <c r="X597" s="283"/>
      <c r="Y597" s="283"/>
      <c r="Z597" s="235"/>
      <c r="AA597" s="43"/>
    </row>
    <row r="598" ht="15.75" customHeight="1">
      <c r="A598" s="343"/>
      <c r="B598" s="344"/>
      <c r="C598" s="343"/>
      <c r="D598" s="343"/>
      <c r="E598" s="344"/>
      <c r="F598" s="356"/>
      <c r="G598" s="356"/>
      <c r="H598" s="356"/>
      <c r="I598" s="356"/>
      <c r="J598" s="356"/>
      <c r="K598" s="356"/>
      <c r="L598" s="356"/>
      <c r="M598" s="356"/>
      <c r="N598" s="356"/>
      <c r="O598" s="356"/>
      <c r="P598" s="356"/>
      <c r="Q598" s="356"/>
      <c r="R598" s="356"/>
      <c r="S598" s="356"/>
      <c r="T598" s="356"/>
      <c r="U598" s="356"/>
      <c r="V598" s="356"/>
      <c r="W598" s="272"/>
      <c r="X598" s="273"/>
      <c r="Y598" s="273"/>
      <c r="Z598" s="235"/>
      <c r="AA598" s="43"/>
    </row>
    <row r="599" ht="15.75" customHeight="1">
      <c r="A599" s="348"/>
      <c r="B599" s="349"/>
      <c r="C599" s="348"/>
      <c r="D599" s="348"/>
      <c r="E599" s="349"/>
      <c r="F599" s="357"/>
      <c r="G599" s="357"/>
      <c r="H599" s="357"/>
      <c r="I599" s="357"/>
      <c r="J599" s="357"/>
      <c r="K599" s="357"/>
      <c r="L599" s="357"/>
      <c r="M599" s="357"/>
      <c r="N599" s="357"/>
      <c r="O599" s="357"/>
      <c r="P599" s="357"/>
      <c r="Q599" s="357"/>
      <c r="R599" s="357"/>
      <c r="S599" s="357"/>
      <c r="T599" s="357"/>
      <c r="U599" s="357"/>
      <c r="V599" s="357"/>
      <c r="W599" s="282"/>
      <c r="X599" s="283"/>
      <c r="Y599" s="283"/>
      <c r="Z599" s="235"/>
      <c r="AA599" s="43"/>
    </row>
    <row r="600" ht="15.75" customHeight="1">
      <c r="A600" s="343"/>
      <c r="B600" s="344"/>
      <c r="C600" s="343"/>
      <c r="D600" s="343"/>
      <c r="E600" s="344"/>
      <c r="F600" s="356"/>
      <c r="G600" s="356"/>
      <c r="H600" s="356"/>
      <c r="I600" s="356"/>
      <c r="J600" s="356"/>
      <c r="K600" s="356"/>
      <c r="L600" s="356"/>
      <c r="M600" s="356"/>
      <c r="N600" s="356"/>
      <c r="O600" s="356"/>
      <c r="P600" s="356"/>
      <c r="Q600" s="356"/>
      <c r="R600" s="356"/>
      <c r="S600" s="356"/>
      <c r="T600" s="356"/>
      <c r="U600" s="356"/>
      <c r="V600" s="356"/>
      <c r="W600" s="272"/>
      <c r="X600" s="273"/>
      <c r="Y600" s="273"/>
      <c r="Z600" s="235"/>
      <c r="AA600" s="43"/>
    </row>
    <row r="601" ht="15.75" customHeight="1">
      <c r="A601" s="348"/>
      <c r="B601" s="349"/>
      <c r="C601" s="348"/>
      <c r="D601" s="348"/>
      <c r="E601" s="349"/>
      <c r="F601" s="357"/>
      <c r="G601" s="357"/>
      <c r="H601" s="357"/>
      <c r="I601" s="357"/>
      <c r="J601" s="357"/>
      <c r="K601" s="357"/>
      <c r="L601" s="357"/>
      <c r="M601" s="357"/>
      <c r="N601" s="357"/>
      <c r="O601" s="357"/>
      <c r="P601" s="357"/>
      <c r="Q601" s="357"/>
      <c r="R601" s="357"/>
      <c r="S601" s="357"/>
      <c r="T601" s="357"/>
      <c r="U601" s="357"/>
      <c r="V601" s="357"/>
      <c r="W601" s="282"/>
      <c r="X601" s="283"/>
      <c r="Y601" s="283"/>
      <c r="Z601" s="235"/>
      <c r="AA601" s="43"/>
    </row>
    <row r="602" ht="15.75" customHeight="1">
      <c r="A602" s="343"/>
      <c r="B602" s="344"/>
      <c r="C602" s="343"/>
      <c r="D602" s="343"/>
      <c r="E602" s="344"/>
      <c r="F602" s="356"/>
      <c r="G602" s="356"/>
      <c r="H602" s="356"/>
      <c r="I602" s="356"/>
      <c r="J602" s="356"/>
      <c r="K602" s="356"/>
      <c r="L602" s="356"/>
      <c r="M602" s="356"/>
      <c r="N602" s="356"/>
      <c r="O602" s="356"/>
      <c r="P602" s="356"/>
      <c r="Q602" s="356"/>
      <c r="R602" s="356"/>
      <c r="S602" s="356"/>
      <c r="T602" s="356"/>
      <c r="U602" s="356"/>
      <c r="V602" s="356"/>
      <c r="W602" s="272"/>
      <c r="X602" s="273"/>
      <c r="Y602" s="273"/>
      <c r="Z602" s="235"/>
      <c r="AA602" s="43"/>
    </row>
    <row r="603" ht="15.75" customHeight="1">
      <c r="A603" s="348"/>
      <c r="B603" s="349"/>
      <c r="C603" s="348"/>
      <c r="D603" s="348"/>
      <c r="E603" s="349"/>
      <c r="F603" s="357"/>
      <c r="G603" s="357"/>
      <c r="H603" s="357"/>
      <c r="I603" s="357"/>
      <c r="J603" s="357"/>
      <c r="K603" s="357"/>
      <c r="L603" s="357"/>
      <c r="M603" s="357"/>
      <c r="N603" s="357"/>
      <c r="O603" s="357"/>
      <c r="P603" s="357"/>
      <c r="Q603" s="357"/>
      <c r="R603" s="357"/>
      <c r="S603" s="357"/>
      <c r="T603" s="357"/>
      <c r="U603" s="357"/>
      <c r="V603" s="357"/>
      <c r="W603" s="282"/>
      <c r="X603" s="283"/>
      <c r="Y603" s="283"/>
      <c r="Z603" s="235"/>
      <c r="AA603" s="43"/>
    </row>
    <row r="604" ht="15.75" customHeight="1">
      <c r="A604" s="343"/>
      <c r="B604" s="344"/>
      <c r="C604" s="343"/>
      <c r="D604" s="343"/>
      <c r="E604" s="344"/>
      <c r="F604" s="356"/>
      <c r="G604" s="356"/>
      <c r="H604" s="356"/>
      <c r="I604" s="356"/>
      <c r="J604" s="356"/>
      <c r="K604" s="356"/>
      <c r="L604" s="356"/>
      <c r="M604" s="356"/>
      <c r="N604" s="356"/>
      <c r="O604" s="356"/>
      <c r="P604" s="356"/>
      <c r="Q604" s="356"/>
      <c r="R604" s="356"/>
      <c r="S604" s="356"/>
      <c r="T604" s="356"/>
      <c r="U604" s="356"/>
      <c r="V604" s="356"/>
      <c r="W604" s="272"/>
      <c r="X604" s="273"/>
      <c r="Y604" s="273"/>
      <c r="Z604" s="235"/>
      <c r="AA604" s="43"/>
    </row>
    <row r="605" ht="15.75" customHeight="1">
      <c r="A605" s="348"/>
      <c r="B605" s="349"/>
      <c r="C605" s="348"/>
      <c r="D605" s="348"/>
      <c r="E605" s="349"/>
      <c r="F605" s="357"/>
      <c r="G605" s="357"/>
      <c r="H605" s="357"/>
      <c r="I605" s="357"/>
      <c r="J605" s="357"/>
      <c r="K605" s="357"/>
      <c r="L605" s="357"/>
      <c r="M605" s="357"/>
      <c r="N605" s="357"/>
      <c r="O605" s="357"/>
      <c r="P605" s="357"/>
      <c r="Q605" s="357"/>
      <c r="R605" s="357"/>
      <c r="S605" s="357"/>
      <c r="T605" s="357"/>
      <c r="U605" s="357"/>
      <c r="V605" s="357"/>
      <c r="W605" s="282"/>
      <c r="X605" s="283"/>
      <c r="Y605" s="283"/>
      <c r="Z605" s="235"/>
      <c r="AA605" s="43"/>
    </row>
    <row r="606" ht="15.75" customHeight="1">
      <c r="A606" s="343"/>
      <c r="B606" s="344"/>
      <c r="C606" s="343"/>
      <c r="D606" s="343"/>
      <c r="E606" s="344"/>
      <c r="F606" s="356"/>
      <c r="G606" s="356"/>
      <c r="H606" s="356"/>
      <c r="I606" s="356"/>
      <c r="J606" s="356"/>
      <c r="K606" s="356"/>
      <c r="L606" s="356"/>
      <c r="M606" s="356"/>
      <c r="N606" s="356"/>
      <c r="O606" s="356"/>
      <c r="P606" s="356"/>
      <c r="Q606" s="356"/>
      <c r="R606" s="356"/>
      <c r="S606" s="356"/>
      <c r="T606" s="356"/>
      <c r="U606" s="356"/>
      <c r="V606" s="356"/>
      <c r="W606" s="272"/>
      <c r="X606" s="273"/>
      <c r="Y606" s="273"/>
      <c r="Z606" s="235"/>
      <c r="AA606" s="43"/>
    </row>
    <row r="607" ht="15.75" customHeight="1">
      <c r="A607" s="348"/>
      <c r="B607" s="349"/>
      <c r="C607" s="348"/>
      <c r="D607" s="348"/>
      <c r="E607" s="349"/>
      <c r="F607" s="357"/>
      <c r="G607" s="357"/>
      <c r="H607" s="357"/>
      <c r="I607" s="357"/>
      <c r="J607" s="357"/>
      <c r="K607" s="357"/>
      <c r="L607" s="357"/>
      <c r="M607" s="357"/>
      <c r="N607" s="357"/>
      <c r="O607" s="357"/>
      <c r="P607" s="357"/>
      <c r="Q607" s="357"/>
      <c r="R607" s="357"/>
      <c r="S607" s="357"/>
      <c r="T607" s="357"/>
      <c r="U607" s="357"/>
      <c r="V607" s="357"/>
      <c r="W607" s="282"/>
      <c r="X607" s="283"/>
      <c r="Y607" s="283"/>
      <c r="Z607" s="235"/>
      <c r="AA607" s="43"/>
    </row>
    <row r="608" ht="15.75" customHeight="1">
      <c r="A608" s="343"/>
      <c r="B608" s="344"/>
      <c r="C608" s="343"/>
      <c r="D608" s="343"/>
      <c r="E608" s="344"/>
      <c r="F608" s="356"/>
      <c r="G608" s="356"/>
      <c r="H608" s="356"/>
      <c r="I608" s="356"/>
      <c r="J608" s="356"/>
      <c r="K608" s="356"/>
      <c r="L608" s="356"/>
      <c r="M608" s="356"/>
      <c r="N608" s="356"/>
      <c r="O608" s="356"/>
      <c r="P608" s="356"/>
      <c r="Q608" s="356"/>
      <c r="R608" s="356"/>
      <c r="S608" s="356"/>
      <c r="T608" s="356"/>
      <c r="U608" s="356"/>
      <c r="V608" s="356"/>
      <c r="W608" s="272"/>
      <c r="X608" s="273"/>
      <c r="Y608" s="273"/>
      <c r="Z608" s="235"/>
      <c r="AA608" s="43"/>
    </row>
    <row r="609" ht="15.75" customHeight="1">
      <c r="A609" s="348"/>
      <c r="B609" s="349"/>
      <c r="C609" s="348"/>
      <c r="D609" s="348"/>
      <c r="E609" s="349"/>
      <c r="F609" s="357"/>
      <c r="G609" s="357"/>
      <c r="H609" s="357"/>
      <c r="I609" s="357"/>
      <c r="J609" s="357"/>
      <c r="K609" s="357"/>
      <c r="L609" s="357"/>
      <c r="M609" s="357"/>
      <c r="N609" s="357"/>
      <c r="O609" s="357"/>
      <c r="P609" s="357"/>
      <c r="Q609" s="357"/>
      <c r="R609" s="357"/>
      <c r="S609" s="357"/>
      <c r="T609" s="357"/>
      <c r="U609" s="357"/>
      <c r="V609" s="357"/>
      <c r="W609" s="282"/>
      <c r="X609" s="283"/>
      <c r="Y609" s="283"/>
      <c r="Z609" s="235"/>
      <c r="AA609" s="43"/>
    </row>
    <row r="610" ht="15.75" customHeight="1">
      <c r="A610" s="343"/>
      <c r="B610" s="344"/>
      <c r="C610" s="343"/>
      <c r="D610" s="343"/>
      <c r="E610" s="344"/>
      <c r="F610" s="356"/>
      <c r="G610" s="356"/>
      <c r="H610" s="356"/>
      <c r="I610" s="356"/>
      <c r="J610" s="356"/>
      <c r="K610" s="356"/>
      <c r="L610" s="356"/>
      <c r="M610" s="356"/>
      <c r="N610" s="356"/>
      <c r="O610" s="356"/>
      <c r="P610" s="356"/>
      <c r="Q610" s="356"/>
      <c r="R610" s="356"/>
      <c r="S610" s="356"/>
      <c r="T610" s="356"/>
      <c r="U610" s="356"/>
      <c r="V610" s="356"/>
      <c r="W610" s="272"/>
      <c r="X610" s="273"/>
      <c r="Y610" s="273"/>
      <c r="Z610" s="235"/>
      <c r="AA610" s="43"/>
    </row>
    <row r="611" ht="15.75" customHeight="1">
      <c r="A611" s="348"/>
      <c r="B611" s="349"/>
      <c r="C611" s="348"/>
      <c r="D611" s="348"/>
      <c r="E611" s="349"/>
      <c r="F611" s="357"/>
      <c r="G611" s="357"/>
      <c r="H611" s="357"/>
      <c r="I611" s="357"/>
      <c r="J611" s="357"/>
      <c r="K611" s="357"/>
      <c r="L611" s="357"/>
      <c r="M611" s="357"/>
      <c r="N611" s="357"/>
      <c r="O611" s="357"/>
      <c r="P611" s="357"/>
      <c r="Q611" s="357"/>
      <c r="R611" s="357"/>
      <c r="S611" s="357"/>
      <c r="T611" s="357"/>
      <c r="U611" s="357"/>
      <c r="V611" s="357"/>
      <c r="W611" s="282"/>
      <c r="X611" s="283"/>
      <c r="Y611" s="283"/>
      <c r="Z611" s="235"/>
      <c r="AA611" s="43"/>
    </row>
    <row r="612" ht="15.75" customHeight="1">
      <c r="A612" s="343"/>
      <c r="B612" s="344"/>
      <c r="C612" s="343"/>
      <c r="D612" s="343"/>
      <c r="E612" s="344"/>
      <c r="F612" s="356"/>
      <c r="G612" s="356"/>
      <c r="H612" s="356"/>
      <c r="I612" s="356"/>
      <c r="J612" s="356"/>
      <c r="K612" s="356"/>
      <c r="L612" s="356"/>
      <c r="M612" s="356"/>
      <c r="N612" s="356"/>
      <c r="O612" s="356"/>
      <c r="P612" s="356"/>
      <c r="Q612" s="356"/>
      <c r="R612" s="356"/>
      <c r="S612" s="356"/>
      <c r="T612" s="356"/>
      <c r="U612" s="356"/>
      <c r="V612" s="356"/>
      <c r="W612" s="272"/>
      <c r="X612" s="273"/>
      <c r="Y612" s="273"/>
      <c r="Z612" s="235"/>
      <c r="AA612" s="43"/>
    </row>
    <row r="613" ht="15.75" customHeight="1">
      <c r="A613" s="348"/>
      <c r="B613" s="349"/>
      <c r="C613" s="348"/>
      <c r="D613" s="348"/>
      <c r="E613" s="349"/>
      <c r="F613" s="357"/>
      <c r="G613" s="357"/>
      <c r="H613" s="357"/>
      <c r="I613" s="357"/>
      <c r="J613" s="357"/>
      <c r="K613" s="357"/>
      <c r="L613" s="357"/>
      <c r="M613" s="357"/>
      <c r="N613" s="357"/>
      <c r="O613" s="357"/>
      <c r="P613" s="357"/>
      <c r="Q613" s="357"/>
      <c r="R613" s="357"/>
      <c r="S613" s="357"/>
      <c r="T613" s="357"/>
      <c r="U613" s="357"/>
      <c r="V613" s="357"/>
      <c r="W613" s="282"/>
      <c r="X613" s="283"/>
      <c r="Y613" s="283"/>
      <c r="Z613" s="235"/>
      <c r="AA613" s="43"/>
    </row>
    <row r="614" ht="15.75" customHeight="1">
      <c r="A614" s="343"/>
      <c r="B614" s="344"/>
      <c r="C614" s="343"/>
      <c r="D614" s="343"/>
      <c r="E614" s="344"/>
      <c r="F614" s="356"/>
      <c r="G614" s="356"/>
      <c r="H614" s="356"/>
      <c r="I614" s="356"/>
      <c r="J614" s="356"/>
      <c r="K614" s="356"/>
      <c r="L614" s="356"/>
      <c r="M614" s="356"/>
      <c r="N614" s="356"/>
      <c r="O614" s="356"/>
      <c r="P614" s="356"/>
      <c r="Q614" s="356"/>
      <c r="R614" s="356"/>
      <c r="S614" s="356"/>
      <c r="T614" s="356"/>
      <c r="U614" s="356"/>
      <c r="V614" s="356"/>
      <c r="W614" s="272"/>
      <c r="X614" s="273"/>
      <c r="Y614" s="273"/>
      <c r="Z614" s="235"/>
      <c r="AA614" s="43"/>
    </row>
    <row r="615" ht="15.75" customHeight="1">
      <c r="A615" s="348"/>
      <c r="B615" s="349"/>
      <c r="C615" s="348"/>
      <c r="D615" s="348"/>
      <c r="E615" s="349"/>
      <c r="F615" s="357"/>
      <c r="G615" s="357"/>
      <c r="H615" s="357"/>
      <c r="I615" s="357"/>
      <c r="J615" s="357"/>
      <c r="K615" s="357"/>
      <c r="L615" s="357"/>
      <c r="M615" s="357"/>
      <c r="N615" s="357"/>
      <c r="O615" s="357"/>
      <c r="P615" s="357"/>
      <c r="Q615" s="357"/>
      <c r="R615" s="357"/>
      <c r="S615" s="357"/>
      <c r="T615" s="357"/>
      <c r="U615" s="357"/>
      <c r="V615" s="357"/>
      <c r="W615" s="282"/>
      <c r="X615" s="283"/>
      <c r="Y615" s="283"/>
      <c r="Z615" s="235"/>
      <c r="AA615" s="43"/>
    </row>
    <row r="616" ht="15.75" customHeight="1">
      <c r="A616" s="343"/>
      <c r="B616" s="344"/>
      <c r="C616" s="343"/>
      <c r="D616" s="343"/>
      <c r="E616" s="344"/>
      <c r="F616" s="356"/>
      <c r="G616" s="356"/>
      <c r="H616" s="356"/>
      <c r="I616" s="356"/>
      <c r="J616" s="356"/>
      <c r="K616" s="356"/>
      <c r="L616" s="356"/>
      <c r="M616" s="356"/>
      <c r="N616" s="356"/>
      <c r="O616" s="356"/>
      <c r="P616" s="356"/>
      <c r="Q616" s="356"/>
      <c r="R616" s="356"/>
      <c r="S616" s="356"/>
      <c r="T616" s="356"/>
      <c r="U616" s="356"/>
      <c r="V616" s="356"/>
      <c r="W616" s="272"/>
      <c r="X616" s="273"/>
      <c r="Y616" s="273"/>
      <c r="Z616" s="235"/>
      <c r="AA616" s="43"/>
    </row>
    <row r="617" ht="15.75" customHeight="1">
      <c r="A617" s="348"/>
      <c r="B617" s="349"/>
      <c r="C617" s="348"/>
      <c r="D617" s="348"/>
      <c r="E617" s="349"/>
      <c r="F617" s="357"/>
      <c r="G617" s="357"/>
      <c r="H617" s="357"/>
      <c r="I617" s="357"/>
      <c r="J617" s="357"/>
      <c r="K617" s="357"/>
      <c r="L617" s="357"/>
      <c r="M617" s="357"/>
      <c r="N617" s="357"/>
      <c r="O617" s="357"/>
      <c r="P617" s="357"/>
      <c r="Q617" s="357"/>
      <c r="R617" s="357"/>
      <c r="S617" s="357"/>
      <c r="T617" s="357"/>
      <c r="U617" s="357"/>
      <c r="V617" s="357"/>
      <c r="W617" s="282"/>
      <c r="X617" s="283"/>
      <c r="Y617" s="283"/>
      <c r="Z617" s="235"/>
      <c r="AA617" s="43"/>
    </row>
    <row r="618" ht="15.75" customHeight="1">
      <c r="A618" s="343"/>
      <c r="B618" s="344"/>
      <c r="C618" s="343"/>
      <c r="D618" s="343"/>
      <c r="E618" s="344"/>
      <c r="F618" s="356"/>
      <c r="G618" s="356"/>
      <c r="H618" s="356"/>
      <c r="I618" s="356"/>
      <c r="J618" s="356"/>
      <c r="K618" s="356"/>
      <c r="L618" s="356"/>
      <c r="M618" s="356"/>
      <c r="N618" s="356"/>
      <c r="O618" s="356"/>
      <c r="P618" s="356"/>
      <c r="Q618" s="356"/>
      <c r="R618" s="356"/>
      <c r="S618" s="356"/>
      <c r="T618" s="356"/>
      <c r="U618" s="356"/>
      <c r="V618" s="356"/>
      <c r="W618" s="272"/>
      <c r="X618" s="273"/>
      <c r="Y618" s="273"/>
      <c r="Z618" s="235"/>
      <c r="AA618" s="43"/>
    </row>
    <row r="619" ht="15.75" customHeight="1">
      <c r="A619" s="348"/>
      <c r="B619" s="349"/>
      <c r="C619" s="348"/>
      <c r="D619" s="348"/>
      <c r="E619" s="349"/>
      <c r="F619" s="357"/>
      <c r="G619" s="357"/>
      <c r="H619" s="357"/>
      <c r="I619" s="357"/>
      <c r="J619" s="357"/>
      <c r="K619" s="357"/>
      <c r="L619" s="357"/>
      <c r="M619" s="357"/>
      <c r="N619" s="357"/>
      <c r="O619" s="357"/>
      <c r="P619" s="357"/>
      <c r="Q619" s="357"/>
      <c r="R619" s="357"/>
      <c r="S619" s="357"/>
      <c r="T619" s="357"/>
      <c r="U619" s="357"/>
      <c r="V619" s="357"/>
      <c r="W619" s="282"/>
      <c r="X619" s="283"/>
      <c r="Y619" s="283"/>
      <c r="Z619" s="235"/>
      <c r="AA619" s="43"/>
    </row>
    <row r="620" ht="15.75" customHeight="1">
      <c r="A620" s="343"/>
      <c r="B620" s="344"/>
      <c r="C620" s="343"/>
      <c r="D620" s="343"/>
      <c r="E620" s="344"/>
      <c r="F620" s="356"/>
      <c r="G620" s="356"/>
      <c r="H620" s="356"/>
      <c r="I620" s="356"/>
      <c r="J620" s="356"/>
      <c r="K620" s="356"/>
      <c r="L620" s="356"/>
      <c r="M620" s="356"/>
      <c r="N620" s="356"/>
      <c r="O620" s="356"/>
      <c r="P620" s="356"/>
      <c r="Q620" s="356"/>
      <c r="R620" s="356"/>
      <c r="S620" s="356"/>
      <c r="T620" s="356"/>
      <c r="U620" s="356"/>
      <c r="V620" s="356"/>
      <c r="W620" s="272"/>
      <c r="X620" s="273"/>
      <c r="Y620" s="273"/>
      <c r="Z620" s="235"/>
      <c r="AA620" s="43"/>
    </row>
    <row r="621" ht="15.75" customHeight="1">
      <c r="A621" s="348"/>
      <c r="B621" s="349"/>
      <c r="C621" s="348"/>
      <c r="D621" s="348"/>
      <c r="E621" s="349"/>
      <c r="F621" s="357"/>
      <c r="G621" s="357"/>
      <c r="H621" s="357"/>
      <c r="I621" s="357"/>
      <c r="J621" s="357"/>
      <c r="K621" s="357"/>
      <c r="L621" s="357"/>
      <c r="M621" s="357"/>
      <c r="N621" s="357"/>
      <c r="O621" s="357"/>
      <c r="P621" s="357"/>
      <c r="Q621" s="357"/>
      <c r="R621" s="357"/>
      <c r="S621" s="357"/>
      <c r="T621" s="357"/>
      <c r="U621" s="357"/>
      <c r="V621" s="357"/>
      <c r="W621" s="282"/>
      <c r="X621" s="283"/>
      <c r="Y621" s="283"/>
      <c r="Z621" s="235"/>
      <c r="AA621" s="43"/>
    </row>
    <row r="622" ht="15.75" customHeight="1">
      <c r="A622" s="343"/>
      <c r="B622" s="344"/>
      <c r="C622" s="343"/>
      <c r="D622" s="343"/>
      <c r="E622" s="344"/>
      <c r="F622" s="356"/>
      <c r="G622" s="356"/>
      <c r="H622" s="356"/>
      <c r="I622" s="356"/>
      <c r="J622" s="356"/>
      <c r="K622" s="356"/>
      <c r="L622" s="356"/>
      <c r="M622" s="356"/>
      <c r="N622" s="356"/>
      <c r="O622" s="356"/>
      <c r="P622" s="356"/>
      <c r="Q622" s="356"/>
      <c r="R622" s="356"/>
      <c r="S622" s="356"/>
      <c r="T622" s="356"/>
      <c r="U622" s="356"/>
      <c r="V622" s="356"/>
      <c r="W622" s="272"/>
      <c r="X622" s="273"/>
      <c r="Y622" s="273"/>
      <c r="Z622" s="235"/>
      <c r="AA622" s="43"/>
    </row>
    <row r="623" ht="15.75" customHeight="1">
      <c r="A623" s="348"/>
      <c r="B623" s="349"/>
      <c r="C623" s="348"/>
      <c r="D623" s="348"/>
      <c r="E623" s="349"/>
      <c r="F623" s="357"/>
      <c r="G623" s="357"/>
      <c r="H623" s="357"/>
      <c r="I623" s="357"/>
      <c r="J623" s="357"/>
      <c r="K623" s="357"/>
      <c r="L623" s="357"/>
      <c r="M623" s="357"/>
      <c r="N623" s="357"/>
      <c r="O623" s="357"/>
      <c r="P623" s="357"/>
      <c r="Q623" s="357"/>
      <c r="R623" s="357"/>
      <c r="S623" s="357"/>
      <c r="T623" s="357"/>
      <c r="U623" s="357"/>
      <c r="V623" s="357"/>
      <c r="W623" s="282"/>
      <c r="X623" s="283"/>
      <c r="Y623" s="283"/>
      <c r="Z623" s="235"/>
      <c r="AA623" s="43"/>
    </row>
    <row r="624" ht="15.75" customHeight="1">
      <c r="A624" s="343"/>
      <c r="B624" s="344"/>
      <c r="C624" s="343"/>
      <c r="D624" s="343"/>
      <c r="E624" s="344"/>
      <c r="F624" s="356"/>
      <c r="G624" s="356"/>
      <c r="H624" s="356"/>
      <c r="I624" s="356"/>
      <c r="J624" s="356"/>
      <c r="K624" s="356"/>
      <c r="L624" s="356"/>
      <c r="M624" s="356"/>
      <c r="N624" s="356"/>
      <c r="O624" s="356"/>
      <c r="P624" s="356"/>
      <c r="Q624" s="356"/>
      <c r="R624" s="356"/>
      <c r="S624" s="356"/>
      <c r="T624" s="356"/>
      <c r="U624" s="356"/>
      <c r="V624" s="356"/>
      <c r="W624" s="272"/>
      <c r="X624" s="273"/>
      <c r="Y624" s="273"/>
      <c r="Z624" s="235"/>
      <c r="AA624" s="43"/>
    </row>
    <row r="625" ht="15.75" customHeight="1">
      <c r="A625" s="348"/>
      <c r="B625" s="349"/>
      <c r="C625" s="348"/>
      <c r="D625" s="348"/>
      <c r="E625" s="349"/>
      <c r="F625" s="357"/>
      <c r="G625" s="357"/>
      <c r="H625" s="357"/>
      <c r="I625" s="357"/>
      <c r="J625" s="357"/>
      <c r="K625" s="357"/>
      <c r="L625" s="357"/>
      <c r="M625" s="357"/>
      <c r="N625" s="357"/>
      <c r="O625" s="357"/>
      <c r="P625" s="357"/>
      <c r="Q625" s="357"/>
      <c r="R625" s="357"/>
      <c r="S625" s="357"/>
      <c r="T625" s="357"/>
      <c r="U625" s="357"/>
      <c r="V625" s="357"/>
      <c r="W625" s="282"/>
      <c r="X625" s="283"/>
      <c r="Y625" s="283"/>
      <c r="Z625" s="235"/>
      <c r="AA625" s="43"/>
    </row>
    <row r="626" ht="15.75" customHeight="1">
      <c r="A626" s="343"/>
      <c r="B626" s="344"/>
      <c r="C626" s="343"/>
      <c r="D626" s="343"/>
      <c r="E626" s="344"/>
      <c r="F626" s="356"/>
      <c r="G626" s="356"/>
      <c r="H626" s="356"/>
      <c r="I626" s="356"/>
      <c r="J626" s="356"/>
      <c r="K626" s="356"/>
      <c r="L626" s="356"/>
      <c r="M626" s="356"/>
      <c r="N626" s="356"/>
      <c r="O626" s="356"/>
      <c r="P626" s="356"/>
      <c r="Q626" s="356"/>
      <c r="R626" s="356"/>
      <c r="S626" s="356"/>
      <c r="T626" s="356"/>
      <c r="U626" s="356"/>
      <c r="V626" s="356"/>
      <c r="W626" s="272"/>
      <c r="X626" s="273"/>
      <c r="Y626" s="273"/>
      <c r="Z626" s="235"/>
      <c r="AA626" s="43"/>
    </row>
    <row r="627" ht="15.75" customHeight="1">
      <c r="A627" s="348"/>
      <c r="B627" s="349"/>
      <c r="C627" s="348"/>
      <c r="D627" s="348"/>
      <c r="E627" s="349"/>
      <c r="F627" s="357"/>
      <c r="G627" s="357"/>
      <c r="H627" s="357"/>
      <c r="I627" s="357"/>
      <c r="J627" s="357"/>
      <c r="K627" s="357"/>
      <c r="L627" s="357"/>
      <c r="M627" s="357"/>
      <c r="N627" s="357"/>
      <c r="O627" s="357"/>
      <c r="P627" s="357"/>
      <c r="Q627" s="357"/>
      <c r="R627" s="357"/>
      <c r="S627" s="357"/>
      <c r="T627" s="357"/>
      <c r="U627" s="357"/>
      <c r="V627" s="357"/>
      <c r="W627" s="282"/>
      <c r="X627" s="283"/>
      <c r="Y627" s="283"/>
      <c r="Z627" s="235"/>
      <c r="AA627" s="43"/>
    </row>
    <row r="628" ht="15.75" customHeight="1">
      <c r="A628" s="343"/>
      <c r="B628" s="344"/>
      <c r="C628" s="343"/>
      <c r="D628" s="343"/>
      <c r="E628" s="344"/>
      <c r="F628" s="356"/>
      <c r="G628" s="356"/>
      <c r="H628" s="356"/>
      <c r="I628" s="356"/>
      <c r="J628" s="356"/>
      <c r="K628" s="356"/>
      <c r="L628" s="356"/>
      <c r="M628" s="356"/>
      <c r="N628" s="356"/>
      <c r="O628" s="356"/>
      <c r="P628" s="356"/>
      <c r="Q628" s="356"/>
      <c r="R628" s="356"/>
      <c r="S628" s="356"/>
      <c r="T628" s="356"/>
      <c r="U628" s="356"/>
      <c r="V628" s="356"/>
      <c r="W628" s="272"/>
      <c r="X628" s="273"/>
      <c r="Y628" s="273"/>
      <c r="Z628" s="235"/>
      <c r="AA628" s="43"/>
    </row>
    <row r="629" ht="15.75" customHeight="1">
      <c r="A629" s="348"/>
      <c r="B629" s="349"/>
      <c r="C629" s="348"/>
      <c r="D629" s="348"/>
      <c r="E629" s="349"/>
      <c r="F629" s="357"/>
      <c r="G629" s="357"/>
      <c r="H629" s="357"/>
      <c r="I629" s="357"/>
      <c r="J629" s="357"/>
      <c r="K629" s="357"/>
      <c r="L629" s="357"/>
      <c r="M629" s="357"/>
      <c r="N629" s="357"/>
      <c r="O629" s="357"/>
      <c r="P629" s="357"/>
      <c r="Q629" s="357"/>
      <c r="R629" s="357"/>
      <c r="S629" s="357"/>
      <c r="T629" s="357"/>
      <c r="U629" s="357"/>
      <c r="V629" s="357"/>
      <c r="W629" s="282"/>
      <c r="X629" s="283"/>
      <c r="Y629" s="283"/>
      <c r="Z629" s="235"/>
      <c r="AA629" s="43"/>
    </row>
    <row r="630" ht="15.75" customHeight="1">
      <c r="A630" s="343"/>
      <c r="B630" s="344"/>
      <c r="C630" s="343"/>
      <c r="D630" s="343"/>
      <c r="E630" s="344"/>
      <c r="F630" s="356"/>
      <c r="G630" s="356"/>
      <c r="H630" s="356"/>
      <c r="I630" s="356"/>
      <c r="J630" s="356"/>
      <c r="K630" s="356"/>
      <c r="L630" s="356"/>
      <c r="M630" s="356"/>
      <c r="N630" s="356"/>
      <c r="O630" s="356"/>
      <c r="P630" s="356"/>
      <c r="Q630" s="356"/>
      <c r="R630" s="356"/>
      <c r="S630" s="356"/>
      <c r="T630" s="356"/>
      <c r="U630" s="356"/>
      <c r="V630" s="356"/>
      <c r="W630" s="272"/>
      <c r="X630" s="273"/>
      <c r="Y630" s="273"/>
      <c r="Z630" s="235"/>
      <c r="AA630" s="43"/>
    </row>
    <row r="631" ht="15.75" customHeight="1">
      <c r="A631" s="348"/>
      <c r="B631" s="349"/>
      <c r="C631" s="348"/>
      <c r="D631" s="348"/>
      <c r="E631" s="349"/>
      <c r="F631" s="357"/>
      <c r="G631" s="357"/>
      <c r="H631" s="357"/>
      <c r="I631" s="357"/>
      <c r="J631" s="357"/>
      <c r="K631" s="357"/>
      <c r="L631" s="357"/>
      <c r="M631" s="357"/>
      <c r="N631" s="357"/>
      <c r="O631" s="357"/>
      <c r="P631" s="357"/>
      <c r="Q631" s="357"/>
      <c r="R631" s="357"/>
      <c r="S631" s="357"/>
      <c r="T631" s="357"/>
      <c r="U631" s="357"/>
      <c r="V631" s="357"/>
      <c r="W631" s="282"/>
      <c r="X631" s="283"/>
      <c r="Y631" s="283"/>
      <c r="Z631" s="235"/>
      <c r="AA631" s="43"/>
    </row>
    <row r="632" ht="15.75" customHeight="1">
      <c r="A632" s="343"/>
      <c r="B632" s="344"/>
      <c r="C632" s="343"/>
      <c r="D632" s="343"/>
      <c r="E632" s="344"/>
      <c r="F632" s="356"/>
      <c r="G632" s="356"/>
      <c r="H632" s="356"/>
      <c r="I632" s="356"/>
      <c r="J632" s="356"/>
      <c r="K632" s="356"/>
      <c r="L632" s="356"/>
      <c r="M632" s="356"/>
      <c r="N632" s="356"/>
      <c r="O632" s="356"/>
      <c r="P632" s="356"/>
      <c r="Q632" s="356"/>
      <c r="R632" s="356"/>
      <c r="S632" s="356"/>
      <c r="T632" s="356"/>
      <c r="U632" s="356"/>
      <c r="V632" s="356"/>
      <c r="W632" s="272"/>
      <c r="X632" s="273"/>
      <c r="Y632" s="273"/>
      <c r="Z632" s="235"/>
      <c r="AA632" s="43"/>
    </row>
    <row r="633" ht="15.75" customHeight="1">
      <c r="A633" s="348"/>
      <c r="B633" s="349"/>
      <c r="C633" s="348"/>
      <c r="D633" s="348"/>
      <c r="E633" s="349"/>
      <c r="F633" s="357"/>
      <c r="G633" s="357"/>
      <c r="H633" s="357"/>
      <c r="I633" s="357"/>
      <c r="J633" s="357"/>
      <c r="K633" s="357"/>
      <c r="L633" s="357"/>
      <c r="M633" s="357"/>
      <c r="N633" s="357"/>
      <c r="O633" s="357"/>
      <c r="P633" s="357"/>
      <c r="Q633" s="357"/>
      <c r="R633" s="357"/>
      <c r="S633" s="357"/>
      <c r="T633" s="357"/>
      <c r="U633" s="357"/>
      <c r="V633" s="357"/>
      <c r="W633" s="282"/>
      <c r="X633" s="283"/>
      <c r="Y633" s="283"/>
      <c r="Z633" s="235"/>
      <c r="AA633" s="43"/>
    </row>
    <row r="634" ht="15.75" customHeight="1">
      <c r="A634" s="343"/>
      <c r="B634" s="344"/>
      <c r="C634" s="343"/>
      <c r="D634" s="343"/>
      <c r="E634" s="344"/>
      <c r="F634" s="356"/>
      <c r="G634" s="356"/>
      <c r="H634" s="356"/>
      <c r="I634" s="356"/>
      <c r="J634" s="356"/>
      <c r="K634" s="356"/>
      <c r="L634" s="356"/>
      <c r="M634" s="356"/>
      <c r="N634" s="356"/>
      <c r="O634" s="356"/>
      <c r="P634" s="356"/>
      <c r="Q634" s="356"/>
      <c r="R634" s="356"/>
      <c r="S634" s="356"/>
      <c r="T634" s="356"/>
      <c r="U634" s="356"/>
      <c r="V634" s="356"/>
      <c r="W634" s="272"/>
      <c r="X634" s="273"/>
      <c r="Y634" s="273"/>
      <c r="Z634" s="235"/>
      <c r="AA634" s="43"/>
    </row>
    <row r="635" ht="15.75" customHeight="1">
      <c r="A635" s="348"/>
      <c r="B635" s="349"/>
      <c r="C635" s="348"/>
      <c r="D635" s="348"/>
      <c r="E635" s="349"/>
      <c r="F635" s="357"/>
      <c r="G635" s="357"/>
      <c r="H635" s="357"/>
      <c r="I635" s="357"/>
      <c r="J635" s="357"/>
      <c r="K635" s="357"/>
      <c r="L635" s="357"/>
      <c r="M635" s="357"/>
      <c r="N635" s="357"/>
      <c r="O635" s="357"/>
      <c r="P635" s="357"/>
      <c r="Q635" s="357"/>
      <c r="R635" s="357"/>
      <c r="S635" s="357"/>
      <c r="T635" s="357"/>
      <c r="U635" s="357"/>
      <c r="V635" s="357"/>
      <c r="W635" s="282"/>
      <c r="X635" s="283"/>
      <c r="Y635" s="283"/>
      <c r="Z635" s="235"/>
      <c r="AA635" s="43"/>
    </row>
    <row r="636" ht="15.75" customHeight="1">
      <c r="A636" s="343"/>
      <c r="B636" s="344"/>
      <c r="C636" s="343"/>
      <c r="D636" s="343"/>
      <c r="E636" s="344"/>
      <c r="F636" s="356"/>
      <c r="G636" s="356"/>
      <c r="H636" s="356"/>
      <c r="I636" s="356"/>
      <c r="J636" s="356"/>
      <c r="K636" s="356"/>
      <c r="L636" s="356"/>
      <c r="M636" s="356"/>
      <c r="N636" s="356"/>
      <c r="O636" s="356"/>
      <c r="P636" s="356"/>
      <c r="Q636" s="356"/>
      <c r="R636" s="356"/>
      <c r="S636" s="356"/>
      <c r="T636" s="356"/>
      <c r="U636" s="356"/>
      <c r="V636" s="356"/>
      <c r="W636" s="272"/>
      <c r="X636" s="273"/>
      <c r="Y636" s="273"/>
      <c r="Z636" s="235"/>
      <c r="AA636" s="43"/>
    </row>
    <row r="637" ht="15.75" customHeight="1">
      <c r="A637" s="348"/>
      <c r="B637" s="349"/>
      <c r="C637" s="348"/>
      <c r="D637" s="348"/>
      <c r="E637" s="349"/>
      <c r="F637" s="357"/>
      <c r="G637" s="357"/>
      <c r="H637" s="357"/>
      <c r="I637" s="357"/>
      <c r="J637" s="357"/>
      <c r="K637" s="357"/>
      <c r="L637" s="357"/>
      <c r="M637" s="357"/>
      <c r="N637" s="357"/>
      <c r="O637" s="357"/>
      <c r="P637" s="357"/>
      <c r="Q637" s="357"/>
      <c r="R637" s="357"/>
      <c r="S637" s="357"/>
      <c r="T637" s="357"/>
      <c r="U637" s="357"/>
      <c r="V637" s="357"/>
      <c r="W637" s="282"/>
      <c r="X637" s="283"/>
      <c r="Y637" s="283"/>
      <c r="Z637" s="235"/>
      <c r="AA637" s="43"/>
    </row>
    <row r="638" ht="15.75" customHeight="1">
      <c r="A638" s="343"/>
      <c r="B638" s="344"/>
      <c r="C638" s="343"/>
      <c r="D638" s="343"/>
      <c r="E638" s="344"/>
      <c r="F638" s="356"/>
      <c r="G638" s="356"/>
      <c r="H638" s="356"/>
      <c r="I638" s="356"/>
      <c r="J638" s="356"/>
      <c r="K638" s="356"/>
      <c r="L638" s="356"/>
      <c r="M638" s="356"/>
      <c r="N638" s="356"/>
      <c r="O638" s="356"/>
      <c r="P638" s="356"/>
      <c r="Q638" s="356"/>
      <c r="R638" s="356"/>
      <c r="S638" s="356"/>
      <c r="T638" s="356"/>
      <c r="U638" s="356"/>
      <c r="V638" s="356"/>
      <c r="W638" s="272"/>
      <c r="X638" s="273"/>
      <c r="Y638" s="273"/>
      <c r="Z638" s="235"/>
      <c r="AA638" s="43"/>
    </row>
    <row r="639" ht="15.75" customHeight="1">
      <c r="A639" s="348"/>
      <c r="B639" s="349"/>
      <c r="C639" s="348"/>
      <c r="D639" s="348"/>
      <c r="E639" s="349"/>
      <c r="F639" s="357"/>
      <c r="G639" s="357"/>
      <c r="H639" s="357"/>
      <c r="I639" s="357"/>
      <c r="J639" s="357"/>
      <c r="K639" s="357"/>
      <c r="L639" s="357"/>
      <c r="M639" s="357"/>
      <c r="N639" s="357"/>
      <c r="O639" s="357"/>
      <c r="P639" s="357"/>
      <c r="Q639" s="357"/>
      <c r="R639" s="357"/>
      <c r="S639" s="357"/>
      <c r="T639" s="357"/>
      <c r="U639" s="357"/>
      <c r="V639" s="357"/>
      <c r="W639" s="282"/>
      <c r="X639" s="283"/>
      <c r="Y639" s="283"/>
      <c r="Z639" s="235"/>
      <c r="AA639" s="43"/>
    </row>
    <row r="640" ht="15.75" customHeight="1">
      <c r="A640" s="343"/>
      <c r="B640" s="344"/>
      <c r="C640" s="343"/>
      <c r="D640" s="343"/>
      <c r="E640" s="344"/>
      <c r="F640" s="356"/>
      <c r="G640" s="356"/>
      <c r="H640" s="356"/>
      <c r="I640" s="356"/>
      <c r="J640" s="356"/>
      <c r="K640" s="356"/>
      <c r="L640" s="356"/>
      <c r="M640" s="356"/>
      <c r="N640" s="356"/>
      <c r="O640" s="356"/>
      <c r="P640" s="356"/>
      <c r="Q640" s="356"/>
      <c r="R640" s="356"/>
      <c r="S640" s="356"/>
      <c r="T640" s="356"/>
      <c r="U640" s="356"/>
      <c r="V640" s="356"/>
      <c r="W640" s="272"/>
      <c r="X640" s="273"/>
      <c r="Y640" s="273"/>
      <c r="Z640" s="235"/>
      <c r="AA640" s="43"/>
    </row>
    <row r="641" ht="15.75" customHeight="1">
      <c r="A641" s="348"/>
      <c r="B641" s="349"/>
      <c r="C641" s="348"/>
      <c r="D641" s="348"/>
      <c r="E641" s="349"/>
      <c r="F641" s="357"/>
      <c r="G641" s="357"/>
      <c r="H641" s="357"/>
      <c r="I641" s="357"/>
      <c r="J641" s="357"/>
      <c r="K641" s="357"/>
      <c r="L641" s="357"/>
      <c r="M641" s="357"/>
      <c r="N641" s="357"/>
      <c r="O641" s="357"/>
      <c r="P641" s="357"/>
      <c r="Q641" s="357"/>
      <c r="R641" s="357"/>
      <c r="S641" s="357"/>
      <c r="T641" s="357"/>
      <c r="U641" s="357"/>
      <c r="V641" s="357"/>
      <c r="W641" s="282"/>
      <c r="X641" s="283"/>
      <c r="Y641" s="283"/>
      <c r="Z641" s="235"/>
      <c r="AA641" s="43"/>
    </row>
    <row r="642" ht="15.75" customHeight="1">
      <c r="A642" s="343"/>
      <c r="B642" s="344"/>
      <c r="C642" s="343"/>
      <c r="D642" s="343"/>
      <c r="E642" s="344"/>
      <c r="F642" s="356"/>
      <c r="G642" s="356"/>
      <c r="H642" s="356"/>
      <c r="I642" s="356"/>
      <c r="J642" s="356"/>
      <c r="K642" s="356"/>
      <c r="L642" s="356"/>
      <c r="M642" s="356"/>
      <c r="N642" s="356"/>
      <c r="O642" s="356"/>
      <c r="P642" s="356"/>
      <c r="Q642" s="356"/>
      <c r="R642" s="356"/>
      <c r="S642" s="356"/>
      <c r="T642" s="356"/>
      <c r="U642" s="356"/>
      <c r="V642" s="356"/>
      <c r="W642" s="272"/>
      <c r="X642" s="273"/>
      <c r="Y642" s="273"/>
      <c r="Z642" s="235"/>
      <c r="AA642" s="43"/>
    </row>
    <row r="643" ht="15.75" customHeight="1">
      <c r="A643" s="348"/>
      <c r="B643" s="349"/>
      <c r="C643" s="348"/>
      <c r="D643" s="348"/>
      <c r="E643" s="349"/>
      <c r="F643" s="357"/>
      <c r="G643" s="357"/>
      <c r="H643" s="357"/>
      <c r="I643" s="357"/>
      <c r="J643" s="357"/>
      <c r="K643" s="357"/>
      <c r="L643" s="357"/>
      <c r="M643" s="357"/>
      <c r="N643" s="357"/>
      <c r="O643" s="357"/>
      <c r="P643" s="357"/>
      <c r="Q643" s="357"/>
      <c r="R643" s="357"/>
      <c r="S643" s="357"/>
      <c r="T643" s="357"/>
      <c r="U643" s="357"/>
      <c r="V643" s="357"/>
      <c r="W643" s="282"/>
      <c r="X643" s="283"/>
      <c r="Y643" s="283"/>
      <c r="Z643" s="235"/>
      <c r="AA643" s="43"/>
    </row>
    <row r="644" ht="15.75" customHeight="1">
      <c r="A644" s="343"/>
      <c r="B644" s="344"/>
      <c r="C644" s="343"/>
      <c r="D644" s="343"/>
      <c r="E644" s="344"/>
      <c r="F644" s="356"/>
      <c r="G644" s="356"/>
      <c r="H644" s="356"/>
      <c r="I644" s="356"/>
      <c r="J644" s="356"/>
      <c r="K644" s="356"/>
      <c r="L644" s="356"/>
      <c r="M644" s="356"/>
      <c r="N644" s="356"/>
      <c r="O644" s="356"/>
      <c r="P644" s="356"/>
      <c r="Q644" s="356"/>
      <c r="R644" s="356"/>
      <c r="S644" s="356"/>
      <c r="T644" s="356"/>
      <c r="U644" s="356"/>
      <c r="V644" s="356"/>
      <c r="W644" s="272"/>
      <c r="X644" s="273"/>
      <c r="Y644" s="273"/>
      <c r="Z644" s="235"/>
      <c r="AA644" s="43"/>
    </row>
    <row r="645" ht="15.75" customHeight="1">
      <c r="A645" s="348"/>
      <c r="B645" s="349"/>
      <c r="C645" s="348"/>
      <c r="D645" s="348"/>
      <c r="E645" s="349"/>
      <c r="F645" s="357"/>
      <c r="G645" s="357"/>
      <c r="H645" s="357"/>
      <c r="I645" s="357"/>
      <c r="J645" s="357"/>
      <c r="K645" s="357"/>
      <c r="L645" s="357"/>
      <c r="M645" s="357"/>
      <c r="N645" s="357"/>
      <c r="O645" s="357"/>
      <c r="P645" s="357"/>
      <c r="Q645" s="357"/>
      <c r="R645" s="357"/>
      <c r="S645" s="357"/>
      <c r="T645" s="357"/>
      <c r="U645" s="357"/>
      <c r="V645" s="357"/>
      <c r="W645" s="282"/>
      <c r="X645" s="283"/>
      <c r="Y645" s="283"/>
      <c r="Z645" s="235"/>
      <c r="AA645" s="43"/>
    </row>
    <row r="646" ht="15.75" customHeight="1">
      <c r="A646" s="343"/>
      <c r="B646" s="344"/>
      <c r="C646" s="343"/>
      <c r="D646" s="343"/>
      <c r="E646" s="344"/>
      <c r="F646" s="356"/>
      <c r="G646" s="356"/>
      <c r="H646" s="356"/>
      <c r="I646" s="356"/>
      <c r="J646" s="356"/>
      <c r="K646" s="356"/>
      <c r="L646" s="356"/>
      <c r="M646" s="356"/>
      <c r="N646" s="356"/>
      <c r="O646" s="356"/>
      <c r="P646" s="356"/>
      <c r="Q646" s="356"/>
      <c r="R646" s="356"/>
      <c r="S646" s="356"/>
      <c r="T646" s="356"/>
      <c r="U646" s="356"/>
      <c r="V646" s="356"/>
      <c r="W646" s="272"/>
      <c r="X646" s="273"/>
      <c r="Y646" s="273"/>
      <c r="Z646" s="235"/>
      <c r="AA646" s="43"/>
    </row>
    <row r="647" ht="15.75" customHeight="1">
      <c r="A647" s="348"/>
      <c r="B647" s="349"/>
      <c r="C647" s="348"/>
      <c r="D647" s="348"/>
      <c r="E647" s="349"/>
      <c r="F647" s="357"/>
      <c r="G647" s="357"/>
      <c r="H647" s="357"/>
      <c r="I647" s="357"/>
      <c r="J647" s="357"/>
      <c r="K647" s="357"/>
      <c r="L647" s="357"/>
      <c r="M647" s="357"/>
      <c r="N647" s="357"/>
      <c r="O647" s="357"/>
      <c r="P647" s="357"/>
      <c r="Q647" s="357"/>
      <c r="R647" s="357"/>
      <c r="S647" s="357"/>
      <c r="T647" s="357"/>
      <c r="U647" s="357"/>
      <c r="V647" s="357"/>
      <c r="W647" s="282"/>
      <c r="X647" s="283"/>
      <c r="Y647" s="283"/>
      <c r="Z647" s="235"/>
      <c r="AA647" s="43"/>
    </row>
    <row r="648" ht="15.75" customHeight="1">
      <c r="A648" s="343"/>
      <c r="B648" s="344"/>
      <c r="C648" s="343"/>
      <c r="D648" s="343"/>
      <c r="E648" s="344"/>
      <c r="F648" s="356"/>
      <c r="G648" s="356"/>
      <c r="H648" s="356"/>
      <c r="I648" s="356"/>
      <c r="J648" s="356"/>
      <c r="K648" s="356"/>
      <c r="L648" s="356"/>
      <c r="M648" s="356"/>
      <c r="N648" s="356"/>
      <c r="O648" s="356"/>
      <c r="P648" s="356"/>
      <c r="Q648" s="356"/>
      <c r="R648" s="356"/>
      <c r="S648" s="356"/>
      <c r="T648" s="356"/>
      <c r="U648" s="356"/>
      <c r="V648" s="356"/>
      <c r="W648" s="272"/>
      <c r="X648" s="273"/>
      <c r="Y648" s="273"/>
      <c r="Z648" s="235"/>
      <c r="AA648" s="43"/>
    </row>
    <row r="649" ht="15.75" customHeight="1">
      <c r="A649" s="348"/>
      <c r="B649" s="349"/>
      <c r="C649" s="348"/>
      <c r="D649" s="348"/>
      <c r="E649" s="349"/>
      <c r="F649" s="357"/>
      <c r="G649" s="357"/>
      <c r="H649" s="357"/>
      <c r="I649" s="357"/>
      <c r="J649" s="357"/>
      <c r="K649" s="357"/>
      <c r="L649" s="357"/>
      <c r="M649" s="357"/>
      <c r="N649" s="357"/>
      <c r="O649" s="357"/>
      <c r="P649" s="357"/>
      <c r="Q649" s="357"/>
      <c r="R649" s="357"/>
      <c r="S649" s="357"/>
      <c r="T649" s="357"/>
      <c r="U649" s="357"/>
      <c r="V649" s="357"/>
      <c r="W649" s="282"/>
      <c r="X649" s="283"/>
      <c r="Y649" s="283"/>
      <c r="Z649" s="235"/>
      <c r="AA649" s="43"/>
    </row>
    <row r="650" ht="15.75" customHeight="1">
      <c r="A650" s="343"/>
      <c r="B650" s="344"/>
      <c r="C650" s="343"/>
      <c r="D650" s="343"/>
      <c r="E650" s="344"/>
      <c r="F650" s="356"/>
      <c r="G650" s="356"/>
      <c r="H650" s="356"/>
      <c r="I650" s="356"/>
      <c r="J650" s="356"/>
      <c r="K650" s="356"/>
      <c r="L650" s="356"/>
      <c r="M650" s="356"/>
      <c r="N650" s="356"/>
      <c r="O650" s="356"/>
      <c r="P650" s="356"/>
      <c r="Q650" s="356"/>
      <c r="R650" s="356"/>
      <c r="S650" s="356"/>
      <c r="T650" s="356"/>
      <c r="U650" s="356"/>
      <c r="V650" s="356"/>
      <c r="W650" s="272"/>
      <c r="X650" s="273"/>
      <c r="Y650" s="273"/>
      <c r="Z650" s="235"/>
      <c r="AA650" s="43"/>
    </row>
    <row r="651" ht="15.75" customHeight="1">
      <c r="A651" s="348"/>
      <c r="B651" s="349"/>
      <c r="C651" s="348"/>
      <c r="D651" s="348"/>
      <c r="E651" s="349"/>
      <c r="F651" s="357"/>
      <c r="G651" s="357"/>
      <c r="H651" s="357"/>
      <c r="I651" s="357"/>
      <c r="J651" s="357"/>
      <c r="K651" s="357"/>
      <c r="L651" s="357"/>
      <c r="M651" s="357"/>
      <c r="N651" s="357"/>
      <c r="O651" s="357"/>
      <c r="P651" s="357"/>
      <c r="Q651" s="357"/>
      <c r="R651" s="357"/>
      <c r="S651" s="357"/>
      <c r="T651" s="357"/>
      <c r="U651" s="357"/>
      <c r="V651" s="357"/>
      <c r="W651" s="282"/>
      <c r="X651" s="283"/>
      <c r="Y651" s="283"/>
      <c r="Z651" s="235"/>
      <c r="AA651" s="43"/>
    </row>
    <row r="652" ht="15.75" customHeight="1">
      <c r="A652" s="343"/>
      <c r="B652" s="344"/>
      <c r="C652" s="343"/>
      <c r="D652" s="343"/>
      <c r="E652" s="344"/>
      <c r="F652" s="356"/>
      <c r="G652" s="356"/>
      <c r="H652" s="356"/>
      <c r="I652" s="356"/>
      <c r="J652" s="356"/>
      <c r="K652" s="356"/>
      <c r="L652" s="356"/>
      <c r="M652" s="356"/>
      <c r="N652" s="356"/>
      <c r="O652" s="356"/>
      <c r="P652" s="356"/>
      <c r="Q652" s="356"/>
      <c r="R652" s="356"/>
      <c r="S652" s="356"/>
      <c r="T652" s="356"/>
      <c r="U652" s="356"/>
      <c r="V652" s="356"/>
      <c r="W652" s="272"/>
      <c r="X652" s="273"/>
      <c r="Y652" s="273"/>
      <c r="Z652" s="235"/>
      <c r="AA652" s="43"/>
    </row>
    <row r="653" ht="15.75" customHeight="1">
      <c r="A653" s="348"/>
      <c r="B653" s="349"/>
      <c r="C653" s="348"/>
      <c r="D653" s="348"/>
      <c r="E653" s="349"/>
      <c r="F653" s="357"/>
      <c r="G653" s="357"/>
      <c r="H653" s="357"/>
      <c r="I653" s="357"/>
      <c r="J653" s="357"/>
      <c r="K653" s="357"/>
      <c r="L653" s="357"/>
      <c r="M653" s="357"/>
      <c r="N653" s="357"/>
      <c r="O653" s="357"/>
      <c r="P653" s="357"/>
      <c r="Q653" s="357"/>
      <c r="R653" s="357"/>
      <c r="S653" s="357"/>
      <c r="T653" s="357"/>
      <c r="U653" s="357"/>
      <c r="V653" s="357"/>
      <c r="W653" s="282"/>
      <c r="X653" s="283"/>
      <c r="Y653" s="283"/>
      <c r="Z653" s="235"/>
      <c r="AA653" s="43"/>
    </row>
    <row r="654" ht="15.75" customHeight="1">
      <c r="A654" s="343"/>
      <c r="B654" s="344"/>
      <c r="C654" s="343"/>
      <c r="D654" s="343"/>
      <c r="E654" s="344"/>
      <c r="F654" s="356"/>
      <c r="G654" s="356"/>
      <c r="H654" s="356"/>
      <c r="I654" s="356"/>
      <c r="J654" s="356"/>
      <c r="K654" s="356"/>
      <c r="L654" s="356"/>
      <c r="M654" s="356"/>
      <c r="N654" s="356"/>
      <c r="O654" s="356"/>
      <c r="P654" s="356"/>
      <c r="Q654" s="356"/>
      <c r="R654" s="356"/>
      <c r="S654" s="356"/>
      <c r="T654" s="356"/>
      <c r="U654" s="356"/>
      <c r="V654" s="356"/>
      <c r="W654" s="272"/>
      <c r="X654" s="273"/>
      <c r="Y654" s="273"/>
      <c r="Z654" s="235"/>
      <c r="AA654" s="43"/>
    </row>
    <row r="655" ht="15.75" customHeight="1">
      <c r="A655" s="348"/>
      <c r="B655" s="349"/>
      <c r="C655" s="348"/>
      <c r="D655" s="348"/>
      <c r="E655" s="349"/>
      <c r="F655" s="357"/>
      <c r="G655" s="357"/>
      <c r="H655" s="357"/>
      <c r="I655" s="357"/>
      <c r="J655" s="357"/>
      <c r="K655" s="357"/>
      <c r="L655" s="357"/>
      <c r="M655" s="357"/>
      <c r="N655" s="357"/>
      <c r="O655" s="357"/>
      <c r="P655" s="357"/>
      <c r="Q655" s="357"/>
      <c r="R655" s="357"/>
      <c r="S655" s="357"/>
      <c r="T655" s="357"/>
      <c r="U655" s="357"/>
      <c r="V655" s="357"/>
      <c r="W655" s="282"/>
      <c r="X655" s="283"/>
      <c r="Y655" s="283"/>
      <c r="Z655" s="235"/>
      <c r="AA655" s="43"/>
    </row>
    <row r="656" ht="15.75" customHeight="1">
      <c r="A656" s="343"/>
      <c r="B656" s="344"/>
      <c r="C656" s="343"/>
      <c r="D656" s="343"/>
      <c r="E656" s="344"/>
      <c r="F656" s="356"/>
      <c r="G656" s="356"/>
      <c r="H656" s="356"/>
      <c r="I656" s="356"/>
      <c r="J656" s="356"/>
      <c r="K656" s="356"/>
      <c r="L656" s="356"/>
      <c r="M656" s="356"/>
      <c r="N656" s="356"/>
      <c r="O656" s="356"/>
      <c r="P656" s="356"/>
      <c r="Q656" s="356"/>
      <c r="R656" s="356"/>
      <c r="S656" s="356"/>
      <c r="T656" s="356"/>
      <c r="U656" s="356"/>
      <c r="V656" s="356"/>
      <c r="W656" s="272"/>
      <c r="X656" s="273"/>
      <c r="Y656" s="273"/>
      <c r="Z656" s="235"/>
      <c r="AA656" s="43"/>
    </row>
    <row r="657" ht="15.75" customHeight="1">
      <c r="A657" s="348"/>
      <c r="B657" s="349"/>
      <c r="C657" s="348"/>
      <c r="D657" s="348"/>
      <c r="E657" s="349"/>
      <c r="F657" s="357"/>
      <c r="G657" s="357"/>
      <c r="H657" s="357"/>
      <c r="I657" s="357"/>
      <c r="J657" s="357"/>
      <c r="K657" s="357"/>
      <c r="L657" s="357"/>
      <c r="M657" s="357"/>
      <c r="N657" s="357"/>
      <c r="O657" s="357"/>
      <c r="P657" s="357"/>
      <c r="Q657" s="357"/>
      <c r="R657" s="357"/>
      <c r="S657" s="357"/>
      <c r="T657" s="357"/>
      <c r="U657" s="357"/>
      <c r="V657" s="357"/>
      <c r="W657" s="282"/>
      <c r="X657" s="283"/>
      <c r="Y657" s="283"/>
      <c r="Z657" s="235"/>
      <c r="AA657" s="43"/>
    </row>
    <row r="658" ht="15.75" customHeight="1">
      <c r="A658" s="343"/>
      <c r="B658" s="344"/>
      <c r="C658" s="343"/>
      <c r="D658" s="343"/>
      <c r="E658" s="344"/>
      <c r="F658" s="356"/>
      <c r="G658" s="356"/>
      <c r="H658" s="356"/>
      <c r="I658" s="356"/>
      <c r="J658" s="356"/>
      <c r="K658" s="356"/>
      <c r="L658" s="356"/>
      <c r="M658" s="356"/>
      <c r="N658" s="356"/>
      <c r="O658" s="356"/>
      <c r="P658" s="356"/>
      <c r="Q658" s="356"/>
      <c r="R658" s="356"/>
      <c r="S658" s="356"/>
      <c r="T658" s="356"/>
      <c r="U658" s="356"/>
      <c r="V658" s="356"/>
      <c r="W658" s="272"/>
      <c r="X658" s="273"/>
      <c r="Y658" s="273"/>
      <c r="Z658" s="235"/>
      <c r="AA658" s="43"/>
    </row>
    <row r="659" ht="15.75" customHeight="1">
      <c r="A659" s="348"/>
      <c r="B659" s="349"/>
      <c r="C659" s="348"/>
      <c r="D659" s="348"/>
      <c r="E659" s="349"/>
      <c r="F659" s="357"/>
      <c r="G659" s="357"/>
      <c r="H659" s="357"/>
      <c r="I659" s="357"/>
      <c r="J659" s="357"/>
      <c r="K659" s="357"/>
      <c r="L659" s="357"/>
      <c r="M659" s="357"/>
      <c r="N659" s="357"/>
      <c r="O659" s="357"/>
      <c r="P659" s="357"/>
      <c r="Q659" s="357"/>
      <c r="R659" s="357"/>
      <c r="S659" s="357"/>
      <c r="T659" s="357"/>
      <c r="U659" s="357"/>
      <c r="V659" s="357"/>
      <c r="W659" s="282"/>
      <c r="X659" s="283"/>
      <c r="Y659" s="283"/>
      <c r="Z659" s="235"/>
      <c r="AA659" s="43"/>
    </row>
    <row r="660" ht="15.75" customHeight="1">
      <c r="A660" s="343"/>
      <c r="B660" s="344"/>
      <c r="C660" s="343"/>
      <c r="D660" s="343"/>
      <c r="E660" s="344"/>
      <c r="F660" s="356"/>
      <c r="G660" s="356"/>
      <c r="H660" s="356"/>
      <c r="I660" s="356"/>
      <c r="J660" s="356"/>
      <c r="K660" s="356"/>
      <c r="L660" s="356"/>
      <c r="M660" s="356"/>
      <c r="N660" s="356"/>
      <c r="O660" s="356"/>
      <c r="P660" s="356"/>
      <c r="Q660" s="356"/>
      <c r="R660" s="356"/>
      <c r="S660" s="356"/>
      <c r="T660" s="356"/>
      <c r="U660" s="356"/>
      <c r="V660" s="356"/>
      <c r="W660" s="272"/>
      <c r="X660" s="273"/>
      <c r="Y660" s="273"/>
      <c r="Z660" s="235"/>
      <c r="AA660" s="43"/>
    </row>
    <row r="661" ht="15.75" customHeight="1">
      <c r="A661" s="348"/>
      <c r="B661" s="349"/>
      <c r="C661" s="348"/>
      <c r="D661" s="348"/>
      <c r="E661" s="349"/>
      <c r="F661" s="357"/>
      <c r="G661" s="357"/>
      <c r="H661" s="357"/>
      <c r="I661" s="357"/>
      <c r="J661" s="357"/>
      <c r="K661" s="357"/>
      <c r="L661" s="357"/>
      <c r="M661" s="357"/>
      <c r="N661" s="357"/>
      <c r="O661" s="357"/>
      <c r="P661" s="357"/>
      <c r="Q661" s="357"/>
      <c r="R661" s="357"/>
      <c r="S661" s="357"/>
      <c r="T661" s="357"/>
      <c r="U661" s="357"/>
      <c r="V661" s="357"/>
      <c r="W661" s="282"/>
      <c r="X661" s="283"/>
      <c r="Y661" s="283"/>
      <c r="Z661" s="235"/>
      <c r="AA661" s="43"/>
    </row>
    <row r="662" ht="15.75" customHeight="1">
      <c r="A662" s="343"/>
      <c r="B662" s="344"/>
      <c r="C662" s="343"/>
      <c r="D662" s="343"/>
      <c r="E662" s="344"/>
      <c r="F662" s="356"/>
      <c r="G662" s="356"/>
      <c r="H662" s="356"/>
      <c r="I662" s="356"/>
      <c r="J662" s="356"/>
      <c r="K662" s="356"/>
      <c r="L662" s="356"/>
      <c r="M662" s="356"/>
      <c r="N662" s="356"/>
      <c r="O662" s="356"/>
      <c r="P662" s="356"/>
      <c r="Q662" s="356"/>
      <c r="R662" s="356"/>
      <c r="S662" s="356"/>
      <c r="T662" s="356"/>
      <c r="U662" s="356"/>
      <c r="V662" s="356"/>
      <c r="W662" s="272"/>
      <c r="X662" s="273"/>
      <c r="Y662" s="273"/>
      <c r="Z662" s="235"/>
      <c r="AA662" s="43"/>
    </row>
    <row r="663" ht="15.75" customHeight="1">
      <c r="A663" s="348"/>
      <c r="B663" s="349"/>
      <c r="C663" s="348"/>
      <c r="D663" s="348"/>
      <c r="E663" s="349"/>
      <c r="F663" s="357"/>
      <c r="G663" s="357"/>
      <c r="H663" s="357"/>
      <c r="I663" s="357"/>
      <c r="J663" s="357"/>
      <c r="K663" s="357"/>
      <c r="L663" s="357"/>
      <c r="M663" s="357"/>
      <c r="N663" s="357"/>
      <c r="O663" s="357"/>
      <c r="P663" s="357"/>
      <c r="Q663" s="357"/>
      <c r="R663" s="357"/>
      <c r="S663" s="357"/>
      <c r="T663" s="357"/>
      <c r="U663" s="357"/>
      <c r="V663" s="357"/>
      <c r="W663" s="282"/>
      <c r="X663" s="283"/>
      <c r="Y663" s="283"/>
      <c r="Z663" s="235"/>
      <c r="AA663" s="43"/>
    </row>
    <row r="664" ht="15.75" customHeight="1">
      <c r="A664" s="343"/>
      <c r="B664" s="344"/>
      <c r="C664" s="343"/>
      <c r="D664" s="343"/>
      <c r="E664" s="344"/>
      <c r="F664" s="356"/>
      <c r="G664" s="356"/>
      <c r="H664" s="356"/>
      <c r="I664" s="356"/>
      <c r="J664" s="356"/>
      <c r="K664" s="356"/>
      <c r="L664" s="356"/>
      <c r="M664" s="356"/>
      <c r="N664" s="356"/>
      <c r="O664" s="356"/>
      <c r="P664" s="356"/>
      <c r="Q664" s="356"/>
      <c r="R664" s="356"/>
      <c r="S664" s="356"/>
      <c r="T664" s="356"/>
      <c r="U664" s="356"/>
      <c r="V664" s="356"/>
      <c r="W664" s="272"/>
      <c r="X664" s="273"/>
      <c r="Y664" s="273"/>
      <c r="Z664" s="235"/>
      <c r="AA664" s="43"/>
    </row>
    <row r="665" ht="15.75" customHeight="1">
      <c r="A665" s="348"/>
      <c r="B665" s="349"/>
      <c r="C665" s="348"/>
      <c r="D665" s="348"/>
      <c r="E665" s="349"/>
      <c r="F665" s="357"/>
      <c r="G665" s="357"/>
      <c r="H665" s="357"/>
      <c r="I665" s="357"/>
      <c r="J665" s="357"/>
      <c r="K665" s="357"/>
      <c r="L665" s="357"/>
      <c r="M665" s="357"/>
      <c r="N665" s="357"/>
      <c r="O665" s="357"/>
      <c r="P665" s="357"/>
      <c r="Q665" s="357"/>
      <c r="R665" s="357"/>
      <c r="S665" s="357"/>
      <c r="T665" s="357"/>
      <c r="U665" s="357"/>
      <c r="V665" s="357"/>
      <c r="W665" s="282"/>
      <c r="X665" s="283"/>
      <c r="Y665" s="283"/>
      <c r="Z665" s="235"/>
      <c r="AA665" s="43"/>
    </row>
    <row r="666" ht="15.75" customHeight="1">
      <c r="A666" s="343"/>
      <c r="B666" s="344"/>
      <c r="C666" s="343"/>
      <c r="D666" s="343"/>
      <c r="E666" s="344"/>
      <c r="F666" s="356"/>
      <c r="G666" s="356"/>
      <c r="H666" s="356"/>
      <c r="I666" s="356"/>
      <c r="J666" s="356"/>
      <c r="K666" s="356"/>
      <c r="L666" s="356"/>
      <c r="M666" s="356"/>
      <c r="N666" s="356"/>
      <c r="O666" s="356"/>
      <c r="P666" s="356"/>
      <c r="Q666" s="356"/>
      <c r="R666" s="356"/>
      <c r="S666" s="356"/>
      <c r="T666" s="356"/>
      <c r="U666" s="356"/>
      <c r="V666" s="356"/>
      <c r="W666" s="272"/>
      <c r="X666" s="273"/>
      <c r="Y666" s="273"/>
      <c r="Z666" s="235"/>
      <c r="AA666" s="43"/>
    </row>
    <row r="667" ht="15.75" customHeight="1">
      <c r="A667" s="348"/>
      <c r="B667" s="349"/>
      <c r="C667" s="348"/>
      <c r="D667" s="348"/>
      <c r="E667" s="349"/>
      <c r="F667" s="357"/>
      <c r="G667" s="357"/>
      <c r="H667" s="357"/>
      <c r="I667" s="357"/>
      <c r="J667" s="357"/>
      <c r="K667" s="357"/>
      <c r="L667" s="357"/>
      <c r="M667" s="357"/>
      <c r="N667" s="357"/>
      <c r="O667" s="357"/>
      <c r="P667" s="357"/>
      <c r="Q667" s="357"/>
      <c r="R667" s="357"/>
      <c r="S667" s="357"/>
      <c r="T667" s="357"/>
      <c r="U667" s="357"/>
      <c r="V667" s="357"/>
      <c r="W667" s="282"/>
      <c r="X667" s="283"/>
      <c r="Y667" s="283"/>
      <c r="Z667" s="235"/>
      <c r="AA667" s="43"/>
    </row>
    <row r="668" ht="15.75" customHeight="1">
      <c r="A668" s="343"/>
      <c r="B668" s="344"/>
      <c r="C668" s="343"/>
      <c r="D668" s="343"/>
      <c r="E668" s="344"/>
      <c r="F668" s="356"/>
      <c r="G668" s="356"/>
      <c r="H668" s="356"/>
      <c r="I668" s="356"/>
      <c r="J668" s="356"/>
      <c r="K668" s="356"/>
      <c r="L668" s="356"/>
      <c r="M668" s="356"/>
      <c r="N668" s="356"/>
      <c r="O668" s="356"/>
      <c r="P668" s="356"/>
      <c r="Q668" s="356"/>
      <c r="R668" s="356"/>
      <c r="S668" s="356"/>
      <c r="T668" s="356"/>
      <c r="U668" s="356"/>
      <c r="V668" s="356"/>
      <c r="W668" s="272"/>
      <c r="X668" s="273"/>
      <c r="Y668" s="273"/>
      <c r="Z668" s="235"/>
      <c r="AA668" s="43"/>
    </row>
    <row r="669" ht="15.75" customHeight="1">
      <c r="A669" s="348"/>
      <c r="B669" s="349"/>
      <c r="C669" s="348"/>
      <c r="D669" s="348"/>
      <c r="E669" s="349"/>
      <c r="F669" s="357"/>
      <c r="G669" s="357"/>
      <c r="H669" s="357"/>
      <c r="I669" s="357"/>
      <c r="J669" s="357"/>
      <c r="K669" s="357"/>
      <c r="L669" s="357"/>
      <c r="M669" s="357"/>
      <c r="N669" s="357"/>
      <c r="O669" s="357"/>
      <c r="P669" s="357"/>
      <c r="Q669" s="357"/>
      <c r="R669" s="357"/>
      <c r="S669" s="357"/>
      <c r="T669" s="357"/>
      <c r="U669" s="357"/>
      <c r="V669" s="357"/>
      <c r="W669" s="282"/>
      <c r="X669" s="283"/>
      <c r="Y669" s="283"/>
      <c r="Z669" s="235"/>
      <c r="AA669" s="43"/>
    </row>
    <row r="670" ht="15.75" customHeight="1">
      <c r="A670" s="343"/>
      <c r="B670" s="344"/>
      <c r="C670" s="343"/>
      <c r="D670" s="343"/>
      <c r="E670" s="344"/>
      <c r="F670" s="356"/>
      <c r="G670" s="356"/>
      <c r="H670" s="356"/>
      <c r="I670" s="356"/>
      <c r="J670" s="356"/>
      <c r="K670" s="356"/>
      <c r="L670" s="356"/>
      <c r="M670" s="356"/>
      <c r="N670" s="356"/>
      <c r="O670" s="356"/>
      <c r="P670" s="356"/>
      <c r="Q670" s="356"/>
      <c r="R670" s="356"/>
      <c r="S670" s="356"/>
      <c r="T670" s="356"/>
      <c r="U670" s="356"/>
      <c r="V670" s="356"/>
      <c r="W670" s="272"/>
      <c r="X670" s="273"/>
      <c r="Y670" s="273"/>
      <c r="Z670" s="235"/>
      <c r="AA670" s="43"/>
    </row>
    <row r="671" ht="15.75" customHeight="1">
      <c r="A671" s="348"/>
      <c r="B671" s="349"/>
      <c r="C671" s="348"/>
      <c r="D671" s="348"/>
      <c r="E671" s="349"/>
      <c r="F671" s="357"/>
      <c r="G671" s="357"/>
      <c r="H671" s="357"/>
      <c r="I671" s="357"/>
      <c r="J671" s="357"/>
      <c r="K671" s="357"/>
      <c r="L671" s="357"/>
      <c r="M671" s="357"/>
      <c r="N671" s="357"/>
      <c r="O671" s="357"/>
      <c r="P671" s="357"/>
      <c r="Q671" s="357"/>
      <c r="R671" s="357"/>
      <c r="S671" s="357"/>
      <c r="T671" s="357"/>
      <c r="U671" s="357"/>
      <c r="V671" s="357"/>
      <c r="W671" s="282"/>
      <c r="X671" s="283"/>
      <c r="Y671" s="283"/>
      <c r="Z671" s="235"/>
      <c r="AA671" s="43"/>
    </row>
    <row r="672" ht="15.75" customHeight="1">
      <c r="A672" s="343"/>
      <c r="B672" s="344"/>
      <c r="C672" s="343"/>
      <c r="D672" s="343"/>
      <c r="E672" s="344"/>
      <c r="F672" s="356"/>
      <c r="G672" s="356"/>
      <c r="H672" s="356"/>
      <c r="I672" s="356"/>
      <c r="J672" s="356"/>
      <c r="K672" s="356"/>
      <c r="L672" s="356"/>
      <c r="M672" s="356"/>
      <c r="N672" s="356"/>
      <c r="O672" s="356"/>
      <c r="P672" s="356"/>
      <c r="Q672" s="356"/>
      <c r="R672" s="356"/>
      <c r="S672" s="356"/>
      <c r="T672" s="356"/>
      <c r="U672" s="356"/>
      <c r="V672" s="356"/>
      <c r="W672" s="272"/>
      <c r="X672" s="273"/>
      <c r="Y672" s="273"/>
      <c r="Z672" s="235"/>
      <c r="AA672" s="43"/>
    </row>
    <row r="673" ht="15.75" customHeight="1">
      <c r="A673" s="348"/>
      <c r="B673" s="349"/>
      <c r="C673" s="348"/>
      <c r="D673" s="348"/>
      <c r="E673" s="349"/>
      <c r="F673" s="357"/>
      <c r="G673" s="357"/>
      <c r="H673" s="357"/>
      <c r="I673" s="357"/>
      <c r="J673" s="357"/>
      <c r="K673" s="357"/>
      <c r="L673" s="357"/>
      <c r="M673" s="357"/>
      <c r="N673" s="357"/>
      <c r="O673" s="357"/>
      <c r="P673" s="357"/>
      <c r="Q673" s="357"/>
      <c r="R673" s="357"/>
      <c r="S673" s="357"/>
      <c r="T673" s="357"/>
      <c r="U673" s="357"/>
      <c r="V673" s="357"/>
      <c r="W673" s="282"/>
      <c r="X673" s="283"/>
      <c r="Y673" s="283"/>
      <c r="Z673" s="235"/>
      <c r="AA673" s="43"/>
    </row>
    <row r="674" ht="15.75" customHeight="1">
      <c r="A674" s="343"/>
      <c r="B674" s="344"/>
      <c r="C674" s="343"/>
      <c r="D674" s="343"/>
      <c r="E674" s="344"/>
      <c r="F674" s="356"/>
      <c r="G674" s="356"/>
      <c r="H674" s="356"/>
      <c r="I674" s="356"/>
      <c r="J674" s="356"/>
      <c r="K674" s="356"/>
      <c r="L674" s="356"/>
      <c r="M674" s="356"/>
      <c r="N674" s="356"/>
      <c r="O674" s="356"/>
      <c r="P674" s="356"/>
      <c r="Q674" s="356"/>
      <c r="R674" s="356"/>
      <c r="S674" s="356"/>
      <c r="T674" s="356"/>
      <c r="U674" s="356"/>
      <c r="V674" s="356"/>
      <c r="W674" s="272"/>
      <c r="X674" s="273"/>
      <c r="Y674" s="273"/>
      <c r="Z674" s="235"/>
      <c r="AA674" s="43"/>
    </row>
    <row r="675" ht="15.75" customHeight="1">
      <c r="A675" s="348"/>
      <c r="B675" s="349"/>
      <c r="C675" s="348"/>
      <c r="D675" s="348"/>
      <c r="E675" s="349"/>
      <c r="F675" s="357"/>
      <c r="G675" s="357"/>
      <c r="H675" s="357"/>
      <c r="I675" s="357"/>
      <c r="J675" s="357"/>
      <c r="K675" s="357"/>
      <c r="L675" s="357"/>
      <c r="M675" s="357"/>
      <c r="N675" s="357"/>
      <c r="O675" s="357"/>
      <c r="P675" s="357"/>
      <c r="Q675" s="357"/>
      <c r="R675" s="357"/>
      <c r="S675" s="357"/>
      <c r="T675" s="357"/>
      <c r="U675" s="357"/>
      <c r="V675" s="357"/>
      <c r="W675" s="282"/>
      <c r="X675" s="283"/>
      <c r="Y675" s="283"/>
      <c r="Z675" s="235"/>
      <c r="AA675" s="43"/>
    </row>
    <row r="676" ht="15.75" customHeight="1">
      <c r="A676" s="343"/>
      <c r="B676" s="344"/>
      <c r="C676" s="343"/>
      <c r="D676" s="343"/>
      <c r="E676" s="344"/>
      <c r="F676" s="356"/>
      <c r="G676" s="356"/>
      <c r="H676" s="356"/>
      <c r="I676" s="356"/>
      <c r="J676" s="356"/>
      <c r="K676" s="356"/>
      <c r="L676" s="356"/>
      <c r="M676" s="356"/>
      <c r="N676" s="356"/>
      <c r="O676" s="356"/>
      <c r="P676" s="356"/>
      <c r="Q676" s="356"/>
      <c r="R676" s="356"/>
      <c r="S676" s="356"/>
      <c r="T676" s="356"/>
      <c r="U676" s="356"/>
      <c r="V676" s="356"/>
      <c r="W676" s="272"/>
      <c r="X676" s="273"/>
      <c r="Y676" s="273"/>
      <c r="Z676" s="235"/>
      <c r="AA676" s="43"/>
    </row>
    <row r="677" ht="15.75" customHeight="1">
      <c r="A677" s="348"/>
      <c r="B677" s="349"/>
      <c r="C677" s="348"/>
      <c r="D677" s="348"/>
      <c r="E677" s="349"/>
      <c r="F677" s="357"/>
      <c r="G677" s="357"/>
      <c r="H677" s="357"/>
      <c r="I677" s="357"/>
      <c r="J677" s="357"/>
      <c r="K677" s="357"/>
      <c r="L677" s="357"/>
      <c r="M677" s="357"/>
      <c r="N677" s="357"/>
      <c r="O677" s="357"/>
      <c r="P677" s="357"/>
      <c r="Q677" s="357"/>
      <c r="R677" s="357"/>
      <c r="S677" s="357"/>
      <c r="T677" s="357"/>
      <c r="U677" s="357"/>
      <c r="V677" s="357"/>
      <c r="W677" s="282"/>
      <c r="X677" s="283"/>
      <c r="Y677" s="283"/>
      <c r="Z677" s="235"/>
      <c r="AA677" s="43"/>
    </row>
    <row r="678" ht="15.75" customHeight="1">
      <c r="A678" s="343"/>
      <c r="B678" s="344"/>
      <c r="C678" s="343"/>
      <c r="D678" s="343"/>
      <c r="E678" s="344"/>
      <c r="F678" s="356"/>
      <c r="G678" s="356"/>
      <c r="H678" s="356"/>
      <c r="I678" s="356"/>
      <c r="J678" s="356"/>
      <c r="K678" s="356"/>
      <c r="L678" s="356"/>
      <c r="M678" s="356"/>
      <c r="N678" s="356"/>
      <c r="O678" s="356"/>
      <c r="P678" s="356"/>
      <c r="Q678" s="356"/>
      <c r="R678" s="356"/>
      <c r="S678" s="356"/>
      <c r="T678" s="356"/>
      <c r="U678" s="356"/>
      <c r="V678" s="356"/>
      <c r="W678" s="272"/>
      <c r="X678" s="273"/>
      <c r="Y678" s="273"/>
      <c r="Z678" s="235"/>
      <c r="AA678" s="43"/>
    </row>
    <row r="679" ht="15.75" customHeight="1">
      <c r="A679" s="348"/>
      <c r="B679" s="349"/>
      <c r="C679" s="348"/>
      <c r="D679" s="348"/>
      <c r="E679" s="349"/>
      <c r="F679" s="357"/>
      <c r="G679" s="357"/>
      <c r="H679" s="357"/>
      <c r="I679" s="357"/>
      <c r="J679" s="357"/>
      <c r="K679" s="357"/>
      <c r="L679" s="357"/>
      <c r="M679" s="357"/>
      <c r="N679" s="357"/>
      <c r="O679" s="357"/>
      <c r="P679" s="357"/>
      <c r="Q679" s="357"/>
      <c r="R679" s="357"/>
      <c r="S679" s="357"/>
      <c r="T679" s="357"/>
      <c r="U679" s="357"/>
      <c r="V679" s="357"/>
      <c r="W679" s="282"/>
      <c r="X679" s="283"/>
      <c r="Y679" s="283"/>
      <c r="Z679" s="235"/>
      <c r="AA679" s="43"/>
    </row>
    <row r="680" ht="15.75" customHeight="1">
      <c r="A680" s="343"/>
      <c r="B680" s="344"/>
      <c r="C680" s="343"/>
      <c r="D680" s="343"/>
      <c r="E680" s="344"/>
      <c r="F680" s="356"/>
      <c r="G680" s="356"/>
      <c r="H680" s="356"/>
      <c r="I680" s="356"/>
      <c r="J680" s="356"/>
      <c r="K680" s="356"/>
      <c r="L680" s="356"/>
      <c r="M680" s="356"/>
      <c r="N680" s="356"/>
      <c r="O680" s="356"/>
      <c r="P680" s="356"/>
      <c r="Q680" s="356"/>
      <c r="R680" s="356"/>
      <c r="S680" s="356"/>
      <c r="T680" s="356"/>
      <c r="U680" s="356"/>
      <c r="V680" s="356"/>
      <c r="W680" s="272"/>
      <c r="X680" s="273"/>
      <c r="Y680" s="273"/>
      <c r="Z680" s="235"/>
      <c r="AA680" s="43"/>
    </row>
    <row r="681" ht="15.75" customHeight="1">
      <c r="A681" s="348"/>
      <c r="B681" s="349"/>
      <c r="C681" s="348"/>
      <c r="D681" s="348"/>
      <c r="E681" s="349"/>
      <c r="F681" s="357"/>
      <c r="G681" s="357"/>
      <c r="H681" s="357"/>
      <c r="I681" s="357"/>
      <c r="J681" s="357"/>
      <c r="K681" s="357"/>
      <c r="L681" s="357"/>
      <c r="M681" s="357"/>
      <c r="N681" s="357"/>
      <c r="O681" s="357"/>
      <c r="P681" s="357"/>
      <c r="Q681" s="357"/>
      <c r="R681" s="357"/>
      <c r="S681" s="357"/>
      <c r="T681" s="357"/>
      <c r="U681" s="357"/>
      <c r="V681" s="357"/>
      <c r="W681" s="282"/>
      <c r="X681" s="283"/>
      <c r="Y681" s="283"/>
      <c r="Z681" s="235"/>
      <c r="AA681" s="43"/>
    </row>
    <row r="682" ht="15.75" customHeight="1">
      <c r="A682" s="343"/>
      <c r="B682" s="344"/>
      <c r="C682" s="343"/>
      <c r="D682" s="343"/>
      <c r="E682" s="344"/>
      <c r="F682" s="356"/>
      <c r="G682" s="356"/>
      <c r="H682" s="356"/>
      <c r="I682" s="356"/>
      <c r="J682" s="356"/>
      <c r="K682" s="356"/>
      <c r="L682" s="356"/>
      <c r="M682" s="356"/>
      <c r="N682" s="356"/>
      <c r="O682" s="356"/>
      <c r="P682" s="356"/>
      <c r="Q682" s="356"/>
      <c r="R682" s="356"/>
      <c r="S682" s="356"/>
      <c r="T682" s="356"/>
      <c r="U682" s="356"/>
      <c r="V682" s="356"/>
      <c r="W682" s="272"/>
      <c r="X682" s="273"/>
      <c r="Y682" s="273"/>
      <c r="Z682" s="235"/>
      <c r="AA682" s="43"/>
    </row>
    <row r="683" ht="15.75" customHeight="1">
      <c r="A683" s="348"/>
      <c r="B683" s="349"/>
      <c r="C683" s="348"/>
      <c r="D683" s="348"/>
      <c r="E683" s="349"/>
      <c r="F683" s="357"/>
      <c r="G683" s="357"/>
      <c r="H683" s="357"/>
      <c r="I683" s="357"/>
      <c r="J683" s="357"/>
      <c r="K683" s="357"/>
      <c r="L683" s="357"/>
      <c r="M683" s="357"/>
      <c r="N683" s="357"/>
      <c r="O683" s="357"/>
      <c r="P683" s="357"/>
      <c r="Q683" s="357"/>
      <c r="R683" s="357"/>
      <c r="S683" s="357"/>
      <c r="T683" s="357"/>
      <c r="U683" s="357"/>
      <c r="V683" s="357"/>
      <c r="W683" s="282"/>
      <c r="X683" s="283"/>
      <c r="Y683" s="283"/>
      <c r="Z683" s="235"/>
      <c r="AA683" s="43"/>
    </row>
    <row r="684" ht="15.75" customHeight="1">
      <c r="A684" s="343"/>
      <c r="B684" s="344"/>
      <c r="C684" s="343"/>
      <c r="D684" s="343"/>
      <c r="E684" s="344"/>
      <c r="F684" s="356"/>
      <c r="G684" s="356"/>
      <c r="H684" s="356"/>
      <c r="I684" s="356"/>
      <c r="J684" s="356"/>
      <c r="K684" s="356"/>
      <c r="L684" s="356"/>
      <c r="M684" s="356"/>
      <c r="N684" s="356"/>
      <c r="O684" s="356"/>
      <c r="P684" s="356"/>
      <c r="Q684" s="356"/>
      <c r="R684" s="356"/>
      <c r="S684" s="356"/>
      <c r="T684" s="356"/>
      <c r="U684" s="356"/>
      <c r="V684" s="356"/>
      <c r="W684" s="272"/>
      <c r="X684" s="273"/>
      <c r="Y684" s="273"/>
      <c r="Z684" s="235"/>
      <c r="AA684" s="43"/>
    </row>
    <row r="685" ht="15.75" customHeight="1">
      <c r="A685" s="348"/>
      <c r="B685" s="349"/>
      <c r="C685" s="348"/>
      <c r="D685" s="348"/>
      <c r="E685" s="349"/>
      <c r="F685" s="357"/>
      <c r="G685" s="357"/>
      <c r="H685" s="357"/>
      <c r="I685" s="357"/>
      <c r="J685" s="357"/>
      <c r="K685" s="357"/>
      <c r="L685" s="357"/>
      <c r="M685" s="357"/>
      <c r="N685" s="357"/>
      <c r="O685" s="357"/>
      <c r="P685" s="357"/>
      <c r="Q685" s="357"/>
      <c r="R685" s="357"/>
      <c r="S685" s="357"/>
      <c r="T685" s="357"/>
      <c r="U685" s="357"/>
      <c r="V685" s="357"/>
      <c r="W685" s="282"/>
      <c r="X685" s="283"/>
      <c r="Y685" s="283"/>
      <c r="Z685" s="235"/>
      <c r="AA685" s="43"/>
    </row>
    <row r="686" ht="15.75" customHeight="1">
      <c r="A686" s="343"/>
      <c r="B686" s="344"/>
      <c r="C686" s="343"/>
      <c r="D686" s="343"/>
      <c r="E686" s="344"/>
      <c r="F686" s="356"/>
      <c r="G686" s="356"/>
      <c r="H686" s="356"/>
      <c r="I686" s="356"/>
      <c r="J686" s="356"/>
      <c r="K686" s="356"/>
      <c r="L686" s="356"/>
      <c r="M686" s="356"/>
      <c r="N686" s="356"/>
      <c r="O686" s="356"/>
      <c r="P686" s="356"/>
      <c r="Q686" s="356"/>
      <c r="R686" s="356"/>
      <c r="S686" s="356"/>
      <c r="T686" s="356"/>
      <c r="U686" s="356"/>
      <c r="V686" s="356"/>
      <c r="W686" s="272"/>
      <c r="X686" s="273"/>
      <c r="Y686" s="273"/>
      <c r="Z686" s="235"/>
      <c r="AA686" s="43"/>
    </row>
    <row r="687" ht="15.75" customHeight="1">
      <c r="A687" s="348"/>
      <c r="B687" s="349"/>
      <c r="C687" s="348"/>
      <c r="D687" s="348"/>
      <c r="E687" s="349"/>
      <c r="F687" s="357"/>
      <c r="G687" s="357"/>
      <c r="H687" s="357"/>
      <c r="I687" s="357"/>
      <c r="J687" s="357"/>
      <c r="K687" s="357"/>
      <c r="L687" s="357"/>
      <c r="M687" s="357"/>
      <c r="N687" s="357"/>
      <c r="O687" s="357"/>
      <c r="P687" s="357"/>
      <c r="Q687" s="357"/>
      <c r="R687" s="357"/>
      <c r="S687" s="357"/>
      <c r="T687" s="357"/>
      <c r="U687" s="357"/>
      <c r="V687" s="357"/>
      <c r="W687" s="282"/>
      <c r="X687" s="283"/>
      <c r="Y687" s="283"/>
      <c r="Z687" s="235"/>
      <c r="AA687" s="43"/>
    </row>
    <row r="688" ht="15.75" customHeight="1">
      <c r="A688" s="343"/>
      <c r="B688" s="344"/>
      <c r="C688" s="343"/>
      <c r="D688" s="343"/>
      <c r="E688" s="344"/>
      <c r="F688" s="356"/>
      <c r="G688" s="356"/>
      <c r="H688" s="356"/>
      <c r="I688" s="356"/>
      <c r="J688" s="356"/>
      <c r="K688" s="356"/>
      <c r="L688" s="356"/>
      <c r="M688" s="356"/>
      <c r="N688" s="356"/>
      <c r="O688" s="356"/>
      <c r="P688" s="356"/>
      <c r="Q688" s="356"/>
      <c r="R688" s="356"/>
      <c r="S688" s="356"/>
      <c r="T688" s="356"/>
      <c r="U688" s="356"/>
      <c r="V688" s="356"/>
      <c r="W688" s="272"/>
      <c r="X688" s="273"/>
      <c r="Y688" s="273"/>
      <c r="Z688" s="235"/>
      <c r="AA688" s="43"/>
    </row>
    <row r="689" ht="15.75" customHeight="1">
      <c r="A689" s="348"/>
      <c r="B689" s="349"/>
      <c r="C689" s="348"/>
      <c r="D689" s="348"/>
      <c r="E689" s="349"/>
      <c r="F689" s="357"/>
      <c r="G689" s="357"/>
      <c r="H689" s="357"/>
      <c r="I689" s="357"/>
      <c r="J689" s="357"/>
      <c r="K689" s="357"/>
      <c r="L689" s="357"/>
      <c r="M689" s="357"/>
      <c r="N689" s="357"/>
      <c r="O689" s="357"/>
      <c r="P689" s="357"/>
      <c r="Q689" s="357"/>
      <c r="R689" s="357"/>
      <c r="S689" s="357"/>
      <c r="T689" s="357"/>
      <c r="U689" s="357"/>
      <c r="V689" s="357"/>
      <c r="W689" s="282"/>
      <c r="X689" s="283"/>
      <c r="Y689" s="283"/>
      <c r="Z689" s="235"/>
      <c r="AA689" s="43"/>
    </row>
    <row r="690" ht="15.75" customHeight="1">
      <c r="A690" s="343"/>
      <c r="B690" s="344"/>
      <c r="C690" s="343"/>
      <c r="D690" s="343"/>
      <c r="E690" s="344"/>
      <c r="F690" s="356"/>
      <c r="G690" s="356"/>
      <c r="H690" s="356"/>
      <c r="I690" s="356"/>
      <c r="J690" s="356"/>
      <c r="K690" s="356"/>
      <c r="L690" s="356"/>
      <c r="M690" s="356"/>
      <c r="N690" s="356"/>
      <c r="O690" s="356"/>
      <c r="P690" s="356"/>
      <c r="Q690" s="356"/>
      <c r="R690" s="356"/>
      <c r="S690" s="356"/>
      <c r="T690" s="356"/>
      <c r="U690" s="356"/>
      <c r="V690" s="356"/>
      <c r="W690" s="272"/>
      <c r="X690" s="273"/>
      <c r="Y690" s="273"/>
      <c r="Z690" s="235"/>
      <c r="AA690" s="43"/>
    </row>
    <row r="691" ht="15.75" customHeight="1">
      <c r="A691" s="348"/>
      <c r="B691" s="349"/>
      <c r="C691" s="348"/>
      <c r="D691" s="348"/>
      <c r="E691" s="349"/>
      <c r="F691" s="357"/>
      <c r="G691" s="357"/>
      <c r="H691" s="357"/>
      <c r="I691" s="357"/>
      <c r="J691" s="357"/>
      <c r="K691" s="357"/>
      <c r="L691" s="357"/>
      <c r="M691" s="357"/>
      <c r="N691" s="357"/>
      <c r="O691" s="357"/>
      <c r="P691" s="357"/>
      <c r="Q691" s="357"/>
      <c r="R691" s="357"/>
      <c r="S691" s="357"/>
      <c r="T691" s="357"/>
      <c r="U691" s="357"/>
      <c r="V691" s="357"/>
      <c r="W691" s="282"/>
      <c r="X691" s="283"/>
      <c r="Y691" s="283"/>
      <c r="Z691" s="235"/>
      <c r="AA691" s="43"/>
    </row>
    <row r="692" ht="15.75" customHeight="1">
      <c r="A692" s="343"/>
      <c r="B692" s="344"/>
      <c r="C692" s="343"/>
      <c r="D692" s="343"/>
      <c r="E692" s="344"/>
      <c r="F692" s="356"/>
      <c r="G692" s="356"/>
      <c r="H692" s="356"/>
      <c r="I692" s="356"/>
      <c r="J692" s="356"/>
      <c r="K692" s="356"/>
      <c r="L692" s="356"/>
      <c r="M692" s="356"/>
      <c r="N692" s="356"/>
      <c r="O692" s="356"/>
      <c r="P692" s="356"/>
      <c r="Q692" s="356"/>
      <c r="R692" s="356"/>
      <c r="S692" s="356"/>
      <c r="T692" s="356"/>
      <c r="U692" s="356"/>
      <c r="V692" s="356"/>
      <c r="W692" s="272"/>
      <c r="X692" s="273"/>
      <c r="Y692" s="273"/>
      <c r="Z692" s="235"/>
      <c r="AA692" s="43"/>
    </row>
    <row r="693" ht="15.75" customHeight="1">
      <c r="A693" s="348"/>
      <c r="B693" s="349"/>
      <c r="C693" s="348"/>
      <c r="D693" s="348"/>
      <c r="E693" s="349"/>
      <c r="F693" s="357"/>
      <c r="G693" s="357"/>
      <c r="H693" s="357"/>
      <c r="I693" s="357"/>
      <c r="J693" s="357"/>
      <c r="K693" s="357"/>
      <c r="L693" s="357"/>
      <c r="M693" s="357"/>
      <c r="N693" s="357"/>
      <c r="O693" s="357"/>
      <c r="P693" s="357"/>
      <c r="Q693" s="357"/>
      <c r="R693" s="357"/>
      <c r="S693" s="357"/>
      <c r="T693" s="357"/>
      <c r="U693" s="357"/>
      <c r="V693" s="357"/>
      <c r="W693" s="282"/>
      <c r="X693" s="283"/>
      <c r="Y693" s="283"/>
      <c r="Z693" s="235"/>
      <c r="AA693" s="43"/>
    </row>
    <row r="694" ht="15.75" customHeight="1">
      <c r="A694" s="343"/>
      <c r="B694" s="344"/>
      <c r="C694" s="343"/>
      <c r="D694" s="343"/>
      <c r="E694" s="344"/>
      <c r="F694" s="356"/>
      <c r="G694" s="356"/>
      <c r="H694" s="356"/>
      <c r="I694" s="356"/>
      <c r="J694" s="356"/>
      <c r="K694" s="356"/>
      <c r="L694" s="356"/>
      <c r="M694" s="356"/>
      <c r="N694" s="356"/>
      <c r="O694" s="356"/>
      <c r="P694" s="356"/>
      <c r="Q694" s="356"/>
      <c r="R694" s="356"/>
      <c r="S694" s="356"/>
      <c r="T694" s="356"/>
      <c r="U694" s="356"/>
      <c r="V694" s="356"/>
      <c r="W694" s="272"/>
      <c r="X694" s="273"/>
      <c r="Y694" s="273"/>
      <c r="Z694" s="235"/>
      <c r="AA694" s="43"/>
    </row>
    <row r="695" ht="15.75" customHeight="1">
      <c r="A695" s="348"/>
      <c r="B695" s="349"/>
      <c r="C695" s="348"/>
      <c r="D695" s="348"/>
      <c r="E695" s="349"/>
      <c r="F695" s="357"/>
      <c r="G695" s="357"/>
      <c r="H695" s="357"/>
      <c r="I695" s="357"/>
      <c r="J695" s="357"/>
      <c r="K695" s="357"/>
      <c r="L695" s="357"/>
      <c r="M695" s="357"/>
      <c r="N695" s="357"/>
      <c r="O695" s="357"/>
      <c r="P695" s="357"/>
      <c r="Q695" s="357"/>
      <c r="R695" s="357"/>
      <c r="S695" s="357"/>
      <c r="T695" s="357"/>
      <c r="U695" s="357"/>
      <c r="V695" s="357"/>
      <c r="W695" s="282"/>
      <c r="X695" s="283"/>
      <c r="Y695" s="283"/>
      <c r="Z695" s="235"/>
      <c r="AA695" s="43"/>
    </row>
    <row r="696" ht="15.75" customHeight="1">
      <c r="A696" s="343"/>
      <c r="B696" s="344"/>
      <c r="C696" s="343"/>
      <c r="D696" s="343"/>
      <c r="E696" s="344"/>
      <c r="F696" s="356"/>
      <c r="G696" s="356"/>
      <c r="H696" s="356"/>
      <c r="I696" s="356"/>
      <c r="J696" s="356"/>
      <c r="K696" s="356"/>
      <c r="L696" s="356"/>
      <c r="M696" s="356"/>
      <c r="N696" s="356"/>
      <c r="O696" s="356"/>
      <c r="P696" s="356"/>
      <c r="Q696" s="356"/>
      <c r="R696" s="356"/>
      <c r="S696" s="356"/>
      <c r="T696" s="356"/>
      <c r="U696" s="356"/>
      <c r="V696" s="356"/>
      <c r="W696" s="272"/>
      <c r="X696" s="273"/>
      <c r="Y696" s="273"/>
      <c r="Z696" s="235"/>
      <c r="AA696" s="43"/>
    </row>
    <row r="697" ht="15.75" customHeight="1">
      <c r="A697" s="348"/>
      <c r="B697" s="349"/>
      <c r="C697" s="348"/>
      <c r="D697" s="348"/>
      <c r="E697" s="349"/>
      <c r="F697" s="357"/>
      <c r="G697" s="357"/>
      <c r="H697" s="357"/>
      <c r="I697" s="357"/>
      <c r="J697" s="357"/>
      <c r="K697" s="357"/>
      <c r="L697" s="357"/>
      <c r="M697" s="357"/>
      <c r="N697" s="357"/>
      <c r="O697" s="357"/>
      <c r="P697" s="357"/>
      <c r="Q697" s="357"/>
      <c r="R697" s="357"/>
      <c r="S697" s="357"/>
      <c r="T697" s="357"/>
      <c r="U697" s="357"/>
      <c r="V697" s="357"/>
      <c r="W697" s="282"/>
      <c r="X697" s="283"/>
      <c r="Y697" s="283"/>
      <c r="Z697" s="235"/>
      <c r="AA697" s="43"/>
    </row>
    <row r="698" ht="15.75" customHeight="1">
      <c r="A698" s="343"/>
      <c r="B698" s="344"/>
      <c r="C698" s="343"/>
      <c r="D698" s="343"/>
      <c r="E698" s="344"/>
      <c r="F698" s="356"/>
      <c r="G698" s="356"/>
      <c r="H698" s="356"/>
      <c r="I698" s="356"/>
      <c r="J698" s="356"/>
      <c r="K698" s="356"/>
      <c r="L698" s="356"/>
      <c r="M698" s="356"/>
      <c r="N698" s="356"/>
      <c r="O698" s="356"/>
      <c r="P698" s="356"/>
      <c r="Q698" s="356"/>
      <c r="R698" s="356"/>
      <c r="S698" s="356"/>
      <c r="T698" s="356"/>
      <c r="U698" s="356"/>
      <c r="V698" s="356"/>
      <c r="W698" s="272"/>
      <c r="X698" s="273"/>
      <c r="Y698" s="273"/>
      <c r="Z698" s="235"/>
      <c r="AA698" s="43"/>
    </row>
    <row r="699" ht="15.75" customHeight="1">
      <c r="A699" s="348"/>
      <c r="B699" s="349"/>
      <c r="C699" s="348"/>
      <c r="D699" s="348"/>
      <c r="E699" s="349"/>
      <c r="F699" s="357"/>
      <c r="G699" s="357"/>
      <c r="H699" s="357"/>
      <c r="I699" s="357"/>
      <c r="J699" s="357"/>
      <c r="K699" s="357"/>
      <c r="L699" s="357"/>
      <c r="M699" s="357"/>
      <c r="N699" s="357"/>
      <c r="O699" s="357"/>
      <c r="P699" s="357"/>
      <c r="Q699" s="357"/>
      <c r="R699" s="357"/>
      <c r="S699" s="357"/>
      <c r="T699" s="357"/>
      <c r="U699" s="357"/>
      <c r="V699" s="357"/>
      <c r="W699" s="282"/>
      <c r="X699" s="283"/>
      <c r="Y699" s="283"/>
      <c r="Z699" s="235"/>
      <c r="AA699" s="43"/>
    </row>
    <row r="700" ht="15.75" customHeight="1">
      <c r="A700" s="343"/>
      <c r="B700" s="344"/>
      <c r="C700" s="343"/>
      <c r="D700" s="343"/>
      <c r="E700" s="344"/>
      <c r="F700" s="356"/>
      <c r="G700" s="356"/>
      <c r="H700" s="356"/>
      <c r="I700" s="356"/>
      <c r="J700" s="356"/>
      <c r="K700" s="356"/>
      <c r="L700" s="356"/>
      <c r="M700" s="356"/>
      <c r="N700" s="356"/>
      <c r="O700" s="356"/>
      <c r="P700" s="356"/>
      <c r="Q700" s="356"/>
      <c r="R700" s="356"/>
      <c r="S700" s="356"/>
      <c r="T700" s="356"/>
      <c r="U700" s="356"/>
      <c r="V700" s="356"/>
      <c r="W700" s="272"/>
      <c r="X700" s="273"/>
      <c r="Y700" s="273"/>
      <c r="Z700" s="235"/>
      <c r="AA700" s="43"/>
    </row>
    <row r="701" ht="15.75" customHeight="1">
      <c r="A701" s="348"/>
      <c r="B701" s="349"/>
      <c r="C701" s="348"/>
      <c r="D701" s="348"/>
      <c r="E701" s="349"/>
      <c r="F701" s="357"/>
      <c r="G701" s="357"/>
      <c r="H701" s="357"/>
      <c r="I701" s="357"/>
      <c r="J701" s="357"/>
      <c r="K701" s="357"/>
      <c r="L701" s="357"/>
      <c r="M701" s="357"/>
      <c r="N701" s="357"/>
      <c r="O701" s="357"/>
      <c r="P701" s="357"/>
      <c r="Q701" s="357"/>
      <c r="R701" s="357"/>
      <c r="S701" s="357"/>
      <c r="T701" s="357"/>
      <c r="U701" s="357"/>
      <c r="V701" s="357"/>
      <c r="W701" s="282"/>
      <c r="X701" s="283"/>
      <c r="Y701" s="283"/>
      <c r="Z701" s="235"/>
      <c r="AA701" s="43"/>
    </row>
    <row r="702" ht="15.75" customHeight="1">
      <c r="A702" s="343"/>
      <c r="B702" s="344"/>
      <c r="C702" s="343"/>
      <c r="D702" s="343"/>
      <c r="E702" s="344"/>
      <c r="F702" s="356"/>
      <c r="G702" s="356"/>
      <c r="H702" s="356"/>
      <c r="I702" s="356"/>
      <c r="J702" s="356"/>
      <c r="K702" s="356"/>
      <c r="L702" s="356"/>
      <c r="M702" s="356"/>
      <c r="N702" s="356"/>
      <c r="O702" s="356"/>
      <c r="P702" s="356"/>
      <c r="Q702" s="356"/>
      <c r="R702" s="356"/>
      <c r="S702" s="356"/>
      <c r="T702" s="356"/>
      <c r="U702" s="356"/>
      <c r="V702" s="356"/>
      <c r="W702" s="272"/>
      <c r="X702" s="273"/>
      <c r="Y702" s="273"/>
      <c r="Z702" s="235"/>
      <c r="AA702" s="43"/>
    </row>
    <row r="703" ht="15.75" customHeight="1">
      <c r="A703" s="348"/>
      <c r="B703" s="349"/>
      <c r="C703" s="348"/>
      <c r="D703" s="348"/>
      <c r="E703" s="349"/>
      <c r="F703" s="357"/>
      <c r="G703" s="357"/>
      <c r="H703" s="357"/>
      <c r="I703" s="357"/>
      <c r="J703" s="357"/>
      <c r="K703" s="357"/>
      <c r="L703" s="357"/>
      <c r="M703" s="357"/>
      <c r="N703" s="357"/>
      <c r="O703" s="357"/>
      <c r="P703" s="357"/>
      <c r="Q703" s="357"/>
      <c r="R703" s="357"/>
      <c r="S703" s="357"/>
      <c r="T703" s="357"/>
      <c r="U703" s="357"/>
      <c r="V703" s="357"/>
      <c r="W703" s="282"/>
      <c r="X703" s="283"/>
      <c r="Y703" s="283"/>
      <c r="Z703" s="235"/>
      <c r="AA703" s="43"/>
    </row>
    <row r="704" ht="15.75" customHeight="1">
      <c r="A704" s="343"/>
      <c r="B704" s="344"/>
      <c r="C704" s="343"/>
      <c r="D704" s="343"/>
      <c r="E704" s="344"/>
      <c r="F704" s="356"/>
      <c r="G704" s="356"/>
      <c r="H704" s="356"/>
      <c r="I704" s="356"/>
      <c r="J704" s="356"/>
      <c r="K704" s="356"/>
      <c r="L704" s="356"/>
      <c r="M704" s="356"/>
      <c r="N704" s="356"/>
      <c r="O704" s="356"/>
      <c r="P704" s="356"/>
      <c r="Q704" s="356"/>
      <c r="R704" s="356"/>
      <c r="S704" s="356"/>
      <c r="T704" s="356"/>
      <c r="U704" s="356"/>
      <c r="V704" s="356"/>
      <c r="W704" s="272"/>
      <c r="X704" s="273"/>
      <c r="Y704" s="273"/>
      <c r="Z704" s="235"/>
      <c r="AA704" s="43"/>
    </row>
    <row r="705" ht="15.75" customHeight="1">
      <c r="A705" s="348"/>
      <c r="B705" s="349"/>
      <c r="C705" s="348"/>
      <c r="D705" s="348"/>
      <c r="E705" s="349"/>
      <c r="F705" s="357"/>
      <c r="G705" s="357"/>
      <c r="H705" s="357"/>
      <c r="I705" s="357"/>
      <c r="J705" s="357"/>
      <c r="K705" s="357"/>
      <c r="L705" s="357"/>
      <c r="M705" s="357"/>
      <c r="N705" s="357"/>
      <c r="O705" s="357"/>
      <c r="P705" s="357"/>
      <c r="Q705" s="357"/>
      <c r="R705" s="357"/>
      <c r="S705" s="357"/>
      <c r="T705" s="357"/>
      <c r="U705" s="357"/>
      <c r="V705" s="357"/>
      <c r="W705" s="282"/>
      <c r="X705" s="283"/>
      <c r="Y705" s="283"/>
      <c r="Z705" s="235"/>
      <c r="AA705" s="43"/>
    </row>
    <row r="706" ht="15.75" customHeight="1">
      <c r="A706" s="343"/>
      <c r="B706" s="344"/>
      <c r="C706" s="343"/>
      <c r="D706" s="343"/>
      <c r="E706" s="344"/>
      <c r="F706" s="356"/>
      <c r="G706" s="356"/>
      <c r="H706" s="356"/>
      <c r="I706" s="356"/>
      <c r="J706" s="356"/>
      <c r="K706" s="356"/>
      <c r="L706" s="356"/>
      <c r="M706" s="356"/>
      <c r="N706" s="356"/>
      <c r="O706" s="356"/>
      <c r="P706" s="356"/>
      <c r="Q706" s="356"/>
      <c r="R706" s="356"/>
      <c r="S706" s="356"/>
      <c r="T706" s="356"/>
      <c r="U706" s="356"/>
      <c r="V706" s="356"/>
      <c r="W706" s="272"/>
      <c r="X706" s="273"/>
      <c r="Y706" s="273"/>
      <c r="Z706" s="235"/>
      <c r="AA706" s="43"/>
    </row>
    <row r="707" ht="15.75" customHeight="1">
      <c r="A707" s="348"/>
      <c r="B707" s="349"/>
      <c r="C707" s="348"/>
      <c r="D707" s="348"/>
      <c r="E707" s="349"/>
      <c r="F707" s="357"/>
      <c r="G707" s="357"/>
      <c r="H707" s="357"/>
      <c r="I707" s="357"/>
      <c r="J707" s="357"/>
      <c r="K707" s="357"/>
      <c r="L707" s="357"/>
      <c r="M707" s="357"/>
      <c r="N707" s="357"/>
      <c r="O707" s="357"/>
      <c r="P707" s="357"/>
      <c r="Q707" s="357"/>
      <c r="R707" s="357"/>
      <c r="S707" s="357"/>
      <c r="T707" s="357"/>
      <c r="U707" s="357"/>
      <c r="V707" s="357"/>
      <c r="W707" s="282"/>
      <c r="X707" s="283"/>
      <c r="Y707" s="283"/>
      <c r="Z707" s="235"/>
      <c r="AA707" s="43"/>
    </row>
    <row r="708" ht="15.75" customHeight="1">
      <c r="A708" s="343"/>
      <c r="B708" s="344"/>
      <c r="C708" s="343"/>
      <c r="D708" s="343"/>
      <c r="E708" s="344"/>
      <c r="F708" s="356"/>
      <c r="G708" s="356"/>
      <c r="H708" s="356"/>
      <c r="I708" s="356"/>
      <c r="J708" s="356"/>
      <c r="K708" s="356"/>
      <c r="L708" s="356"/>
      <c r="M708" s="356"/>
      <c r="N708" s="356"/>
      <c r="O708" s="356"/>
      <c r="P708" s="356"/>
      <c r="Q708" s="356"/>
      <c r="R708" s="356"/>
      <c r="S708" s="356"/>
      <c r="T708" s="356"/>
      <c r="U708" s="356"/>
      <c r="V708" s="356"/>
      <c r="W708" s="272"/>
      <c r="X708" s="273"/>
      <c r="Y708" s="273"/>
      <c r="Z708" s="235"/>
      <c r="AA708" s="43"/>
    </row>
    <row r="709" ht="15.75" customHeight="1">
      <c r="A709" s="348"/>
      <c r="B709" s="349"/>
      <c r="C709" s="348"/>
      <c r="D709" s="348"/>
      <c r="E709" s="349"/>
      <c r="F709" s="357"/>
      <c r="G709" s="357"/>
      <c r="H709" s="357"/>
      <c r="I709" s="357"/>
      <c r="J709" s="357"/>
      <c r="K709" s="357"/>
      <c r="L709" s="357"/>
      <c r="M709" s="357"/>
      <c r="N709" s="357"/>
      <c r="O709" s="357"/>
      <c r="P709" s="357"/>
      <c r="Q709" s="357"/>
      <c r="R709" s="357"/>
      <c r="S709" s="357"/>
      <c r="T709" s="357"/>
      <c r="U709" s="357"/>
      <c r="V709" s="357"/>
      <c r="W709" s="282"/>
      <c r="X709" s="283"/>
      <c r="Y709" s="283"/>
      <c r="Z709" s="235"/>
      <c r="AA709" s="43"/>
    </row>
    <row r="710" ht="15.75" customHeight="1">
      <c r="A710" s="343"/>
      <c r="B710" s="344"/>
      <c r="C710" s="343"/>
      <c r="D710" s="343"/>
      <c r="E710" s="344"/>
      <c r="F710" s="356"/>
      <c r="G710" s="356"/>
      <c r="H710" s="356"/>
      <c r="I710" s="356"/>
      <c r="J710" s="356"/>
      <c r="K710" s="356"/>
      <c r="L710" s="356"/>
      <c r="M710" s="356"/>
      <c r="N710" s="356"/>
      <c r="O710" s="356"/>
      <c r="P710" s="356"/>
      <c r="Q710" s="356"/>
      <c r="R710" s="356"/>
      <c r="S710" s="356"/>
      <c r="T710" s="356"/>
      <c r="U710" s="356"/>
      <c r="V710" s="356"/>
      <c r="W710" s="272"/>
      <c r="X710" s="273"/>
      <c r="Y710" s="273"/>
      <c r="Z710" s="235"/>
      <c r="AA710" s="43"/>
    </row>
    <row r="711" ht="15.75" customHeight="1">
      <c r="A711" s="348"/>
      <c r="B711" s="349"/>
      <c r="C711" s="348"/>
      <c r="D711" s="348"/>
      <c r="E711" s="349"/>
      <c r="F711" s="357"/>
      <c r="G711" s="357"/>
      <c r="H711" s="357"/>
      <c r="I711" s="357"/>
      <c r="J711" s="357"/>
      <c r="K711" s="357"/>
      <c r="L711" s="357"/>
      <c r="M711" s="357"/>
      <c r="N711" s="357"/>
      <c r="O711" s="357"/>
      <c r="P711" s="357"/>
      <c r="Q711" s="357"/>
      <c r="R711" s="357"/>
      <c r="S711" s="357"/>
      <c r="T711" s="357"/>
      <c r="U711" s="357"/>
      <c r="V711" s="357"/>
      <c r="W711" s="282"/>
      <c r="X711" s="283"/>
      <c r="Y711" s="283"/>
      <c r="Z711" s="235"/>
      <c r="AA711" s="43"/>
    </row>
    <row r="712" ht="15.75" customHeight="1">
      <c r="A712" s="343"/>
      <c r="B712" s="344"/>
      <c r="C712" s="343"/>
      <c r="D712" s="343"/>
      <c r="E712" s="344"/>
      <c r="F712" s="356"/>
      <c r="G712" s="356"/>
      <c r="H712" s="356"/>
      <c r="I712" s="356"/>
      <c r="J712" s="356"/>
      <c r="K712" s="356"/>
      <c r="L712" s="356"/>
      <c r="M712" s="356"/>
      <c r="N712" s="356"/>
      <c r="O712" s="356"/>
      <c r="P712" s="356"/>
      <c r="Q712" s="356"/>
      <c r="R712" s="356"/>
      <c r="S712" s="356"/>
      <c r="T712" s="356"/>
      <c r="U712" s="356"/>
      <c r="V712" s="356"/>
      <c r="W712" s="272"/>
      <c r="X712" s="273"/>
      <c r="Y712" s="273"/>
      <c r="Z712" s="235"/>
      <c r="AA712" s="43"/>
    </row>
    <row r="713" ht="15.75" customHeight="1">
      <c r="A713" s="348"/>
      <c r="B713" s="349"/>
      <c r="C713" s="348"/>
      <c r="D713" s="348"/>
      <c r="E713" s="349"/>
      <c r="F713" s="357"/>
      <c r="G713" s="357"/>
      <c r="H713" s="357"/>
      <c r="I713" s="357"/>
      <c r="J713" s="357"/>
      <c r="K713" s="357"/>
      <c r="L713" s="357"/>
      <c r="M713" s="357"/>
      <c r="N713" s="357"/>
      <c r="O713" s="357"/>
      <c r="P713" s="357"/>
      <c r="Q713" s="357"/>
      <c r="R713" s="357"/>
      <c r="S713" s="357"/>
      <c r="T713" s="357"/>
      <c r="U713" s="357"/>
      <c r="V713" s="357"/>
      <c r="W713" s="282"/>
      <c r="X713" s="283"/>
      <c r="Y713" s="283"/>
      <c r="Z713" s="235"/>
      <c r="AA713" s="43"/>
    </row>
    <row r="714" ht="15.75" customHeight="1">
      <c r="A714" s="343"/>
      <c r="B714" s="344"/>
      <c r="C714" s="343"/>
      <c r="D714" s="343"/>
      <c r="E714" s="344"/>
      <c r="F714" s="356"/>
      <c r="G714" s="356"/>
      <c r="H714" s="356"/>
      <c r="I714" s="356"/>
      <c r="J714" s="356"/>
      <c r="K714" s="356"/>
      <c r="L714" s="356"/>
      <c r="M714" s="356"/>
      <c r="N714" s="356"/>
      <c r="O714" s="356"/>
      <c r="P714" s="356"/>
      <c r="Q714" s="356"/>
      <c r="R714" s="356"/>
      <c r="S714" s="356"/>
      <c r="T714" s="356"/>
      <c r="U714" s="356"/>
      <c r="V714" s="356"/>
      <c r="W714" s="272"/>
      <c r="X714" s="273"/>
      <c r="Y714" s="273"/>
      <c r="Z714" s="235"/>
      <c r="AA714" s="43"/>
    </row>
    <row r="715" ht="15.75" customHeight="1">
      <c r="A715" s="348"/>
      <c r="B715" s="349"/>
      <c r="C715" s="348"/>
      <c r="D715" s="348"/>
      <c r="E715" s="349"/>
      <c r="F715" s="357"/>
      <c r="G715" s="357"/>
      <c r="H715" s="357"/>
      <c r="I715" s="357"/>
      <c r="J715" s="357"/>
      <c r="K715" s="357"/>
      <c r="L715" s="357"/>
      <c r="M715" s="357"/>
      <c r="N715" s="357"/>
      <c r="O715" s="357"/>
      <c r="P715" s="357"/>
      <c r="Q715" s="357"/>
      <c r="R715" s="357"/>
      <c r="S715" s="357"/>
      <c r="T715" s="357"/>
      <c r="U715" s="357"/>
      <c r="V715" s="357"/>
      <c r="W715" s="282"/>
      <c r="X715" s="283"/>
      <c r="Y715" s="283"/>
      <c r="Z715" s="235"/>
      <c r="AA715" s="43"/>
    </row>
    <row r="716" ht="15.75" customHeight="1">
      <c r="A716" s="343"/>
      <c r="B716" s="344"/>
      <c r="C716" s="343"/>
      <c r="D716" s="343"/>
      <c r="E716" s="344"/>
      <c r="F716" s="356"/>
      <c r="G716" s="356"/>
      <c r="H716" s="356"/>
      <c r="I716" s="356"/>
      <c r="J716" s="356"/>
      <c r="K716" s="356"/>
      <c r="L716" s="356"/>
      <c r="M716" s="356"/>
      <c r="N716" s="356"/>
      <c r="O716" s="356"/>
      <c r="P716" s="356"/>
      <c r="Q716" s="356"/>
      <c r="R716" s="356"/>
      <c r="S716" s="356"/>
      <c r="T716" s="356"/>
      <c r="U716" s="356"/>
      <c r="V716" s="356"/>
      <c r="W716" s="272"/>
      <c r="X716" s="273"/>
      <c r="Y716" s="273"/>
      <c r="Z716" s="235"/>
      <c r="AA716" s="43"/>
    </row>
    <row r="717" ht="15.75" customHeight="1">
      <c r="A717" s="348"/>
      <c r="B717" s="349"/>
      <c r="C717" s="348"/>
      <c r="D717" s="348"/>
      <c r="E717" s="349"/>
      <c r="F717" s="357"/>
      <c r="G717" s="357"/>
      <c r="H717" s="357"/>
      <c r="I717" s="357"/>
      <c r="J717" s="357"/>
      <c r="K717" s="357"/>
      <c r="L717" s="357"/>
      <c r="M717" s="357"/>
      <c r="N717" s="357"/>
      <c r="O717" s="357"/>
      <c r="P717" s="357"/>
      <c r="Q717" s="357"/>
      <c r="R717" s="357"/>
      <c r="S717" s="357"/>
      <c r="T717" s="357"/>
      <c r="U717" s="357"/>
      <c r="V717" s="357"/>
      <c r="W717" s="282"/>
      <c r="X717" s="283"/>
      <c r="Y717" s="283"/>
      <c r="Z717" s="235"/>
      <c r="AA717" s="43"/>
    </row>
    <row r="718" ht="15.75" customHeight="1">
      <c r="A718" s="343"/>
      <c r="B718" s="344"/>
      <c r="C718" s="343"/>
      <c r="D718" s="343"/>
      <c r="E718" s="344"/>
      <c r="F718" s="356"/>
      <c r="G718" s="356"/>
      <c r="H718" s="356"/>
      <c r="I718" s="356"/>
      <c r="J718" s="356"/>
      <c r="K718" s="356"/>
      <c r="L718" s="356"/>
      <c r="M718" s="356"/>
      <c r="N718" s="356"/>
      <c r="O718" s="356"/>
      <c r="P718" s="356"/>
      <c r="Q718" s="356"/>
      <c r="R718" s="356"/>
      <c r="S718" s="356"/>
      <c r="T718" s="356"/>
      <c r="U718" s="356"/>
      <c r="V718" s="356"/>
      <c r="W718" s="272"/>
      <c r="X718" s="273"/>
      <c r="Y718" s="273"/>
      <c r="Z718" s="235"/>
      <c r="AA718" s="43"/>
    </row>
    <row r="719" ht="15.75" customHeight="1">
      <c r="A719" s="348"/>
      <c r="B719" s="349"/>
      <c r="C719" s="348"/>
      <c r="D719" s="348"/>
      <c r="E719" s="349"/>
      <c r="F719" s="357"/>
      <c r="G719" s="357"/>
      <c r="H719" s="357"/>
      <c r="I719" s="357"/>
      <c r="J719" s="357"/>
      <c r="K719" s="357"/>
      <c r="L719" s="357"/>
      <c r="M719" s="357"/>
      <c r="N719" s="357"/>
      <c r="O719" s="357"/>
      <c r="P719" s="357"/>
      <c r="Q719" s="357"/>
      <c r="R719" s="357"/>
      <c r="S719" s="357"/>
      <c r="T719" s="357"/>
      <c r="U719" s="357"/>
      <c r="V719" s="357"/>
      <c r="W719" s="282"/>
      <c r="X719" s="283"/>
      <c r="Y719" s="283"/>
      <c r="Z719" s="235"/>
      <c r="AA719" s="43"/>
    </row>
    <row r="720" ht="15.75" customHeight="1">
      <c r="A720" s="343"/>
      <c r="B720" s="344"/>
      <c r="C720" s="343"/>
      <c r="D720" s="343"/>
      <c r="E720" s="344"/>
      <c r="F720" s="356"/>
      <c r="G720" s="356"/>
      <c r="H720" s="356"/>
      <c r="I720" s="356"/>
      <c r="J720" s="356"/>
      <c r="K720" s="356"/>
      <c r="L720" s="356"/>
      <c r="M720" s="356"/>
      <c r="N720" s="356"/>
      <c r="O720" s="356"/>
      <c r="P720" s="356"/>
      <c r="Q720" s="356"/>
      <c r="R720" s="356"/>
      <c r="S720" s="356"/>
      <c r="T720" s="356"/>
      <c r="U720" s="356"/>
      <c r="V720" s="356"/>
      <c r="W720" s="272"/>
      <c r="X720" s="273"/>
      <c r="Y720" s="273"/>
      <c r="Z720" s="235"/>
      <c r="AA720" s="43"/>
    </row>
    <row r="721" ht="15.75" customHeight="1">
      <c r="A721" s="348"/>
      <c r="B721" s="349"/>
      <c r="C721" s="348"/>
      <c r="D721" s="348"/>
      <c r="E721" s="349"/>
      <c r="F721" s="357"/>
      <c r="G721" s="357"/>
      <c r="H721" s="357"/>
      <c r="I721" s="357"/>
      <c r="J721" s="357"/>
      <c r="K721" s="357"/>
      <c r="L721" s="357"/>
      <c r="M721" s="357"/>
      <c r="N721" s="357"/>
      <c r="O721" s="357"/>
      <c r="P721" s="357"/>
      <c r="Q721" s="357"/>
      <c r="R721" s="357"/>
      <c r="S721" s="357"/>
      <c r="T721" s="357"/>
      <c r="U721" s="357"/>
      <c r="V721" s="357"/>
      <c r="W721" s="282"/>
      <c r="X721" s="283"/>
      <c r="Y721" s="283"/>
      <c r="Z721" s="235"/>
      <c r="AA721" s="43"/>
    </row>
    <row r="722" ht="15.75" customHeight="1">
      <c r="A722" s="343"/>
      <c r="B722" s="344"/>
      <c r="C722" s="343"/>
      <c r="D722" s="343"/>
      <c r="E722" s="344"/>
      <c r="F722" s="356"/>
      <c r="G722" s="356"/>
      <c r="H722" s="356"/>
      <c r="I722" s="356"/>
      <c r="J722" s="356"/>
      <c r="K722" s="356"/>
      <c r="L722" s="356"/>
      <c r="M722" s="356"/>
      <c r="N722" s="356"/>
      <c r="O722" s="356"/>
      <c r="P722" s="356"/>
      <c r="Q722" s="356"/>
      <c r="R722" s="356"/>
      <c r="S722" s="356"/>
      <c r="T722" s="356"/>
      <c r="U722" s="356"/>
      <c r="V722" s="356"/>
      <c r="W722" s="272"/>
      <c r="X722" s="273"/>
      <c r="Y722" s="273"/>
      <c r="Z722" s="235"/>
      <c r="AA722" s="43"/>
    </row>
    <row r="723" ht="15.75" customHeight="1">
      <c r="A723" s="348"/>
      <c r="B723" s="349"/>
      <c r="C723" s="348"/>
      <c r="D723" s="348"/>
      <c r="E723" s="349"/>
      <c r="F723" s="357"/>
      <c r="G723" s="357"/>
      <c r="H723" s="357"/>
      <c r="I723" s="357"/>
      <c r="J723" s="357"/>
      <c r="K723" s="357"/>
      <c r="L723" s="357"/>
      <c r="M723" s="357"/>
      <c r="N723" s="357"/>
      <c r="O723" s="357"/>
      <c r="P723" s="357"/>
      <c r="Q723" s="357"/>
      <c r="R723" s="357"/>
      <c r="S723" s="357"/>
      <c r="T723" s="357"/>
      <c r="U723" s="357"/>
      <c r="V723" s="357"/>
      <c r="W723" s="282"/>
      <c r="X723" s="283"/>
      <c r="Y723" s="283"/>
      <c r="Z723" s="235"/>
      <c r="AA723" s="43"/>
    </row>
    <row r="724" ht="15.75" customHeight="1">
      <c r="A724" s="343"/>
      <c r="B724" s="344"/>
      <c r="C724" s="343"/>
      <c r="D724" s="343"/>
      <c r="E724" s="344"/>
      <c r="F724" s="356"/>
      <c r="G724" s="356"/>
      <c r="H724" s="356"/>
      <c r="I724" s="356"/>
      <c r="J724" s="356"/>
      <c r="K724" s="356"/>
      <c r="L724" s="356"/>
      <c r="M724" s="356"/>
      <c r="N724" s="356"/>
      <c r="O724" s="356"/>
      <c r="P724" s="356"/>
      <c r="Q724" s="356"/>
      <c r="R724" s="356"/>
      <c r="S724" s="356"/>
      <c r="T724" s="356"/>
      <c r="U724" s="356"/>
      <c r="V724" s="356"/>
      <c r="W724" s="272"/>
      <c r="X724" s="273"/>
      <c r="Y724" s="273"/>
      <c r="Z724" s="235"/>
      <c r="AA724" s="43"/>
    </row>
    <row r="725" ht="15.75" customHeight="1">
      <c r="A725" s="348"/>
      <c r="B725" s="349"/>
      <c r="C725" s="348"/>
      <c r="D725" s="348"/>
      <c r="E725" s="349"/>
      <c r="F725" s="357"/>
      <c r="G725" s="357"/>
      <c r="H725" s="357"/>
      <c r="I725" s="357"/>
      <c r="J725" s="357"/>
      <c r="K725" s="357"/>
      <c r="L725" s="357"/>
      <c r="M725" s="357"/>
      <c r="N725" s="357"/>
      <c r="O725" s="357"/>
      <c r="P725" s="357"/>
      <c r="Q725" s="357"/>
      <c r="R725" s="357"/>
      <c r="S725" s="357"/>
      <c r="T725" s="357"/>
      <c r="U725" s="357"/>
      <c r="V725" s="357"/>
      <c r="W725" s="282"/>
      <c r="X725" s="283"/>
      <c r="Y725" s="283"/>
      <c r="Z725" s="235"/>
      <c r="AA725" s="43"/>
    </row>
    <row r="726" ht="15.75" customHeight="1">
      <c r="A726" s="343"/>
      <c r="B726" s="344"/>
      <c r="C726" s="343"/>
      <c r="D726" s="343"/>
      <c r="E726" s="344"/>
      <c r="F726" s="356"/>
      <c r="G726" s="356"/>
      <c r="H726" s="356"/>
      <c r="I726" s="356"/>
      <c r="J726" s="356"/>
      <c r="K726" s="356"/>
      <c r="L726" s="356"/>
      <c r="M726" s="356"/>
      <c r="N726" s="356"/>
      <c r="O726" s="356"/>
      <c r="P726" s="356"/>
      <c r="Q726" s="356"/>
      <c r="R726" s="356"/>
      <c r="S726" s="356"/>
      <c r="T726" s="356"/>
      <c r="U726" s="356"/>
      <c r="V726" s="356"/>
      <c r="W726" s="272"/>
      <c r="X726" s="273"/>
      <c r="Y726" s="273"/>
      <c r="Z726" s="235"/>
      <c r="AA726" s="43"/>
    </row>
    <row r="727" ht="15.75" customHeight="1">
      <c r="A727" s="348"/>
      <c r="B727" s="349"/>
      <c r="C727" s="348"/>
      <c r="D727" s="348"/>
      <c r="E727" s="349"/>
      <c r="F727" s="357"/>
      <c r="G727" s="357"/>
      <c r="H727" s="357"/>
      <c r="I727" s="357"/>
      <c r="J727" s="357"/>
      <c r="K727" s="357"/>
      <c r="L727" s="357"/>
      <c r="M727" s="357"/>
      <c r="N727" s="357"/>
      <c r="O727" s="357"/>
      <c r="P727" s="357"/>
      <c r="Q727" s="357"/>
      <c r="R727" s="357"/>
      <c r="S727" s="357"/>
      <c r="T727" s="357"/>
      <c r="U727" s="357"/>
      <c r="V727" s="357"/>
      <c r="W727" s="282"/>
      <c r="X727" s="283"/>
      <c r="Y727" s="283"/>
      <c r="Z727" s="235"/>
      <c r="AA727" s="43"/>
    </row>
    <row r="728" ht="15.75" customHeight="1">
      <c r="A728" s="343"/>
      <c r="B728" s="344"/>
      <c r="C728" s="343"/>
      <c r="D728" s="343"/>
      <c r="E728" s="344"/>
      <c r="F728" s="356"/>
      <c r="G728" s="356"/>
      <c r="H728" s="356"/>
      <c r="I728" s="356"/>
      <c r="J728" s="356"/>
      <c r="K728" s="356"/>
      <c r="L728" s="356"/>
      <c r="M728" s="356"/>
      <c r="N728" s="356"/>
      <c r="O728" s="356"/>
      <c r="P728" s="356"/>
      <c r="Q728" s="356"/>
      <c r="R728" s="356"/>
      <c r="S728" s="356"/>
      <c r="T728" s="356"/>
      <c r="U728" s="356"/>
      <c r="V728" s="356"/>
      <c r="W728" s="272"/>
      <c r="X728" s="273"/>
      <c r="Y728" s="273"/>
      <c r="Z728" s="235"/>
      <c r="AA728" s="43"/>
    </row>
    <row r="729" ht="15.75" customHeight="1">
      <c r="A729" s="348"/>
      <c r="B729" s="349"/>
      <c r="C729" s="348"/>
      <c r="D729" s="348"/>
      <c r="E729" s="349"/>
      <c r="F729" s="357"/>
      <c r="G729" s="357"/>
      <c r="H729" s="357"/>
      <c r="I729" s="357"/>
      <c r="J729" s="357"/>
      <c r="K729" s="357"/>
      <c r="L729" s="357"/>
      <c r="M729" s="357"/>
      <c r="N729" s="357"/>
      <c r="O729" s="357"/>
      <c r="P729" s="357"/>
      <c r="Q729" s="357"/>
      <c r="R729" s="357"/>
      <c r="S729" s="357"/>
      <c r="T729" s="357"/>
      <c r="U729" s="357"/>
      <c r="V729" s="357"/>
      <c r="W729" s="282"/>
      <c r="X729" s="283"/>
      <c r="Y729" s="283"/>
      <c r="Z729" s="235"/>
      <c r="AA729" s="43"/>
    </row>
    <row r="730" ht="15.75" customHeight="1">
      <c r="A730" s="343"/>
      <c r="B730" s="344"/>
      <c r="C730" s="343"/>
      <c r="D730" s="343"/>
      <c r="E730" s="344"/>
      <c r="F730" s="356"/>
      <c r="G730" s="356"/>
      <c r="H730" s="356"/>
      <c r="I730" s="356"/>
      <c r="J730" s="356"/>
      <c r="K730" s="356"/>
      <c r="L730" s="356"/>
      <c r="M730" s="356"/>
      <c r="N730" s="356"/>
      <c r="O730" s="356"/>
      <c r="P730" s="356"/>
      <c r="Q730" s="356"/>
      <c r="R730" s="356"/>
      <c r="S730" s="356"/>
      <c r="T730" s="356"/>
      <c r="U730" s="356"/>
      <c r="V730" s="356"/>
      <c r="W730" s="272"/>
      <c r="X730" s="273"/>
      <c r="Y730" s="273"/>
      <c r="Z730" s="235"/>
      <c r="AA730" s="43"/>
    </row>
    <row r="731" ht="15.75" customHeight="1">
      <c r="A731" s="348"/>
      <c r="B731" s="349"/>
      <c r="C731" s="348"/>
      <c r="D731" s="348"/>
      <c r="E731" s="349"/>
      <c r="F731" s="357"/>
      <c r="G731" s="357"/>
      <c r="H731" s="357"/>
      <c r="I731" s="357"/>
      <c r="J731" s="357"/>
      <c r="K731" s="357"/>
      <c r="L731" s="357"/>
      <c r="M731" s="357"/>
      <c r="N731" s="357"/>
      <c r="O731" s="357"/>
      <c r="P731" s="357"/>
      <c r="Q731" s="357"/>
      <c r="R731" s="357"/>
      <c r="S731" s="357"/>
      <c r="T731" s="357"/>
      <c r="U731" s="357"/>
      <c r="V731" s="357"/>
      <c r="W731" s="282"/>
      <c r="X731" s="283"/>
      <c r="Y731" s="283"/>
      <c r="Z731" s="235"/>
      <c r="AA731" s="43"/>
    </row>
    <row r="732" ht="15.75" customHeight="1">
      <c r="A732" s="360"/>
      <c r="B732" s="43"/>
      <c r="C732" s="43"/>
      <c r="D732" s="43"/>
      <c r="E732" s="43"/>
      <c r="F732" s="361"/>
      <c r="G732" s="361"/>
      <c r="H732" s="361"/>
      <c r="I732" s="361"/>
      <c r="J732" s="361"/>
      <c r="K732" s="361"/>
      <c r="L732" s="361"/>
      <c r="M732" s="361"/>
      <c r="N732" s="361"/>
      <c r="O732" s="361"/>
      <c r="P732" s="361"/>
      <c r="Q732" s="361"/>
      <c r="R732" s="361"/>
      <c r="S732" s="361"/>
      <c r="T732" s="361"/>
      <c r="U732" s="361"/>
      <c r="V732" s="361"/>
      <c r="W732" s="362"/>
      <c r="X732" s="43"/>
      <c r="Y732" s="43"/>
      <c r="Z732" s="43"/>
      <c r="AA732" s="43"/>
    </row>
    <row r="733" ht="15.75" customHeight="1">
      <c r="A733" s="360"/>
      <c r="B733" s="43"/>
      <c r="C733" s="43"/>
      <c r="D733" s="43"/>
      <c r="E733" s="43"/>
      <c r="F733" s="361"/>
      <c r="G733" s="361"/>
      <c r="H733" s="361"/>
      <c r="I733" s="361"/>
      <c r="J733" s="361"/>
      <c r="K733" s="361"/>
      <c r="L733" s="361"/>
      <c r="M733" s="361"/>
      <c r="N733" s="361"/>
      <c r="O733" s="361"/>
      <c r="P733" s="361"/>
      <c r="Q733" s="361"/>
      <c r="R733" s="361"/>
      <c r="S733" s="361"/>
      <c r="T733" s="361"/>
      <c r="U733" s="361"/>
      <c r="V733" s="361"/>
      <c r="W733" s="362"/>
      <c r="X733" s="43"/>
      <c r="Y733" s="43"/>
      <c r="Z733" s="43"/>
      <c r="AA733" s="43"/>
    </row>
    <row r="734" ht="15.75" customHeight="1">
      <c r="A734" s="360"/>
      <c r="B734" s="43"/>
      <c r="C734" s="43"/>
      <c r="D734" s="43"/>
      <c r="E734" s="43"/>
      <c r="F734" s="361"/>
      <c r="G734" s="361"/>
      <c r="H734" s="361"/>
      <c r="I734" s="361"/>
      <c r="J734" s="361"/>
      <c r="K734" s="361"/>
      <c r="L734" s="361"/>
      <c r="M734" s="361"/>
      <c r="N734" s="361"/>
      <c r="O734" s="361"/>
      <c r="P734" s="361"/>
      <c r="Q734" s="361"/>
      <c r="R734" s="361"/>
      <c r="S734" s="361"/>
      <c r="T734" s="361"/>
      <c r="U734" s="361"/>
      <c r="V734" s="361"/>
      <c r="W734" s="362"/>
      <c r="X734" s="43"/>
      <c r="Y734" s="43"/>
      <c r="Z734" s="43"/>
      <c r="AA734" s="43"/>
    </row>
    <row r="735" ht="15.75" customHeight="1">
      <c r="A735" s="360"/>
      <c r="B735" s="43"/>
      <c r="C735" s="43"/>
      <c r="D735" s="43"/>
      <c r="E735" s="43"/>
      <c r="F735" s="361"/>
      <c r="G735" s="361"/>
      <c r="H735" s="361"/>
      <c r="I735" s="361"/>
      <c r="J735" s="361"/>
      <c r="K735" s="361"/>
      <c r="L735" s="361"/>
      <c r="M735" s="361"/>
      <c r="N735" s="361"/>
      <c r="O735" s="361"/>
      <c r="P735" s="361"/>
      <c r="Q735" s="361"/>
      <c r="R735" s="361"/>
      <c r="S735" s="361"/>
      <c r="T735" s="361"/>
      <c r="U735" s="361"/>
      <c r="V735" s="361"/>
      <c r="W735" s="362"/>
      <c r="X735" s="43"/>
      <c r="Y735" s="43"/>
      <c r="Z735" s="43"/>
      <c r="AA735" s="43"/>
    </row>
    <row r="736" ht="15.75" customHeight="1">
      <c r="A736" s="360"/>
      <c r="B736" s="43"/>
      <c r="C736" s="43"/>
      <c r="D736" s="43"/>
      <c r="E736" s="43"/>
      <c r="F736" s="361"/>
      <c r="G736" s="361"/>
      <c r="H736" s="361"/>
      <c r="I736" s="361"/>
      <c r="J736" s="361"/>
      <c r="K736" s="361"/>
      <c r="L736" s="361"/>
      <c r="M736" s="361"/>
      <c r="N736" s="361"/>
      <c r="O736" s="361"/>
      <c r="P736" s="361"/>
      <c r="Q736" s="361"/>
      <c r="R736" s="361"/>
      <c r="S736" s="361"/>
      <c r="T736" s="361"/>
      <c r="U736" s="361"/>
      <c r="V736" s="361"/>
      <c r="W736" s="362"/>
      <c r="X736" s="43"/>
      <c r="Y736" s="43"/>
      <c r="Z736" s="43"/>
      <c r="AA736" s="43"/>
    </row>
    <row r="737" ht="15.75" customHeight="1">
      <c r="A737" s="360"/>
      <c r="B737" s="43"/>
      <c r="C737" s="43"/>
      <c r="D737" s="43"/>
      <c r="E737" s="43"/>
      <c r="F737" s="361"/>
      <c r="G737" s="361"/>
      <c r="H737" s="361"/>
      <c r="I737" s="361"/>
      <c r="J737" s="361"/>
      <c r="K737" s="361"/>
      <c r="L737" s="361"/>
      <c r="M737" s="361"/>
      <c r="N737" s="361"/>
      <c r="O737" s="361"/>
      <c r="P737" s="361"/>
      <c r="Q737" s="361"/>
      <c r="R737" s="361"/>
      <c r="S737" s="361"/>
      <c r="T737" s="361"/>
      <c r="U737" s="361"/>
      <c r="V737" s="361"/>
      <c r="W737" s="362"/>
      <c r="X737" s="43"/>
      <c r="Y737" s="43"/>
      <c r="Z737" s="43"/>
      <c r="AA737" s="43"/>
    </row>
    <row r="738" ht="15.75" customHeight="1">
      <c r="A738" s="360"/>
      <c r="B738" s="43"/>
      <c r="C738" s="43"/>
      <c r="D738" s="43"/>
      <c r="E738" s="43"/>
      <c r="F738" s="361"/>
      <c r="G738" s="361"/>
      <c r="H738" s="361"/>
      <c r="I738" s="361"/>
      <c r="J738" s="361"/>
      <c r="K738" s="361"/>
      <c r="L738" s="361"/>
      <c r="M738" s="361"/>
      <c r="N738" s="361"/>
      <c r="O738" s="361"/>
      <c r="P738" s="361"/>
      <c r="Q738" s="361"/>
      <c r="R738" s="361"/>
      <c r="S738" s="361"/>
      <c r="T738" s="361"/>
      <c r="U738" s="361"/>
      <c r="V738" s="361"/>
      <c r="W738" s="362"/>
      <c r="X738" s="43"/>
      <c r="Y738" s="43"/>
      <c r="Z738" s="43"/>
      <c r="AA738" s="43"/>
    </row>
    <row r="739" ht="15.75" customHeight="1">
      <c r="A739" s="360"/>
      <c r="B739" s="43"/>
      <c r="C739" s="43"/>
      <c r="D739" s="43"/>
      <c r="E739" s="43"/>
      <c r="F739" s="361"/>
      <c r="G739" s="361"/>
      <c r="H739" s="361"/>
      <c r="I739" s="361"/>
      <c r="J739" s="361"/>
      <c r="K739" s="361"/>
      <c r="L739" s="361"/>
      <c r="M739" s="361"/>
      <c r="N739" s="361"/>
      <c r="O739" s="361"/>
      <c r="P739" s="361"/>
      <c r="Q739" s="361"/>
      <c r="R739" s="361"/>
      <c r="S739" s="361"/>
      <c r="T739" s="361"/>
      <c r="U739" s="361"/>
      <c r="V739" s="361"/>
      <c r="W739" s="362"/>
      <c r="X739" s="43"/>
      <c r="Y739" s="43"/>
      <c r="Z739" s="43"/>
      <c r="AA739" s="43"/>
    </row>
    <row r="740" ht="15.75" customHeight="1">
      <c r="A740" s="360"/>
      <c r="B740" s="43"/>
      <c r="C740" s="43"/>
      <c r="D740" s="43"/>
      <c r="E740" s="43"/>
      <c r="F740" s="361"/>
      <c r="G740" s="361"/>
      <c r="H740" s="361"/>
      <c r="I740" s="361"/>
      <c r="J740" s="361"/>
      <c r="K740" s="361"/>
      <c r="L740" s="361"/>
      <c r="M740" s="361"/>
      <c r="N740" s="361"/>
      <c r="O740" s="361"/>
      <c r="P740" s="361"/>
      <c r="Q740" s="361"/>
      <c r="R740" s="361"/>
      <c r="S740" s="361"/>
      <c r="T740" s="361"/>
      <c r="U740" s="361"/>
      <c r="V740" s="361"/>
      <c r="W740" s="362"/>
      <c r="X740" s="43"/>
      <c r="Y740" s="43"/>
      <c r="Z740" s="43"/>
      <c r="AA740" s="43"/>
    </row>
    <row r="741" ht="15.75" customHeight="1">
      <c r="A741" s="360"/>
      <c r="B741" s="43"/>
      <c r="C741" s="43"/>
      <c r="D741" s="43"/>
      <c r="E741" s="43"/>
      <c r="F741" s="361"/>
      <c r="G741" s="361"/>
      <c r="H741" s="361"/>
      <c r="I741" s="361"/>
      <c r="J741" s="361"/>
      <c r="K741" s="361"/>
      <c r="L741" s="361"/>
      <c r="M741" s="361"/>
      <c r="N741" s="361"/>
      <c r="O741" s="361"/>
      <c r="P741" s="361"/>
      <c r="Q741" s="361"/>
      <c r="R741" s="361"/>
      <c r="S741" s="361"/>
      <c r="T741" s="361"/>
      <c r="U741" s="361"/>
      <c r="V741" s="361"/>
      <c r="W741" s="362"/>
      <c r="X741" s="43"/>
      <c r="Y741" s="43"/>
      <c r="Z741" s="43"/>
      <c r="AA741" s="43"/>
    </row>
    <row r="742" ht="15.75" customHeight="1">
      <c r="A742" s="360"/>
      <c r="B742" s="43"/>
      <c r="C742" s="43"/>
      <c r="D742" s="43"/>
      <c r="E742" s="43"/>
      <c r="F742" s="361"/>
      <c r="G742" s="361"/>
      <c r="H742" s="361"/>
      <c r="I742" s="361"/>
      <c r="J742" s="361"/>
      <c r="K742" s="361"/>
      <c r="L742" s="361"/>
      <c r="M742" s="361"/>
      <c r="N742" s="361"/>
      <c r="O742" s="361"/>
      <c r="P742" s="361"/>
      <c r="Q742" s="361"/>
      <c r="R742" s="361"/>
      <c r="S742" s="361"/>
      <c r="T742" s="361"/>
      <c r="U742" s="361"/>
      <c r="V742" s="361"/>
      <c r="W742" s="362"/>
      <c r="X742" s="43"/>
      <c r="Y742" s="43"/>
      <c r="Z742" s="43"/>
      <c r="AA742" s="43"/>
    </row>
    <row r="743" ht="15.75" customHeight="1">
      <c r="A743" s="360"/>
      <c r="B743" s="43"/>
      <c r="C743" s="43"/>
      <c r="D743" s="43"/>
      <c r="E743" s="43"/>
      <c r="F743" s="361"/>
      <c r="G743" s="361"/>
      <c r="H743" s="361"/>
      <c r="I743" s="361"/>
      <c r="J743" s="361"/>
      <c r="K743" s="361"/>
      <c r="L743" s="361"/>
      <c r="M743" s="361"/>
      <c r="N743" s="361"/>
      <c r="O743" s="361"/>
      <c r="P743" s="361"/>
      <c r="Q743" s="361"/>
      <c r="R743" s="361"/>
      <c r="S743" s="361"/>
      <c r="T743" s="361"/>
      <c r="U743" s="361"/>
      <c r="V743" s="361"/>
      <c r="W743" s="362"/>
      <c r="X743" s="43"/>
      <c r="Y743" s="43"/>
      <c r="Z743" s="43"/>
      <c r="AA743" s="43"/>
    </row>
    <row r="744" ht="15.75" customHeight="1">
      <c r="A744" s="360"/>
      <c r="B744" s="43"/>
      <c r="C744" s="43"/>
      <c r="D744" s="43"/>
      <c r="E744" s="43"/>
      <c r="F744" s="361"/>
      <c r="G744" s="361"/>
      <c r="H744" s="361"/>
      <c r="I744" s="361"/>
      <c r="J744" s="361"/>
      <c r="K744" s="361"/>
      <c r="L744" s="361"/>
      <c r="M744" s="361"/>
      <c r="N744" s="361"/>
      <c r="O744" s="361"/>
      <c r="P744" s="361"/>
      <c r="Q744" s="361"/>
      <c r="R744" s="361"/>
      <c r="S744" s="361"/>
      <c r="T744" s="361"/>
      <c r="U744" s="361"/>
      <c r="V744" s="361"/>
      <c r="W744" s="362"/>
      <c r="X744" s="43"/>
      <c r="Y744" s="43"/>
      <c r="Z744" s="43"/>
      <c r="AA744" s="43"/>
    </row>
    <row r="745" ht="15.75" customHeight="1">
      <c r="A745" s="360"/>
      <c r="B745" s="43"/>
      <c r="C745" s="43"/>
      <c r="D745" s="43"/>
      <c r="E745" s="43"/>
      <c r="F745" s="361"/>
      <c r="G745" s="361"/>
      <c r="H745" s="361"/>
      <c r="I745" s="361"/>
      <c r="J745" s="361"/>
      <c r="K745" s="361"/>
      <c r="L745" s="361"/>
      <c r="M745" s="361"/>
      <c r="N745" s="361"/>
      <c r="O745" s="361"/>
      <c r="P745" s="361"/>
      <c r="Q745" s="361"/>
      <c r="R745" s="361"/>
      <c r="S745" s="361"/>
      <c r="T745" s="361"/>
      <c r="U745" s="361"/>
      <c r="V745" s="361"/>
      <c r="W745" s="362"/>
      <c r="X745" s="43"/>
      <c r="Y745" s="43"/>
      <c r="Z745" s="43"/>
      <c r="AA745" s="43"/>
    </row>
    <row r="746" ht="15.75" customHeight="1">
      <c r="A746" s="360"/>
      <c r="B746" s="43"/>
      <c r="C746" s="43"/>
      <c r="D746" s="43"/>
      <c r="E746" s="43"/>
      <c r="F746" s="361"/>
      <c r="G746" s="361"/>
      <c r="H746" s="361"/>
      <c r="I746" s="361"/>
      <c r="J746" s="361"/>
      <c r="K746" s="361"/>
      <c r="L746" s="361"/>
      <c r="M746" s="361"/>
      <c r="N746" s="361"/>
      <c r="O746" s="361"/>
      <c r="P746" s="361"/>
      <c r="Q746" s="361"/>
      <c r="R746" s="361"/>
      <c r="S746" s="361"/>
      <c r="T746" s="361"/>
      <c r="U746" s="361"/>
      <c r="V746" s="361"/>
      <c r="W746" s="362"/>
      <c r="X746" s="43"/>
      <c r="Y746" s="43"/>
      <c r="Z746" s="43"/>
      <c r="AA746" s="43"/>
    </row>
    <row r="747" ht="15.75" customHeight="1">
      <c r="A747" s="360"/>
      <c r="B747" s="43"/>
      <c r="C747" s="43"/>
      <c r="D747" s="43"/>
      <c r="E747" s="43"/>
      <c r="F747" s="361"/>
      <c r="G747" s="361"/>
      <c r="H747" s="361"/>
      <c r="I747" s="361"/>
      <c r="J747" s="361"/>
      <c r="K747" s="361"/>
      <c r="L747" s="361"/>
      <c r="M747" s="361"/>
      <c r="N747" s="361"/>
      <c r="O747" s="361"/>
      <c r="P747" s="361"/>
      <c r="Q747" s="361"/>
      <c r="R747" s="361"/>
      <c r="S747" s="361"/>
      <c r="T747" s="361"/>
      <c r="U747" s="361"/>
      <c r="V747" s="361"/>
      <c r="W747" s="362"/>
      <c r="X747" s="43"/>
      <c r="Y747" s="43"/>
      <c r="Z747" s="43"/>
      <c r="AA747" s="43"/>
    </row>
    <row r="748" ht="15.75" customHeight="1">
      <c r="A748" s="360"/>
      <c r="B748" s="43"/>
      <c r="C748" s="43"/>
      <c r="D748" s="43"/>
      <c r="E748" s="43"/>
      <c r="F748" s="361"/>
      <c r="G748" s="361"/>
      <c r="H748" s="361"/>
      <c r="I748" s="361"/>
      <c r="J748" s="361"/>
      <c r="K748" s="361"/>
      <c r="L748" s="361"/>
      <c r="M748" s="361"/>
      <c r="N748" s="361"/>
      <c r="O748" s="361"/>
      <c r="P748" s="361"/>
      <c r="Q748" s="361"/>
      <c r="R748" s="361"/>
      <c r="S748" s="361"/>
      <c r="T748" s="361"/>
      <c r="U748" s="361"/>
      <c r="V748" s="361"/>
      <c r="W748" s="362"/>
      <c r="X748" s="43"/>
      <c r="Y748" s="43"/>
      <c r="Z748" s="43"/>
      <c r="AA748" s="43"/>
    </row>
    <row r="749" ht="15.75" customHeight="1">
      <c r="A749" s="360"/>
      <c r="B749" s="43"/>
      <c r="C749" s="43"/>
      <c r="D749" s="43"/>
      <c r="E749" s="43"/>
      <c r="F749" s="361"/>
      <c r="G749" s="361"/>
      <c r="H749" s="361"/>
      <c r="I749" s="361"/>
      <c r="J749" s="361"/>
      <c r="K749" s="361"/>
      <c r="L749" s="361"/>
      <c r="M749" s="361"/>
      <c r="N749" s="361"/>
      <c r="O749" s="361"/>
      <c r="P749" s="361"/>
      <c r="Q749" s="361"/>
      <c r="R749" s="361"/>
      <c r="S749" s="361"/>
      <c r="T749" s="361"/>
      <c r="U749" s="361"/>
      <c r="V749" s="361"/>
      <c r="W749" s="362"/>
      <c r="X749" s="43"/>
      <c r="Y749" s="43"/>
      <c r="Z749" s="43"/>
      <c r="AA749" s="43"/>
    </row>
    <row r="750" ht="15.75" customHeight="1">
      <c r="A750" s="360"/>
      <c r="B750" s="43"/>
      <c r="C750" s="43"/>
      <c r="D750" s="43"/>
      <c r="E750" s="43"/>
      <c r="F750" s="361"/>
      <c r="G750" s="361"/>
      <c r="H750" s="361"/>
      <c r="I750" s="361"/>
      <c r="J750" s="361"/>
      <c r="K750" s="361"/>
      <c r="L750" s="361"/>
      <c r="M750" s="361"/>
      <c r="N750" s="361"/>
      <c r="O750" s="361"/>
      <c r="P750" s="361"/>
      <c r="Q750" s="361"/>
      <c r="R750" s="361"/>
      <c r="S750" s="361"/>
      <c r="T750" s="361"/>
      <c r="U750" s="361"/>
      <c r="V750" s="361"/>
      <c r="W750" s="362"/>
      <c r="X750" s="43"/>
      <c r="Y750" s="43"/>
      <c r="Z750" s="43"/>
      <c r="AA750" s="43"/>
    </row>
    <row r="751" ht="15.75" customHeight="1">
      <c r="A751" s="360"/>
      <c r="B751" s="43"/>
      <c r="C751" s="43"/>
      <c r="D751" s="43"/>
      <c r="E751" s="43"/>
      <c r="F751" s="361"/>
      <c r="G751" s="361"/>
      <c r="H751" s="361"/>
      <c r="I751" s="361"/>
      <c r="J751" s="361"/>
      <c r="K751" s="361"/>
      <c r="L751" s="361"/>
      <c r="M751" s="361"/>
      <c r="N751" s="361"/>
      <c r="O751" s="361"/>
      <c r="P751" s="361"/>
      <c r="Q751" s="361"/>
      <c r="R751" s="361"/>
      <c r="S751" s="361"/>
      <c r="T751" s="361"/>
      <c r="U751" s="361"/>
      <c r="V751" s="361"/>
      <c r="W751" s="362"/>
      <c r="X751" s="43"/>
      <c r="Y751" s="43"/>
      <c r="Z751" s="43"/>
      <c r="AA751" s="43"/>
    </row>
    <row r="752" ht="15.75" customHeight="1">
      <c r="A752" s="360"/>
      <c r="B752" s="43"/>
      <c r="C752" s="43"/>
      <c r="D752" s="43"/>
      <c r="E752" s="43"/>
      <c r="F752" s="361"/>
      <c r="G752" s="361"/>
      <c r="H752" s="361"/>
      <c r="I752" s="361"/>
      <c r="J752" s="361"/>
      <c r="K752" s="361"/>
      <c r="L752" s="361"/>
      <c r="M752" s="361"/>
      <c r="N752" s="361"/>
      <c r="O752" s="361"/>
      <c r="P752" s="361"/>
      <c r="Q752" s="361"/>
      <c r="R752" s="361"/>
      <c r="S752" s="361"/>
      <c r="T752" s="361"/>
      <c r="U752" s="361"/>
      <c r="V752" s="361"/>
      <c r="W752" s="362"/>
      <c r="X752" s="43"/>
      <c r="Y752" s="43"/>
      <c r="Z752" s="43"/>
      <c r="AA752" s="43"/>
    </row>
    <row r="753" ht="15.75" customHeight="1">
      <c r="A753" s="360"/>
      <c r="B753" s="43"/>
      <c r="C753" s="43"/>
      <c r="D753" s="43"/>
      <c r="E753" s="43"/>
      <c r="F753" s="361"/>
      <c r="G753" s="361"/>
      <c r="H753" s="361"/>
      <c r="I753" s="361"/>
      <c r="J753" s="361"/>
      <c r="K753" s="361"/>
      <c r="L753" s="361"/>
      <c r="M753" s="361"/>
      <c r="N753" s="361"/>
      <c r="O753" s="361"/>
      <c r="P753" s="361"/>
      <c r="Q753" s="361"/>
      <c r="R753" s="361"/>
      <c r="S753" s="361"/>
      <c r="T753" s="361"/>
      <c r="U753" s="361"/>
      <c r="V753" s="361"/>
      <c r="W753" s="362"/>
      <c r="X753" s="43"/>
      <c r="Y753" s="43"/>
      <c r="Z753" s="43"/>
      <c r="AA753" s="43"/>
    </row>
    <row r="754" ht="15.75" customHeight="1">
      <c r="A754" s="360"/>
      <c r="B754" s="43"/>
      <c r="C754" s="43"/>
      <c r="D754" s="43"/>
      <c r="E754" s="43"/>
      <c r="F754" s="361"/>
      <c r="G754" s="361"/>
      <c r="H754" s="361"/>
      <c r="I754" s="361"/>
      <c r="J754" s="361"/>
      <c r="K754" s="361"/>
      <c r="L754" s="361"/>
      <c r="M754" s="361"/>
      <c r="N754" s="361"/>
      <c r="O754" s="361"/>
      <c r="P754" s="361"/>
      <c r="Q754" s="361"/>
      <c r="R754" s="361"/>
      <c r="S754" s="361"/>
      <c r="T754" s="361"/>
      <c r="U754" s="361"/>
      <c r="V754" s="361"/>
      <c r="W754" s="362"/>
      <c r="X754" s="43"/>
      <c r="Y754" s="43"/>
      <c r="Z754" s="43"/>
      <c r="AA754" s="43"/>
    </row>
    <row r="755" ht="15.75" customHeight="1">
      <c r="A755" s="360"/>
      <c r="B755" s="43"/>
      <c r="C755" s="43"/>
      <c r="D755" s="43"/>
      <c r="E755" s="43"/>
      <c r="F755" s="361"/>
      <c r="G755" s="361"/>
      <c r="H755" s="361"/>
      <c r="I755" s="361"/>
      <c r="J755" s="361"/>
      <c r="K755" s="361"/>
      <c r="L755" s="361"/>
      <c r="M755" s="361"/>
      <c r="N755" s="361"/>
      <c r="O755" s="361"/>
      <c r="P755" s="361"/>
      <c r="Q755" s="361"/>
      <c r="R755" s="361"/>
      <c r="S755" s="361"/>
      <c r="T755" s="361"/>
      <c r="U755" s="361"/>
      <c r="V755" s="361"/>
      <c r="W755" s="362"/>
      <c r="X755" s="43"/>
      <c r="Y755" s="43"/>
      <c r="Z755" s="43"/>
      <c r="AA755" s="43"/>
    </row>
    <row r="756" ht="15.75" customHeight="1">
      <c r="A756" s="360"/>
      <c r="B756" s="43"/>
      <c r="C756" s="43"/>
      <c r="D756" s="43"/>
      <c r="E756" s="43"/>
      <c r="F756" s="361"/>
      <c r="G756" s="361"/>
      <c r="H756" s="361"/>
      <c r="I756" s="361"/>
      <c r="J756" s="361"/>
      <c r="K756" s="361"/>
      <c r="L756" s="361"/>
      <c r="M756" s="361"/>
      <c r="N756" s="361"/>
      <c r="O756" s="361"/>
      <c r="P756" s="361"/>
      <c r="Q756" s="361"/>
      <c r="R756" s="361"/>
      <c r="S756" s="361"/>
      <c r="T756" s="361"/>
      <c r="U756" s="361"/>
      <c r="V756" s="361"/>
      <c r="W756" s="362"/>
      <c r="X756" s="43"/>
      <c r="Y756" s="43"/>
      <c r="Z756" s="43"/>
      <c r="AA756" s="43"/>
    </row>
    <row r="757" ht="15.75" customHeight="1">
      <c r="A757" s="360"/>
      <c r="B757" s="43"/>
      <c r="C757" s="43"/>
      <c r="D757" s="43"/>
      <c r="E757" s="43"/>
      <c r="F757" s="361"/>
      <c r="G757" s="361"/>
      <c r="H757" s="361"/>
      <c r="I757" s="361"/>
      <c r="J757" s="361"/>
      <c r="K757" s="361"/>
      <c r="L757" s="361"/>
      <c r="M757" s="361"/>
      <c r="N757" s="361"/>
      <c r="O757" s="361"/>
      <c r="P757" s="361"/>
      <c r="Q757" s="361"/>
      <c r="R757" s="361"/>
      <c r="S757" s="361"/>
      <c r="T757" s="361"/>
      <c r="U757" s="361"/>
      <c r="V757" s="361"/>
      <c r="W757" s="362"/>
      <c r="X757" s="43"/>
      <c r="Y757" s="43"/>
      <c r="Z757" s="43"/>
      <c r="AA757" s="43"/>
    </row>
    <row r="758" ht="15.75" customHeight="1">
      <c r="A758" s="360"/>
      <c r="B758" s="43"/>
      <c r="C758" s="43"/>
      <c r="D758" s="43"/>
      <c r="E758" s="43"/>
      <c r="F758" s="361"/>
      <c r="G758" s="361"/>
      <c r="H758" s="361"/>
      <c r="I758" s="361"/>
      <c r="J758" s="361"/>
      <c r="K758" s="361"/>
      <c r="L758" s="361"/>
      <c r="M758" s="361"/>
      <c r="N758" s="361"/>
      <c r="O758" s="361"/>
      <c r="P758" s="361"/>
      <c r="Q758" s="361"/>
      <c r="R758" s="361"/>
      <c r="S758" s="361"/>
      <c r="T758" s="361"/>
      <c r="U758" s="361"/>
      <c r="V758" s="361"/>
      <c r="W758" s="362"/>
      <c r="X758" s="43"/>
      <c r="Y758" s="43"/>
      <c r="Z758" s="43"/>
      <c r="AA758" s="43"/>
    </row>
    <row r="759" ht="15.75" customHeight="1">
      <c r="A759" s="360"/>
      <c r="B759" s="43"/>
      <c r="C759" s="43"/>
      <c r="D759" s="43"/>
      <c r="E759" s="43"/>
      <c r="F759" s="361"/>
      <c r="G759" s="361"/>
      <c r="H759" s="361"/>
      <c r="I759" s="361"/>
      <c r="J759" s="361"/>
      <c r="K759" s="361"/>
      <c r="L759" s="361"/>
      <c r="M759" s="361"/>
      <c r="N759" s="361"/>
      <c r="O759" s="361"/>
      <c r="P759" s="361"/>
      <c r="Q759" s="361"/>
      <c r="R759" s="361"/>
      <c r="S759" s="361"/>
      <c r="T759" s="361"/>
      <c r="U759" s="361"/>
      <c r="V759" s="361"/>
      <c r="W759" s="362"/>
      <c r="X759" s="43"/>
      <c r="Y759" s="43"/>
      <c r="Z759" s="43"/>
      <c r="AA759" s="43"/>
    </row>
    <row r="760" ht="15.75" customHeight="1">
      <c r="A760" s="360"/>
      <c r="B760" s="43"/>
      <c r="C760" s="43"/>
      <c r="D760" s="43"/>
      <c r="E760" s="43"/>
      <c r="F760" s="361"/>
      <c r="G760" s="361"/>
      <c r="H760" s="361"/>
      <c r="I760" s="361"/>
      <c r="J760" s="361"/>
      <c r="K760" s="361"/>
      <c r="L760" s="361"/>
      <c r="M760" s="361"/>
      <c r="N760" s="361"/>
      <c r="O760" s="361"/>
      <c r="P760" s="361"/>
      <c r="Q760" s="361"/>
      <c r="R760" s="361"/>
      <c r="S760" s="361"/>
      <c r="T760" s="361"/>
      <c r="U760" s="361"/>
      <c r="V760" s="361"/>
      <c r="W760" s="362"/>
      <c r="X760" s="43"/>
      <c r="Y760" s="43"/>
      <c r="Z760" s="43"/>
      <c r="AA760" s="43"/>
    </row>
    <row r="761" ht="15.75" customHeight="1">
      <c r="A761" s="360"/>
      <c r="B761" s="43"/>
      <c r="C761" s="43"/>
      <c r="D761" s="43"/>
      <c r="E761" s="43"/>
      <c r="F761" s="361"/>
      <c r="G761" s="361"/>
      <c r="H761" s="361"/>
      <c r="I761" s="361"/>
      <c r="J761" s="361"/>
      <c r="K761" s="361"/>
      <c r="L761" s="361"/>
      <c r="M761" s="361"/>
      <c r="N761" s="361"/>
      <c r="O761" s="361"/>
      <c r="P761" s="361"/>
      <c r="Q761" s="361"/>
      <c r="R761" s="361"/>
      <c r="S761" s="361"/>
      <c r="T761" s="361"/>
      <c r="U761" s="361"/>
      <c r="V761" s="361"/>
      <c r="W761" s="362"/>
      <c r="X761" s="43"/>
      <c r="Y761" s="43"/>
      <c r="Z761" s="43"/>
      <c r="AA761" s="43"/>
    </row>
    <row r="762" ht="15.75" customHeight="1">
      <c r="A762" s="360"/>
      <c r="B762" s="43"/>
      <c r="C762" s="43"/>
      <c r="D762" s="43"/>
      <c r="E762" s="43"/>
      <c r="F762" s="361"/>
      <c r="G762" s="361"/>
      <c r="H762" s="361"/>
      <c r="I762" s="361"/>
      <c r="J762" s="361"/>
      <c r="K762" s="361"/>
      <c r="L762" s="361"/>
      <c r="M762" s="361"/>
      <c r="N762" s="361"/>
      <c r="O762" s="361"/>
      <c r="P762" s="361"/>
      <c r="Q762" s="361"/>
      <c r="R762" s="361"/>
      <c r="S762" s="361"/>
      <c r="T762" s="361"/>
      <c r="U762" s="361"/>
      <c r="V762" s="361"/>
      <c r="W762" s="362"/>
      <c r="X762" s="43"/>
      <c r="Y762" s="43"/>
      <c r="Z762" s="43"/>
      <c r="AA762" s="43"/>
    </row>
    <row r="763" ht="15.75" customHeight="1">
      <c r="A763" s="360"/>
      <c r="B763" s="43"/>
      <c r="C763" s="43"/>
      <c r="D763" s="43"/>
      <c r="E763" s="43"/>
      <c r="F763" s="361"/>
      <c r="G763" s="361"/>
      <c r="H763" s="361"/>
      <c r="I763" s="361"/>
      <c r="J763" s="361"/>
      <c r="K763" s="361"/>
      <c r="L763" s="361"/>
      <c r="M763" s="361"/>
      <c r="N763" s="361"/>
      <c r="O763" s="361"/>
      <c r="P763" s="361"/>
      <c r="Q763" s="361"/>
      <c r="R763" s="361"/>
      <c r="S763" s="361"/>
      <c r="T763" s="361"/>
      <c r="U763" s="361"/>
      <c r="V763" s="361"/>
      <c r="W763" s="362"/>
      <c r="X763" s="43"/>
      <c r="Y763" s="43"/>
      <c r="Z763" s="43"/>
      <c r="AA763" s="43"/>
    </row>
    <row r="764" ht="15.75" customHeight="1">
      <c r="A764" s="360"/>
      <c r="B764" s="43"/>
      <c r="C764" s="43"/>
      <c r="D764" s="43"/>
      <c r="E764" s="43"/>
      <c r="F764" s="361"/>
      <c r="G764" s="361"/>
      <c r="H764" s="361"/>
      <c r="I764" s="361"/>
      <c r="J764" s="361"/>
      <c r="K764" s="361"/>
      <c r="L764" s="361"/>
      <c r="M764" s="361"/>
      <c r="N764" s="361"/>
      <c r="O764" s="361"/>
      <c r="P764" s="361"/>
      <c r="Q764" s="361"/>
      <c r="R764" s="361"/>
      <c r="S764" s="361"/>
      <c r="T764" s="361"/>
      <c r="U764" s="361"/>
      <c r="V764" s="361"/>
      <c r="W764" s="362"/>
      <c r="X764" s="43"/>
      <c r="Y764" s="43"/>
      <c r="Z764" s="43"/>
      <c r="AA764" s="43"/>
    </row>
    <row r="765" ht="15.75" customHeight="1">
      <c r="A765" s="360"/>
      <c r="B765" s="43"/>
      <c r="C765" s="43"/>
      <c r="D765" s="43"/>
      <c r="E765" s="43"/>
      <c r="F765" s="361"/>
      <c r="G765" s="361"/>
      <c r="H765" s="361"/>
      <c r="I765" s="361"/>
      <c r="J765" s="361"/>
      <c r="K765" s="361"/>
      <c r="L765" s="361"/>
      <c r="M765" s="361"/>
      <c r="N765" s="361"/>
      <c r="O765" s="361"/>
      <c r="P765" s="361"/>
      <c r="Q765" s="361"/>
      <c r="R765" s="361"/>
      <c r="S765" s="361"/>
      <c r="T765" s="361"/>
      <c r="U765" s="361"/>
      <c r="V765" s="361"/>
      <c r="W765" s="362"/>
      <c r="X765" s="43"/>
      <c r="Y765" s="43"/>
      <c r="Z765" s="43"/>
      <c r="AA765" s="43"/>
    </row>
    <row r="766" ht="15.75" customHeight="1">
      <c r="A766" s="360"/>
      <c r="B766" s="43"/>
      <c r="C766" s="43"/>
      <c r="D766" s="43"/>
      <c r="E766" s="43"/>
      <c r="F766" s="361"/>
      <c r="G766" s="361"/>
      <c r="H766" s="361"/>
      <c r="I766" s="361"/>
      <c r="J766" s="361"/>
      <c r="K766" s="361"/>
      <c r="L766" s="361"/>
      <c r="M766" s="361"/>
      <c r="N766" s="361"/>
      <c r="O766" s="361"/>
      <c r="P766" s="361"/>
      <c r="Q766" s="361"/>
      <c r="R766" s="361"/>
      <c r="S766" s="361"/>
      <c r="T766" s="361"/>
      <c r="U766" s="361"/>
      <c r="V766" s="361"/>
      <c r="W766" s="362"/>
      <c r="X766" s="43"/>
      <c r="Y766" s="43"/>
      <c r="Z766" s="43"/>
      <c r="AA766" s="43"/>
    </row>
    <row r="767" ht="15.75" customHeight="1">
      <c r="A767" s="360"/>
      <c r="B767" s="43"/>
      <c r="C767" s="43"/>
      <c r="D767" s="43"/>
      <c r="E767" s="43"/>
      <c r="F767" s="361"/>
      <c r="G767" s="361"/>
      <c r="H767" s="361"/>
      <c r="I767" s="361"/>
      <c r="J767" s="361"/>
      <c r="K767" s="361"/>
      <c r="L767" s="361"/>
      <c r="M767" s="361"/>
      <c r="N767" s="361"/>
      <c r="O767" s="361"/>
      <c r="P767" s="361"/>
      <c r="Q767" s="361"/>
      <c r="R767" s="361"/>
      <c r="S767" s="361"/>
      <c r="T767" s="361"/>
      <c r="U767" s="361"/>
      <c r="V767" s="361"/>
      <c r="W767" s="362"/>
      <c r="X767" s="43"/>
      <c r="Y767" s="43"/>
      <c r="Z767" s="43"/>
      <c r="AA767" s="43"/>
    </row>
    <row r="768" ht="15.75" customHeight="1">
      <c r="A768" s="360"/>
      <c r="B768" s="43"/>
      <c r="C768" s="43"/>
      <c r="D768" s="43"/>
      <c r="E768" s="43"/>
      <c r="F768" s="361"/>
      <c r="G768" s="361"/>
      <c r="H768" s="361"/>
      <c r="I768" s="361"/>
      <c r="J768" s="361"/>
      <c r="K768" s="361"/>
      <c r="L768" s="361"/>
      <c r="M768" s="361"/>
      <c r="N768" s="361"/>
      <c r="O768" s="361"/>
      <c r="P768" s="361"/>
      <c r="Q768" s="361"/>
      <c r="R768" s="361"/>
      <c r="S768" s="361"/>
      <c r="T768" s="361"/>
      <c r="U768" s="361"/>
      <c r="V768" s="361"/>
      <c r="W768" s="362"/>
      <c r="X768" s="43"/>
      <c r="Y768" s="43"/>
      <c r="Z768" s="43"/>
      <c r="AA768" s="43"/>
    </row>
    <row r="769" ht="15.75" customHeight="1">
      <c r="A769" s="360"/>
      <c r="B769" s="43"/>
      <c r="C769" s="43"/>
      <c r="D769" s="43"/>
      <c r="E769" s="43"/>
      <c r="F769" s="361"/>
      <c r="G769" s="361"/>
      <c r="H769" s="361"/>
      <c r="I769" s="361"/>
      <c r="J769" s="361"/>
      <c r="K769" s="361"/>
      <c r="L769" s="361"/>
      <c r="M769" s="361"/>
      <c r="N769" s="361"/>
      <c r="O769" s="361"/>
      <c r="P769" s="361"/>
      <c r="Q769" s="361"/>
      <c r="R769" s="361"/>
      <c r="S769" s="361"/>
      <c r="T769" s="361"/>
      <c r="U769" s="361"/>
      <c r="V769" s="361"/>
      <c r="W769" s="362"/>
      <c r="X769" s="43"/>
      <c r="Y769" s="43"/>
      <c r="Z769" s="43"/>
      <c r="AA769" s="43"/>
    </row>
    <row r="770" ht="15.75" customHeight="1">
      <c r="A770" s="360"/>
      <c r="B770" s="43"/>
      <c r="C770" s="43"/>
      <c r="D770" s="43"/>
      <c r="E770" s="43"/>
      <c r="F770" s="361"/>
      <c r="G770" s="361"/>
      <c r="H770" s="361"/>
      <c r="I770" s="361"/>
      <c r="J770" s="361"/>
      <c r="K770" s="361"/>
      <c r="L770" s="361"/>
      <c r="M770" s="361"/>
      <c r="N770" s="361"/>
      <c r="O770" s="361"/>
      <c r="P770" s="361"/>
      <c r="Q770" s="361"/>
      <c r="R770" s="361"/>
      <c r="S770" s="361"/>
      <c r="T770" s="361"/>
      <c r="U770" s="361"/>
      <c r="V770" s="361"/>
      <c r="W770" s="362"/>
      <c r="X770" s="43"/>
      <c r="Y770" s="43"/>
      <c r="Z770" s="43"/>
      <c r="AA770" s="43"/>
    </row>
    <row r="771" ht="15.75" customHeight="1">
      <c r="A771" s="360"/>
      <c r="B771" s="43"/>
      <c r="C771" s="43"/>
      <c r="D771" s="43"/>
      <c r="E771" s="43"/>
      <c r="F771" s="361"/>
      <c r="G771" s="361"/>
      <c r="H771" s="361"/>
      <c r="I771" s="361"/>
      <c r="J771" s="361"/>
      <c r="K771" s="361"/>
      <c r="L771" s="361"/>
      <c r="M771" s="361"/>
      <c r="N771" s="361"/>
      <c r="O771" s="361"/>
      <c r="P771" s="361"/>
      <c r="Q771" s="361"/>
      <c r="R771" s="361"/>
      <c r="S771" s="361"/>
      <c r="T771" s="361"/>
      <c r="U771" s="361"/>
      <c r="V771" s="361"/>
      <c r="W771" s="362"/>
      <c r="X771" s="43"/>
      <c r="Y771" s="43"/>
      <c r="Z771" s="43"/>
      <c r="AA771" s="43"/>
    </row>
    <row r="772" ht="15.75" customHeight="1">
      <c r="A772" s="360"/>
      <c r="B772" s="43"/>
      <c r="C772" s="43"/>
      <c r="D772" s="43"/>
      <c r="E772" s="43"/>
      <c r="F772" s="361"/>
      <c r="G772" s="361"/>
      <c r="H772" s="361"/>
      <c r="I772" s="361"/>
      <c r="J772" s="361"/>
      <c r="K772" s="361"/>
      <c r="L772" s="361"/>
      <c r="M772" s="361"/>
      <c r="N772" s="361"/>
      <c r="O772" s="361"/>
      <c r="P772" s="361"/>
      <c r="Q772" s="361"/>
      <c r="R772" s="361"/>
      <c r="S772" s="361"/>
      <c r="T772" s="361"/>
      <c r="U772" s="361"/>
      <c r="V772" s="361"/>
      <c r="W772" s="362"/>
      <c r="X772" s="43"/>
      <c r="Y772" s="43"/>
      <c r="Z772" s="43"/>
      <c r="AA772" s="43"/>
    </row>
    <row r="773" ht="15.75" customHeight="1">
      <c r="A773" s="360"/>
      <c r="B773" s="43"/>
      <c r="C773" s="43"/>
      <c r="D773" s="43"/>
      <c r="E773" s="43"/>
      <c r="F773" s="361"/>
      <c r="G773" s="361"/>
      <c r="H773" s="361"/>
      <c r="I773" s="361"/>
      <c r="J773" s="361"/>
      <c r="K773" s="361"/>
      <c r="L773" s="361"/>
      <c r="M773" s="361"/>
      <c r="N773" s="361"/>
      <c r="O773" s="361"/>
      <c r="P773" s="361"/>
      <c r="Q773" s="361"/>
      <c r="R773" s="361"/>
      <c r="S773" s="361"/>
      <c r="T773" s="361"/>
      <c r="U773" s="361"/>
      <c r="V773" s="361"/>
      <c r="W773" s="362"/>
      <c r="X773" s="43"/>
      <c r="Y773" s="43"/>
      <c r="Z773" s="43"/>
      <c r="AA773" s="43"/>
    </row>
    <row r="774" ht="15.75" customHeight="1">
      <c r="A774" s="360"/>
      <c r="B774" s="43"/>
      <c r="C774" s="43"/>
      <c r="D774" s="43"/>
      <c r="E774" s="43"/>
      <c r="F774" s="361"/>
      <c r="G774" s="361"/>
      <c r="H774" s="361"/>
      <c r="I774" s="361"/>
      <c r="J774" s="361"/>
      <c r="K774" s="361"/>
      <c r="L774" s="361"/>
      <c r="M774" s="361"/>
      <c r="N774" s="361"/>
      <c r="O774" s="361"/>
      <c r="P774" s="361"/>
      <c r="Q774" s="361"/>
      <c r="R774" s="361"/>
      <c r="S774" s="361"/>
      <c r="T774" s="361"/>
      <c r="U774" s="361"/>
      <c r="V774" s="361"/>
      <c r="W774" s="362"/>
      <c r="X774" s="43"/>
      <c r="Y774" s="43"/>
      <c r="Z774" s="43"/>
      <c r="AA774" s="43"/>
    </row>
    <row r="775" ht="15.75" customHeight="1">
      <c r="A775" s="360"/>
      <c r="B775" s="43"/>
      <c r="C775" s="43"/>
      <c r="D775" s="43"/>
      <c r="E775" s="43"/>
      <c r="F775" s="361"/>
      <c r="G775" s="361"/>
      <c r="H775" s="361"/>
      <c r="I775" s="361"/>
      <c r="J775" s="361"/>
      <c r="K775" s="361"/>
      <c r="L775" s="361"/>
      <c r="M775" s="361"/>
      <c r="N775" s="361"/>
      <c r="O775" s="361"/>
      <c r="P775" s="361"/>
      <c r="Q775" s="361"/>
      <c r="R775" s="361"/>
      <c r="S775" s="361"/>
      <c r="T775" s="361"/>
      <c r="U775" s="361"/>
      <c r="V775" s="361"/>
      <c r="W775" s="362"/>
      <c r="X775" s="43"/>
      <c r="Y775" s="43"/>
      <c r="Z775" s="43"/>
      <c r="AA775" s="43"/>
    </row>
    <row r="776" ht="15.75" customHeight="1">
      <c r="A776" s="360"/>
      <c r="B776" s="43"/>
      <c r="C776" s="43"/>
      <c r="D776" s="43"/>
      <c r="E776" s="43"/>
      <c r="F776" s="361"/>
      <c r="G776" s="361"/>
      <c r="H776" s="361"/>
      <c r="I776" s="361"/>
      <c r="J776" s="361"/>
      <c r="K776" s="361"/>
      <c r="L776" s="361"/>
      <c r="M776" s="361"/>
      <c r="N776" s="361"/>
      <c r="O776" s="361"/>
      <c r="P776" s="361"/>
      <c r="Q776" s="361"/>
      <c r="R776" s="361"/>
      <c r="S776" s="361"/>
      <c r="T776" s="361"/>
      <c r="U776" s="361"/>
      <c r="V776" s="361"/>
      <c r="W776" s="362"/>
      <c r="X776" s="43"/>
      <c r="Y776" s="43"/>
      <c r="Z776" s="43"/>
      <c r="AA776" s="43"/>
    </row>
    <row r="777" ht="15.75" customHeight="1">
      <c r="A777" s="360"/>
      <c r="B777" s="43"/>
      <c r="C777" s="43"/>
      <c r="D777" s="43"/>
      <c r="E777" s="43"/>
      <c r="F777" s="361"/>
      <c r="G777" s="361"/>
      <c r="H777" s="361"/>
      <c r="I777" s="361"/>
      <c r="J777" s="361"/>
      <c r="K777" s="361"/>
      <c r="L777" s="361"/>
      <c r="M777" s="361"/>
      <c r="N777" s="361"/>
      <c r="O777" s="361"/>
      <c r="P777" s="361"/>
      <c r="Q777" s="361"/>
      <c r="R777" s="361"/>
      <c r="S777" s="361"/>
      <c r="T777" s="361"/>
      <c r="U777" s="361"/>
      <c r="V777" s="361"/>
      <c r="W777" s="362"/>
      <c r="X777" s="43"/>
      <c r="Y777" s="43"/>
      <c r="Z777" s="43"/>
      <c r="AA777" s="43"/>
    </row>
    <row r="778" ht="15.75" customHeight="1">
      <c r="A778" s="360"/>
      <c r="B778" s="43"/>
      <c r="C778" s="43"/>
      <c r="D778" s="43"/>
      <c r="E778" s="43"/>
      <c r="F778" s="361"/>
      <c r="G778" s="361"/>
      <c r="H778" s="361"/>
      <c r="I778" s="361"/>
      <c r="J778" s="361"/>
      <c r="K778" s="361"/>
      <c r="L778" s="361"/>
      <c r="M778" s="361"/>
      <c r="N778" s="361"/>
      <c r="O778" s="361"/>
      <c r="P778" s="361"/>
      <c r="Q778" s="361"/>
      <c r="R778" s="361"/>
      <c r="S778" s="361"/>
      <c r="T778" s="361"/>
      <c r="U778" s="361"/>
      <c r="V778" s="361"/>
      <c r="W778" s="362"/>
      <c r="X778" s="43"/>
      <c r="Y778" s="43"/>
      <c r="Z778" s="43"/>
      <c r="AA778" s="43"/>
    </row>
    <row r="779" ht="15.75" customHeight="1">
      <c r="A779" s="360"/>
      <c r="B779" s="43"/>
      <c r="C779" s="43"/>
      <c r="D779" s="43"/>
      <c r="E779" s="43"/>
      <c r="F779" s="361"/>
      <c r="G779" s="361"/>
      <c r="H779" s="361"/>
      <c r="I779" s="361"/>
      <c r="J779" s="361"/>
      <c r="K779" s="361"/>
      <c r="L779" s="361"/>
      <c r="M779" s="361"/>
      <c r="N779" s="361"/>
      <c r="O779" s="361"/>
      <c r="P779" s="361"/>
      <c r="Q779" s="361"/>
      <c r="R779" s="361"/>
      <c r="S779" s="361"/>
      <c r="T779" s="361"/>
      <c r="U779" s="361"/>
      <c r="V779" s="361"/>
      <c r="W779" s="362"/>
      <c r="X779" s="43"/>
      <c r="Y779" s="43"/>
      <c r="Z779" s="43"/>
      <c r="AA779" s="43"/>
    </row>
    <row r="780" ht="15.75" customHeight="1">
      <c r="A780" s="360"/>
      <c r="B780" s="43"/>
      <c r="C780" s="43"/>
      <c r="D780" s="43"/>
      <c r="E780" s="43"/>
      <c r="F780" s="361"/>
      <c r="G780" s="361"/>
      <c r="H780" s="361"/>
      <c r="I780" s="361"/>
      <c r="J780" s="361"/>
      <c r="K780" s="361"/>
      <c r="L780" s="361"/>
      <c r="M780" s="361"/>
      <c r="N780" s="361"/>
      <c r="O780" s="361"/>
      <c r="P780" s="361"/>
      <c r="Q780" s="361"/>
      <c r="R780" s="361"/>
      <c r="S780" s="361"/>
      <c r="T780" s="361"/>
      <c r="U780" s="361"/>
      <c r="V780" s="361"/>
      <c r="W780" s="362"/>
      <c r="X780" s="43"/>
      <c r="Y780" s="43"/>
      <c r="Z780" s="43"/>
      <c r="AA780" s="43"/>
    </row>
    <row r="781" ht="15.75" customHeight="1">
      <c r="A781" s="360"/>
      <c r="B781" s="43"/>
      <c r="C781" s="43"/>
      <c r="D781" s="43"/>
      <c r="E781" s="43"/>
      <c r="F781" s="361"/>
      <c r="G781" s="361"/>
      <c r="H781" s="361"/>
      <c r="I781" s="361"/>
      <c r="J781" s="361"/>
      <c r="K781" s="361"/>
      <c r="L781" s="361"/>
      <c r="M781" s="361"/>
      <c r="N781" s="361"/>
      <c r="O781" s="361"/>
      <c r="P781" s="361"/>
      <c r="Q781" s="361"/>
      <c r="R781" s="361"/>
      <c r="S781" s="361"/>
      <c r="T781" s="361"/>
      <c r="U781" s="361"/>
      <c r="V781" s="361"/>
      <c r="W781" s="362"/>
      <c r="X781" s="43"/>
      <c r="Y781" s="43"/>
      <c r="Z781" s="43"/>
      <c r="AA781" s="43"/>
    </row>
    <row r="782" ht="15.75" customHeight="1">
      <c r="A782" s="360"/>
      <c r="B782" s="43"/>
      <c r="C782" s="43"/>
      <c r="D782" s="43"/>
      <c r="E782" s="43"/>
      <c r="F782" s="361"/>
      <c r="G782" s="361"/>
      <c r="H782" s="361"/>
      <c r="I782" s="361"/>
      <c r="J782" s="361"/>
      <c r="K782" s="361"/>
      <c r="L782" s="361"/>
      <c r="M782" s="361"/>
      <c r="N782" s="361"/>
      <c r="O782" s="361"/>
      <c r="P782" s="361"/>
      <c r="Q782" s="361"/>
      <c r="R782" s="361"/>
      <c r="S782" s="361"/>
      <c r="T782" s="361"/>
      <c r="U782" s="361"/>
      <c r="V782" s="361"/>
      <c r="W782" s="362"/>
      <c r="X782" s="43"/>
      <c r="Y782" s="43"/>
      <c r="Z782" s="43"/>
      <c r="AA782" s="43"/>
    </row>
    <row r="783" ht="15.75" customHeight="1">
      <c r="A783" s="360"/>
      <c r="B783" s="43"/>
      <c r="C783" s="43"/>
      <c r="D783" s="43"/>
      <c r="E783" s="43"/>
      <c r="F783" s="361"/>
      <c r="G783" s="361"/>
      <c r="H783" s="361"/>
      <c r="I783" s="361"/>
      <c r="J783" s="361"/>
      <c r="K783" s="361"/>
      <c r="L783" s="361"/>
      <c r="M783" s="361"/>
      <c r="N783" s="361"/>
      <c r="O783" s="361"/>
      <c r="P783" s="361"/>
      <c r="Q783" s="361"/>
      <c r="R783" s="361"/>
      <c r="S783" s="361"/>
      <c r="T783" s="361"/>
      <c r="U783" s="361"/>
      <c r="V783" s="361"/>
      <c r="W783" s="362"/>
      <c r="X783" s="43"/>
      <c r="Y783" s="43"/>
      <c r="Z783" s="43"/>
      <c r="AA783" s="43"/>
    </row>
    <row r="784" ht="15.75" customHeight="1">
      <c r="A784" s="360"/>
      <c r="B784" s="43"/>
      <c r="C784" s="43"/>
      <c r="D784" s="43"/>
      <c r="E784" s="43"/>
      <c r="F784" s="361"/>
      <c r="G784" s="361"/>
      <c r="H784" s="361"/>
      <c r="I784" s="361"/>
      <c r="J784" s="361"/>
      <c r="K784" s="361"/>
      <c r="L784" s="361"/>
      <c r="M784" s="361"/>
      <c r="N784" s="361"/>
      <c r="O784" s="361"/>
      <c r="P784" s="361"/>
      <c r="Q784" s="361"/>
      <c r="R784" s="361"/>
      <c r="S784" s="361"/>
      <c r="T784" s="361"/>
      <c r="U784" s="361"/>
      <c r="V784" s="361"/>
      <c r="W784" s="362"/>
      <c r="X784" s="43"/>
      <c r="Y784" s="43"/>
      <c r="Z784" s="43"/>
      <c r="AA784" s="43"/>
    </row>
    <row r="785" ht="15.75" customHeight="1">
      <c r="A785" s="360"/>
      <c r="B785" s="43"/>
      <c r="C785" s="43"/>
      <c r="D785" s="43"/>
      <c r="E785" s="43"/>
      <c r="F785" s="361"/>
      <c r="G785" s="361"/>
      <c r="H785" s="361"/>
      <c r="I785" s="361"/>
      <c r="J785" s="361"/>
      <c r="K785" s="361"/>
      <c r="L785" s="361"/>
      <c r="M785" s="361"/>
      <c r="N785" s="361"/>
      <c r="O785" s="361"/>
      <c r="P785" s="361"/>
      <c r="Q785" s="361"/>
      <c r="R785" s="361"/>
      <c r="S785" s="361"/>
      <c r="T785" s="361"/>
      <c r="U785" s="361"/>
      <c r="V785" s="361"/>
      <c r="W785" s="362"/>
      <c r="X785" s="43"/>
      <c r="Y785" s="43"/>
      <c r="Z785" s="43"/>
      <c r="AA785" s="43"/>
    </row>
    <row r="786" ht="15.75" customHeight="1">
      <c r="A786" s="360"/>
      <c r="B786" s="43"/>
      <c r="C786" s="43"/>
      <c r="D786" s="43"/>
      <c r="E786" s="43"/>
      <c r="F786" s="361"/>
      <c r="G786" s="361"/>
      <c r="H786" s="361"/>
      <c r="I786" s="361"/>
      <c r="J786" s="361"/>
      <c r="K786" s="361"/>
      <c r="L786" s="361"/>
      <c r="M786" s="361"/>
      <c r="N786" s="361"/>
      <c r="O786" s="361"/>
      <c r="P786" s="361"/>
      <c r="Q786" s="361"/>
      <c r="R786" s="361"/>
      <c r="S786" s="361"/>
      <c r="T786" s="361"/>
      <c r="U786" s="361"/>
      <c r="V786" s="361"/>
      <c r="W786" s="362"/>
      <c r="X786" s="43"/>
      <c r="Y786" s="43"/>
      <c r="Z786" s="43"/>
      <c r="AA786" s="43"/>
    </row>
    <row r="787" ht="15.75" customHeight="1">
      <c r="A787" s="360"/>
      <c r="B787" s="43"/>
      <c r="C787" s="43"/>
      <c r="D787" s="43"/>
      <c r="E787" s="43"/>
      <c r="F787" s="361"/>
      <c r="G787" s="361"/>
      <c r="H787" s="361"/>
      <c r="I787" s="361"/>
      <c r="J787" s="361"/>
      <c r="K787" s="361"/>
      <c r="L787" s="361"/>
      <c r="M787" s="361"/>
      <c r="N787" s="361"/>
      <c r="O787" s="361"/>
      <c r="P787" s="361"/>
      <c r="Q787" s="361"/>
      <c r="R787" s="361"/>
      <c r="S787" s="361"/>
      <c r="T787" s="361"/>
      <c r="U787" s="361"/>
      <c r="V787" s="361"/>
      <c r="W787" s="362"/>
      <c r="X787" s="43"/>
      <c r="Y787" s="43"/>
      <c r="Z787" s="43"/>
      <c r="AA787" s="43"/>
    </row>
    <row r="788" ht="15.75" customHeight="1">
      <c r="A788" s="360"/>
      <c r="B788" s="43"/>
      <c r="C788" s="43"/>
      <c r="D788" s="43"/>
      <c r="E788" s="43"/>
      <c r="F788" s="361"/>
      <c r="G788" s="361"/>
      <c r="H788" s="361"/>
      <c r="I788" s="361"/>
      <c r="J788" s="361"/>
      <c r="K788" s="361"/>
      <c r="L788" s="361"/>
      <c r="M788" s="361"/>
      <c r="N788" s="361"/>
      <c r="O788" s="361"/>
      <c r="P788" s="361"/>
      <c r="Q788" s="361"/>
      <c r="R788" s="361"/>
      <c r="S788" s="361"/>
      <c r="T788" s="361"/>
      <c r="U788" s="361"/>
      <c r="V788" s="361"/>
      <c r="W788" s="362"/>
      <c r="X788" s="43"/>
      <c r="Y788" s="43"/>
      <c r="Z788" s="43"/>
      <c r="AA788" s="43"/>
    </row>
    <row r="789" ht="15.75" customHeight="1">
      <c r="A789" s="360"/>
      <c r="B789" s="43"/>
      <c r="C789" s="43"/>
      <c r="D789" s="43"/>
      <c r="E789" s="43"/>
      <c r="F789" s="361"/>
      <c r="G789" s="361"/>
      <c r="H789" s="361"/>
      <c r="I789" s="361"/>
      <c r="J789" s="361"/>
      <c r="K789" s="361"/>
      <c r="L789" s="361"/>
      <c r="M789" s="361"/>
      <c r="N789" s="361"/>
      <c r="O789" s="361"/>
      <c r="P789" s="361"/>
      <c r="Q789" s="361"/>
      <c r="R789" s="361"/>
      <c r="S789" s="361"/>
      <c r="T789" s="361"/>
      <c r="U789" s="361"/>
      <c r="V789" s="361"/>
      <c r="W789" s="362"/>
      <c r="X789" s="43"/>
      <c r="Y789" s="43"/>
      <c r="Z789" s="43"/>
      <c r="AA789" s="43"/>
    </row>
    <row r="790" ht="15.75" customHeight="1">
      <c r="A790" s="360"/>
      <c r="B790" s="43"/>
      <c r="C790" s="43"/>
      <c r="D790" s="43"/>
      <c r="E790" s="43"/>
      <c r="F790" s="361"/>
      <c r="G790" s="361"/>
      <c r="H790" s="361"/>
      <c r="I790" s="361"/>
      <c r="J790" s="361"/>
      <c r="K790" s="361"/>
      <c r="L790" s="361"/>
      <c r="M790" s="361"/>
      <c r="N790" s="361"/>
      <c r="O790" s="361"/>
      <c r="P790" s="361"/>
      <c r="Q790" s="361"/>
      <c r="R790" s="361"/>
      <c r="S790" s="361"/>
      <c r="T790" s="361"/>
      <c r="U790" s="361"/>
      <c r="V790" s="361"/>
      <c r="W790" s="362"/>
      <c r="X790" s="43"/>
      <c r="Y790" s="43"/>
      <c r="Z790" s="43"/>
      <c r="AA790" s="43"/>
    </row>
    <row r="791" ht="15.75" customHeight="1">
      <c r="A791" s="360"/>
      <c r="B791" s="43"/>
      <c r="C791" s="43"/>
      <c r="D791" s="43"/>
      <c r="E791" s="43"/>
      <c r="F791" s="361"/>
      <c r="G791" s="361"/>
      <c r="H791" s="361"/>
      <c r="I791" s="361"/>
      <c r="J791" s="361"/>
      <c r="K791" s="361"/>
      <c r="L791" s="361"/>
      <c r="M791" s="361"/>
      <c r="N791" s="361"/>
      <c r="O791" s="361"/>
      <c r="P791" s="361"/>
      <c r="Q791" s="361"/>
      <c r="R791" s="361"/>
      <c r="S791" s="361"/>
      <c r="T791" s="361"/>
      <c r="U791" s="361"/>
      <c r="V791" s="361"/>
      <c r="W791" s="362"/>
      <c r="X791" s="43"/>
      <c r="Y791" s="43"/>
      <c r="Z791" s="43"/>
      <c r="AA791" s="43"/>
    </row>
    <row r="792" ht="15.75" customHeight="1">
      <c r="A792" s="360"/>
      <c r="B792" s="43"/>
      <c r="C792" s="43"/>
      <c r="D792" s="43"/>
      <c r="E792" s="43"/>
      <c r="F792" s="361"/>
      <c r="G792" s="361"/>
      <c r="H792" s="361"/>
      <c r="I792" s="361"/>
      <c r="J792" s="361"/>
      <c r="K792" s="361"/>
      <c r="L792" s="361"/>
      <c r="M792" s="361"/>
      <c r="N792" s="361"/>
      <c r="O792" s="361"/>
      <c r="P792" s="361"/>
      <c r="Q792" s="361"/>
      <c r="R792" s="361"/>
      <c r="S792" s="361"/>
      <c r="T792" s="361"/>
      <c r="U792" s="361"/>
      <c r="V792" s="361"/>
      <c r="W792" s="362"/>
      <c r="X792" s="43"/>
      <c r="Y792" s="43"/>
      <c r="Z792" s="43"/>
      <c r="AA792" s="43"/>
    </row>
    <row r="793" ht="15.75" customHeight="1">
      <c r="A793" s="360"/>
      <c r="B793" s="43"/>
      <c r="C793" s="43"/>
      <c r="D793" s="43"/>
      <c r="E793" s="43"/>
      <c r="F793" s="361"/>
      <c r="G793" s="361"/>
      <c r="H793" s="361"/>
      <c r="I793" s="361"/>
      <c r="J793" s="361"/>
      <c r="K793" s="361"/>
      <c r="L793" s="361"/>
      <c r="M793" s="361"/>
      <c r="N793" s="361"/>
      <c r="O793" s="361"/>
      <c r="P793" s="361"/>
      <c r="Q793" s="361"/>
      <c r="R793" s="361"/>
      <c r="S793" s="361"/>
      <c r="T793" s="361"/>
      <c r="U793" s="361"/>
      <c r="V793" s="361"/>
      <c r="W793" s="362"/>
      <c r="X793" s="43"/>
      <c r="Y793" s="43"/>
      <c r="Z793" s="43"/>
      <c r="AA793" s="43"/>
    </row>
    <row r="794" ht="15.75" customHeight="1">
      <c r="A794" s="360"/>
      <c r="B794" s="43"/>
      <c r="C794" s="43"/>
      <c r="D794" s="43"/>
      <c r="E794" s="43"/>
      <c r="F794" s="361"/>
      <c r="G794" s="361"/>
      <c r="H794" s="361"/>
      <c r="I794" s="361"/>
      <c r="J794" s="361"/>
      <c r="K794" s="361"/>
      <c r="L794" s="361"/>
      <c r="M794" s="361"/>
      <c r="N794" s="361"/>
      <c r="O794" s="361"/>
      <c r="P794" s="361"/>
      <c r="Q794" s="361"/>
      <c r="R794" s="361"/>
      <c r="S794" s="361"/>
      <c r="T794" s="361"/>
      <c r="U794" s="361"/>
      <c r="V794" s="361"/>
      <c r="W794" s="362"/>
      <c r="X794" s="43"/>
      <c r="Y794" s="43"/>
      <c r="Z794" s="43"/>
      <c r="AA794" s="43"/>
    </row>
    <row r="795" ht="15.75" customHeight="1">
      <c r="A795" s="360"/>
      <c r="B795" s="43"/>
      <c r="C795" s="43"/>
      <c r="D795" s="43"/>
      <c r="E795" s="43"/>
      <c r="F795" s="361"/>
      <c r="G795" s="361"/>
      <c r="H795" s="361"/>
      <c r="I795" s="361"/>
      <c r="J795" s="361"/>
      <c r="K795" s="361"/>
      <c r="L795" s="361"/>
      <c r="M795" s="361"/>
      <c r="N795" s="361"/>
      <c r="O795" s="361"/>
      <c r="P795" s="361"/>
      <c r="Q795" s="361"/>
      <c r="R795" s="361"/>
      <c r="S795" s="361"/>
      <c r="T795" s="361"/>
      <c r="U795" s="361"/>
      <c r="V795" s="361"/>
      <c r="W795" s="362"/>
      <c r="X795" s="43"/>
      <c r="Y795" s="43"/>
      <c r="Z795" s="43"/>
      <c r="AA795" s="43"/>
    </row>
    <row r="796" ht="15.75" customHeight="1">
      <c r="A796" s="360"/>
      <c r="B796" s="43"/>
      <c r="C796" s="43"/>
      <c r="D796" s="43"/>
      <c r="E796" s="43"/>
      <c r="F796" s="361"/>
      <c r="G796" s="361"/>
      <c r="H796" s="361"/>
      <c r="I796" s="361"/>
      <c r="J796" s="361"/>
      <c r="K796" s="361"/>
      <c r="L796" s="361"/>
      <c r="M796" s="361"/>
      <c r="N796" s="361"/>
      <c r="O796" s="361"/>
      <c r="P796" s="361"/>
      <c r="Q796" s="361"/>
      <c r="R796" s="361"/>
      <c r="S796" s="361"/>
      <c r="T796" s="361"/>
      <c r="U796" s="361"/>
      <c r="V796" s="361"/>
      <c r="W796" s="362"/>
      <c r="X796" s="43"/>
      <c r="Y796" s="43"/>
      <c r="Z796" s="43"/>
      <c r="AA796" s="43"/>
    </row>
    <row r="797" ht="15.75" customHeight="1">
      <c r="A797" s="360"/>
      <c r="B797" s="43"/>
      <c r="C797" s="43"/>
      <c r="D797" s="43"/>
      <c r="E797" s="43"/>
      <c r="F797" s="361"/>
      <c r="G797" s="361"/>
      <c r="H797" s="361"/>
      <c r="I797" s="361"/>
      <c r="J797" s="361"/>
      <c r="K797" s="361"/>
      <c r="L797" s="361"/>
      <c r="M797" s="361"/>
      <c r="N797" s="361"/>
      <c r="O797" s="361"/>
      <c r="P797" s="361"/>
      <c r="Q797" s="361"/>
      <c r="R797" s="361"/>
      <c r="S797" s="361"/>
      <c r="T797" s="361"/>
      <c r="U797" s="361"/>
      <c r="V797" s="361"/>
      <c r="W797" s="362"/>
      <c r="X797" s="43"/>
      <c r="Y797" s="43"/>
      <c r="Z797" s="43"/>
      <c r="AA797" s="43"/>
    </row>
    <row r="798" ht="15.75" customHeight="1">
      <c r="A798" s="360"/>
      <c r="B798" s="43"/>
      <c r="C798" s="43"/>
      <c r="D798" s="43"/>
      <c r="E798" s="43"/>
      <c r="F798" s="361"/>
      <c r="G798" s="361"/>
      <c r="H798" s="361"/>
      <c r="I798" s="361"/>
      <c r="J798" s="361"/>
      <c r="K798" s="361"/>
      <c r="L798" s="361"/>
      <c r="M798" s="361"/>
      <c r="N798" s="361"/>
      <c r="O798" s="361"/>
      <c r="P798" s="361"/>
      <c r="Q798" s="361"/>
      <c r="R798" s="361"/>
      <c r="S798" s="361"/>
      <c r="T798" s="361"/>
      <c r="U798" s="361"/>
      <c r="V798" s="361"/>
      <c r="W798" s="362"/>
      <c r="X798" s="43"/>
      <c r="Y798" s="43"/>
      <c r="Z798" s="43"/>
      <c r="AA798" s="43"/>
    </row>
    <row r="799" ht="15.75" customHeight="1">
      <c r="A799" s="360"/>
      <c r="B799" s="43"/>
      <c r="C799" s="43"/>
      <c r="D799" s="43"/>
      <c r="E799" s="43"/>
      <c r="F799" s="361"/>
      <c r="G799" s="361"/>
      <c r="H799" s="361"/>
      <c r="I799" s="361"/>
      <c r="J799" s="361"/>
      <c r="K799" s="361"/>
      <c r="L799" s="361"/>
      <c r="M799" s="361"/>
      <c r="N799" s="361"/>
      <c r="O799" s="361"/>
      <c r="P799" s="361"/>
      <c r="Q799" s="361"/>
      <c r="R799" s="361"/>
      <c r="S799" s="361"/>
      <c r="T799" s="361"/>
      <c r="U799" s="361"/>
      <c r="V799" s="361"/>
      <c r="W799" s="362"/>
      <c r="X799" s="43"/>
      <c r="Y799" s="43"/>
      <c r="Z799" s="43"/>
      <c r="AA799" s="43"/>
    </row>
    <row r="800" ht="15.75" customHeight="1">
      <c r="A800" s="360"/>
      <c r="B800" s="43"/>
      <c r="C800" s="43"/>
      <c r="D800" s="43"/>
      <c r="E800" s="43"/>
      <c r="F800" s="361"/>
      <c r="G800" s="361"/>
      <c r="H800" s="361"/>
      <c r="I800" s="361"/>
      <c r="J800" s="361"/>
      <c r="K800" s="361"/>
      <c r="L800" s="361"/>
      <c r="M800" s="361"/>
      <c r="N800" s="361"/>
      <c r="O800" s="361"/>
      <c r="P800" s="361"/>
      <c r="Q800" s="361"/>
      <c r="R800" s="361"/>
      <c r="S800" s="361"/>
      <c r="T800" s="361"/>
      <c r="U800" s="361"/>
      <c r="V800" s="361"/>
      <c r="W800" s="362"/>
      <c r="X800" s="43"/>
      <c r="Y800" s="43"/>
      <c r="Z800" s="43"/>
      <c r="AA800" s="43"/>
    </row>
    <row r="801" ht="15.75" customHeight="1">
      <c r="A801" s="360"/>
      <c r="B801" s="43"/>
      <c r="C801" s="43"/>
      <c r="D801" s="43"/>
      <c r="E801" s="43"/>
      <c r="F801" s="361"/>
      <c r="G801" s="361"/>
      <c r="H801" s="361"/>
      <c r="I801" s="361"/>
      <c r="J801" s="361"/>
      <c r="K801" s="361"/>
      <c r="L801" s="361"/>
      <c r="M801" s="361"/>
      <c r="N801" s="361"/>
      <c r="O801" s="361"/>
      <c r="P801" s="361"/>
      <c r="Q801" s="361"/>
      <c r="R801" s="361"/>
      <c r="S801" s="361"/>
      <c r="T801" s="361"/>
      <c r="U801" s="361"/>
      <c r="V801" s="361"/>
      <c r="W801" s="362"/>
      <c r="X801" s="43"/>
      <c r="Y801" s="43"/>
      <c r="Z801" s="43"/>
      <c r="AA801" s="43"/>
    </row>
    <row r="802" ht="15.75" customHeight="1">
      <c r="A802" s="360"/>
      <c r="B802" s="43"/>
      <c r="C802" s="43"/>
      <c r="D802" s="43"/>
      <c r="E802" s="43"/>
      <c r="F802" s="361"/>
      <c r="G802" s="361"/>
      <c r="H802" s="361"/>
      <c r="I802" s="361"/>
      <c r="J802" s="361"/>
      <c r="K802" s="361"/>
      <c r="L802" s="361"/>
      <c r="M802" s="361"/>
      <c r="N802" s="361"/>
      <c r="O802" s="361"/>
      <c r="P802" s="361"/>
      <c r="Q802" s="361"/>
      <c r="R802" s="361"/>
      <c r="S802" s="361"/>
      <c r="T802" s="361"/>
      <c r="U802" s="361"/>
      <c r="V802" s="361"/>
      <c r="W802" s="362"/>
      <c r="X802" s="43"/>
      <c r="Y802" s="43"/>
      <c r="Z802" s="43"/>
      <c r="AA802" s="43"/>
    </row>
    <row r="803" ht="15.75" customHeight="1">
      <c r="A803" s="360"/>
      <c r="B803" s="43"/>
      <c r="C803" s="43"/>
      <c r="D803" s="43"/>
      <c r="E803" s="43"/>
      <c r="F803" s="361"/>
      <c r="G803" s="361"/>
      <c r="H803" s="361"/>
      <c r="I803" s="361"/>
      <c r="J803" s="361"/>
      <c r="K803" s="361"/>
      <c r="L803" s="361"/>
      <c r="M803" s="361"/>
      <c r="N803" s="361"/>
      <c r="O803" s="361"/>
      <c r="P803" s="361"/>
      <c r="Q803" s="361"/>
      <c r="R803" s="361"/>
      <c r="S803" s="361"/>
      <c r="T803" s="361"/>
      <c r="U803" s="361"/>
      <c r="V803" s="361"/>
      <c r="W803" s="362"/>
      <c r="X803" s="43"/>
      <c r="Y803" s="43"/>
      <c r="Z803" s="43"/>
      <c r="AA803" s="43"/>
    </row>
    <row r="804" ht="15.75" customHeight="1">
      <c r="A804" s="360"/>
      <c r="B804" s="43"/>
      <c r="C804" s="43"/>
      <c r="D804" s="43"/>
      <c r="E804" s="43"/>
      <c r="F804" s="361"/>
      <c r="G804" s="361"/>
      <c r="H804" s="361"/>
      <c r="I804" s="361"/>
      <c r="J804" s="361"/>
      <c r="K804" s="361"/>
      <c r="L804" s="361"/>
      <c r="M804" s="361"/>
      <c r="N804" s="361"/>
      <c r="O804" s="361"/>
      <c r="P804" s="361"/>
      <c r="Q804" s="361"/>
      <c r="R804" s="361"/>
      <c r="S804" s="361"/>
      <c r="T804" s="361"/>
      <c r="U804" s="361"/>
      <c r="V804" s="361"/>
      <c r="W804" s="362"/>
      <c r="X804" s="43"/>
      <c r="Y804" s="43"/>
      <c r="Z804" s="43"/>
      <c r="AA804" s="43"/>
    </row>
    <row r="805" ht="15.75" customHeight="1">
      <c r="A805" s="360"/>
      <c r="B805" s="43"/>
      <c r="C805" s="43"/>
      <c r="D805" s="43"/>
      <c r="E805" s="43"/>
      <c r="F805" s="361"/>
      <c r="G805" s="361"/>
      <c r="H805" s="361"/>
      <c r="I805" s="361"/>
      <c r="J805" s="361"/>
      <c r="K805" s="361"/>
      <c r="L805" s="361"/>
      <c r="M805" s="361"/>
      <c r="N805" s="361"/>
      <c r="O805" s="361"/>
      <c r="P805" s="361"/>
      <c r="Q805" s="361"/>
      <c r="R805" s="361"/>
      <c r="S805" s="361"/>
      <c r="T805" s="361"/>
      <c r="U805" s="361"/>
      <c r="V805" s="361"/>
      <c r="W805" s="362"/>
      <c r="X805" s="43"/>
      <c r="Y805" s="43"/>
      <c r="Z805" s="43"/>
      <c r="AA805" s="43"/>
    </row>
    <row r="806" ht="15.75" customHeight="1">
      <c r="A806" s="360"/>
      <c r="B806" s="43"/>
      <c r="C806" s="43"/>
      <c r="D806" s="43"/>
      <c r="E806" s="43"/>
      <c r="F806" s="361"/>
      <c r="G806" s="361"/>
      <c r="H806" s="361"/>
      <c r="I806" s="361"/>
      <c r="J806" s="361"/>
      <c r="K806" s="361"/>
      <c r="L806" s="361"/>
      <c r="M806" s="361"/>
      <c r="N806" s="361"/>
      <c r="O806" s="361"/>
      <c r="P806" s="361"/>
      <c r="Q806" s="361"/>
      <c r="R806" s="361"/>
      <c r="S806" s="361"/>
      <c r="T806" s="361"/>
      <c r="U806" s="361"/>
      <c r="V806" s="361"/>
      <c r="W806" s="362"/>
      <c r="X806" s="43"/>
      <c r="Y806" s="43"/>
      <c r="Z806" s="43"/>
      <c r="AA806" s="43"/>
    </row>
    <row r="807" ht="15.75" customHeight="1">
      <c r="A807" s="360"/>
      <c r="B807" s="43"/>
      <c r="C807" s="43"/>
      <c r="D807" s="43"/>
      <c r="E807" s="43"/>
      <c r="F807" s="361"/>
      <c r="G807" s="361"/>
      <c r="H807" s="361"/>
      <c r="I807" s="361"/>
      <c r="J807" s="361"/>
      <c r="K807" s="361"/>
      <c r="L807" s="361"/>
      <c r="M807" s="361"/>
      <c r="N807" s="361"/>
      <c r="O807" s="361"/>
      <c r="P807" s="361"/>
      <c r="Q807" s="361"/>
      <c r="R807" s="361"/>
      <c r="S807" s="361"/>
      <c r="T807" s="361"/>
      <c r="U807" s="361"/>
      <c r="V807" s="361"/>
      <c r="W807" s="362"/>
      <c r="X807" s="43"/>
      <c r="Y807" s="43"/>
      <c r="Z807" s="43"/>
      <c r="AA807" s="43"/>
    </row>
    <row r="808" ht="15.75" customHeight="1">
      <c r="A808" s="360"/>
      <c r="B808" s="43"/>
      <c r="C808" s="43"/>
      <c r="D808" s="43"/>
      <c r="E808" s="43"/>
      <c r="F808" s="361"/>
      <c r="G808" s="361"/>
      <c r="H808" s="361"/>
      <c r="I808" s="361"/>
      <c r="J808" s="361"/>
      <c r="K808" s="361"/>
      <c r="L808" s="361"/>
      <c r="M808" s="361"/>
      <c r="N808" s="361"/>
      <c r="O808" s="361"/>
      <c r="P808" s="361"/>
      <c r="Q808" s="361"/>
      <c r="R808" s="361"/>
      <c r="S808" s="361"/>
      <c r="T808" s="361"/>
      <c r="U808" s="361"/>
      <c r="V808" s="361"/>
      <c r="W808" s="362"/>
      <c r="X808" s="43"/>
      <c r="Y808" s="43"/>
      <c r="Z808" s="43"/>
      <c r="AA808" s="43"/>
    </row>
    <row r="809" ht="15.75" customHeight="1">
      <c r="A809" s="360"/>
      <c r="B809" s="43"/>
      <c r="C809" s="43"/>
      <c r="D809" s="43"/>
      <c r="E809" s="43"/>
      <c r="F809" s="361"/>
      <c r="G809" s="361"/>
      <c r="H809" s="361"/>
      <c r="I809" s="361"/>
      <c r="J809" s="361"/>
      <c r="K809" s="361"/>
      <c r="L809" s="361"/>
      <c r="M809" s="361"/>
      <c r="N809" s="361"/>
      <c r="O809" s="361"/>
      <c r="P809" s="361"/>
      <c r="Q809" s="361"/>
      <c r="R809" s="361"/>
      <c r="S809" s="361"/>
      <c r="T809" s="361"/>
      <c r="U809" s="361"/>
      <c r="V809" s="361"/>
      <c r="W809" s="362"/>
      <c r="X809" s="43"/>
      <c r="Y809" s="43"/>
      <c r="Z809" s="43"/>
      <c r="AA809" s="43"/>
    </row>
    <row r="810" ht="15.75" customHeight="1">
      <c r="A810" s="360"/>
      <c r="B810" s="43"/>
      <c r="C810" s="43"/>
      <c r="D810" s="43"/>
      <c r="E810" s="43"/>
      <c r="F810" s="361"/>
      <c r="G810" s="361"/>
      <c r="H810" s="361"/>
      <c r="I810" s="361"/>
      <c r="J810" s="361"/>
      <c r="K810" s="361"/>
      <c r="L810" s="361"/>
      <c r="M810" s="361"/>
      <c r="N810" s="361"/>
      <c r="O810" s="361"/>
      <c r="P810" s="361"/>
      <c r="Q810" s="361"/>
      <c r="R810" s="361"/>
      <c r="S810" s="361"/>
      <c r="T810" s="361"/>
      <c r="U810" s="361"/>
      <c r="V810" s="361"/>
      <c r="W810" s="362"/>
      <c r="X810" s="43"/>
      <c r="Y810" s="43"/>
      <c r="Z810" s="43"/>
      <c r="AA810" s="43"/>
    </row>
    <row r="811" ht="15.75" customHeight="1">
      <c r="A811" s="360"/>
      <c r="B811" s="43"/>
      <c r="C811" s="43"/>
      <c r="D811" s="43"/>
      <c r="E811" s="43"/>
      <c r="F811" s="361"/>
      <c r="G811" s="361"/>
      <c r="H811" s="361"/>
      <c r="I811" s="361"/>
      <c r="J811" s="361"/>
      <c r="K811" s="361"/>
      <c r="L811" s="361"/>
      <c r="M811" s="361"/>
      <c r="N811" s="361"/>
      <c r="O811" s="361"/>
      <c r="P811" s="361"/>
      <c r="Q811" s="361"/>
      <c r="R811" s="361"/>
      <c r="S811" s="361"/>
      <c r="T811" s="361"/>
      <c r="U811" s="361"/>
      <c r="V811" s="361"/>
      <c r="W811" s="362"/>
      <c r="X811" s="43"/>
      <c r="Y811" s="43"/>
      <c r="Z811" s="43"/>
      <c r="AA811" s="43"/>
    </row>
    <row r="812" ht="15.75" customHeight="1">
      <c r="A812" s="360"/>
      <c r="B812" s="43"/>
      <c r="C812" s="43"/>
      <c r="D812" s="43"/>
      <c r="E812" s="43"/>
      <c r="F812" s="361"/>
      <c r="G812" s="361"/>
      <c r="H812" s="361"/>
      <c r="I812" s="361"/>
      <c r="J812" s="361"/>
      <c r="K812" s="361"/>
      <c r="L812" s="361"/>
      <c r="M812" s="361"/>
      <c r="N812" s="361"/>
      <c r="O812" s="361"/>
      <c r="P812" s="361"/>
      <c r="Q812" s="361"/>
      <c r="R812" s="361"/>
      <c r="S812" s="361"/>
      <c r="T812" s="361"/>
      <c r="U812" s="361"/>
      <c r="V812" s="361"/>
      <c r="W812" s="362"/>
      <c r="X812" s="43"/>
      <c r="Y812" s="43"/>
      <c r="Z812" s="43"/>
      <c r="AA812" s="43"/>
    </row>
    <row r="813" ht="15.75" customHeight="1">
      <c r="A813" s="360"/>
      <c r="B813" s="43"/>
      <c r="C813" s="43"/>
      <c r="D813" s="43"/>
      <c r="E813" s="43"/>
      <c r="F813" s="361"/>
      <c r="G813" s="361"/>
      <c r="H813" s="361"/>
      <c r="I813" s="361"/>
      <c r="J813" s="361"/>
      <c r="K813" s="361"/>
      <c r="L813" s="361"/>
      <c r="M813" s="361"/>
      <c r="N813" s="361"/>
      <c r="O813" s="361"/>
      <c r="P813" s="361"/>
      <c r="Q813" s="361"/>
      <c r="R813" s="361"/>
      <c r="S813" s="361"/>
      <c r="T813" s="361"/>
      <c r="U813" s="361"/>
      <c r="V813" s="361"/>
      <c r="W813" s="362"/>
      <c r="X813" s="43"/>
      <c r="Y813" s="43"/>
      <c r="Z813" s="43"/>
      <c r="AA813" s="43"/>
    </row>
    <row r="814" ht="15.75" customHeight="1">
      <c r="A814" s="360"/>
      <c r="B814" s="43"/>
      <c r="C814" s="43"/>
      <c r="D814" s="43"/>
      <c r="E814" s="43"/>
      <c r="F814" s="361"/>
      <c r="G814" s="361"/>
      <c r="H814" s="361"/>
      <c r="I814" s="361"/>
      <c r="J814" s="361"/>
      <c r="K814" s="361"/>
      <c r="L814" s="361"/>
      <c r="M814" s="361"/>
      <c r="N814" s="361"/>
      <c r="O814" s="361"/>
      <c r="P814" s="361"/>
      <c r="Q814" s="361"/>
      <c r="R814" s="361"/>
      <c r="S814" s="361"/>
      <c r="T814" s="361"/>
      <c r="U814" s="361"/>
      <c r="V814" s="361"/>
      <c r="W814" s="362"/>
      <c r="X814" s="43"/>
      <c r="Y814" s="43"/>
      <c r="Z814" s="43"/>
      <c r="AA814" s="43"/>
    </row>
    <row r="815" ht="15.75" customHeight="1">
      <c r="A815" s="360"/>
      <c r="B815" s="43"/>
      <c r="C815" s="43"/>
      <c r="D815" s="43"/>
      <c r="E815" s="43"/>
      <c r="F815" s="361"/>
      <c r="G815" s="361"/>
      <c r="H815" s="361"/>
      <c r="I815" s="361"/>
      <c r="J815" s="361"/>
      <c r="K815" s="361"/>
      <c r="L815" s="361"/>
      <c r="M815" s="361"/>
      <c r="N815" s="361"/>
      <c r="O815" s="361"/>
      <c r="P815" s="361"/>
      <c r="Q815" s="361"/>
      <c r="R815" s="361"/>
      <c r="S815" s="361"/>
      <c r="T815" s="361"/>
      <c r="U815" s="361"/>
      <c r="V815" s="361"/>
      <c r="W815" s="362"/>
      <c r="X815" s="43"/>
      <c r="Y815" s="43"/>
      <c r="Z815" s="43"/>
      <c r="AA815" s="43"/>
    </row>
    <row r="816" ht="15.75" customHeight="1">
      <c r="A816" s="360"/>
      <c r="B816" s="43"/>
      <c r="C816" s="43"/>
      <c r="D816" s="43"/>
      <c r="E816" s="43"/>
      <c r="F816" s="361"/>
      <c r="G816" s="361"/>
      <c r="H816" s="361"/>
      <c r="I816" s="361"/>
      <c r="J816" s="361"/>
      <c r="K816" s="361"/>
      <c r="L816" s="361"/>
      <c r="M816" s="361"/>
      <c r="N816" s="361"/>
      <c r="O816" s="361"/>
      <c r="P816" s="361"/>
      <c r="Q816" s="361"/>
      <c r="R816" s="361"/>
      <c r="S816" s="361"/>
      <c r="T816" s="361"/>
      <c r="U816" s="361"/>
      <c r="V816" s="361"/>
      <c r="W816" s="362"/>
      <c r="X816" s="43"/>
      <c r="Y816" s="43"/>
      <c r="Z816" s="43"/>
      <c r="AA816" s="43"/>
    </row>
    <row r="817" ht="15.75" customHeight="1">
      <c r="A817" s="360"/>
      <c r="B817" s="43"/>
      <c r="C817" s="43"/>
      <c r="D817" s="43"/>
      <c r="E817" s="43"/>
      <c r="F817" s="361"/>
      <c r="G817" s="361"/>
      <c r="H817" s="361"/>
      <c r="I817" s="361"/>
      <c r="J817" s="361"/>
      <c r="K817" s="361"/>
      <c r="L817" s="361"/>
      <c r="M817" s="361"/>
      <c r="N817" s="361"/>
      <c r="O817" s="361"/>
      <c r="P817" s="361"/>
      <c r="Q817" s="361"/>
      <c r="R817" s="361"/>
      <c r="S817" s="361"/>
      <c r="T817" s="361"/>
      <c r="U817" s="361"/>
      <c r="V817" s="361"/>
      <c r="W817" s="362"/>
      <c r="X817" s="43"/>
      <c r="Y817" s="43"/>
      <c r="Z817" s="43"/>
      <c r="AA817" s="43"/>
    </row>
    <row r="818" ht="15.75" customHeight="1">
      <c r="A818" s="360"/>
      <c r="B818" s="43"/>
      <c r="C818" s="43"/>
      <c r="D818" s="43"/>
      <c r="E818" s="43"/>
      <c r="F818" s="361"/>
      <c r="G818" s="361"/>
      <c r="H818" s="361"/>
      <c r="I818" s="361"/>
      <c r="J818" s="361"/>
      <c r="K818" s="361"/>
      <c r="L818" s="361"/>
      <c r="M818" s="361"/>
      <c r="N818" s="361"/>
      <c r="O818" s="361"/>
      <c r="P818" s="361"/>
      <c r="Q818" s="361"/>
      <c r="R818" s="361"/>
      <c r="S818" s="361"/>
      <c r="T818" s="361"/>
      <c r="U818" s="361"/>
      <c r="V818" s="361"/>
      <c r="W818" s="362"/>
      <c r="X818" s="43"/>
      <c r="Y818" s="43"/>
      <c r="Z818" s="43"/>
      <c r="AA818" s="43"/>
    </row>
    <row r="819" ht="15.75" customHeight="1">
      <c r="A819" s="360"/>
      <c r="B819" s="43"/>
      <c r="C819" s="43"/>
      <c r="D819" s="43"/>
      <c r="E819" s="43"/>
      <c r="F819" s="361"/>
      <c r="G819" s="361"/>
      <c r="H819" s="361"/>
      <c r="I819" s="361"/>
      <c r="J819" s="361"/>
      <c r="K819" s="361"/>
      <c r="L819" s="361"/>
      <c r="M819" s="361"/>
      <c r="N819" s="361"/>
      <c r="O819" s="361"/>
      <c r="P819" s="361"/>
      <c r="Q819" s="361"/>
      <c r="R819" s="361"/>
      <c r="S819" s="361"/>
      <c r="T819" s="361"/>
      <c r="U819" s="361"/>
      <c r="V819" s="361"/>
      <c r="W819" s="362"/>
      <c r="X819" s="43"/>
      <c r="Y819" s="43"/>
      <c r="Z819" s="43"/>
      <c r="AA819" s="43"/>
    </row>
    <row r="820" ht="15.75" customHeight="1">
      <c r="A820" s="360"/>
      <c r="B820" s="43"/>
      <c r="C820" s="43"/>
      <c r="D820" s="43"/>
      <c r="E820" s="43"/>
      <c r="F820" s="361"/>
      <c r="G820" s="361"/>
      <c r="H820" s="361"/>
      <c r="I820" s="361"/>
      <c r="J820" s="361"/>
      <c r="K820" s="361"/>
      <c r="L820" s="361"/>
      <c r="M820" s="361"/>
      <c r="N820" s="361"/>
      <c r="O820" s="361"/>
      <c r="P820" s="361"/>
      <c r="Q820" s="361"/>
      <c r="R820" s="361"/>
      <c r="S820" s="361"/>
      <c r="T820" s="361"/>
      <c r="U820" s="361"/>
      <c r="V820" s="361"/>
      <c r="W820" s="362"/>
      <c r="X820" s="43"/>
      <c r="Y820" s="43"/>
      <c r="Z820" s="43"/>
      <c r="AA820" s="43"/>
    </row>
    <row r="821" ht="15.75" customHeight="1">
      <c r="A821" s="360"/>
      <c r="B821" s="43"/>
      <c r="C821" s="43"/>
      <c r="D821" s="43"/>
      <c r="E821" s="43"/>
      <c r="F821" s="361"/>
      <c r="G821" s="361"/>
      <c r="H821" s="361"/>
      <c r="I821" s="361"/>
      <c r="J821" s="361"/>
      <c r="K821" s="361"/>
      <c r="L821" s="361"/>
      <c r="M821" s="361"/>
      <c r="N821" s="361"/>
      <c r="O821" s="361"/>
      <c r="P821" s="361"/>
      <c r="Q821" s="361"/>
      <c r="R821" s="361"/>
      <c r="S821" s="361"/>
      <c r="T821" s="361"/>
      <c r="U821" s="361"/>
      <c r="V821" s="361"/>
      <c r="W821" s="362"/>
      <c r="X821" s="43"/>
      <c r="Y821" s="43"/>
      <c r="Z821" s="43"/>
      <c r="AA821" s="43"/>
    </row>
    <row r="822" ht="15.75" customHeight="1">
      <c r="A822" s="360"/>
      <c r="B822" s="43"/>
      <c r="C822" s="43"/>
      <c r="D822" s="43"/>
      <c r="E822" s="43"/>
      <c r="F822" s="361"/>
      <c r="G822" s="361"/>
      <c r="H822" s="361"/>
      <c r="I822" s="361"/>
      <c r="J822" s="361"/>
      <c r="K822" s="361"/>
      <c r="L822" s="361"/>
      <c r="M822" s="361"/>
      <c r="N822" s="361"/>
      <c r="O822" s="361"/>
      <c r="P822" s="361"/>
      <c r="Q822" s="361"/>
      <c r="R822" s="361"/>
      <c r="S822" s="361"/>
      <c r="T822" s="361"/>
      <c r="U822" s="361"/>
      <c r="V822" s="361"/>
      <c r="W822" s="362"/>
      <c r="X822" s="43"/>
      <c r="Y822" s="43"/>
      <c r="Z822" s="43"/>
      <c r="AA822" s="43"/>
    </row>
    <row r="823" ht="15.75" customHeight="1">
      <c r="A823" s="360"/>
      <c r="B823" s="43"/>
      <c r="C823" s="43"/>
      <c r="D823" s="43"/>
      <c r="E823" s="43"/>
      <c r="F823" s="361"/>
      <c r="G823" s="361"/>
      <c r="H823" s="361"/>
      <c r="I823" s="361"/>
      <c r="J823" s="361"/>
      <c r="K823" s="361"/>
      <c r="L823" s="361"/>
      <c r="M823" s="361"/>
      <c r="N823" s="361"/>
      <c r="O823" s="361"/>
      <c r="P823" s="361"/>
      <c r="Q823" s="361"/>
      <c r="R823" s="361"/>
      <c r="S823" s="361"/>
      <c r="T823" s="361"/>
      <c r="U823" s="361"/>
      <c r="V823" s="361"/>
      <c r="W823" s="362"/>
      <c r="X823" s="43"/>
      <c r="Y823" s="43"/>
      <c r="Z823" s="43"/>
      <c r="AA823" s="43"/>
    </row>
    <row r="824" ht="15.75" customHeight="1">
      <c r="A824" s="360"/>
      <c r="B824" s="43"/>
      <c r="C824" s="43"/>
      <c r="D824" s="43"/>
      <c r="E824" s="43"/>
      <c r="F824" s="361"/>
      <c r="G824" s="361"/>
      <c r="H824" s="361"/>
      <c r="I824" s="361"/>
      <c r="J824" s="361"/>
      <c r="K824" s="361"/>
      <c r="L824" s="361"/>
      <c r="M824" s="361"/>
      <c r="N824" s="361"/>
      <c r="O824" s="361"/>
      <c r="P824" s="361"/>
      <c r="Q824" s="361"/>
      <c r="R824" s="361"/>
      <c r="S824" s="361"/>
      <c r="T824" s="361"/>
      <c r="U824" s="361"/>
      <c r="V824" s="361"/>
      <c r="W824" s="362"/>
      <c r="X824" s="43"/>
      <c r="Y824" s="43"/>
      <c r="Z824" s="43"/>
      <c r="AA824" s="43"/>
    </row>
    <row r="825" ht="15.75" customHeight="1">
      <c r="A825" s="360"/>
      <c r="B825" s="43"/>
      <c r="C825" s="43"/>
      <c r="D825" s="43"/>
      <c r="E825" s="43"/>
      <c r="F825" s="361"/>
      <c r="G825" s="361"/>
      <c r="H825" s="361"/>
      <c r="I825" s="361"/>
      <c r="J825" s="361"/>
      <c r="K825" s="361"/>
      <c r="L825" s="361"/>
      <c r="M825" s="361"/>
      <c r="N825" s="361"/>
      <c r="O825" s="361"/>
      <c r="P825" s="361"/>
      <c r="Q825" s="361"/>
      <c r="R825" s="361"/>
      <c r="S825" s="361"/>
      <c r="T825" s="361"/>
      <c r="U825" s="361"/>
      <c r="V825" s="361"/>
      <c r="W825" s="362"/>
      <c r="X825" s="43"/>
      <c r="Y825" s="43"/>
      <c r="Z825" s="43"/>
      <c r="AA825" s="43"/>
    </row>
    <row r="826" ht="15.75" customHeight="1">
      <c r="A826" s="360"/>
      <c r="B826" s="43"/>
      <c r="C826" s="43"/>
      <c r="D826" s="43"/>
      <c r="E826" s="43"/>
      <c r="F826" s="361"/>
      <c r="G826" s="361"/>
      <c r="H826" s="361"/>
      <c r="I826" s="361"/>
      <c r="J826" s="361"/>
      <c r="K826" s="361"/>
      <c r="L826" s="361"/>
      <c r="M826" s="361"/>
      <c r="N826" s="361"/>
      <c r="O826" s="361"/>
      <c r="P826" s="361"/>
      <c r="Q826" s="361"/>
      <c r="R826" s="361"/>
      <c r="S826" s="361"/>
      <c r="T826" s="361"/>
      <c r="U826" s="361"/>
      <c r="V826" s="361"/>
      <c r="W826" s="362"/>
      <c r="X826" s="43"/>
      <c r="Y826" s="43"/>
      <c r="Z826" s="43"/>
      <c r="AA826" s="43"/>
    </row>
    <row r="827" ht="15.75" customHeight="1">
      <c r="A827" s="360"/>
      <c r="B827" s="43"/>
      <c r="C827" s="43"/>
      <c r="D827" s="43"/>
      <c r="E827" s="43"/>
      <c r="F827" s="361"/>
      <c r="G827" s="361"/>
      <c r="H827" s="361"/>
      <c r="I827" s="361"/>
      <c r="J827" s="361"/>
      <c r="K827" s="361"/>
      <c r="L827" s="361"/>
      <c r="M827" s="361"/>
      <c r="N827" s="361"/>
      <c r="O827" s="361"/>
      <c r="P827" s="361"/>
      <c r="Q827" s="361"/>
      <c r="R827" s="361"/>
      <c r="S827" s="361"/>
      <c r="T827" s="361"/>
      <c r="U827" s="361"/>
      <c r="V827" s="361"/>
      <c r="W827" s="362"/>
      <c r="X827" s="43"/>
      <c r="Y827" s="43"/>
      <c r="Z827" s="43"/>
      <c r="AA827" s="43"/>
    </row>
    <row r="828" ht="15.75" customHeight="1">
      <c r="A828" s="360"/>
      <c r="B828" s="43"/>
      <c r="C828" s="43"/>
      <c r="D828" s="43"/>
      <c r="E828" s="43"/>
      <c r="F828" s="361"/>
      <c r="G828" s="361"/>
      <c r="H828" s="361"/>
      <c r="I828" s="361"/>
      <c r="J828" s="361"/>
      <c r="K828" s="361"/>
      <c r="L828" s="361"/>
      <c r="M828" s="361"/>
      <c r="N828" s="361"/>
      <c r="O828" s="361"/>
      <c r="P828" s="361"/>
      <c r="Q828" s="361"/>
      <c r="R828" s="361"/>
      <c r="S828" s="361"/>
      <c r="T828" s="361"/>
      <c r="U828" s="361"/>
      <c r="V828" s="361"/>
      <c r="W828" s="362"/>
      <c r="X828" s="43"/>
      <c r="Y828" s="43"/>
      <c r="Z828" s="43"/>
      <c r="AA828" s="43"/>
    </row>
    <row r="829" ht="15.75" customHeight="1">
      <c r="A829" s="360"/>
      <c r="B829" s="43"/>
      <c r="C829" s="43"/>
      <c r="D829" s="43"/>
      <c r="E829" s="43"/>
      <c r="F829" s="361"/>
      <c r="G829" s="361"/>
      <c r="H829" s="361"/>
      <c r="I829" s="361"/>
      <c r="J829" s="361"/>
      <c r="K829" s="361"/>
      <c r="L829" s="361"/>
      <c r="M829" s="361"/>
      <c r="N829" s="361"/>
      <c r="O829" s="361"/>
      <c r="P829" s="361"/>
      <c r="Q829" s="361"/>
      <c r="R829" s="361"/>
      <c r="S829" s="361"/>
      <c r="T829" s="361"/>
      <c r="U829" s="361"/>
      <c r="V829" s="361"/>
      <c r="W829" s="362"/>
      <c r="X829" s="43"/>
      <c r="Y829" s="43"/>
      <c r="Z829" s="43"/>
      <c r="AA829" s="43"/>
    </row>
    <row r="830" ht="15.75" customHeight="1">
      <c r="A830" s="360"/>
      <c r="B830" s="43"/>
      <c r="C830" s="43"/>
      <c r="D830" s="43"/>
      <c r="E830" s="43"/>
      <c r="F830" s="361"/>
      <c r="G830" s="361"/>
      <c r="H830" s="361"/>
      <c r="I830" s="361"/>
      <c r="J830" s="361"/>
      <c r="K830" s="361"/>
      <c r="L830" s="361"/>
      <c r="M830" s="361"/>
      <c r="N830" s="361"/>
      <c r="O830" s="361"/>
      <c r="P830" s="361"/>
      <c r="Q830" s="361"/>
      <c r="R830" s="361"/>
      <c r="S830" s="361"/>
      <c r="T830" s="361"/>
      <c r="U830" s="361"/>
      <c r="V830" s="361"/>
      <c r="W830" s="362"/>
      <c r="X830" s="43"/>
      <c r="Y830" s="43"/>
      <c r="Z830" s="43"/>
      <c r="AA830" s="43"/>
    </row>
    <row r="831" ht="15.75" customHeight="1">
      <c r="A831" s="360"/>
      <c r="B831" s="43"/>
      <c r="C831" s="43"/>
      <c r="D831" s="43"/>
      <c r="E831" s="43"/>
      <c r="F831" s="361"/>
      <c r="G831" s="361"/>
      <c r="H831" s="361"/>
      <c r="I831" s="361"/>
      <c r="J831" s="361"/>
      <c r="K831" s="361"/>
      <c r="L831" s="361"/>
      <c r="M831" s="361"/>
      <c r="N831" s="361"/>
      <c r="O831" s="361"/>
      <c r="P831" s="361"/>
      <c r="Q831" s="361"/>
      <c r="R831" s="361"/>
      <c r="S831" s="361"/>
      <c r="T831" s="361"/>
      <c r="U831" s="361"/>
      <c r="V831" s="361"/>
      <c r="W831" s="362"/>
      <c r="X831" s="43"/>
      <c r="Y831" s="43"/>
      <c r="Z831" s="43"/>
      <c r="AA831" s="43"/>
    </row>
    <row r="832" ht="15.75" customHeight="1">
      <c r="A832" s="360"/>
      <c r="B832" s="43"/>
      <c r="C832" s="43"/>
      <c r="D832" s="43"/>
      <c r="E832" s="43"/>
      <c r="F832" s="361"/>
      <c r="G832" s="361"/>
      <c r="H832" s="361"/>
      <c r="I832" s="361"/>
      <c r="J832" s="361"/>
      <c r="K832" s="361"/>
      <c r="L832" s="361"/>
      <c r="M832" s="361"/>
      <c r="N832" s="361"/>
      <c r="O832" s="361"/>
      <c r="P832" s="361"/>
      <c r="Q832" s="361"/>
      <c r="R832" s="361"/>
      <c r="S832" s="361"/>
      <c r="T832" s="361"/>
      <c r="U832" s="361"/>
      <c r="V832" s="361"/>
      <c r="W832" s="362"/>
      <c r="X832" s="43"/>
      <c r="Y832" s="43"/>
      <c r="Z832" s="43"/>
      <c r="AA832" s="43"/>
    </row>
    <row r="833" ht="15.75" customHeight="1">
      <c r="A833" s="360"/>
      <c r="B833" s="43"/>
      <c r="C833" s="43"/>
      <c r="D833" s="43"/>
      <c r="E833" s="43"/>
      <c r="F833" s="361"/>
      <c r="G833" s="361"/>
      <c r="H833" s="361"/>
      <c r="I833" s="361"/>
      <c r="J833" s="361"/>
      <c r="K833" s="361"/>
      <c r="L833" s="361"/>
      <c r="M833" s="361"/>
      <c r="N833" s="361"/>
      <c r="O833" s="361"/>
      <c r="P833" s="361"/>
      <c r="Q833" s="361"/>
      <c r="R833" s="361"/>
      <c r="S833" s="361"/>
      <c r="T833" s="361"/>
      <c r="U833" s="361"/>
      <c r="V833" s="361"/>
      <c r="W833" s="362"/>
      <c r="X833" s="43"/>
      <c r="Y833" s="43"/>
      <c r="Z833" s="43"/>
      <c r="AA833" s="43"/>
    </row>
    <row r="834" ht="15.75" customHeight="1">
      <c r="A834" s="360"/>
      <c r="B834" s="43"/>
      <c r="C834" s="43"/>
      <c r="D834" s="43"/>
      <c r="E834" s="43"/>
      <c r="F834" s="361"/>
      <c r="G834" s="361"/>
      <c r="H834" s="361"/>
      <c r="I834" s="361"/>
      <c r="J834" s="361"/>
      <c r="K834" s="361"/>
      <c r="L834" s="361"/>
      <c r="M834" s="361"/>
      <c r="N834" s="361"/>
      <c r="O834" s="361"/>
      <c r="P834" s="361"/>
      <c r="Q834" s="361"/>
      <c r="R834" s="361"/>
      <c r="S834" s="361"/>
      <c r="T834" s="361"/>
      <c r="U834" s="361"/>
      <c r="V834" s="361"/>
      <c r="W834" s="362"/>
      <c r="X834" s="43"/>
      <c r="Y834" s="43"/>
      <c r="Z834" s="43"/>
      <c r="AA834" s="43"/>
    </row>
    <row r="835" ht="15.75" customHeight="1">
      <c r="A835" s="360"/>
      <c r="B835" s="43"/>
      <c r="C835" s="43"/>
      <c r="D835" s="43"/>
      <c r="E835" s="43"/>
      <c r="F835" s="361"/>
      <c r="G835" s="361"/>
      <c r="H835" s="361"/>
      <c r="I835" s="361"/>
      <c r="J835" s="361"/>
      <c r="K835" s="361"/>
      <c r="L835" s="361"/>
      <c r="M835" s="361"/>
      <c r="N835" s="361"/>
      <c r="O835" s="361"/>
      <c r="P835" s="361"/>
      <c r="Q835" s="361"/>
      <c r="R835" s="361"/>
      <c r="S835" s="361"/>
      <c r="T835" s="361"/>
      <c r="U835" s="361"/>
      <c r="V835" s="361"/>
      <c r="W835" s="362"/>
      <c r="X835" s="43"/>
      <c r="Y835" s="43"/>
      <c r="Z835" s="43"/>
      <c r="AA835" s="43"/>
    </row>
    <row r="836" ht="15.75" customHeight="1">
      <c r="A836" s="360"/>
      <c r="B836" s="43"/>
      <c r="C836" s="43"/>
      <c r="D836" s="43"/>
      <c r="E836" s="43"/>
      <c r="F836" s="361"/>
      <c r="G836" s="361"/>
      <c r="H836" s="361"/>
      <c r="I836" s="361"/>
      <c r="J836" s="361"/>
      <c r="K836" s="361"/>
      <c r="L836" s="361"/>
      <c r="M836" s="361"/>
      <c r="N836" s="361"/>
      <c r="O836" s="361"/>
      <c r="P836" s="361"/>
      <c r="Q836" s="361"/>
      <c r="R836" s="361"/>
      <c r="S836" s="361"/>
      <c r="T836" s="361"/>
      <c r="U836" s="361"/>
      <c r="V836" s="361"/>
      <c r="W836" s="362"/>
      <c r="X836" s="43"/>
      <c r="Y836" s="43"/>
      <c r="Z836" s="43"/>
      <c r="AA836" s="43"/>
    </row>
    <row r="837" ht="15.75" customHeight="1">
      <c r="A837" s="360"/>
      <c r="B837" s="43"/>
      <c r="C837" s="43"/>
      <c r="D837" s="43"/>
      <c r="E837" s="43"/>
      <c r="F837" s="361"/>
      <c r="G837" s="361"/>
      <c r="H837" s="361"/>
      <c r="I837" s="361"/>
      <c r="J837" s="361"/>
      <c r="K837" s="361"/>
      <c r="L837" s="361"/>
      <c r="M837" s="361"/>
      <c r="N837" s="361"/>
      <c r="O837" s="361"/>
      <c r="P837" s="361"/>
      <c r="Q837" s="361"/>
      <c r="R837" s="361"/>
      <c r="S837" s="361"/>
      <c r="T837" s="361"/>
      <c r="U837" s="361"/>
      <c r="V837" s="361"/>
      <c r="W837" s="362"/>
      <c r="X837" s="43"/>
      <c r="Y837" s="43"/>
      <c r="Z837" s="43"/>
      <c r="AA837" s="43"/>
    </row>
    <row r="838" ht="15.75" customHeight="1">
      <c r="A838" s="360"/>
      <c r="B838" s="43"/>
      <c r="C838" s="43"/>
      <c r="D838" s="43"/>
      <c r="E838" s="43"/>
      <c r="F838" s="361"/>
      <c r="G838" s="361"/>
      <c r="H838" s="361"/>
      <c r="I838" s="361"/>
      <c r="J838" s="361"/>
      <c r="K838" s="361"/>
      <c r="L838" s="361"/>
      <c r="M838" s="361"/>
      <c r="N838" s="361"/>
      <c r="O838" s="361"/>
      <c r="P838" s="361"/>
      <c r="Q838" s="361"/>
      <c r="R838" s="361"/>
      <c r="S838" s="361"/>
      <c r="T838" s="361"/>
      <c r="U838" s="361"/>
      <c r="V838" s="361"/>
      <c r="W838" s="362"/>
      <c r="X838" s="43"/>
      <c r="Y838" s="43"/>
      <c r="Z838" s="43"/>
      <c r="AA838" s="43"/>
    </row>
    <row r="839" ht="15.75" customHeight="1">
      <c r="A839" s="360"/>
      <c r="B839" s="43"/>
      <c r="C839" s="43"/>
      <c r="D839" s="43"/>
      <c r="E839" s="43"/>
      <c r="F839" s="361"/>
      <c r="G839" s="361"/>
      <c r="H839" s="361"/>
      <c r="I839" s="361"/>
      <c r="J839" s="361"/>
      <c r="K839" s="361"/>
      <c r="L839" s="361"/>
      <c r="M839" s="361"/>
      <c r="N839" s="361"/>
      <c r="O839" s="361"/>
      <c r="P839" s="361"/>
      <c r="Q839" s="361"/>
      <c r="R839" s="361"/>
      <c r="S839" s="361"/>
      <c r="T839" s="361"/>
      <c r="U839" s="361"/>
      <c r="V839" s="361"/>
      <c r="W839" s="362"/>
      <c r="X839" s="43"/>
      <c r="Y839" s="43"/>
      <c r="Z839" s="43"/>
      <c r="AA839" s="43"/>
    </row>
    <row r="840" ht="15.75" customHeight="1">
      <c r="A840" s="360"/>
      <c r="B840" s="43"/>
      <c r="C840" s="43"/>
      <c r="D840" s="43"/>
      <c r="E840" s="43"/>
      <c r="F840" s="361"/>
      <c r="G840" s="361"/>
      <c r="H840" s="361"/>
      <c r="I840" s="361"/>
      <c r="J840" s="361"/>
      <c r="K840" s="361"/>
      <c r="L840" s="361"/>
      <c r="M840" s="361"/>
      <c r="N840" s="361"/>
      <c r="O840" s="361"/>
      <c r="P840" s="361"/>
      <c r="Q840" s="361"/>
      <c r="R840" s="361"/>
      <c r="S840" s="361"/>
      <c r="T840" s="361"/>
      <c r="U840" s="361"/>
      <c r="V840" s="361"/>
      <c r="W840" s="362"/>
      <c r="X840" s="43"/>
      <c r="Y840" s="43"/>
      <c r="Z840" s="43"/>
      <c r="AA840" s="43"/>
    </row>
    <row r="841" ht="15.75" customHeight="1">
      <c r="A841" s="360"/>
      <c r="B841" s="43"/>
      <c r="C841" s="43"/>
      <c r="D841" s="43"/>
      <c r="E841" s="43"/>
      <c r="F841" s="361"/>
      <c r="G841" s="361"/>
      <c r="H841" s="361"/>
      <c r="I841" s="361"/>
      <c r="J841" s="361"/>
      <c r="K841" s="361"/>
      <c r="L841" s="361"/>
      <c r="M841" s="361"/>
      <c r="N841" s="361"/>
      <c r="O841" s="361"/>
      <c r="P841" s="361"/>
      <c r="Q841" s="361"/>
      <c r="R841" s="361"/>
      <c r="S841" s="361"/>
      <c r="T841" s="361"/>
      <c r="U841" s="361"/>
      <c r="V841" s="361"/>
      <c r="W841" s="362"/>
      <c r="X841" s="43"/>
      <c r="Y841" s="43"/>
      <c r="Z841" s="43"/>
      <c r="AA841" s="43"/>
    </row>
    <row r="842" ht="15.75" customHeight="1">
      <c r="A842" s="360"/>
      <c r="B842" s="43"/>
      <c r="C842" s="43"/>
      <c r="D842" s="43"/>
      <c r="E842" s="43"/>
      <c r="F842" s="361"/>
      <c r="G842" s="361"/>
      <c r="H842" s="361"/>
      <c r="I842" s="361"/>
      <c r="J842" s="361"/>
      <c r="K842" s="361"/>
      <c r="L842" s="361"/>
      <c r="M842" s="361"/>
      <c r="N842" s="361"/>
      <c r="O842" s="361"/>
      <c r="P842" s="361"/>
      <c r="Q842" s="361"/>
      <c r="R842" s="361"/>
      <c r="S842" s="361"/>
      <c r="T842" s="361"/>
      <c r="U842" s="361"/>
      <c r="V842" s="361"/>
      <c r="W842" s="362"/>
      <c r="X842" s="43"/>
      <c r="Y842" s="43"/>
      <c r="Z842" s="43"/>
      <c r="AA842" s="43"/>
    </row>
    <row r="843" ht="15.75" customHeight="1">
      <c r="A843" s="360"/>
      <c r="B843" s="43"/>
      <c r="C843" s="43"/>
      <c r="D843" s="43"/>
      <c r="E843" s="43"/>
      <c r="F843" s="361"/>
      <c r="G843" s="361"/>
      <c r="H843" s="361"/>
      <c r="I843" s="361"/>
      <c r="J843" s="361"/>
      <c r="K843" s="361"/>
      <c r="L843" s="361"/>
      <c r="M843" s="361"/>
      <c r="N843" s="361"/>
      <c r="O843" s="361"/>
      <c r="P843" s="361"/>
      <c r="Q843" s="361"/>
      <c r="R843" s="361"/>
      <c r="S843" s="361"/>
      <c r="T843" s="361"/>
      <c r="U843" s="361"/>
      <c r="V843" s="361"/>
      <c r="W843" s="362"/>
      <c r="X843" s="43"/>
      <c r="Y843" s="43"/>
      <c r="Z843" s="43"/>
      <c r="AA843" s="43"/>
    </row>
    <row r="844" ht="15.75" customHeight="1">
      <c r="A844" s="360"/>
      <c r="B844" s="43"/>
      <c r="C844" s="43"/>
      <c r="D844" s="43"/>
      <c r="E844" s="43"/>
      <c r="F844" s="361"/>
      <c r="G844" s="361"/>
      <c r="H844" s="361"/>
      <c r="I844" s="361"/>
      <c r="J844" s="361"/>
      <c r="K844" s="361"/>
      <c r="L844" s="361"/>
      <c r="M844" s="361"/>
      <c r="N844" s="361"/>
      <c r="O844" s="361"/>
      <c r="P844" s="361"/>
      <c r="Q844" s="361"/>
      <c r="R844" s="361"/>
      <c r="S844" s="361"/>
      <c r="T844" s="361"/>
      <c r="U844" s="361"/>
      <c r="V844" s="361"/>
      <c r="W844" s="362"/>
      <c r="X844" s="43"/>
      <c r="Y844" s="43"/>
      <c r="Z844" s="43"/>
      <c r="AA844" s="43"/>
    </row>
    <row r="845" ht="15.75" customHeight="1">
      <c r="A845" s="360"/>
      <c r="B845" s="43"/>
      <c r="C845" s="43"/>
      <c r="D845" s="43"/>
      <c r="E845" s="43"/>
      <c r="F845" s="361"/>
      <c r="G845" s="361"/>
      <c r="H845" s="361"/>
      <c r="I845" s="361"/>
      <c r="J845" s="361"/>
      <c r="K845" s="361"/>
      <c r="L845" s="361"/>
      <c r="M845" s="361"/>
      <c r="N845" s="361"/>
      <c r="O845" s="361"/>
      <c r="P845" s="361"/>
      <c r="Q845" s="361"/>
      <c r="R845" s="361"/>
      <c r="S845" s="361"/>
      <c r="T845" s="361"/>
      <c r="U845" s="361"/>
      <c r="V845" s="361"/>
      <c r="W845" s="362"/>
      <c r="X845" s="43"/>
      <c r="Y845" s="43"/>
      <c r="Z845" s="43"/>
      <c r="AA845" s="43"/>
    </row>
    <row r="846" ht="15.75" customHeight="1">
      <c r="A846" s="360"/>
      <c r="B846" s="43"/>
      <c r="C846" s="43"/>
      <c r="D846" s="43"/>
      <c r="E846" s="43"/>
      <c r="F846" s="361"/>
      <c r="G846" s="361"/>
      <c r="H846" s="361"/>
      <c r="I846" s="361"/>
      <c r="J846" s="361"/>
      <c r="K846" s="361"/>
      <c r="L846" s="361"/>
      <c r="M846" s="361"/>
      <c r="N846" s="361"/>
      <c r="O846" s="361"/>
      <c r="P846" s="361"/>
      <c r="Q846" s="361"/>
      <c r="R846" s="361"/>
      <c r="S846" s="361"/>
      <c r="T846" s="361"/>
      <c r="U846" s="361"/>
      <c r="V846" s="361"/>
      <c r="W846" s="362"/>
      <c r="X846" s="43"/>
      <c r="Y846" s="43"/>
      <c r="Z846" s="43"/>
      <c r="AA846" s="43"/>
    </row>
    <row r="847" ht="15.75" customHeight="1">
      <c r="A847" s="360"/>
      <c r="B847" s="43"/>
      <c r="C847" s="43"/>
      <c r="D847" s="43"/>
      <c r="E847" s="43"/>
      <c r="F847" s="361"/>
      <c r="G847" s="361"/>
      <c r="H847" s="361"/>
      <c r="I847" s="361"/>
      <c r="J847" s="361"/>
      <c r="K847" s="361"/>
      <c r="L847" s="361"/>
      <c r="M847" s="361"/>
      <c r="N847" s="361"/>
      <c r="O847" s="361"/>
      <c r="P847" s="361"/>
      <c r="Q847" s="361"/>
      <c r="R847" s="361"/>
      <c r="S847" s="361"/>
      <c r="T847" s="361"/>
      <c r="U847" s="361"/>
      <c r="V847" s="361"/>
      <c r="W847" s="362"/>
      <c r="X847" s="43"/>
      <c r="Y847" s="43"/>
      <c r="Z847" s="43"/>
      <c r="AA847" s="43"/>
    </row>
    <row r="848" ht="15.75" customHeight="1">
      <c r="A848" s="360"/>
      <c r="B848" s="43"/>
      <c r="C848" s="43"/>
      <c r="D848" s="43"/>
      <c r="E848" s="43"/>
      <c r="F848" s="361"/>
      <c r="G848" s="361"/>
      <c r="H848" s="361"/>
      <c r="I848" s="361"/>
      <c r="J848" s="361"/>
      <c r="K848" s="361"/>
      <c r="L848" s="361"/>
      <c r="M848" s="361"/>
      <c r="N848" s="361"/>
      <c r="O848" s="361"/>
      <c r="P848" s="361"/>
      <c r="Q848" s="361"/>
      <c r="R848" s="361"/>
      <c r="S848" s="361"/>
      <c r="T848" s="361"/>
      <c r="U848" s="361"/>
      <c r="V848" s="361"/>
      <c r="W848" s="362"/>
      <c r="X848" s="43"/>
      <c r="Y848" s="43"/>
      <c r="Z848" s="43"/>
      <c r="AA848" s="43"/>
    </row>
    <row r="849" ht="15.75" customHeight="1">
      <c r="A849" s="360"/>
      <c r="B849" s="43"/>
      <c r="C849" s="43"/>
      <c r="D849" s="43"/>
      <c r="E849" s="43"/>
      <c r="F849" s="361"/>
      <c r="G849" s="361"/>
      <c r="H849" s="361"/>
      <c r="I849" s="361"/>
      <c r="J849" s="361"/>
      <c r="K849" s="361"/>
      <c r="L849" s="361"/>
      <c r="M849" s="361"/>
      <c r="N849" s="361"/>
      <c r="O849" s="361"/>
      <c r="P849" s="361"/>
      <c r="Q849" s="361"/>
      <c r="R849" s="361"/>
      <c r="S849" s="361"/>
      <c r="T849" s="361"/>
      <c r="U849" s="361"/>
      <c r="V849" s="361"/>
      <c r="W849" s="362"/>
      <c r="X849" s="43"/>
      <c r="Y849" s="43"/>
      <c r="Z849" s="43"/>
      <c r="AA849" s="43"/>
    </row>
    <row r="850" ht="15.75" customHeight="1">
      <c r="A850" s="360"/>
      <c r="B850" s="43"/>
      <c r="C850" s="43"/>
      <c r="D850" s="43"/>
      <c r="E850" s="43"/>
      <c r="F850" s="361"/>
      <c r="G850" s="361"/>
      <c r="H850" s="361"/>
      <c r="I850" s="361"/>
      <c r="J850" s="361"/>
      <c r="K850" s="361"/>
      <c r="L850" s="361"/>
      <c r="M850" s="361"/>
      <c r="N850" s="361"/>
      <c r="O850" s="361"/>
      <c r="P850" s="361"/>
      <c r="Q850" s="361"/>
      <c r="R850" s="361"/>
      <c r="S850" s="361"/>
      <c r="T850" s="361"/>
      <c r="U850" s="361"/>
      <c r="V850" s="361"/>
      <c r="W850" s="362"/>
      <c r="X850" s="43"/>
      <c r="Y850" s="43"/>
      <c r="Z850" s="43"/>
      <c r="AA850" s="43"/>
    </row>
    <row r="851" ht="15.75" customHeight="1">
      <c r="A851" s="360"/>
      <c r="B851" s="43"/>
      <c r="C851" s="43"/>
      <c r="D851" s="43"/>
      <c r="E851" s="43"/>
      <c r="F851" s="361"/>
      <c r="G851" s="361"/>
      <c r="H851" s="361"/>
      <c r="I851" s="361"/>
      <c r="J851" s="361"/>
      <c r="K851" s="361"/>
      <c r="L851" s="361"/>
      <c r="M851" s="361"/>
      <c r="N851" s="361"/>
      <c r="O851" s="361"/>
      <c r="P851" s="361"/>
      <c r="Q851" s="361"/>
      <c r="R851" s="361"/>
      <c r="S851" s="361"/>
      <c r="T851" s="361"/>
      <c r="U851" s="361"/>
      <c r="V851" s="361"/>
      <c r="W851" s="362"/>
      <c r="X851" s="43"/>
      <c r="Y851" s="43"/>
      <c r="Z851" s="43"/>
      <c r="AA851" s="43"/>
    </row>
    <row r="852" ht="15.75" customHeight="1">
      <c r="A852" s="360"/>
      <c r="B852" s="43"/>
      <c r="C852" s="43"/>
      <c r="D852" s="43"/>
      <c r="E852" s="43"/>
      <c r="F852" s="361"/>
      <c r="G852" s="361"/>
      <c r="H852" s="361"/>
      <c r="I852" s="361"/>
      <c r="J852" s="361"/>
      <c r="K852" s="361"/>
      <c r="L852" s="361"/>
      <c r="M852" s="361"/>
      <c r="N852" s="361"/>
      <c r="O852" s="361"/>
      <c r="P852" s="361"/>
      <c r="Q852" s="361"/>
      <c r="R852" s="361"/>
      <c r="S852" s="361"/>
      <c r="T852" s="361"/>
      <c r="U852" s="361"/>
      <c r="V852" s="361"/>
      <c r="W852" s="362"/>
      <c r="X852" s="43"/>
      <c r="Y852" s="43"/>
      <c r="Z852" s="43"/>
      <c r="AA852" s="43"/>
    </row>
    <row r="853" ht="15.75" customHeight="1">
      <c r="A853" s="360"/>
      <c r="B853" s="43"/>
      <c r="C853" s="43"/>
      <c r="D853" s="43"/>
      <c r="E853" s="43"/>
      <c r="F853" s="361"/>
      <c r="G853" s="361"/>
      <c r="H853" s="361"/>
      <c r="I853" s="361"/>
      <c r="J853" s="361"/>
      <c r="K853" s="361"/>
      <c r="L853" s="361"/>
      <c r="M853" s="361"/>
      <c r="N853" s="361"/>
      <c r="O853" s="361"/>
      <c r="P853" s="361"/>
      <c r="Q853" s="361"/>
      <c r="R853" s="361"/>
      <c r="S853" s="361"/>
      <c r="T853" s="361"/>
      <c r="U853" s="361"/>
      <c r="V853" s="361"/>
      <c r="W853" s="362"/>
      <c r="X853" s="43"/>
      <c r="Y853" s="43"/>
      <c r="Z853" s="43"/>
      <c r="AA853" s="43"/>
    </row>
    <row r="854" ht="15.75" customHeight="1">
      <c r="A854" s="360"/>
      <c r="B854" s="43"/>
      <c r="C854" s="43"/>
      <c r="D854" s="43"/>
      <c r="E854" s="43"/>
      <c r="F854" s="361"/>
      <c r="G854" s="361"/>
      <c r="H854" s="361"/>
      <c r="I854" s="361"/>
      <c r="J854" s="361"/>
      <c r="K854" s="361"/>
      <c r="L854" s="361"/>
      <c r="M854" s="361"/>
      <c r="N854" s="361"/>
      <c r="O854" s="361"/>
      <c r="P854" s="361"/>
      <c r="Q854" s="361"/>
      <c r="R854" s="361"/>
      <c r="S854" s="361"/>
      <c r="T854" s="361"/>
      <c r="U854" s="361"/>
      <c r="V854" s="361"/>
      <c r="W854" s="362"/>
      <c r="X854" s="43"/>
      <c r="Y854" s="43"/>
      <c r="Z854" s="43"/>
      <c r="AA854" s="43"/>
    </row>
    <row r="855" ht="15.75" customHeight="1">
      <c r="A855" s="360"/>
      <c r="B855" s="43"/>
      <c r="C855" s="43"/>
      <c r="D855" s="43"/>
      <c r="E855" s="43"/>
      <c r="F855" s="361"/>
      <c r="G855" s="361"/>
      <c r="H855" s="361"/>
      <c r="I855" s="361"/>
      <c r="J855" s="361"/>
      <c r="K855" s="361"/>
      <c r="L855" s="361"/>
      <c r="M855" s="361"/>
      <c r="N855" s="361"/>
      <c r="O855" s="361"/>
      <c r="P855" s="361"/>
      <c r="Q855" s="361"/>
      <c r="R855" s="361"/>
      <c r="S855" s="361"/>
      <c r="T855" s="361"/>
      <c r="U855" s="361"/>
      <c r="V855" s="361"/>
      <c r="W855" s="362"/>
      <c r="X855" s="43"/>
      <c r="Y855" s="43"/>
      <c r="Z855" s="43"/>
      <c r="AA855" s="43"/>
    </row>
    <row r="856" ht="15.75" customHeight="1">
      <c r="A856" s="360"/>
      <c r="B856" s="43"/>
      <c r="C856" s="43"/>
      <c r="D856" s="43"/>
      <c r="E856" s="43"/>
      <c r="F856" s="361"/>
      <c r="G856" s="361"/>
      <c r="H856" s="361"/>
      <c r="I856" s="361"/>
      <c r="J856" s="361"/>
      <c r="K856" s="361"/>
      <c r="L856" s="361"/>
      <c r="M856" s="361"/>
      <c r="N856" s="361"/>
      <c r="O856" s="361"/>
      <c r="P856" s="361"/>
      <c r="Q856" s="361"/>
      <c r="R856" s="361"/>
      <c r="S856" s="361"/>
      <c r="T856" s="361"/>
      <c r="U856" s="361"/>
      <c r="V856" s="361"/>
      <c r="W856" s="362"/>
      <c r="X856" s="43"/>
      <c r="Y856" s="43"/>
      <c r="Z856" s="43"/>
      <c r="AA856" s="43"/>
    </row>
    <row r="857" ht="15.75" customHeight="1">
      <c r="A857" s="360"/>
      <c r="B857" s="43"/>
      <c r="C857" s="43"/>
      <c r="D857" s="43"/>
      <c r="E857" s="43"/>
      <c r="F857" s="361"/>
      <c r="G857" s="361"/>
      <c r="H857" s="361"/>
      <c r="I857" s="361"/>
      <c r="J857" s="361"/>
      <c r="K857" s="361"/>
      <c r="L857" s="361"/>
      <c r="M857" s="361"/>
      <c r="N857" s="361"/>
      <c r="O857" s="361"/>
      <c r="P857" s="361"/>
      <c r="Q857" s="361"/>
      <c r="R857" s="361"/>
      <c r="S857" s="361"/>
      <c r="T857" s="361"/>
      <c r="U857" s="361"/>
      <c r="V857" s="361"/>
      <c r="W857" s="362"/>
      <c r="X857" s="43"/>
      <c r="Y857" s="43"/>
      <c r="Z857" s="43"/>
      <c r="AA857" s="43"/>
    </row>
    <row r="858" ht="15.75" customHeight="1">
      <c r="A858" s="360"/>
      <c r="B858" s="43"/>
      <c r="C858" s="43"/>
      <c r="D858" s="43"/>
      <c r="E858" s="43"/>
      <c r="F858" s="361"/>
      <c r="G858" s="361"/>
      <c r="H858" s="361"/>
      <c r="I858" s="361"/>
      <c r="J858" s="361"/>
      <c r="K858" s="361"/>
      <c r="L858" s="361"/>
      <c r="M858" s="361"/>
      <c r="N858" s="361"/>
      <c r="O858" s="361"/>
      <c r="P858" s="361"/>
      <c r="Q858" s="361"/>
      <c r="R858" s="361"/>
      <c r="S858" s="361"/>
      <c r="T858" s="361"/>
      <c r="U858" s="361"/>
      <c r="V858" s="361"/>
      <c r="W858" s="362"/>
      <c r="X858" s="43"/>
      <c r="Y858" s="43"/>
      <c r="Z858" s="43"/>
      <c r="AA858" s="43"/>
    </row>
    <row r="859" ht="15.75" customHeight="1">
      <c r="A859" s="360"/>
      <c r="B859" s="43"/>
      <c r="C859" s="43"/>
      <c r="D859" s="43"/>
      <c r="E859" s="43"/>
      <c r="F859" s="361"/>
      <c r="G859" s="361"/>
      <c r="H859" s="361"/>
      <c r="I859" s="361"/>
      <c r="J859" s="361"/>
      <c r="K859" s="361"/>
      <c r="L859" s="361"/>
      <c r="M859" s="361"/>
      <c r="N859" s="361"/>
      <c r="O859" s="361"/>
      <c r="P859" s="361"/>
      <c r="Q859" s="361"/>
      <c r="R859" s="361"/>
      <c r="S859" s="361"/>
      <c r="T859" s="361"/>
      <c r="U859" s="361"/>
      <c r="V859" s="361"/>
      <c r="W859" s="362"/>
      <c r="X859" s="43"/>
      <c r="Y859" s="43"/>
      <c r="Z859" s="43"/>
      <c r="AA859" s="43"/>
    </row>
    <row r="860" ht="15.75" customHeight="1">
      <c r="A860" s="360"/>
      <c r="B860" s="43"/>
      <c r="C860" s="43"/>
      <c r="D860" s="43"/>
      <c r="E860" s="43"/>
      <c r="F860" s="361"/>
      <c r="G860" s="361"/>
      <c r="H860" s="361"/>
      <c r="I860" s="361"/>
      <c r="J860" s="361"/>
      <c r="K860" s="361"/>
      <c r="L860" s="361"/>
      <c r="M860" s="361"/>
      <c r="N860" s="361"/>
      <c r="O860" s="361"/>
      <c r="P860" s="361"/>
      <c r="Q860" s="361"/>
      <c r="R860" s="361"/>
      <c r="S860" s="361"/>
      <c r="T860" s="361"/>
      <c r="U860" s="361"/>
      <c r="V860" s="361"/>
      <c r="W860" s="362"/>
      <c r="X860" s="43"/>
      <c r="Y860" s="43"/>
      <c r="Z860" s="43"/>
      <c r="AA860" s="43"/>
    </row>
    <row r="861" ht="15.75" customHeight="1">
      <c r="A861" s="360"/>
      <c r="B861" s="43"/>
      <c r="C861" s="43"/>
      <c r="D861" s="43"/>
      <c r="E861" s="43"/>
      <c r="F861" s="361"/>
      <c r="G861" s="361"/>
      <c r="H861" s="361"/>
      <c r="I861" s="361"/>
      <c r="J861" s="361"/>
      <c r="K861" s="361"/>
      <c r="L861" s="361"/>
      <c r="M861" s="361"/>
      <c r="N861" s="361"/>
      <c r="O861" s="361"/>
      <c r="P861" s="361"/>
      <c r="Q861" s="361"/>
      <c r="R861" s="361"/>
      <c r="S861" s="361"/>
      <c r="T861" s="361"/>
      <c r="U861" s="361"/>
      <c r="V861" s="361"/>
      <c r="W861" s="362"/>
      <c r="X861" s="43"/>
      <c r="Y861" s="43"/>
      <c r="Z861" s="43"/>
      <c r="AA861" s="43"/>
    </row>
    <row r="862" ht="15.75" customHeight="1">
      <c r="A862" s="360"/>
      <c r="B862" s="43"/>
      <c r="C862" s="43"/>
      <c r="D862" s="43"/>
      <c r="E862" s="43"/>
      <c r="F862" s="361"/>
      <c r="G862" s="361"/>
      <c r="H862" s="361"/>
      <c r="I862" s="361"/>
      <c r="J862" s="361"/>
      <c r="K862" s="361"/>
      <c r="L862" s="361"/>
      <c r="M862" s="361"/>
      <c r="N862" s="361"/>
      <c r="O862" s="361"/>
      <c r="P862" s="361"/>
      <c r="Q862" s="361"/>
      <c r="R862" s="361"/>
      <c r="S862" s="361"/>
      <c r="T862" s="361"/>
      <c r="U862" s="361"/>
      <c r="V862" s="361"/>
      <c r="W862" s="362"/>
      <c r="X862" s="43"/>
      <c r="Y862" s="43"/>
      <c r="Z862" s="43"/>
      <c r="AA862" s="43"/>
    </row>
    <row r="863" ht="15.75" customHeight="1">
      <c r="A863" s="360"/>
      <c r="B863" s="43"/>
      <c r="C863" s="43"/>
      <c r="D863" s="43"/>
      <c r="E863" s="43"/>
      <c r="F863" s="361"/>
      <c r="G863" s="361"/>
      <c r="H863" s="361"/>
      <c r="I863" s="361"/>
      <c r="J863" s="361"/>
      <c r="K863" s="361"/>
      <c r="L863" s="361"/>
      <c r="M863" s="361"/>
      <c r="N863" s="361"/>
      <c r="O863" s="361"/>
      <c r="P863" s="361"/>
      <c r="Q863" s="361"/>
      <c r="R863" s="361"/>
      <c r="S863" s="361"/>
      <c r="T863" s="361"/>
      <c r="U863" s="361"/>
      <c r="V863" s="361"/>
      <c r="W863" s="362"/>
      <c r="X863" s="43"/>
      <c r="Y863" s="43"/>
      <c r="Z863" s="43"/>
      <c r="AA863" s="43"/>
    </row>
    <row r="864" ht="15.75" customHeight="1">
      <c r="A864" s="360"/>
      <c r="B864" s="43"/>
      <c r="C864" s="43"/>
      <c r="D864" s="43"/>
      <c r="E864" s="43"/>
      <c r="F864" s="361"/>
      <c r="G864" s="361"/>
      <c r="H864" s="361"/>
      <c r="I864" s="361"/>
      <c r="J864" s="361"/>
      <c r="K864" s="361"/>
      <c r="L864" s="361"/>
      <c r="M864" s="361"/>
      <c r="N864" s="361"/>
      <c r="O864" s="361"/>
      <c r="P864" s="361"/>
      <c r="Q864" s="361"/>
      <c r="R864" s="361"/>
      <c r="S864" s="361"/>
      <c r="T864" s="361"/>
      <c r="U864" s="361"/>
      <c r="V864" s="361"/>
      <c r="W864" s="362"/>
      <c r="X864" s="43"/>
      <c r="Y864" s="43"/>
      <c r="Z864" s="43"/>
      <c r="AA864" s="43"/>
    </row>
    <row r="865" ht="15.75" customHeight="1">
      <c r="A865" s="360"/>
      <c r="B865" s="43"/>
      <c r="C865" s="43"/>
      <c r="D865" s="43"/>
      <c r="E865" s="43"/>
      <c r="F865" s="361"/>
      <c r="G865" s="361"/>
      <c r="H865" s="361"/>
      <c r="I865" s="361"/>
      <c r="J865" s="361"/>
      <c r="K865" s="361"/>
      <c r="L865" s="361"/>
      <c r="M865" s="361"/>
      <c r="N865" s="361"/>
      <c r="O865" s="361"/>
      <c r="P865" s="361"/>
      <c r="Q865" s="361"/>
      <c r="R865" s="361"/>
      <c r="S865" s="361"/>
      <c r="T865" s="361"/>
      <c r="U865" s="361"/>
      <c r="V865" s="361"/>
      <c r="W865" s="362"/>
      <c r="X865" s="43"/>
      <c r="Y865" s="43"/>
      <c r="Z865" s="43"/>
      <c r="AA865" s="43"/>
    </row>
    <row r="866" ht="15.75" customHeight="1">
      <c r="A866" s="360"/>
      <c r="B866" s="43"/>
      <c r="C866" s="43"/>
      <c r="D866" s="43"/>
      <c r="E866" s="43"/>
      <c r="F866" s="361"/>
      <c r="G866" s="361"/>
      <c r="H866" s="361"/>
      <c r="I866" s="361"/>
      <c r="J866" s="361"/>
      <c r="K866" s="361"/>
      <c r="L866" s="361"/>
      <c r="M866" s="361"/>
      <c r="N866" s="361"/>
      <c r="O866" s="361"/>
      <c r="P866" s="361"/>
      <c r="Q866" s="361"/>
      <c r="R866" s="361"/>
      <c r="S866" s="361"/>
      <c r="T866" s="361"/>
      <c r="U866" s="361"/>
      <c r="V866" s="361"/>
      <c r="W866" s="362"/>
      <c r="X866" s="43"/>
      <c r="Y866" s="43"/>
      <c r="Z866" s="43"/>
      <c r="AA866" s="43"/>
    </row>
    <row r="867" ht="15.75" customHeight="1">
      <c r="A867" s="360"/>
      <c r="B867" s="43"/>
      <c r="C867" s="43"/>
      <c r="D867" s="43"/>
      <c r="E867" s="43"/>
      <c r="F867" s="361"/>
      <c r="G867" s="361"/>
      <c r="H867" s="361"/>
      <c r="I867" s="361"/>
      <c r="J867" s="361"/>
      <c r="K867" s="361"/>
      <c r="L867" s="361"/>
      <c r="M867" s="361"/>
      <c r="N867" s="361"/>
      <c r="O867" s="361"/>
      <c r="P867" s="361"/>
      <c r="Q867" s="361"/>
      <c r="R867" s="361"/>
      <c r="S867" s="361"/>
      <c r="T867" s="361"/>
      <c r="U867" s="361"/>
      <c r="V867" s="361"/>
      <c r="W867" s="362"/>
      <c r="X867" s="43"/>
      <c r="Y867" s="43"/>
      <c r="Z867" s="43"/>
      <c r="AA867" s="43"/>
    </row>
    <row r="868" ht="15.75" customHeight="1">
      <c r="A868" s="360"/>
      <c r="B868" s="43"/>
      <c r="C868" s="43"/>
      <c r="D868" s="43"/>
      <c r="E868" s="43"/>
      <c r="F868" s="361"/>
      <c r="G868" s="361"/>
      <c r="H868" s="361"/>
      <c r="I868" s="361"/>
      <c r="J868" s="361"/>
      <c r="K868" s="361"/>
      <c r="L868" s="361"/>
      <c r="M868" s="361"/>
      <c r="N868" s="361"/>
      <c r="O868" s="361"/>
      <c r="P868" s="361"/>
      <c r="Q868" s="361"/>
      <c r="R868" s="361"/>
      <c r="S868" s="361"/>
      <c r="T868" s="361"/>
      <c r="U868" s="361"/>
      <c r="V868" s="361"/>
      <c r="W868" s="362"/>
      <c r="X868" s="43"/>
      <c r="Y868" s="43"/>
      <c r="Z868" s="43"/>
      <c r="AA868" s="43"/>
    </row>
    <row r="869" ht="15.75" customHeight="1">
      <c r="A869" s="360"/>
      <c r="B869" s="43"/>
      <c r="C869" s="43"/>
      <c r="D869" s="43"/>
      <c r="E869" s="43"/>
      <c r="F869" s="361"/>
      <c r="G869" s="361"/>
      <c r="H869" s="361"/>
      <c r="I869" s="361"/>
      <c r="J869" s="361"/>
      <c r="K869" s="361"/>
      <c r="L869" s="361"/>
      <c r="M869" s="361"/>
      <c r="N869" s="361"/>
      <c r="O869" s="361"/>
      <c r="P869" s="361"/>
      <c r="Q869" s="361"/>
      <c r="R869" s="361"/>
      <c r="S869" s="361"/>
      <c r="T869" s="361"/>
      <c r="U869" s="361"/>
      <c r="V869" s="361"/>
      <c r="W869" s="362"/>
      <c r="X869" s="43"/>
      <c r="Y869" s="43"/>
      <c r="Z869" s="43"/>
      <c r="AA869" s="43"/>
    </row>
    <row r="870" ht="15.75" customHeight="1">
      <c r="A870" s="360"/>
      <c r="B870" s="43"/>
      <c r="C870" s="43"/>
      <c r="D870" s="43"/>
      <c r="E870" s="43"/>
      <c r="F870" s="361"/>
      <c r="G870" s="361"/>
      <c r="H870" s="361"/>
      <c r="I870" s="361"/>
      <c r="J870" s="361"/>
      <c r="K870" s="361"/>
      <c r="L870" s="361"/>
      <c r="M870" s="361"/>
      <c r="N870" s="361"/>
      <c r="O870" s="361"/>
      <c r="P870" s="361"/>
      <c r="Q870" s="361"/>
      <c r="R870" s="361"/>
      <c r="S870" s="361"/>
      <c r="T870" s="361"/>
      <c r="U870" s="361"/>
      <c r="V870" s="361"/>
      <c r="W870" s="362"/>
      <c r="X870" s="43"/>
      <c r="Y870" s="43"/>
      <c r="Z870" s="43"/>
      <c r="AA870" s="43"/>
    </row>
    <row r="871" ht="15.75" customHeight="1">
      <c r="A871" s="360"/>
      <c r="B871" s="43"/>
      <c r="C871" s="43"/>
      <c r="D871" s="43"/>
      <c r="E871" s="43"/>
      <c r="F871" s="361"/>
      <c r="G871" s="361"/>
      <c r="H871" s="361"/>
      <c r="I871" s="361"/>
      <c r="J871" s="361"/>
      <c r="K871" s="361"/>
      <c r="L871" s="361"/>
      <c r="M871" s="361"/>
      <c r="N871" s="361"/>
      <c r="O871" s="361"/>
      <c r="P871" s="361"/>
      <c r="Q871" s="361"/>
      <c r="R871" s="361"/>
      <c r="S871" s="361"/>
      <c r="T871" s="361"/>
      <c r="U871" s="361"/>
      <c r="V871" s="361"/>
      <c r="W871" s="362"/>
      <c r="X871" s="43"/>
      <c r="Y871" s="43"/>
      <c r="Z871" s="43"/>
      <c r="AA871" s="43"/>
    </row>
    <row r="872" ht="15.75" customHeight="1">
      <c r="A872" s="360"/>
      <c r="B872" s="43"/>
      <c r="C872" s="43"/>
      <c r="D872" s="43"/>
      <c r="E872" s="43"/>
      <c r="F872" s="361"/>
      <c r="G872" s="361"/>
      <c r="H872" s="361"/>
      <c r="I872" s="361"/>
      <c r="J872" s="361"/>
      <c r="K872" s="361"/>
      <c r="L872" s="361"/>
      <c r="M872" s="361"/>
      <c r="N872" s="361"/>
      <c r="O872" s="361"/>
      <c r="P872" s="361"/>
      <c r="Q872" s="361"/>
      <c r="R872" s="361"/>
      <c r="S872" s="361"/>
      <c r="T872" s="361"/>
      <c r="U872" s="361"/>
      <c r="V872" s="361"/>
      <c r="W872" s="362"/>
      <c r="X872" s="43"/>
      <c r="Y872" s="43"/>
      <c r="Z872" s="43"/>
      <c r="AA872" s="43"/>
    </row>
    <row r="873" ht="15.75" customHeight="1">
      <c r="A873" s="360"/>
      <c r="B873" s="43"/>
      <c r="C873" s="43"/>
      <c r="D873" s="43"/>
      <c r="E873" s="43"/>
      <c r="F873" s="361"/>
      <c r="G873" s="361"/>
      <c r="H873" s="361"/>
      <c r="I873" s="361"/>
      <c r="J873" s="361"/>
      <c r="K873" s="361"/>
      <c r="L873" s="361"/>
      <c r="M873" s="361"/>
      <c r="N873" s="361"/>
      <c r="O873" s="361"/>
      <c r="P873" s="361"/>
      <c r="Q873" s="361"/>
      <c r="R873" s="361"/>
      <c r="S873" s="361"/>
      <c r="T873" s="361"/>
      <c r="U873" s="361"/>
      <c r="V873" s="361"/>
      <c r="W873" s="362"/>
      <c r="X873" s="43"/>
      <c r="Y873" s="43"/>
      <c r="Z873" s="43"/>
      <c r="AA873" s="43"/>
    </row>
    <row r="874" ht="15.75" customHeight="1">
      <c r="A874" s="360"/>
      <c r="B874" s="43"/>
      <c r="C874" s="43"/>
      <c r="D874" s="43"/>
      <c r="E874" s="43"/>
      <c r="F874" s="361"/>
      <c r="G874" s="361"/>
      <c r="H874" s="361"/>
      <c r="I874" s="361"/>
      <c r="J874" s="361"/>
      <c r="K874" s="361"/>
      <c r="L874" s="361"/>
      <c r="M874" s="361"/>
      <c r="N874" s="361"/>
      <c r="O874" s="361"/>
      <c r="P874" s="361"/>
      <c r="Q874" s="361"/>
      <c r="R874" s="361"/>
      <c r="S874" s="361"/>
      <c r="T874" s="361"/>
      <c r="U874" s="361"/>
      <c r="V874" s="361"/>
      <c r="W874" s="362"/>
      <c r="X874" s="43"/>
      <c r="Y874" s="43"/>
      <c r="Z874" s="43"/>
      <c r="AA874" s="43"/>
    </row>
    <row r="875" ht="15.75" customHeight="1">
      <c r="A875" s="360"/>
      <c r="B875" s="43"/>
      <c r="C875" s="43"/>
      <c r="D875" s="43"/>
      <c r="E875" s="43"/>
      <c r="F875" s="361"/>
      <c r="G875" s="361"/>
      <c r="H875" s="361"/>
      <c r="I875" s="361"/>
      <c r="J875" s="361"/>
      <c r="K875" s="361"/>
      <c r="L875" s="361"/>
      <c r="M875" s="361"/>
      <c r="N875" s="361"/>
      <c r="O875" s="361"/>
      <c r="P875" s="361"/>
      <c r="Q875" s="361"/>
      <c r="R875" s="361"/>
      <c r="S875" s="361"/>
      <c r="T875" s="361"/>
      <c r="U875" s="361"/>
      <c r="V875" s="361"/>
      <c r="W875" s="362"/>
      <c r="X875" s="43"/>
      <c r="Y875" s="43"/>
      <c r="Z875" s="43"/>
      <c r="AA875" s="43"/>
    </row>
    <row r="876" ht="15.75" customHeight="1">
      <c r="A876" s="360"/>
      <c r="B876" s="43"/>
      <c r="C876" s="43"/>
      <c r="D876" s="43"/>
      <c r="E876" s="43"/>
      <c r="F876" s="361"/>
      <c r="G876" s="361"/>
      <c r="H876" s="361"/>
      <c r="I876" s="361"/>
      <c r="J876" s="361"/>
      <c r="K876" s="361"/>
      <c r="L876" s="361"/>
      <c r="M876" s="361"/>
      <c r="N876" s="361"/>
      <c r="O876" s="361"/>
      <c r="P876" s="361"/>
      <c r="Q876" s="361"/>
      <c r="R876" s="361"/>
      <c r="S876" s="361"/>
      <c r="T876" s="361"/>
      <c r="U876" s="361"/>
      <c r="V876" s="361"/>
      <c r="W876" s="362"/>
      <c r="X876" s="43"/>
      <c r="Y876" s="43"/>
      <c r="Z876" s="43"/>
      <c r="AA876" s="43"/>
    </row>
    <row r="877" ht="15.75" customHeight="1">
      <c r="A877" s="360"/>
      <c r="B877" s="43"/>
      <c r="C877" s="43"/>
      <c r="D877" s="43"/>
      <c r="E877" s="43"/>
      <c r="F877" s="361"/>
      <c r="G877" s="361"/>
      <c r="H877" s="361"/>
      <c r="I877" s="361"/>
      <c r="J877" s="361"/>
      <c r="K877" s="361"/>
      <c r="L877" s="361"/>
      <c r="M877" s="361"/>
      <c r="N877" s="361"/>
      <c r="O877" s="361"/>
      <c r="P877" s="361"/>
      <c r="Q877" s="361"/>
      <c r="R877" s="361"/>
      <c r="S877" s="361"/>
      <c r="T877" s="361"/>
      <c r="U877" s="361"/>
      <c r="V877" s="361"/>
      <c r="W877" s="362"/>
      <c r="X877" s="43"/>
      <c r="Y877" s="43"/>
      <c r="Z877" s="43"/>
      <c r="AA877" s="43"/>
    </row>
    <row r="878" ht="15.75" customHeight="1">
      <c r="A878" s="360"/>
      <c r="B878" s="43"/>
      <c r="C878" s="43"/>
      <c r="D878" s="43"/>
      <c r="E878" s="43"/>
      <c r="F878" s="361"/>
      <c r="G878" s="361"/>
      <c r="H878" s="361"/>
      <c r="I878" s="361"/>
      <c r="J878" s="361"/>
      <c r="K878" s="361"/>
      <c r="L878" s="361"/>
      <c r="M878" s="361"/>
      <c r="N878" s="361"/>
      <c r="O878" s="361"/>
      <c r="P878" s="361"/>
      <c r="Q878" s="361"/>
      <c r="R878" s="361"/>
      <c r="S878" s="361"/>
      <c r="T878" s="361"/>
      <c r="U878" s="361"/>
      <c r="V878" s="361"/>
      <c r="W878" s="362"/>
      <c r="X878" s="43"/>
      <c r="Y878" s="43"/>
      <c r="Z878" s="43"/>
      <c r="AA878" s="43"/>
    </row>
    <row r="879" ht="15.75" customHeight="1">
      <c r="A879" s="360"/>
      <c r="B879" s="43"/>
      <c r="C879" s="43"/>
      <c r="D879" s="43"/>
      <c r="E879" s="43"/>
      <c r="F879" s="361"/>
      <c r="G879" s="361"/>
      <c r="H879" s="361"/>
      <c r="I879" s="361"/>
      <c r="J879" s="361"/>
      <c r="K879" s="361"/>
      <c r="L879" s="361"/>
      <c r="M879" s="361"/>
      <c r="N879" s="361"/>
      <c r="O879" s="361"/>
      <c r="P879" s="361"/>
      <c r="Q879" s="361"/>
      <c r="R879" s="361"/>
      <c r="S879" s="361"/>
      <c r="T879" s="361"/>
      <c r="U879" s="361"/>
      <c r="V879" s="361"/>
      <c r="W879" s="362"/>
      <c r="X879" s="43"/>
      <c r="Y879" s="43"/>
      <c r="Z879" s="43"/>
      <c r="AA879" s="43"/>
    </row>
    <row r="880" ht="15.75" customHeight="1">
      <c r="A880" s="360"/>
      <c r="B880" s="43"/>
      <c r="C880" s="43"/>
      <c r="D880" s="43"/>
      <c r="E880" s="43"/>
      <c r="F880" s="361"/>
      <c r="G880" s="361"/>
      <c r="H880" s="361"/>
      <c r="I880" s="361"/>
      <c r="J880" s="361"/>
      <c r="K880" s="361"/>
      <c r="L880" s="361"/>
      <c r="M880" s="361"/>
      <c r="N880" s="361"/>
      <c r="O880" s="361"/>
      <c r="P880" s="361"/>
      <c r="Q880" s="361"/>
      <c r="R880" s="361"/>
      <c r="S880" s="361"/>
      <c r="T880" s="361"/>
      <c r="U880" s="361"/>
      <c r="V880" s="361"/>
      <c r="W880" s="362"/>
      <c r="X880" s="43"/>
      <c r="Y880" s="43"/>
      <c r="Z880" s="43"/>
      <c r="AA880" s="43"/>
    </row>
    <row r="881" ht="15.75" customHeight="1">
      <c r="A881" s="360"/>
      <c r="B881" s="43"/>
      <c r="C881" s="43"/>
      <c r="D881" s="43"/>
      <c r="E881" s="43"/>
      <c r="F881" s="361"/>
      <c r="G881" s="361"/>
      <c r="H881" s="361"/>
      <c r="I881" s="361"/>
      <c r="J881" s="361"/>
      <c r="K881" s="361"/>
      <c r="L881" s="361"/>
      <c r="M881" s="361"/>
      <c r="N881" s="361"/>
      <c r="O881" s="361"/>
      <c r="P881" s="361"/>
      <c r="Q881" s="361"/>
      <c r="R881" s="361"/>
      <c r="S881" s="361"/>
      <c r="T881" s="361"/>
      <c r="U881" s="361"/>
      <c r="V881" s="361"/>
      <c r="W881" s="362"/>
      <c r="X881" s="43"/>
      <c r="Y881" s="43"/>
      <c r="Z881" s="43"/>
      <c r="AA881" s="43"/>
    </row>
    <row r="882" ht="15.75" customHeight="1">
      <c r="A882" s="360"/>
      <c r="B882" s="43"/>
      <c r="C882" s="43"/>
      <c r="D882" s="43"/>
      <c r="E882" s="43"/>
      <c r="F882" s="361"/>
      <c r="G882" s="361"/>
      <c r="H882" s="361"/>
      <c r="I882" s="361"/>
      <c r="J882" s="361"/>
      <c r="K882" s="361"/>
      <c r="L882" s="361"/>
      <c r="M882" s="361"/>
      <c r="N882" s="361"/>
      <c r="O882" s="361"/>
      <c r="P882" s="361"/>
      <c r="Q882" s="361"/>
      <c r="R882" s="361"/>
      <c r="S882" s="361"/>
      <c r="T882" s="361"/>
      <c r="U882" s="361"/>
      <c r="V882" s="361"/>
      <c r="W882" s="362"/>
      <c r="X882" s="43"/>
      <c r="Y882" s="43"/>
      <c r="Z882" s="43"/>
      <c r="AA882" s="43"/>
    </row>
    <row r="883" ht="15.75" customHeight="1">
      <c r="A883" s="360"/>
      <c r="B883" s="43"/>
      <c r="C883" s="43"/>
      <c r="D883" s="43"/>
      <c r="E883" s="43"/>
      <c r="F883" s="361"/>
      <c r="G883" s="361"/>
      <c r="H883" s="361"/>
      <c r="I883" s="361"/>
      <c r="J883" s="361"/>
      <c r="K883" s="361"/>
      <c r="L883" s="361"/>
      <c r="M883" s="361"/>
      <c r="N883" s="361"/>
      <c r="O883" s="361"/>
      <c r="P883" s="361"/>
      <c r="Q883" s="361"/>
      <c r="R883" s="361"/>
      <c r="S883" s="361"/>
      <c r="T883" s="361"/>
      <c r="U883" s="361"/>
      <c r="V883" s="361"/>
      <c r="W883" s="362"/>
      <c r="X883" s="43"/>
      <c r="Y883" s="43"/>
      <c r="Z883" s="43"/>
      <c r="AA883" s="43"/>
    </row>
    <row r="884" ht="15.75" customHeight="1">
      <c r="A884" s="360"/>
      <c r="B884" s="43"/>
      <c r="C884" s="43"/>
      <c r="D884" s="43"/>
      <c r="E884" s="43"/>
      <c r="F884" s="361"/>
      <c r="G884" s="361"/>
      <c r="H884" s="361"/>
      <c r="I884" s="361"/>
      <c r="J884" s="361"/>
      <c r="K884" s="361"/>
      <c r="L884" s="361"/>
      <c r="M884" s="361"/>
      <c r="N884" s="361"/>
      <c r="O884" s="361"/>
      <c r="P884" s="361"/>
      <c r="Q884" s="361"/>
      <c r="R884" s="361"/>
      <c r="S884" s="361"/>
      <c r="T884" s="361"/>
      <c r="U884" s="361"/>
      <c r="V884" s="361"/>
      <c r="W884" s="362"/>
      <c r="X884" s="43"/>
      <c r="Y884" s="43"/>
      <c r="Z884" s="43"/>
      <c r="AA884" s="43"/>
    </row>
    <row r="885" ht="15.75" customHeight="1">
      <c r="A885" s="360"/>
      <c r="B885" s="43"/>
      <c r="C885" s="43"/>
      <c r="D885" s="43"/>
      <c r="E885" s="43"/>
      <c r="F885" s="361"/>
      <c r="G885" s="361"/>
      <c r="H885" s="361"/>
      <c r="I885" s="361"/>
      <c r="J885" s="361"/>
      <c r="K885" s="361"/>
      <c r="L885" s="361"/>
      <c r="M885" s="361"/>
      <c r="N885" s="361"/>
      <c r="O885" s="361"/>
      <c r="P885" s="361"/>
      <c r="Q885" s="361"/>
      <c r="R885" s="361"/>
      <c r="S885" s="361"/>
      <c r="T885" s="361"/>
      <c r="U885" s="361"/>
      <c r="V885" s="361"/>
      <c r="W885" s="362"/>
      <c r="X885" s="43"/>
      <c r="Y885" s="43"/>
      <c r="Z885" s="43"/>
      <c r="AA885" s="43"/>
    </row>
    <row r="886" ht="15.75" customHeight="1">
      <c r="A886" s="360"/>
      <c r="B886" s="43"/>
      <c r="C886" s="43"/>
      <c r="D886" s="43"/>
      <c r="E886" s="43"/>
      <c r="F886" s="361"/>
      <c r="G886" s="361"/>
      <c r="H886" s="361"/>
      <c r="I886" s="361"/>
      <c r="J886" s="361"/>
      <c r="K886" s="361"/>
      <c r="L886" s="361"/>
      <c r="M886" s="361"/>
      <c r="N886" s="361"/>
      <c r="O886" s="361"/>
      <c r="P886" s="361"/>
      <c r="Q886" s="361"/>
      <c r="R886" s="361"/>
      <c r="S886" s="361"/>
      <c r="T886" s="361"/>
      <c r="U886" s="361"/>
      <c r="V886" s="361"/>
      <c r="W886" s="362"/>
      <c r="X886" s="43"/>
      <c r="Y886" s="43"/>
      <c r="Z886" s="43"/>
      <c r="AA886" s="43"/>
    </row>
    <row r="887" ht="15.75" customHeight="1">
      <c r="A887" s="360"/>
      <c r="B887" s="43"/>
      <c r="C887" s="43"/>
      <c r="D887" s="43"/>
      <c r="E887" s="43"/>
      <c r="F887" s="361"/>
      <c r="G887" s="361"/>
      <c r="H887" s="361"/>
      <c r="I887" s="361"/>
      <c r="J887" s="361"/>
      <c r="K887" s="361"/>
      <c r="L887" s="361"/>
      <c r="M887" s="361"/>
      <c r="N887" s="361"/>
      <c r="O887" s="361"/>
      <c r="P887" s="361"/>
      <c r="Q887" s="361"/>
      <c r="R887" s="361"/>
      <c r="S887" s="361"/>
      <c r="T887" s="361"/>
      <c r="U887" s="361"/>
      <c r="V887" s="361"/>
      <c r="W887" s="362"/>
      <c r="X887" s="43"/>
      <c r="Y887" s="43"/>
      <c r="Z887" s="43"/>
      <c r="AA887" s="43"/>
    </row>
    <row r="888" ht="15.75" customHeight="1">
      <c r="A888" s="360"/>
      <c r="B888" s="43"/>
      <c r="C888" s="43"/>
      <c r="D888" s="43"/>
      <c r="E888" s="43"/>
      <c r="F888" s="361"/>
      <c r="G888" s="361"/>
      <c r="H888" s="361"/>
      <c r="I888" s="361"/>
      <c r="J888" s="361"/>
      <c r="K888" s="361"/>
      <c r="L888" s="361"/>
      <c r="M888" s="361"/>
      <c r="N888" s="361"/>
      <c r="O888" s="361"/>
      <c r="P888" s="361"/>
      <c r="Q888" s="361"/>
      <c r="R888" s="361"/>
      <c r="S888" s="361"/>
      <c r="T888" s="361"/>
      <c r="U888" s="361"/>
      <c r="V888" s="361"/>
      <c r="W888" s="362"/>
      <c r="X888" s="43"/>
      <c r="Y888" s="43"/>
      <c r="Z888" s="43"/>
      <c r="AA888" s="43"/>
    </row>
    <row r="889" ht="15.75" customHeight="1">
      <c r="A889" s="360"/>
      <c r="B889" s="43"/>
      <c r="C889" s="43"/>
      <c r="D889" s="43"/>
      <c r="E889" s="43"/>
      <c r="F889" s="361"/>
      <c r="G889" s="361"/>
      <c r="H889" s="361"/>
      <c r="I889" s="361"/>
      <c r="J889" s="361"/>
      <c r="K889" s="361"/>
      <c r="L889" s="361"/>
      <c r="M889" s="361"/>
      <c r="N889" s="361"/>
      <c r="O889" s="361"/>
      <c r="P889" s="361"/>
      <c r="Q889" s="361"/>
      <c r="R889" s="361"/>
      <c r="S889" s="361"/>
      <c r="T889" s="361"/>
      <c r="U889" s="361"/>
      <c r="V889" s="361"/>
      <c r="W889" s="362"/>
      <c r="X889" s="43"/>
      <c r="Y889" s="43"/>
      <c r="Z889" s="43"/>
      <c r="AA889" s="43"/>
    </row>
    <row r="890" ht="15.75" customHeight="1">
      <c r="A890" s="360"/>
      <c r="B890" s="43"/>
      <c r="C890" s="43"/>
      <c r="D890" s="43"/>
      <c r="E890" s="43"/>
      <c r="F890" s="361"/>
      <c r="G890" s="361"/>
      <c r="H890" s="361"/>
      <c r="I890" s="361"/>
      <c r="J890" s="361"/>
      <c r="K890" s="361"/>
      <c r="L890" s="361"/>
      <c r="M890" s="361"/>
      <c r="N890" s="361"/>
      <c r="O890" s="361"/>
      <c r="P890" s="361"/>
      <c r="Q890" s="361"/>
      <c r="R890" s="361"/>
      <c r="S890" s="361"/>
      <c r="T890" s="361"/>
      <c r="U890" s="361"/>
      <c r="V890" s="361"/>
      <c r="W890" s="362"/>
      <c r="X890" s="43"/>
      <c r="Y890" s="43"/>
      <c r="Z890" s="43"/>
      <c r="AA890" s="43"/>
    </row>
    <row r="891" ht="15.75" customHeight="1">
      <c r="A891" s="360"/>
      <c r="B891" s="43"/>
      <c r="C891" s="43"/>
      <c r="D891" s="43"/>
      <c r="E891" s="43"/>
      <c r="F891" s="361"/>
      <c r="G891" s="361"/>
      <c r="H891" s="361"/>
      <c r="I891" s="361"/>
      <c r="J891" s="361"/>
      <c r="K891" s="361"/>
      <c r="L891" s="361"/>
      <c r="M891" s="361"/>
      <c r="N891" s="361"/>
      <c r="O891" s="361"/>
      <c r="P891" s="361"/>
      <c r="Q891" s="361"/>
      <c r="R891" s="361"/>
      <c r="S891" s="361"/>
      <c r="T891" s="361"/>
      <c r="U891" s="361"/>
      <c r="V891" s="361"/>
      <c r="W891" s="362"/>
      <c r="X891" s="43"/>
      <c r="Y891" s="43"/>
      <c r="Z891" s="43"/>
      <c r="AA891" s="43"/>
    </row>
    <row r="892" ht="15.75" customHeight="1">
      <c r="A892" s="360"/>
      <c r="B892" s="43"/>
      <c r="C892" s="43"/>
      <c r="D892" s="43"/>
      <c r="E892" s="43"/>
      <c r="F892" s="361"/>
      <c r="G892" s="361"/>
      <c r="H892" s="361"/>
      <c r="I892" s="361"/>
      <c r="J892" s="361"/>
      <c r="K892" s="361"/>
      <c r="L892" s="361"/>
      <c r="M892" s="361"/>
      <c r="N892" s="361"/>
      <c r="O892" s="361"/>
      <c r="P892" s="361"/>
      <c r="Q892" s="361"/>
      <c r="R892" s="361"/>
      <c r="S892" s="361"/>
      <c r="T892" s="361"/>
      <c r="U892" s="361"/>
      <c r="V892" s="361"/>
      <c r="W892" s="362"/>
      <c r="X892" s="43"/>
      <c r="Y892" s="43"/>
      <c r="Z892" s="43"/>
      <c r="AA892" s="43"/>
    </row>
    <row r="893" ht="15.75" customHeight="1">
      <c r="A893" s="360"/>
      <c r="B893" s="43"/>
      <c r="C893" s="43"/>
      <c r="D893" s="43"/>
      <c r="E893" s="43"/>
      <c r="F893" s="361"/>
      <c r="G893" s="361"/>
      <c r="H893" s="361"/>
      <c r="I893" s="361"/>
      <c r="J893" s="361"/>
      <c r="K893" s="361"/>
      <c r="L893" s="361"/>
      <c r="M893" s="361"/>
      <c r="N893" s="361"/>
      <c r="O893" s="361"/>
      <c r="P893" s="361"/>
      <c r="Q893" s="361"/>
      <c r="R893" s="361"/>
      <c r="S893" s="361"/>
      <c r="T893" s="361"/>
      <c r="U893" s="361"/>
      <c r="V893" s="361"/>
      <c r="W893" s="362"/>
      <c r="X893" s="43"/>
      <c r="Y893" s="43"/>
      <c r="Z893" s="43"/>
      <c r="AA893" s="43"/>
    </row>
    <row r="894" ht="15.75" customHeight="1">
      <c r="A894" s="360"/>
      <c r="B894" s="43"/>
      <c r="C894" s="43"/>
      <c r="D894" s="43"/>
      <c r="E894" s="43"/>
      <c r="F894" s="361"/>
      <c r="G894" s="361"/>
      <c r="H894" s="361"/>
      <c r="I894" s="361"/>
      <c r="J894" s="361"/>
      <c r="K894" s="361"/>
      <c r="L894" s="361"/>
      <c r="M894" s="361"/>
      <c r="N894" s="361"/>
      <c r="O894" s="361"/>
      <c r="P894" s="361"/>
      <c r="Q894" s="361"/>
      <c r="R894" s="361"/>
      <c r="S894" s="361"/>
      <c r="T894" s="361"/>
      <c r="U894" s="361"/>
      <c r="V894" s="361"/>
      <c r="W894" s="362"/>
      <c r="X894" s="43"/>
      <c r="Y894" s="43"/>
      <c r="Z894" s="43"/>
      <c r="AA894" s="43"/>
    </row>
    <row r="895" ht="15.75" customHeight="1">
      <c r="A895" s="360"/>
      <c r="B895" s="43"/>
      <c r="C895" s="43"/>
      <c r="D895" s="43"/>
      <c r="E895" s="43"/>
      <c r="F895" s="361"/>
      <c r="G895" s="361"/>
      <c r="H895" s="361"/>
      <c r="I895" s="361"/>
      <c r="J895" s="361"/>
      <c r="K895" s="361"/>
      <c r="L895" s="361"/>
      <c r="M895" s="361"/>
      <c r="N895" s="361"/>
      <c r="O895" s="361"/>
      <c r="P895" s="361"/>
      <c r="Q895" s="361"/>
      <c r="R895" s="361"/>
      <c r="S895" s="361"/>
      <c r="T895" s="361"/>
      <c r="U895" s="361"/>
      <c r="V895" s="361"/>
      <c r="W895" s="362"/>
      <c r="X895" s="43"/>
      <c r="Y895" s="43"/>
      <c r="Z895" s="43"/>
      <c r="AA895" s="43"/>
    </row>
    <row r="896" ht="15.75" customHeight="1">
      <c r="A896" s="360"/>
      <c r="B896" s="43"/>
      <c r="C896" s="43"/>
      <c r="D896" s="43"/>
      <c r="E896" s="43"/>
      <c r="F896" s="361"/>
      <c r="G896" s="361"/>
      <c r="H896" s="361"/>
      <c r="I896" s="361"/>
      <c r="J896" s="361"/>
      <c r="K896" s="361"/>
      <c r="L896" s="361"/>
      <c r="M896" s="361"/>
      <c r="N896" s="361"/>
      <c r="O896" s="361"/>
      <c r="P896" s="361"/>
      <c r="Q896" s="361"/>
      <c r="R896" s="361"/>
      <c r="S896" s="361"/>
      <c r="T896" s="361"/>
      <c r="U896" s="361"/>
      <c r="V896" s="361"/>
      <c r="W896" s="362"/>
      <c r="X896" s="43"/>
      <c r="Y896" s="43"/>
      <c r="Z896" s="43"/>
      <c r="AA896" s="43"/>
    </row>
    <row r="897" ht="15.75" customHeight="1">
      <c r="A897" s="360"/>
      <c r="B897" s="43"/>
      <c r="C897" s="43"/>
      <c r="D897" s="43"/>
      <c r="E897" s="43"/>
      <c r="F897" s="361"/>
      <c r="G897" s="361"/>
      <c r="H897" s="361"/>
      <c r="I897" s="361"/>
      <c r="J897" s="361"/>
      <c r="K897" s="361"/>
      <c r="L897" s="361"/>
      <c r="M897" s="361"/>
      <c r="N897" s="361"/>
      <c r="O897" s="361"/>
      <c r="P897" s="361"/>
      <c r="Q897" s="361"/>
      <c r="R897" s="361"/>
      <c r="S897" s="361"/>
      <c r="T897" s="361"/>
      <c r="U897" s="361"/>
      <c r="V897" s="361"/>
      <c r="W897" s="362"/>
      <c r="X897" s="43"/>
      <c r="Y897" s="43"/>
      <c r="Z897" s="43"/>
      <c r="AA897" s="43"/>
    </row>
    <row r="898" ht="15.75" customHeight="1">
      <c r="A898" s="360"/>
      <c r="B898" s="43"/>
      <c r="C898" s="43"/>
      <c r="D898" s="43"/>
      <c r="E898" s="43"/>
      <c r="F898" s="361"/>
      <c r="G898" s="361"/>
      <c r="H898" s="361"/>
      <c r="I898" s="361"/>
      <c r="J898" s="361"/>
      <c r="K898" s="361"/>
      <c r="L898" s="361"/>
      <c r="M898" s="361"/>
      <c r="N898" s="361"/>
      <c r="O898" s="361"/>
      <c r="P898" s="361"/>
      <c r="Q898" s="361"/>
      <c r="R898" s="361"/>
      <c r="S898" s="361"/>
      <c r="T898" s="361"/>
      <c r="U898" s="361"/>
      <c r="V898" s="361"/>
      <c r="W898" s="362"/>
      <c r="X898" s="43"/>
      <c r="Y898" s="43"/>
      <c r="Z898" s="43"/>
      <c r="AA898" s="43"/>
    </row>
    <row r="899" ht="15.75" customHeight="1">
      <c r="A899" s="360"/>
      <c r="B899" s="43"/>
      <c r="C899" s="43"/>
      <c r="D899" s="43"/>
      <c r="E899" s="43"/>
      <c r="F899" s="361"/>
      <c r="G899" s="361"/>
      <c r="H899" s="361"/>
      <c r="I899" s="361"/>
      <c r="J899" s="361"/>
      <c r="K899" s="361"/>
      <c r="L899" s="361"/>
      <c r="M899" s="361"/>
      <c r="N899" s="361"/>
      <c r="O899" s="361"/>
      <c r="P899" s="361"/>
      <c r="Q899" s="361"/>
      <c r="R899" s="361"/>
      <c r="S899" s="361"/>
      <c r="T899" s="361"/>
      <c r="U899" s="361"/>
      <c r="V899" s="361"/>
      <c r="W899" s="362"/>
      <c r="X899" s="43"/>
      <c r="Y899" s="43"/>
      <c r="Z899" s="43"/>
      <c r="AA899" s="43"/>
    </row>
    <row r="900" ht="15.75" customHeight="1">
      <c r="A900" s="360"/>
      <c r="B900" s="43"/>
      <c r="C900" s="43"/>
      <c r="D900" s="43"/>
      <c r="E900" s="43"/>
      <c r="F900" s="361"/>
      <c r="G900" s="361"/>
      <c r="H900" s="361"/>
      <c r="I900" s="361"/>
      <c r="J900" s="361"/>
      <c r="K900" s="361"/>
      <c r="L900" s="361"/>
      <c r="M900" s="361"/>
      <c r="N900" s="361"/>
      <c r="O900" s="361"/>
      <c r="P900" s="361"/>
      <c r="Q900" s="361"/>
      <c r="R900" s="361"/>
      <c r="S900" s="361"/>
      <c r="T900" s="361"/>
      <c r="U900" s="361"/>
      <c r="V900" s="361"/>
      <c r="W900" s="362"/>
      <c r="X900" s="43"/>
      <c r="Y900" s="43"/>
      <c r="Z900" s="43"/>
      <c r="AA900" s="43"/>
    </row>
    <row r="901" ht="15.75" customHeight="1">
      <c r="A901" s="360"/>
      <c r="B901" s="43"/>
      <c r="C901" s="43"/>
      <c r="D901" s="43"/>
      <c r="E901" s="43"/>
      <c r="F901" s="361"/>
      <c r="G901" s="361"/>
      <c r="H901" s="361"/>
      <c r="I901" s="361"/>
      <c r="J901" s="361"/>
      <c r="K901" s="361"/>
      <c r="L901" s="361"/>
      <c r="M901" s="361"/>
      <c r="N901" s="361"/>
      <c r="O901" s="361"/>
      <c r="P901" s="361"/>
      <c r="Q901" s="361"/>
      <c r="R901" s="361"/>
      <c r="S901" s="361"/>
      <c r="T901" s="361"/>
      <c r="U901" s="361"/>
      <c r="V901" s="361"/>
      <c r="W901" s="362"/>
      <c r="X901" s="43"/>
      <c r="Y901" s="43"/>
      <c r="Z901" s="43"/>
      <c r="AA901" s="43"/>
    </row>
    <row r="902" ht="15.75" customHeight="1">
      <c r="A902" s="360"/>
      <c r="B902" s="43"/>
      <c r="C902" s="43"/>
      <c r="D902" s="43"/>
      <c r="E902" s="43"/>
      <c r="F902" s="361"/>
      <c r="G902" s="361"/>
      <c r="H902" s="361"/>
      <c r="I902" s="361"/>
      <c r="J902" s="361"/>
      <c r="K902" s="361"/>
      <c r="L902" s="361"/>
      <c r="M902" s="361"/>
      <c r="N902" s="361"/>
      <c r="O902" s="361"/>
      <c r="P902" s="361"/>
      <c r="Q902" s="361"/>
      <c r="R902" s="361"/>
      <c r="S902" s="361"/>
      <c r="T902" s="361"/>
      <c r="U902" s="361"/>
      <c r="V902" s="361"/>
      <c r="W902" s="362"/>
      <c r="X902" s="43"/>
      <c r="Y902" s="43"/>
      <c r="Z902" s="43"/>
      <c r="AA902" s="43"/>
    </row>
    <row r="903" ht="15.75" customHeight="1">
      <c r="A903" s="360"/>
      <c r="B903" s="43"/>
      <c r="C903" s="43"/>
      <c r="D903" s="43"/>
      <c r="E903" s="43"/>
      <c r="F903" s="361"/>
      <c r="G903" s="361"/>
      <c r="H903" s="361"/>
      <c r="I903" s="361"/>
      <c r="J903" s="361"/>
      <c r="K903" s="361"/>
      <c r="L903" s="361"/>
      <c r="M903" s="361"/>
      <c r="N903" s="361"/>
      <c r="O903" s="361"/>
      <c r="P903" s="361"/>
      <c r="Q903" s="361"/>
      <c r="R903" s="361"/>
      <c r="S903" s="361"/>
      <c r="T903" s="361"/>
      <c r="U903" s="361"/>
      <c r="V903" s="361"/>
      <c r="W903" s="362"/>
      <c r="X903" s="43"/>
      <c r="Y903" s="43"/>
      <c r="Z903" s="43"/>
      <c r="AA903" s="43"/>
    </row>
    <row r="904" ht="15.75" customHeight="1">
      <c r="A904" s="360"/>
      <c r="B904" s="43"/>
      <c r="C904" s="43"/>
      <c r="D904" s="43"/>
      <c r="E904" s="43"/>
      <c r="F904" s="361"/>
      <c r="G904" s="361"/>
      <c r="H904" s="361"/>
      <c r="I904" s="361"/>
      <c r="J904" s="361"/>
      <c r="K904" s="361"/>
      <c r="L904" s="361"/>
      <c r="M904" s="361"/>
      <c r="N904" s="361"/>
      <c r="O904" s="361"/>
      <c r="P904" s="361"/>
      <c r="Q904" s="361"/>
      <c r="R904" s="361"/>
      <c r="S904" s="361"/>
      <c r="T904" s="361"/>
      <c r="U904" s="361"/>
      <c r="V904" s="361"/>
      <c r="W904" s="362"/>
      <c r="X904" s="43"/>
      <c r="Y904" s="43"/>
      <c r="Z904" s="43"/>
      <c r="AA904" s="43"/>
    </row>
    <row r="905" ht="15.75" customHeight="1">
      <c r="A905" s="360"/>
      <c r="B905" s="43"/>
      <c r="C905" s="43"/>
      <c r="D905" s="43"/>
      <c r="E905" s="43"/>
      <c r="F905" s="361"/>
      <c r="G905" s="361"/>
      <c r="H905" s="361"/>
      <c r="I905" s="361"/>
      <c r="J905" s="361"/>
      <c r="K905" s="361"/>
      <c r="L905" s="361"/>
      <c r="M905" s="361"/>
      <c r="N905" s="361"/>
      <c r="O905" s="361"/>
      <c r="P905" s="361"/>
      <c r="Q905" s="361"/>
      <c r="R905" s="361"/>
      <c r="S905" s="361"/>
      <c r="T905" s="361"/>
      <c r="U905" s="361"/>
      <c r="V905" s="361"/>
      <c r="W905" s="362"/>
      <c r="X905" s="43"/>
      <c r="Y905" s="43"/>
      <c r="Z905" s="43"/>
      <c r="AA905" s="43"/>
    </row>
    <row r="906" ht="15.75" customHeight="1">
      <c r="A906" s="360"/>
      <c r="B906" s="43"/>
      <c r="C906" s="43"/>
      <c r="D906" s="43"/>
      <c r="E906" s="43"/>
      <c r="F906" s="361"/>
      <c r="G906" s="361"/>
      <c r="H906" s="361"/>
      <c r="I906" s="361"/>
      <c r="J906" s="361"/>
      <c r="K906" s="361"/>
      <c r="L906" s="361"/>
      <c r="M906" s="361"/>
      <c r="N906" s="361"/>
      <c r="O906" s="361"/>
      <c r="P906" s="361"/>
      <c r="Q906" s="361"/>
      <c r="R906" s="361"/>
      <c r="S906" s="361"/>
      <c r="T906" s="361"/>
      <c r="U906" s="361"/>
      <c r="V906" s="361"/>
      <c r="W906" s="362"/>
      <c r="X906" s="43"/>
      <c r="Y906" s="43"/>
      <c r="Z906" s="43"/>
      <c r="AA906" s="43"/>
    </row>
    <row r="907" ht="15.75" customHeight="1">
      <c r="A907" s="360"/>
      <c r="B907" s="43"/>
      <c r="C907" s="43"/>
      <c r="D907" s="43"/>
      <c r="E907" s="43"/>
      <c r="F907" s="361"/>
      <c r="G907" s="361"/>
      <c r="H907" s="361"/>
      <c r="I907" s="361"/>
      <c r="J907" s="361"/>
      <c r="K907" s="361"/>
      <c r="L907" s="361"/>
      <c r="M907" s="361"/>
      <c r="N907" s="361"/>
      <c r="O907" s="361"/>
      <c r="P907" s="361"/>
      <c r="Q907" s="361"/>
      <c r="R907" s="361"/>
      <c r="S907" s="361"/>
      <c r="T907" s="361"/>
      <c r="U907" s="361"/>
      <c r="V907" s="361"/>
      <c r="W907" s="362"/>
      <c r="X907" s="43"/>
      <c r="Y907" s="43"/>
      <c r="Z907" s="43"/>
      <c r="AA907" s="43"/>
    </row>
    <row r="908" ht="15.75" customHeight="1">
      <c r="A908" s="360"/>
      <c r="B908" s="43"/>
      <c r="C908" s="43"/>
      <c r="D908" s="43"/>
      <c r="E908" s="43"/>
      <c r="F908" s="361"/>
      <c r="G908" s="361"/>
      <c r="H908" s="361"/>
      <c r="I908" s="361"/>
      <c r="J908" s="361"/>
      <c r="K908" s="361"/>
      <c r="L908" s="361"/>
      <c r="M908" s="361"/>
      <c r="N908" s="361"/>
      <c r="O908" s="361"/>
      <c r="P908" s="361"/>
      <c r="Q908" s="361"/>
      <c r="R908" s="361"/>
      <c r="S908" s="361"/>
      <c r="T908" s="361"/>
      <c r="U908" s="361"/>
      <c r="V908" s="361"/>
      <c r="W908" s="362"/>
      <c r="X908" s="43"/>
      <c r="Y908" s="43"/>
      <c r="Z908" s="43"/>
      <c r="AA908" s="43"/>
    </row>
    <row r="909" ht="15.75" customHeight="1">
      <c r="A909" s="360"/>
      <c r="B909" s="43"/>
      <c r="C909" s="43"/>
      <c r="D909" s="43"/>
      <c r="E909" s="43"/>
      <c r="F909" s="361"/>
      <c r="G909" s="361"/>
      <c r="H909" s="361"/>
      <c r="I909" s="361"/>
      <c r="J909" s="361"/>
      <c r="K909" s="361"/>
      <c r="L909" s="361"/>
      <c r="M909" s="361"/>
      <c r="N909" s="361"/>
      <c r="O909" s="361"/>
      <c r="P909" s="361"/>
      <c r="Q909" s="361"/>
      <c r="R909" s="361"/>
      <c r="S909" s="361"/>
      <c r="T909" s="361"/>
      <c r="U909" s="361"/>
      <c r="V909" s="361"/>
      <c r="W909" s="362"/>
      <c r="X909" s="43"/>
      <c r="Y909" s="43"/>
      <c r="Z909" s="43"/>
      <c r="AA909" s="43"/>
    </row>
    <row r="910" ht="15.75" customHeight="1">
      <c r="A910" s="360"/>
      <c r="B910" s="43"/>
      <c r="C910" s="43"/>
      <c r="D910" s="43"/>
      <c r="E910" s="43"/>
      <c r="F910" s="361"/>
      <c r="G910" s="361"/>
      <c r="H910" s="361"/>
      <c r="I910" s="361"/>
      <c r="J910" s="361"/>
      <c r="K910" s="361"/>
      <c r="L910" s="361"/>
      <c r="M910" s="361"/>
      <c r="N910" s="361"/>
      <c r="O910" s="361"/>
      <c r="P910" s="361"/>
      <c r="Q910" s="361"/>
      <c r="R910" s="361"/>
      <c r="S910" s="361"/>
      <c r="T910" s="361"/>
      <c r="U910" s="361"/>
      <c r="V910" s="361"/>
      <c r="W910" s="362"/>
      <c r="X910" s="43"/>
      <c r="Y910" s="43"/>
      <c r="Z910" s="43"/>
      <c r="AA910" s="43"/>
    </row>
    <row r="911" ht="15.75" customHeight="1">
      <c r="A911" s="360"/>
      <c r="B911" s="43"/>
      <c r="C911" s="43"/>
      <c r="D911" s="43"/>
      <c r="E911" s="43"/>
      <c r="F911" s="361"/>
      <c r="G911" s="361"/>
      <c r="H911" s="361"/>
      <c r="I911" s="361"/>
      <c r="J911" s="361"/>
      <c r="K911" s="361"/>
      <c r="L911" s="361"/>
      <c r="M911" s="361"/>
      <c r="N911" s="361"/>
      <c r="O911" s="361"/>
      <c r="P911" s="361"/>
      <c r="Q911" s="361"/>
      <c r="R911" s="361"/>
      <c r="S911" s="361"/>
      <c r="T911" s="361"/>
      <c r="U911" s="361"/>
      <c r="V911" s="361"/>
      <c r="W911" s="362"/>
      <c r="X911" s="43"/>
      <c r="Y911" s="43"/>
      <c r="Z911" s="43"/>
      <c r="AA911" s="43"/>
    </row>
    <row r="912" ht="15.75" customHeight="1">
      <c r="A912" s="360"/>
      <c r="B912" s="43"/>
      <c r="C912" s="43"/>
      <c r="D912" s="43"/>
      <c r="E912" s="43"/>
      <c r="F912" s="361"/>
      <c r="G912" s="361"/>
      <c r="H912" s="361"/>
      <c r="I912" s="361"/>
      <c r="J912" s="361"/>
      <c r="K912" s="361"/>
      <c r="L912" s="361"/>
      <c r="M912" s="361"/>
      <c r="N912" s="361"/>
      <c r="O912" s="361"/>
      <c r="P912" s="361"/>
      <c r="Q912" s="361"/>
      <c r="R912" s="361"/>
      <c r="S912" s="361"/>
      <c r="T912" s="361"/>
      <c r="U912" s="361"/>
      <c r="V912" s="361"/>
      <c r="W912" s="362"/>
      <c r="X912" s="43"/>
      <c r="Y912" s="43"/>
      <c r="Z912" s="43"/>
      <c r="AA912" s="43"/>
    </row>
    <row r="913" ht="15.75" customHeight="1">
      <c r="A913" s="360"/>
      <c r="B913" s="43"/>
      <c r="C913" s="43"/>
      <c r="D913" s="43"/>
      <c r="E913" s="43"/>
      <c r="F913" s="361"/>
      <c r="G913" s="361"/>
      <c r="H913" s="361"/>
      <c r="I913" s="361"/>
      <c r="J913" s="361"/>
      <c r="K913" s="361"/>
      <c r="L913" s="361"/>
      <c r="M913" s="361"/>
      <c r="N913" s="361"/>
      <c r="O913" s="361"/>
      <c r="P913" s="361"/>
      <c r="Q913" s="361"/>
      <c r="R913" s="361"/>
      <c r="S913" s="361"/>
      <c r="T913" s="361"/>
      <c r="U913" s="361"/>
      <c r="V913" s="361"/>
      <c r="W913" s="362"/>
      <c r="X913" s="43"/>
      <c r="Y913" s="43"/>
      <c r="Z913" s="43"/>
      <c r="AA913" s="43"/>
    </row>
    <row r="914" ht="15.75" customHeight="1">
      <c r="A914" s="360"/>
      <c r="B914" s="43"/>
      <c r="C914" s="43"/>
      <c r="D914" s="43"/>
      <c r="E914" s="43"/>
      <c r="F914" s="361"/>
      <c r="G914" s="361"/>
      <c r="H914" s="361"/>
      <c r="I914" s="361"/>
      <c r="J914" s="361"/>
      <c r="K914" s="361"/>
      <c r="L914" s="361"/>
      <c r="M914" s="361"/>
      <c r="N914" s="361"/>
      <c r="O914" s="361"/>
      <c r="P914" s="361"/>
      <c r="Q914" s="361"/>
      <c r="R914" s="361"/>
      <c r="S914" s="361"/>
      <c r="T914" s="361"/>
      <c r="U914" s="361"/>
      <c r="V914" s="361"/>
      <c r="W914" s="362"/>
      <c r="X914" s="43"/>
      <c r="Y914" s="43"/>
      <c r="Z914" s="43"/>
      <c r="AA914" s="43"/>
    </row>
    <row r="915" ht="15.75" customHeight="1">
      <c r="A915" s="360"/>
      <c r="B915" s="43"/>
      <c r="C915" s="43"/>
      <c r="D915" s="43"/>
      <c r="E915" s="43"/>
      <c r="F915" s="361"/>
      <c r="G915" s="361"/>
      <c r="H915" s="361"/>
      <c r="I915" s="361"/>
      <c r="J915" s="361"/>
      <c r="K915" s="361"/>
      <c r="L915" s="361"/>
      <c r="M915" s="361"/>
      <c r="N915" s="361"/>
      <c r="O915" s="361"/>
      <c r="P915" s="361"/>
      <c r="Q915" s="361"/>
      <c r="R915" s="361"/>
      <c r="S915" s="361"/>
      <c r="T915" s="361"/>
      <c r="U915" s="361"/>
      <c r="V915" s="361"/>
      <c r="W915" s="362"/>
      <c r="X915" s="43"/>
      <c r="Y915" s="43"/>
      <c r="Z915" s="43"/>
      <c r="AA915" s="43"/>
    </row>
    <row r="916" ht="15.75" customHeight="1">
      <c r="A916" s="360"/>
      <c r="B916" s="43"/>
      <c r="C916" s="43"/>
      <c r="D916" s="43"/>
      <c r="E916" s="43"/>
      <c r="F916" s="361"/>
      <c r="G916" s="361"/>
      <c r="H916" s="361"/>
      <c r="I916" s="361"/>
      <c r="J916" s="361"/>
      <c r="K916" s="361"/>
      <c r="L916" s="361"/>
      <c r="M916" s="361"/>
      <c r="N916" s="361"/>
      <c r="O916" s="361"/>
      <c r="P916" s="361"/>
      <c r="Q916" s="361"/>
      <c r="R916" s="361"/>
      <c r="S916" s="361"/>
      <c r="T916" s="361"/>
      <c r="U916" s="361"/>
      <c r="V916" s="361"/>
      <c r="W916" s="362"/>
      <c r="X916" s="43"/>
      <c r="Y916" s="43"/>
      <c r="Z916" s="43"/>
      <c r="AA916" s="43"/>
    </row>
    <row r="917" ht="15.75" customHeight="1">
      <c r="A917" s="360"/>
      <c r="B917" s="43"/>
      <c r="C917" s="43"/>
      <c r="D917" s="43"/>
      <c r="E917" s="43"/>
      <c r="F917" s="361"/>
      <c r="G917" s="361"/>
      <c r="H917" s="361"/>
      <c r="I917" s="361"/>
      <c r="J917" s="361"/>
      <c r="K917" s="361"/>
      <c r="L917" s="361"/>
      <c r="M917" s="361"/>
      <c r="N917" s="361"/>
      <c r="O917" s="361"/>
      <c r="P917" s="361"/>
      <c r="Q917" s="361"/>
      <c r="R917" s="361"/>
      <c r="S917" s="361"/>
      <c r="T917" s="361"/>
      <c r="U917" s="361"/>
      <c r="V917" s="361"/>
      <c r="W917" s="362"/>
      <c r="X917" s="43"/>
      <c r="Y917" s="43"/>
      <c r="Z917" s="43"/>
      <c r="AA917" s="43"/>
    </row>
    <row r="918" ht="15.75" customHeight="1">
      <c r="A918" s="360"/>
      <c r="B918" s="43"/>
      <c r="C918" s="43"/>
      <c r="D918" s="43"/>
      <c r="E918" s="43"/>
      <c r="F918" s="361"/>
      <c r="G918" s="361"/>
      <c r="H918" s="361"/>
      <c r="I918" s="361"/>
      <c r="J918" s="361"/>
      <c r="K918" s="361"/>
      <c r="L918" s="361"/>
      <c r="M918" s="361"/>
      <c r="N918" s="361"/>
      <c r="O918" s="361"/>
      <c r="P918" s="361"/>
      <c r="Q918" s="361"/>
      <c r="R918" s="361"/>
      <c r="S918" s="361"/>
      <c r="T918" s="361"/>
      <c r="U918" s="361"/>
      <c r="V918" s="361"/>
      <c r="W918" s="362"/>
      <c r="X918" s="43"/>
      <c r="Y918" s="43"/>
      <c r="Z918" s="43"/>
      <c r="AA918" s="43"/>
    </row>
    <row r="919" ht="15.75" customHeight="1">
      <c r="A919" s="360"/>
      <c r="B919" s="43"/>
      <c r="C919" s="43"/>
      <c r="D919" s="43"/>
      <c r="E919" s="43"/>
      <c r="F919" s="361"/>
      <c r="G919" s="361"/>
      <c r="H919" s="361"/>
      <c r="I919" s="361"/>
      <c r="J919" s="361"/>
      <c r="K919" s="361"/>
      <c r="L919" s="361"/>
      <c r="M919" s="361"/>
      <c r="N919" s="361"/>
      <c r="O919" s="361"/>
      <c r="P919" s="361"/>
      <c r="Q919" s="361"/>
      <c r="R919" s="361"/>
      <c r="S919" s="361"/>
      <c r="T919" s="361"/>
      <c r="U919" s="361"/>
      <c r="V919" s="361"/>
      <c r="W919" s="362"/>
      <c r="X919" s="43"/>
      <c r="Y919" s="43"/>
      <c r="Z919" s="43"/>
      <c r="AA919" s="43"/>
    </row>
    <row r="920" ht="15.75" customHeight="1">
      <c r="A920" s="360"/>
      <c r="B920" s="43"/>
      <c r="C920" s="43"/>
      <c r="D920" s="43"/>
      <c r="E920" s="43"/>
      <c r="F920" s="361"/>
      <c r="G920" s="361"/>
      <c r="H920" s="361"/>
      <c r="I920" s="361"/>
      <c r="J920" s="361"/>
      <c r="K920" s="361"/>
      <c r="L920" s="361"/>
      <c r="M920" s="361"/>
      <c r="N920" s="361"/>
      <c r="O920" s="361"/>
      <c r="P920" s="361"/>
      <c r="Q920" s="361"/>
      <c r="R920" s="361"/>
      <c r="S920" s="361"/>
      <c r="T920" s="361"/>
      <c r="U920" s="361"/>
      <c r="V920" s="361"/>
      <c r="W920" s="362"/>
      <c r="X920" s="43"/>
      <c r="Y920" s="43"/>
      <c r="Z920" s="43"/>
      <c r="AA920" s="43"/>
    </row>
    <row r="921" ht="15.75" customHeight="1">
      <c r="A921" s="360"/>
      <c r="B921" s="43"/>
      <c r="C921" s="43"/>
      <c r="D921" s="43"/>
      <c r="E921" s="43"/>
      <c r="F921" s="361"/>
      <c r="G921" s="361"/>
      <c r="H921" s="361"/>
      <c r="I921" s="361"/>
      <c r="J921" s="361"/>
      <c r="K921" s="361"/>
      <c r="L921" s="361"/>
      <c r="M921" s="361"/>
      <c r="N921" s="361"/>
      <c r="O921" s="361"/>
      <c r="P921" s="361"/>
      <c r="Q921" s="361"/>
      <c r="R921" s="361"/>
      <c r="S921" s="361"/>
      <c r="T921" s="361"/>
      <c r="U921" s="361"/>
      <c r="V921" s="361"/>
      <c r="W921" s="362"/>
      <c r="X921" s="43"/>
      <c r="Y921" s="43"/>
      <c r="Z921" s="43"/>
      <c r="AA921" s="43"/>
    </row>
    <row r="922" ht="15.75" customHeight="1">
      <c r="A922" s="360"/>
      <c r="B922" s="43"/>
      <c r="C922" s="43"/>
      <c r="D922" s="43"/>
      <c r="E922" s="43"/>
      <c r="F922" s="361"/>
      <c r="G922" s="361"/>
      <c r="H922" s="361"/>
      <c r="I922" s="361"/>
      <c r="J922" s="361"/>
      <c r="K922" s="361"/>
      <c r="L922" s="361"/>
      <c r="M922" s="361"/>
      <c r="N922" s="361"/>
      <c r="O922" s="361"/>
      <c r="P922" s="361"/>
      <c r="Q922" s="361"/>
      <c r="R922" s="361"/>
      <c r="S922" s="361"/>
      <c r="T922" s="361"/>
      <c r="U922" s="361"/>
      <c r="V922" s="361"/>
      <c r="W922" s="362"/>
      <c r="X922" s="43"/>
      <c r="Y922" s="43"/>
      <c r="Z922" s="43"/>
      <c r="AA922" s="43"/>
    </row>
    <row r="923" ht="15.75" customHeight="1">
      <c r="A923" s="360"/>
      <c r="B923" s="43"/>
      <c r="C923" s="43"/>
      <c r="D923" s="43"/>
      <c r="E923" s="43"/>
      <c r="F923" s="361"/>
      <c r="G923" s="361"/>
      <c r="H923" s="361"/>
      <c r="I923" s="361"/>
      <c r="J923" s="361"/>
      <c r="K923" s="361"/>
      <c r="L923" s="361"/>
      <c r="M923" s="361"/>
      <c r="N923" s="361"/>
      <c r="O923" s="361"/>
      <c r="P923" s="361"/>
      <c r="Q923" s="361"/>
      <c r="R923" s="361"/>
      <c r="S923" s="361"/>
      <c r="T923" s="361"/>
      <c r="U923" s="361"/>
      <c r="V923" s="361"/>
      <c r="W923" s="362"/>
      <c r="X923" s="43"/>
      <c r="Y923" s="43"/>
      <c r="Z923" s="43"/>
      <c r="AA923" s="43"/>
    </row>
    <row r="924" ht="15.75" customHeight="1">
      <c r="A924" s="360"/>
      <c r="B924" s="43"/>
      <c r="C924" s="43"/>
      <c r="D924" s="43"/>
      <c r="E924" s="43"/>
      <c r="F924" s="361"/>
      <c r="G924" s="361"/>
      <c r="H924" s="361"/>
      <c r="I924" s="361"/>
      <c r="J924" s="361"/>
      <c r="K924" s="361"/>
      <c r="L924" s="361"/>
      <c r="M924" s="361"/>
      <c r="N924" s="361"/>
      <c r="O924" s="361"/>
      <c r="P924" s="361"/>
      <c r="Q924" s="361"/>
      <c r="R924" s="361"/>
      <c r="S924" s="361"/>
      <c r="T924" s="361"/>
      <c r="U924" s="361"/>
      <c r="V924" s="361"/>
      <c r="W924" s="362"/>
      <c r="X924" s="43"/>
      <c r="Y924" s="43"/>
      <c r="Z924" s="43"/>
      <c r="AA924" s="43"/>
    </row>
    <row r="925" ht="15.75" customHeight="1">
      <c r="A925" s="360"/>
      <c r="B925" s="43"/>
      <c r="C925" s="43"/>
      <c r="D925" s="43"/>
      <c r="E925" s="43"/>
      <c r="F925" s="361"/>
      <c r="G925" s="361"/>
      <c r="H925" s="361"/>
      <c r="I925" s="361"/>
      <c r="J925" s="361"/>
      <c r="K925" s="361"/>
      <c r="L925" s="361"/>
      <c r="M925" s="361"/>
      <c r="N925" s="361"/>
      <c r="O925" s="361"/>
      <c r="P925" s="361"/>
      <c r="Q925" s="361"/>
      <c r="R925" s="361"/>
      <c r="S925" s="361"/>
      <c r="T925" s="361"/>
      <c r="U925" s="361"/>
      <c r="V925" s="361"/>
      <c r="W925" s="362"/>
      <c r="X925" s="43"/>
      <c r="Y925" s="43"/>
      <c r="Z925" s="43"/>
      <c r="AA925" s="43"/>
    </row>
    <row r="926" ht="15.75" customHeight="1">
      <c r="A926" s="360"/>
      <c r="B926" s="43"/>
      <c r="C926" s="43"/>
      <c r="D926" s="43"/>
      <c r="E926" s="43"/>
      <c r="F926" s="361"/>
      <c r="G926" s="361"/>
      <c r="H926" s="361"/>
      <c r="I926" s="361"/>
      <c r="J926" s="361"/>
      <c r="K926" s="361"/>
      <c r="L926" s="361"/>
      <c r="M926" s="361"/>
      <c r="N926" s="361"/>
      <c r="O926" s="361"/>
      <c r="P926" s="361"/>
      <c r="Q926" s="361"/>
      <c r="R926" s="361"/>
      <c r="S926" s="361"/>
      <c r="T926" s="361"/>
      <c r="U926" s="361"/>
      <c r="V926" s="361"/>
      <c r="W926" s="362"/>
      <c r="X926" s="43"/>
      <c r="Y926" s="43"/>
      <c r="Z926" s="43"/>
      <c r="AA926" s="43"/>
    </row>
    <row r="927" ht="15.75" customHeight="1">
      <c r="A927" s="360"/>
      <c r="B927" s="43"/>
      <c r="C927" s="43"/>
      <c r="D927" s="43"/>
      <c r="E927" s="43"/>
      <c r="F927" s="361"/>
      <c r="G927" s="361"/>
      <c r="H927" s="361"/>
      <c r="I927" s="361"/>
      <c r="J927" s="361"/>
      <c r="K927" s="361"/>
      <c r="L927" s="361"/>
      <c r="M927" s="361"/>
      <c r="N927" s="361"/>
      <c r="O927" s="361"/>
      <c r="P927" s="361"/>
      <c r="Q927" s="361"/>
      <c r="R927" s="361"/>
      <c r="S927" s="361"/>
      <c r="T927" s="361"/>
      <c r="U927" s="361"/>
      <c r="V927" s="361"/>
      <c r="W927" s="362"/>
      <c r="X927" s="43"/>
      <c r="Y927" s="43"/>
      <c r="Z927" s="43"/>
      <c r="AA927" s="43"/>
    </row>
    <row r="928" ht="15.75" customHeight="1">
      <c r="A928" s="360"/>
      <c r="B928" s="43"/>
      <c r="C928" s="43"/>
      <c r="D928" s="43"/>
      <c r="E928" s="43"/>
      <c r="F928" s="361"/>
      <c r="G928" s="361"/>
      <c r="H928" s="361"/>
      <c r="I928" s="361"/>
      <c r="J928" s="361"/>
      <c r="K928" s="361"/>
      <c r="L928" s="361"/>
      <c r="M928" s="361"/>
      <c r="N928" s="361"/>
      <c r="O928" s="361"/>
      <c r="P928" s="361"/>
      <c r="Q928" s="361"/>
      <c r="R928" s="361"/>
      <c r="S928" s="361"/>
      <c r="T928" s="361"/>
      <c r="U928" s="361"/>
      <c r="V928" s="361"/>
      <c r="W928" s="362"/>
      <c r="X928" s="43"/>
      <c r="Y928" s="43"/>
      <c r="Z928" s="43"/>
      <c r="AA928" s="43"/>
    </row>
    <row r="929" ht="15.75" customHeight="1">
      <c r="A929" s="360"/>
      <c r="B929" s="43"/>
      <c r="C929" s="43"/>
      <c r="D929" s="43"/>
      <c r="E929" s="43"/>
      <c r="F929" s="361"/>
      <c r="G929" s="361"/>
      <c r="H929" s="361"/>
      <c r="I929" s="361"/>
      <c r="J929" s="361"/>
      <c r="K929" s="361"/>
      <c r="L929" s="361"/>
      <c r="M929" s="361"/>
      <c r="N929" s="361"/>
      <c r="O929" s="361"/>
      <c r="P929" s="361"/>
      <c r="Q929" s="361"/>
      <c r="R929" s="361"/>
      <c r="S929" s="361"/>
      <c r="T929" s="361"/>
      <c r="U929" s="361"/>
      <c r="V929" s="361"/>
      <c r="W929" s="362"/>
      <c r="X929" s="43"/>
      <c r="Y929" s="43"/>
      <c r="Z929" s="43"/>
      <c r="AA929" s="43"/>
    </row>
    <row r="930" ht="15.75" customHeight="1">
      <c r="A930" s="360"/>
      <c r="B930" s="43"/>
      <c r="C930" s="43"/>
      <c r="D930" s="43"/>
      <c r="E930" s="43"/>
      <c r="F930" s="361"/>
      <c r="G930" s="361"/>
      <c r="H930" s="361"/>
      <c r="I930" s="361"/>
      <c r="J930" s="361"/>
      <c r="K930" s="361"/>
      <c r="L930" s="361"/>
      <c r="M930" s="361"/>
      <c r="N930" s="361"/>
      <c r="O930" s="361"/>
      <c r="P930" s="361"/>
      <c r="Q930" s="361"/>
      <c r="R930" s="361"/>
      <c r="S930" s="361"/>
      <c r="T930" s="361"/>
      <c r="U930" s="361"/>
      <c r="V930" s="361"/>
      <c r="W930" s="362"/>
      <c r="X930" s="43"/>
      <c r="Y930" s="43"/>
      <c r="Z930" s="43"/>
      <c r="AA930" s="43"/>
    </row>
    <row r="931" ht="15.75" customHeight="1">
      <c r="A931" s="360"/>
      <c r="B931" s="43"/>
      <c r="C931" s="43"/>
      <c r="D931" s="43"/>
      <c r="E931" s="43"/>
      <c r="F931" s="361"/>
      <c r="G931" s="361"/>
      <c r="H931" s="361"/>
      <c r="I931" s="361"/>
      <c r="J931" s="361"/>
      <c r="K931" s="361"/>
      <c r="L931" s="361"/>
      <c r="M931" s="361"/>
      <c r="N931" s="361"/>
      <c r="O931" s="361"/>
      <c r="P931" s="361"/>
      <c r="Q931" s="361"/>
      <c r="R931" s="361"/>
      <c r="S931" s="361"/>
      <c r="T931" s="361"/>
      <c r="U931" s="361"/>
      <c r="V931" s="361"/>
      <c r="W931" s="362"/>
      <c r="X931" s="43"/>
      <c r="Y931" s="43"/>
      <c r="Z931" s="43"/>
      <c r="AA931" s="43"/>
    </row>
    <row r="932" ht="15.75" customHeight="1">
      <c r="A932" s="360"/>
      <c r="B932" s="43"/>
      <c r="C932" s="43"/>
      <c r="D932" s="43"/>
      <c r="E932" s="43"/>
      <c r="F932" s="361"/>
      <c r="G932" s="361"/>
      <c r="H932" s="361"/>
      <c r="I932" s="361"/>
      <c r="J932" s="361"/>
      <c r="K932" s="361"/>
      <c r="L932" s="361"/>
      <c r="M932" s="361"/>
      <c r="N932" s="361"/>
      <c r="O932" s="361"/>
      <c r="P932" s="361"/>
      <c r="Q932" s="361"/>
      <c r="R932" s="361"/>
      <c r="S932" s="361"/>
      <c r="T932" s="361"/>
      <c r="U932" s="361"/>
      <c r="V932" s="361"/>
      <c r="W932" s="362"/>
      <c r="X932" s="43"/>
      <c r="Y932" s="43"/>
      <c r="Z932" s="43"/>
      <c r="AA932" s="43"/>
    </row>
    <row r="933" ht="15.75" customHeight="1">
      <c r="A933" s="360"/>
      <c r="B933" s="43"/>
      <c r="C933" s="43"/>
      <c r="D933" s="43"/>
      <c r="E933" s="43"/>
      <c r="F933" s="361"/>
      <c r="G933" s="361"/>
      <c r="H933" s="361"/>
      <c r="I933" s="361"/>
      <c r="J933" s="361"/>
      <c r="K933" s="361"/>
      <c r="L933" s="361"/>
      <c r="M933" s="361"/>
      <c r="N933" s="361"/>
      <c r="O933" s="361"/>
      <c r="P933" s="361"/>
      <c r="Q933" s="361"/>
      <c r="R933" s="361"/>
      <c r="S933" s="361"/>
      <c r="T933" s="361"/>
      <c r="U933" s="361"/>
      <c r="V933" s="361"/>
      <c r="W933" s="362"/>
      <c r="X933" s="43"/>
      <c r="Y933" s="43"/>
      <c r="Z933" s="43"/>
      <c r="AA933" s="43"/>
    </row>
    <row r="934" ht="15.75" customHeight="1">
      <c r="A934" s="360"/>
      <c r="B934" s="43"/>
      <c r="C934" s="43"/>
      <c r="D934" s="43"/>
      <c r="E934" s="43"/>
      <c r="F934" s="361"/>
      <c r="G934" s="361"/>
      <c r="H934" s="361"/>
      <c r="I934" s="361"/>
      <c r="J934" s="361"/>
      <c r="K934" s="361"/>
      <c r="L934" s="361"/>
      <c r="M934" s="361"/>
      <c r="N934" s="361"/>
      <c r="O934" s="361"/>
      <c r="P934" s="361"/>
      <c r="Q934" s="361"/>
      <c r="R934" s="361"/>
      <c r="S934" s="361"/>
      <c r="T934" s="361"/>
      <c r="U934" s="361"/>
      <c r="V934" s="361"/>
      <c r="W934" s="362"/>
      <c r="X934" s="43"/>
      <c r="Y934" s="43"/>
      <c r="Z934" s="43"/>
      <c r="AA934" s="43"/>
    </row>
    <row r="935" ht="15.75" customHeight="1">
      <c r="A935" s="360"/>
      <c r="B935" s="43"/>
      <c r="C935" s="43"/>
      <c r="D935" s="43"/>
      <c r="E935" s="43"/>
      <c r="F935" s="361"/>
      <c r="G935" s="361"/>
      <c r="H935" s="361"/>
      <c r="I935" s="361"/>
      <c r="J935" s="361"/>
      <c r="K935" s="361"/>
      <c r="L935" s="361"/>
      <c r="M935" s="361"/>
      <c r="N935" s="361"/>
      <c r="O935" s="361"/>
      <c r="P935" s="361"/>
      <c r="Q935" s="361"/>
      <c r="R935" s="361"/>
      <c r="S935" s="361"/>
      <c r="T935" s="361"/>
      <c r="U935" s="361"/>
      <c r="V935" s="361"/>
      <c r="W935" s="362"/>
      <c r="X935" s="43"/>
      <c r="Y935" s="43"/>
      <c r="Z935" s="43"/>
      <c r="AA935" s="43"/>
    </row>
    <row r="936" ht="15.75" customHeight="1">
      <c r="A936" s="360"/>
      <c r="B936" s="43"/>
      <c r="C936" s="43"/>
      <c r="D936" s="43"/>
      <c r="E936" s="43"/>
      <c r="F936" s="361"/>
      <c r="G936" s="361"/>
      <c r="H936" s="361"/>
      <c r="I936" s="361"/>
      <c r="J936" s="361"/>
      <c r="K936" s="361"/>
      <c r="L936" s="361"/>
      <c r="M936" s="361"/>
      <c r="N936" s="361"/>
      <c r="O936" s="361"/>
      <c r="P936" s="361"/>
      <c r="Q936" s="361"/>
      <c r="R936" s="361"/>
      <c r="S936" s="361"/>
      <c r="T936" s="361"/>
      <c r="U936" s="361"/>
      <c r="V936" s="361"/>
      <c r="W936" s="362"/>
      <c r="X936" s="43"/>
      <c r="Y936" s="43"/>
      <c r="Z936" s="43"/>
      <c r="AA936" s="43"/>
    </row>
    <row r="937" ht="15.75" customHeight="1">
      <c r="A937" s="360"/>
      <c r="B937" s="43"/>
      <c r="C937" s="43"/>
      <c r="D937" s="43"/>
      <c r="E937" s="43"/>
      <c r="F937" s="361"/>
      <c r="G937" s="361"/>
      <c r="H937" s="361"/>
      <c r="I937" s="361"/>
      <c r="J937" s="361"/>
      <c r="K937" s="361"/>
      <c r="L937" s="361"/>
      <c r="M937" s="361"/>
      <c r="N937" s="361"/>
      <c r="O937" s="361"/>
      <c r="P937" s="361"/>
      <c r="Q937" s="361"/>
      <c r="R937" s="361"/>
      <c r="S937" s="361"/>
      <c r="T937" s="361"/>
      <c r="U937" s="361"/>
      <c r="V937" s="361"/>
      <c r="W937" s="362"/>
      <c r="X937" s="43"/>
      <c r="Y937" s="43"/>
      <c r="Z937" s="43"/>
      <c r="AA937" s="43"/>
    </row>
    <row r="938" ht="15.75" customHeight="1">
      <c r="A938" s="360"/>
      <c r="B938" s="43"/>
      <c r="C938" s="43"/>
      <c r="D938" s="43"/>
      <c r="E938" s="43"/>
      <c r="F938" s="361"/>
      <c r="G938" s="361"/>
      <c r="H938" s="361"/>
      <c r="I938" s="361"/>
      <c r="J938" s="361"/>
      <c r="K938" s="361"/>
      <c r="L938" s="361"/>
      <c r="M938" s="361"/>
      <c r="N938" s="361"/>
      <c r="O938" s="361"/>
      <c r="P938" s="361"/>
      <c r="Q938" s="361"/>
      <c r="R938" s="361"/>
      <c r="S938" s="361"/>
      <c r="T938" s="361"/>
      <c r="U938" s="361"/>
      <c r="V938" s="361"/>
      <c r="W938" s="362"/>
      <c r="X938" s="43"/>
      <c r="Y938" s="43"/>
      <c r="Z938" s="43"/>
      <c r="AA938" s="43"/>
    </row>
    <row r="939" ht="15.75" customHeight="1">
      <c r="A939" s="360"/>
      <c r="B939" s="43"/>
      <c r="C939" s="43"/>
      <c r="D939" s="43"/>
      <c r="E939" s="43"/>
      <c r="F939" s="361"/>
      <c r="G939" s="361"/>
      <c r="H939" s="361"/>
      <c r="I939" s="361"/>
      <c r="J939" s="361"/>
      <c r="K939" s="361"/>
      <c r="L939" s="361"/>
      <c r="M939" s="361"/>
      <c r="N939" s="361"/>
      <c r="O939" s="361"/>
      <c r="P939" s="361"/>
      <c r="Q939" s="361"/>
      <c r="R939" s="361"/>
      <c r="S939" s="361"/>
      <c r="T939" s="361"/>
      <c r="U939" s="361"/>
      <c r="V939" s="361"/>
      <c r="W939" s="362"/>
      <c r="X939" s="43"/>
      <c r="Y939" s="43"/>
      <c r="Z939" s="43"/>
      <c r="AA939" s="43"/>
    </row>
    <row r="940" ht="15.75" customHeight="1">
      <c r="A940" s="360"/>
      <c r="B940" s="43"/>
      <c r="C940" s="43"/>
      <c r="D940" s="43"/>
      <c r="E940" s="43"/>
      <c r="F940" s="361"/>
      <c r="G940" s="361"/>
      <c r="H940" s="361"/>
      <c r="I940" s="361"/>
      <c r="J940" s="361"/>
      <c r="K940" s="361"/>
      <c r="L940" s="361"/>
      <c r="M940" s="361"/>
      <c r="N940" s="361"/>
      <c r="O940" s="361"/>
      <c r="P940" s="361"/>
      <c r="Q940" s="361"/>
      <c r="R940" s="361"/>
      <c r="S940" s="361"/>
      <c r="T940" s="361"/>
      <c r="U940" s="361"/>
      <c r="V940" s="361"/>
      <c r="W940" s="362"/>
      <c r="X940" s="43"/>
      <c r="Y940" s="43"/>
      <c r="Z940" s="43"/>
      <c r="AA940" s="43"/>
    </row>
    <row r="941" ht="15.75" customHeight="1">
      <c r="A941" s="360"/>
      <c r="B941" s="43"/>
      <c r="C941" s="43"/>
      <c r="D941" s="43"/>
      <c r="E941" s="43"/>
      <c r="F941" s="361"/>
      <c r="G941" s="361"/>
      <c r="H941" s="361"/>
      <c r="I941" s="361"/>
      <c r="J941" s="361"/>
      <c r="K941" s="361"/>
      <c r="L941" s="361"/>
      <c r="M941" s="361"/>
      <c r="N941" s="361"/>
      <c r="O941" s="361"/>
      <c r="P941" s="361"/>
      <c r="Q941" s="361"/>
      <c r="R941" s="361"/>
      <c r="S941" s="361"/>
      <c r="T941" s="361"/>
      <c r="U941" s="361"/>
      <c r="V941" s="361"/>
      <c r="W941" s="362"/>
      <c r="X941" s="43"/>
      <c r="Y941" s="43"/>
      <c r="Z941" s="43"/>
      <c r="AA941" s="43"/>
    </row>
    <row r="942" ht="15.75" customHeight="1">
      <c r="A942" s="360"/>
      <c r="B942" s="43"/>
      <c r="C942" s="43"/>
      <c r="D942" s="43"/>
      <c r="E942" s="43"/>
      <c r="F942" s="361"/>
      <c r="G942" s="361"/>
      <c r="H942" s="361"/>
      <c r="I942" s="361"/>
      <c r="J942" s="361"/>
      <c r="K942" s="361"/>
      <c r="L942" s="361"/>
      <c r="M942" s="361"/>
      <c r="N942" s="361"/>
      <c r="O942" s="361"/>
      <c r="P942" s="361"/>
      <c r="Q942" s="361"/>
      <c r="R942" s="361"/>
      <c r="S942" s="361"/>
      <c r="T942" s="361"/>
      <c r="U942" s="361"/>
      <c r="V942" s="361"/>
      <c r="W942" s="362"/>
      <c r="X942" s="43"/>
      <c r="Y942" s="43"/>
      <c r="Z942" s="43"/>
      <c r="AA942" s="43"/>
    </row>
    <row r="943" ht="15.75" customHeight="1">
      <c r="A943" s="360"/>
      <c r="B943" s="43"/>
      <c r="C943" s="43"/>
      <c r="D943" s="43"/>
      <c r="E943" s="43"/>
      <c r="F943" s="361"/>
      <c r="G943" s="361"/>
      <c r="H943" s="361"/>
      <c r="I943" s="361"/>
      <c r="J943" s="361"/>
      <c r="K943" s="361"/>
      <c r="L943" s="361"/>
      <c r="M943" s="361"/>
      <c r="N943" s="361"/>
      <c r="O943" s="361"/>
      <c r="P943" s="361"/>
      <c r="Q943" s="361"/>
      <c r="R943" s="361"/>
      <c r="S943" s="361"/>
      <c r="T943" s="361"/>
      <c r="U943" s="361"/>
      <c r="V943" s="361"/>
      <c r="W943" s="362"/>
      <c r="X943" s="43"/>
      <c r="Y943" s="43"/>
      <c r="Z943" s="43"/>
      <c r="AA943" s="43"/>
    </row>
    <row r="944" ht="15.75" customHeight="1">
      <c r="A944" s="360"/>
      <c r="B944" s="43"/>
      <c r="C944" s="43"/>
      <c r="D944" s="43"/>
      <c r="E944" s="43"/>
      <c r="F944" s="361"/>
      <c r="G944" s="361"/>
      <c r="H944" s="361"/>
      <c r="I944" s="361"/>
      <c r="J944" s="361"/>
      <c r="K944" s="361"/>
      <c r="L944" s="361"/>
      <c r="M944" s="361"/>
      <c r="N944" s="361"/>
      <c r="O944" s="361"/>
      <c r="P944" s="361"/>
      <c r="Q944" s="361"/>
      <c r="R944" s="361"/>
      <c r="S944" s="361"/>
      <c r="T944" s="361"/>
      <c r="U944" s="361"/>
      <c r="V944" s="361"/>
      <c r="W944" s="362"/>
      <c r="X944" s="43"/>
      <c r="Y944" s="43"/>
      <c r="Z944" s="43"/>
      <c r="AA944" s="43"/>
    </row>
    <row r="945" ht="15.75" customHeight="1">
      <c r="A945" s="360"/>
      <c r="B945" s="43"/>
      <c r="C945" s="43"/>
      <c r="D945" s="43"/>
      <c r="E945" s="43"/>
      <c r="F945" s="361"/>
      <c r="G945" s="361"/>
      <c r="H945" s="361"/>
      <c r="I945" s="361"/>
      <c r="J945" s="361"/>
      <c r="K945" s="361"/>
      <c r="L945" s="361"/>
      <c r="M945" s="361"/>
      <c r="N945" s="361"/>
      <c r="O945" s="361"/>
      <c r="P945" s="361"/>
      <c r="Q945" s="361"/>
      <c r="R945" s="361"/>
      <c r="S945" s="361"/>
      <c r="T945" s="361"/>
      <c r="U945" s="361"/>
      <c r="V945" s="361"/>
      <c r="W945" s="362"/>
      <c r="X945" s="43"/>
      <c r="Y945" s="43"/>
      <c r="Z945" s="43"/>
      <c r="AA945" s="43"/>
    </row>
    <row r="946" ht="15.75" customHeight="1">
      <c r="A946" s="360"/>
      <c r="B946" s="43"/>
      <c r="C946" s="43"/>
      <c r="D946" s="43"/>
      <c r="E946" s="43"/>
      <c r="F946" s="361"/>
      <c r="G946" s="361"/>
      <c r="H946" s="361"/>
      <c r="I946" s="361"/>
      <c r="J946" s="361"/>
      <c r="K946" s="361"/>
      <c r="L946" s="361"/>
      <c r="M946" s="361"/>
      <c r="N946" s="361"/>
      <c r="O946" s="361"/>
      <c r="P946" s="361"/>
      <c r="Q946" s="361"/>
      <c r="R946" s="361"/>
      <c r="S946" s="361"/>
      <c r="T946" s="361"/>
      <c r="U946" s="361"/>
      <c r="V946" s="361"/>
      <c r="W946" s="362"/>
      <c r="X946" s="43"/>
      <c r="Y946" s="43"/>
      <c r="Z946" s="43"/>
      <c r="AA946" s="43"/>
    </row>
    <row r="947" ht="15.75" customHeight="1">
      <c r="A947" s="360"/>
      <c r="B947" s="43"/>
      <c r="C947" s="43"/>
      <c r="D947" s="43"/>
      <c r="E947" s="43"/>
      <c r="F947" s="361"/>
      <c r="G947" s="361"/>
      <c r="H947" s="361"/>
      <c r="I947" s="361"/>
      <c r="J947" s="361"/>
      <c r="K947" s="361"/>
      <c r="L947" s="361"/>
      <c r="M947" s="361"/>
      <c r="N947" s="361"/>
      <c r="O947" s="361"/>
      <c r="P947" s="361"/>
      <c r="Q947" s="361"/>
      <c r="R947" s="361"/>
      <c r="S947" s="361"/>
      <c r="T947" s="361"/>
      <c r="U947" s="361"/>
      <c r="V947" s="361"/>
      <c r="W947" s="362"/>
      <c r="X947" s="43"/>
      <c r="Y947" s="43"/>
      <c r="Z947" s="43"/>
      <c r="AA947" s="43"/>
    </row>
    <row r="948" ht="15.75" customHeight="1">
      <c r="A948" s="360"/>
      <c r="B948" s="43"/>
      <c r="C948" s="43"/>
      <c r="D948" s="43"/>
      <c r="E948" s="43"/>
      <c r="F948" s="361"/>
      <c r="G948" s="361"/>
      <c r="H948" s="361"/>
      <c r="I948" s="361"/>
      <c r="J948" s="361"/>
      <c r="K948" s="361"/>
      <c r="L948" s="361"/>
      <c r="M948" s="361"/>
      <c r="N948" s="361"/>
      <c r="O948" s="361"/>
      <c r="P948" s="361"/>
      <c r="Q948" s="361"/>
      <c r="R948" s="361"/>
      <c r="S948" s="361"/>
      <c r="T948" s="361"/>
      <c r="U948" s="361"/>
      <c r="V948" s="361"/>
      <c r="W948" s="362"/>
      <c r="X948" s="43"/>
      <c r="Y948" s="43"/>
      <c r="Z948" s="43"/>
      <c r="AA948" s="43"/>
    </row>
    <row r="949" ht="15.75" customHeight="1">
      <c r="A949" s="360"/>
      <c r="B949" s="43"/>
      <c r="C949" s="43"/>
      <c r="D949" s="43"/>
      <c r="E949" s="43"/>
      <c r="F949" s="361"/>
      <c r="G949" s="361"/>
      <c r="H949" s="361"/>
      <c r="I949" s="361"/>
      <c r="J949" s="361"/>
      <c r="K949" s="361"/>
      <c r="L949" s="361"/>
      <c r="M949" s="361"/>
      <c r="N949" s="361"/>
      <c r="O949" s="361"/>
      <c r="P949" s="361"/>
      <c r="Q949" s="361"/>
      <c r="R949" s="361"/>
      <c r="S949" s="361"/>
      <c r="T949" s="361"/>
      <c r="U949" s="361"/>
      <c r="V949" s="361"/>
      <c r="W949" s="362"/>
      <c r="X949" s="43"/>
      <c r="Y949" s="43"/>
      <c r="Z949" s="43"/>
      <c r="AA949" s="43"/>
    </row>
    <row r="950" ht="15.75" customHeight="1">
      <c r="A950" s="360"/>
      <c r="B950" s="43"/>
      <c r="C950" s="43"/>
      <c r="D950" s="43"/>
      <c r="E950" s="43"/>
      <c r="F950" s="361"/>
      <c r="G950" s="361"/>
      <c r="H950" s="361"/>
      <c r="I950" s="361"/>
      <c r="J950" s="361"/>
      <c r="K950" s="361"/>
      <c r="L950" s="361"/>
      <c r="M950" s="361"/>
      <c r="N950" s="361"/>
      <c r="O950" s="361"/>
      <c r="P950" s="361"/>
      <c r="Q950" s="361"/>
      <c r="R950" s="361"/>
      <c r="S950" s="361"/>
      <c r="T950" s="361"/>
      <c r="U950" s="361"/>
      <c r="V950" s="361"/>
      <c r="W950" s="362"/>
      <c r="X950" s="43"/>
      <c r="Y950" s="43"/>
      <c r="Z950" s="43"/>
      <c r="AA950" s="43"/>
    </row>
    <row r="951" ht="15.75" customHeight="1">
      <c r="A951" s="360"/>
      <c r="B951" s="43"/>
      <c r="C951" s="43"/>
      <c r="D951" s="43"/>
      <c r="E951" s="43"/>
      <c r="F951" s="361"/>
      <c r="G951" s="361"/>
      <c r="H951" s="361"/>
      <c r="I951" s="361"/>
      <c r="J951" s="361"/>
      <c r="K951" s="361"/>
      <c r="L951" s="361"/>
      <c r="M951" s="361"/>
      <c r="N951" s="361"/>
      <c r="O951" s="361"/>
      <c r="P951" s="361"/>
      <c r="Q951" s="361"/>
      <c r="R951" s="361"/>
      <c r="S951" s="361"/>
      <c r="T951" s="361"/>
      <c r="U951" s="361"/>
      <c r="V951" s="361"/>
      <c r="W951" s="362"/>
      <c r="X951" s="43"/>
      <c r="Y951" s="43"/>
      <c r="Z951" s="43"/>
      <c r="AA951" s="43"/>
    </row>
    <row r="952" ht="15.75" customHeight="1">
      <c r="A952" s="360"/>
      <c r="B952" s="43"/>
      <c r="C952" s="43"/>
      <c r="D952" s="43"/>
      <c r="E952" s="43"/>
      <c r="F952" s="361"/>
      <c r="G952" s="361"/>
      <c r="H952" s="361"/>
      <c r="I952" s="361"/>
      <c r="J952" s="361"/>
      <c r="K952" s="361"/>
      <c r="L952" s="361"/>
      <c r="M952" s="361"/>
      <c r="N952" s="361"/>
      <c r="O952" s="361"/>
      <c r="P952" s="361"/>
      <c r="Q952" s="361"/>
      <c r="R952" s="361"/>
      <c r="S952" s="361"/>
      <c r="T952" s="361"/>
      <c r="U952" s="361"/>
      <c r="V952" s="361"/>
      <c r="W952" s="362"/>
      <c r="X952" s="43"/>
      <c r="Y952" s="43"/>
      <c r="Z952" s="43"/>
      <c r="AA952" s="43"/>
    </row>
    <row r="953" ht="15.75" customHeight="1">
      <c r="A953" s="360"/>
      <c r="B953" s="43"/>
      <c r="C953" s="43"/>
      <c r="D953" s="43"/>
      <c r="E953" s="43"/>
      <c r="F953" s="361"/>
      <c r="G953" s="361"/>
      <c r="H953" s="361"/>
      <c r="I953" s="361"/>
      <c r="J953" s="361"/>
      <c r="K953" s="361"/>
      <c r="L953" s="361"/>
      <c r="M953" s="361"/>
      <c r="N953" s="361"/>
      <c r="O953" s="361"/>
      <c r="P953" s="361"/>
      <c r="Q953" s="361"/>
      <c r="R953" s="361"/>
      <c r="S953" s="361"/>
      <c r="T953" s="361"/>
      <c r="U953" s="361"/>
      <c r="V953" s="361"/>
      <c r="W953" s="362"/>
      <c r="X953" s="43"/>
      <c r="Y953" s="43"/>
      <c r="Z953" s="43"/>
      <c r="AA953" s="43"/>
    </row>
    <row r="954" ht="15.75" customHeight="1">
      <c r="A954" s="360"/>
      <c r="B954" s="43"/>
      <c r="C954" s="43"/>
      <c r="D954" s="43"/>
      <c r="E954" s="43"/>
      <c r="F954" s="361"/>
      <c r="G954" s="361"/>
      <c r="H954" s="361"/>
      <c r="I954" s="361"/>
      <c r="J954" s="361"/>
      <c r="K954" s="361"/>
      <c r="L954" s="361"/>
      <c r="M954" s="361"/>
      <c r="N954" s="361"/>
      <c r="O954" s="361"/>
      <c r="P954" s="361"/>
      <c r="Q954" s="361"/>
      <c r="R954" s="361"/>
      <c r="S954" s="361"/>
      <c r="T954" s="361"/>
      <c r="U954" s="361"/>
      <c r="V954" s="361"/>
      <c r="W954" s="362"/>
      <c r="X954" s="43"/>
      <c r="Y954" s="43"/>
      <c r="Z954" s="43"/>
      <c r="AA954" s="43"/>
    </row>
    <row r="955" ht="15.75" customHeight="1">
      <c r="A955" s="360"/>
      <c r="B955" s="43"/>
      <c r="C955" s="43"/>
      <c r="D955" s="43"/>
      <c r="E955" s="43"/>
      <c r="F955" s="361"/>
      <c r="G955" s="361"/>
      <c r="H955" s="361"/>
      <c r="I955" s="361"/>
      <c r="J955" s="361"/>
      <c r="K955" s="361"/>
      <c r="L955" s="361"/>
      <c r="M955" s="361"/>
      <c r="N955" s="361"/>
      <c r="O955" s="361"/>
      <c r="P955" s="361"/>
      <c r="Q955" s="361"/>
      <c r="R955" s="361"/>
      <c r="S955" s="361"/>
      <c r="T955" s="361"/>
      <c r="U955" s="361"/>
      <c r="V955" s="361"/>
      <c r="W955" s="362"/>
      <c r="X955" s="43"/>
      <c r="Y955" s="43"/>
      <c r="Z955" s="43"/>
      <c r="AA955" s="43"/>
    </row>
    <row r="956" ht="15.75" customHeight="1">
      <c r="A956" s="360"/>
      <c r="B956" s="43"/>
      <c r="C956" s="43"/>
      <c r="D956" s="43"/>
      <c r="E956" s="43"/>
      <c r="F956" s="361"/>
      <c r="G956" s="361"/>
      <c r="H956" s="361"/>
      <c r="I956" s="361"/>
      <c r="J956" s="361"/>
      <c r="K956" s="361"/>
      <c r="L956" s="361"/>
      <c r="M956" s="361"/>
      <c r="N956" s="361"/>
      <c r="O956" s="361"/>
      <c r="P956" s="361"/>
      <c r="Q956" s="361"/>
      <c r="R956" s="361"/>
      <c r="S956" s="361"/>
      <c r="T956" s="361"/>
      <c r="U956" s="361"/>
      <c r="V956" s="361"/>
      <c r="W956" s="362"/>
      <c r="X956" s="43"/>
      <c r="Y956" s="43"/>
      <c r="Z956" s="43"/>
      <c r="AA956" s="43"/>
    </row>
    <row r="957" ht="15.75" customHeight="1">
      <c r="A957" s="360"/>
      <c r="B957" s="43"/>
      <c r="C957" s="43"/>
      <c r="D957" s="43"/>
      <c r="E957" s="43"/>
      <c r="F957" s="361"/>
      <c r="G957" s="361"/>
      <c r="H957" s="361"/>
      <c r="I957" s="361"/>
      <c r="J957" s="361"/>
      <c r="K957" s="361"/>
      <c r="L957" s="361"/>
      <c r="M957" s="361"/>
      <c r="N957" s="361"/>
      <c r="O957" s="361"/>
      <c r="P957" s="361"/>
      <c r="Q957" s="361"/>
      <c r="R957" s="361"/>
      <c r="S957" s="361"/>
      <c r="T957" s="361"/>
      <c r="U957" s="361"/>
      <c r="V957" s="361"/>
      <c r="W957" s="362"/>
      <c r="X957" s="43"/>
      <c r="Y957" s="43"/>
      <c r="Z957" s="43"/>
      <c r="AA957" s="43"/>
    </row>
    <row r="958" ht="15.75" customHeight="1">
      <c r="A958" s="360"/>
      <c r="B958" s="43"/>
      <c r="C958" s="43"/>
      <c r="D958" s="43"/>
      <c r="E958" s="43"/>
      <c r="F958" s="361"/>
      <c r="G958" s="361"/>
      <c r="H958" s="361"/>
      <c r="I958" s="361"/>
      <c r="J958" s="361"/>
      <c r="K958" s="361"/>
      <c r="L958" s="361"/>
      <c r="M958" s="361"/>
      <c r="N958" s="361"/>
      <c r="O958" s="361"/>
      <c r="P958" s="361"/>
      <c r="Q958" s="361"/>
      <c r="R958" s="361"/>
      <c r="S958" s="361"/>
      <c r="T958" s="361"/>
      <c r="U958" s="361"/>
      <c r="V958" s="361"/>
      <c r="W958" s="362"/>
      <c r="X958" s="43"/>
      <c r="Y958" s="43"/>
      <c r="Z958" s="43"/>
      <c r="AA958" s="43"/>
    </row>
    <row r="959" ht="15.75" customHeight="1">
      <c r="A959" s="360"/>
      <c r="B959" s="43"/>
      <c r="C959" s="43"/>
      <c r="D959" s="43"/>
      <c r="E959" s="43"/>
      <c r="F959" s="361"/>
      <c r="G959" s="361"/>
      <c r="H959" s="361"/>
      <c r="I959" s="361"/>
      <c r="J959" s="361"/>
      <c r="K959" s="361"/>
      <c r="L959" s="361"/>
      <c r="M959" s="361"/>
      <c r="N959" s="361"/>
      <c r="O959" s="361"/>
      <c r="P959" s="361"/>
      <c r="Q959" s="361"/>
      <c r="R959" s="361"/>
      <c r="S959" s="361"/>
      <c r="T959" s="361"/>
      <c r="U959" s="361"/>
      <c r="V959" s="361"/>
      <c r="W959" s="362"/>
      <c r="X959" s="43"/>
      <c r="Y959" s="43"/>
      <c r="Z959" s="43"/>
      <c r="AA959" s="43"/>
    </row>
    <row r="960" ht="15.75" customHeight="1">
      <c r="A960" s="360"/>
      <c r="B960" s="43"/>
      <c r="C960" s="43"/>
      <c r="D960" s="43"/>
      <c r="E960" s="43"/>
      <c r="F960" s="361"/>
      <c r="G960" s="361"/>
      <c r="H960" s="361"/>
      <c r="I960" s="361"/>
      <c r="J960" s="361"/>
      <c r="K960" s="361"/>
      <c r="L960" s="361"/>
      <c r="M960" s="361"/>
      <c r="N960" s="361"/>
      <c r="O960" s="361"/>
      <c r="P960" s="361"/>
      <c r="Q960" s="361"/>
      <c r="R960" s="361"/>
      <c r="S960" s="361"/>
      <c r="T960" s="361"/>
      <c r="U960" s="361"/>
      <c r="V960" s="361"/>
      <c r="W960" s="362"/>
      <c r="X960" s="43"/>
      <c r="Y960" s="43"/>
      <c r="Z960" s="43"/>
      <c r="AA960" s="43"/>
    </row>
    <row r="961" ht="15.75" customHeight="1">
      <c r="A961" s="360"/>
      <c r="B961" s="43"/>
      <c r="C961" s="43"/>
      <c r="D961" s="43"/>
      <c r="E961" s="43"/>
      <c r="F961" s="361"/>
      <c r="G961" s="361"/>
      <c r="H961" s="361"/>
      <c r="I961" s="361"/>
      <c r="J961" s="361"/>
      <c r="K961" s="361"/>
      <c r="L961" s="361"/>
      <c r="M961" s="361"/>
      <c r="N961" s="361"/>
      <c r="O961" s="361"/>
      <c r="P961" s="361"/>
      <c r="Q961" s="361"/>
      <c r="R961" s="361"/>
      <c r="S961" s="361"/>
      <c r="T961" s="361"/>
      <c r="U961" s="361"/>
      <c r="V961" s="361"/>
      <c r="W961" s="362"/>
      <c r="X961" s="43"/>
      <c r="Y961" s="43"/>
      <c r="Z961" s="43"/>
      <c r="AA961" s="43"/>
    </row>
    <row r="962" ht="15.75" customHeight="1">
      <c r="A962" s="360"/>
      <c r="B962" s="43"/>
      <c r="C962" s="43"/>
      <c r="D962" s="43"/>
      <c r="E962" s="43"/>
      <c r="F962" s="361"/>
      <c r="G962" s="361"/>
      <c r="H962" s="361"/>
      <c r="I962" s="361"/>
      <c r="J962" s="361"/>
      <c r="K962" s="361"/>
      <c r="L962" s="361"/>
      <c r="M962" s="361"/>
      <c r="N962" s="361"/>
      <c r="O962" s="361"/>
      <c r="P962" s="361"/>
      <c r="Q962" s="361"/>
      <c r="R962" s="361"/>
      <c r="S962" s="361"/>
      <c r="T962" s="361"/>
      <c r="U962" s="361"/>
      <c r="V962" s="361"/>
      <c r="W962" s="362"/>
      <c r="X962" s="43"/>
      <c r="Y962" s="43"/>
      <c r="Z962" s="43"/>
      <c r="AA962" s="43"/>
    </row>
    <row r="963" ht="15.75" customHeight="1">
      <c r="A963" s="360"/>
      <c r="B963" s="43"/>
      <c r="C963" s="43"/>
      <c r="D963" s="43"/>
      <c r="E963" s="43"/>
      <c r="F963" s="361"/>
      <c r="G963" s="361"/>
      <c r="H963" s="361"/>
      <c r="I963" s="361"/>
      <c r="J963" s="361"/>
      <c r="K963" s="361"/>
      <c r="L963" s="361"/>
      <c r="M963" s="361"/>
      <c r="N963" s="361"/>
      <c r="O963" s="361"/>
      <c r="P963" s="361"/>
      <c r="Q963" s="361"/>
      <c r="R963" s="361"/>
      <c r="S963" s="361"/>
      <c r="T963" s="361"/>
      <c r="U963" s="361"/>
      <c r="V963" s="361"/>
      <c r="W963" s="362"/>
      <c r="X963" s="43"/>
      <c r="Y963" s="43"/>
      <c r="Z963" s="43"/>
      <c r="AA963" s="43"/>
    </row>
    <row r="964" ht="15.75" customHeight="1">
      <c r="A964" s="360"/>
      <c r="B964" s="43"/>
      <c r="C964" s="43"/>
      <c r="D964" s="43"/>
      <c r="E964" s="43"/>
      <c r="F964" s="361"/>
      <c r="G964" s="361"/>
      <c r="H964" s="361"/>
      <c r="I964" s="361"/>
      <c r="J964" s="361"/>
      <c r="K964" s="361"/>
      <c r="L964" s="361"/>
      <c r="M964" s="361"/>
      <c r="N964" s="361"/>
      <c r="O964" s="361"/>
      <c r="P964" s="361"/>
      <c r="Q964" s="361"/>
      <c r="R964" s="361"/>
      <c r="S964" s="361"/>
      <c r="T964" s="361"/>
      <c r="U964" s="361"/>
      <c r="V964" s="361"/>
      <c r="W964" s="362"/>
      <c r="X964" s="43"/>
      <c r="Y964" s="43"/>
      <c r="Z964" s="43"/>
      <c r="AA964" s="43"/>
    </row>
    <row r="965" ht="15.75" customHeight="1">
      <c r="A965" s="360"/>
      <c r="B965" s="43"/>
      <c r="C965" s="43"/>
      <c r="D965" s="43"/>
      <c r="E965" s="43"/>
      <c r="F965" s="361"/>
      <c r="G965" s="361"/>
      <c r="H965" s="361"/>
      <c r="I965" s="361"/>
      <c r="J965" s="361"/>
      <c r="K965" s="361"/>
      <c r="L965" s="361"/>
      <c r="M965" s="361"/>
      <c r="N965" s="361"/>
      <c r="O965" s="361"/>
      <c r="P965" s="361"/>
      <c r="Q965" s="361"/>
      <c r="R965" s="361"/>
      <c r="S965" s="361"/>
      <c r="T965" s="361"/>
      <c r="U965" s="361"/>
      <c r="V965" s="361"/>
      <c r="W965" s="362"/>
      <c r="X965" s="43"/>
      <c r="Y965" s="43"/>
      <c r="Z965" s="43"/>
      <c r="AA965" s="43"/>
    </row>
    <row r="966" ht="15.75" customHeight="1">
      <c r="A966" s="360"/>
      <c r="B966" s="43"/>
      <c r="C966" s="43"/>
      <c r="D966" s="43"/>
      <c r="E966" s="43"/>
      <c r="F966" s="361"/>
      <c r="G966" s="361"/>
      <c r="H966" s="361"/>
      <c r="I966" s="361"/>
      <c r="J966" s="361"/>
      <c r="K966" s="361"/>
      <c r="L966" s="361"/>
      <c r="M966" s="361"/>
      <c r="N966" s="361"/>
      <c r="O966" s="361"/>
      <c r="P966" s="361"/>
      <c r="Q966" s="361"/>
      <c r="R966" s="361"/>
      <c r="S966" s="361"/>
      <c r="T966" s="361"/>
      <c r="U966" s="361"/>
      <c r="V966" s="361"/>
      <c r="W966" s="362"/>
      <c r="X966" s="43"/>
      <c r="Y966" s="43"/>
      <c r="Z966" s="43"/>
      <c r="AA966" s="43"/>
    </row>
    <row r="967" ht="15.75" customHeight="1">
      <c r="A967" s="360"/>
      <c r="B967" s="43"/>
      <c r="C967" s="43"/>
      <c r="D967" s="43"/>
      <c r="E967" s="43"/>
      <c r="F967" s="361"/>
      <c r="G967" s="361"/>
      <c r="H967" s="361"/>
      <c r="I967" s="361"/>
      <c r="J967" s="361"/>
      <c r="K967" s="361"/>
      <c r="L967" s="361"/>
      <c r="M967" s="361"/>
      <c r="N967" s="361"/>
      <c r="O967" s="361"/>
      <c r="P967" s="361"/>
      <c r="Q967" s="361"/>
      <c r="R967" s="361"/>
      <c r="S967" s="361"/>
      <c r="T967" s="361"/>
      <c r="U967" s="361"/>
      <c r="V967" s="361"/>
      <c r="W967" s="362"/>
      <c r="X967" s="43"/>
      <c r="Y967" s="43"/>
      <c r="Z967" s="43"/>
      <c r="AA967" s="43"/>
    </row>
    <row r="968" ht="15.75" customHeight="1">
      <c r="A968" s="360"/>
      <c r="B968" s="43"/>
      <c r="C968" s="43"/>
      <c r="D968" s="43"/>
      <c r="E968" s="43"/>
      <c r="F968" s="361"/>
      <c r="G968" s="361"/>
      <c r="H968" s="361"/>
      <c r="I968" s="361"/>
      <c r="J968" s="361"/>
      <c r="K968" s="361"/>
      <c r="L968" s="361"/>
      <c r="M968" s="361"/>
      <c r="N968" s="361"/>
      <c r="O968" s="361"/>
      <c r="P968" s="361"/>
      <c r="Q968" s="361"/>
      <c r="R968" s="361"/>
      <c r="S968" s="361"/>
      <c r="T968" s="361"/>
      <c r="U968" s="361"/>
      <c r="V968" s="361"/>
      <c r="W968" s="362"/>
      <c r="X968" s="43"/>
      <c r="Y968" s="43"/>
      <c r="Z968" s="43"/>
      <c r="AA968" s="43"/>
    </row>
    <row r="969" ht="15.75" customHeight="1">
      <c r="A969" s="360"/>
      <c r="B969" s="43"/>
      <c r="C969" s="43"/>
      <c r="D969" s="43"/>
      <c r="E969" s="43"/>
      <c r="F969" s="361"/>
      <c r="G969" s="361"/>
      <c r="H969" s="361"/>
      <c r="I969" s="361"/>
      <c r="J969" s="361"/>
      <c r="K969" s="361"/>
      <c r="L969" s="361"/>
      <c r="M969" s="361"/>
      <c r="N969" s="361"/>
      <c r="O969" s="361"/>
      <c r="P969" s="361"/>
      <c r="Q969" s="361"/>
      <c r="R969" s="361"/>
      <c r="S969" s="361"/>
      <c r="T969" s="361"/>
      <c r="U969" s="361"/>
      <c r="V969" s="361"/>
      <c r="W969" s="362"/>
      <c r="X969" s="43"/>
      <c r="Y969" s="43"/>
      <c r="Z969" s="43"/>
      <c r="AA969" s="43"/>
    </row>
    <row r="970" ht="15.75" customHeight="1">
      <c r="A970" s="360"/>
      <c r="B970" s="43"/>
      <c r="C970" s="43"/>
      <c r="D970" s="43"/>
      <c r="E970" s="43"/>
      <c r="F970" s="361"/>
      <c r="G970" s="361"/>
      <c r="H970" s="361"/>
      <c r="I970" s="361"/>
      <c r="J970" s="361"/>
      <c r="K970" s="361"/>
      <c r="L970" s="361"/>
      <c r="M970" s="361"/>
      <c r="N970" s="361"/>
      <c r="O970" s="361"/>
      <c r="P970" s="361"/>
      <c r="Q970" s="361"/>
      <c r="R970" s="361"/>
      <c r="S970" s="361"/>
      <c r="T970" s="361"/>
      <c r="U970" s="361"/>
      <c r="V970" s="361"/>
      <c r="W970" s="362"/>
      <c r="X970" s="43"/>
      <c r="Y970" s="43"/>
      <c r="Z970" s="43"/>
      <c r="AA970" s="43"/>
    </row>
    <row r="971" ht="15.75" customHeight="1">
      <c r="A971" s="360"/>
      <c r="B971" s="43"/>
      <c r="C971" s="43"/>
      <c r="D971" s="43"/>
      <c r="E971" s="43"/>
      <c r="F971" s="361"/>
      <c r="G971" s="361"/>
      <c r="H971" s="361"/>
      <c r="I971" s="361"/>
      <c r="J971" s="361"/>
      <c r="K971" s="361"/>
      <c r="L971" s="361"/>
      <c r="M971" s="361"/>
      <c r="N971" s="361"/>
      <c r="O971" s="361"/>
      <c r="P971" s="361"/>
      <c r="Q971" s="361"/>
      <c r="R971" s="361"/>
      <c r="S971" s="361"/>
      <c r="T971" s="361"/>
      <c r="U971" s="361"/>
      <c r="V971" s="361"/>
      <c r="W971" s="362"/>
      <c r="X971" s="43"/>
      <c r="Y971" s="43"/>
      <c r="Z971" s="43"/>
      <c r="AA971" s="43"/>
    </row>
    <row r="972" ht="15.75" customHeight="1">
      <c r="A972" s="360"/>
      <c r="B972" s="43"/>
      <c r="C972" s="43"/>
      <c r="D972" s="43"/>
      <c r="E972" s="43"/>
      <c r="F972" s="361"/>
      <c r="G972" s="361"/>
      <c r="H972" s="361"/>
      <c r="I972" s="361"/>
      <c r="J972" s="361"/>
      <c r="K972" s="361"/>
      <c r="L972" s="361"/>
      <c r="M972" s="361"/>
      <c r="N972" s="361"/>
      <c r="O972" s="361"/>
      <c r="P972" s="361"/>
      <c r="Q972" s="361"/>
      <c r="R972" s="361"/>
      <c r="S972" s="361"/>
      <c r="T972" s="361"/>
      <c r="U972" s="361"/>
      <c r="V972" s="361"/>
      <c r="W972" s="362"/>
      <c r="X972" s="43"/>
      <c r="Y972" s="43"/>
      <c r="Z972" s="43"/>
      <c r="AA972" s="43"/>
    </row>
    <row r="973" ht="15.75" customHeight="1">
      <c r="A973" s="360"/>
      <c r="B973" s="43"/>
      <c r="C973" s="43"/>
      <c r="D973" s="43"/>
      <c r="E973" s="43"/>
      <c r="F973" s="361"/>
      <c r="G973" s="361"/>
      <c r="H973" s="361"/>
      <c r="I973" s="361"/>
      <c r="J973" s="361"/>
      <c r="K973" s="361"/>
      <c r="L973" s="361"/>
      <c r="M973" s="361"/>
      <c r="N973" s="361"/>
      <c r="O973" s="361"/>
      <c r="P973" s="361"/>
      <c r="Q973" s="361"/>
      <c r="R973" s="361"/>
      <c r="S973" s="361"/>
      <c r="T973" s="361"/>
      <c r="U973" s="361"/>
      <c r="V973" s="361"/>
      <c r="W973" s="362"/>
      <c r="X973" s="43"/>
      <c r="Y973" s="43"/>
      <c r="Z973" s="43"/>
      <c r="AA973" s="43"/>
    </row>
    <row r="974" ht="15.75" customHeight="1">
      <c r="A974" s="360"/>
      <c r="B974" s="43"/>
      <c r="C974" s="43"/>
      <c r="D974" s="43"/>
      <c r="E974" s="43"/>
      <c r="F974" s="361"/>
      <c r="G974" s="361"/>
      <c r="H974" s="361"/>
      <c r="I974" s="361"/>
      <c r="J974" s="361"/>
      <c r="K974" s="361"/>
      <c r="L974" s="361"/>
      <c r="M974" s="361"/>
      <c r="N974" s="361"/>
      <c r="O974" s="361"/>
      <c r="P974" s="361"/>
      <c r="Q974" s="361"/>
      <c r="R974" s="361"/>
      <c r="S974" s="361"/>
      <c r="T974" s="361"/>
      <c r="U974" s="361"/>
      <c r="V974" s="361"/>
      <c r="W974" s="362"/>
      <c r="X974" s="43"/>
      <c r="Y974" s="43"/>
      <c r="Z974" s="43"/>
      <c r="AA974" s="43"/>
    </row>
    <row r="975" ht="15.75" customHeight="1">
      <c r="A975" s="360"/>
      <c r="B975" s="43"/>
      <c r="C975" s="43"/>
      <c r="D975" s="43"/>
      <c r="E975" s="43"/>
      <c r="F975" s="361"/>
      <c r="G975" s="361"/>
      <c r="H975" s="361"/>
      <c r="I975" s="361"/>
      <c r="J975" s="361"/>
      <c r="K975" s="361"/>
      <c r="L975" s="361"/>
      <c r="M975" s="361"/>
      <c r="N975" s="361"/>
      <c r="O975" s="361"/>
      <c r="P975" s="361"/>
      <c r="Q975" s="361"/>
      <c r="R975" s="361"/>
      <c r="S975" s="361"/>
      <c r="T975" s="361"/>
      <c r="U975" s="361"/>
      <c r="V975" s="361"/>
      <c r="W975" s="362"/>
      <c r="X975" s="43"/>
      <c r="Y975" s="43"/>
      <c r="Z975" s="43"/>
      <c r="AA975" s="43"/>
    </row>
    <row r="976" ht="15.75" customHeight="1">
      <c r="A976" s="360"/>
      <c r="B976" s="43"/>
      <c r="C976" s="43"/>
      <c r="D976" s="43"/>
      <c r="E976" s="43"/>
      <c r="F976" s="361"/>
      <c r="G976" s="361"/>
      <c r="H976" s="361"/>
      <c r="I976" s="361"/>
      <c r="J976" s="361"/>
      <c r="K976" s="361"/>
      <c r="L976" s="361"/>
      <c r="M976" s="361"/>
      <c r="N976" s="361"/>
      <c r="O976" s="361"/>
      <c r="P976" s="361"/>
      <c r="Q976" s="361"/>
      <c r="R976" s="361"/>
      <c r="S976" s="361"/>
      <c r="T976" s="361"/>
      <c r="U976" s="361"/>
      <c r="V976" s="361"/>
      <c r="W976" s="362"/>
      <c r="X976" s="43"/>
      <c r="Y976" s="43"/>
      <c r="Z976" s="43"/>
      <c r="AA976" s="43"/>
    </row>
    <row r="977" ht="15.75" customHeight="1">
      <c r="A977" s="360"/>
      <c r="B977" s="43"/>
      <c r="C977" s="43"/>
      <c r="D977" s="43"/>
      <c r="E977" s="43"/>
      <c r="F977" s="361"/>
      <c r="G977" s="361"/>
      <c r="H977" s="361"/>
      <c r="I977" s="361"/>
      <c r="J977" s="361"/>
      <c r="K977" s="361"/>
      <c r="L977" s="361"/>
      <c r="M977" s="361"/>
      <c r="N977" s="361"/>
      <c r="O977" s="361"/>
      <c r="P977" s="361"/>
      <c r="Q977" s="361"/>
      <c r="R977" s="361"/>
      <c r="S977" s="361"/>
      <c r="T977" s="361"/>
      <c r="U977" s="361"/>
      <c r="V977" s="361"/>
      <c r="W977" s="362"/>
      <c r="X977" s="43"/>
      <c r="Y977" s="43"/>
      <c r="Z977" s="43"/>
      <c r="AA977" s="43"/>
    </row>
    <row r="978" ht="15.75" customHeight="1">
      <c r="A978" s="360"/>
      <c r="B978" s="43"/>
      <c r="C978" s="43"/>
      <c r="D978" s="43"/>
      <c r="E978" s="43"/>
      <c r="F978" s="361"/>
      <c r="G978" s="361"/>
      <c r="H978" s="361"/>
      <c r="I978" s="361"/>
      <c r="J978" s="361"/>
      <c r="K978" s="361"/>
      <c r="L978" s="361"/>
      <c r="M978" s="361"/>
      <c r="N978" s="361"/>
      <c r="O978" s="361"/>
      <c r="P978" s="361"/>
      <c r="Q978" s="361"/>
      <c r="R978" s="361"/>
      <c r="S978" s="361"/>
      <c r="T978" s="361"/>
      <c r="U978" s="361"/>
      <c r="V978" s="361"/>
      <c r="W978" s="362"/>
      <c r="X978" s="43"/>
      <c r="Y978" s="43"/>
      <c r="Z978" s="43"/>
      <c r="AA978" s="43"/>
    </row>
    <row r="979" ht="15.75" customHeight="1">
      <c r="A979" s="360"/>
      <c r="B979" s="43"/>
      <c r="C979" s="43"/>
      <c r="D979" s="43"/>
      <c r="E979" s="43"/>
      <c r="F979" s="361"/>
      <c r="G979" s="361"/>
      <c r="H979" s="361"/>
      <c r="I979" s="361"/>
      <c r="J979" s="361"/>
      <c r="K979" s="361"/>
      <c r="L979" s="361"/>
      <c r="M979" s="361"/>
      <c r="N979" s="361"/>
      <c r="O979" s="361"/>
      <c r="P979" s="361"/>
      <c r="Q979" s="361"/>
      <c r="R979" s="361"/>
      <c r="S979" s="361"/>
      <c r="T979" s="361"/>
      <c r="U979" s="361"/>
      <c r="V979" s="361"/>
      <c r="W979" s="362"/>
      <c r="X979" s="43"/>
      <c r="Y979" s="43"/>
      <c r="Z979" s="43"/>
      <c r="AA979" s="43"/>
    </row>
    <row r="980" ht="15.75" customHeight="1">
      <c r="A980" s="360"/>
      <c r="B980" s="43"/>
      <c r="C980" s="43"/>
      <c r="D980" s="43"/>
      <c r="E980" s="43"/>
      <c r="F980" s="361"/>
      <c r="G980" s="361"/>
      <c r="H980" s="361"/>
      <c r="I980" s="361"/>
      <c r="J980" s="361"/>
      <c r="K980" s="361"/>
      <c r="L980" s="361"/>
      <c r="M980" s="361"/>
      <c r="N980" s="361"/>
      <c r="O980" s="361"/>
      <c r="P980" s="361"/>
      <c r="Q980" s="361"/>
      <c r="R980" s="361"/>
      <c r="S980" s="361"/>
      <c r="T980" s="361"/>
      <c r="U980" s="361"/>
      <c r="V980" s="361"/>
      <c r="W980" s="362"/>
      <c r="X980" s="43"/>
      <c r="Y980" s="43"/>
      <c r="Z980" s="43"/>
      <c r="AA980" s="43"/>
    </row>
    <row r="981" ht="15.75" customHeight="1">
      <c r="A981" s="360"/>
      <c r="B981" s="43"/>
      <c r="C981" s="43"/>
      <c r="D981" s="43"/>
      <c r="E981" s="43"/>
      <c r="F981" s="361"/>
      <c r="G981" s="361"/>
      <c r="H981" s="361"/>
      <c r="I981" s="361"/>
      <c r="J981" s="361"/>
      <c r="K981" s="361"/>
      <c r="L981" s="361"/>
      <c r="M981" s="361"/>
      <c r="N981" s="361"/>
      <c r="O981" s="361"/>
      <c r="P981" s="361"/>
      <c r="Q981" s="361"/>
      <c r="R981" s="361"/>
      <c r="S981" s="361"/>
      <c r="T981" s="361"/>
      <c r="U981" s="361"/>
      <c r="V981" s="361"/>
      <c r="W981" s="362"/>
      <c r="X981" s="43"/>
      <c r="Y981" s="43"/>
      <c r="Z981" s="43"/>
      <c r="AA981" s="43"/>
    </row>
    <row r="982" ht="15.75" customHeight="1">
      <c r="A982" s="360"/>
      <c r="B982" s="43"/>
      <c r="C982" s="43"/>
      <c r="D982" s="43"/>
      <c r="E982" s="43"/>
      <c r="F982" s="361"/>
      <c r="G982" s="361"/>
      <c r="H982" s="361"/>
      <c r="I982" s="361"/>
      <c r="J982" s="361"/>
      <c r="K982" s="361"/>
      <c r="L982" s="361"/>
      <c r="M982" s="361"/>
      <c r="N982" s="361"/>
      <c r="O982" s="361"/>
      <c r="P982" s="361"/>
      <c r="Q982" s="361"/>
      <c r="R982" s="361"/>
      <c r="S982" s="361"/>
      <c r="T982" s="361"/>
      <c r="U982" s="361"/>
      <c r="V982" s="361"/>
      <c r="W982" s="362"/>
      <c r="X982" s="43"/>
      <c r="Y982" s="43"/>
      <c r="Z982" s="43"/>
      <c r="AA982" s="43"/>
    </row>
    <row r="983" ht="15.75" customHeight="1">
      <c r="A983" s="360"/>
      <c r="B983" s="43"/>
      <c r="C983" s="43"/>
      <c r="D983" s="43"/>
      <c r="E983" s="43"/>
      <c r="F983" s="361"/>
      <c r="G983" s="361"/>
      <c r="H983" s="361"/>
      <c r="I983" s="361"/>
      <c r="J983" s="361"/>
      <c r="K983" s="361"/>
      <c r="L983" s="361"/>
      <c r="M983" s="361"/>
      <c r="N983" s="361"/>
      <c r="O983" s="361"/>
      <c r="P983" s="361"/>
      <c r="Q983" s="361"/>
      <c r="R983" s="361"/>
      <c r="S983" s="361"/>
      <c r="T983" s="361"/>
      <c r="U983" s="361"/>
      <c r="V983" s="361"/>
      <c r="W983" s="362"/>
      <c r="X983" s="43"/>
      <c r="Y983" s="43"/>
      <c r="Z983" s="43"/>
      <c r="AA983" s="43"/>
    </row>
    <row r="984" ht="15.75" customHeight="1">
      <c r="A984" s="360"/>
      <c r="B984" s="43"/>
      <c r="C984" s="43"/>
      <c r="D984" s="43"/>
      <c r="E984" s="43"/>
      <c r="F984" s="361"/>
      <c r="G984" s="361"/>
      <c r="H984" s="361"/>
      <c r="I984" s="361"/>
      <c r="J984" s="361"/>
      <c r="K984" s="361"/>
      <c r="L984" s="361"/>
      <c r="M984" s="361"/>
      <c r="N984" s="361"/>
      <c r="O984" s="361"/>
      <c r="P984" s="361"/>
      <c r="Q984" s="361"/>
      <c r="R984" s="361"/>
      <c r="S984" s="361"/>
      <c r="T984" s="361"/>
      <c r="U984" s="361"/>
      <c r="V984" s="361"/>
      <c r="W984" s="362"/>
      <c r="X984" s="43"/>
      <c r="Y984" s="43"/>
      <c r="Z984" s="43"/>
      <c r="AA984" s="43"/>
    </row>
    <row r="985" ht="15.75" customHeight="1">
      <c r="A985" s="360"/>
      <c r="B985" s="43"/>
      <c r="C985" s="43"/>
      <c r="D985" s="43"/>
      <c r="E985" s="43"/>
      <c r="F985" s="361"/>
      <c r="G985" s="361"/>
      <c r="H985" s="361"/>
      <c r="I985" s="361"/>
      <c r="J985" s="361"/>
      <c r="K985" s="361"/>
      <c r="L985" s="361"/>
      <c r="M985" s="361"/>
      <c r="N985" s="361"/>
      <c r="O985" s="361"/>
      <c r="P985" s="361"/>
      <c r="Q985" s="361"/>
      <c r="R985" s="361"/>
      <c r="S985" s="361"/>
      <c r="T985" s="361"/>
      <c r="U985" s="361"/>
      <c r="V985" s="361"/>
      <c r="W985" s="362"/>
      <c r="X985" s="43"/>
      <c r="Y985" s="43"/>
      <c r="Z985" s="43"/>
      <c r="AA985" s="43"/>
    </row>
    <row r="986" ht="15.75" customHeight="1">
      <c r="A986" s="360"/>
      <c r="B986" s="43"/>
      <c r="C986" s="43"/>
      <c r="D986" s="43"/>
      <c r="E986" s="43"/>
      <c r="F986" s="361"/>
      <c r="G986" s="361"/>
      <c r="H986" s="361"/>
      <c r="I986" s="361"/>
      <c r="J986" s="361"/>
      <c r="K986" s="361"/>
      <c r="L986" s="361"/>
      <c r="M986" s="361"/>
      <c r="N986" s="361"/>
      <c r="O986" s="361"/>
      <c r="P986" s="361"/>
      <c r="Q986" s="361"/>
      <c r="R986" s="361"/>
      <c r="S986" s="361"/>
      <c r="T986" s="361"/>
      <c r="U986" s="361"/>
      <c r="V986" s="361"/>
      <c r="W986" s="362"/>
      <c r="X986" s="43"/>
      <c r="Y986" s="43"/>
      <c r="Z986" s="43"/>
      <c r="AA986" s="43"/>
    </row>
    <row r="987" ht="15.75" customHeight="1">
      <c r="A987" s="360"/>
      <c r="B987" s="43"/>
      <c r="C987" s="43"/>
      <c r="D987" s="43"/>
      <c r="E987" s="43"/>
      <c r="F987" s="361"/>
      <c r="G987" s="361"/>
      <c r="H987" s="361"/>
      <c r="I987" s="361"/>
      <c r="J987" s="361"/>
      <c r="K987" s="361"/>
      <c r="L987" s="361"/>
      <c r="M987" s="361"/>
      <c r="N987" s="361"/>
      <c r="O987" s="361"/>
      <c r="P987" s="361"/>
      <c r="Q987" s="361"/>
      <c r="R987" s="361"/>
      <c r="S987" s="361"/>
      <c r="T987" s="361"/>
      <c r="U987" s="361"/>
      <c r="V987" s="361"/>
      <c r="W987" s="362"/>
      <c r="X987" s="43"/>
      <c r="Y987" s="43"/>
      <c r="Z987" s="43"/>
      <c r="AA987" s="43"/>
    </row>
    <row r="988" ht="15.75" customHeight="1">
      <c r="A988" s="360"/>
      <c r="B988" s="43"/>
      <c r="C988" s="43"/>
      <c r="D988" s="43"/>
      <c r="E988" s="43"/>
      <c r="F988" s="361"/>
      <c r="G988" s="361"/>
      <c r="H988" s="361"/>
      <c r="I988" s="361"/>
      <c r="J988" s="361"/>
      <c r="K988" s="361"/>
      <c r="L988" s="361"/>
      <c r="M988" s="361"/>
      <c r="N988" s="361"/>
      <c r="O988" s="361"/>
      <c r="P988" s="361"/>
      <c r="Q988" s="361"/>
      <c r="R988" s="361"/>
      <c r="S988" s="361"/>
      <c r="T988" s="361"/>
      <c r="U988" s="361"/>
      <c r="V988" s="361"/>
      <c r="W988" s="362"/>
      <c r="X988" s="43"/>
      <c r="Y988" s="43"/>
      <c r="Z988" s="43"/>
      <c r="AA988" s="43"/>
    </row>
    <row r="989" ht="15.75" customHeight="1">
      <c r="A989" s="360"/>
      <c r="B989" s="43"/>
      <c r="C989" s="43"/>
      <c r="D989" s="43"/>
      <c r="E989" s="43"/>
      <c r="F989" s="361"/>
      <c r="G989" s="361"/>
      <c r="H989" s="361"/>
      <c r="I989" s="361"/>
      <c r="J989" s="361"/>
      <c r="K989" s="361"/>
      <c r="L989" s="361"/>
      <c r="M989" s="361"/>
      <c r="N989" s="361"/>
      <c r="O989" s="361"/>
      <c r="P989" s="361"/>
      <c r="Q989" s="361"/>
      <c r="R989" s="361"/>
      <c r="S989" s="361"/>
      <c r="T989" s="361"/>
      <c r="U989" s="361"/>
      <c r="V989" s="361"/>
      <c r="W989" s="362"/>
      <c r="X989" s="43"/>
      <c r="Y989" s="43"/>
      <c r="Z989" s="43"/>
      <c r="AA989" s="43"/>
    </row>
    <row r="990" ht="15.75" customHeight="1">
      <c r="A990" s="360"/>
      <c r="B990" s="43"/>
      <c r="C990" s="43"/>
      <c r="D990" s="43"/>
      <c r="E990" s="43"/>
      <c r="F990" s="361"/>
      <c r="G990" s="361"/>
      <c r="H990" s="361"/>
      <c r="I990" s="361"/>
      <c r="J990" s="361"/>
      <c r="K990" s="361"/>
      <c r="L990" s="361"/>
      <c r="M990" s="361"/>
      <c r="N990" s="361"/>
      <c r="O990" s="361"/>
      <c r="P990" s="361"/>
      <c r="Q990" s="361"/>
      <c r="R990" s="361"/>
      <c r="S990" s="361"/>
      <c r="T990" s="361"/>
      <c r="U990" s="361"/>
      <c r="V990" s="361"/>
      <c r="W990" s="362"/>
      <c r="X990" s="43"/>
      <c r="Y990" s="43"/>
      <c r="Z990" s="43"/>
      <c r="AA990" s="43"/>
    </row>
    <row r="991" ht="15.75" customHeight="1">
      <c r="A991" s="360"/>
      <c r="B991" s="43"/>
      <c r="C991" s="43"/>
      <c r="D991" s="43"/>
      <c r="E991" s="43"/>
      <c r="F991" s="361"/>
      <c r="G991" s="361"/>
      <c r="H991" s="361"/>
      <c r="I991" s="361"/>
      <c r="J991" s="361"/>
      <c r="K991" s="361"/>
      <c r="L991" s="361"/>
      <c r="M991" s="361"/>
      <c r="N991" s="361"/>
      <c r="O991" s="361"/>
      <c r="P991" s="361"/>
      <c r="Q991" s="361"/>
      <c r="R991" s="361"/>
      <c r="S991" s="361"/>
      <c r="T991" s="361"/>
      <c r="U991" s="361"/>
      <c r="V991" s="361"/>
      <c r="W991" s="362"/>
      <c r="X991" s="43"/>
      <c r="Y991" s="43"/>
      <c r="Z991" s="43"/>
      <c r="AA991" s="43"/>
    </row>
    <row r="992" ht="15.75" customHeight="1">
      <c r="A992" s="360"/>
      <c r="B992" s="43"/>
      <c r="C992" s="43"/>
      <c r="D992" s="43"/>
      <c r="E992" s="43"/>
      <c r="F992" s="361"/>
      <c r="G992" s="361"/>
      <c r="H992" s="361"/>
      <c r="I992" s="361"/>
      <c r="J992" s="361"/>
      <c r="K992" s="361"/>
      <c r="L992" s="361"/>
      <c r="M992" s="361"/>
      <c r="N992" s="361"/>
      <c r="O992" s="361"/>
      <c r="P992" s="361"/>
      <c r="Q992" s="361"/>
      <c r="R992" s="361"/>
      <c r="S992" s="361"/>
      <c r="T992" s="361"/>
      <c r="U992" s="361"/>
      <c r="V992" s="361"/>
      <c r="W992" s="362"/>
      <c r="X992" s="43"/>
      <c r="Y992" s="43"/>
      <c r="Z992" s="43"/>
      <c r="AA992" s="43"/>
    </row>
    <row r="993" ht="15.75" customHeight="1">
      <c r="A993" s="360"/>
      <c r="B993" s="43"/>
      <c r="C993" s="43"/>
      <c r="D993" s="43"/>
      <c r="E993" s="43"/>
      <c r="F993" s="361"/>
      <c r="G993" s="361"/>
      <c r="H993" s="361"/>
      <c r="I993" s="361"/>
      <c r="J993" s="361"/>
      <c r="K993" s="361"/>
      <c r="L993" s="361"/>
      <c r="M993" s="361"/>
      <c r="N993" s="361"/>
      <c r="O993" s="361"/>
      <c r="P993" s="361"/>
      <c r="Q993" s="361"/>
      <c r="R993" s="361"/>
      <c r="S993" s="361"/>
      <c r="T993" s="361"/>
      <c r="U993" s="361"/>
      <c r="V993" s="361"/>
      <c r="W993" s="362"/>
      <c r="X993" s="43"/>
      <c r="Y993" s="43"/>
      <c r="Z993" s="43"/>
      <c r="AA993" s="43"/>
    </row>
    <row r="994" ht="15.75" customHeight="1">
      <c r="A994" s="360"/>
      <c r="B994" s="43"/>
      <c r="C994" s="43"/>
      <c r="D994" s="43"/>
      <c r="E994" s="43"/>
      <c r="F994" s="361"/>
      <c r="G994" s="361"/>
      <c r="H994" s="361"/>
      <c r="I994" s="361"/>
      <c r="J994" s="361"/>
      <c r="K994" s="361"/>
      <c r="L994" s="361"/>
      <c r="M994" s="361"/>
      <c r="N994" s="361"/>
      <c r="O994" s="361"/>
      <c r="P994" s="361"/>
      <c r="Q994" s="361"/>
      <c r="R994" s="361"/>
      <c r="S994" s="361"/>
      <c r="T994" s="361"/>
      <c r="U994" s="361"/>
      <c r="V994" s="361"/>
      <c r="W994" s="362"/>
      <c r="X994" s="43"/>
      <c r="Y994" s="43"/>
      <c r="Z994" s="43"/>
      <c r="AA994" s="43"/>
    </row>
    <row r="995" ht="15.75" customHeight="1">
      <c r="A995" s="360"/>
      <c r="B995" s="43"/>
      <c r="C995" s="43"/>
      <c r="D995" s="43"/>
      <c r="E995" s="43"/>
      <c r="F995" s="361"/>
      <c r="G995" s="361"/>
      <c r="H995" s="361"/>
      <c r="I995" s="361"/>
      <c r="J995" s="361"/>
      <c r="K995" s="361"/>
      <c r="L995" s="361"/>
      <c r="M995" s="361"/>
      <c r="N995" s="361"/>
      <c r="O995" s="361"/>
      <c r="P995" s="361"/>
      <c r="Q995" s="361"/>
      <c r="R995" s="361"/>
      <c r="S995" s="361"/>
      <c r="T995" s="361"/>
      <c r="U995" s="361"/>
      <c r="V995" s="361"/>
      <c r="W995" s="362"/>
      <c r="X995" s="43"/>
      <c r="Y995" s="43"/>
      <c r="Z995" s="43"/>
      <c r="AA995" s="43"/>
    </row>
    <row r="996" ht="15.75" customHeight="1">
      <c r="A996" s="360"/>
      <c r="B996" s="43"/>
      <c r="C996" s="43"/>
      <c r="D996" s="43"/>
      <c r="E996" s="43"/>
      <c r="F996" s="361"/>
      <c r="G996" s="361"/>
      <c r="H996" s="361"/>
      <c r="I996" s="361"/>
      <c r="J996" s="361"/>
      <c r="K996" s="361"/>
      <c r="L996" s="361"/>
      <c r="M996" s="361"/>
      <c r="N996" s="361"/>
      <c r="O996" s="361"/>
      <c r="P996" s="361"/>
      <c r="Q996" s="361"/>
      <c r="R996" s="361"/>
      <c r="S996" s="361"/>
      <c r="T996" s="361"/>
      <c r="U996" s="361"/>
      <c r="V996" s="361"/>
      <c r="W996" s="362"/>
      <c r="X996" s="43"/>
      <c r="Y996" s="43"/>
      <c r="Z996" s="43"/>
      <c r="AA996" s="43"/>
    </row>
    <row r="997" ht="15.75" customHeight="1">
      <c r="A997" s="360"/>
      <c r="B997" s="43"/>
      <c r="C997" s="43"/>
      <c r="D997" s="43"/>
      <c r="E997" s="43"/>
      <c r="F997" s="361"/>
      <c r="G997" s="361"/>
      <c r="H997" s="361"/>
      <c r="I997" s="361"/>
      <c r="J997" s="361"/>
      <c r="K997" s="361"/>
      <c r="L997" s="361"/>
      <c r="M997" s="361"/>
      <c r="N997" s="361"/>
      <c r="O997" s="361"/>
      <c r="P997" s="361"/>
      <c r="Q997" s="361"/>
      <c r="R997" s="361"/>
      <c r="S997" s="361"/>
      <c r="T997" s="361"/>
      <c r="U997" s="361"/>
      <c r="V997" s="361"/>
      <c r="W997" s="362"/>
      <c r="X997" s="43"/>
      <c r="Y997" s="43"/>
      <c r="Z997" s="43"/>
      <c r="AA997" s="43"/>
    </row>
    <row r="998" ht="15.75" customHeight="1">
      <c r="A998" s="360"/>
      <c r="B998" s="43"/>
      <c r="C998" s="43"/>
      <c r="D998" s="43"/>
      <c r="E998" s="43"/>
      <c r="F998" s="361"/>
      <c r="G998" s="361"/>
      <c r="H998" s="361"/>
      <c r="I998" s="361"/>
      <c r="J998" s="361"/>
      <c r="K998" s="361"/>
      <c r="L998" s="361"/>
      <c r="M998" s="361"/>
      <c r="N998" s="361"/>
      <c r="O998" s="361"/>
      <c r="P998" s="361"/>
      <c r="Q998" s="361"/>
      <c r="R998" s="361"/>
      <c r="S998" s="361"/>
      <c r="T998" s="361"/>
      <c r="U998" s="361"/>
      <c r="V998" s="361"/>
      <c r="W998" s="362"/>
      <c r="X998" s="43"/>
      <c r="Y998" s="43"/>
      <c r="Z998" s="43"/>
      <c r="AA998" s="43"/>
    </row>
    <row r="999" ht="15.75" customHeight="1">
      <c r="A999" s="360"/>
      <c r="B999" s="43"/>
      <c r="C999" s="43"/>
      <c r="D999" s="43"/>
      <c r="E999" s="43"/>
      <c r="F999" s="361"/>
      <c r="G999" s="361"/>
      <c r="H999" s="361"/>
      <c r="I999" s="361"/>
      <c r="J999" s="361"/>
      <c r="K999" s="361"/>
      <c r="L999" s="361"/>
      <c r="M999" s="361"/>
      <c r="N999" s="361"/>
      <c r="O999" s="361"/>
      <c r="P999" s="361"/>
      <c r="Q999" s="361"/>
      <c r="R999" s="361"/>
      <c r="S999" s="361"/>
      <c r="T999" s="361"/>
      <c r="U999" s="361"/>
      <c r="V999" s="361"/>
      <c r="W999" s="362"/>
      <c r="X999" s="43"/>
      <c r="Y999" s="43"/>
      <c r="Z999" s="43"/>
      <c r="AA999" s="43"/>
    </row>
    <row r="1000" ht="15.75" customHeight="1">
      <c r="A1000" s="360"/>
      <c r="B1000" s="43"/>
      <c r="C1000" s="43"/>
      <c r="D1000" s="43"/>
      <c r="E1000" s="43"/>
      <c r="F1000" s="361"/>
      <c r="G1000" s="361"/>
      <c r="H1000" s="361"/>
      <c r="I1000" s="361"/>
      <c r="J1000" s="361"/>
      <c r="K1000" s="361"/>
      <c r="L1000" s="361"/>
      <c r="M1000" s="361"/>
      <c r="N1000" s="361"/>
      <c r="O1000" s="361"/>
      <c r="P1000" s="361"/>
      <c r="Q1000" s="361"/>
      <c r="R1000" s="361"/>
      <c r="S1000" s="361"/>
      <c r="T1000" s="361"/>
      <c r="U1000" s="361"/>
      <c r="V1000" s="361"/>
      <c r="W1000" s="362"/>
      <c r="X1000" s="43"/>
      <c r="Y1000" s="43"/>
      <c r="Z1000" s="43"/>
      <c r="AA1000" s="43"/>
    </row>
    <row r="1001" ht="15.75" customHeight="1">
      <c r="A1001" s="360"/>
      <c r="B1001" s="43"/>
      <c r="C1001" s="43"/>
      <c r="D1001" s="43"/>
      <c r="E1001" s="43"/>
      <c r="F1001" s="361"/>
      <c r="G1001" s="361"/>
      <c r="H1001" s="361"/>
      <c r="I1001" s="361"/>
      <c r="J1001" s="361"/>
      <c r="K1001" s="361"/>
      <c r="L1001" s="361"/>
      <c r="M1001" s="361"/>
      <c r="N1001" s="361"/>
      <c r="O1001" s="361"/>
      <c r="P1001" s="361"/>
      <c r="Q1001" s="361"/>
      <c r="R1001" s="361"/>
      <c r="S1001" s="361"/>
      <c r="T1001" s="361"/>
      <c r="U1001" s="361"/>
      <c r="V1001" s="361"/>
      <c r="W1001" s="362"/>
      <c r="X1001" s="43"/>
      <c r="Y1001" s="43"/>
      <c r="Z1001" s="43"/>
      <c r="AA1001" s="43"/>
    </row>
    <row r="1002" ht="15.75" customHeight="1">
      <c r="A1002" s="360"/>
      <c r="B1002" s="43"/>
      <c r="C1002" s="43"/>
      <c r="D1002" s="43"/>
      <c r="E1002" s="43"/>
      <c r="F1002" s="361"/>
      <c r="G1002" s="361"/>
      <c r="H1002" s="361"/>
      <c r="I1002" s="361"/>
      <c r="J1002" s="361"/>
      <c r="K1002" s="361"/>
      <c r="L1002" s="361"/>
      <c r="M1002" s="361"/>
      <c r="N1002" s="361"/>
      <c r="O1002" s="361"/>
      <c r="P1002" s="361"/>
      <c r="Q1002" s="361"/>
      <c r="R1002" s="361"/>
      <c r="S1002" s="361"/>
      <c r="T1002" s="361"/>
      <c r="U1002" s="361"/>
      <c r="V1002" s="361"/>
      <c r="W1002" s="362"/>
      <c r="X1002" s="43"/>
      <c r="Y1002" s="43"/>
      <c r="Z1002" s="43"/>
      <c r="AA1002" s="43"/>
    </row>
    <row r="1003" ht="15.75" customHeight="1">
      <c r="A1003" s="360"/>
      <c r="B1003" s="43"/>
      <c r="C1003" s="43"/>
      <c r="D1003" s="43"/>
      <c r="E1003" s="43"/>
      <c r="F1003" s="361"/>
      <c r="G1003" s="361"/>
      <c r="H1003" s="361"/>
      <c r="I1003" s="361"/>
      <c r="J1003" s="361"/>
      <c r="K1003" s="361"/>
      <c r="L1003" s="361"/>
      <c r="M1003" s="361"/>
      <c r="N1003" s="361"/>
      <c r="O1003" s="361"/>
      <c r="P1003" s="361"/>
      <c r="Q1003" s="361"/>
      <c r="R1003" s="361"/>
      <c r="S1003" s="361"/>
      <c r="T1003" s="361"/>
      <c r="U1003" s="361"/>
      <c r="V1003" s="361"/>
      <c r="W1003" s="362"/>
      <c r="X1003" s="43"/>
      <c r="Y1003" s="43"/>
      <c r="Z1003" s="43"/>
      <c r="AA1003" s="43"/>
    </row>
    <row r="1004" ht="15.75" customHeight="1">
      <c r="A1004" s="360"/>
      <c r="B1004" s="43"/>
      <c r="C1004" s="43"/>
      <c r="D1004" s="43"/>
      <c r="E1004" s="43"/>
      <c r="F1004" s="361"/>
      <c r="G1004" s="361"/>
      <c r="H1004" s="361"/>
      <c r="I1004" s="361"/>
      <c r="J1004" s="361"/>
      <c r="K1004" s="361"/>
      <c r="L1004" s="361"/>
      <c r="M1004" s="361"/>
      <c r="N1004" s="361"/>
      <c r="O1004" s="361"/>
      <c r="P1004" s="361"/>
      <c r="Q1004" s="361"/>
      <c r="R1004" s="361"/>
      <c r="S1004" s="361"/>
      <c r="T1004" s="361"/>
      <c r="U1004" s="361"/>
      <c r="V1004" s="361"/>
      <c r="W1004" s="362"/>
      <c r="X1004" s="43"/>
      <c r="Y1004" s="43"/>
      <c r="Z1004" s="43"/>
      <c r="AA1004" s="43"/>
    </row>
    <row r="1005" ht="15.75" customHeight="1">
      <c r="A1005" s="360"/>
      <c r="B1005" s="43"/>
      <c r="C1005" s="43"/>
      <c r="D1005" s="43"/>
      <c r="E1005" s="43"/>
      <c r="F1005" s="361"/>
      <c r="G1005" s="361"/>
      <c r="H1005" s="361"/>
      <c r="I1005" s="361"/>
      <c r="J1005" s="361"/>
      <c r="K1005" s="361"/>
      <c r="L1005" s="361"/>
      <c r="M1005" s="361"/>
      <c r="N1005" s="361"/>
      <c r="O1005" s="361"/>
      <c r="P1005" s="361"/>
      <c r="Q1005" s="361"/>
      <c r="R1005" s="361"/>
      <c r="S1005" s="361"/>
      <c r="T1005" s="361"/>
      <c r="U1005" s="361"/>
      <c r="V1005" s="361"/>
      <c r="W1005" s="362"/>
      <c r="X1005" s="43"/>
      <c r="Y1005" s="43"/>
      <c r="Z1005" s="43"/>
      <c r="AA1005" s="43"/>
    </row>
  </sheetData>
  <autoFilter ref="$A$1:$W$549">
    <filterColumn colId="2">
      <filters>
        <filter val="EL020"/>
      </filters>
    </filterColumn>
    <sortState ref="A1:W549">
      <sortCondition ref="C1:C549"/>
      <sortCondition ref="E1:E549"/>
      <sortCondition descending="1" ref="D1:D549"/>
      <sortCondition ref="B1:B549"/>
    </sortState>
  </autoFilter>
  <conditionalFormatting sqref="A522:B522 A525:B548">
    <cfRule type="expression" dxfId="3" priority="1" stopIfTrue="1">
      <formula>$E522="Inactive"</formula>
    </cfRule>
  </conditionalFormatting>
  <conditionalFormatting sqref="A522 A525:A548">
    <cfRule type="expression" dxfId="5" priority="2">
      <formula>COUNTIF(A:A, A522)&gt;1</formula>
    </cfRule>
  </conditionalFormatting>
  <dataValidations>
    <dataValidation type="list" allowBlank="1" sqref="E2:E9 E11:E1005">
      <formula1>"Communication 1,Communication 2,Communication 3,Business English,Foundation,Extension of Foundation"</formula1>
    </dataValidation>
  </dataValidations>
  <printOptions/>
  <pageMargins bottom="1.0" footer="0.0" header="0.0" left="0.75" right="0.75" top="1.0"/>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12.0"/>
    <col customWidth="1" min="4" max="4" width="28.0"/>
    <col customWidth="1" min="5" max="5" width="14.0"/>
    <col customWidth="1" min="6" max="6" width="20.0"/>
    <col customWidth="1" min="7" max="7" width="12.0"/>
    <col customWidth="1" min="8" max="8" width="18.0"/>
  </cols>
  <sheetData>
    <row r="1">
      <c r="A1" s="156" t="s">
        <v>45</v>
      </c>
      <c r="B1" s="156" t="s">
        <v>15</v>
      </c>
      <c r="C1" s="363" t="s">
        <v>165</v>
      </c>
      <c r="D1" s="156" t="s">
        <v>166</v>
      </c>
      <c r="E1" s="156" t="s">
        <v>1183</v>
      </c>
      <c r="F1" s="156" t="s">
        <v>1184</v>
      </c>
      <c r="G1" s="156" t="s">
        <v>51</v>
      </c>
      <c r="H1" s="156" t="s">
        <v>46</v>
      </c>
    </row>
    <row r="2">
      <c r="A2" s="364" t="s">
        <v>52</v>
      </c>
      <c r="B2" s="364" t="s">
        <v>25</v>
      </c>
      <c r="C2" s="365" t="s">
        <v>220</v>
      </c>
      <c r="D2" s="364" t="s">
        <v>221</v>
      </c>
      <c r="E2" s="366">
        <v>1.0</v>
      </c>
      <c r="F2" s="367">
        <v>46084.54166666667</v>
      </c>
      <c r="G2" s="364" t="s">
        <v>1185</v>
      </c>
      <c r="H2" s="364" t="s">
        <v>1186</v>
      </c>
    </row>
    <row r="3">
      <c r="A3" s="364" t="s">
        <v>52</v>
      </c>
      <c r="B3" s="364" t="s">
        <v>25</v>
      </c>
      <c r="C3" s="365" t="s">
        <v>220</v>
      </c>
      <c r="D3" s="364" t="s">
        <v>221</v>
      </c>
      <c r="E3" s="366">
        <v>2.0</v>
      </c>
      <c r="F3" s="367">
        <v>46091.58333333333</v>
      </c>
      <c r="G3" s="364" t="s">
        <v>1185</v>
      </c>
      <c r="H3" s="364" t="s">
        <v>1186</v>
      </c>
    </row>
    <row r="4">
      <c r="A4" s="364" t="s">
        <v>52</v>
      </c>
      <c r="B4" s="364" t="s">
        <v>25</v>
      </c>
      <c r="C4" s="365" t="s">
        <v>220</v>
      </c>
      <c r="D4" s="364" t="s">
        <v>221</v>
      </c>
      <c r="E4" s="366">
        <v>3.0</v>
      </c>
      <c r="F4" s="367">
        <v>46098.58333333333</v>
      </c>
      <c r="G4" s="364" t="s">
        <v>1185</v>
      </c>
      <c r="H4" s="364" t="s">
        <v>1186</v>
      </c>
    </row>
    <row r="5">
      <c r="A5" s="364" t="s">
        <v>52</v>
      </c>
      <c r="B5" s="364" t="s">
        <v>25</v>
      </c>
      <c r="C5" s="365" t="s">
        <v>220</v>
      </c>
      <c r="D5" s="364" t="s">
        <v>221</v>
      </c>
      <c r="E5" s="366">
        <v>4.0</v>
      </c>
      <c r="F5" s="367">
        <v>46105.58333333333</v>
      </c>
      <c r="G5" s="364" t="s">
        <v>1185</v>
      </c>
      <c r="H5" s="364" t="s">
        <v>1186</v>
      </c>
    </row>
    <row r="6">
      <c r="A6" s="364" t="s">
        <v>52</v>
      </c>
      <c r="B6" s="364" t="s">
        <v>25</v>
      </c>
      <c r="C6" s="365" t="s">
        <v>220</v>
      </c>
      <c r="D6" s="364" t="s">
        <v>221</v>
      </c>
      <c r="E6" s="366">
        <v>5.0</v>
      </c>
      <c r="F6" s="367">
        <v>46120.58333333333</v>
      </c>
      <c r="G6" s="364" t="s">
        <v>1185</v>
      </c>
      <c r="H6" s="364" t="s">
        <v>1186</v>
      </c>
    </row>
    <row r="7">
      <c r="A7" s="364" t="s">
        <v>52</v>
      </c>
      <c r="B7" s="364" t="s">
        <v>25</v>
      </c>
      <c r="C7" s="365" t="s">
        <v>220</v>
      </c>
      <c r="D7" s="364" t="s">
        <v>221</v>
      </c>
      <c r="E7" s="366">
        <v>6.0</v>
      </c>
      <c r="F7" s="367">
        <v>46127.58333333333</v>
      </c>
      <c r="G7" s="364" t="s">
        <v>1185</v>
      </c>
      <c r="H7" s="364" t="s">
        <v>1186</v>
      </c>
    </row>
    <row r="8">
      <c r="A8" s="364" t="s">
        <v>52</v>
      </c>
      <c r="B8" s="364" t="s">
        <v>25</v>
      </c>
      <c r="C8" s="365" t="s">
        <v>220</v>
      </c>
      <c r="D8" s="364" t="s">
        <v>221</v>
      </c>
      <c r="E8" s="366">
        <v>7.0</v>
      </c>
      <c r="F8" s="367">
        <v>46155.54166666667</v>
      </c>
      <c r="G8" s="364" t="s">
        <v>1185</v>
      </c>
      <c r="H8" s="364" t="s">
        <v>1186</v>
      </c>
    </row>
    <row r="9">
      <c r="A9" s="364" t="s">
        <v>52</v>
      </c>
      <c r="B9" s="364" t="s">
        <v>25</v>
      </c>
      <c r="C9" s="365" t="s">
        <v>220</v>
      </c>
      <c r="D9" s="364" t="s">
        <v>221</v>
      </c>
      <c r="E9" s="366">
        <v>8.0</v>
      </c>
      <c r="F9" s="367">
        <v>46162.54166666667</v>
      </c>
      <c r="G9" s="364" t="s">
        <v>1185</v>
      </c>
      <c r="H9" s="364" t="s">
        <v>1186</v>
      </c>
    </row>
    <row r="10">
      <c r="A10" s="364" t="s">
        <v>52</v>
      </c>
      <c r="B10" s="364" t="s">
        <v>25</v>
      </c>
      <c r="C10" s="365" t="s">
        <v>220</v>
      </c>
      <c r="D10" s="364" t="s">
        <v>221</v>
      </c>
      <c r="E10" s="366">
        <v>9.0</v>
      </c>
      <c r="F10" s="367">
        <v>46169.54166666667</v>
      </c>
      <c r="G10" s="364" t="s">
        <v>1185</v>
      </c>
      <c r="H10" s="364" t="s">
        <v>1186</v>
      </c>
    </row>
    <row r="11">
      <c r="A11" s="364" t="s">
        <v>52</v>
      </c>
      <c r="B11" s="364" t="s">
        <v>25</v>
      </c>
      <c r="C11" s="365" t="s">
        <v>220</v>
      </c>
      <c r="D11" s="364" t="s">
        <v>221</v>
      </c>
      <c r="E11" s="366">
        <v>10.0</v>
      </c>
      <c r="F11" s="367">
        <v>46176.54166666667</v>
      </c>
      <c r="G11" s="364" t="s">
        <v>1185</v>
      </c>
      <c r="H11" s="364" t="s">
        <v>1186</v>
      </c>
    </row>
    <row r="12">
      <c r="A12" s="364" t="s">
        <v>52</v>
      </c>
      <c r="B12" s="364" t="s">
        <v>25</v>
      </c>
      <c r="C12" s="365" t="s">
        <v>220</v>
      </c>
      <c r="D12" s="364" t="s">
        <v>221</v>
      </c>
      <c r="E12" s="366">
        <v>11.0</v>
      </c>
      <c r="F12" s="367">
        <v>46183.54166666667</v>
      </c>
      <c r="G12" s="364" t="s">
        <v>1185</v>
      </c>
      <c r="H12" s="364" t="s">
        <v>1186</v>
      </c>
    </row>
    <row r="13">
      <c r="A13" s="364" t="s">
        <v>52</v>
      </c>
      <c r="B13" s="364" t="s">
        <v>25</v>
      </c>
      <c r="C13" s="365" t="s">
        <v>220</v>
      </c>
      <c r="D13" s="364" t="s">
        <v>221</v>
      </c>
      <c r="E13" s="366">
        <v>12.0</v>
      </c>
      <c r="F13" s="367">
        <v>46190.54166666667</v>
      </c>
      <c r="G13" s="364" t="s">
        <v>1185</v>
      </c>
      <c r="H13" s="364" t="s">
        <v>1186</v>
      </c>
    </row>
    <row r="14">
      <c r="A14" s="364" t="s">
        <v>52</v>
      </c>
      <c r="B14" s="364" t="s">
        <v>25</v>
      </c>
      <c r="C14" s="365" t="s">
        <v>220</v>
      </c>
      <c r="D14" s="364" t="s">
        <v>221</v>
      </c>
      <c r="E14" s="366">
        <v>13.0</v>
      </c>
      <c r="F14" s="367">
        <v>46197.54166666667</v>
      </c>
      <c r="G14" s="364" t="s">
        <v>1185</v>
      </c>
      <c r="H14" s="364" t="s">
        <v>1186</v>
      </c>
    </row>
    <row r="15">
      <c r="A15" s="364" t="s">
        <v>52</v>
      </c>
      <c r="B15" s="364" t="s">
        <v>25</v>
      </c>
      <c r="C15" s="365" t="s">
        <v>220</v>
      </c>
      <c r="D15" s="364" t="s">
        <v>221</v>
      </c>
      <c r="E15" s="366">
        <v>14.0</v>
      </c>
      <c r="F15" s="367">
        <v>46211.58333333333</v>
      </c>
      <c r="G15" s="364" t="s">
        <v>1185</v>
      </c>
      <c r="H15" s="364" t="s">
        <v>1186</v>
      </c>
    </row>
    <row r="16">
      <c r="A16" s="364" t="s">
        <v>52</v>
      </c>
      <c r="B16" s="364" t="s">
        <v>25</v>
      </c>
      <c r="C16" s="365" t="s">
        <v>222</v>
      </c>
      <c r="D16" s="364" t="s">
        <v>223</v>
      </c>
      <c r="E16" s="366">
        <v>1.0</v>
      </c>
      <c r="F16" s="367">
        <v>46084.54166666667</v>
      </c>
      <c r="G16" s="364" t="s">
        <v>1185</v>
      </c>
      <c r="H16" s="364" t="s">
        <v>1186</v>
      </c>
    </row>
    <row r="17">
      <c r="A17" s="364" t="s">
        <v>52</v>
      </c>
      <c r="B17" s="364" t="s">
        <v>25</v>
      </c>
      <c r="C17" s="365" t="s">
        <v>222</v>
      </c>
      <c r="D17" s="364" t="s">
        <v>223</v>
      </c>
      <c r="E17" s="366">
        <v>2.0</v>
      </c>
      <c r="F17" s="367">
        <v>46091.58333333333</v>
      </c>
      <c r="G17" s="364" t="s">
        <v>1185</v>
      </c>
      <c r="H17" s="364" t="s">
        <v>1186</v>
      </c>
    </row>
    <row r="18">
      <c r="A18" s="364" t="s">
        <v>52</v>
      </c>
      <c r="B18" s="364" t="s">
        <v>25</v>
      </c>
      <c r="C18" s="365" t="s">
        <v>222</v>
      </c>
      <c r="D18" s="364" t="s">
        <v>223</v>
      </c>
      <c r="E18" s="366">
        <v>3.0</v>
      </c>
      <c r="F18" s="367">
        <v>46098.58333333333</v>
      </c>
      <c r="G18" s="364" t="s">
        <v>1185</v>
      </c>
      <c r="H18" s="364" t="s">
        <v>1186</v>
      </c>
    </row>
    <row r="19">
      <c r="A19" s="364" t="s">
        <v>52</v>
      </c>
      <c r="B19" s="364" t="s">
        <v>25</v>
      </c>
      <c r="C19" s="365" t="s">
        <v>222</v>
      </c>
      <c r="D19" s="364" t="s">
        <v>223</v>
      </c>
      <c r="E19" s="366">
        <v>4.0</v>
      </c>
      <c r="F19" s="367">
        <v>46105.58333333333</v>
      </c>
      <c r="G19" s="364" t="s">
        <v>1185</v>
      </c>
      <c r="H19" s="364" t="s">
        <v>1186</v>
      </c>
    </row>
    <row r="20">
      <c r="A20" s="364" t="s">
        <v>52</v>
      </c>
      <c r="B20" s="364" t="s">
        <v>25</v>
      </c>
      <c r="C20" s="365" t="s">
        <v>222</v>
      </c>
      <c r="D20" s="364" t="s">
        <v>223</v>
      </c>
      <c r="E20" s="366">
        <v>5.0</v>
      </c>
      <c r="F20" s="367">
        <v>46120.58333333333</v>
      </c>
      <c r="G20" s="364" t="s">
        <v>1185</v>
      </c>
      <c r="H20" s="364" t="s">
        <v>1186</v>
      </c>
    </row>
    <row r="21" ht="15.75" customHeight="1">
      <c r="A21" s="364" t="s">
        <v>52</v>
      </c>
      <c r="B21" s="364" t="s">
        <v>25</v>
      </c>
      <c r="C21" s="365" t="s">
        <v>222</v>
      </c>
      <c r="D21" s="364" t="s">
        <v>223</v>
      </c>
      <c r="E21" s="366">
        <v>6.0</v>
      </c>
      <c r="F21" s="367">
        <v>46127.58333333333</v>
      </c>
      <c r="G21" s="364" t="s">
        <v>1185</v>
      </c>
      <c r="H21" s="364" t="s">
        <v>1186</v>
      </c>
    </row>
    <row r="22" ht="15.75" customHeight="1">
      <c r="A22" s="364" t="s">
        <v>52</v>
      </c>
      <c r="B22" s="364" t="s">
        <v>25</v>
      </c>
      <c r="C22" s="365" t="s">
        <v>222</v>
      </c>
      <c r="D22" s="364" t="s">
        <v>223</v>
      </c>
      <c r="E22" s="366">
        <v>7.0</v>
      </c>
      <c r="F22" s="367">
        <v>46155.54166666667</v>
      </c>
      <c r="G22" s="364" t="s">
        <v>1185</v>
      </c>
      <c r="H22" s="364" t="s">
        <v>1186</v>
      </c>
    </row>
    <row r="23" ht="15.75" customHeight="1">
      <c r="A23" s="364" t="s">
        <v>52</v>
      </c>
      <c r="B23" s="364" t="s">
        <v>25</v>
      </c>
      <c r="C23" s="365" t="s">
        <v>222</v>
      </c>
      <c r="D23" s="364" t="s">
        <v>223</v>
      </c>
      <c r="E23" s="366">
        <v>8.0</v>
      </c>
      <c r="F23" s="367">
        <v>46162.54166666667</v>
      </c>
      <c r="G23" s="364" t="s">
        <v>1185</v>
      </c>
      <c r="H23" s="364" t="s">
        <v>1186</v>
      </c>
    </row>
    <row r="24" ht="15.75" customHeight="1">
      <c r="A24" s="364" t="s">
        <v>52</v>
      </c>
      <c r="B24" s="364" t="s">
        <v>25</v>
      </c>
      <c r="C24" s="365" t="s">
        <v>222</v>
      </c>
      <c r="D24" s="364" t="s">
        <v>223</v>
      </c>
      <c r="E24" s="366">
        <v>9.0</v>
      </c>
      <c r="F24" s="367">
        <v>46169.54166666667</v>
      </c>
      <c r="G24" s="364" t="s">
        <v>1185</v>
      </c>
      <c r="H24" s="364" t="s">
        <v>1186</v>
      </c>
    </row>
    <row r="25" ht="15.75" customHeight="1">
      <c r="A25" s="364" t="s">
        <v>52</v>
      </c>
      <c r="B25" s="364" t="s">
        <v>25</v>
      </c>
      <c r="C25" s="365" t="s">
        <v>222</v>
      </c>
      <c r="D25" s="364" t="s">
        <v>223</v>
      </c>
      <c r="E25" s="366">
        <v>10.0</v>
      </c>
      <c r="F25" s="367">
        <v>46176.54166666667</v>
      </c>
      <c r="G25" s="364" t="s">
        <v>1185</v>
      </c>
      <c r="H25" s="364" t="s">
        <v>1186</v>
      </c>
    </row>
    <row r="26" ht="15.75" customHeight="1">
      <c r="A26" s="364" t="s">
        <v>52</v>
      </c>
      <c r="B26" s="364" t="s">
        <v>25</v>
      </c>
      <c r="C26" s="365" t="s">
        <v>222</v>
      </c>
      <c r="D26" s="364" t="s">
        <v>223</v>
      </c>
      <c r="E26" s="366">
        <v>11.0</v>
      </c>
      <c r="F26" s="367">
        <v>46183.54166666667</v>
      </c>
      <c r="G26" s="364" t="s">
        <v>1185</v>
      </c>
      <c r="H26" s="364" t="s">
        <v>1186</v>
      </c>
    </row>
    <row r="27" ht="15.75" customHeight="1">
      <c r="A27" s="364" t="s">
        <v>52</v>
      </c>
      <c r="B27" s="364" t="s">
        <v>25</v>
      </c>
      <c r="C27" s="365" t="s">
        <v>222</v>
      </c>
      <c r="D27" s="364" t="s">
        <v>223</v>
      </c>
      <c r="E27" s="366">
        <v>12.0</v>
      </c>
      <c r="F27" s="367">
        <v>46190.54166666667</v>
      </c>
      <c r="G27" s="364" t="s">
        <v>1185</v>
      </c>
      <c r="H27" s="364" t="s">
        <v>1186</v>
      </c>
    </row>
    <row r="28" ht="15.75" customHeight="1">
      <c r="A28" s="364" t="s">
        <v>52</v>
      </c>
      <c r="B28" s="364" t="s">
        <v>25</v>
      </c>
      <c r="C28" s="365" t="s">
        <v>222</v>
      </c>
      <c r="D28" s="364" t="s">
        <v>223</v>
      </c>
      <c r="E28" s="366">
        <v>13.0</v>
      </c>
      <c r="F28" s="367">
        <v>46197.54166666667</v>
      </c>
      <c r="G28" s="364" t="s">
        <v>1185</v>
      </c>
      <c r="H28" s="364" t="s">
        <v>1186</v>
      </c>
    </row>
    <row r="29" ht="15.75" customHeight="1">
      <c r="A29" s="364" t="s">
        <v>52</v>
      </c>
      <c r="B29" s="364" t="s">
        <v>25</v>
      </c>
      <c r="C29" s="365" t="s">
        <v>222</v>
      </c>
      <c r="D29" s="364" t="s">
        <v>223</v>
      </c>
      <c r="E29" s="366">
        <v>14.0</v>
      </c>
      <c r="F29" s="367">
        <v>46211.58333333333</v>
      </c>
      <c r="G29" s="364" t="s">
        <v>1185</v>
      </c>
      <c r="H29" s="364" t="s">
        <v>1186</v>
      </c>
    </row>
    <row r="30" ht="15.75" customHeight="1">
      <c r="A30" s="364" t="s">
        <v>52</v>
      </c>
      <c r="B30" s="364" t="s">
        <v>25</v>
      </c>
      <c r="C30" s="365" t="s">
        <v>224</v>
      </c>
      <c r="D30" s="364" t="s">
        <v>225</v>
      </c>
      <c r="E30" s="366">
        <v>1.0</v>
      </c>
      <c r="F30" s="367">
        <v>46084.54166666667</v>
      </c>
      <c r="G30" s="364" t="s">
        <v>1185</v>
      </c>
      <c r="H30" s="364" t="s">
        <v>1186</v>
      </c>
    </row>
    <row r="31" ht="15.75" customHeight="1">
      <c r="A31" s="364" t="s">
        <v>52</v>
      </c>
      <c r="B31" s="364" t="s">
        <v>25</v>
      </c>
      <c r="C31" s="365" t="s">
        <v>224</v>
      </c>
      <c r="D31" s="364" t="s">
        <v>225</v>
      </c>
      <c r="E31" s="366">
        <v>2.0</v>
      </c>
      <c r="F31" s="367">
        <v>46091.58333333333</v>
      </c>
      <c r="G31" s="364" t="s">
        <v>1185</v>
      </c>
      <c r="H31" s="364" t="s">
        <v>1186</v>
      </c>
    </row>
    <row r="32" ht="15.75" customHeight="1">
      <c r="A32" s="364" t="s">
        <v>52</v>
      </c>
      <c r="B32" s="364" t="s">
        <v>25</v>
      </c>
      <c r="C32" s="365" t="s">
        <v>224</v>
      </c>
      <c r="D32" s="364" t="s">
        <v>225</v>
      </c>
      <c r="E32" s="366">
        <v>3.0</v>
      </c>
      <c r="F32" s="367">
        <v>46098.58333333333</v>
      </c>
      <c r="G32" s="364" t="s">
        <v>1185</v>
      </c>
      <c r="H32" s="364" t="s">
        <v>1186</v>
      </c>
    </row>
    <row r="33" ht="15.75" customHeight="1">
      <c r="A33" s="364" t="s">
        <v>52</v>
      </c>
      <c r="B33" s="364" t="s">
        <v>25</v>
      </c>
      <c r="C33" s="365" t="s">
        <v>224</v>
      </c>
      <c r="D33" s="364" t="s">
        <v>225</v>
      </c>
      <c r="E33" s="366">
        <v>4.0</v>
      </c>
      <c r="F33" s="367">
        <v>46105.58333333333</v>
      </c>
      <c r="G33" s="364" t="s">
        <v>1185</v>
      </c>
      <c r="H33" s="364" t="s">
        <v>1186</v>
      </c>
    </row>
    <row r="34" ht="15.75" customHeight="1">
      <c r="A34" s="364" t="s">
        <v>52</v>
      </c>
      <c r="B34" s="364" t="s">
        <v>25</v>
      </c>
      <c r="C34" s="365" t="s">
        <v>224</v>
      </c>
      <c r="D34" s="364" t="s">
        <v>225</v>
      </c>
      <c r="E34" s="366">
        <v>5.0</v>
      </c>
      <c r="F34" s="367">
        <v>46120.58333333333</v>
      </c>
      <c r="G34" s="364" t="s">
        <v>1185</v>
      </c>
      <c r="H34" s="364" t="s">
        <v>1186</v>
      </c>
    </row>
    <row r="35" ht="15.75" customHeight="1">
      <c r="A35" s="364" t="s">
        <v>52</v>
      </c>
      <c r="B35" s="364" t="s">
        <v>25</v>
      </c>
      <c r="C35" s="365" t="s">
        <v>224</v>
      </c>
      <c r="D35" s="364" t="s">
        <v>225</v>
      </c>
      <c r="E35" s="366">
        <v>6.0</v>
      </c>
      <c r="F35" s="367">
        <v>46127.58333333333</v>
      </c>
      <c r="G35" s="364" t="s">
        <v>1185</v>
      </c>
      <c r="H35" s="364" t="s">
        <v>1186</v>
      </c>
    </row>
    <row r="36" ht="15.75" customHeight="1">
      <c r="A36" s="364" t="s">
        <v>52</v>
      </c>
      <c r="B36" s="364" t="s">
        <v>25</v>
      </c>
      <c r="C36" s="365" t="s">
        <v>224</v>
      </c>
      <c r="D36" s="364" t="s">
        <v>225</v>
      </c>
      <c r="E36" s="366">
        <v>7.0</v>
      </c>
      <c r="F36" s="367">
        <v>46155.54166666667</v>
      </c>
      <c r="G36" s="364" t="s">
        <v>1185</v>
      </c>
      <c r="H36" s="364" t="s">
        <v>1186</v>
      </c>
    </row>
    <row r="37" ht="15.75" customHeight="1">
      <c r="A37" s="364" t="s">
        <v>52</v>
      </c>
      <c r="B37" s="364" t="s">
        <v>25</v>
      </c>
      <c r="C37" s="365" t="s">
        <v>224</v>
      </c>
      <c r="D37" s="364" t="s">
        <v>225</v>
      </c>
      <c r="E37" s="366">
        <v>8.0</v>
      </c>
      <c r="F37" s="367">
        <v>46162.54166666667</v>
      </c>
      <c r="G37" s="364" t="s">
        <v>1185</v>
      </c>
      <c r="H37" s="364" t="s">
        <v>1186</v>
      </c>
    </row>
    <row r="38" ht="15.75" customHeight="1">
      <c r="A38" s="364" t="s">
        <v>52</v>
      </c>
      <c r="B38" s="364" t="s">
        <v>25</v>
      </c>
      <c r="C38" s="365" t="s">
        <v>224</v>
      </c>
      <c r="D38" s="364" t="s">
        <v>225</v>
      </c>
      <c r="E38" s="366">
        <v>9.0</v>
      </c>
      <c r="F38" s="367">
        <v>46169.54166666667</v>
      </c>
      <c r="G38" s="364" t="s">
        <v>1185</v>
      </c>
      <c r="H38" s="364" t="s">
        <v>1186</v>
      </c>
    </row>
    <row r="39" ht="15.75" customHeight="1">
      <c r="A39" s="364" t="s">
        <v>52</v>
      </c>
      <c r="B39" s="364" t="s">
        <v>25</v>
      </c>
      <c r="C39" s="365" t="s">
        <v>224</v>
      </c>
      <c r="D39" s="364" t="s">
        <v>225</v>
      </c>
      <c r="E39" s="366">
        <v>10.0</v>
      </c>
      <c r="F39" s="367">
        <v>46176.54166666667</v>
      </c>
      <c r="G39" s="364" t="s">
        <v>1185</v>
      </c>
      <c r="H39" s="364" t="s">
        <v>1186</v>
      </c>
    </row>
    <row r="40" ht="15.75" customHeight="1">
      <c r="A40" s="364" t="s">
        <v>52</v>
      </c>
      <c r="B40" s="364" t="s">
        <v>25</v>
      </c>
      <c r="C40" s="365" t="s">
        <v>224</v>
      </c>
      <c r="D40" s="364" t="s">
        <v>225</v>
      </c>
      <c r="E40" s="366">
        <v>11.0</v>
      </c>
      <c r="F40" s="367">
        <v>46183.54166666667</v>
      </c>
      <c r="G40" s="364" t="s">
        <v>1185</v>
      </c>
      <c r="H40" s="364" t="s">
        <v>1186</v>
      </c>
    </row>
    <row r="41" ht="15.75" customHeight="1">
      <c r="A41" s="364" t="s">
        <v>52</v>
      </c>
      <c r="B41" s="364" t="s">
        <v>25</v>
      </c>
      <c r="C41" s="365" t="s">
        <v>224</v>
      </c>
      <c r="D41" s="364" t="s">
        <v>225</v>
      </c>
      <c r="E41" s="366">
        <v>12.0</v>
      </c>
      <c r="F41" s="367">
        <v>46190.54166666667</v>
      </c>
      <c r="G41" s="364" t="s">
        <v>1185</v>
      </c>
      <c r="H41" s="364" t="s">
        <v>1186</v>
      </c>
    </row>
    <row r="42" ht="15.75" customHeight="1">
      <c r="A42" s="364" t="s">
        <v>52</v>
      </c>
      <c r="B42" s="364" t="s">
        <v>25</v>
      </c>
      <c r="C42" s="365" t="s">
        <v>224</v>
      </c>
      <c r="D42" s="364" t="s">
        <v>225</v>
      </c>
      <c r="E42" s="366">
        <v>13.0</v>
      </c>
      <c r="F42" s="367">
        <v>46197.54166666667</v>
      </c>
      <c r="G42" s="364" t="s">
        <v>1185</v>
      </c>
      <c r="H42" s="364" t="s">
        <v>1186</v>
      </c>
    </row>
    <row r="43" ht="15.75" customHeight="1">
      <c r="A43" s="364" t="s">
        <v>52</v>
      </c>
      <c r="B43" s="364" t="s">
        <v>25</v>
      </c>
      <c r="C43" s="365" t="s">
        <v>224</v>
      </c>
      <c r="D43" s="364" t="s">
        <v>225</v>
      </c>
      <c r="E43" s="366">
        <v>14.0</v>
      </c>
      <c r="F43" s="367">
        <v>46211.58333333333</v>
      </c>
      <c r="G43" s="364" t="s">
        <v>1185</v>
      </c>
      <c r="H43" s="364" t="s">
        <v>1186</v>
      </c>
    </row>
    <row r="44" ht="15.75" customHeight="1">
      <c r="A44" s="364" t="s">
        <v>52</v>
      </c>
      <c r="B44" s="364" t="s">
        <v>22</v>
      </c>
      <c r="C44" s="365" t="s">
        <v>656</v>
      </c>
      <c r="D44" s="364" t="s">
        <v>657</v>
      </c>
      <c r="E44" s="366">
        <v>1.0</v>
      </c>
      <c r="F44" s="367">
        <v>45700.41666666667</v>
      </c>
      <c r="G44" s="364" t="s">
        <v>1187</v>
      </c>
      <c r="H44" s="364" t="s">
        <v>1186</v>
      </c>
    </row>
    <row r="45" ht="15.75" customHeight="1">
      <c r="A45" s="364" t="s">
        <v>52</v>
      </c>
      <c r="B45" s="364" t="s">
        <v>22</v>
      </c>
      <c r="C45" s="365" t="s">
        <v>656</v>
      </c>
      <c r="D45" s="364" t="s">
        <v>657</v>
      </c>
      <c r="E45" s="366">
        <v>2.0</v>
      </c>
      <c r="F45" s="367">
        <v>45712.45833333333</v>
      </c>
      <c r="G45" s="364" t="s">
        <v>1185</v>
      </c>
      <c r="H45" s="364" t="s">
        <v>1186</v>
      </c>
    </row>
    <row r="46" ht="15.75" customHeight="1">
      <c r="A46" s="364" t="s">
        <v>52</v>
      </c>
      <c r="B46" s="364" t="s">
        <v>22</v>
      </c>
      <c r="C46" s="365" t="s">
        <v>656</v>
      </c>
      <c r="D46" s="364" t="s">
        <v>657</v>
      </c>
      <c r="E46" s="366">
        <v>3.0</v>
      </c>
      <c r="F46" s="367">
        <v>45763.58333333333</v>
      </c>
      <c r="G46" s="364" t="s">
        <v>1185</v>
      </c>
      <c r="H46" s="364" t="s">
        <v>1186</v>
      </c>
    </row>
    <row r="47" ht="15.75" customHeight="1">
      <c r="A47" s="364" t="s">
        <v>52</v>
      </c>
      <c r="B47" s="364" t="s">
        <v>22</v>
      </c>
      <c r="C47" s="365" t="s">
        <v>656</v>
      </c>
      <c r="D47" s="364" t="s">
        <v>657</v>
      </c>
      <c r="E47" s="366">
        <v>4.0</v>
      </c>
      <c r="F47" s="367">
        <v>45770.54166666667</v>
      </c>
      <c r="G47" s="364" t="s">
        <v>1185</v>
      </c>
      <c r="H47" s="364" t="s">
        <v>1186</v>
      </c>
    </row>
    <row r="48" ht="15.75" customHeight="1">
      <c r="A48" s="364" t="s">
        <v>52</v>
      </c>
      <c r="B48" s="364" t="s">
        <v>22</v>
      </c>
      <c r="C48" s="365" t="s">
        <v>656</v>
      </c>
      <c r="D48" s="364" t="s">
        <v>657</v>
      </c>
      <c r="E48" s="366">
        <v>5.0</v>
      </c>
      <c r="F48" s="367">
        <v>45784.45833333333</v>
      </c>
      <c r="G48" s="364" t="s">
        <v>1185</v>
      </c>
      <c r="H48" s="364" t="s">
        <v>1186</v>
      </c>
    </row>
    <row r="49" ht="15.75" customHeight="1">
      <c r="A49" s="364" t="s">
        <v>52</v>
      </c>
      <c r="B49" s="364" t="s">
        <v>22</v>
      </c>
      <c r="C49" s="365" t="s">
        <v>656</v>
      </c>
      <c r="D49" s="364" t="s">
        <v>657</v>
      </c>
      <c r="E49" s="366">
        <v>6.0</v>
      </c>
      <c r="F49" s="367">
        <v>45819.58333333333</v>
      </c>
      <c r="G49" s="364" t="s">
        <v>1185</v>
      </c>
      <c r="H49" s="364" t="s">
        <v>1186</v>
      </c>
    </row>
    <row r="50" ht="15.75" customHeight="1">
      <c r="A50" s="364" t="s">
        <v>52</v>
      </c>
      <c r="B50" s="364" t="s">
        <v>22</v>
      </c>
      <c r="C50" s="365" t="s">
        <v>656</v>
      </c>
      <c r="D50" s="364" t="s">
        <v>657</v>
      </c>
      <c r="E50" s="366">
        <v>7.0</v>
      </c>
      <c r="F50" s="367">
        <v>45824.54166666667</v>
      </c>
      <c r="G50" s="364" t="s">
        <v>1185</v>
      </c>
      <c r="H50" s="364" t="s">
        <v>1186</v>
      </c>
    </row>
    <row r="51" ht="15.75" customHeight="1">
      <c r="A51" s="364" t="s">
        <v>52</v>
      </c>
      <c r="B51" s="364" t="s">
        <v>22</v>
      </c>
      <c r="C51" s="365" t="s">
        <v>656</v>
      </c>
      <c r="D51" s="364" t="s">
        <v>657</v>
      </c>
      <c r="E51" s="366">
        <v>8.0</v>
      </c>
      <c r="F51" s="367">
        <v>45831.54166666667</v>
      </c>
      <c r="G51" s="364" t="s">
        <v>1185</v>
      </c>
      <c r="H51" s="364" t="s">
        <v>1186</v>
      </c>
    </row>
    <row r="52" ht="15.75" customHeight="1">
      <c r="A52" s="364" t="s">
        <v>52</v>
      </c>
      <c r="B52" s="364" t="s">
        <v>22</v>
      </c>
      <c r="C52" s="365" t="s">
        <v>656</v>
      </c>
      <c r="D52" s="364" t="s">
        <v>657</v>
      </c>
      <c r="E52" s="366">
        <v>9.0</v>
      </c>
      <c r="F52" s="367">
        <v>45840.54166666667</v>
      </c>
      <c r="G52" s="364" t="s">
        <v>1185</v>
      </c>
      <c r="H52" s="364" t="s">
        <v>1186</v>
      </c>
    </row>
    <row r="53" ht="15.75" customHeight="1">
      <c r="A53" s="364" t="s">
        <v>52</v>
      </c>
      <c r="B53" s="364" t="s">
        <v>22</v>
      </c>
      <c r="C53" s="365" t="s">
        <v>656</v>
      </c>
      <c r="D53" s="364" t="s">
        <v>657</v>
      </c>
      <c r="E53" s="366">
        <v>10.0</v>
      </c>
      <c r="F53" s="367">
        <v>45867.41666666667</v>
      </c>
      <c r="G53" s="364" t="s">
        <v>1185</v>
      </c>
      <c r="H53" s="364" t="s">
        <v>1186</v>
      </c>
    </row>
    <row r="54" ht="15.75" customHeight="1">
      <c r="A54" s="364" t="s">
        <v>52</v>
      </c>
      <c r="B54" s="364" t="s">
        <v>22</v>
      </c>
      <c r="C54" s="365" t="s">
        <v>660</v>
      </c>
      <c r="D54" s="364" t="s">
        <v>661</v>
      </c>
      <c r="E54" s="366">
        <v>1.0</v>
      </c>
      <c r="F54" s="367">
        <v>45700.41666666667</v>
      </c>
      <c r="G54" s="364" t="s">
        <v>1187</v>
      </c>
      <c r="H54" s="364" t="s">
        <v>1186</v>
      </c>
    </row>
    <row r="55" ht="15.75" customHeight="1">
      <c r="A55" s="364" t="s">
        <v>52</v>
      </c>
      <c r="B55" s="364" t="s">
        <v>22</v>
      </c>
      <c r="C55" s="365" t="s">
        <v>660</v>
      </c>
      <c r="D55" s="364" t="s">
        <v>661</v>
      </c>
      <c r="E55" s="366">
        <v>2.0</v>
      </c>
      <c r="F55" s="367">
        <v>45712.45833333333</v>
      </c>
      <c r="G55" s="364" t="s">
        <v>1187</v>
      </c>
      <c r="H55" s="364" t="s">
        <v>1186</v>
      </c>
    </row>
    <row r="56" ht="15.75" customHeight="1">
      <c r="A56" s="364" t="s">
        <v>52</v>
      </c>
      <c r="B56" s="364" t="s">
        <v>22</v>
      </c>
      <c r="C56" s="365" t="s">
        <v>660</v>
      </c>
      <c r="D56" s="364" t="s">
        <v>661</v>
      </c>
      <c r="E56" s="366">
        <v>3.0</v>
      </c>
      <c r="F56" s="367">
        <v>45763.58333333333</v>
      </c>
      <c r="G56" s="364" t="s">
        <v>1185</v>
      </c>
      <c r="H56" s="364" t="s">
        <v>1186</v>
      </c>
    </row>
    <row r="57" ht="15.75" customHeight="1">
      <c r="A57" s="364" t="s">
        <v>52</v>
      </c>
      <c r="B57" s="364" t="s">
        <v>22</v>
      </c>
      <c r="C57" s="365" t="s">
        <v>660</v>
      </c>
      <c r="D57" s="364" t="s">
        <v>661</v>
      </c>
      <c r="E57" s="366">
        <v>4.0</v>
      </c>
      <c r="F57" s="367">
        <v>45770.54166666667</v>
      </c>
      <c r="G57" s="364" t="s">
        <v>1185</v>
      </c>
      <c r="H57" s="364" t="s">
        <v>1186</v>
      </c>
    </row>
    <row r="58" ht="15.75" customHeight="1">
      <c r="A58" s="364" t="s">
        <v>52</v>
      </c>
      <c r="B58" s="364" t="s">
        <v>22</v>
      </c>
      <c r="C58" s="365" t="s">
        <v>660</v>
      </c>
      <c r="D58" s="364" t="s">
        <v>661</v>
      </c>
      <c r="E58" s="366">
        <v>5.0</v>
      </c>
      <c r="F58" s="367">
        <v>45784.45833333333</v>
      </c>
      <c r="G58" s="364" t="s">
        <v>1185</v>
      </c>
      <c r="H58" s="364" t="s">
        <v>1186</v>
      </c>
    </row>
    <row r="59" ht="15.75" customHeight="1">
      <c r="A59" s="364" t="s">
        <v>52</v>
      </c>
      <c r="B59" s="364" t="s">
        <v>22</v>
      </c>
      <c r="C59" s="365" t="s">
        <v>660</v>
      </c>
      <c r="D59" s="364" t="s">
        <v>661</v>
      </c>
      <c r="E59" s="366">
        <v>6.0</v>
      </c>
      <c r="F59" s="367">
        <v>45819.58333333333</v>
      </c>
      <c r="G59" s="364" t="s">
        <v>1185</v>
      </c>
      <c r="H59" s="364" t="s">
        <v>1186</v>
      </c>
    </row>
    <row r="60" ht="15.75" customHeight="1">
      <c r="A60" s="364" t="s">
        <v>52</v>
      </c>
      <c r="B60" s="364" t="s">
        <v>22</v>
      </c>
      <c r="C60" s="365" t="s">
        <v>660</v>
      </c>
      <c r="D60" s="364" t="s">
        <v>661</v>
      </c>
      <c r="E60" s="366">
        <v>7.0</v>
      </c>
      <c r="F60" s="367">
        <v>45824.54166666667</v>
      </c>
      <c r="G60" s="364" t="s">
        <v>1185</v>
      </c>
      <c r="H60" s="364" t="s">
        <v>1186</v>
      </c>
    </row>
    <row r="61" ht="15.75" customHeight="1">
      <c r="A61" s="364" t="s">
        <v>52</v>
      </c>
      <c r="B61" s="364" t="s">
        <v>22</v>
      </c>
      <c r="C61" s="365" t="s">
        <v>660</v>
      </c>
      <c r="D61" s="364" t="s">
        <v>661</v>
      </c>
      <c r="E61" s="366">
        <v>8.0</v>
      </c>
      <c r="F61" s="367">
        <v>45831.54166666667</v>
      </c>
      <c r="G61" s="364" t="s">
        <v>1185</v>
      </c>
      <c r="H61" s="364" t="s">
        <v>1186</v>
      </c>
    </row>
    <row r="62" ht="15.75" customHeight="1">
      <c r="A62" s="364" t="s">
        <v>52</v>
      </c>
      <c r="B62" s="364" t="s">
        <v>22</v>
      </c>
      <c r="C62" s="365" t="s">
        <v>660</v>
      </c>
      <c r="D62" s="364" t="s">
        <v>661</v>
      </c>
      <c r="E62" s="366">
        <v>9.0</v>
      </c>
      <c r="F62" s="367">
        <v>45840.54166666667</v>
      </c>
      <c r="G62" s="364" t="s">
        <v>1185</v>
      </c>
      <c r="H62" s="364" t="s">
        <v>1186</v>
      </c>
    </row>
    <row r="63" ht="15.75" customHeight="1">
      <c r="A63" s="364" t="s">
        <v>52</v>
      </c>
      <c r="B63" s="364" t="s">
        <v>22</v>
      </c>
      <c r="C63" s="365" t="s">
        <v>660</v>
      </c>
      <c r="D63" s="364" t="s">
        <v>661</v>
      </c>
      <c r="E63" s="366">
        <v>10.0</v>
      </c>
      <c r="F63" s="367">
        <v>45867.41666666667</v>
      </c>
      <c r="G63" s="364" t="s">
        <v>1185</v>
      </c>
      <c r="H63" s="364" t="s">
        <v>1186</v>
      </c>
    </row>
    <row r="64" ht="15.75" customHeight="1">
      <c r="A64" s="364" t="s">
        <v>52</v>
      </c>
      <c r="B64" s="364" t="s">
        <v>22</v>
      </c>
      <c r="C64" s="365" t="s">
        <v>664</v>
      </c>
      <c r="D64" s="364" t="s">
        <v>665</v>
      </c>
      <c r="E64" s="366">
        <v>1.0</v>
      </c>
      <c r="F64" s="367">
        <v>45700.41666666667</v>
      </c>
      <c r="G64" s="364" t="s">
        <v>1185</v>
      </c>
      <c r="H64" s="364" t="s">
        <v>1186</v>
      </c>
    </row>
    <row r="65" ht="15.75" customHeight="1">
      <c r="A65" s="364" t="s">
        <v>52</v>
      </c>
      <c r="B65" s="364" t="s">
        <v>22</v>
      </c>
      <c r="C65" s="365" t="s">
        <v>664</v>
      </c>
      <c r="D65" s="364" t="s">
        <v>665</v>
      </c>
      <c r="E65" s="366">
        <v>2.0</v>
      </c>
      <c r="F65" s="367">
        <v>45712.45833333333</v>
      </c>
      <c r="G65" s="364" t="s">
        <v>1185</v>
      </c>
      <c r="H65" s="364" t="s">
        <v>1186</v>
      </c>
    </row>
    <row r="66" ht="15.75" customHeight="1">
      <c r="A66" s="364" t="s">
        <v>52</v>
      </c>
      <c r="B66" s="364" t="s">
        <v>22</v>
      </c>
      <c r="C66" s="365" t="s">
        <v>664</v>
      </c>
      <c r="D66" s="364" t="s">
        <v>665</v>
      </c>
      <c r="E66" s="366">
        <v>3.0</v>
      </c>
      <c r="F66" s="367">
        <v>45763.58333333333</v>
      </c>
      <c r="G66" s="364" t="s">
        <v>1185</v>
      </c>
      <c r="H66" s="364" t="s">
        <v>1186</v>
      </c>
    </row>
    <row r="67" ht="15.75" customHeight="1">
      <c r="A67" s="364" t="s">
        <v>52</v>
      </c>
      <c r="B67" s="364" t="s">
        <v>22</v>
      </c>
      <c r="C67" s="365" t="s">
        <v>664</v>
      </c>
      <c r="D67" s="364" t="s">
        <v>665</v>
      </c>
      <c r="E67" s="366">
        <v>4.0</v>
      </c>
      <c r="F67" s="367">
        <v>45770.54166666667</v>
      </c>
      <c r="G67" s="364" t="s">
        <v>1185</v>
      </c>
      <c r="H67" s="364" t="s">
        <v>1186</v>
      </c>
    </row>
    <row r="68" ht="15.75" customHeight="1">
      <c r="A68" s="364" t="s">
        <v>52</v>
      </c>
      <c r="B68" s="364" t="s">
        <v>22</v>
      </c>
      <c r="C68" s="365" t="s">
        <v>664</v>
      </c>
      <c r="D68" s="364" t="s">
        <v>665</v>
      </c>
      <c r="E68" s="366">
        <v>5.0</v>
      </c>
      <c r="F68" s="367">
        <v>45784.45833333333</v>
      </c>
      <c r="G68" s="364" t="s">
        <v>1185</v>
      </c>
      <c r="H68" s="364" t="s">
        <v>1186</v>
      </c>
    </row>
    <row r="69" ht="15.75" customHeight="1">
      <c r="A69" s="364" t="s">
        <v>52</v>
      </c>
      <c r="B69" s="364" t="s">
        <v>22</v>
      </c>
      <c r="C69" s="365" t="s">
        <v>664</v>
      </c>
      <c r="D69" s="364" t="s">
        <v>665</v>
      </c>
      <c r="E69" s="366">
        <v>6.0</v>
      </c>
      <c r="F69" s="367">
        <v>45819.58333333333</v>
      </c>
      <c r="G69" s="364" t="s">
        <v>1185</v>
      </c>
      <c r="H69" s="364" t="s">
        <v>1186</v>
      </c>
    </row>
    <row r="70" ht="15.75" customHeight="1">
      <c r="A70" s="364" t="s">
        <v>52</v>
      </c>
      <c r="B70" s="364" t="s">
        <v>22</v>
      </c>
      <c r="C70" s="365" t="s">
        <v>664</v>
      </c>
      <c r="D70" s="364" t="s">
        <v>665</v>
      </c>
      <c r="E70" s="366">
        <v>7.0</v>
      </c>
      <c r="F70" s="367">
        <v>45824.54166666667</v>
      </c>
      <c r="G70" s="364" t="s">
        <v>1185</v>
      </c>
      <c r="H70" s="364" t="s">
        <v>1186</v>
      </c>
    </row>
    <row r="71" ht="15.75" customHeight="1">
      <c r="A71" s="364" t="s">
        <v>52</v>
      </c>
      <c r="B71" s="364" t="s">
        <v>22</v>
      </c>
      <c r="C71" s="365" t="s">
        <v>664</v>
      </c>
      <c r="D71" s="364" t="s">
        <v>665</v>
      </c>
      <c r="E71" s="366">
        <v>8.0</v>
      </c>
      <c r="F71" s="367">
        <v>45831.54166666667</v>
      </c>
      <c r="G71" s="364" t="s">
        <v>1185</v>
      </c>
      <c r="H71" s="364" t="s">
        <v>1186</v>
      </c>
    </row>
    <row r="72" ht="15.75" customHeight="1">
      <c r="A72" s="364" t="s">
        <v>52</v>
      </c>
      <c r="B72" s="364" t="s">
        <v>22</v>
      </c>
      <c r="C72" s="365" t="s">
        <v>664</v>
      </c>
      <c r="D72" s="364" t="s">
        <v>665</v>
      </c>
      <c r="E72" s="366">
        <v>9.0</v>
      </c>
      <c r="F72" s="367">
        <v>45840.54166666667</v>
      </c>
      <c r="G72" s="364" t="s">
        <v>1185</v>
      </c>
      <c r="H72" s="364" t="s">
        <v>1186</v>
      </c>
    </row>
    <row r="73" ht="15.75" customHeight="1">
      <c r="A73" s="364" t="s">
        <v>52</v>
      </c>
      <c r="B73" s="364" t="s">
        <v>22</v>
      </c>
      <c r="C73" s="365" t="s">
        <v>664</v>
      </c>
      <c r="D73" s="364" t="s">
        <v>665</v>
      </c>
      <c r="E73" s="366">
        <v>10.0</v>
      </c>
      <c r="F73" s="367">
        <v>45867.41666666667</v>
      </c>
      <c r="G73" s="364" t="s">
        <v>1185</v>
      </c>
      <c r="H73" s="364" t="s">
        <v>1186</v>
      </c>
    </row>
    <row r="74" ht="15.75" customHeight="1">
      <c r="A74" s="364" t="s">
        <v>52</v>
      </c>
      <c r="B74" s="364" t="s">
        <v>22</v>
      </c>
      <c r="C74" s="365" t="s">
        <v>220</v>
      </c>
      <c r="D74" s="364" t="s">
        <v>221</v>
      </c>
      <c r="E74" s="366">
        <v>1.0</v>
      </c>
      <c r="F74" s="367">
        <v>45700.41666666667</v>
      </c>
      <c r="G74" s="364" t="s">
        <v>1185</v>
      </c>
      <c r="H74" s="364" t="s">
        <v>1186</v>
      </c>
    </row>
    <row r="75" ht="15.75" customHeight="1">
      <c r="A75" s="364" t="s">
        <v>52</v>
      </c>
      <c r="B75" s="364" t="s">
        <v>22</v>
      </c>
      <c r="C75" s="365" t="s">
        <v>220</v>
      </c>
      <c r="D75" s="364" t="s">
        <v>221</v>
      </c>
      <c r="E75" s="366">
        <v>2.0</v>
      </c>
      <c r="F75" s="367">
        <v>45712.45833333333</v>
      </c>
      <c r="G75" s="364" t="s">
        <v>1185</v>
      </c>
      <c r="H75" s="364" t="s">
        <v>1186</v>
      </c>
    </row>
    <row r="76" ht="15.75" customHeight="1">
      <c r="A76" s="364" t="s">
        <v>52</v>
      </c>
      <c r="B76" s="364" t="s">
        <v>22</v>
      </c>
      <c r="C76" s="365" t="s">
        <v>220</v>
      </c>
      <c r="D76" s="364" t="s">
        <v>221</v>
      </c>
      <c r="E76" s="366">
        <v>3.0</v>
      </c>
      <c r="F76" s="367">
        <v>45763.58333333333</v>
      </c>
      <c r="G76" s="364" t="s">
        <v>1185</v>
      </c>
      <c r="H76" s="364" t="s">
        <v>1186</v>
      </c>
    </row>
    <row r="77" ht="15.75" customHeight="1">
      <c r="A77" s="364" t="s">
        <v>52</v>
      </c>
      <c r="B77" s="364" t="s">
        <v>22</v>
      </c>
      <c r="C77" s="365" t="s">
        <v>220</v>
      </c>
      <c r="D77" s="364" t="s">
        <v>221</v>
      </c>
      <c r="E77" s="366">
        <v>4.0</v>
      </c>
      <c r="F77" s="367">
        <v>45770.54166666667</v>
      </c>
      <c r="G77" s="364" t="s">
        <v>1185</v>
      </c>
      <c r="H77" s="364" t="s">
        <v>1186</v>
      </c>
    </row>
    <row r="78" ht="15.75" customHeight="1">
      <c r="A78" s="364" t="s">
        <v>52</v>
      </c>
      <c r="B78" s="364" t="s">
        <v>22</v>
      </c>
      <c r="C78" s="365" t="s">
        <v>220</v>
      </c>
      <c r="D78" s="364" t="s">
        <v>221</v>
      </c>
      <c r="E78" s="366">
        <v>5.0</v>
      </c>
      <c r="F78" s="367">
        <v>45784.45833333333</v>
      </c>
      <c r="G78" s="364" t="s">
        <v>1185</v>
      </c>
      <c r="H78" s="364" t="s">
        <v>1186</v>
      </c>
    </row>
    <row r="79" ht="15.75" customHeight="1">
      <c r="A79" s="364" t="s">
        <v>52</v>
      </c>
      <c r="B79" s="364" t="s">
        <v>22</v>
      </c>
      <c r="C79" s="365" t="s">
        <v>220</v>
      </c>
      <c r="D79" s="364" t="s">
        <v>221</v>
      </c>
      <c r="E79" s="366">
        <v>6.0</v>
      </c>
      <c r="F79" s="367">
        <v>45819.58333333333</v>
      </c>
      <c r="G79" s="364" t="s">
        <v>1185</v>
      </c>
      <c r="H79" s="364" t="s">
        <v>1186</v>
      </c>
    </row>
    <row r="80" ht="15.75" customHeight="1">
      <c r="A80" s="364" t="s">
        <v>52</v>
      </c>
      <c r="B80" s="364" t="s">
        <v>22</v>
      </c>
      <c r="C80" s="365" t="s">
        <v>220</v>
      </c>
      <c r="D80" s="364" t="s">
        <v>221</v>
      </c>
      <c r="E80" s="366">
        <v>7.0</v>
      </c>
      <c r="F80" s="367">
        <v>45824.54166666667</v>
      </c>
      <c r="G80" s="364" t="s">
        <v>1185</v>
      </c>
      <c r="H80" s="364" t="s">
        <v>1186</v>
      </c>
    </row>
    <row r="81" ht="15.75" customHeight="1">
      <c r="A81" s="364" t="s">
        <v>52</v>
      </c>
      <c r="B81" s="364" t="s">
        <v>22</v>
      </c>
      <c r="C81" s="365" t="s">
        <v>220</v>
      </c>
      <c r="D81" s="364" t="s">
        <v>221</v>
      </c>
      <c r="E81" s="366">
        <v>8.0</v>
      </c>
      <c r="F81" s="367">
        <v>45831.54166666667</v>
      </c>
      <c r="G81" s="364" t="s">
        <v>1185</v>
      </c>
      <c r="H81" s="364" t="s">
        <v>1186</v>
      </c>
    </row>
    <row r="82" ht="15.75" customHeight="1">
      <c r="A82" s="364" t="s">
        <v>52</v>
      </c>
      <c r="B82" s="364" t="s">
        <v>22</v>
      </c>
      <c r="C82" s="365" t="s">
        <v>220</v>
      </c>
      <c r="D82" s="364" t="s">
        <v>221</v>
      </c>
      <c r="E82" s="366">
        <v>9.0</v>
      </c>
      <c r="F82" s="367">
        <v>45840.54166666667</v>
      </c>
      <c r="G82" s="364" t="s">
        <v>1185</v>
      </c>
      <c r="H82" s="364" t="s">
        <v>1186</v>
      </c>
    </row>
    <row r="83" ht="15.75" customHeight="1">
      <c r="A83" s="364" t="s">
        <v>52</v>
      </c>
      <c r="B83" s="364" t="s">
        <v>22</v>
      </c>
      <c r="C83" s="365" t="s">
        <v>220</v>
      </c>
      <c r="D83" s="364" t="s">
        <v>221</v>
      </c>
      <c r="E83" s="366">
        <v>10.0</v>
      </c>
      <c r="F83" s="367">
        <v>45867.41666666667</v>
      </c>
      <c r="G83" s="364" t="s">
        <v>1185</v>
      </c>
      <c r="H83" s="364" t="s">
        <v>1186</v>
      </c>
    </row>
    <row r="84" ht="15.75" customHeight="1">
      <c r="A84" s="364" t="s">
        <v>52</v>
      </c>
      <c r="B84" s="364" t="s">
        <v>22</v>
      </c>
      <c r="C84" s="365" t="s">
        <v>222</v>
      </c>
      <c r="D84" s="364" t="s">
        <v>223</v>
      </c>
      <c r="E84" s="366">
        <v>1.0</v>
      </c>
      <c r="F84" s="367">
        <v>45700.41666666667</v>
      </c>
      <c r="G84" s="364" t="s">
        <v>1185</v>
      </c>
      <c r="H84" s="364" t="s">
        <v>1186</v>
      </c>
    </row>
    <row r="85" ht="15.75" customHeight="1">
      <c r="A85" s="364" t="s">
        <v>52</v>
      </c>
      <c r="B85" s="364" t="s">
        <v>22</v>
      </c>
      <c r="C85" s="365" t="s">
        <v>222</v>
      </c>
      <c r="D85" s="364" t="s">
        <v>223</v>
      </c>
      <c r="E85" s="366">
        <v>2.0</v>
      </c>
      <c r="F85" s="367">
        <v>45712.45833333333</v>
      </c>
      <c r="G85" s="364" t="s">
        <v>1185</v>
      </c>
      <c r="H85" s="364" t="s">
        <v>1186</v>
      </c>
    </row>
    <row r="86" ht="15.75" customHeight="1">
      <c r="A86" s="364" t="s">
        <v>52</v>
      </c>
      <c r="B86" s="364" t="s">
        <v>22</v>
      </c>
      <c r="C86" s="365" t="s">
        <v>222</v>
      </c>
      <c r="D86" s="364" t="s">
        <v>223</v>
      </c>
      <c r="E86" s="366">
        <v>3.0</v>
      </c>
      <c r="F86" s="367">
        <v>45763.58333333333</v>
      </c>
      <c r="G86" s="364" t="s">
        <v>1185</v>
      </c>
      <c r="H86" s="364" t="s">
        <v>1186</v>
      </c>
    </row>
    <row r="87" ht="15.75" customHeight="1">
      <c r="A87" s="364" t="s">
        <v>52</v>
      </c>
      <c r="B87" s="364" t="s">
        <v>22</v>
      </c>
      <c r="C87" s="365" t="s">
        <v>222</v>
      </c>
      <c r="D87" s="364" t="s">
        <v>223</v>
      </c>
      <c r="E87" s="366">
        <v>4.0</v>
      </c>
      <c r="F87" s="367">
        <v>45770.54166666667</v>
      </c>
      <c r="G87" s="364" t="s">
        <v>1185</v>
      </c>
      <c r="H87" s="364" t="s">
        <v>1186</v>
      </c>
    </row>
    <row r="88" ht="15.75" customHeight="1">
      <c r="A88" s="364" t="s">
        <v>52</v>
      </c>
      <c r="B88" s="364" t="s">
        <v>22</v>
      </c>
      <c r="C88" s="365" t="s">
        <v>222</v>
      </c>
      <c r="D88" s="364" t="s">
        <v>223</v>
      </c>
      <c r="E88" s="366">
        <v>5.0</v>
      </c>
      <c r="F88" s="367">
        <v>45784.45833333333</v>
      </c>
      <c r="G88" s="364" t="s">
        <v>1185</v>
      </c>
      <c r="H88" s="364" t="s">
        <v>1186</v>
      </c>
    </row>
    <row r="89" ht="15.75" customHeight="1">
      <c r="A89" s="364" t="s">
        <v>52</v>
      </c>
      <c r="B89" s="364" t="s">
        <v>22</v>
      </c>
      <c r="C89" s="365" t="s">
        <v>222</v>
      </c>
      <c r="D89" s="364" t="s">
        <v>223</v>
      </c>
      <c r="E89" s="366">
        <v>6.0</v>
      </c>
      <c r="F89" s="367">
        <v>45819.58333333333</v>
      </c>
      <c r="G89" s="364" t="s">
        <v>1185</v>
      </c>
      <c r="H89" s="364" t="s">
        <v>1186</v>
      </c>
    </row>
    <row r="90" ht="15.75" customHeight="1">
      <c r="A90" s="364" t="s">
        <v>52</v>
      </c>
      <c r="B90" s="364" t="s">
        <v>22</v>
      </c>
      <c r="C90" s="365" t="s">
        <v>222</v>
      </c>
      <c r="D90" s="364" t="s">
        <v>223</v>
      </c>
      <c r="E90" s="366">
        <v>7.0</v>
      </c>
      <c r="F90" s="367">
        <v>45824.54166666667</v>
      </c>
      <c r="G90" s="364" t="s">
        <v>1185</v>
      </c>
      <c r="H90" s="364" t="s">
        <v>1186</v>
      </c>
    </row>
    <row r="91" ht="15.75" customHeight="1">
      <c r="A91" s="364" t="s">
        <v>52</v>
      </c>
      <c r="B91" s="364" t="s">
        <v>22</v>
      </c>
      <c r="C91" s="365" t="s">
        <v>222</v>
      </c>
      <c r="D91" s="364" t="s">
        <v>223</v>
      </c>
      <c r="E91" s="366">
        <v>8.0</v>
      </c>
      <c r="F91" s="367">
        <v>45831.54166666667</v>
      </c>
      <c r="G91" s="364" t="s">
        <v>1185</v>
      </c>
      <c r="H91" s="364" t="s">
        <v>1186</v>
      </c>
    </row>
    <row r="92" ht="15.75" customHeight="1">
      <c r="A92" s="364" t="s">
        <v>52</v>
      </c>
      <c r="B92" s="364" t="s">
        <v>22</v>
      </c>
      <c r="C92" s="365" t="s">
        <v>222</v>
      </c>
      <c r="D92" s="364" t="s">
        <v>223</v>
      </c>
      <c r="E92" s="366">
        <v>9.0</v>
      </c>
      <c r="F92" s="367">
        <v>45840.54166666667</v>
      </c>
      <c r="G92" s="364" t="s">
        <v>1185</v>
      </c>
      <c r="H92" s="364" t="s">
        <v>1186</v>
      </c>
    </row>
    <row r="93" ht="15.75" customHeight="1">
      <c r="A93" s="364" t="s">
        <v>52</v>
      </c>
      <c r="B93" s="364" t="s">
        <v>22</v>
      </c>
      <c r="C93" s="365" t="s">
        <v>222</v>
      </c>
      <c r="D93" s="364" t="s">
        <v>223</v>
      </c>
      <c r="E93" s="366">
        <v>10.0</v>
      </c>
      <c r="F93" s="367">
        <v>45867.41666666667</v>
      </c>
      <c r="G93" s="364" t="s">
        <v>1185</v>
      </c>
      <c r="H93" s="364" t="s">
        <v>1186</v>
      </c>
    </row>
    <row r="94" ht="15.75" customHeight="1">
      <c r="A94" s="364" t="s">
        <v>52</v>
      </c>
      <c r="B94" s="364" t="s">
        <v>22</v>
      </c>
      <c r="C94" s="365" t="s">
        <v>224</v>
      </c>
      <c r="D94" s="364" t="s">
        <v>225</v>
      </c>
      <c r="E94" s="366">
        <v>1.0</v>
      </c>
      <c r="F94" s="367">
        <v>45700.41666666667</v>
      </c>
      <c r="G94" s="364" t="s">
        <v>1185</v>
      </c>
      <c r="H94" s="364" t="s">
        <v>1186</v>
      </c>
    </row>
    <row r="95" ht="15.75" customHeight="1">
      <c r="A95" s="364" t="s">
        <v>52</v>
      </c>
      <c r="B95" s="364" t="s">
        <v>22</v>
      </c>
      <c r="C95" s="365" t="s">
        <v>224</v>
      </c>
      <c r="D95" s="364" t="s">
        <v>225</v>
      </c>
      <c r="E95" s="366">
        <v>2.0</v>
      </c>
      <c r="F95" s="367">
        <v>45712.45833333333</v>
      </c>
      <c r="G95" s="364" t="s">
        <v>1185</v>
      </c>
      <c r="H95" s="364" t="s">
        <v>1186</v>
      </c>
    </row>
    <row r="96" ht="15.75" customHeight="1">
      <c r="A96" s="364" t="s">
        <v>52</v>
      </c>
      <c r="B96" s="364" t="s">
        <v>22</v>
      </c>
      <c r="C96" s="365" t="s">
        <v>224</v>
      </c>
      <c r="D96" s="364" t="s">
        <v>225</v>
      </c>
      <c r="E96" s="366">
        <v>3.0</v>
      </c>
      <c r="F96" s="367">
        <v>45763.58333333333</v>
      </c>
      <c r="G96" s="364" t="s">
        <v>1185</v>
      </c>
      <c r="H96" s="364" t="s">
        <v>1186</v>
      </c>
    </row>
    <row r="97" ht="15.75" customHeight="1">
      <c r="A97" s="364" t="s">
        <v>52</v>
      </c>
      <c r="B97" s="364" t="s">
        <v>22</v>
      </c>
      <c r="C97" s="365" t="s">
        <v>224</v>
      </c>
      <c r="D97" s="364" t="s">
        <v>225</v>
      </c>
      <c r="E97" s="366">
        <v>4.0</v>
      </c>
      <c r="F97" s="367">
        <v>45770.54166666667</v>
      </c>
      <c r="G97" s="364" t="s">
        <v>1185</v>
      </c>
      <c r="H97" s="364" t="s">
        <v>1186</v>
      </c>
    </row>
    <row r="98" ht="15.75" customHeight="1">
      <c r="A98" s="364" t="s">
        <v>52</v>
      </c>
      <c r="B98" s="364" t="s">
        <v>22</v>
      </c>
      <c r="C98" s="365" t="s">
        <v>224</v>
      </c>
      <c r="D98" s="364" t="s">
        <v>225</v>
      </c>
      <c r="E98" s="366">
        <v>5.0</v>
      </c>
      <c r="F98" s="367">
        <v>45784.45833333333</v>
      </c>
      <c r="G98" s="364" t="s">
        <v>1185</v>
      </c>
      <c r="H98" s="364" t="s">
        <v>1186</v>
      </c>
    </row>
    <row r="99" ht="15.75" customHeight="1">
      <c r="A99" s="364" t="s">
        <v>52</v>
      </c>
      <c r="B99" s="364" t="s">
        <v>22</v>
      </c>
      <c r="C99" s="365" t="s">
        <v>224</v>
      </c>
      <c r="D99" s="364" t="s">
        <v>225</v>
      </c>
      <c r="E99" s="366">
        <v>6.0</v>
      </c>
      <c r="F99" s="367">
        <v>45819.58333333333</v>
      </c>
      <c r="G99" s="364" t="s">
        <v>1185</v>
      </c>
      <c r="H99" s="364" t="s">
        <v>1186</v>
      </c>
    </row>
    <row r="100" ht="15.75" customHeight="1">
      <c r="A100" s="364" t="s">
        <v>52</v>
      </c>
      <c r="B100" s="364" t="s">
        <v>22</v>
      </c>
      <c r="C100" s="365" t="s">
        <v>224</v>
      </c>
      <c r="D100" s="364" t="s">
        <v>225</v>
      </c>
      <c r="E100" s="366">
        <v>7.0</v>
      </c>
      <c r="F100" s="367">
        <v>45824.54166666667</v>
      </c>
      <c r="G100" s="364" t="s">
        <v>1185</v>
      </c>
      <c r="H100" s="364" t="s">
        <v>1186</v>
      </c>
    </row>
    <row r="101" ht="15.75" customHeight="1">
      <c r="A101" s="364" t="s">
        <v>52</v>
      </c>
      <c r="B101" s="364" t="s">
        <v>22</v>
      </c>
      <c r="C101" s="365" t="s">
        <v>224</v>
      </c>
      <c r="D101" s="364" t="s">
        <v>225</v>
      </c>
      <c r="E101" s="366">
        <v>8.0</v>
      </c>
      <c r="F101" s="367">
        <v>45831.54166666667</v>
      </c>
      <c r="G101" s="364" t="s">
        <v>1185</v>
      </c>
      <c r="H101" s="364" t="s">
        <v>1186</v>
      </c>
    </row>
    <row r="102" ht="15.75" customHeight="1">
      <c r="A102" s="364" t="s">
        <v>52</v>
      </c>
      <c r="B102" s="364" t="s">
        <v>22</v>
      </c>
      <c r="C102" s="365" t="s">
        <v>224</v>
      </c>
      <c r="D102" s="364" t="s">
        <v>225</v>
      </c>
      <c r="E102" s="366">
        <v>9.0</v>
      </c>
      <c r="F102" s="367">
        <v>45840.54166666667</v>
      </c>
      <c r="G102" s="364" t="s">
        <v>1185</v>
      </c>
      <c r="H102" s="364" t="s">
        <v>1186</v>
      </c>
    </row>
    <row r="103" ht="15.75" customHeight="1">
      <c r="A103" s="364" t="s">
        <v>52</v>
      </c>
      <c r="B103" s="364" t="s">
        <v>22</v>
      </c>
      <c r="C103" s="365" t="s">
        <v>224</v>
      </c>
      <c r="D103" s="364" t="s">
        <v>225</v>
      </c>
      <c r="E103" s="366">
        <v>10.0</v>
      </c>
      <c r="F103" s="367">
        <v>45867.41666666667</v>
      </c>
      <c r="G103" s="364" t="s">
        <v>1185</v>
      </c>
      <c r="H103" s="364" t="s">
        <v>1186</v>
      </c>
    </row>
    <row r="104" ht="15.75" customHeight="1">
      <c r="A104" s="364" t="s">
        <v>52</v>
      </c>
      <c r="B104" s="364" t="s">
        <v>23</v>
      </c>
      <c r="C104" s="365" t="s">
        <v>656</v>
      </c>
      <c r="D104" s="364" t="s">
        <v>657</v>
      </c>
      <c r="E104" s="366">
        <v>1.0</v>
      </c>
      <c r="F104" s="367">
        <v>45889.45833333333</v>
      </c>
      <c r="G104" s="364" t="s">
        <v>1185</v>
      </c>
      <c r="H104" s="364" t="s">
        <v>1186</v>
      </c>
    </row>
    <row r="105" ht="15.75" customHeight="1">
      <c r="A105" s="364" t="s">
        <v>52</v>
      </c>
      <c r="B105" s="364" t="s">
        <v>23</v>
      </c>
      <c r="C105" s="365" t="s">
        <v>656</v>
      </c>
      <c r="D105" s="364" t="s">
        <v>657</v>
      </c>
      <c r="E105" s="366">
        <v>2.0</v>
      </c>
      <c r="F105" s="367">
        <v>45896.45833333333</v>
      </c>
      <c r="G105" s="364" t="s">
        <v>1185</v>
      </c>
      <c r="H105" s="364" t="s">
        <v>1186</v>
      </c>
    </row>
    <row r="106" ht="15.75" customHeight="1">
      <c r="A106" s="364" t="s">
        <v>52</v>
      </c>
      <c r="B106" s="364" t="s">
        <v>23</v>
      </c>
      <c r="C106" s="365" t="s">
        <v>656</v>
      </c>
      <c r="D106" s="364" t="s">
        <v>657</v>
      </c>
      <c r="E106" s="366">
        <v>4.0</v>
      </c>
      <c r="F106" s="367">
        <v>45922.54166666667</v>
      </c>
      <c r="G106" s="364" t="s">
        <v>1185</v>
      </c>
      <c r="H106" s="364" t="s">
        <v>1186</v>
      </c>
    </row>
    <row r="107" ht="15.75" customHeight="1">
      <c r="A107" s="364" t="s">
        <v>52</v>
      </c>
      <c r="B107" s="364" t="s">
        <v>23</v>
      </c>
      <c r="C107" s="365" t="s">
        <v>656</v>
      </c>
      <c r="D107" s="364" t="s">
        <v>657</v>
      </c>
      <c r="E107" s="366">
        <v>5.0</v>
      </c>
      <c r="F107" s="367">
        <v>45930.45833333333</v>
      </c>
      <c r="G107" s="364" t="s">
        <v>1185</v>
      </c>
      <c r="H107" s="364" t="s">
        <v>1186</v>
      </c>
    </row>
    <row r="108" ht="15.75" customHeight="1">
      <c r="A108" s="364" t="s">
        <v>52</v>
      </c>
      <c r="B108" s="364" t="s">
        <v>23</v>
      </c>
      <c r="C108" s="365" t="s">
        <v>656</v>
      </c>
      <c r="D108" s="364" t="s">
        <v>657</v>
      </c>
      <c r="E108" s="366">
        <v>6.0</v>
      </c>
      <c r="F108" s="367">
        <v>45937.45833333333</v>
      </c>
      <c r="G108" s="364" t="s">
        <v>1185</v>
      </c>
      <c r="H108" s="364" t="s">
        <v>1186</v>
      </c>
    </row>
    <row r="109" ht="15.75" customHeight="1">
      <c r="A109" s="364" t="s">
        <v>52</v>
      </c>
      <c r="B109" s="364" t="s">
        <v>23</v>
      </c>
      <c r="C109" s="365" t="s">
        <v>656</v>
      </c>
      <c r="D109" s="364" t="s">
        <v>657</v>
      </c>
      <c r="E109" s="366">
        <v>7.0</v>
      </c>
      <c r="F109" s="367">
        <v>45944.45833333333</v>
      </c>
      <c r="G109" s="364" t="s">
        <v>1185</v>
      </c>
      <c r="H109" s="364" t="s">
        <v>1186</v>
      </c>
    </row>
    <row r="110" ht="15.75" customHeight="1">
      <c r="A110" s="364" t="s">
        <v>52</v>
      </c>
      <c r="B110" s="364" t="s">
        <v>23</v>
      </c>
      <c r="C110" s="365" t="s">
        <v>656</v>
      </c>
      <c r="D110" s="364" t="s">
        <v>657</v>
      </c>
      <c r="E110" s="366">
        <v>8.0</v>
      </c>
      <c r="F110" s="367">
        <v>45950.45833333333</v>
      </c>
      <c r="G110" s="364" t="s">
        <v>1185</v>
      </c>
      <c r="H110" s="364" t="s">
        <v>1186</v>
      </c>
    </row>
    <row r="111" ht="15.75" customHeight="1">
      <c r="A111" s="364" t="s">
        <v>52</v>
      </c>
      <c r="B111" s="364" t="s">
        <v>23</v>
      </c>
      <c r="C111" s="365" t="s">
        <v>656</v>
      </c>
      <c r="D111" s="364" t="s">
        <v>657</v>
      </c>
      <c r="E111" s="366">
        <v>9.0</v>
      </c>
      <c r="F111" s="367">
        <v>45957.45833333333</v>
      </c>
      <c r="G111" s="364" t="s">
        <v>1185</v>
      </c>
      <c r="H111" s="364" t="s">
        <v>1186</v>
      </c>
    </row>
    <row r="112" ht="15.75" customHeight="1">
      <c r="A112" s="364" t="s">
        <v>52</v>
      </c>
      <c r="B112" s="364" t="s">
        <v>23</v>
      </c>
      <c r="C112" s="365" t="s">
        <v>656</v>
      </c>
      <c r="D112" s="364" t="s">
        <v>657</v>
      </c>
      <c r="E112" s="366">
        <v>10.0</v>
      </c>
      <c r="F112" s="367">
        <v>45965.45833333333</v>
      </c>
      <c r="G112" s="364" t="s">
        <v>1185</v>
      </c>
      <c r="H112" s="364" t="s">
        <v>1186</v>
      </c>
    </row>
    <row r="113" ht="15.75" customHeight="1">
      <c r="A113" s="364" t="s">
        <v>52</v>
      </c>
      <c r="B113" s="364" t="s">
        <v>23</v>
      </c>
      <c r="C113" s="365" t="s">
        <v>656</v>
      </c>
      <c r="D113" s="364" t="s">
        <v>657</v>
      </c>
      <c r="E113" s="366">
        <v>11.0</v>
      </c>
      <c r="F113" s="367">
        <v>45972.45833333333</v>
      </c>
      <c r="G113" s="364" t="s">
        <v>1185</v>
      </c>
      <c r="H113" s="364" t="s">
        <v>1186</v>
      </c>
    </row>
    <row r="114" ht="15.75" customHeight="1">
      <c r="A114" s="364" t="s">
        <v>52</v>
      </c>
      <c r="B114" s="364" t="s">
        <v>23</v>
      </c>
      <c r="C114" s="365" t="s">
        <v>656</v>
      </c>
      <c r="D114" s="364" t="s">
        <v>657</v>
      </c>
      <c r="E114" s="366">
        <v>12.0</v>
      </c>
      <c r="F114" s="367">
        <v>45979.45833333333</v>
      </c>
      <c r="G114" s="364" t="s">
        <v>1185</v>
      </c>
      <c r="H114" s="364" t="s">
        <v>1186</v>
      </c>
    </row>
    <row r="115" ht="15.75" customHeight="1">
      <c r="A115" s="364" t="s">
        <v>52</v>
      </c>
      <c r="B115" s="364" t="s">
        <v>23</v>
      </c>
      <c r="C115" s="365" t="s">
        <v>656</v>
      </c>
      <c r="D115" s="364" t="s">
        <v>657</v>
      </c>
      <c r="E115" s="366">
        <v>13.0</v>
      </c>
      <c r="F115" s="367">
        <v>45986.45833333333</v>
      </c>
      <c r="G115" s="364" t="s">
        <v>1187</v>
      </c>
      <c r="H115" s="364" t="s">
        <v>1186</v>
      </c>
    </row>
    <row r="116" ht="15.75" customHeight="1">
      <c r="A116" s="364" t="s">
        <v>52</v>
      </c>
      <c r="B116" s="364" t="s">
        <v>23</v>
      </c>
      <c r="C116" s="365" t="s">
        <v>656</v>
      </c>
      <c r="D116" s="364" t="s">
        <v>657</v>
      </c>
      <c r="E116" s="366">
        <v>14.0</v>
      </c>
      <c r="F116" s="367">
        <v>45993.41666666667</v>
      </c>
      <c r="G116" s="364" t="s">
        <v>1185</v>
      </c>
      <c r="H116" s="364" t="s">
        <v>1186</v>
      </c>
    </row>
    <row r="117" ht="15.75" customHeight="1">
      <c r="A117" s="364" t="s">
        <v>52</v>
      </c>
      <c r="B117" s="364" t="s">
        <v>23</v>
      </c>
      <c r="C117" s="365" t="s">
        <v>656</v>
      </c>
      <c r="D117" s="364" t="s">
        <v>657</v>
      </c>
      <c r="E117" s="366">
        <v>15.0</v>
      </c>
      <c r="F117" s="367">
        <v>46000.45833333333</v>
      </c>
      <c r="G117" s="364" t="s">
        <v>1185</v>
      </c>
      <c r="H117" s="364" t="s">
        <v>1186</v>
      </c>
    </row>
    <row r="118" ht="15.75" customHeight="1">
      <c r="A118" s="364" t="s">
        <v>52</v>
      </c>
      <c r="B118" s="364" t="s">
        <v>23</v>
      </c>
      <c r="C118" s="365" t="s">
        <v>656</v>
      </c>
      <c r="D118" s="364" t="s">
        <v>657</v>
      </c>
      <c r="E118" s="366">
        <v>16.0</v>
      </c>
      <c r="F118" s="367">
        <v>46042.41666666667</v>
      </c>
      <c r="G118" s="364" t="s">
        <v>1185</v>
      </c>
      <c r="H118" s="364" t="s">
        <v>1186</v>
      </c>
    </row>
    <row r="119" ht="15.75" customHeight="1">
      <c r="A119" s="364" t="s">
        <v>52</v>
      </c>
      <c r="B119" s="364" t="s">
        <v>23</v>
      </c>
      <c r="C119" s="365" t="s">
        <v>660</v>
      </c>
      <c r="D119" s="364" t="s">
        <v>661</v>
      </c>
      <c r="E119" s="366">
        <v>1.0</v>
      </c>
      <c r="F119" s="367">
        <v>45889.45833333333</v>
      </c>
      <c r="G119" s="364" t="s">
        <v>1185</v>
      </c>
      <c r="H119" s="364" t="s">
        <v>1186</v>
      </c>
    </row>
    <row r="120" ht="15.75" customHeight="1">
      <c r="A120" s="364" t="s">
        <v>52</v>
      </c>
      <c r="B120" s="364" t="s">
        <v>23</v>
      </c>
      <c r="C120" s="365" t="s">
        <v>660</v>
      </c>
      <c r="D120" s="364" t="s">
        <v>661</v>
      </c>
      <c r="E120" s="366">
        <v>2.0</v>
      </c>
      <c r="F120" s="367">
        <v>45896.45833333333</v>
      </c>
      <c r="G120" s="364" t="s">
        <v>1185</v>
      </c>
      <c r="H120" s="364" t="s">
        <v>1186</v>
      </c>
    </row>
    <row r="121" ht="15.75" customHeight="1">
      <c r="A121" s="364" t="s">
        <v>52</v>
      </c>
      <c r="B121" s="364" t="s">
        <v>23</v>
      </c>
      <c r="C121" s="365" t="s">
        <v>660</v>
      </c>
      <c r="D121" s="364" t="s">
        <v>661</v>
      </c>
      <c r="E121" s="366">
        <v>4.0</v>
      </c>
      <c r="F121" s="367">
        <v>45922.54166666667</v>
      </c>
      <c r="G121" s="364" t="s">
        <v>1185</v>
      </c>
      <c r="H121" s="364" t="s">
        <v>1186</v>
      </c>
    </row>
    <row r="122" ht="15.75" customHeight="1">
      <c r="A122" s="364" t="s">
        <v>52</v>
      </c>
      <c r="B122" s="364" t="s">
        <v>23</v>
      </c>
      <c r="C122" s="365" t="s">
        <v>660</v>
      </c>
      <c r="D122" s="364" t="s">
        <v>661</v>
      </c>
      <c r="E122" s="366">
        <v>5.0</v>
      </c>
      <c r="F122" s="367">
        <v>45930.45833333333</v>
      </c>
      <c r="G122" s="364" t="s">
        <v>1185</v>
      </c>
      <c r="H122" s="364" t="s">
        <v>1186</v>
      </c>
    </row>
    <row r="123" ht="15.75" customHeight="1">
      <c r="A123" s="364" t="s">
        <v>52</v>
      </c>
      <c r="B123" s="364" t="s">
        <v>23</v>
      </c>
      <c r="C123" s="365" t="s">
        <v>660</v>
      </c>
      <c r="D123" s="364" t="s">
        <v>661</v>
      </c>
      <c r="E123" s="366">
        <v>6.0</v>
      </c>
      <c r="F123" s="367">
        <v>45937.45833333333</v>
      </c>
      <c r="G123" s="364" t="s">
        <v>1185</v>
      </c>
      <c r="H123" s="364" t="s">
        <v>1186</v>
      </c>
    </row>
    <row r="124" ht="15.75" customHeight="1">
      <c r="A124" s="364" t="s">
        <v>52</v>
      </c>
      <c r="B124" s="364" t="s">
        <v>23</v>
      </c>
      <c r="C124" s="365" t="s">
        <v>660</v>
      </c>
      <c r="D124" s="364" t="s">
        <v>661</v>
      </c>
      <c r="E124" s="366">
        <v>7.0</v>
      </c>
      <c r="F124" s="367">
        <v>45944.45833333333</v>
      </c>
      <c r="G124" s="364" t="s">
        <v>1185</v>
      </c>
      <c r="H124" s="364" t="s">
        <v>1186</v>
      </c>
    </row>
    <row r="125" ht="15.75" customHeight="1">
      <c r="A125" s="364" t="s">
        <v>52</v>
      </c>
      <c r="B125" s="364" t="s">
        <v>23</v>
      </c>
      <c r="C125" s="365" t="s">
        <v>660</v>
      </c>
      <c r="D125" s="364" t="s">
        <v>661</v>
      </c>
      <c r="E125" s="366">
        <v>8.0</v>
      </c>
      <c r="F125" s="367">
        <v>45950.45833333333</v>
      </c>
      <c r="G125" s="364" t="s">
        <v>1185</v>
      </c>
      <c r="H125" s="364" t="s">
        <v>1186</v>
      </c>
    </row>
    <row r="126" ht="15.75" customHeight="1">
      <c r="A126" s="364" t="s">
        <v>52</v>
      </c>
      <c r="B126" s="364" t="s">
        <v>23</v>
      </c>
      <c r="C126" s="365" t="s">
        <v>660</v>
      </c>
      <c r="D126" s="364" t="s">
        <v>661</v>
      </c>
      <c r="E126" s="366">
        <v>9.0</v>
      </c>
      <c r="F126" s="367">
        <v>45957.45833333333</v>
      </c>
      <c r="G126" s="364" t="s">
        <v>1185</v>
      </c>
      <c r="H126" s="364" t="s">
        <v>1186</v>
      </c>
    </row>
    <row r="127" ht="15.75" customHeight="1">
      <c r="A127" s="364" t="s">
        <v>52</v>
      </c>
      <c r="B127" s="364" t="s">
        <v>23</v>
      </c>
      <c r="C127" s="365" t="s">
        <v>660</v>
      </c>
      <c r="D127" s="364" t="s">
        <v>661</v>
      </c>
      <c r="E127" s="366">
        <v>10.0</v>
      </c>
      <c r="F127" s="367">
        <v>45965.45833333333</v>
      </c>
      <c r="G127" s="364" t="s">
        <v>1185</v>
      </c>
      <c r="H127" s="364" t="s">
        <v>1186</v>
      </c>
    </row>
    <row r="128" ht="15.75" customHeight="1">
      <c r="A128" s="364" t="s">
        <v>52</v>
      </c>
      <c r="B128" s="364" t="s">
        <v>23</v>
      </c>
      <c r="C128" s="365" t="s">
        <v>660</v>
      </c>
      <c r="D128" s="364" t="s">
        <v>661</v>
      </c>
      <c r="E128" s="366">
        <v>11.0</v>
      </c>
      <c r="F128" s="367">
        <v>45972.45833333333</v>
      </c>
      <c r="G128" s="364" t="s">
        <v>1185</v>
      </c>
      <c r="H128" s="364" t="s">
        <v>1186</v>
      </c>
    </row>
    <row r="129" ht="15.75" customHeight="1">
      <c r="A129" s="364" t="s">
        <v>52</v>
      </c>
      <c r="B129" s="364" t="s">
        <v>23</v>
      </c>
      <c r="C129" s="365" t="s">
        <v>660</v>
      </c>
      <c r="D129" s="364" t="s">
        <v>661</v>
      </c>
      <c r="E129" s="366">
        <v>12.0</v>
      </c>
      <c r="F129" s="367">
        <v>45979.45833333333</v>
      </c>
      <c r="G129" s="364" t="s">
        <v>1185</v>
      </c>
      <c r="H129" s="364" t="s">
        <v>1186</v>
      </c>
    </row>
    <row r="130" ht="15.75" customHeight="1">
      <c r="A130" s="364" t="s">
        <v>52</v>
      </c>
      <c r="B130" s="364" t="s">
        <v>23</v>
      </c>
      <c r="C130" s="365" t="s">
        <v>660</v>
      </c>
      <c r="D130" s="364" t="s">
        <v>661</v>
      </c>
      <c r="E130" s="366">
        <v>13.0</v>
      </c>
      <c r="F130" s="367">
        <v>45986.45833333333</v>
      </c>
      <c r="G130" s="364" t="s">
        <v>1185</v>
      </c>
      <c r="H130" s="364" t="s">
        <v>1186</v>
      </c>
    </row>
    <row r="131" ht="15.75" customHeight="1">
      <c r="A131" s="364" t="s">
        <v>52</v>
      </c>
      <c r="B131" s="364" t="s">
        <v>23</v>
      </c>
      <c r="C131" s="365" t="s">
        <v>660</v>
      </c>
      <c r="D131" s="364" t="s">
        <v>661</v>
      </c>
      <c r="E131" s="366">
        <v>14.0</v>
      </c>
      <c r="F131" s="367">
        <v>45993.41666666667</v>
      </c>
      <c r="G131" s="364" t="s">
        <v>1185</v>
      </c>
      <c r="H131" s="364" t="s">
        <v>1186</v>
      </c>
    </row>
    <row r="132" ht="15.75" customHeight="1">
      <c r="A132" s="364" t="s">
        <v>52</v>
      </c>
      <c r="B132" s="364" t="s">
        <v>23</v>
      </c>
      <c r="C132" s="365" t="s">
        <v>660</v>
      </c>
      <c r="D132" s="364" t="s">
        <v>661</v>
      </c>
      <c r="E132" s="366">
        <v>15.0</v>
      </c>
      <c r="F132" s="367">
        <v>46000.45833333333</v>
      </c>
      <c r="G132" s="364" t="s">
        <v>1185</v>
      </c>
      <c r="H132" s="364" t="s">
        <v>1186</v>
      </c>
    </row>
    <row r="133" ht="15.75" customHeight="1">
      <c r="A133" s="364" t="s">
        <v>52</v>
      </c>
      <c r="B133" s="364" t="s">
        <v>23</v>
      </c>
      <c r="C133" s="365" t="s">
        <v>660</v>
      </c>
      <c r="D133" s="364" t="s">
        <v>661</v>
      </c>
      <c r="E133" s="366">
        <v>16.0</v>
      </c>
      <c r="F133" s="367">
        <v>46042.41666666667</v>
      </c>
      <c r="G133" s="364" t="s">
        <v>1185</v>
      </c>
      <c r="H133" s="364" t="s">
        <v>1186</v>
      </c>
    </row>
    <row r="134" ht="15.75" customHeight="1">
      <c r="A134" s="364" t="s">
        <v>52</v>
      </c>
      <c r="B134" s="364" t="s">
        <v>23</v>
      </c>
      <c r="C134" s="365" t="s">
        <v>664</v>
      </c>
      <c r="D134" s="364" t="s">
        <v>665</v>
      </c>
      <c r="E134" s="366">
        <v>1.0</v>
      </c>
      <c r="F134" s="367">
        <v>45889.45833333333</v>
      </c>
      <c r="G134" s="364" t="s">
        <v>1185</v>
      </c>
      <c r="H134" s="364" t="s">
        <v>1186</v>
      </c>
    </row>
    <row r="135" ht="15.75" customHeight="1">
      <c r="A135" s="364" t="s">
        <v>52</v>
      </c>
      <c r="B135" s="364" t="s">
        <v>23</v>
      </c>
      <c r="C135" s="365" t="s">
        <v>664</v>
      </c>
      <c r="D135" s="364" t="s">
        <v>665</v>
      </c>
      <c r="E135" s="366">
        <v>2.0</v>
      </c>
      <c r="F135" s="367">
        <v>45896.45833333333</v>
      </c>
      <c r="G135" s="364" t="s">
        <v>1185</v>
      </c>
      <c r="H135" s="364" t="s">
        <v>1186</v>
      </c>
    </row>
    <row r="136" ht="15.75" customHeight="1">
      <c r="A136" s="364" t="s">
        <v>52</v>
      </c>
      <c r="B136" s="364" t="s">
        <v>23</v>
      </c>
      <c r="C136" s="365" t="s">
        <v>664</v>
      </c>
      <c r="D136" s="364" t="s">
        <v>665</v>
      </c>
      <c r="E136" s="366">
        <v>4.0</v>
      </c>
      <c r="F136" s="367">
        <v>45922.54166666667</v>
      </c>
      <c r="G136" s="364" t="s">
        <v>1185</v>
      </c>
      <c r="H136" s="364" t="s">
        <v>1186</v>
      </c>
    </row>
    <row r="137" ht="15.75" customHeight="1">
      <c r="A137" s="364" t="s">
        <v>52</v>
      </c>
      <c r="B137" s="364" t="s">
        <v>23</v>
      </c>
      <c r="C137" s="365" t="s">
        <v>664</v>
      </c>
      <c r="D137" s="364" t="s">
        <v>665</v>
      </c>
      <c r="E137" s="366">
        <v>5.0</v>
      </c>
      <c r="F137" s="367">
        <v>45930.45833333333</v>
      </c>
      <c r="G137" s="364" t="s">
        <v>1185</v>
      </c>
      <c r="H137" s="364" t="s">
        <v>1186</v>
      </c>
    </row>
    <row r="138" ht="15.75" customHeight="1">
      <c r="A138" s="364" t="s">
        <v>52</v>
      </c>
      <c r="B138" s="364" t="s">
        <v>23</v>
      </c>
      <c r="C138" s="365" t="s">
        <v>664</v>
      </c>
      <c r="D138" s="364" t="s">
        <v>665</v>
      </c>
      <c r="E138" s="366">
        <v>6.0</v>
      </c>
      <c r="F138" s="367">
        <v>45937.45833333333</v>
      </c>
      <c r="G138" s="364" t="s">
        <v>1185</v>
      </c>
      <c r="H138" s="364" t="s">
        <v>1186</v>
      </c>
    </row>
    <row r="139" ht="15.75" customHeight="1">
      <c r="A139" s="364" t="s">
        <v>52</v>
      </c>
      <c r="B139" s="364" t="s">
        <v>23</v>
      </c>
      <c r="C139" s="365" t="s">
        <v>664</v>
      </c>
      <c r="D139" s="364" t="s">
        <v>665</v>
      </c>
      <c r="E139" s="366">
        <v>7.0</v>
      </c>
      <c r="F139" s="367">
        <v>45944.45833333333</v>
      </c>
      <c r="G139" s="364" t="s">
        <v>1185</v>
      </c>
      <c r="H139" s="364" t="s">
        <v>1186</v>
      </c>
    </row>
    <row r="140" ht="15.75" customHeight="1">
      <c r="A140" s="364" t="s">
        <v>52</v>
      </c>
      <c r="B140" s="364" t="s">
        <v>23</v>
      </c>
      <c r="C140" s="365" t="s">
        <v>664</v>
      </c>
      <c r="D140" s="364" t="s">
        <v>665</v>
      </c>
      <c r="E140" s="366">
        <v>8.0</v>
      </c>
      <c r="F140" s="367">
        <v>45950.45833333333</v>
      </c>
      <c r="G140" s="364" t="s">
        <v>1185</v>
      </c>
      <c r="H140" s="364" t="s">
        <v>1186</v>
      </c>
    </row>
    <row r="141" ht="15.75" customHeight="1">
      <c r="A141" s="364" t="s">
        <v>52</v>
      </c>
      <c r="B141" s="364" t="s">
        <v>23</v>
      </c>
      <c r="C141" s="365" t="s">
        <v>664</v>
      </c>
      <c r="D141" s="364" t="s">
        <v>665</v>
      </c>
      <c r="E141" s="366">
        <v>9.0</v>
      </c>
      <c r="F141" s="367">
        <v>45957.45833333333</v>
      </c>
      <c r="G141" s="364" t="s">
        <v>1185</v>
      </c>
      <c r="H141" s="364" t="s">
        <v>1186</v>
      </c>
    </row>
    <row r="142" ht="15.75" customHeight="1">
      <c r="A142" s="364" t="s">
        <v>52</v>
      </c>
      <c r="B142" s="364" t="s">
        <v>23</v>
      </c>
      <c r="C142" s="365" t="s">
        <v>664</v>
      </c>
      <c r="D142" s="364" t="s">
        <v>665</v>
      </c>
      <c r="E142" s="366">
        <v>10.0</v>
      </c>
      <c r="F142" s="367">
        <v>45965.45833333333</v>
      </c>
      <c r="G142" s="364" t="s">
        <v>1185</v>
      </c>
      <c r="H142" s="364" t="s">
        <v>1186</v>
      </c>
    </row>
    <row r="143" ht="15.75" customHeight="1">
      <c r="A143" s="364" t="s">
        <v>52</v>
      </c>
      <c r="B143" s="364" t="s">
        <v>23</v>
      </c>
      <c r="C143" s="365" t="s">
        <v>664</v>
      </c>
      <c r="D143" s="364" t="s">
        <v>665</v>
      </c>
      <c r="E143" s="366">
        <v>11.0</v>
      </c>
      <c r="F143" s="367">
        <v>45972.45833333333</v>
      </c>
      <c r="G143" s="364" t="s">
        <v>1185</v>
      </c>
      <c r="H143" s="364" t="s">
        <v>1186</v>
      </c>
    </row>
    <row r="144" ht="15.75" customHeight="1">
      <c r="A144" s="364" t="s">
        <v>52</v>
      </c>
      <c r="B144" s="364" t="s">
        <v>23</v>
      </c>
      <c r="C144" s="365" t="s">
        <v>664</v>
      </c>
      <c r="D144" s="364" t="s">
        <v>665</v>
      </c>
      <c r="E144" s="366">
        <v>12.0</v>
      </c>
      <c r="F144" s="367">
        <v>45979.45833333333</v>
      </c>
      <c r="G144" s="364" t="s">
        <v>1185</v>
      </c>
      <c r="H144" s="364" t="s">
        <v>1186</v>
      </c>
    </row>
    <row r="145" ht="15.75" customHeight="1">
      <c r="A145" s="364" t="s">
        <v>52</v>
      </c>
      <c r="B145" s="364" t="s">
        <v>23</v>
      </c>
      <c r="C145" s="365" t="s">
        <v>664</v>
      </c>
      <c r="D145" s="364" t="s">
        <v>665</v>
      </c>
      <c r="E145" s="366">
        <v>13.0</v>
      </c>
      <c r="F145" s="367">
        <v>45986.45833333333</v>
      </c>
      <c r="G145" s="364" t="s">
        <v>1185</v>
      </c>
      <c r="H145" s="364" t="s">
        <v>1186</v>
      </c>
    </row>
    <row r="146" ht="15.75" customHeight="1">
      <c r="A146" s="364" t="s">
        <v>52</v>
      </c>
      <c r="B146" s="364" t="s">
        <v>23</v>
      </c>
      <c r="C146" s="365" t="s">
        <v>664</v>
      </c>
      <c r="D146" s="364" t="s">
        <v>665</v>
      </c>
      <c r="E146" s="366">
        <v>14.0</v>
      </c>
      <c r="F146" s="367">
        <v>45993.41666666667</v>
      </c>
      <c r="G146" s="364" t="s">
        <v>1185</v>
      </c>
      <c r="H146" s="364" t="s">
        <v>1186</v>
      </c>
    </row>
    <row r="147" ht="15.75" customHeight="1">
      <c r="A147" s="364" t="s">
        <v>52</v>
      </c>
      <c r="B147" s="364" t="s">
        <v>23</v>
      </c>
      <c r="C147" s="365" t="s">
        <v>664</v>
      </c>
      <c r="D147" s="364" t="s">
        <v>665</v>
      </c>
      <c r="E147" s="366">
        <v>15.0</v>
      </c>
      <c r="F147" s="367">
        <v>46000.45833333333</v>
      </c>
      <c r="G147" s="364" t="s">
        <v>1185</v>
      </c>
      <c r="H147" s="364" t="s">
        <v>1186</v>
      </c>
    </row>
    <row r="148" ht="15.75" customHeight="1">
      <c r="A148" s="364" t="s">
        <v>52</v>
      </c>
      <c r="B148" s="364" t="s">
        <v>23</v>
      </c>
      <c r="C148" s="365" t="s">
        <v>664</v>
      </c>
      <c r="D148" s="364" t="s">
        <v>665</v>
      </c>
      <c r="E148" s="366">
        <v>16.0</v>
      </c>
      <c r="F148" s="367">
        <v>46042.41666666667</v>
      </c>
      <c r="G148" s="364" t="s">
        <v>1185</v>
      </c>
      <c r="H148" s="364" t="s">
        <v>1186</v>
      </c>
    </row>
    <row r="149" ht="15.75" customHeight="1">
      <c r="A149" s="364" t="s">
        <v>52</v>
      </c>
      <c r="B149" s="364" t="s">
        <v>23</v>
      </c>
      <c r="C149" s="365" t="s">
        <v>220</v>
      </c>
      <c r="D149" s="364" t="s">
        <v>221</v>
      </c>
      <c r="E149" s="366">
        <v>1.0</v>
      </c>
      <c r="F149" s="367">
        <v>45889.45833333333</v>
      </c>
      <c r="G149" s="364" t="s">
        <v>1185</v>
      </c>
      <c r="H149" s="364" t="s">
        <v>1186</v>
      </c>
    </row>
    <row r="150" ht="15.75" customHeight="1">
      <c r="A150" s="364" t="s">
        <v>52</v>
      </c>
      <c r="B150" s="364" t="s">
        <v>23</v>
      </c>
      <c r="C150" s="365" t="s">
        <v>220</v>
      </c>
      <c r="D150" s="364" t="s">
        <v>221</v>
      </c>
      <c r="E150" s="366">
        <v>2.0</v>
      </c>
      <c r="F150" s="367">
        <v>45896.45833333333</v>
      </c>
      <c r="G150" s="364" t="s">
        <v>1185</v>
      </c>
      <c r="H150" s="364" t="s">
        <v>1186</v>
      </c>
    </row>
    <row r="151" ht="15.75" customHeight="1">
      <c r="A151" s="364" t="s">
        <v>52</v>
      </c>
      <c r="B151" s="364" t="s">
        <v>23</v>
      </c>
      <c r="C151" s="365" t="s">
        <v>220</v>
      </c>
      <c r="D151" s="364" t="s">
        <v>221</v>
      </c>
      <c r="E151" s="366">
        <v>4.0</v>
      </c>
      <c r="F151" s="367">
        <v>45922.54166666667</v>
      </c>
      <c r="G151" s="364" t="s">
        <v>1185</v>
      </c>
      <c r="H151" s="364" t="s">
        <v>1186</v>
      </c>
    </row>
    <row r="152" ht="15.75" customHeight="1">
      <c r="A152" s="364" t="s">
        <v>52</v>
      </c>
      <c r="B152" s="364" t="s">
        <v>23</v>
      </c>
      <c r="C152" s="365" t="s">
        <v>220</v>
      </c>
      <c r="D152" s="364" t="s">
        <v>221</v>
      </c>
      <c r="E152" s="366">
        <v>5.0</v>
      </c>
      <c r="F152" s="367">
        <v>45930.45833333333</v>
      </c>
      <c r="G152" s="364" t="s">
        <v>1185</v>
      </c>
      <c r="H152" s="364" t="s">
        <v>1186</v>
      </c>
    </row>
    <row r="153" ht="15.75" customHeight="1">
      <c r="A153" s="364" t="s">
        <v>52</v>
      </c>
      <c r="B153" s="364" t="s">
        <v>23</v>
      </c>
      <c r="C153" s="365" t="s">
        <v>220</v>
      </c>
      <c r="D153" s="364" t="s">
        <v>221</v>
      </c>
      <c r="E153" s="366">
        <v>6.0</v>
      </c>
      <c r="F153" s="367">
        <v>45937.45833333333</v>
      </c>
      <c r="G153" s="364" t="s">
        <v>1185</v>
      </c>
      <c r="H153" s="364" t="s">
        <v>1186</v>
      </c>
    </row>
    <row r="154" ht="15.75" customHeight="1">
      <c r="A154" s="364" t="s">
        <v>52</v>
      </c>
      <c r="B154" s="364" t="s">
        <v>23</v>
      </c>
      <c r="C154" s="365" t="s">
        <v>220</v>
      </c>
      <c r="D154" s="364" t="s">
        <v>221</v>
      </c>
      <c r="E154" s="366">
        <v>7.0</v>
      </c>
      <c r="F154" s="367">
        <v>45944.45833333333</v>
      </c>
      <c r="G154" s="364" t="s">
        <v>1185</v>
      </c>
      <c r="H154" s="364" t="s">
        <v>1186</v>
      </c>
    </row>
    <row r="155" ht="15.75" customHeight="1">
      <c r="A155" s="364" t="s">
        <v>52</v>
      </c>
      <c r="B155" s="364" t="s">
        <v>23</v>
      </c>
      <c r="C155" s="365" t="s">
        <v>220</v>
      </c>
      <c r="D155" s="364" t="s">
        <v>221</v>
      </c>
      <c r="E155" s="366">
        <v>8.0</v>
      </c>
      <c r="F155" s="367">
        <v>45950.45833333333</v>
      </c>
      <c r="G155" s="364" t="s">
        <v>1185</v>
      </c>
      <c r="H155" s="364" t="s">
        <v>1186</v>
      </c>
    </row>
    <row r="156" ht="15.75" customHeight="1">
      <c r="A156" s="364" t="s">
        <v>52</v>
      </c>
      <c r="B156" s="364" t="s">
        <v>23</v>
      </c>
      <c r="C156" s="365" t="s">
        <v>220</v>
      </c>
      <c r="D156" s="364" t="s">
        <v>221</v>
      </c>
      <c r="E156" s="366">
        <v>9.0</v>
      </c>
      <c r="F156" s="367">
        <v>45957.45833333333</v>
      </c>
      <c r="G156" s="364" t="s">
        <v>1185</v>
      </c>
      <c r="H156" s="364" t="s">
        <v>1186</v>
      </c>
    </row>
    <row r="157" ht="15.75" customHeight="1">
      <c r="A157" s="364" t="s">
        <v>52</v>
      </c>
      <c r="B157" s="364" t="s">
        <v>23</v>
      </c>
      <c r="C157" s="365" t="s">
        <v>220</v>
      </c>
      <c r="D157" s="364" t="s">
        <v>221</v>
      </c>
      <c r="E157" s="366">
        <v>10.0</v>
      </c>
      <c r="F157" s="367">
        <v>45965.45833333333</v>
      </c>
      <c r="G157" s="364" t="s">
        <v>1185</v>
      </c>
      <c r="H157" s="364" t="s">
        <v>1186</v>
      </c>
    </row>
    <row r="158" ht="15.75" customHeight="1">
      <c r="A158" s="364" t="s">
        <v>52</v>
      </c>
      <c r="B158" s="364" t="s">
        <v>23</v>
      </c>
      <c r="C158" s="365" t="s">
        <v>220</v>
      </c>
      <c r="D158" s="364" t="s">
        <v>221</v>
      </c>
      <c r="E158" s="366">
        <v>11.0</v>
      </c>
      <c r="F158" s="367">
        <v>45972.45833333333</v>
      </c>
      <c r="G158" s="364" t="s">
        <v>1185</v>
      </c>
      <c r="H158" s="364" t="s">
        <v>1186</v>
      </c>
    </row>
    <row r="159" ht="15.75" customHeight="1">
      <c r="A159" s="364" t="s">
        <v>52</v>
      </c>
      <c r="B159" s="364" t="s">
        <v>23</v>
      </c>
      <c r="C159" s="365" t="s">
        <v>220</v>
      </c>
      <c r="D159" s="364" t="s">
        <v>221</v>
      </c>
      <c r="E159" s="366">
        <v>12.0</v>
      </c>
      <c r="F159" s="367">
        <v>45979.45833333333</v>
      </c>
      <c r="G159" s="364" t="s">
        <v>1185</v>
      </c>
      <c r="H159" s="364" t="s">
        <v>1186</v>
      </c>
    </row>
    <row r="160" ht="15.75" customHeight="1">
      <c r="A160" s="364" t="s">
        <v>52</v>
      </c>
      <c r="B160" s="364" t="s">
        <v>23</v>
      </c>
      <c r="C160" s="365" t="s">
        <v>220</v>
      </c>
      <c r="D160" s="364" t="s">
        <v>221</v>
      </c>
      <c r="E160" s="366">
        <v>13.0</v>
      </c>
      <c r="F160" s="367">
        <v>45986.45833333333</v>
      </c>
      <c r="G160" s="364" t="s">
        <v>1185</v>
      </c>
      <c r="H160" s="364" t="s">
        <v>1186</v>
      </c>
    </row>
    <row r="161" ht="15.75" customHeight="1">
      <c r="A161" s="364" t="s">
        <v>52</v>
      </c>
      <c r="B161" s="364" t="s">
        <v>23</v>
      </c>
      <c r="C161" s="365" t="s">
        <v>220</v>
      </c>
      <c r="D161" s="364" t="s">
        <v>221</v>
      </c>
      <c r="E161" s="366">
        <v>14.0</v>
      </c>
      <c r="F161" s="367">
        <v>45993.41666666667</v>
      </c>
      <c r="G161" s="364" t="s">
        <v>1185</v>
      </c>
      <c r="H161" s="364" t="s">
        <v>1186</v>
      </c>
    </row>
    <row r="162" ht="15.75" customHeight="1">
      <c r="A162" s="364" t="s">
        <v>52</v>
      </c>
      <c r="B162" s="364" t="s">
        <v>23</v>
      </c>
      <c r="C162" s="365" t="s">
        <v>220</v>
      </c>
      <c r="D162" s="364" t="s">
        <v>221</v>
      </c>
      <c r="E162" s="366">
        <v>15.0</v>
      </c>
      <c r="F162" s="367">
        <v>46000.45833333333</v>
      </c>
      <c r="G162" s="364" t="s">
        <v>1185</v>
      </c>
      <c r="H162" s="364" t="s">
        <v>1186</v>
      </c>
    </row>
    <row r="163" ht="15.75" customHeight="1">
      <c r="A163" s="364" t="s">
        <v>52</v>
      </c>
      <c r="B163" s="364" t="s">
        <v>23</v>
      </c>
      <c r="C163" s="365" t="s">
        <v>220</v>
      </c>
      <c r="D163" s="364" t="s">
        <v>221</v>
      </c>
      <c r="E163" s="366">
        <v>16.0</v>
      </c>
      <c r="F163" s="367">
        <v>46042.41666666667</v>
      </c>
      <c r="G163" s="364" t="s">
        <v>1185</v>
      </c>
      <c r="H163" s="364" t="s">
        <v>1186</v>
      </c>
    </row>
    <row r="164" ht="15.75" customHeight="1">
      <c r="A164" s="364" t="s">
        <v>52</v>
      </c>
      <c r="B164" s="364" t="s">
        <v>23</v>
      </c>
      <c r="C164" s="365" t="s">
        <v>222</v>
      </c>
      <c r="D164" s="364" t="s">
        <v>223</v>
      </c>
      <c r="E164" s="366">
        <v>1.0</v>
      </c>
      <c r="F164" s="367">
        <v>45889.45833333333</v>
      </c>
      <c r="G164" s="364" t="s">
        <v>1185</v>
      </c>
      <c r="H164" s="364" t="s">
        <v>1186</v>
      </c>
    </row>
    <row r="165" ht="15.75" customHeight="1">
      <c r="A165" s="364" t="s">
        <v>52</v>
      </c>
      <c r="B165" s="364" t="s">
        <v>23</v>
      </c>
      <c r="C165" s="365" t="s">
        <v>222</v>
      </c>
      <c r="D165" s="364" t="s">
        <v>223</v>
      </c>
      <c r="E165" s="366">
        <v>2.0</v>
      </c>
      <c r="F165" s="367">
        <v>45896.45833333333</v>
      </c>
      <c r="G165" s="364" t="s">
        <v>1185</v>
      </c>
      <c r="H165" s="364" t="s">
        <v>1186</v>
      </c>
    </row>
    <row r="166" ht="15.75" customHeight="1">
      <c r="A166" s="364" t="s">
        <v>52</v>
      </c>
      <c r="B166" s="364" t="s">
        <v>23</v>
      </c>
      <c r="C166" s="365" t="s">
        <v>222</v>
      </c>
      <c r="D166" s="364" t="s">
        <v>223</v>
      </c>
      <c r="E166" s="366">
        <v>4.0</v>
      </c>
      <c r="F166" s="367">
        <v>45922.54166666667</v>
      </c>
      <c r="G166" s="364" t="s">
        <v>1185</v>
      </c>
      <c r="H166" s="364" t="s">
        <v>1186</v>
      </c>
    </row>
    <row r="167" ht="15.75" customHeight="1">
      <c r="A167" s="364" t="s">
        <v>52</v>
      </c>
      <c r="B167" s="364" t="s">
        <v>23</v>
      </c>
      <c r="C167" s="365" t="s">
        <v>222</v>
      </c>
      <c r="D167" s="364" t="s">
        <v>223</v>
      </c>
      <c r="E167" s="366">
        <v>5.0</v>
      </c>
      <c r="F167" s="367">
        <v>45930.45833333333</v>
      </c>
      <c r="G167" s="364" t="s">
        <v>1185</v>
      </c>
      <c r="H167" s="364" t="s">
        <v>1186</v>
      </c>
    </row>
    <row r="168" ht="15.75" customHeight="1">
      <c r="A168" s="364" t="s">
        <v>52</v>
      </c>
      <c r="B168" s="364" t="s">
        <v>23</v>
      </c>
      <c r="C168" s="365" t="s">
        <v>222</v>
      </c>
      <c r="D168" s="364" t="s">
        <v>223</v>
      </c>
      <c r="E168" s="366">
        <v>6.0</v>
      </c>
      <c r="F168" s="367">
        <v>45937.45833333333</v>
      </c>
      <c r="G168" s="364" t="s">
        <v>1185</v>
      </c>
      <c r="H168" s="364" t="s">
        <v>1186</v>
      </c>
    </row>
    <row r="169" ht="15.75" customHeight="1">
      <c r="A169" s="364" t="s">
        <v>52</v>
      </c>
      <c r="B169" s="364" t="s">
        <v>23</v>
      </c>
      <c r="C169" s="365" t="s">
        <v>222</v>
      </c>
      <c r="D169" s="364" t="s">
        <v>223</v>
      </c>
      <c r="E169" s="366">
        <v>7.0</v>
      </c>
      <c r="F169" s="367">
        <v>45944.45833333333</v>
      </c>
      <c r="G169" s="364" t="s">
        <v>1185</v>
      </c>
      <c r="H169" s="364" t="s">
        <v>1186</v>
      </c>
    </row>
    <row r="170" ht="15.75" customHeight="1">
      <c r="A170" s="364" t="s">
        <v>52</v>
      </c>
      <c r="B170" s="364" t="s">
        <v>23</v>
      </c>
      <c r="C170" s="365" t="s">
        <v>222</v>
      </c>
      <c r="D170" s="364" t="s">
        <v>223</v>
      </c>
      <c r="E170" s="366">
        <v>8.0</v>
      </c>
      <c r="F170" s="367">
        <v>45950.45833333333</v>
      </c>
      <c r="G170" s="364" t="s">
        <v>1185</v>
      </c>
      <c r="H170" s="364" t="s">
        <v>1186</v>
      </c>
    </row>
    <row r="171" ht="15.75" customHeight="1">
      <c r="A171" s="364" t="s">
        <v>52</v>
      </c>
      <c r="B171" s="364" t="s">
        <v>23</v>
      </c>
      <c r="C171" s="365" t="s">
        <v>222</v>
      </c>
      <c r="D171" s="364" t="s">
        <v>223</v>
      </c>
      <c r="E171" s="366">
        <v>9.0</v>
      </c>
      <c r="F171" s="367">
        <v>45957.45833333333</v>
      </c>
      <c r="G171" s="364" t="s">
        <v>1185</v>
      </c>
      <c r="H171" s="364" t="s">
        <v>1186</v>
      </c>
    </row>
    <row r="172" ht="15.75" customHeight="1">
      <c r="A172" s="364" t="s">
        <v>52</v>
      </c>
      <c r="B172" s="364" t="s">
        <v>23</v>
      </c>
      <c r="C172" s="365" t="s">
        <v>222</v>
      </c>
      <c r="D172" s="364" t="s">
        <v>223</v>
      </c>
      <c r="E172" s="366">
        <v>10.0</v>
      </c>
      <c r="F172" s="367">
        <v>45965.45833333333</v>
      </c>
      <c r="G172" s="364" t="s">
        <v>1185</v>
      </c>
      <c r="H172" s="364" t="s">
        <v>1186</v>
      </c>
    </row>
    <row r="173" ht="15.75" customHeight="1">
      <c r="A173" s="364" t="s">
        <v>52</v>
      </c>
      <c r="B173" s="364" t="s">
        <v>23</v>
      </c>
      <c r="C173" s="365" t="s">
        <v>222</v>
      </c>
      <c r="D173" s="364" t="s">
        <v>223</v>
      </c>
      <c r="E173" s="366">
        <v>11.0</v>
      </c>
      <c r="F173" s="367">
        <v>45972.45833333333</v>
      </c>
      <c r="G173" s="364" t="s">
        <v>1185</v>
      </c>
      <c r="H173" s="364" t="s">
        <v>1186</v>
      </c>
    </row>
    <row r="174" ht="15.75" customHeight="1">
      <c r="A174" s="364" t="s">
        <v>52</v>
      </c>
      <c r="B174" s="364" t="s">
        <v>23</v>
      </c>
      <c r="C174" s="365" t="s">
        <v>222</v>
      </c>
      <c r="D174" s="364" t="s">
        <v>223</v>
      </c>
      <c r="E174" s="366">
        <v>12.0</v>
      </c>
      <c r="F174" s="367">
        <v>45979.45833333333</v>
      </c>
      <c r="G174" s="364" t="s">
        <v>1185</v>
      </c>
      <c r="H174" s="364" t="s">
        <v>1186</v>
      </c>
    </row>
    <row r="175" ht="15.75" customHeight="1">
      <c r="A175" s="364" t="s">
        <v>52</v>
      </c>
      <c r="B175" s="364" t="s">
        <v>23</v>
      </c>
      <c r="C175" s="365" t="s">
        <v>222</v>
      </c>
      <c r="D175" s="364" t="s">
        <v>223</v>
      </c>
      <c r="E175" s="366">
        <v>13.0</v>
      </c>
      <c r="F175" s="367">
        <v>45986.45833333333</v>
      </c>
      <c r="G175" s="364" t="s">
        <v>1185</v>
      </c>
      <c r="H175" s="364" t="s">
        <v>1186</v>
      </c>
    </row>
    <row r="176" ht="15.75" customHeight="1">
      <c r="A176" s="364" t="s">
        <v>52</v>
      </c>
      <c r="B176" s="364" t="s">
        <v>23</v>
      </c>
      <c r="C176" s="365" t="s">
        <v>222</v>
      </c>
      <c r="D176" s="364" t="s">
        <v>223</v>
      </c>
      <c r="E176" s="366">
        <v>14.0</v>
      </c>
      <c r="F176" s="367">
        <v>45993.41666666667</v>
      </c>
      <c r="G176" s="364" t="s">
        <v>1185</v>
      </c>
      <c r="H176" s="364" t="s">
        <v>1186</v>
      </c>
    </row>
    <row r="177" ht="15.75" customHeight="1">
      <c r="A177" s="364" t="s">
        <v>52</v>
      </c>
      <c r="B177" s="364" t="s">
        <v>23</v>
      </c>
      <c r="C177" s="365" t="s">
        <v>222</v>
      </c>
      <c r="D177" s="364" t="s">
        <v>223</v>
      </c>
      <c r="E177" s="366">
        <v>15.0</v>
      </c>
      <c r="F177" s="367">
        <v>46000.45833333333</v>
      </c>
      <c r="G177" s="364" t="s">
        <v>1185</v>
      </c>
      <c r="H177" s="364" t="s">
        <v>1186</v>
      </c>
    </row>
    <row r="178" ht="15.75" customHeight="1">
      <c r="A178" s="364" t="s">
        <v>52</v>
      </c>
      <c r="B178" s="364" t="s">
        <v>23</v>
      </c>
      <c r="C178" s="365" t="s">
        <v>222</v>
      </c>
      <c r="D178" s="364" t="s">
        <v>223</v>
      </c>
      <c r="E178" s="366">
        <v>16.0</v>
      </c>
      <c r="F178" s="367">
        <v>46042.41666666667</v>
      </c>
      <c r="G178" s="364" t="s">
        <v>1185</v>
      </c>
      <c r="H178" s="364" t="s">
        <v>1186</v>
      </c>
    </row>
    <row r="179" ht="15.75" customHeight="1">
      <c r="A179" s="364" t="s">
        <v>52</v>
      </c>
      <c r="B179" s="364" t="s">
        <v>23</v>
      </c>
      <c r="C179" s="365" t="s">
        <v>224</v>
      </c>
      <c r="D179" s="364" t="s">
        <v>225</v>
      </c>
      <c r="E179" s="366">
        <v>1.0</v>
      </c>
      <c r="F179" s="367">
        <v>45889.45833333333</v>
      </c>
      <c r="G179" s="364" t="s">
        <v>1185</v>
      </c>
      <c r="H179" s="364" t="s">
        <v>1186</v>
      </c>
    </row>
    <row r="180" ht="15.75" customHeight="1">
      <c r="A180" s="364" t="s">
        <v>52</v>
      </c>
      <c r="B180" s="364" t="s">
        <v>23</v>
      </c>
      <c r="C180" s="365" t="s">
        <v>224</v>
      </c>
      <c r="D180" s="364" t="s">
        <v>225</v>
      </c>
      <c r="E180" s="366">
        <v>2.0</v>
      </c>
      <c r="F180" s="367">
        <v>45896.45833333333</v>
      </c>
      <c r="G180" s="364" t="s">
        <v>1185</v>
      </c>
      <c r="H180" s="364" t="s">
        <v>1186</v>
      </c>
    </row>
    <row r="181" ht="15.75" customHeight="1">
      <c r="A181" s="364" t="s">
        <v>52</v>
      </c>
      <c r="B181" s="364" t="s">
        <v>23</v>
      </c>
      <c r="C181" s="365" t="s">
        <v>224</v>
      </c>
      <c r="D181" s="364" t="s">
        <v>225</v>
      </c>
      <c r="E181" s="366">
        <v>4.0</v>
      </c>
      <c r="F181" s="367">
        <v>45922.54166666667</v>
      </c>
      <c r="G181" s="364" t="s">
        <v>1185</v>
      </c>
      <c r="H181" s="364" t="s">
        <v>1186</v>
      </c>
    </row>
    <row r="182" ht="15.75" customHeight="1">
      <c r="A182" s="364" t="s">
        <v>52</v>
      </c>
      <c r="B182" s="364" t="s">
        <v>23</v>
      </c>
      <c r="C182" s="365" t="s">
        <v>224</v>
      </c>
      <c r="D182" s="364" t="s">
        <v>225</v>
      </c>
      <c r="E182" s="366">
        <v>5.0</v>
      </c>
      <c r="F182" s="367">
        <v>45930.45833333333</v>
      </c>
      <c r="G182" s="364" t="s">
        <v>1185</v>
      </c>
      <c r="H182" s="364" t="s">
        <v>1186</v>
      </c>
    </row>
    <row r="183" ht="15.75" customHeight="1">
      <c r="A183" s="364" t="s">
        <v>52</v>
      </c>
      <c r="B183" s="364" t="s">
        <v>23</v>
      </c>
      <c r="C183" s="365" t="s">
        <v>224</v>
      </c>
      <c r="D183" s="364" t="s">
        <v>225</v>
      </c>
      <c r="E183" s="366">
        <v>6.0</v>
      </c>
      <c r="F183" s="367">
        <v>45937.45833333333</v>
      </c>
      <c r="G183" s="364" t="s">
        <v>1185</v>
      </c>
      <c r="H183" s="364" t="s">
        <v>1186</v>
      </c>
    </row>
    <row r="184" ht="15.75" customHeight="1">
      <c r="A184" s="364" t="s">
        <v>52</v>
      </c>
      <c r="B184" s="364" t="s">
        <v>23</v>
      </c>
      <c r="C184" s="365" t="s">
        <v>224</v>
      </c>
      <c r="D184" s="364" t="s">
        <v>225</v>
      </c>
      <c r="E184" s="366">
        <v>7.0</v>
      </c>
      <c r="F184" s="367">
        <v>45944.45833333333</v>
      </c>
      <c r="G184" s="364" t="s">
        <v>1185</v>
      </c>
      <c r="H184" s="364" t="s">
        <v>1186</v>
      </c>
    </row>
    <row r="185" ht="15.75" customHeight="1">
      <c r="A185" s="364" t="s">
        <v>52</v>
      </c>
      <c r="B185" s="364" t="s">
        <v>23</v>
      </c>
      <c r="C185" s="365" t="s">
        <v>224</v>
      </c>
      <c r="D185" s="364" t="s">
        <v>225</v>
      </c>
      <c r="E185" s="366">
        <v>8.0</v>
      </c>
      <c r="F185" s="367">
        <v>45950.45833333333</v>
      </c>
      <c r="G185" s="364" t="s">
        <v>1185</v>
      </c>
      <c r="H185" s="364" t="s">
        <v>1186</v>
      </c>
    </row>
    <row r="186" ht="15.75" customHeight="1">
      <c r="A186" s="364" t="s">
        <v>52</v>
      </c>
      <c r="B186" s="364" t="s">
        <v>23</v>
      </c>
      <c r="C186" s="365" t="s">
        <v>224</v>
      </c>
      <c r="D186" s="364" t="s">
        <v>225</v>
      </c>
      <c r="E186" s="366">
        <v>9.0</v>
      </c>
      <c r="F186" s="367">
        <v>45957.45833333333</v>
      </c>
      <c r="G186" s="364" t="s">
        <v>1185</v>
      </c>
      <c r="H186" s="364" t="s">
        <v>1186</v>
      </c>
    </row>
    <row r="187" ht="15.75" customHeight="1">
      <c r="A187" s="364" t="s">
        <v>52</v>
      </c>
      <c r="B187" s="364" t="s">
        <v>23</v>
      </c>
      <c r="C187" s="365" t="s">
        <v>224</v>
      </c>
      <c r="D187" s="364" t="s">
        <v>225</v>
      </c>
      <c r="E187" s="366">
        <v>10.0</v>
      </c>
      <c r="F187" s="367">
        <v>45965.45833333333</v>
      </c>
      <c r="G187" s="364" t="s">
        <v>1185</v>
      </c>
      <c r="H187" s="364" t="s">
        <v>1186</v>
      </c>
    </row>
    <row r="188" ht="15.75" customHeight="1">
      <c r="A188" s="364" t="s">
        <v>52</v>
      </c>
      <c r="B188" s="364" t="s">
        <v>23</v>
      </c>
      <c r="C188" s="365" t="s">
        <v>224</v>
      </c>
      <c r="D188" s="364" t="s">
        <v>225</v>
      </c>
      <c r="E188" s="366">
        <v>11.0</v>
      </c>
      <c r="F188" s="367">
        <v>45972.45833333333</v>
      </c>
      <c r="G188" s="364" t="s">
        <v>1185</v>
      </c>
      <c r="H188" s="364" t="s">
        <v>1186</v>
      </c>
    </row>
    <row r="189" ht="15.75" customHeight="1">
      <c r="A189" s="364" t="s">
        <v>52</v>
      </c>
      <c r="B189" s="364" t="s">
        <v>23</v>
      </c>
      <c r="C189" s="365" t="s">
        <v>224</v>
      </c>
      <c r="D189" s="364" t="s">
        <v>225</v>
      </c>
      <c r="E189" s="366">
        <v>12.0</v>
      </c>
      <c r="F189" s="367">
        <v>45979.45833333333</v>
      </c>
      <c r="G189" s="364" t="s">
        <v>1185</v>
      </c>
      <c r="H189" s="364" t="s">
        <v>1186</v>
      </c>
    </row>
    <row r="190" ht="15.75" customHeight="1">
      <c r="A190" s="364" t="s">
        <v>52</v>
      </c>
      <c r="B190" s="364" t="s">
        <v>23</v>
      </c>
      <c r="C190" s="365" t="s">
        <v>224</v>
      </c>
      <c r="D190" s="364" t="s">
        <v>225</v>
      </c>
      <c r="E190" s="366">
        <v>13.0</v>
      </c>
      <c r="F190" s="367">
        <v>45986.45833333333</v>
      </c>
      <c r="G190" s="364" t="s">
        <v>1185</v>
      </c>
      <c r="H190" s="364" t="s">
        <v>1186</v>
      </c>
    </row>
    <row r="191" ht="15.75" customHeight="1">
      <c r="A191" s="364" t="s">
        <v>52</v>
      </c>
      <c r="B191" s="364" t="s">
        <v>23</v>
      </c>
      <c r="C191" s="365" t="s">
        <v>224</v>
      </c>
      <c r="D191" s="364" t="s">
        <v>225</v>
      </c>
      <c r="E191" s="366">
        <v>14.0</v>
      </c>
      <c r="F191" s="367">
        <v>45993.41666666667</v>
      </c>
      <c r="G191" s="364" t="s">
        <v>1185</v>
      </c>
      <c r="H191" s="364" t="s">
        <v>1186</v>
      </c>
    </row>
    <row r="192" ht="15.75" customHeight="1">
      <c r="A192" s="364" t="s">
        <v>52</v>
      </c>
      <c r="B192" s="364" t="s">
        <v>23</v>
      </c>
      <c r="C192" s="365" t="s">
        <v>224</v>
      </c>
      <c r="D192" s="364" t="s">
        <v>225</v>
      </c>
      <c r="E192" s="366">
        <v>15.0</v>
      </c>
      <c r="F192" s="367">
        <v>46000.45833333333</v>
      </c>
      <c r="G192" s="364" t="s">
        <v>1185</v>
      </c>
      <c r="H192" s="364" t="s">
        <v>1186</v>
      </c>
    </row>
    <row r="193" ht="15.75" customHeight="1">
      <c r="A193" s="364" t="s">
        <v>52</v>
      </c>
      <c r="B193" s="364" t="s">
        <v>23</v>
      </c>
      <c r="C193" s="365" t="s">
        <v>224</v>
      </c>
      <c r="D193" s="364" t="s">
        <v>225</v>
      </c>
      <c r="E193" s="366">
        <v>16.0</v>
      </c>
      <c r="F193" s="367">
        <v>46042.41666666667</v>
      </c>
      <c r="G193" s="364" t="s">
        <v>1185</v>
      </c>
      <c r="H193" s="364" t="s">
        <v>1186</v>
      </c>
    </row>
    <row r="194" ht="15.75" customHeight="1">
      <c r="A194" s="364" t="s">
        <v>53</v>
      </c>
      <c r="B194" s="364" t="s">
        <v>22</v>
      </c>
      <c r="C194" s="365" t="s">
        <v>240</v>
      </c>
      <c r="D194" s="364" t="s">
        <v>241</v>
      </c>
      <c r="E194" s="366">
        <v>1.0</v>
      </c>
      <c r="F194" s="367">
        <v>45715.41666666667</v>
      </c>
      <c r="G194" s="364" t="s">
        <v>1185</v>
      </c>
      <c r="H194" s="364" t="s">
        <v>1188</v>
      </c>
    </row>
    <row r="195" ht="15.75" customHeight="1">
      <c r="A195" s="364" t="s">
        <v>53</v>
      </c>
      <c r="B195" s="364" t="s">
        <v>22</v>
      </c>
      <c r="C195" s="365" t="s">
        <v>240</v>
      </c>
      <c r="D195" s="364" t="s">
        <v>241</v>
      </c>
      <c r="E195" s="366">
        <v>2.0</v>
      </c>
      <c r="F195" s="367">
        <v>45765.54166666667</v>
      </c>
      <c r="G195" s="364" t="s">
        <v>1185</v>
      </c>
      <c r="H195" s="364" t="s">
        <v>1188</v>
      </c>
    </row>
    <row r="196" ht="15.75" customHeight="1">
      <c r="A196" s="364" t="s">
        <v>53</v>
      </c>
      <c r="B196" s="364" t="s">
        <v>22</v>
      </c>
      <c r="C196" s="365" t="s">
        <v>240</v>
      </c>
      <c r="D196" s="364" t="s">
        <v>241</v>
      </c>
      <c r="E196" s="366">
        <v>3.0</v>
      </c>
      <c r="F196" s="367">
        <v>45771.58333333333</v>
      </c>
      <c r="G196" s="364" t="s">
        <v>1187</v>
      </c>
      <c r="H196" s="364" t="s">
        <v>1188</v>
      </c>
    </row>
    <row r="197" ht="15.75" customHeight="1">
      <c r="A197" s="364" t="s">
        <v>53</v>
      </c>
      <c r="B197" s="364" t="s">
        <v>22</v>
      </c>
      <c r="C197" s="365" t="s">
        <v>240</v>
      </c>
      <c r="D197" s="364" t="s">
        <v>241</v>
      </c>
      <c r="E197" s="366">
        <v>4.0</v>
      </c>
      <c r="F197" s="367">
        <v>45785.54166666667</v>
      </c>
      <c r="G197" s="364" t="s">
        <v>1187</v>
      </c>
      <c r="H197" s="364" t="s">
        <v>1188</v>
      </c>
    </row>
    <row r="198" ht="15.75" customHeight="1">
      <c r="A198" s="364" t="s">
        <v>53</v>
      </c>
      <c r="B198" s="364" t="s">
        <v>22</v>
      </c>
      <c r="C198" s="365" t="s">
        <v>240</v>
      </c>
      <c r="D198" s="364" t="s">
        <v>241</v>
      </c>
      <c r="E198" s="366">
        <v>5.0</v>
      </c>
      <c r="F198" s="367">
        <v>45793.54166666667</v>
      </c>
      <c r="G198" s="364" t="s">
        <v>1185</v>
      </c>
      <c r="H198" s="364" t="s">
        <v>1188</v>
      </c>
    </row>
    <row r="199" ht="15.75" customHeight="1">
      <c r="A199" s="364" t="s">
        <v>53</v>
      </c>
      <c r="B199" s="364" t="s">
        <v>22</v>
      </c>
      <c r="C199" s="365" t="s">
        <v>240</v>
      </c>
      <c r="D199" s="364" t="s">
        <v>241</v>
      </c>
      <c r="E199" s="366">
        <v>6.0</v>
      </c>
      <c r="F199" s="367">
        <v>45800.54166666667</v>
      </c>
      <c r="G199" s="364" t="s">
        <v>1185</v>
      </c>
      <c r="H199" s="364" t="s">
        <v>1188</v>
      </c>
    </row>
    <row r="200" ht="15.75" customHeight="1">
      <c r="A200" s="364" t="s">
        <v>53</v>
      </c>
      <c r="B200" s="364" t="s">
        <v>22</v>
      </c>
      <c r="C200" s="365" t="s">
        <v>240</v>
      </c>
      <c r="D200" s="364" t="s">
        <v>241</v>
      </c>
      <c r="E200" s="366">
        <v>7.0</v>
      </c>
      <c r="F200" s="367">
        <v>45827.58333333333</v>
      </c>
      <c r="G200" s="364" t="s">
        <v>1187</v>
      </c>
      <c r="H200" s="364" t="s">
        <v>1188</v>
      </c>
    </row>
    <row r="201" ht="15.75" customHeight="1">
      <c r="A201" s="364" t="s">
        <v>53</v>
      </c>
      <c r="B201" s="364" t="s">
        <v>22</v>
      </c>
      <c r="C201" s="365" t="s">
        <v>240</v>
      </c>
      <c r="D201" s="364" t="s">
        <v>241</v>
      </c>
      <c r="E201" s="366">
        <v>8.0</v>
      </c>
      <c r="F201" s="367">
        <v>45869.625</v>
      </c>
      <c r="G201" s="364" t="s">
        <v>1187</v>
      </c>
      <c r="H201" s="364" t="s">
        <v>1188</v>
      </c>
    </row>
    <row r="202" ht="15.75" customHeight="1">
      <c r="A202" s="364" t="s">
        <v>53</v>
      </c>
      <c r="B202" s="364" t="s">
        <v>22</v>
      </c>
      <c r="C202" s="365" t="s">
        <v>240</v>
      </c>
      <c r="D202" s="364" t="s">
        <v>241</v>
      </c>
      <c r="E202" s="366">
        <v>9.0</v>
      </c>
      <c r="F202" s="367">
        <v>45912.41666666667</v>
      </c>
      <c r="G202" s="364" t="s">
        <v>1187</v>
      </c>
      <c r="H202" s="364" t="s">
        <v>1188</v>
      </c>
    </row>
    <row r="203" ht="15.75" customHeight="1">
      <c r="A203" s="364" t="s">
        <v>53</v>
      </c>
      <c r="B203" s="364" t="s">
        <v>22</v>
      </c>
      <c r="C203" s="365" t="s">
        <v>240</v>
      </c>
      <c r="D203" s="364" t="s">
        <v>241</v>
      </c>
      <c r="E203" s="366">
        <v>10.0</v>
      </c>
      <c r="F203" s="367">
        <v>45954.375</v>
      </c>
      <c r="G203" s="364" t="s">
        <v>1187</v>
      </c>
      <c r="H203" s="364" t="s">
        <v>1188</v>
      </c>
    </row>
    <row r="204" ht="15.75" customHeight="1">
      <c r="A204" s="364" t="s">
        <v>53</v>
      </c>
      <c r="B204" s="364" t="s">
        <v>22</v>
      </c>
      <c r="C204" s="365" t="s">
        <v>226</v>
      </c>
      <c r="D204" s="364" t="s">
        <v>227</v>
      </c>
      <c r="E204" s="366">
        <v>1.0</v>
      </c>
      <c r="F204" s="367">
        <v>45715.41666666667</v>
      </c>
      <c r="G204" s="364" t="s">
        <v>1185</v>
      </c>
      <c r="H204" s="364" t="s">
        <v>1188</v>
      </c>
    </row>
    <row r="205" ht="15.75" customHeight="1">
      <c r="A205" s="364" t="s">
        <v>53</v>
      </c>
      <c r="B205" s="364" t="s">
        <v>22</v>
      </c>
      <c r="C205" s="365" t="s">
        <v>226</v>
      </c>
      <c r="D205" s="364" t="s">
        <v>227</v>
      </c>
      <c r="E205" s="366">
        <v>2.0</v>
      </c>
      <c r="F205" s="367">
        <v>45765.54166666667</v>
      </c>
      <c r="G205" s="364" t="s">
        <v>1185</v>
      </c>
      <c r="H205" s="364" t="s">
        <v>1188</v>
      </c>
    </row>
    <row r="206" ht="15.75" customHeight="1">
      <c r="A206" s="364" t="s">
        <v>53</v>
      </c>
      <c r="B206" s="364" t="s">
        <v>22</v>
      </c>
      <c r="C206" s="365" t="s">
        <v>226</v>
      </c>
      <c r="D206" s="364" t="s">
        <v>227</v>
      </c>
      <c r="E206" s="366">
        <v>3.0</v>
      </c>
      <c r="F206" s="367">
        <v>45771.58333333333</v>
      </c>
      <c r="G206" s="364" t="s">
        <v>1185</v>
      </c>
      <c r="H206" s="364" t="s">
        <v>1188</v>
      </c>
    </row>
    <row r="207" ht="15.75" customHeight="1">
      <c r="A207" s="364" t="s">
        <v>53</v>
      </c>
      <c r="B207" s="364" t="s">
        <v>22</v>
      </c>
      <c r="C207" s="365" t="s">
        <v>226</v>
      </c>
      <c r="D207" s="364" t="s">
        <v>227</v>
      </c>
      <c r="E207" s="366">
        <v>4.0</v>
      </c>
      <c r="F207" s="367">
        <v>45785.54166666667</v>
      </c>
      <c r="G207" s="364" t="s">
        <v>1185</v>
      </c>
      <c r="H207" s="364" t="s">
        <v>1188</v>
      </c>
    </row>
    <row r="208" ht="15.75" customHeight="1">
      <c r="A208" s="364" t="s">
        <v>53</v>
      </c>
      <c r="B208" s="364" t="s">
        <v>22</v>
      </c>
      <c r="C208" s="365" t="s">
        <v>226</v>
      </c>
      <c r="D208" s="364" t="s">
        <v>227</v>
      </c>
      <c r="E208" s="366">
        <v>5.0</v>
      </c>
      <c r="F208" s="367">
        <v>45793.54166666667</v>
      </c>
      <c r="G208" s="364" t="s">
        <v>1185</v>
      </c>
      <c r="H208" s="364" t="s">
        <v>1188</v>
      </c>
    </row>
    <row r="209" ht="15.75" customHeight="1">
      <c r="A209" s="364" t="s">
        <v>53</v>
      </c>
      <c r="B209" s="364" t="s">
        <v>22</v>
      </c>
      <c r="C209" s="365" t="s">
        <v>226</v>
      </c>
      <c r="D209" s="364" t="s">
        <v>227</v>
      </c>
      <c r="E209" s="366">
        <v>6.0</v>
      </c>
      <c r="F209" s="367">
        <v>45800.54166666667</v>
      </c>
      <c r="G209" s="364" t="s">
        <v>1185</v>
      </c>
      <c r="H209" s="364" t="s">
        <v>1188</v>
      </c>
    </row>
    <row r="210" ht="15.75" customHeight="1">
      <c r="A210" s="364" t="s">
        <v>53</v>
      </c>
      <c r="B210" s="364" t="s">
        <v>22</v>
      </c>
      <c r="C210" s="365" t="s">
        <v>226</v>
      </c>
      <c r="D210" s="364" t="s">
        <v>227</v>
      </c>
      <c r="E210" s="366">
        <v>7.0</v>
      </c>
      <c r="F210" s="367">
        <v>45827.58333333333</v>
      </c>
      <c r="G210" s="364" t="s">
        <v>1185</v>
      </c>
      <c r="H210" s="364" t="s">
        <v>1188</v>
      </c>
    </row>
    <row r="211" ht="15.75" customHeight="1">
      <c r="A211" s="364" t="s">
        <v>53</v>
      </c>
      <c r="B211" s="364" t="s">
        <v>22</v>
      </c>
      <c r="C211" s="365" t="s">
        <v>226</v>
      </c>
      <c r="D211" s="364" t="s">
        <v>227</v>
      </c>
      <c r="E211" s="366">
        <v>8.0</v>
      </c>
      <c r="F211" s="367">
        <v>45869.625</v>
      </c>
      <c r="G211" s="364" t="s">
        <v>1185</v>
      </c>
      <c r="H211" s="364" t="s">
        <v>1188</v>
      </c>
    </row>
    <row r="212" ht="15.75" customHeight="1">
      <c r="A212" s="364" t="s">
        <v>53</v>
      </c>
      <c r="B212" s="364" t="s">
        <v>22</v>
      </c>
      <c r="C212" s="365" t="s">
        <v>226</v>
      </c>
      <c r="D212" s="364" t="s">
        <v>227</v>
      </c>
      <c r="E212" s="366">
        <v>9.0</v>
      </c>
      <c r="F212" s="367">
        <v>45912.41666666667</v>
      </c>
      <c r="G212" s="364" t="s">
        <v>1185</v>
      </c>
      <c r="H212" s="364" t="s">
        <v>1188</v>
      </c>
    </row>
    <row r="213" ht="15.75" customHeight="1">
      <c r="A213" s="364" t="s">
        <v>53</v>
      </c>
      <c r="B213" s="364" t="s">
        <v>22</v>
      </c>
      <c r="C213" s="365" t="s">
        <v>226</v>
      </c>
      <c r="D213" s="364" t="s">
        <v>227</v>
      </c>
      <c r="E213" s="366">
        <v>10.0</v>
      </c>
      <c r="F213" s="367">
        <v>45954.375</v>
      </c>
      <c r="G213" s="364" t="s">
        <v>1185</v>
      </c>
      <c r="H213" s="364" t="s">
        <v>1188</v>
      </c>
    </row>
    <row r="214" ht="15.75" customHeight="1">
      <c r="A214" s="364" t="s">
        <v>53</v>
      </c>
      <c r="B214" s="364" t="s">
        <v>22</v>
      </c>
      <c r="C214" s="365" t="s">
        <v>228</v>
      </c>
      <c r="D214" s="364" t="s">
        <v>229</v>
      </c>
      <c r="E214" s="366">
        <v>1.0</v>
      </c>
      <c r="F214" s="367">
        <v>45715.45833333333</v>
      </c>
      <c r="G214" s="364" t="s">
        <v>1185</v>
      </c>
      <c r="H214" s="364" t="s">
        <v>1188</v>
      </c>
    </row>
    <row r="215" ht="15.75" customHeight="1">
      <c r="A215" s="364" t="s">
        <v>53</v>
      </c>
      <c r="B215" s="364" t="s">
        <v>22</v>
      </c>
      <c r="C215" s="365" t="s">
        <v>228</v>
      </c>
      <c r="D215" s="364" t="s">
        <v>229</v>
      </c>
      <c r="E215" s="366">
        <v>2.0</v>
      </c>
      <c r="F215" s="367">
        <v>45765.54166666667</v>
      </c>
      <c r="G215" s="364" t="s">
        <v>1185</v>
      </c>
      <c r="H215" s="364" t="s">
        <v>1188</v>
      </c>
    </row>
    <row r="216" ht="15.75" customHeight="1">
      <c r="A216" s="364" t="s">
        <v>53</v>
      </c>
      <c r="B216" s="364" t="s">
        <v>22</v>
      </c>
      <c r="C216" s="365" t="s">
        <v>228</v>
      </c>
      <c r="D216" s="364" t="s">
        <v>229</v>
      </c>
      <c r="E216" s="366">
        <v>3.0</v>
      </c>
      <c r="F216" s="367">
        <v>45771.58333333333</v>
      </c>
      <c r="G216" s="364" t="s">
        <v>1185</v>
      </c>
      <c r="H216" s="364" t="s">
        <v>1188</v>
      </c>
    </row>
    <row r="217" ht="15.75" customHeight="1">
      <c r="A217" s="364" t="s">
        <v>53</v>
      </c>
      <c r="B217" s="364" t="s">
        <v>22</v>
      </c>
      <c r="C217" s="365" t="s">
        <v>228</v>
      </c>
      <c r="D217" s="364" t="s">
        <v>229</v>
      </c>
      <c r="E217" s="366">
        <v>4.0</v>
      </c>
      <c r="F217" s="367">
        <v>45785.54166666667</v>
      </c>
      <c r="G217" s="364" t="s">
        <v>1187</v>
      </c>
      <c r="H217" s="364" t="s">
        <v>1188</v>
      </c>
    </row>
    <row r="218" ht="15.75" customHeight="1">
      <c r="A218" s="364" t="s">
        <v>53</v>
      </c>
      <c r="B218" s="364" t="s">
        <v>22</v>
      </c>
      <c r="C218" s="365" t="s">
        <v>228</v>
      </c>
      <c r="D218" s="364" t="s">
        <v>229</v>
      </c>
      <c r="E218" s="366">
        <v>5.0</v>
      </c>
      <c r="F218" s="367">
        <v>45793.54166666667</v>
      </c>
      <c r="G218" s="364" t="s">
        <v>1185</v>
      </c>
      <c r="H218" s="364" t="s">
        <v>1188</v>
      </c>
    </row>
    <row r="219" ht="15.75" customHeight="1">
      <c r="A219" s="364" t="s">
        <v>53</v>
      </c>
      <c r="B219" s="364" t="s">
        <v>22</v>
      </c>
      <c r="C219" s="365" t="s">
        <v>228</v>
      </c>
      <c r="D219" s="364" t="s">
        <v>229</v>
      </c>
      <c r="E219" s="366">
        <v>6.0</v>
      </c>
      <c r="F219" s="367">
        <v>45800.54166666667</v>
      </c>
      <c r="G219" s="364" t="s">
        <v>1185</v>
      </c>
      <c r="H219" s="364" t="s">
        <v>1188</v>
      </c>
    </row>
    <row r="220" ht="15.75" customHeight="1">
      <c r="A220" s="364" t="s">
        <v>53</v>
      </c>
      <c r="B220" s="364" t="s">
        <v>22</v>
      </c>
      <c r="C220" s="365" t="s">
        <v>228</v>
      </c>
      <c r="D220" s="364" t="s">
        <v>229</v>
      </c>
      <c r="E220" s="366">
        <v>7.0</v>
      </c>
      <c r="F220" s="367">
        <v>45827.58333333333</v>
      </c>
      <c r="G220" s="364" t="s">
        <v>1185</v>
      </c>
      <c r="H220" s="364" t="s">
        <v>1188</v>
      </c>
    </row>
    <row r="221" ht="15.75" customHeight="1">
      <c r="A221" s="364" t="s">
        <v>53</v>
      </c>
      <c r="B221" s="364" t="s">
        <v>22</v>
      </c>
      <c r="C221" s="365" t="s">
        <v>228</v>
      </c>
      <c r="D221" s="364" t="s">
        <v>229</v>
      </c>
      <c r="E221" s="366">
        <v>8.0</v>
      </c>
      <c r="F221" s="367">
        <v>45869.625</v>
      </c>
      <c r="G221" s="364" t="s">
        <v>1185</v>
      </c>
      <c r="H221" s="364" t="s">
        <v>1188</v>
      </c>
    </row>
    <row r="222" ht="15.75" customHeight="1">
      <c r="A222" s="364" t="s">
        <v>53</v>
      </c>
      <c r="B222" s="364" t="s">
        <v>22</v>
      </c>
      <c r="C222" s="365" t="s">
        <v>228</v>
      </c>
      <c r="D222" s="364" t="s">
        <v>229</v>
      </c>
      <c r="E222" s="366">
        <v>9.0</v>
      </c>
      <c r="F222" s="367">
        <v>45912.41666666667</v>
      </c>
      <c r="G222" s="364" t="s">
        <v>1185</v>
      </c>
      <c r="H222" s="364" t="s">
        <v>1188</v>
      </c>
    </row>
    <row r="223" ht="15.75" customHeight="1">
      <c r="A223" s="364" t="s">
        <v>53</v>
      </c>
      <c r="B223" s="364" t="s">
        <v>22</v>
      </c>
      <c r="C223" s="365" t="s">
        <v>228</v>
      </c>
      <c r="D223" s="364" t="s">
        <v>229</v>
      </c>
      <c r="E223" s="366">
        <v>10.0</v>
      </c>
      <c r="F223" s="367">
        <v>45954.375</v>
      </c>
      <c r="G223" s="364" t="s">
        <v>1185</v>
      </c>
      <c r="H223" s="364" t="s">
        <v>1188</v>
      </c>
    </row>
    <row r="224" ht="15.75" customHeight="1">
      <c r="A224" s="364" t="s">
        <v>53</v>
      </c>
      <c r="B224" s="364" t="s">
        <v>22</v>
      </c>
      <c r="C224" s="365" t="s">
        <v>230</v>
      </c>
      <c r="D224" s="364" t="s">
        <v>231</v>
      </c>
      <c r="E224" s="366">
        <v>1.0</v>
      </c>
      <c r="F224" s="367">
        <v>45715.41666666667</v>
      </c>
      <c r="G224" s="364" t="s">
        <v>1185</v>
      </c>
      <c r="H224" s="364" t="s">
        <v>1188</v>
      </c>
    </row>
    <row r="225" ht="15.75" customHeight="1">
      <c r="A225" s="364" t="s">
        <v>53</v>
      </c>
      <c r="B225" s="364" t="s">
        <v>22</v>
      </c>
      <c r="C225" s="365" t="s">
        <v>230</v>
      </c>
      <c r="D225" s="364" t="s">
        <v>231</v>
      </c>
      <c r="E225" s="366">
        <v>2.0</v>
      </c>
      <c r="F225" s="367">
        <v>45765.54166666667</v>
      </c>
      <c r="G225" s="364" t="s">
        <v>1185</v>
      </c>
      <c r="H225" s="364" t="s">
        <v>1188</v>
      </c>
    </row>
    <row r="226" ht="15.75" customHeight="1">
      <c r="A226" s="364" t="s">
        <v>53</v>
      </c>
      <c r="B226" s="364" t="s">
        <v>22</v>
      </c>
      <c r="C226" s="365" t="s">
        <v>230</v>
      </c>
      <c r="D226" s="364" t="s">
        <v>231</v>
      </c>
      <c r="E226" s="366">
        <v>3.0</v>
      </c>
      <c r="F226" s="367">
        <v>45771.58333333333</v>
      </c>
      <c r="G226" s="364" t="s">
        <v>1185</v>
      </c>
      <c r="H226" s="364" t="s">
        <v>1188</v>
      </c>
    </row>
    <row r="227" ht="15.75" customHeight="1">
      <c r="A227" s="364" t="s">
        <v>53</v>
      </c>
      <c r="B227" s="364" t="s">
        <v>22</v>
      </c>
      <c r="C227" s="365" t="s">
        <v>230</v>
      </c>
      <c r="D227" s="364" t="s">
        <v>231</v>
      </c>
      <c r="E227" s="366">
        <v>4.0</v>
      </c>
      <c r="F227" s="367">
        <v>45785.54166666667</v>
      </c>
      <c r="G227" s="364" t="s">
        <v>1185</v>
      </c>
      <c r="H227" s="364" t="s">
        <v>1188</v>
      </c>
    </row>
    <row r="228" ht="15.75" customHeight="1">
      <c r="A228" s="364" t="s">
        <v>53</v>
      </c>
      <c r="B228" s="364" t="s">
        <v>22</v>
      </c>
      <c r="C228" s="365" t="s">
        <v>230</v>
      </c>
      <c r="D228" s="364" t="s">
        <v>231</v>
      </c>
      <c r="E228" s="366">
        <v>5.0</v>
      </c>
      <c r="F228" s="367">
        <v>45793.54166666667</v>
      </c>
      <c r="G228" s="364" t="s">
        <v>1187</v>
      </c>
      <c r="H228" s="364" t="s">
        <v>1188</v>
      </c>
    </row>
    <row r="229" ht="15.75" customHeight="1">
      <c r="A229" s="364" t="s">
        <v>53</v>
      </c>
      <c r="B229" s="364" t="s">
        <v>22</v>
      </c>
      <c r="C229" s="365" t="s">
        <v>230</v>
      </c>
      <c r="D229" s="364" t="s">
        <v>231</v>
      </c>
      <c r="E229" s="366">
        <v>6.0</v>
      </c>
      <c r="F229" s="367">
        <v>45800.54166666667</v>
      </c>
      <c r="G229" s="364" t="s">
        <v>1185</v>
      </c>
      <c r="H229" s="364" t="s">
        <v>1188</v>
      </c>
    </row>
    <row r="230" ht="15.75" customHeight="1">
      <c r="A230" s="364" t="s">
        <v>53</v>
      </c>
      <c r="B230" s="364" t="s">
        <v>22</v>
      </c>
      <c r="C230" s="365" t="s">
        <v>230</v>
      </c>
      <c r="D230" s="364" t="s">
        <v>231</v>
      </c>
      <c r="E230" s="366">
        <v>7.0</v>
      </c>
      <c r="F230" s="367">
        <v>45827.58333333333</v>
      </c>
      <c r="G230" s="364" t="s">
        <v>1185</v>
      </c>
      <c r="H230" s="364" t="s">
        <v>1188</v>
      </c>
    </row>
    <row r="231" ht="15.75" customHeight="1">
      <c r="A231" s="364" t="s">
        <v>53</v>
      </c>
      <c r="B231" s="364" t="s">
        <v>22</v>
      </c>
      <c r="C231" s="365" t="s">
        <v>230</v>
      </c>
      <c r="D231" s="364" t="s">
        <v>231</v>
      </c>
      <c r="E231" s="366">
        <v>8.0</v>
      </c>
      <c r="F231" s="367">
        <v>45869.625</v>
      </c>
      <c r="G231" s="364" t="s">
        <v>1187</v>
      </c>
      <c r="H231" s="364" t="s">
        <v>1188</v>
      </c>
    </row>
    <row r="232" ht="15.75" customHeight="1">
      <c r="A232" s="364" t="s">
        <v>53</v>
      </c>
      <c r="B232" s="364" t="s">
        <v>22</v>
      </c>
      <c r="C232" s="365" t="s">
        <v>230</v>
      </c>
      <c r="D232" s="364" t="s">
        <v>231</v>
      </c>
      <c r="E232" s="366">
        <v>9.0</v>
      </c>
      <c r="F232" s="367">
        <v>45912.41666666667</v>
      </c>
      <c r="G232" s="364" t="s">
        <v>1187</v>
      </c>
      <c r="H232" s="364" t="s">
        <v>1188</v>
      </c>
    </row>
    <row r="233" ht="15.75" customHeight="1">
      <c r="A233" s="364" t="s">
        <v>53</v>
      </c>
      <c r="B233" s="364" t="s">
        <v>22</v>
      </c>
      <c r="C233" s="365" t="s">
        <v>230</v>
      </c>
      <c r="D233" s="364" t="s">
        <v>231</v>
      </c>
      <c r="E233" s="366">
        <v>10.0</v>
      </c>
      <c r="F233" s="367">
        <v>45954.375</v>
      </c>
      <c r="G233" s="364" t="s">
        <v>1187</v>
      </c>
      <c r="H233" s="364" t="s">
        <v>1188</v>
      </c>
    </row>
    <row r="234" ht="15.75" customHeight="1">
      <c r="A234" s="364" t="s">
        <v>53</v>
      </c>
      <c r="B234" s="364" t="s">
        <v>22</v>
      </c>
      <c r="C234" s="365" t="s">
        <v>232</v>
      </c>
      <c r="D234" s="364" t="s">
        <v>233</v>
      </c>
      <c r="E234" s="366">
        <v>1.0</v>
      </c>
      <c r="F234" s="367">
        <v>45715.41666666667</v>
      </c>
      <c r="G234" s="364" t="s">
        <v>1185</v>
      </c>
      <c r="H234" s="364" t="s">
        <v>1188</v>
      </c>
    </row>
    <row r="235" ht="15.75" customHeight="1">
      <c r="A235" s="364" t="s">
        <v>53</v>
      </c>
      <c r="B235" s="364" t="s">
        <v>22</v>
      </c>
      <c r="C235" s="365" t="s">
        <v>232</v>
      </c>
      <c r="D235" s="364" t="s">
        <v>233</v>
      </c>
      <c r="E235" s="366">
        <v>2.0</v>
      </c>
      <c r="F235" s="367">
        <v>45765.54166666667</v>
      </c>
      <c r="G235" s="364" t="s">
        <v>1185</v>
      </c>
      <c r="H235" s="364" t="s">
        <v>1188</v>
      </c>
    </row>
    <row r="236" ht="15.75" customHeight="1">
      <c r="A236" s="364" t="s">
        <v>53</v>
      </c>
      <c r="B236" s="364" t="s">
        <v>22</v>
      </c>
      <c r="C236" s="365" t="s">
        <v>232</v>
      </c>
      <c r="D236" s="364" t="s">
        <v>233</v>
      </c>
      <c r="E236" s="366">
        <v>3.0</v>
      </c>
      <c r="F236" s="367">
        <v>45771.58333333333</v>
      </c>
      <c r="G236" s="364" t="s">
        <v>1187</v>
      </c>
      <c r="H236" s="364" t="s">
        <v>1188</v>
      </c>
    </row>
    <row r="237" ht="15.75" customHeight="1">
      <c r="A237" s="364" t="s">
        <v>53</v>
      </c>
      <c r="B237" s="364" t="s">
        <v>22</v>
      </c>
      <c r="C237" s="365" t="s">
        <v>232</v>
      </c>
      <c r="D237" s="364" t="s">
        <v>233</v>
      </c>
      <c r="E237" s="366">
        <v>4.0</v>
      </c>
      <c r="F237" s="367">
        <v>45785.54166666667</v>
      </c>
      <c r="G237" s="364" t="s">
        <v>1187</v>
      </c>
      <c r="H237" s="364" t="s">
        <v>1188</v>
      </c>
    </row>
    <row r="238" ht="15.75" customHeight="1">
      <c r="A238" s="364" t="s">
        <v>53</v>
      </c>
      <c r="B238" s="364" t="s">
        <v>22</v>
      </c>
      <c r="C238" s="365" t="s">
        <v>232</v>
      </c>
      <c r="D238" s="364" t="s">
        <v>233</v>
      </c>
      <c r="E238" s="366">
        <v>5.0</v>
      </c>
      <c r="F238" s="367">
        <v>45793.54166666667</v>
      </c>
      <c r="G238" s="364" t="s">
        <v>1187</v>
      </c>
      <c r="H238" s="364" t="s">
        <v>1188</v>
      </c>
    </row>
    <row r="239" ht="15.75" customHeight="1">
      <c r="A239" s="364" t="s">
        <v>53</v>
      </c>
      <c r="B239" s="364" t="s">
        <v>22</v>
      </c>
      <c r="C239" s="365" t="s">
        <v>232</v>
      </c>
      <c r="D239" s="364" t="s">
        <v>233</v>
      </c>
      <c r="E239" s="366">
        <v>6.0</v>
      </c>
      <c r="F239" s="367">
        <v>45800.54166666667</v>
      </c>
      <c r="G239" s="364" t="s">
        <v>1185</v>
      </c>
      <c r="H239" s="364" t="s">
        <v>1188</v>
      </c>
    </row>
    <row r="240" ht="15.75" customHeight="1">
      <c r="A240" s="364" t="s">
        <v>53</v>
      </c>
      <c r="B240" s="364" t="s">
        <v>22</v>
      </c>
      <c r="C240" s="365" t="s">
        <v>232</v>
      </c>
      <c r="D240" s="364" t="s">
        <v>233</v>
      </c>
      <c r="E240" s="366">
        <v>7.0</v>
      </c>
      <c r="F240" s="367">
        <v>45827.58333333333</v>
      </c>
      <c r="G240" s="364" t="s">
        <v>1185</v>
      </c>
      <c r="H240" s="364" t="s">
        <v>1188</v>
      </c>
    </row>
    <row r="241" ht="15.75" customHeight="1">
      <c r="A241" s="364" t="s">
        <v>53</v>
      </c>
      <c r="B241" s="364" t="s">
        <v>22</v>
      </c>
      <c r="C241" s="365" t="s">
        <v>232</v>
      </c>
      <c r="D241" s="364" t="s">
        <v>233</v>
      </c>
      <c r="E241" s="366">
        <v>8.0</v>
      </c>
      <c r="F241" s="367">
        <v>45869.625</v>
      </c>
      <c r="G241" s="364" t="s">
        <v>1187</v>
      </c>
      <c r="H241" s="364" t="s">
        <v>1188</v>
      </c>
    </row>
    <row r="242" ht="15.75" customHeight="1">
      <c r="A242" s="364" t="s">
        <v>53</v>
      </c>
      <c r="B242" s="364" t="s">
        <v>22</v>
      </c>
      <c r="C242" s="365" t="s">
        <v>232</v>
      </c>
      <c r="D242" s="364" t="s">
        <v>233</v>
      </c>
      <c r="E242" s="366">
        <v>9.0</v>
      </c>
      <c r="F242" s="367">
        <v>45912.41666666667</v>
      </c>
      <c r="G242" s="364" t="s">
        <v>1187</v>
      </c>
      <c r="H242" s="364" t="s">
        <v>1188</v>
      </c>
    </row>
    <row r="243" ht="15.75" customHeight="1">
      <c r="A243" s="364" t="s">
        <v>53</v>
      </c>
      <c r="B243" s="364" t="s">
        <v>22</v>
      </c>
      <c r="C243" s="365" t="s">
        <v>232</v>
      </c>
      <c r="D243" s="364" t="s">
        <v>233</v>
      </c>
      <c r="E243" s="366">
        <v>10.0</v>
      </c>
      <c r="F243" s="367">
        <v>45954.375</v>
      </c>
      <c r="G243" s="364" t="s">
        <v>1187</v>
      </c>
      <c r="H243" s="364" t="s">
        <v>1188</v>
      </c>
    </row>
    <row r="244" ht="15.75" customHeight="1">
      <c r="A244" s="364" t="s">
        <v>53</v>
      </c>
      <c r="B244" s="364" t="s">
        <v>22</v>
      </c>
      <c r="C244" s="365" t="s">
        <v>234</v>
      </c>
      <c r="D244" s="364" t="s">
        <v>235</v>
      </c>
      <c r="E244" s="366">
        <v>1.0</v>
      </c>
      <c r="F244" s="367">
        <v>45715.41666666667</v>
      </c>
      <c r="G244" s="364" t="s">
        <v>1185</v>
      </c>
      <c r="H244" s="364" t="s">
        <v>1188</v>
      </c>
    </row>
    <row r="245" ht="15.75" customHeight="1">
      <c r="A245" s="364" t="s">
        <v>53</v>
      </c>
      <c r="B245" s="364" t="s">
        <v>22</v>
      </c>
      <c r="C245" s="365" t="s">
        <v>234</v>
      </c>
      <c r="D245" s="364" t="s">
        <v>235</v>
      </c>
      <c r="E245" s="366">
        <v>2.0</v>
      </c>
      <c r="F245" s="367">
        <v>45765.54166666667</v>
      </c>
      <c r="G245" s="364" t="s">
        <v>1185</v>
      </c>
      <c r="H245" s="364" t="s">
        <v>1188</v>
      </c>
    </row>
    <row r="246" ht="15.75" customHeight="1">
      <c r="A246" s="364" t="s">
        <v>53</v>
      </c>
      <c r="B246" s="364" t="s">
        <v>22</v>
      </c>
      <c r="C246" s="365" t="s">
        <v>234</v>
      </c>
      <c r="D246" s="364" t="s">
        <v>235</v>
      </c>
      <c r="E246" s="366">
        <v>3.0</v>
      </c>
      <c r="F246" s="367">
        <v>45771.58333333333</v>
      </c>
      <c r="G246" s="364" t="s">
        <v>1185</v>
      </c>
      <c r="H246" s="364" t="s">
        <v>1188</v>
      </c>
    </row>
    <row r="247" ht="15.75" customHeight="1">
      <c r="A247" s="364" t="s">
        <v>53</v>
      </c>
      <c r="B247" s="364" t="s">
        <v>22</v>
      </c>
      <c r="C247" s="365" t="s">
        <v>234</v>
      </c>
      <c r="D247" s="364" t="s">
        <v>235</v>
      </c>
      <c r="E247" s="366">
        <v>4.0</v>
      </c>
      <c r="F247" s="367">
        <v>45785.54166666667</v>
      </c>
      <c r="G247" s="364" t="s">
        <v>1185</v>
      </c>
      <c r="H247" s="364" t="s">
        <v>1188</v>
      </c>
    </row>
    <row r="248" ht="15.75" customHeight="1">
      <c r="A248" s="364" t="s">
        <v>53</v>
      </c>
      <c r="B248" s="364" t="s">
        <v>22</v>
      </c>
      <c r="C248" s="365" t="s">
        <v>234</v>
      </c>
      <c r="D248" s="364" t="s">
        <v>235</v>
      </c>
      <c r="E248" s="366">
        <v>5.0</v>
      </c>
      <c r="F248" s="367">
        <v>45793.54166666667</v>
      </c>
      <c r="G248" s="364" t="s">
        <v>1185</v>
      </c>
      <c r="H248" s="364" t="s">
        <v>1188</v>
      </c>
    </row>
    <row r="249" ht="15.75" customHeight="1">
      <c r="A249" s="364" t="s">
        <v>53</v>
      </c>
      <c r="B249" s="364" t="s">
        <v>22</v>
      </c>
      <c r="C249" s="365" t="s">
        <v>234</v>
      </c>
      <c r="D249" s="364" t="s">
        <v>235</v>
      </c>
      <c r="E249" s="366">
        <v>6.0</v>
      </c>
      <c r="F249" s="367">
        <v>45800.54166666667</v>
      </c>
      <c r="G249" s="364" t="s">
        <v>1185</v>
      </c>
      <c r="H249" s="364" t="s">
        <v>1188</v>
      </c>
    </row>
    <row r="250" ht="15.75" customHeight="1">
      <c r="A250" s="364" t="s">
        <v>53</v>
      </c>
      <c r="B250" s="364" t="s">
        <v>22</v>
      </c>
      <c r="C250" s="365" t="s">
        <v>234</v>
      </c>
      <c r="D250" s="364" t="s">
        <v>235</v>
      </c>
      <c r="E250" s="366">
        <v>7.0</v>
      </c>
      <c r="F250" s="367">
        <v>45827.58333333333</v>
      </c>
      <c r="G250" s="364" t="s">
        <v>1187</v>
      </c>
      <c r="H250" s="364" t="s">
        <v>1188</v>
      </c>
    </row>
    <row r="251" ht="15.75" customHeight="1">
      <c r="A251" s="364" t="s">
        <v>53</v>
      </c>
      <c r="B251" s="364" t="s">
        <v>22</v>
      </c>
      <c r="C251" s="365" t="s">
        <v>234</v>
      </c>
      <c r="D251" s="364" t="s">
        <v>235</v>
      </c>
      <c r="E251" s="366">
        <v>8.0</v>
      </c>
      <c r="F251" s="367">
        <v>45869.625</v>
      </c>
      <c r="G251" s="364" t="s">
        <v>1185</v>
      </c>
      <c r="H251" s="364" t="s">
        <v>1188</v>
      </c>
    </row>
    <row r="252" ht="15.75" customHeight="1">
      <c r="A252" s="364" t="s">
        <v>53</v>
      </c>
      <c r="B252" s="364" t="s">
        <v>22</v>
      </c>
      <c r="C252" s="365" t="s">
        <v>234</v>
      </c>
      <c r="D252" s="364" t="s">
        <v>235</v>
      </c>
      <c r="E252" s="366">
        <v>9.0</v>
      </c>
      <c r="F252" s="367">
        <v>45912.41666666667</v>
      </c>
      <c r="G252" s="364" t="s">
        <v>1185</v>
      </c>
      <c r="H252" s="364" t="s">
        <v>1188</v>
      </c>
    </row>
    <row r="253" ht="15.75" customHeight="1">
      <c r="A253" s="364" t="s">
        <v>53</v>
      </c>
      <c r="B253" s="364" t="s">
        <v>22</v>
      </c>
      <c r="C253" s="365" t="s">
        <v>234</v>
      </c>
      <c r="D253" s="364" t="s">
        <v>235</v>
      </c>
      <c r="E253" s="366">
        <v>10.0</v>
      </c>
      <c r="F253" s="367">
        <v>45954.375</v>
      </c>
      <c r="G253" s="364" t="s">
        <v>1185</v>
      </c>
      <c r="H253" s="364" t="s">
        <v>1188</v>
      </c>
    </row>
    <row r="254" ht="15.75" customHeight="1">
      <c r="A254" s="364" t="s">
        <v>53</v>
      </c>
      <c r="B254" s="364" t="s">
        <v>22</v>
      </c>
      <c r="C254" s="365" t="s">
        <v>236</v>
      </c>
      <c r="D254" s="364" t="s">
        <v>237</v>
      </c>
      <c r="E254" s="366">
        <v>1.0</v>
      </c>
      <c r="F254" s="367">
        <v>45715.41666666667</v>
      </c>
      <c r="G254" s="364" t="s">
        <v>1185</v>
      </c>
      <c r="H254" s="364" t="s">
        <v>1188</v>
      </c>
    </row>
    <row r="255" ht="15.75" customHeight="1">
      <c r="A255" s="364" t="s">
        <v>53</v>
      </c>
      <c r="B255" s="364" t="s">
        <v>22</v>
      </c>
      <c r="C255" s="365" t="s">
        <v>236</v>
      </c>
      <c r="D255" s="364" t="s">
        <v>237</v>
      </c>
      <c r="E255" s="366">
        <v>2.0</v>
      </c>
      <c r="F255" s="367">
        <v>45765.54166666667</v>
      </c>
      <c r="G255" s="364" t="s">
        <v>1185</v>
      </c>
      <c r="H255" s="364" t="s">
        <v>1188</v>
      </c>
    </row>
    <row r="256" ht="15.75" customHeight="1">
      <c r="A256" s="364" t="s">
        <v>53</v>
      </c>
      <c r="B256" s="364" t="s">
        <v>22</v>
      </c>
      <c r="C256" s="365" t="s">
        <v>236</v>
      </c>
      <c r="D256" s="364" t="s">
        <v>237</v>
      </c>
      <c r="E256" s="366">
        <v>3.0</v>
      </c>
      <c r="F256" s="367">
        <v>45771.58333333333</v>
      </c>
      <c r="G256" s="364" t="s">
        <v>1185</v>
      </c>
      <c r="H256" s="364" t="s">
        <v>1188</v>
      </c>
    </row>
    <row r="257" ht="15.75" customHeight="1">
      <c r="A257" s="364" t="s">
        <v>53</v>
      </c>
      <c r="B257" s="364" t="s">
        <v>22</v>
      </c>
      <c r="C257" s="365" t="s">
        <v>236</v>
      </c>
      <c r="D257" s="364" t="s">
        <v>237</v>
      </c>
      <c r="E257" s="366">
        <v>4.0</v>
      </c>
      <c r="F257" s="367">
        <v>45785.54166666667</v>
      </c>
      <c r="G257" s="364" t="s">
        <v>1185</v>
      </c>
      <c r="H257" s="364" t="s">
        <v>1188</v>
      </c>
    </row>
    <row r="258" ht="15.75" customHeight="1">
      <c r="A258" s="364" t="s">
        <v>53</v>
      </c>
      <c r="B258" s="364" t="s">
        <v>22</v>
      </c>
      <c r="C258" s="365" t="s">
        <v>236</v>
      </c>
      <c r="D258" s="364" t="s">
        <v>237</v>
      </c>
      <c r="E258" s="366">
        <v>5.0</v>
      </c>
      <c r="F258" s="367">
        <v>45793.54166666667</v>
      </c>
      <c r="G258" s="364" t="s">
        <v>1185</v>
      </c>
      <c r="H258" s="364" t="s">
        <v>1188</v>
      </c>
    </row>
    <row r="259" ht="15.75" customHeight="1">
      <c r="A259" s="364" t="s">
        <v>53</v>
      </c>
      <c r="B259" s="364" t="s">
        <v>22</v>
      </c>
      <c r="C259" s="365" t="s">
        <v>236</v>
      </c>
      <c r="D259" s="364" t="s">
        <v>237</v>
      </c>
      <c r="E259" s="366">
        <v>6.0</v>
      </c>
      <c r="F259" s="367">
        <v>45800.54166666667</v>
      </c>
      <c r="G259" s="364" t="s">
        <v>1185</v>
      </c>
      <c r="H259" s="364" t="s">
        <v>1188</v>
      </c>
    </row>
    <row r="260" ht="15.75" customHeight="1">
      <c r="A260" s="364" t="s">
        <v>53</v>
      </c>
      <c r="B260" s="364" t="s">
        <v>22</v>
      </c>
      <c r="C260" s="365" t="s">
        <v>236</v>
      </c>
      <c r="D260" s="364" t="s">
        <v>237</v>
      </c>
      <c r="E260" s="366">
        <v>7.0</v>
      </c>
      <c r="F260" s="367">
        <v>45827.58333333333</v>
      </c>
      <c r="G260" s="364" t="s">
        <v>1187</v>
      </c>
      <c r="H260" s="364" t="s">
        <v>1188</v>
      </c>
    </row>
    <row r="261" ht="15.75" customHeight="1">
      <c r="A261" s="364" t="s">
        <v>53</v>
      </c>
      <c r="B261" s="364" t="s">
        <v>22</v>
      </c>
      <c r="C261" s="365" t="s">
        <v>236</v>
      </c>
      <c r="D261" s="364" t="s">
        <v>237</v>
      </c>
      <c r="E261" s="366">
        <v>8.0</v>
      </c>
      <c r="F261" s="367">
        <v>45869.625</v>
      </c>
      <c r="G261" s="364" t="s">
        <v>1185</v>
      </c>
      <c r="H261" s="364" t="s">
        <v>1188</v>
      </c>
    </row>
    <row r="262" ht="15.75" customHeight="1">
      <c r="A262" s="364" t="s">
        <v>53</v>
      </c>
      <c r="B262" s="364" t="s">
        <v>22</v>
      </c>
      <c r="C262" s="365" t="s">
        <v>236</v>
      </c>
      <c r="D262" s="364" t="s">
        <v>237</v>
      </c>
      <c r="E262" s="366">
        <v>9.0</v>
      </c>
      <c r="F262" s="367">
        <v>45912.41666666667</v>
      </c>
      <c r="G262" s="364" t="s">
        <v>1185</v>
      </c>
      <c r="H262" s="364" t="s">
        <v>1188</v>
      </c>
    </row>
    <row r="263" ht="15.75" customHeight="1">
      <c r="A263" s="364" t="s">
        <v>53</v>
      </c>
      <c r="B263" s="364" t="s">
        <v>22</v>
      </c>
      <c r="C263" s="365" t="s">
        <v>236</v>
      </c>
      <c r="D263" s="364" t="s">
        <v>237</v>
      </c>
      <c r="E263" s="366">
        <v>10.0</v>
      </c>
      <c r="F263" s="367">
        <v>45954.375</v>
      </c>
      <c r="G263" s="364" t="s">
        <v>1185</v>
      </c>
      <c r="H263" s="364" t="s">
        <v>1188</v>
      </c>
    </row>
    <row r="264" ht="15.75" customHeight="1">
      <c r="A264" s="364" t="s">
        <v>53</v>
      </c>
      <c r="B264" s="364" t="s">
        <v>22</v>
      </c>
      <c r="C264" s="365" t="s">
        <v>238</v>
      </c>
      <c r="D264" s="364" t="s">
        <v>239</v>
      </c>
      <c r="E264" s="366">
        <v>1.0</v>
      </c>
      <c r="F264" s="367">
        <v>45715.41666666667</v>
      </c>
      <c r="G264" s="364" t="s">
        <v>1185</v>
      </c>
      <c r="H264" s="364" t="s">
        <v>1188</v>
      </c>
    </row>
    <row r="265" ht="15.75" customHeight="1">
      <c r="A265" s="364" t="s">
        <v>53</v>
      </c>
      <c r="B265" s="364" t="s">
        <v>22</v>
      </c>
      <c r="C265" s="365" t="s">
        <v>238</v>
      </c>
      <c r="D265" s="364" t="s">
        <v>239</v>
      </c>
      <c r="E265" s="366">
        <v>2.0</v>
      </c>
      <c r="F265" s="367">
        <v>45765.54166666667</v>
      </c>
      <c r="G265" s="364" t="s">
        <v>1185</v>
      </c>
      <c r="H265" s="364" t="s">
        <v>1188</v>
      </c>
    </row>
    <row r="266" ht="15.75" customHeight="1">
      <c r="A266" s="364" t="s">
        <v>53</v>
      </c>
      <c r="B266" s="364" t="s">
        <v>22</v>
      </c>
      <c r="C266" s="365" t="s">
        <v>238</v>
      </c>
      <c r="D266" s="364" t="s">
        <v>239</v>
      </c>
      <c r="E266" s="366">
        <v>3.0</v>
      </c>
      <c r="F266" s="367">
        <v>45771.58333333333</v>
      </c>
      <c r="G266" s="364" t="s">
        <v>1185</v>
      </c>
      <c r="H266" s="364" t="s">
        <v>1188</v>
      </c>
    </row>
    <row r="267" ht="15.75" customHeight="1">
      <c r="A267" s="364" t="s">
        <v>53</v>
      </c>
      <c r="B267" s="364" t="s">
        <v>22</v>
      </c>
      <c r="C267" s="365" t="s">
        <v>238</v>
      </c>
      <c r="D267" s="364" t="s">
        <v>239</v>
      </c>
      <c r="E267" s="366">
        <v>4.0</v>
      </c>
      <c r="F267" s="367">
        <v>45785.54166666667</v>
      </c>
      <c r="G267" s="364" t="s">
        <v>1185</v>
      </c>
      <c r="H267" s="364" t="s">
        <v>1188</v>
      </c>
    </row>
    <row r="268" ht="15.75" customHeight="1">
      <c r="A268" s="364" t="s">
        <v>53</v>
      </c>
      <c r="B268" s="364" t="s">
        <v>22</v>
      </c>
      <c r="C268" s="365" t="s">
        <v>238</v>
      </c>
      <c r="D268" s="364" t="s">
        <v>239</v>
      </c>
      <c r="E268" s="366">
        <v>5.0</v>
      </c>
      <c r="F268" s="367">
        <v>45793.54166666667</v>
      </c>
      <c r="G268" s="364" t="s">
        <v>1185</v>
      </c>
      <c r="H268" s="364" t="s">
        <v>1188</v>
      </c>
    </row>
    <row r="269" ht="15.75" customHeight="1">
      <c r="A269" s="364" t="s">
        <v>53</v>
      </c>
      <c r="B269" s="364" t="s">
        <v>22</v>
      </c>
      <c r="C269" s="365" t="s">
        <v>238</v>
      </c>
      <c r="D269" s="364" t="s">
        <v>239</v>
      </c>
      <c r="E269" s="366">
        <v>6.0</v>
      </c>
      <c r="F269" s="367">
        <v>45800.54166666667</v>
      </c>
      <c r="G269" s="364" t="s">
        <v>1185</v>
      </c>
      <c r="H269" s="364" t="s">
        <v>1188</v>
      </c>
    </row>
    <row r="270" ht="15.75" customHeight="1">
      <c r="A270" s="364" t="s">
        <v>53</v>
      </c>
      <c r="B270" s="364" t="s">
        <v>22</v>
      </c>
      <c r="C270" s="365" t="s">
        <v>238</v>
      </c>
      <c r="D270" s="364" t="s">
        <v>239</v>
      </c>
      <c r="E270" s="366">
        <v>7.0</v>
      </c>
      <c r="F270" s="367">
        <v>45827.58333333333</v>
      </c>
      <c r="G270" s="364" t="s">
        <v>1185</v>
      </c>
      <c r="H270" s="364" t="s">
        <v>1188</v>
      </c>
    </row>
    <row r="271" ht="15.75" customHeight="1">
      <c r="A271" s="364" t="s">
        <v>53</v>
      </c>
      <c r="B271" s="364" t="s">
        <v>22</v>
      </c>
      <c r="C271" s="365" t="s">
        <v>238</v>
      </c>
      <c r="D271" s="364" t="s">
        <v>239</v>
      </c>
      <c r="E271" s="366">
        <v>8.0</v>
      </c>
      <c r="F271" s="367">
        <v>45869.625</v>
      </c>
      <c r="G271" s="364" t="s">
        <v>1185</v>
      </c>
      <c r="H271" s="364" t="s">
        <v>1188</v>
      </c>
    </row>
    <row r="272" ht="15.75" customHeight="1">
      <c r="A272" s="364" t="s">
        <v>53</v>
      </c>
      <c r="B272" s="364" t="s">
        <v>22</v>
      </c>
      <c r="C272" s="365" t="s">
        <v>238</v>
      </c>
      <c r="D272" s="364" t="s">
        <v>239</v>
      </c>
      <c r="E272" s="366">
        <v>9.0</v>
      </c>
      <c r="F272" s="367">
        <v>45912.41666666667</v>
      </c>
      <c r="G272" s="364" t="s">
        <v>1185</v>
      </c>
      <c r="H272" s="364" t="s">
        <v>1188</v>
      </c>
    </row>
    <row r="273" ht="15.75" customHeight="1">
      <c r="A273" s="364" t="s">
        <v>53</v>
      </c>
      <c r="B273" s="364" t="s">
        <v>22</v>
      </c>
      <c r="C273" s="365" t="s">
        <v>238</v>
      </c>
      <c r="D273" s="364" t="s">
        <v>239</v>
      </c>
      <c r="E273" s="366">
        <v>10.0</v>
      </c>
      <c r="F273" s="367">
        <v>45954.375</v>
      </c>
      <c r="G273" s="364" t="s">
        <v>1185</v>
      </c>
      <c r="H273" s="364" t="s">
        <v>1188</v>
      </c>
    </row>
    <row r="274" ht="15.75" customHeight="1">
      <c r="A274" s="364" t="s">
        <v>54</v>
      </c>
      <c r="B274" s="364" t="s">
        <v>22</v>
      </c>
      <c r="C274" s="365" t="s">
        <v>316</v>
      </c>
      <c r="D274" s="364" t="s">
        <v>317</v>
      </c>
      <c r="E274" s="366">
        <v>1.0</v>
      </c>
      <c r="F274" s="367">
        <v>45715.45833333333</v>
      </c>
      <c r="G274" s="364" t="s">
        <v>1185</v>
      </c>
      <c r="H274" s="364" t="s">
        <v>1189</v>
      </c>
    </row>
    <row r="275" ht="15.75" customHeight="1">
      <c r="A275" s="364" t="s">
        <v>54</v>
      </c>
      <c r="B275" s="364" t="s">
        <v>22</v>
      </c>
      <c r="C275" s="365" t="s">
        <v>316</v>
      </c>
      <c r="D275" s="364" t="s">
        <v>317</v>
      </c>
      <c r="E275" s="366">
        <v>2.0</v>
      </c>
      <c r="F275" s="367">
        <v>45763.45833333333</v>
      </c>
      <c r="G275" s="364" t="s">
        <v>1187</v>
      </c>
      <c r="H275" s="364" t="s">
        <v>1189</v>
      </c>
    </row>
    <row r="276" ht="15.75" customHeight="1">
      <c r="A276" s="364" t="s">
        <v>54</v>
      </c>
      <c r="B276" s="364" t="s">
        <v>22</v>
      </c>
      <c r="C276" s="365" t="s">
        <v>316</v>
      </c>
      <c r="D276" s="364" t="s">
        <v>317</v>
      </c>
      <c r="E276" s="366">
        <v>3.0</v>
      </c>
      <c r="F276" s="367">
        <v>45772.54166666667</v>
      </c>
      <c r="G276" s="364" t="s">
        <v>1185</v>
      </c>
      <c r="H276" s="364" t="s">
        <v>1189</v>
      </c>
    </row>
    <row r="277" ht="15.75" customHeight="1">
      <c r="A277" s="364" t="s">
        <v>54</v>
      </c>
      <c r="B277" s="364" t="s">
        <v>22</v>
      </c>
      <c r="C277" s="365" t="s">
        <v>316</v>
      </c>
      <c r="D277" s="364" t="s">
        <v>317</v>
      </c>
      <c r="E277" s="366">
        <v>4.0</v>
      </c>
      <c r="F277" s="367">
        <v>45793.58333333333</v>
      </c>
      <c r="G277" s="364" t="s">
        <v>1185</v>
      </c>
      <c r="H277" s="364" t="s">
        <v>1189</v>
      </c>
    </row>
    <row r="278" ht="15.75" customHeight="1">
      <c r="A278" s="364" t="s">
        <v>54</v>
      </c>
      <c r="B278" s="364" t="s">
        <v>22</v>
      </c>
      <c r="C278" s="365" t="s">
        <v>316</v>
      </c>
      <c r="D278" s="364" t="s">
        <v>317</v>
      </c>
      <c r="E278" s="366">
        <v>5.0</v>
      </c>
      <c r="F278" s="367">
        <v>45800.58333333333</v>
      </c>
      <c r="G278" s="364" t="s">
        <v>1185</v>
      </c>
      <c r="H278" s="364" t="s">
        <v>1189</v>
      </c>
    </row>
    <row r="279" ht="15.75" customHeight="1">
      <c r="A279" s="364" t="s">
        <v>54</v>
      </c>
      <c r="B279" s="364" t="s">
        <v>22</v>
      </c>
      <c r="C279" s="365" t="s">
        <v>316</v>
      </c>
      <c r="D279" s="364" t="s">
        <v>317</v>
      </c>
      <c r="E279" s="366">
        <v>6.0</v>
      </c>
      <c r="F279" s="367">
        <v>45813.58333333333</v>
      </c>
      <c r="G279" s="364" t="s">
        <v>1185</v>
      </c>
      <c r="H279" s="364" t="s">
        <v>1189</v>
      </c>
    </row>
    <row r="280" ht="15.75" customHeight="1">
      <c r="A280" s="364" t="s">
        <v>54</v>
      </c>
      <c r="B280" s="364" t="s">
        <v>22</v>
      </c>
      <c r="C280" s="365" t="s">
        <v>316</v>
      </c>
      <c r="D280" s="364" t="s">
        <v>317</v>
      </c>
      <c r="E280" s="366">
        <v>7.0</v>
      </c>
      <c r="F280" s="367">
        <v>45820.625</v>
      </c>
      <c r="G280" s="364" t="s">
        <v>1185</v>
      </c>
      <c r="H280" s="364" t="s">
        <v>1189</v>
      </c>
    </row>
    <row r="281" ht="15.75" customHeight="1">
      <c r="A281" s="364" t="s">
        <v>54</v>
      </c>
      <c r="B281" s="364" t="s">
        <v>22</v>
      </c>
      <c r="C281" s="365" t="s">
        <v>316</v>
      </c>
      <c r="D281" s="364" t="s">
        <v>317</v>
      </c>
      <c r="E281" s="366">
        <v>8.0</v>
      </c>
      <c r="F281" s="367">
        <v>45827.625</v>
      </c>
      <c r="G281" s="364" t="s">
        <v>1185</v>
      </c>
      <c r="H281" s="364" t="s">
        <v>1189</v>
      </c>
    </row>
    <row r="282" ht="15.75" customHeight="1">
      <c r="A282" s="364" t="s">
        <v>54</v>
      </c>
      <c r="B282" s="364" t="s">
        <v>22</v>
      </c>
      <c r="C282" s="365" t="s">
        <v>316</v>
      </c>
      <c r="D282" s="364" t="s">
        <v>317</v>
      </c>
      <c r="E282" s="366">
        <v>9.0</v>
      </c>
      <c r="F282" s="367">
        <v>45834.58333333333</v>
      </c>
      <c r="G282" s="364" t="s">
        <v>1185</v>
      </c>
      <c r="H282" s="364" t="s">
        <v>1189</v>
      </c>
    </row>
    <row r="283" ht="15.75" customHeight="1">
      <c r="A283" s="364" t="s">
        <v>54</v>
      </c>
      <c r="B283" s="364" t="s">
        <v>22</v>
      </c>
      <c r="C283" s="365" t="s">
        <v>316</v>
      </c>
      <c r="D283" s="364" t="s">
        <v>317</v>
      </c>
      <c r="E283" s="366">
        <v>10.0</v>
      </c>
      <c r="F283" s="367">
        <v>45882.54166666667</v>
      </c>
      <c r="G283" s="364" t="s">
        <v>1185</v>
      </c>
      <c r="H283" s="364" t="s">
        <v>1189</v>
      </c>
    </row>
    <row r="284" ht="15.75" customHeight="1">
      <c r="A284" s="364" t="s">
        <v>54</v>
      </c>
      <c r="B284" s="364" t="s">
        <v>22</v>
      </c>
      <c r="C284" s="365" t="s">
        <v>242</v>
      </c>
      <c r="D284" s="364" t="s">
        <v>243</v>
      </c>
      <c r="E284" s="366">
        <v>1.0</v>
      </c>
      <c r="F284" s="367">
        <v>45715.45833333333</v>
      </c>
      <c r="G284" s="364" t="s">
        <v>1185</v>
      </c>
      <c r="H284" s="364" t="s">
        <v>1189</v>
      </c>
    </row>
    <row r="285" ht="15.75" customHeight="1">
      <c r="A285" s="364" t="s">
        <v>54</v>
      </c>
      <c r="B285" s="364" t="s">
        <v>22</v>
      </c>
      <c r="C285" s="365" t="s">
        <v>242</v>
      </c>
      <c r="D285" s="364" t="s">
        <v>243</v>
      </c>
      <c r="E285" s="366">
        <v>2.0</v>
      </c>
      <c r="F285" s="367">
        <v>45763.45833333333</v>
      </c>
      <c r="G285" s="364" t="s">
        <v>1185</v>
      </c>
      <c r="H285" s="364" t="s">
        <v>1189</v>
      </c>
    </row>
    <row r="286" ht="15.75" customHeight="1">
      <c r="A286" s="364" t="s">
        <v>54</v>
      </c>
      <c r="B286" s="364" t="s">
        <v>22</v>
      </c>
      <c r="C286" s="365" t="s">
        <v>242</v>
      </c>
      <c r="D286" s="364" t="s">
        <v>243</v>
      </c>
      <c r="E286" s="366">
        <v>3.0</v>
      </c>
      <c r="F286" s="367">
        <v>45772.54166666667</v>
      </c>
      <c r="G286" s="364" t="s">
        <v>1185</v>
      </c>
      <c r="H286" s="364" t="s">
        <v>1189</v>
      </c>
    </row>
    <row r="287" ht="15.75" customHeight="1">
      <c r="A287" s="364" t="s">
        <v>54</v>
      </c>
      <c r="B287" s="364" t="s">
        <v>22</v>
      </c>
      <c r="C287" s="365" t="s">
        <v>242</v>
      </c>
      <c r="D287" s="364" t="s">
        <v>243</v>
      </c>
      <c r="E287" s="366">
        <v>4.0</v>
      </c>
      <c r="F287" s="367">
        <v>45793.58333333333</v>
      </c>
      <c r="G287" s="364" t="s">
        <v>1185</v>
      </c>
      <c r="H287" s="364" t="s">
        <v>1189</v>
      </c>
    </row>
    <row r="288" ht="15.75" customHeight="1">
      <c r="A288" s="364" t="s">
        <v>54</v>
      </c>
      <c r="B288" s="364" t="s">
        <v>22</v>
      </c>
      <c r="C288" s="365" t="s">
        <v>242</v>
      </c>
      <c r="D288" s="364" t="s">
        <v>243</v>
      </c>
      <c r="E288" s="366">
        <v>5.0</v>
      </c>
      <c r="F288" s="367">
        <v>45800.58333333333</v>
      </c>
      <c r="G288" s="364" t="s">
        <v>1185</v>
      </c>
      <c r="H288" s="364" t="s">
        <v>1189</v>
      </c>
    </row>
    <row r="289" ht="15.75" customHeight="1">
      <c r="A289" s="364" t="s">
        <v>54</v>
      </c>
      <c r="B289" s="364" t="s">
        <v>22</v>
      </c>
      <c r="C289" s="365" t="s">
        <v>242</v>
      </c>
      <c r="D289" s="364" t="s">
        <v>243</v>
      </c>
      <c r="E289" s="366">
        <v>6.0</v>
      </c>
      <c r="F289" s="367">
        <v>45813.58333333333</v>
      </c>
      <c r="G289" s="364" t="s">
        <v>1185</v>
      </c>
      <c r="H289" s="364" t="s">
        <v>1189</v>
      </c>
    </row>
    <row r="290" ht="15.75" customHeight="1">
      <c r="A290" s="364" t="s">
        <v>54</v>
      </c>
      <c r="B290" s="364" t="s">
        <v>22</v>
      </c>
      <c r="C290" s="365" t="s">
        <v>242</v>
      </c>
      <c r="D290" s="364" t="s">
        <v>243</v>
      </c>
      <c r="E290" s="366">
        <v>7.0</v>
      </c>
      <c r="F290" s="367">
        <v>45820.625</v>
      </c>
      <c r="G290" s="364" t="s">
        <v>1185</v>
      </c>
      <c r="H290" s="364" t="s">
        <v>1189</v>
      </c>
    </row>
    <row r="291" ht="15.75" customHeight="1">
      <c r="A291" s="364" t="s">
        <v>54</v>
      </c>
      <c r="B291" s="364" t="s">
        <v>22</v>
      </c>
      <c r="C291" s="365" t="s">
        <v>242</v>
      </c>
      <c r="D291" s="364" t="s">
        <v>243</v>
      </c>
      <c r="E291" s="366">
        <v>8.0</v>
      </c>
      <c r="F291" s="367">
        <v>45827.625</v>
      </c>
      <c r="G291" s="364" t="s">
        <v>1187</v>
      </c>
      <c r="H291" s="364" t="s">
        <v>1189</v>
      </c>
    </row>
    <row r="292" ht="15.75" customHeight="1">
      <c r="A292" s="364" t="s">
        <v>54</v>
      </c>
      <c r="B292" s="364" t="s">
        <v>22</v>
      </c>
      <c r="C292" s="365" t="s">
        <v>242</v>
      </c>
      <c r="D292" s="364" t="s">
        <v>243</v>
      </c>
      <c r="E292" s="366">
        <v>9.0</v>
      </c>
      <c r="F292" s="367">
        <v>45834.58333333333</v>
      </c>
      <c r="G292" s="364" t="s">
        <v>1185</v>
      </c>
      <c r="H292" s="364" t="s">
        <v>1189</v>
      </c>
    </row>
    <row r="293" ht="15.75" customHeight="1">
      <c r="A293" s="364" t="s">
        <v>54</v>
      </c>
      <c r="B293" s="364" t="s">
        <v>22</v>
      </c>
      <c r="C293" s="365" t="s">
        <v>242</v>
      </c>
      <c r="D293" s="364" t="s">
        <v>243</v>
      </c>
      <c r="E293" s="366">
        <v>10.0</v>
      </c>
      <c r="F293" s="367">
        <v>45882.54166666667</v>
      </c>
      <c r="G293" s="364" t="s">
        <v>1185</v>
      </c>
      <c r="H293" s="364" t="s">
        <v>1189</v>
      </c>
    </row>
    <row r="294" ht="15.75" customHeight="1">
      <c r="A294" s="364" t="s">
        <v>54</v>
      </c>
      <c r="B294" s="364" t="s">
        <v>22</v>
      </c>
      <c r="C294" s="365" t="s">
        <v>318</v>
      </c>
      <c r="D294" s="364" t="s">
        <v>319</v>
      </c>
      <c r="E294" s="366">
        <v>1.0</v>
      </c>
      <c r="F294" s="367">
        <v>45715.45833333333</v>
      </c>
      <c r="G294" s="364" t="s">
        <v>1187</v>
      </c>
      <c r="H294" s="364" t="s">
        <v>1189</v>
      </c>
    </row>
    <row r="295" ht="15.75" customHeight="1">
      <c r="A295" s="364" t="s">
        <v>54</v>
      </c>
      <c r="B295" s="364" t="s">
        <v>22</v>
      </c>
      <c r="C295" s="365" t="s">
        <v>318</v>
      </c>
      <c r="D295" s="364" t="s">
        <v>319</v>
      </c>
      <c r="E295" s="366">
        <v>2.0</v>
      </c>
      <c r="F295" s="367">
        <v>45763.45833333333</v>
      </c>
      <c r="G295" s="364" t="s">
        <v>1185</v>
      </c>
      <c r="H295" s="364" t="s">
        <v>1189</v>
      </c>
    </row>
    <row r="296" ht="15.75" customHeight="1">
      <c r="A296" s="364" t="s">
        <v>54</v>
      </c>
      <c r="B296" s="364" t="s">
        <v>22</v>
      </c>
      <c r="C296" s="365" t="s">
        <v>318</v>
      </c>
      <c r="D296" s="364" t="s">
        <v>319</v>
      </c>
      <c r="E296" s="366">
        <v>3.0</v>
      </c>
      <c r="F296" s="367">
        <v>45772.54166666667</v>
      </c>
      <c r="G296" s="364" t="s">
        <v>1185</v>
      </c>
      <c r="H296" s="364" t="s">
        <v>1189</v>
      </c>
    </row>
    <row r="297" ht="15.75" customHeight="1">
      <c r="A297" s="364" t="s">
        <v>54</v>
      </c>
      <c r="B297" s="364" t="s">
        <v>22</v>
      </c>
      <c r="C297" s="365" t="s">
        <v>318</v>
      </c>
      <c r="D297" s="364" t="s">
        <v>319</v>
      </c>
      <c r="E297" s="366">
        <v>4.0</v>
      </c>
      <c r="F297" s="367">
        <v>45793.58333333333</v>
      </c>
      <c r="G297" s="364" t="s">
        <v>1187</v>
      </c>
      <c r="H297" s="364" t="s">
        <v>1189</v>
      </c>
    </row>
    <row r="298" ht="15.75" customHeight="1">
      <c r="A298" s="364" t="s">
        <v>54</v>
      </c>
      <c r="B298" s="364" t="s">
        <v>22</v>
      </c>
      <c r="C298" s="365" t="s">
        <v>318</v>
      </c>
      <c r="D298" s="364" t="s">
        <v>319</v>
      </c>
      <c r="E298" s="366">
        <v>5.0</v>
      </c>
      <c r="F298" s="367">
        <v>45800.58333333333</v>
      </c>
      <c r="G298" s="364" t="s">
        <v>1185</v>
      </c>
      <c r="H298" s="364" t="s">
        <v>1189</v>
      </c>
    </row>
    <row r="299" ht="15.75" customHeight="1">
      <c r="A299" s="364" t="s">
        <v>54</v>
      </c>
      <c r="B299" s="364" t="s">
        <v>22</v>
      </c>
      <c r="C299" s="365" t="s">
        <v>318</v>
      </c>
      <c r="D299" s="364" t="s">
        <v>319</v>
      </c>
      <c r="E299" s="366">
        <v>6.0</v>
      </c>
      <c r="F299" s="367">
        <v>45813.58333333333</v>
      </c>
      <c r="G299" s="364" t="s">
        <v>1185</v>
      </c>
      <c r="H299" s="364" t="s">
        <v>1189</v>
      </c>
    </row>
    <row r="300" ht="15.75" customHeight="1">
      <c r="A300" s="364" t="s">
        <v>54</v>
      </c>
      <c r="B300" s="364" t="s">
        <v>22</v>
      </c>
      <c r="C300" s="365" t="s">
        <v>318</v>
      </c>
      <c r="D300" s="364" t="s">
        <v>319</v>
      </c>
      <c r="E300" s="366">
        <v>7.0</v>
      </c>
      <c r="F300" s="367">
        <v>45820.625</v>
      </c>
      <c r="G300" s="364" t="s">
        <v>1185</v>
      </c>
      <c r="H300" s="364" t="s">
        <v>1189</v>
      </c>
    </row>
    <row r="301" ht="15.75" customHeight="1">
      <c r="A301" s="364" t="s">
        <v>54</v>
      </c>
      <c r="B301" s="364" t="s">
        <v>22</v>
      </c>
      <c r="C301" s="365" t="s">
        <v>318</v>
      </c>
      <c r="D301" s="364" t="s">
        <v>319</v>
      </c>
      <c r="E301" s="366">
        <v>8.0</v>
      </c>
      <c r="F301" s="367">
        <v>45827.625</v>
      </c>
      <c r="G301" s="364" t="s">
        <v>1185</v>
      </c>
      <c r="H301" s="364" t="s">
        <v>1189</v>
      </c>
    </row>
    <row r="302" ht="15.75" customHeight="1">
      <c r="A302" s="364" t="s">
        <v>54</v>
      </c>
      <c r="B302" s="364" t="s">
        <v>22</v>
      </c>
      <c r="C302" s="365" t="s">
        <v>318</v>
      </c>
      <c r="D302" s="364" t="s">
        <v>319</v>
      </c>
      <c r="E302" s="366">
        <v>9.0</v>
      </c>
      <c r="F302" s="367">
        <v>45834.58333333333</v>
      </c>
      <c r="G302" s="364" t="s">
        <v>1185</v>
      </c>
      <c r="H302" s="364" t="s">
        <v>1189</v>
      </c>
    </row>
    <row r="303" ht="15.75" customHeight="1">
      <c r="A303" s="364" t="s">
        <v>54</v>
      </c>
      <c r="B303" s="364" t="s">
        <v>22</v>
      </c>
      <c r="C303" s="365" t="s">
        <v>318</v>
      </c>
      <c r="D303" s="364" t="s">
        <v>319</v>
      </c>
      <c r="E303" s="366">
        <v>10.0</v>
      </c>
      <c r="F303" s="367">
        <v>45882.54166666667</v>
      </c>
      <c r="G303" s="364" t="s">
        <v>1185</v>
      </c>
      <c r="H303" s="364" t="s">
        <v>1189</v>
      </c>
    </row>
    <row r="304" ht="15.75" customHeight="1">
      <c r="A304" s="364" t="s">
        <v>54</v>
      </c>
      <c r="B304" s="364" t="s">
        <v>22</v>
      </c>
      <c r="C304" s="365" t="s">
        <v>417</v>
      </c>
      <c r="D304" s="364" t="s">
        <v>418</v>
      </c>
      <c r="E304" s="366">
        <v>1.0</v>
      </c>
      <c r="F304" s="367">
        <v>45715.45833333333</v>
      </c>
      <c r="G304" s="364" t="s">
        <v>1185</v>
      </c>
      <c r="H304" s="364" t="s">
        <v>1189</v>
      </c>
    </row>
    <row r="305" ht="15.75" customHeight="1">
      <c r="A305" s="364" t="s">
        <v>54</v>
      </c>
      <c r="B305" s="364" t="s">
        <v>22</v>
      </c>
      <c r="C305" s="365" t="s">
        <v>417</v>
      </c>
      <c r="D305" s="364" t="s">
        <v>418</v>
      </c>
      <c r="E305" s="366">
        <v>2.0</v>
      </c>
      <c r="F305" s="367">
        <v>45763.45833333333</v>
      </c>
      <c r="G305" s="364" t="s">
        <v>1185</v>
      </c>
      <c r="H305" s="364" t="s">
        <v>1189</v>
      </c>
    </row>
    <row r="306" ht="15.75" customHeight="1">
      <c r="A306" s="364" t="s">
        <v>54</v>
      </c>
      <c r="B306" s="364" t="s">
        <v>22</v>
      </c>
      <c r="C306" s="365" t="s">
        <v>417</v>
      </c>
      <c r="D306" s="364" t="s">
        <v>418</v>
      </c>
      <c r="E306" s="366">
        <v>3.0</v>
      </c>
      <c r="F306" s="367">
        <v>45772.54166666667</v>
      </c>
      <c r="G306" s="364" t="s">
        <v>1185</v>
      </c>
      <c r="H306" s="364" t="s">
        <v>1189</v>
      </c>
    </row>
    <row r="307" ht="15.75" customHeight="1">
      <c r="A307" s="364" t="s">
        <v>54</v>
      </c>
      <c r="B307" s="364" t="s">
        <v>22</v>
      </c>
      <c r="C307" s="365" t="s">
        <v>417</v>
      </c>
      <c r="D307" s="364" t="s">
        <v>418</v>
      </c>
      <c r="E307" s="366">
        <v>4.0</v>
      </c>
      <c r="F307" s="367">
        <v>45793.58333333333</v>
      </c>
      <c r="G307" s="364" t="s">
        <v>1185</v>
      </c>
      <c r="H307" s="364" t="s">
        <v>1189</v>
      </c>
    </row>
    <row r="308" ht="15.75" customHeight="1">
      <c r="A308" s="364" t="s">
        <v>54</v>
      </c>
      <c r="B308" s="364" t="s">
        <v>22</v>
      </c>
      <c r="C308" s="365" t="s">
        <v>417</v>
      </c>
      <c r="D308" s="364" t="s">
        <v>418</v>
      </c>
      <c r="E308" s="366">
        <v>5.0</v>
      </c>
      <c r="F308" s="367">
        <v>45800.58333333333</v>
      </c>
      <c r="G308" s="364" t="s">
        <v>1185</v>
      </c>
      <c r="H308" s="364" t="s">
        <v>1189</v>
      </c>
    </row>
    <row r="309" ht="15.75" customHeight="1">
      <c r="A309" s="364" t="s">
        <v>54</v>
      </c>
      <c r="B309" s="364" t="s">
        <v>22</v>
      </c>
      <c r="C309" s="365" t="s">
        <v>417</v>
      </c>
      <c r="D309" s="364" t="s">
        <v>418</v>
      </c>
      <c r="E309" s="366">
        <v>6.0</v>
      </c>
      <c r="F309" s="367">
        <v>45813.625</v>
      </c>
      <c r="G309" s="364" t="s">
        <v>1185</v>
      </c>
      <c r="H309" s="364" t="s">
        <v>1189</v>
      </c>
    </row>
    <row r="310" ht="15.75" customHeight="1">
      <c r="A310" s="364" t="s">
        <v>54</v>
      </c>
      <c r="B310" s="364" t="s">
        <v>22</v>
      </c>
      <c r="C310" s="365" t="s">
        <v>417</v>
      </c>
      <c r="D310" s="364" t="s">
        <v>418</v>
      </c>
      <c r="E310" s="366">
        <v>7.0</v>
      </c>
      <c r="F310" s="367">
        <v>45820.625</v>
      </c>
      <c r="G310" s="364" t="s">
        <v>1185</v>
      </c>
      <c r="H310" s="364" t="s">
        <v>1189</v>
      </c>
    </row>
    <row r="311" ht="15.75" customHeight="1">
      <c r="A311" s="364" t="s">
        <v>54</v>
      </c>
      <c r="B311" s="364" t="s">
        <v>22</v>
      </c>
      <c r="C311" s="365" t="s">
        <v>417</v>
      </c>
      <c r="D311" s="364" t="s">
        <v>418</v>
      </c>
      <c r="E311" s="366">
        <v>8.0</v>
      </c>
      <c r="F311" s="367">
        <v>45827.625</v>
      </c>
      <c r="G311" s="364" t="s">
        <v>1185</v>
      </c>
      <c r="H311" s="364" t="s">
        <v>1189</v>
      </c>
    </row>
    <row r="312" ht="15.75" customHeight="1">
      <c r="A312" s="364" t="s">
        <v>54</v>
      </c>
      <c r="B312" s="364" t="s">
        <v>22</v>
      </c>
      <c r="C312" s="365" t="s">
        <v>417</v>
      </c>
      <c r="D312" s="364" t="s">
        <v>418</v>
      </c>
      <c r="E312" s="366">
        <v>9.0</v>
      </c>
      <c r="F312" s="367">
        <v>45834.58333333333</v>
      </c>
      <c r="G312" s="364" t="s">
        <v>1185</v>
      </c>
      <c r="H312" s="364" t="s">
        <v>1189</v>
      </c>
    </row>
    <row r="313" ht="15.75" customHeight="1">
      <c r="A313" s="364" t="s">
        <v>54</v>
      </c>
      <c r="B313" s="364" t="s">
        <v>22</v>
      </c>
      <c r="C313" s="365" t="s">
        <v>417</v>
      </c>
      <c r="D313" s="364" t="s">
        <v>418</v>
      </c>
      <c r="E313" s="366">
        <v>10.0</v>
      </c>
      <c r="F313" s="367">
        <v>45882.54166666667</v>
      </c>
      <c r="G313" s="364" t="s">
        <v>1185</v>
      </c>
      <c r="H313" s="364" t="s">
        <v>1189</v>
      </c>
    </row>
    <row r="314" ht="15.75" customHeight="1">
      <c r="A314" s="364" t="s">
        <v>54</v>
      </c>
      <c r="B314" s="364" t="s">
        <v>22</v>
      </c>
      <c r="C314" s="365" t="s">
        <v>244</v>
      </c>
      <c r="D314" s="364" t="s">
        <v>245</v>
      </c>
      <c r="E314" s="366">
        <v>1.0</v>
      </c>
      <c r="F314" s="367">
        <v>45715.45833333333</v>
      </c>
      <c r="G314" s="364" t="s">
        <v>1185</v>
      </c>
      <c r="H314" s="364" t="s">
        <v>1189</v>
      </c>
    </row>
    <row r="315" ht="15.75" customHeight="1">
      <c r="A315" s="364" t="s">
        <v>54</v>
      </c>
      <c r="B315" s="364" t="s">
        <v>22</v>
      </c>
      <c r="C315" s="365" t="s">
        <v>244</v>
      </c>
      <c r="D315" s="364" t="s">
        <v>245</v>
      </c>
      <c r="E315" s="366">
        <v>2.0</v>
      </c>
      <c r="F315" s="367">
        <v>45763.45833333333</v>
      </c>
      <c r="G315" s="364" t="s">
        <v>1185</v>
      </c>
      <c r="H315" s="364" t="s">
        <v>1189</v>
      </c>
    </row>
    <row r="316" ht="15.75" customHeight="1">
      <c r="A316" s="364" t="s">
        <v>54</v>
      </c>
      <c r="B316" s="364" t="s">
        <v>22</v>
      </c>
      <c r="C316" s="365" t="s">
        <v>244</v>
      </c>
      <c r="D316" s="364" t="s">
        <v>245</v>
      </c>
      <c r="E316" s="366">
        <v>3.0</v>
      </c>
      <c r="F316" s="367">
        <v>45772.54166666667</v>
      </c>
      <c r="G316" s="364" t="s">
        <v>1185</v>
      </c>
      <c r="H316" s="364" t="s">
        <v>1189</v>
      </c>
    </row>
    <row r="317" ht="15.75" customHeight="1">
      <c r="A317" s="364" t="s">
        <v>54</v>
      </c>
      <c r="B317" s="364" t="s">
        <v>22</v>
      </c>
      <c r="C317" s="365" t="s">
        <v>244</v>
      </c>
      <c r="D317" s="364" t="s">
        <v>245</v>
      </c>
      <c r="E317" s="366">
        <v>4.0</v>
      </c>
      <c r="F317" s="367">
        <v>45793.58333333333</v>
      </c>
      <c r="G317" s="364" t="s">
        <v>1187</v>
      </c>
      <c r="H317" s="364" t="s">
        <v>1189</v>
      </c>
    </row>
    <row r="318" ht="15.75" customHeight="1">
      <c r="A318" s="364" t="s">
        <v>54</v>
      </c>
      <c r="B318" s="364" t="s">
        <v>22</v>
      </c>
      <c r="C318" s="365" t="s">
        <v>244</v>
      </c>
      <c r="D318" s="364" t="s">
        <v>245</v>
      </c>
      <c r="E318" s="366">
        <v>5.0</v>
      </c>
      <c r="F318" s="367">
        <v>45800.58333333333</v>
      </c>
      <c r="G318" s="364" t="s">
        <v>1185</v>
      </c>
      <c r="H318" s="364" t="s">
        <v>1189</v>
      </c>
    </row>
    <row r="319" ht="15.75" customHeight="1">
      <c r="A319" s="364" t="s">
        <v>54</v>
      </c>
      <c r="B319" s="364" t="s">
        <v>22</v>
      </c>
      <c r="C319" s="365" t="s">
        <v>244</v>
      </c>
      <c r="D319" s="364" t="s">
        <v>245</v>
      </c>
      <c r="E319" s="366">
        <v>6.0</v>
      </c>
      <c r="F319" s="367">
        <v>45813.58333333333</v>
      </c>
      <c r="G319" s="364" t="s">
        <v>1185</v>
      </c>
      <c r="H319" s="364" t="s">
        <v>1189</v>
      </c>
    </row>
    <row r="320" ht="15.75" customHeight="1">
      <c r="A320" s="364" t="s">
        <v>54</v>
      </c>
      <c r="B320" s="364" t="s">
        <v>22</v>
      </c>
      <c r="C320" s="365" t="s">
        <v>244</v>
      </c>
      <c r="D320" s="364" t="s">
        <v>245</v>
      </c>
      <c r="E320" s="366">
        <v>7.0</v>
      </c>
      <c r="F320" s="367">
        <v>45820.625</v>
      </c>
      <c r="G320" s="364" t="s">
        <v>1185</v>
      </c>
      <c r="H320" s="364" t="s">
        <v>1189</v>
      </c>
    </row>
    <row r="321" ht="15.75" customHeight="1">
      <c r="A321" s="364" t="s">
        <v>54</v>
      </c>
      <c r="B321" s="364" t="s">
        <v>22</v>
      </c>
      <c r="C321" s="365" t="s">
        <v>244</v>
      </c>
      <c r="D321" s="364" t="s">
        <v>245</v>
      </c>
      <c r="E321" s="366">
        <v>8.0</v>
      </c>
      <c r="F321" s="367">
        <v>45827.625</v>
      </c>
      <c r="G321" s="364" t="s">
        <v>1185</v>
      </c>
      <c r="H321" s="364" t="s">
        <v>1189</v>
      </c>
    </row>
    <row r="322" ht="15.75" customHeight="1">
      <c r="A322" s="364" t="s">
        <v>54</v>
      </c>
      <c r="B322" s="364" t="s">
        <v>22</v>
      </c>
      <c r="C322" s="365" t="s">
        <v>244</v>
      </c>
      <c r="D322" s="364" t="s">
        <v>245</v>
      </c>
      <c r="E322" s="366">
        <v>9.0</v>
      </c>
      <c r="F322" s="367">
        <v>45834.58333333333</v>
      </c>
      <c r="G322" s="364" t="s">
        <v>1185</v>
      </c>
      <c r="H322" s="364" t="s">
        <v>1189</v>
      </c>
    </row>
    <row r="323" ht="15.75" customHeight="1">
      <c r="A323" s="364" t="s">
        <v>54</v>
      </c>
      <c r="B323" s="364" t="s">
        <v>22</v>
      </c>
      <c r="C323" s="365" t="s">
        <v>244</v>
      </c>
      <c r="D323" s="364" t="s">
        <v>245</v>
      </c>
      <c r="E323" s="366">
        <v>10.0</v>
      </c>
      <c r="F323" s="367">
        <v>45882.54166666667</v>
      </c>
      <c r="G323" s="364" t="s">
        <v>1185</v>
      </c>
      <c r="H323" s="364" t="s">
        <v>1189</v>
      </c>
    </row>
    <row r="324" ht="15.75" customHeight="1">
      <c r="A324" s="364" t="s">
        <v>55</v>
      </c>
      <c r="B324" s="364" t="s">
        <v>22</v>
      </c>
      <c r="C324" s="365" t="s">
        <v>246</v>
      </c>
      <c r="D324" s="364" t="s">
        <v>247</v>
      </c>
      <c r="E324" s="366">
        <v>1.0</v>
      </c>
      <c r="F324" s="367">
        <v>45639.58333333333</v>
      </c>
      <c r="G324" s="364" t="s">
        <v>1187</v>
      </c>
      <c r="H324" s="364" t="s">
        <v>1190</v>
      </c>
    </row>
    <row r="325" ht="15.75" customHeight="1">
      <c r="A325" s="364" t="s">
        <v>55</v>
      </c>
      <c r="B325" s="364" t="s">
        <v>22</v>
      </c>
      <c r="C325" s="365" t="s">
        <v>246</v>
      </c>
      <c r="D325" s="364" t="s">
        <v>247</v>
      </c>
      <c r="E325" s="366">
        <v>2.0</v>
      </c>
      <c r="F325" s="367">
        <v>45665.375</v>
      </c>
      <c r="G325" s="364" t="s">
        <v>1185</v>
      </c>
      <c r="H325" s="364" t="s">
        <v>1190</v>
      </c>
    </row>
    <row r="326" ht="15.75" customHeight="1">
      <c r="A326" s="364" t="s">
        <v>55</v>
      </c>
      <c r="B326" s="364" t="s">
        <v>22</v>
      </c>
      <c r="C326" s="365" t="s">
        <v>246</v>
      </c>
      <c r="D326" s="364" t="s">
        <v>247</v>
      </c>
      <c r="E326" s="366">
        <v>3.0</v>
      </c>
      <c r="F326" s="367">
        <v>45679.41666666667</v>
      </c>
      <c r="G326" s="364" t="s">
        <v>1185</v>
      </c>
      <c r="H326" s="364" t="s">
        <v>1190</v>
      </c>
    </row>
    <row r="327" ht="15.75" customHeight="1">
      <c r="A327" s="364" t="s">
        <v>55</v>
      </c>
      <c r="B327" s="364" t="s">
        <v>22</v>
      </c>
      <c r="C327" s="365" t="s">
        <v>246</v>
      </c>
      <c r="D327" s="364" t="s">
        <v>247</v>
      </c>
      <c r="E327" s="366">
        <v>4.0</v>
      </c>
      <c r="F327" s="367">
        <v>45709.375</v>
      </c>
      <c r="G327" s="364" t="s">
        <v>1187</v>
      </c>
      <c r="H327" s="364" t="s">
        <v>1190</v>
      </c>
    </row>
    <row r="328" ht="15.75" customHeight="1">
      <c r="A328" s="364" t="s">
        <v>55</v>
      </c>
      <c r="B328" s="364" t="s">
        <v>22</v>
      </c>
      <c r="C328" s="365" t="s">
        <v>246</v>
      </c>
      <c r="D328" s="364" t="s">
        <v>247</v>
      </c>
      <c r="E328" s="366">
        <v>5.0</v>
      </c>
      <c r="F328" s="367">
        <v>45702.58333333333</v>
      </c>
      <c r="G328" s="364" t="s">
        <v>1185</v>
      </c>
      <c r="H328" s="364" t="s">
        <v>1190</v>
      </c>
    </row>
    <row r="329" ht="15.75" customHeight="1">
      <c r="A329" s="364" t="s">
        <v>55</v>
      </c>
      <c r="B329" s="364" t="s">
        <v>22</v>
      </c>
      <c r="C329" s="365" t="s">
        <v>246</v>
      </c>
      <c r="D329" s="364" t="s">
        <v>247</v>
      </c>
      <c r="E329" s="366">
        <v>6.0</v>
      </c>
      <c r="F329" s="367">
        <v>45764.375</v>
      </c>
      <c r="G329" s="364" t="s">
        <v>1187</v>
      </c>
      <c r="H329" s="364" t="s">
        <v>1190</v>
      </c>
    </row>
    <row r="330" ht="15.75" customHeight="1">
      <c r="A330" s="364" t="s">
        <v>55</v>
      </c>
      <c r="B330" s="364" t="s">
        <v>22</v>
      </c>
      <c r="C330" s="365" t="s">
        <v>246</v>
      </c>
      <c r="D330" s="364" t="s">
        <v>247</v>
      </c>
      <c r="E330" s="366">
        <v>7.0</v>
      </c>
      <c r="F330" s="367">
        <v>45716.375</v>
      </c>
      <c r="G330" s="364" t="s">
        <v>1185</v>
      </c>
      <c r="H330" s="364" t="s">
        <v>1190</v>
      </c>
    </row>
    <row r="331" ht="15.75" customHeight="1">
      <c r="A331" s="364" t="s">
        <v>55</v>
      </c>
      <c r="B331" s="364" t="s">
        <v>22</v>
      </c>
      <c r="C331" s="365" t="s">
        <v>246</v>
      </c>
      <c r="D331" s="364" t="s">
        <v>247</v>
      </c>
      <c r="E331" s="366">
        <v>8.0</v>
      </c>
      <c r="F331" s="367">
        <v>45764.375</v>
      </c>
      <c r="G331" s="364" t="s">
        <v>1185</v>
      </c>
      <c r="H331" s="364" t="s">
        <v>1190</v>
      </c>
    </row>
    <row r="332" ht="15.75" customHeight="1">
      <c r="A332" s="364" t="s">
        <v>55</v>
      </c>
      <c r="B332" s="364" t="s">
        <v>22</v>
      </c>
      <c r="C332" s="365" t="s">
        <v>246</v>
      </c>
      <c r="D332" s="364" t="s">
        <v>247</v>
      </c>
      <c r="E332" s="366">
        <v>9.0</v>
      </c>
      <c r="F332" s="367">
        <v>45792.41666666667</v>
      </c>
      <c r="G332" s="364" t="s">
        <v>1187</v>
      </c>
      <c r="H332" s="364" t="s">
        <v>1190</v>
      </c>
    </row>
    <row r="333" ht="15.75" customHeight="1">
      <c r="A333" s="364" t="s">
        <v>55</v>
      </c>
      <c r="B333" s="364" t="s">
        <v>22</v>
      </c>
      <c r="C333" s="365" t="s">
        <v>246</v>
      </c>
      <c r="D333" s="364" t="s">
        <v>247</v>
      </c>
      <c r="E333" s="366">
        <v>10.0</v>
      </c>
      <c r="F333" s="367">
        <v>45820.375</v>
      </c>
      <c r="G333" s="364" t="s">
        <v>1185</v>
      </c>
      <c r="H333" s="364" t="s">
        <v>1190</v>
      </c>
    </row>
    <row r="334" ht="15.75" customHeight="1">
      <c r="A334" s="364" t="s">
        <v>55</v>
      </c>
      <c r="B334" s="364" t="s">
        <v>22</v>
      </c>
      <c r="C334" s="365" t="s">
        <v>248</v>
      </c>
      <c r="D334" s="364" t="s">
        <v>249</v>
      </c>
      <c r="E334" s="366">
        <v>1.0</v>
      </c>
      <c r="F334" s="367">
        <v>45639.58333333333</v>
      </c>
      <c r="G334" s="364" t="s">
        <v>1185</v>
      </c>
      <c r="H334" s="364" t="s">
        <v>1190</v>
      </c>
    </row>
    <row r="335" ht="15.75" customHeight="1">
      <c r="A335" s="364" t="s">
        <v>55</v>
      </c>
      <c r="B335" s="364" t="s">
        <v>22</v>
      </c>
      <c r="C335" s="365" t="s">
        <v>248</v>
      </c>
      <c r="D335" s="364" t="s">
        <v>249</v>
      </c>
      <c r="E335" s="366">
        <v>2.0</v>
      </c>
      <c r="F335" s="367">
        <v>45672.41666666667</v>
      </c>
      <c r="G335" s="364" t="s">
        <v>1185</v>
      </c>
      <c r="H335" s="364" t="s">
        <v>1190</v>
      </c>
    </row>
    <row r="336" ht="15.75" customHeight="1">
      <c r="A336" s="364" t="s">
        <v>55</v>
      </c>
      <c r="B336" s="364" t="s">
        <v>22</v>
      </c>
      <c r="C336" s="365" t="s">
        <v>248</v>
      </c>
      <c r="D336" s="364" t="s">
        <v>249</v>
      </c>
      <c r="E336" s="366">
        <v>3.0</v>
      </c>
      <c r="F336" s="367">
        <v>45679.41666666667</v>
      </c>
      <c r="G336" s="364" t="s">
        <v>1187</v>
      </c>
      <c r="H336" s="364" t="s">
        <v>1190</v>
      </c>
    </row>
    <row r="337" ht="15.75" customHeight="1">
      <c r="A337" s="364" t="s">
        <v>55</v>
      </c>
      <c r="B337" s="364" t="s">
        <v>22</v>
      </c>
      <c r="C337" s="365" t="s">
        <v>248</v>
      </c>
      <c r="D337" s="364" t="s">
        <v>249</v>
      </c>
      <c r="E337" s="366">
        <v>4.0</v>
      </c>
      <c r="F337" s="367">
        <v>45709.375</v>
      </c>
      <c r="G337" s="364" t="s">
        <v>1187</v>
      </c>
      <c r="H337" s="364" t="s">
        <v>1190</v>
      </c>
    </row>
    <row r="338" ht="15.75" customHeight="1">
      <c r="A338" s="364" t="s">
        <v>55</v>
      </c>
      <c r="B338" s="364" t="s">
        <v>22</v>
      </c>
      <c r="C338" s="365" t="s">
        <v>248</v>
      </c>
      <c r="D338" s="364" t="s">
        <v>249</v>
      </c>
      <c r="E338" s="366">
        <v>5.0</v>
      </c>
      <c r="F338" s="367">
        <v>45716.375</v>
      </c>
      <c r="G338" s="364" t="s">
        <v>1185</v>
      </c>
      <c r="H338" s="364" t="s">
        <v>1190</v>
      </c>
    </row>
    <row r="339" ht="15.75" customHeight="1">
      <c r="A339" s="364" t="s">
        <v>55</v>
      </c>
      <c r="B339" s="364" t="s">
        <v>22</v>
      </c>
      <c r="C339" s="365" t="s">
        <v>248</v>
      </c>
      <c r="D339" s="364" t="s">
        <v>249</v>
      </c>
      <c r="E339" s="366">
        <v>6.0</v>
      </c>
      <c r="F339" s="367">
        <v>45764.375</v>
      </c>
      <c r="G339" s="364" t="s">
        <v>1185</v>
      </c>
      <c r="H339" s="364" t="s">
        <v>1190</v>
      </c>
    </row>
    <row r="340" ht="15.75" customHeight="1">
      <c r="A340" s="364" t="s">
        <v>55</v>
      </c>
      <c r="B340" s="364" t="s">
        <v>22</v>
      </c>
      <c r="C340" s="365" t="s">
        <v>248</v>
      </c>
      <c r="D340" s="364" t="s">
        <v>249</v>
      </c>
      <c r="E340" s="366">
        <v>7.0</v>
      </c>
      <c r="F340" s="367">
        <v>45769.375</v>
      </c>
      <c r="G340" s="364" t="s">
        <v>1185</v>
      </c>
      <c r="H340" s="364" t="s">
        <v>1190</v>
      </c>
    </row>
    <row r="341" ht="15.75" customHeight="1">
      <c r="A341" s="364" t="s">
        <v>55</v>
      </c>
      <c r="B341" s="364" t="s">
        <v>22</v>
      </c>
      <c r="C341" s="365" t="s">
        <v>248</v>
      </c>
      <c r="D341" s="364" t="s">
        <v>249</v>
      </c>
      <c r="E341" s="366">
        <v>8.0</v>
      </c>
      <c r="F341" s="367">
        <v>45785.41666666667</v>
      </c>
      <c r="G341" s="364" t="s">
        <v>1185</v>
      </c>
      <c r="H341" s="364" t="s">
        <v>1190</v>
      </c>
    </row>
    <row r="342" ht="15.75" customHeight="1">
      <c r="A342" s="364" t="s">
        <v>55</v>
      </c>
      <c r="B342" s="364" t="s">
        <v>22</v>
      </c>
      <c r="C342" s="365" t="s">
        <v>248</v>
      </c>
      <c r="D342" s="364" t="s">
        <v>249</v>
      </c>
      <c r="E342" s="366">
        <v>9.0</v>
      </c>
      <c r="F342" s="367">
        <v>45792.41666666667</v>
      </c>
      <c r="G342" s="364" t="s">
        <v>1187</v>
      </c>
      <c r="H342" s="364" t="s">
        <v>1190</v>
      </c>
    </row>
    <row r="343" ht="15.75" customHeight="1">
      <c r="A343" s="364" t="s">
        <v>55</v>
      </c>
      <c r="B343" s="364" t="s">
        <v>22</v>
      </c>
      <c r="C343" s="365" t="s">
        <v>248</v>
      </c>
      <c r="D343" s="364" t="s">
        <v>249</v>
      </c>
      <c r="E343" s="366">
        <v>10.0</v>
      </c>
      <c r="F343" s="367">
        <v>45820.375</v>
      </c>
      <c r="G343" s="364" t="s">
        <v>1185</v>
      </c>
      <c r="H343" s="364" t="s">
        <v>1190</v>
      </c>
    </row>
    <row r="344" ht="15.75" customHeight="1">
      <c r="A344" s="364" t="s">
        <v>55</v>
      </c>
      <c r="B344" s="364" t="s">
        <v>22</v>
      </c>
      <c r="C344" s="365" t="s">
        <v>250</v>
      </c>
      <c r="D344" s="364" t="s">
        <v>251</v>
      </c>
      <c r="E344" s="366">
        <v>1.0</v>
      </c>
      <c r="F344" s="367">
        <v>45639.58333333333</v>
      </c>
      <c r="G344" s="364" t="s">
        <v>1185</v>
      </c>
      <c r="H344" s="364" t="s">
        <v>1190</v>
      </c>
    </row>
    <row r="345" ht="15.75" customHeight="1">
      <c r="A345" s="364" t="s">
        <v>55</v>
      </c>
      <c r="B345" s="364" t="s">
        <v>22</v>
      </c>
      <c r="C345" s="365" t="s">
        <v>250</v>
      </c>
      <c r="D345" s="364" t="s">
        <v>251</v>
      </c>
      <c r="E345" s="366">
        <v>2.0</v>
      </c>
      <c r="F345" s="367">
        <v>45665.375</v>
      </c>
      <c r="G345" s="364" t="s">
        <v>1185</v>
      </c>
      <c r="H345" s="364" t="s">
        <v>1190</v>
      </c>
    </row>
    <row r="346" ht="15.75" customHeight="1">
      <c r="A346" s="364" t="s">
        <v>55</v>
      </c>
      <c r="B346" s="364" t="s">
        <v>22</v>
      </c>
      <c r="C346" s="365" t="s">
        <v>250</v>
      </c>
      <c r="D346" s="364" t="s">
        <v>251</v>
      </c>
      <c r="E346" s="366">
        <v>3.0</v>
      </c>
      <c r="F346" s="367">
        <v>45679.41666666667</v>
      </c>
      <c r="G346" s="364" t="s">
        <v>1185</v>
      </c>
      <c r="H346" s="364" t="s">
        <v>1190</v>
      </c>
    </row>
    <row r="347" ht="15.75" customHeight="1">
      <c r="A347" s="364" t="s">
        <v>55</v>
      </c>
      <c r="B347" s="364" t="s">
        <v>22</v>
      </c>
      <c r="C347" s="365" t="s">
        <v>250</v>
      </c>
      <c r="D347" s="364" t="s">
        <v>251</v>
      </c>
      <c r="E347" s="366">
        <v>4.0</v>
      </c>
      <c r="F347" s="367">
        <v>45709.375</v>
      </c>
      <c r="G347" s="364" t="s">
        <v>1185</v>
      </c>
      <c r="H347" s="364" t="s">
        <v>1190</v>
      </c>
    </row>
    <row r="348" ht="15.75" customHeight="1">
      <c r="A348" s="364" t="s">
        <v>55</v>
      </c>
      <c r="B348" s="364" t="s">
        <v>22</v>
      </c>
      <c r="C348" s="365" t="s">
        <v>250</v>
      </c>
      <c r="D348" s="364" t="s">
        <v>251</v>
      </c>
      <c r="E348" s="366">
        <v>5.0</v>
      </c>
      <c r="F348" s="367">
        <v>45702.58333333333</v>
      </c>
      <c r="G348" s="364" t="s">
        <v>1187</v>
      </c>
      <c r="H348" s="364" t="s">
        <v>1190</v>
      </c>
    </row>
    <row r="349" ht="15.75" customHeight="1">
      <c r="A349" s="364" t="s">
        <v>55</v>
      </c>
      <c r="B349" s="364" t="s">
        <v>22</v>
      </c>
      <c r="C349" s="365" t="s">
        <v>250</v>
      </c>
      <c r="D349" s="364" t="s">
        <v>251</v>
      </c>
      <c r="E349" s="366">
        <v>6.0</v>
      </c>
      <c r="F349" s="367">
        <v>45764.375</v>
      </c>
      <c r="G349" s="364" t="s">
        <v>1187</v>
      </c>
      <c r="H349" s="364" t="s">
        <v>1190</v>
      </c>
    </row>
    <row r="350" ht="15.75" customHeight="1">
      <c r="A350" s="364" t="s">
        <v>55</v>
      </c>
      <c r="B350" s="364" t="s">
        <v>22</v>
      </c>
      <c r="C350" s="365" t="s">
        <v>250</v>
      </c>
      <c r="D350" s="364" t="s">
        <v>251</v>
      </c>
      <c r="E350" s="366">
        <v>7.0</v>
      </c>
      <c r="F350" s="367">
        <v>45769.375</v>
      </c>
      <c r="G350" s="364" t="s">
        <v>1185</v>
      </c>
      <c r="H350" s="364" t="s">
        <v>1190</v>
      </c>
    </row>
    <row r="351" ht="15.75" customHeight="1">
      <c r="A351" s="364" t="s">
        <v>55</v>
      </c>
      <c r="B351" s="364" t="s">
        <v>22</v>
      </c>
      <c r="C351" s="365" t="s">
        <v>250</v>
      </c>
      <c r="D351" s="364" t="s">
        <v>251</v>
      </c>
      <c r="E351" s="366">
        <v>8.0</v>
      </c>
      <c r="F351" s="367">
        <v>45764.375</v>
      </c>
      <c r="G351" s="364" t="s">
        <v>1187</v>
      </c>
      <c r="H351" s="364" t="s">
        <v>1190</v>
      </c>
    </row>
    <row r="352" ht="15.75" customHeight="1">
      <c r="A352" s="364" t="s">
        <v>55</v>
      </c>
      <c r="B352" s="364" t="s">
        <v>22</v>
      </c>
      <c r="C352" s="365" t="s">
        <v>250</v>
      </c>
      <c r="D352" s="364" t="s">
        <v>251</v>
      </c>
      <c r="E352" s="366">
        <v>9.0</v>
      </c>
      <c r="F352" s="367">
        <v>45792.41666666667</v>
      </c>
      <c r="G352" s="364" t="s">
        <v>1185</v>
      </c>
      <c r="H352" s="364" t="s">
        <v>1190</v>
      </c>
    </row>
    <row r="353" ht="15.75" customHeight="1">
      <c r="A353" s="364" t="s">
        <v>55</v>
      </c>
      <c r="B353" s="364" t="s">
        <v>22</v>
      </c>
      <c r="C353" s="365" t="s">
        <v>250</v>
      </c>
      <c r="D353" s="364" t="s">
        <v>251</v>
      </c>
      <c r="E353" s="366">
        <v>10.0</v>
      </c>
      <c r="F353" s="367">
        <v>45820.375</v>
      </c>
      <c r="G353" s="364" t="s">
        <v>1185</v>
      </c>
      <c r="H353" s="364" t="s">
        <v>1190</v>
      </c>
    </row>
    <row r="354" ht="15.75" customHeight="1">
      <c r="A354" s="364" t="s">
        <v>55</v>
      </c>
      <c r="B354" s="364" t="s">
        <v>22</v>
      </c>
      <c r="C354" s="365" t="s">
        <v>252</v>
      </c>
      <c r="D354" s="364" t="s">
        <v>253</v>
      </c>
      <c r="E354" s="366">
        <v>1.0</v>
      </c>
      <c r="F354" s="367">
        <v>45639.58333333333</v>
      </c>
      <c r="G354" s="364" t="s">
        <v>1185</v>
      </c>
      <c r="H354" s="364" t="s">
        <v>1190</v>
      </c>
    </row>
    <row r="355" ht="15.75" customHeight="1">
      <c r="A355" s="364" t="s">
        <v>55</v>
      </c>
      <c r="B355" s="364" t="s">
        <v>22</v>
      </c>
      <c r="C355" s="365" t="s">
        <v>252</v>
      </c>
      <c r="D355" s="364" t="s">
        <v>253</v>
      </c>
      <c r="E355" s="366">
        <v>2.0</v>
      </c>
      <c r="F355" s="367">
        <v>45672.41666666667</v>
      </c>
      <c r="G355" s="364" t="s">
        <v>1185</v>
      </c>
      <c r="H355" s="364" t="s">
        <v>1190</v>
      </c>
    </row>
    <row r="356" ht="15.75" customHeight="1">
      <c r="A356" s="364" t="s">
        <v>55</v>
      </c>
      <c r="B356" s="364" t="s">
        <v>22</v>
      </c>
      <c r="C356" s="365" t="s">
        <v>252</v>
      </c>
      <c r="D356" s="364" t="s">
        <v>253</v>
      </c>
      <c r="E356" s="366">
        <v>3.0</v>
      </c>
      <c r="F356" s="367">
        <v>45702.58333333333</v>
      </c>
      <c r="G356" s="364" t="s">
        <v>1185</v>
      </c>
      <c r="H356" s="364" t="s">
        <v>1190</v>
      </c>
    </row>
    <row r="357" ht="15.75" customHeight="1">
      <c r="A357" s="364" t="s">
        <v>55</v>
      </c>
      <c r="B357" s="364" t="s">
        <v>22</v>
      </c>
      <c r="C357" s="365" t="s">
        <v>252</v>
      </c>
      <c r="D357" s="364" t="s">
        <v>253</v>
      </c>
      <c r="E357" s="366">
        <v>4.0</v>
      </c>
      <c r="F357" s="367">
        <v>45709.375</v>
      </c>
      <c r="G357" s="364" t="s">
        <v>1185</v>
      </c>
      <c r="H357" s="364" t="s">
        <v>1190</v>
      </c>
    </row>
    <row r="358" ht="15.75" customHeight="1">
      <c r="A358" s="364" t="s">
        <v>55</v>
      </c>
      <c r="B358" s="364" t="s">
        <v>22</v>
      </c>
      <c r="C358" s="365" t="s">
        <v>252</v>
      </c>
      <c r="D358" s="364" t="s">
        <v>253</v>
      </c>
      <c r="E358" s="366">
        <v>5.0</v>
      </c>
      <c r="F358" s="367">
        <v>45716.375</v>
      </c>
      <c r="G358" s="364" t="s">
        <v>1185</v>
      </c>
      <c r="H358" s="364" t="s">
        <v>1190</v>
      </c>
    </row>
    <row r="359" ht="15.75" customHeight="1">
      <c r="A359" s="364" t="s">
        <v>55</v>
      </c>
      <c r="B359" s="364" t="s">
        <v>22</v>
      </c>
      <c r="C359" s="365" t="s">
        <v>252</v>
      </c>
      <c r="D359" s="364" t="s">
        <v>253</v>
      </c>
      <c r="E359" s="366">
        <v>6.0</v>
      </c>
      <c r="F359" s="367">
        <v>45764.375</v>
      </c>
      <c r="G359" s="364" t="s">
        <v>1185</v>
      </c>
      <c r="H359" s="364" t="s">
        <v>1190</v>
      </c>
    </row>
    <row r="360" ht="15.75" customHeight="1">
      <c r="A360" s="364" t="s">
        <v>55</v>
      </c>
      <c r="B360" s="364" t="s">
        <v>22</v>
      </c>
      <c r="C360" s="365" t="s">
        <v>252</v>
      </c>
      <c r="D360" s="364" t="s">
        <v>253</v>
      </c>
      <c r="E360" s="366">
        <v>7.0</v>
      </c>
      <c r="F360" s="367">
        <v>45769.375</v>
      </c>
      <c r="G360" s="364" t="s">
        <v>1185</v>
      </c>
      <c r="H360" s="364" t="s">
        <v>1190</v>
      </c>
    </row>
    <row r="361" ht="15.75" customHeight="1">
      <c r="A361" s="364" t="s">
        <v>55</v>
      </c>
      <c r="B361" s="364" t="s">
        <v>22</v>
      </c>
      <c r="C361" s="365" t="s">
        <v>252</v>
      </c>
      <c r="D361" s="364" t="s">
        <v>253</v>
      </c>
      <c r="E361" s="366">
        <v>8.0</v>
      </c>
      <c r="F361" s="367">
        <v>45785.41666666667</v>
      </c>
      <c r="G361" s="364" t="s">
        <v>1185</v>
      </c>
      <c r="H361" s="364" t="s">
        <v>1190</v>
      </c>
    </row>
    <row r="362" ht="15.75" customHeight="1">
      <c r="A362" s="364" t="s">
        <v>55</v>
      </c>
      <c r="B362" s="364" t="s">
        <v>22</v>
      </c>
      <c r="C362" s="365" t="s">
        <v>252</v>
      </c>
      <c r="D362" s="364" t="s">
        <v>253</v>
      </c>
      <c r="E362" s="366">
        <v>9.0</v>
      </c>
      <c r="F362" s="367">
        <v>45792.41666666667</v>
      </c>
      <c r="G362" s="364" t="s">
        <v>1185</v>
      </c>
      <c r="H362" s="364" t="s">
        <v>1190</v>
      </c>
    </row>
    <row r="363" ht="15.75" customHeight="1">
      <c r="A363" s="364" t="s">
        <v>55</v>
      </c>
      <c r="B363" s="364" t="s">
        <v>22</v>
      </c>
      <c r="C363" s="365" t="s">
        <v>252</v>
      </c>
      <c r="D363" s="364" t="s">
        <v>253</v>
      </c>
      <c r="E363" s="366">
        <v>10.0</v>
      </c>
      <c r="F363" s="367">
        <v>45820.375</v>
      </c>
      <c r="G363" s="364" t="s">
        <v>1185</v>
      </c>
      <c r="H363" s="364" t="s">
        <v>1190</v>
      </c>
    </row>
    <row r="364" ht="15.75" customHeight="1">
      <c r="A364" s="364" t="s">
        <v>55</v>
      </c>
      <c r="B364" s="364" t="s">
        <v>22</v>
      </c>
      <c r="C364" s="365" t="s">
        <v>254</v>
      </c>
      <c r="D364" s="364" t="s">
        <v>255</v>
      </c>
      <c r="E364" s="366">
        <v>1.0</v>
      </c>
      <c r="F364" s="367">
        <v>45639.58333333333</v>
      </c>
      <c r="G364" s="364" t="s">
        <v>1185</v>
      </c>
      <c r="H364" s="364" t="s">
        <v>1190</v>
      </c>
    </row>
    <row r="365" ht="15.75" customHeight="1">
      <c r="A365" s="364" t="s">
        <v>55</v>
      </c>
      <c r="B365" s="364" t="s">
        <v>22</v>
      </c>
      <c r="C365" s="365" t="s">
        <v>254</v>
      </c>
      <c r="D365" s="364" t="s">
        <v>255</v>
      </c>
      <c r="E365" s="366">
        <v>2.0</v>
      </c>
      <c r="F365" s="367">
        <v>45672.41666666667</v>
      </c>
      <c r="G365" s="364" t="s">
        <v>1185</v>
      </c>
      <c r="H365" s="364" t="s">
        <v>1190</v>
      </c>
    </row>
    <row r="366" ht="15.75" customHeight="1">
      <c r="A366" s="364" t="s">
        <v>55</v>
      </c>
      <c r="B366" s="364" t="s">
        <v>22</v>
      </c>
      <c r="C366" s="365" t="s">
        <v>254</v>
      </c>
      <c r="D366" s="364" t="s">
        <v>255</v>
      </c>
      <c r="E366" s="366">
        <v>3.0</v>
      </c>
      <c r="F366" s="367">
        <v>45702.58333333333</v>
      </c>
      <c r="G366" s="364" t="s">
        <v>1185</v>
      </c>
      <c r="H366" s="364" t="s">
        <v>1190</v>
      </c>
    </row>
    <row r="367" ht="15.75" customHeight="1">
      <c r="A367" s="364" t="s">
        <v>55</v>
      </c>
      <c r="B367" s="364" t="s">
        <v>22</v>
      </c>
      <c r="C367" s="365" t="s">
        <v>254</v>
      </c>
      <c r="D367" s="364" t="s">
        <v>255</v>
      </c>
      <c r="E367" s="366">
        <v>4.0</v>
      </c>
      <c r="F367" s="367">
        <v>45709.375</v>
      </c>
      <c r="G367" s="364" t="s">
        <v>1185</v>
      </c>
      <c r="H367" s="364" t="s">
        <v>1190</v>
      </c>
    </row>
    <row r="368" ht="15.75" customHeight="1">
      <c r="A368" s="364" t="s">
        <v>55</v>
      </c>
      <c r="B368" s="364" t="s">
        <v>22</v>
      </c>
      <c r="C368" s="365" t="s">
        <v>254</v>
      </c>
      <c r="D368" s="364" t="s">
        <v>255</v>
      </c>
      <c r="E368" s="366">
        <v>5.0</v>
      </c>
      <c r="F368" s="367">
        <v>45716.375</v>
      </c>
      <c r="G368" s="364" t="s">
        <v>1185</v>
      </c>
      <c r="H368" s="364" t="s">
        <v>1190</v>
      </c>
    </row>
    <row r="369" ht="15.75" customHeight="1">
      <c r="A369" s="364" t="s">
        <v>55</v>
      </c>
      <c r="B369" s="364" t="s">
        <v>22</v>
      </c>
      <c r="C369" s="365" t="s">
        <v>254</v>
      </c>
      <c r="D369" s="364" t="s">
        <v>255</v>
      </c>
      <c r="E369" s="366">
        <v>6.0</v>
      </c>
      <c r="F369" s="367">
        <v>45764.375</v>
      </c>
      <c r="G369" s="364" t="s">
        <v>1185</v>
      </c>
      <c r="H369" s="364" t="s">
        <v>1190</v>
      </c>
    </row>
    <row r="370" ht="15.75" customHeight="1">
      <c r="A370" s="364" t="s">
        <v>55</v>
      </c>
      <c r="B370" s="364" t="s">
        <v>22</v>
      </c>
      <c r="C370" s="365" t="s">
        <v>254</v>
      </c>
      <c r="D370" s="364" t="s">
        <v>255</v>
      </c>
      <c r="E370" s="366">
        <v>7.0</v>
      </c>
      <c r="F370" s="367">
        <v>45769.375</v>
      </c>
      <c r="G370" s="364" t="s">
        <v>1185</v>
      </c>
      <c r="H370" s="364" t="s">
        <v>1190</v>
      </c>
    </row>
    <row r="371" ht="15.75" customHeight="1">
      <c r="A371" s="364" t="s">
        <v>55</v>
      </c>
      <c r="B371" s="364" t="s">
        <v>22</v>
      </c>
      <c r="C371" s="365" t="s">
        <v>254</v>
      </c>
      <c r="D371" s="364" t="s">
        <v>255</v>
      </c>
      <c r="E371" s="366">
        <v>8.0</v>
      </c>
      <c r="F371" s="367">
        <v>45785.41666666667</v>
      </c>
      <c r="G371" s="364" t="s">
        <v>1185</v>
      </c>
      <c r="H371" s="364" t="s">
        <v>1190</v>
      </c>
    </row>
    <row r="372" ht="15.75" customHeight="1">
      <c r="A372" s="364" t="s">
        <v>55</v>
      </c>
      <c r="B372" s="364" t="s">
        <v>22</v>
      </c>
      <c r="C372" s="365" t="s">
        <v>254</v>
      </c>
      <c r="D372" s="364" t="s">
        <v>255</v>
      </c>
      <c r="E372" s="366">
        <v>9.0</v>
      </c>
      <c r="F372" s="367">
        <v>45792.41666666667</v>
      </c>
      <c r="G372" s="364" t="s">
        <v>1187</v>
      </c>
      <c r="H372" s="364" t="s">
        <v>1190</v>
      </c>
    </row>
    <row r="373" ht="15.75" customHeight="1">
      <c r="A373" s="364" t="s">
        <v>55</v>
      </c>
      <c r="B373" s="364" t="s">
        <v>22</v>
      </c>
      <c r="C373" s="365" t="s">
        <v>254</v>
      </c>
      <c r="D373" s="364" t="s">
        <v>255</v>
      </c>
      <c r="E373" s="366">
        <v>10.0</v>
      </c>
      <c r="F373" s="367">
        <v>45820.375</v>
      </c>
      <c r="G373" s="364" t="s">
        <v>1185</v>
      </c>
      <c r="H373" s="364" t="s">
        <v>1190</v>
      </c>
    </row>
    <row r="374" ht="15.75" customHeight="1">
      <c r="A374" s="364" t="s">
        <v>55</v>
      </c>
      <c r="B374" s="364" t="s">
        <v>22</v>
      </c>
      <c r="C374" s="365" t="s">
        <v>258</v>
      </c>
      <c r="D374" s="364" t="s">
        <v>259</v>
      </c>
      <c r="E374" s="366">
        <v>1.0</v>
      </c>
      <c r="F374" s="367">
        <v>45639.58333333333</v>
      </c>
      <c r="G374" s="364" t="s">
        <v>1185</v>
      </c>
      <c r="H374" s="364" t="s">
        <v>1190</v>
      </c>
    </row>
    <row r="375" ht="15.75" customHeight="1">
      <c r="A375" s="364" t="s">
        <v>55</v>
      </c>
      <c r="B375" s="364" t="s">
        <v>22</v>
      </c>
      <c r="C375" s="365" t="s">
        <v>258</v>
      </c>
      <c r="D375" s="364" t="s">
        <v>259</v>
      </c>
      <c r="E375" s="366">
        <v>2.0</v>
      </c>
      <c r="F375" s="367">
        <v>45672.41666666667</v>
      </c>
      <c r="G375" s="364" t="s">
        <v>1185</v>
      </c>
      <c r="H375" s="364" t="s">
        <v>1190</v>
      </c>
    </row>
    <row r="376" ht="15.75" customHeight="1">
      <c r="A376" s="364" t="s">
        <v>55</v>
      </c>
      <c r="B376" s="364" t="s">
        <v>22</v>
      </c>
      <c r="C376" s="365" t="s">
        <v>258</v>
      </c>
      <c r="D376" s="364" t="s">
        <v>259</v>
      </c>
      <c r="E376" s="366">
        <v>3.0</v>
      </c>
      <c r="F376" s="367">
        <v>45679.41666666667</v>
      </c>
      <c r="G376" s="364" t="s">
        <v>1185</v>
      </c>
      <c r="H376" s="364" t="s">
        <v>1190</v>
      </c>
    </row>
    <row r="377" ht="15.75" customHeight="1">
      <c r="A377" s="364" t="s">
        <v>55</v>
      </c>
      <c r="B377" s="364" t="s">
        <v>22</v>
      </c>
      <c r="C377" s="365" t="s">
        <v>258</v>
      </c>
      <c r="D377" s="364" t="s">
        <v>259</v>
      </c>
      <c r="E377" s="366">
        <v>4.0</v>
      </c>
      <c r="F377" s="367">
        <v>45709.375</v>
      </c>
      <c r="G377" s="364" t="s">
        <v>1185</v>
      </c>
      <c r="H377" s="364" t="s">
        <v>1190</v>
      </c>
    </row>
    <row r="378" ht="15.75" customHeight="1">
      <c r="A378" s="364" t="s">
        <v>55</v>
      </c>
      <c r="B378" s="364" t="s">
        <v>22</v>
      </c>
      <c r="C378" s="365" t="s">
        <v>258</v>
      </c>
      <c r="D378" s="364" t="s">
        <v>259</v>
      </c>
      <c r="E378" s="366">
        <v>5.0</v>
      </c>
      <c r="F378" s="367">
        <v>45716.375</v>
      </c>
      <c r="G378" s="364" t="s">
        <v>1185</v>
      </c>
      <c r="H378" s="364" t="s">
        <v>1190</v>
      </c>
    </row>
    <row r="379" ht="15.75" customHeight="1">
      <c r="A379" s="364" t="s">
        <v>55</v>
      </c>
      <c r="B379" s="364" t="s">
        <v>22</v>
      </c>
      <c r="C379" s="365" t="s">
        <v>258</v>
      </c>
      <c r="D379" s="364" t="s">
        <v>259</v>
      </c>
      <c r="E379" s="366">
        <v>6.0</v>
      </c>
      <c r="F379" s="367">
        <v>45764.375</v>
      </c>
      <c r="G379" s="364" t="s">
        <v>1185</v>
      </c>
      <c r="H379" s="364" t="s">
        <v>1190</v>
      </c>
    </row>
    <row r="380" ht="15.75" customHeight="1">
      <c r="A380" s="364" t="s">
        <v>55</v>
      </c>
      <c r="B380" s="364" t="s">
        <v>22</v>
      </c>
      <c r="C380" s="365" t="s">
        <v>258</v>
      </c>
      <c r="D380" s="364" t="s">
        <v>259</v>
      </c>
      <c r="E380" s="366">
        <v>7.0</v>
      </c>
      <c r="F380" s="367">
        <v>45769.375</v>
      </c>
      <c r="G380" s="364" t="s">
        <v>1185</v>
      </c>
      <c r="H380" s="364" t="s">
        <v>1190</v>
      </c>
    </row>
    <row r="381" ht="15.75" customHeight="1">
      <c r="A381" s="364" t="s">
        <v>55</v>
      </c>
      <c r="B381" s="364" t="s">
        <v>22</v>
      </c>
      <c r="C381" s="365" t="s">
        <v>258</v>
      </c>
      <c r="D381" s="364" t="s">
        <v>259</v>
      </c>
      <c r="E381" s="366">
        <v>8.0</v>
      </c>
      <c r="F381" s="367">
        <v>45785.41666666667</v>
      </c>
      <c r="G381" s="364" t="s">
        <v>1185</v>
      </c>
      <c r="H381" s="364" t="s">
        <v>1190</v>
      </c>
    </row>
    <row r="382" ht="15.75" customHeight="1">
      <c r="A382" s="364" t="s">
        <v>55</v>
      </c>
      <c r="B382" s="364" t="s">
        <v>22</v>
      </c>
      <c r="C382" s="365" t="s">
        <v>258</v>
      </c>
      <c r="D382" s="364" t="s">
        <v>259</v>
      </c>
      <c r="E382" s="366">
        <v>9.0</v>
      </c>
      <c r="F382" s="367">
        <v>45792.41666666667</v>
      </c>
      <c r="G382" s="364" t="s">
        <v>1185</v>
      </c>
      <c r="H382" s="364" t="s">
        <v>1190</v>
      </c>
    </row>
    <row r="383" ht="15.75" customHeight="1">
      <c r="A383" s="364" t="s">
        <v>55</v>
      </c>
      <c r="B383" s="364" t="s">
        <v>22</v>
      </c>
      <c r="C383" s="365" t="s">
        <v>258</v>
      </c>
      <c r="D383" s="364" t="s">
        <v>259</v>
      </c>
      <c r="E383" s="366">
        <v>10.0</v>
      </c>
      <c r="F383" s="367">
        <v>45820.375</v>
      </c>
      <c r="G383" s="364" t="s">
        <v>1185</v>
      </c>
      <c r="H383" s="364" t="s">
        <v>1190</v>
      </c>
    </row>
    <row r="384" ht="15.75" customHeight="1">
      <c r="A384" s="364" t="s">
        <v>55</v>
      </c>
      <c r="B384" s="364" t="s">
        <v>22</v>
      </c>
      <c r="C384" s="365" t="s">
        <v>373</v>
      </c>
      <c r="D384" s="364" t="s">
        <v>374</v>
      </c>
      <c r="E384" s="366">
        <v>1.0</v>
      </c>
      <c r="F384" s="367">
        <v>45639.58333333333</v>
      </c>
      <c r="G384" s="364" t="s">
        <v>1185</v>
      </c>
      <c r="H384" s="364" t="s">
        <v>1190</v>
      </c>
    </row>
    <row r="385" ht="15.75" customHeight="1">
      <c r="A385" s="364" t="s">
        <v>55</v>
      </c>
      <c r="B385" s="364" t="s">
        <v>22</v>
      </c>
      <c r="C385" s="365" t="s">
        <v>373</v>
      </c>
      <c r="D385" s="364" t="s">
        <v>374</v>
      </c>
      <c r="E385" s="366">
        <v>2.0</v>
      </c>
      <c r="F385" s="367">
        <v>45672.41666666667</v>
      </c>
      <c r="G385" s="364" t="s">
        <v>1185</v>
      </c>
      <c r="H385" s="364" t="s">
        <v>1190</v>
      </c>
    </row>
    <row r="386" ht="15.75" customHeight="1">
      <c r="A386" s="364" t="s">
        <v>55</v>
      </c>
      <c r="B386" s="364" t="s">
        <v>22</v>
      </c>
      <c r="C386" s="365" t="s">
        <v>373</v>
      </c>
      <c r="D386" s="364" t="s">
        <v>374</v>
      </c>
      <c r="E386" s="366">
        <v>3.0</v>
      </c>
      <c r="F386" s="367">
        <v>45679.41666666667</v>
      </c>
      <c r="G386" s="364" t="s">
        <v>1187</v>
      </c>
      <c r="H386" s="364" t="s">
        <v>1190</v>
      </c>
    </row>
    <row r="387" ht="15.75" customHeight="1">
      <c r="A387" s="364" t="s">
        <v>55</v>
      </c>
      <c r="B387" s="364" t="s">
        <v>22</v>
      </c>
      <c r="C387" s="365" t="s">
        <v>373</v>
      </c>
      <c r="D387" s="364" t="s">
        <v>374</v>
      </c>
      <c r="E387" s="366">
        <v>4.0</v>
      </c>
      <c r="F387" s="367">
        <v>45709.375</v>
      </c>
      <c r="G387" s="364" t="s">
        <v>1185</v>
      </c>
      <c r="H387" s="364" t="s">
        <v>1190</v>
      </c>
    </row>
    <row r="388" ht="15.75" customHeight="1">
      <c r="A388" s="364" t="s">
        <v>55</v>
      </c>
      <c r="B388" s="364" t="s">
        <v>22</v>
      </c>
      <c r="C388" s="365" t="s">
        <v>373</v>
      </c>
      <c r="D388" s="364" t="s">
        <v>374</v>
      </c>
      <c r="E388" s="366">
        <v>5.0</v>
      </c>
      <c r="F388" s="367">
        <v>45716.375</v>
      </c>
      <c r="G388" s="364" t="s">
        <v>1185</v>
      </c>
      <c r="H388" s="364" t="s">
        <v>1190</v>
      </c>
    </row>
    <row r="389" ht="15.75" customHeight="1">
      <c r="A389" s="364" t="s">
        <v>55</v>
      </c>
      <c r="B389" s="364" t="s">
        <v>22</v>
      </c>
      <c r="C389" s="365" t="s">
        <v>373</v>
      </c>
      <c r="D389" s="364" t="s">
        <v>374</v>
      </c>
      <c r="E389" s="366">
        <v>6.0</v>
      </c>
      <c r="F389" s="367">
        <v>45764.375</v>
      </c>
      <c r="G389" s="364" t="s">
        <v>1185</v>
      </c>
      <c r="H389" s="364" t="s">
        <v>1190</v>
      </c>
    </row>
    <row r="390" ht="15.75" customHeight="1">
      <c r="A390" s="364" t="s">
        <v>55</v>
      </c>
      <c r="B390" s="364" t="s">
        <v>22</v>
      </c>
      <c r="C390" s="365" t="s">
        <v>373</v>
      </c>
      <c r="D390" s="364" t="s">
        <v>374</v>
      </c>
      <c r="E390" s="366">
        <v>7.0</v>
      </c>
      <c r="F390" s="367">
        <v>45769.375</v>
      </c>
      <c r="G390" s="364" t="s">
        <v>1185</v>
      </c>
      <c r="H390" s="364" t="s">
        <v>1190</v>
      </c>
    </row>
    <row r="391" ht="15.75" customHeight="1">
      <c r="A391" s="364" t="s">
        <v>55</v>
      </c>
      <c r="B391" s="364" t="s">
        <v>22</v>
      </c>
      <c r="C391" s="365" t="s">
        <v>373</v>
      </c>
      <c r="D391" s="364" t="s">
        <v>374</v>
      </c>
      <c r="E391" s="366">
        <v>8.0</v>
      </c>
      <c r="F391" s="367">
        <v>45785.41666666667</v>
      </c>
      <c r="G391" s="364" t="s">
        <v>1185</v>
      </c>
      <c r="H391" s="364" t="s">
        <v>1190</v>
      </c>
    </row>
    <row r="392" ht="15.75" customHeight="1">
      <c r="A392" s="364" t="s">
        <v>55</v>
      </c>
      <c r="B392" s="364" t="s">
        <v>22</v>
      </c>
      <c r="C392" s="365" t="s">
        <v>373</v>
      </c>
      <c r="D392" s="364" t="s">
        <v>374</v>
      </c>
      <c r="E392" s="366">
        <v>9.0</v>
      </c>
      <c r="F392" s="367">
        <v>45792.41666666667</v>
      </c>
      <c r="G392" s="364" t="s">
        <v>1185</v>
      </c>
      <c r="H392" s="364" t="s">
        <v>1190</v>
      </c>
    </row>
    <row r="393" ht="15.75" customHeight="1">
      <c r="A393" s="364" t="s">
        <v>55</v>
      </c>
      <c r="B393" s="364" t="s">
        <v>22</v>
      </c>
      <c r="C393" s="365" t="s">
        <v>373</v>
      </c>
      <c r="D393" s="364" t="s">
        <v>374</v>
      </c>
      <c r="E393" s="366">
        <v>10.0</v>
      </c>
      <c r="F393" s="367">
        <v>45820.375</v>
      </c>
      <c r="G393" s="364" t="s">
        <v>1185</v>
      </c>
      <c r="H393" s="364" t="s">
        <v>1190</v>
      </c>
    </row>
    <row r="394" ht="15.75" customHeight="1">
      <c r="A394" s="364" t="s">
        <v>55</v>
      </c>
      <c r="B394" s="364" t="s">
        <v>22</v>
      </c>
      <c r="C394" s="365" t="s">
        <v>260</v>
      </c>
      <c r="D394" s="364" t="s">
        <v>261</v>
      </c>
      <c r="E394" s="366">
        <v>1.0</v>
      </c>
      <c r="F394" s="367">
        <v>45639.58333333333</v>
      </c>
      <c r="G394" s="364" t="s">
        <v>1185</v>
      </c>
      <c r="H394" s="364" t="s">
        <v>1190</v>
      </c>
    </row>
    <row r="395" ht="15.75" customHeight="1">
      <c r="A395" s="364" t="s">
        <v>55</v>
      </c>
      <c r="B395" s="364" t="s">
        <v>22</v>
      </c>
      <c r="C395" s="365" t="s">
        <v>260</v>
      </c>
      <c r="D395" s="364" t="s">
        <v>261</v>
      </c>
      <c r="E395" s="366">
        <v>2.0</v>
      </c>
      <c r="F395" s="367">
        <v>45665.375</v>
      </c>
      <c r="G395" s="364" t="s">
        <v>1185</v>
      </c>
      <c r="H395" s="364" t="s">
        <v>1190</v>
      </c>
    </row>
    <row r="396" ht="15.75" customHeight="1">
      <c r="A396" s="364" t="s">
        <v>55</v>
      </c>
      <c r="B396" s="364" t="s">
        <v>22</v>
      </c>
      <c r="C396" s="365" t="s">
        <v>260</v>
      </c>
      <c r="D396" s="364" t="s">
        <v>261</v>
      </c>
      <c r="E396" s="366">
        <v>3.0</v>
      </c>
      <c r="F396" s="367">
        <v>45679.41666666667</v>
      </c>
      <c r="G396" s="364" t="s">
        <v>1185</v>
      </c>
      <c r="H396" s="364" t="s">
        <v>1190</v>
      </c>
    </row>
    <row r="397" ht="15.75" customHeight="1">
      <c r="A397" s="364" t="s">
        <v>55</v>
      </c>
      <c r="B397" s="364" t="s">
        <v>22</v>
      </c>
      <c r="C397" s="365" t="s">
        <v>260</v>
      </c>
      <c r="D397" s="364" t="s">
        <v>261</v>
      </c>
      <c r="E397" s="366">
        <v>4.0</v>
      </c>
      <c r="F397" s="367">
        <v>45709.375</v>
      </c>
      <c r="G397" s="364" t="s">
        <v>1185</v>
      </c>
      <c r="H397" s="364" t="s">
        <v>1190</v>
      </c>
    </row>
    <row r="398" ht="15.75" customHeight="1">
      <c r="A398" s="364" t="s">
        <v>55</v>
      </c>
      <c r="B398" s="364" t="s">
        <v>22</v>
      </c>
      <c r="C398" s="365" t="s">
        <v>260</v>
      </c>
      <c r="D398" s="364" t="s">
        <v>261</v>
      </c>
      <c r="E398" s="366">
        <v>5.0</v>
      </c>
      <c r="F398" s="367">
        <v>45702.58333333333</v>
      </c>
      <c r="G398" s="364" t="s">
        <v>1187</v>
      </c>
      <c r="H398" s="364" t="s">
        <v>1190</v>
      </c>
    </row>
    <row r="399" ht="15.75" customHeight="1">
      <c r="A399" s="364" t="s">
        <v>55</v>
      </c>
      <c r="B399" s="364" t="s">
        <v>22</v>
      </c>
      <c r="C399" s="365" t="s">
        <v>260</v>
      </c>
      <c r="D399" s="364" t="s">
        <v>261</v>
      </c>
      <c r="E399" s="366">
        <v>6.0</v>
      </c>
      <c r="F399" s="367">
        <v>45764.375</v>
      </c>
      <c r="G399" s="364" t="s">
        <v>1185</v>
      </c>
      <c r="H399" s="364" t="s">
        <v>1190</v>
      </c>
    </row>
    <row r="400" ht="15.75" customHeight="1">
      <c r="A400" s="364" t="s">
        <v>55</v>
      </c>
      <c r="B400" s="364" t="s">
        <v>22</v>
      </c>
      <c r="C400" s="365" t="s">
        <v>260</v>
      </c>
      <c r="D400" s="364" t="s">
        <v>261</v>
      </c>
      <c r="E400" s="366">
        <v>7.0</v>
      </c>
      <c r="F400" s="367">
        <v>45769.375</v>
      </c>
      <c r="G400" s="364" t="s">
        <v>1185</v>
      </c>
      <c r="H400" s="364" t="s">
        <v>1190</v>
      </c>
    </row>
    <row r="401" ht="15.75" customHeight="1">
      <c r="A401" s="364" t="s">
        <v>55</v>
      </c>
      <c r="B401" s="364" t="s">
        <v>22</v>
      </c>
      <c r="C401" s="365" t="s">
        <v>260</v>
      </c>
      <c r="D401" s="364" t="s">
        <v>261</v>
      </c>
      <c r="E401" s="366">
        <v>8.0</v>
      </c>
      <c r="F401" s="367">
        <v>45764.375</v>
      </c>
      <c r="G401" s="364" t="s">
        <v>1187</v>
      </c>
      <c r="H401" s="364" t="s">
        <v>1190</v>
      </c>
    </row>
    <row r="402" ht="15.75" customHeight="1">
      <c r="A402" s="364" t="s">
        <v>55</v>
      </c>
      <c r="B402" s="364" t="s">
        <v>22</v>
      </c>
      <c r="C402" s="365" t="s">
        <v>260</v>
      </c>
      <c r="D402" s="364" t="s">
        <v>261</v>
      </c>
      <c r="E402" s="366">
        <v>9.0</v>
      </c>
      <c r="F402" s="367">
        <v>45792.41666666667</v>
      </c>
      <c r="G402" s="364" t="s">
        <v>1185</v>
      </c>
      <c r="H402" s="364" t="s">
        <v>1190</v>
      </c>
    </row>
    <row r="403" ht="15.75" customHeight="1">
      <c r="A403" s="364" t="s">
        <v>55</v>
      </c>
      <c r="B403" s="364" t="s">
        <v>22</v>
      </c>
      <c r="C403" s="365" t="s">
        <v>260</v>
      </c>
      <c r="D403" s="364" t="s">
        <v>261</v>
      </c>
      <c r="E403" s="366">
        <v>10.0</v>
      </c>
      <c r="F403" s="367">
        <v>45820.375</v>
      </c>
      <c r="G403" s="364" t="s">
        <v>1185</v>
      </c>
      <c r="H403" s="364" t="s">
        <v>1190</v>
      </c>
    </row>
    <row r="404" ht="15.75" customHeight="1">
      <c r="A404" s="364" t="s">
        <v>55</v>
      </c>
      <c r="B404" s="364" t="s">
        <v>22</v>
      </c>
      <c r="C404" s="365" t="s">
        <v>262</v>
      </c>
      <c r="D404" s="364" t="s">
        <v>263</v>
      </c>
      <c r="E404" s="366">
        <v>1.0</v>
      </c>
      <c r="F404" s="367">
        <v>45639.58333333333</v>
      </c>
      <c r="G404" s="364" t="s">
        <v>1185</v>
      </c>
      <c r="H404" s="364" t="s">
        <v>1190</v>
      </c>
    </row>
    <row r="405" ht="15.75" customHeight="1">
      <c r="A405" s="364" t="s">
        <v>55</v>
      </c>
      <c r="B405" s="364" t="s">
        <v>22</v>
      </c>
      <c r="C405" s="365" t="s">
        <v>262</v>
      </c>
      <c r="D405" s="364" t="s">
        <v>263</v>
      </c>
      <c r="E405" s="366">
        <v>2.0</v>
      </c>
      <c r="F405" s="367">
        <v>45672.41666666667</v>
      </c>
      <c r="G405" s="364" t="s">
        <v>1185</v>
      </c>
      <c r="H405" s="364" t="s">
        <v>1190</v>
      </c>
    </row>
    <row r="406" ht="15.75" customHeight="1">
      <c r="A406" s="364" t="s">
        <v>55</v>
      </c>
      <c r="B406" s="364" t="s">
        <v>22</v>
      </c>
      <c r="C406" s="365" t="s">
        <v>262</v>
      </c>
      <c r="D406" s="364" t="s">
        <v>263</v>
      </c>
      <c r="E406" s="366">
        <v>3.0</v>
      </c>
      <c r="F406" s="367">
        <v>45702.58333333333</v>
      </c>
      <c r="G406" s="364" t="s">
        <v>1185</v>
      </c>
      <c r="H406" s="364" t="s">
        <v>1190</v>
      </c>
    </row>
    <row r="407" ht="15.75" customHeight="1">
      <c r="A407" s="364" t="s">
        <v>55</v>
      </c>
      <c r="B407" s="364" t="s">
        <v>22</v>
      </c>
      <c r="C407" s="365" t="s">
        <v>262</v>
      </c>
      <c r="D407" s="364" t="s">
        <v>263</v>
      </c>
      <c r="E407" s="366">
        <v>4.0</v>
      </c>
      <c r="F407" s="367">
        <v>45709.375</v>
      </c>
      <c r="G407" s="364" t="s">
        <v>1185</v>
      </c>
      <c r="H407" s="364" t="s">
        <v>1190</v>
      </c>
    </row>
    <row r="408" ht="15.75" customHeight="1">
      <c r="A408" s="364" t="s">
        <v>55</v>
      </c>
      <c r="B408" s="364" t="s">
        <v>22</v>
      </c>
      <c r="C408" s="365" t="s">
        <v>262</v>
      </c>
      <c r="D408" s="364" t="s">
        <v>263</v>
      </c>
      <c r="E408" s="366">
        <v>5.0</v>
      </c>
      <c r="F408" s="367">
        <v>45716.375</v>
      </c>
      <c r="G408" s="364" t="s">
        <v>1185</v>
      </c>
      <c r="H408" s="364" t="s">
        <v>1190</v>
      </c>
    </row>
    <row r="409" ht="15.75" customHeight="1">
      <c r="A409" s="364" t="s">
        <v>55</v>
      </c>
      <c r="B409" s="364" t="s">
        <v>22</v>
      </c>
      <c r="C409" s="365" t="s">
        <v>262</v>
      </c>
      <c r="D409" s="364" t="s">
        <v>263</v>
      </c>
      <c r="E409" s="366">
        <v>6.0</v>
      </c>
      <c r="F409" s="367">
        <v>45764.375</v>
      </c>
      <c r="G409" s="364" t="s">
        <v>1185</v>
      </c>
      <c r="H409" s="364" t="s">
        <v>1190</v>
      </c>
    </row>
    <row r="410" ht="15.75" customHeight="1">
      <c r="A410" s="364" t="s">
        <v>55</v>
      </c>
      <c r="B410" s="364" t="s">
        <v>22</v>
      </c>
      <c r="C410" s="365" t="s">
        <v>262</v>
      </c>
      <c r="D410" s="364" t="s">
        <v>263</v>
      </c>
      <c r="E410" s="366">
        <v>7.0</v>
      </c>
      <c r="F410" s="367">
        <v>45716.375</v>
      </c>
      <c r="G410" s="364" t="s">
        <v>1187</v>
      </c>
      <c r="H410" s="364" t="s">
        <v>1190</v>
      </c>
    </row>
    <row r="411" ht="15.75" customHeight="1">
      <c r="A411" s="364" t="s">
        <v>55</v>
      </c>
      <c r="B411" s="364" t="s">
        <v>22</v>
      </c>
      <c r="C411" s="365" t="s">
        <v>262</v>
      </c>
      <c r="D411" s="364" t="s">
        <v>263</v>
      </c>
      <c r="E411" s="366">
        <v>8.0</v>
      </c>
      <c r="F411" s="367">
        <v>45785.41666666667</v>
      </c>
      <c r="G411" s="364" t="s">
        <v>1185</v>
      </c>
      <c r="H411" s="364" t="s">
        <v>1190</v>
      </c>
    </row>
    <row r="412" ht="15.75" customHeight="1">
      <c r="A412" s="364" t="s">
        <v>55</v>
      </c>
      <c r="B412" s="364" t="s">
        <v>22</v>
      </c>
      <c r="C412" s="365" t="s">
        <v>262</v>
      </c>
      <c r="D412" s="364" t="s">
        <v>263</v>
      </c>
      <c r="E412" s="366">
        <v>9.0</v>
      </c>
      <c r="F412" s="367">
        <v>45792.41666666667</v>
      </c>
      <c r="G412" s="364" t="s">
        <v>1185</v>
      </c>
      <c r="H412" s="364" t="s">
        <v>1190</v>
      </c>
    </row>
    <row r="413" ht="15.75" customHeight="1">
      <c r="A413" s="364" t="s">
        <v>55</v>
      </c>
      <c r="B413" s="364" t="s">
        <v>22</v>
      </c>
      <c r="C413" s="365" t="s">
        <v>262</v>
      </c>
      <c r="D413" s="364" t="s">
        <v>263</v>
      </c>
      <c r="E413" s="366">
        <v>10.0</v>
      </c>
      <c r="F413" s="367">
        <v>45820.375</v>
      </c>
      <c r="G413" s="364" t="s">
        <v>1185</v>
      </c>
      <c r="H413" s="364" t="s">
        <v>1190</v>
      </c>
    </row>
    <row r="414" ht="15.75" customHeight="1">
      <c r="A414" s="364" t="s">
        <v>55</v>
      </c>
      <c r="B414" s="364" t="s">
        <v>23</v>
      </c>
      <c r="C414" s="365" t="s">
        <v>246</v>
      </c>
      <c r="D414" s="364" t="s">
        <v>247</v>
      </c>
      <c r="E414" s="366">
        <v>1.0</v>
      </c>
      <c r="F414" s="367">
        <v>45869.58333333333</v>
      </c>
      <c r="G414" s="364" t="s">
        <v>1185</v>
      </c>
      <c r="H414" s="364" t="s">
        <v>1190</v>
      </c>
    </row>
    <row r="415" ht="15.75" customHeight="1">
      <c r="A415" s="364" t="s">
        <v>55</v>
      </c>
      <c r="B415" s="364" t="s">
        <v>23</v>
      </c>
      <c r="C415" s="365" t="s">
        <v>246</v>
      </c>
      <c r="D415" s="364" t="s">
        <v>247</v>
      </c>
      <c r="E415" s="366">
        <v>2.0</v>
      </c>
      <c r="F415" s="367">
        <v>45881.375</v>
      </c>
      <c r="G415" s="364" t="s">
        <v>1185</v>
      </c>
      <c r="H415" s="364" t="s">
        <v>1190</v>
      </c>
    </row>
    <row r="416" ht="15.75" customHeight="1">
      <c r="A416" s="364" t="s">
        <v>55</v>
      </c>
      <c r="B416" s="364" t="s">
        <v>23</v>
      </c>
      <c r="C416" s="365" t="s">
        <v>246</v>
      </c>
      <c r="D416" s="364" t="s">
        <v>247</v>
      </c>
      <c r="E416" s="366">
        <v>3.0</v>
      </c>
      <c r="F416" s="367">
        <v>45890.375</v>
      </c>
      <c r="G416" s="364" t="s">
        <v>1185</v>
      </c>
      <c r="H416" s="364" t="s">
        <v>1190</v>
      </c>
    </row>
    <row r="417" ht="15.75" customHeight="1">
      <c r="A417" s="364" t="s">
        <v>55</v>
      </c>
      <c r="B417" s="364" t="s">
        <v>23</v>
      </c>
      <c r="C417" s="365" t="s">
        <v>246</v>
      </c>
      <c r="D417" s="364" t="s">
        <v>247</v>
      </c>
      <c r="E417" s="366">
        <v>4.0</v>
      </c>
      <c r="F417" s="367">
        <v>45897.625</v>
      </c>
      <c r="G417" s="364" t="s">
        <v>1185</v>
      </c>
      <c r="H417" s="364" t="s">
        <v>1190</v>
      </c>
    </row>
    <row r="418" ht="15.75" customHeight="1">
      <c r="A418" s="364" t="s">
        <v>55</v>
      </c>
      <c r="B418" s="364" t="s">
        <v>23</v>
      </c>
      <c r="C418" s="365" t="s">
        <v>246</v>
      </c>
      <c r="D418" s="364" t="s">
        <v>247</v>
      </c>
      <c r="E418" s="366">
        <v>5.0</v>
      </c>
      <c r="F418" s="367">
        <v>45904.375</v>
      </c>
      <c r="G418" s="364" t="s">
        <v>1187</v>
      </c>
      <c r="H418" s="364" t="s">
        <v>1190</v>
      </c>
    </row>
    <row r="419" ht="15.75" customHeight="1">
      <c r="A419" s="364" t="s">
        <v>55</v>
      </c>
      <c r="B419" s="364" t="s">
        <v>23</v>
      </c>
      <c r="C419" s="365" t="s">
        <v>246</v>
      </c>
      <c r="D419" s="364" t="s">
        <v>247</v>
      </c>
      <c r="E419" s="366">
        <v>6.0</v>
      </c>
      <c r="F419" s="367">
        <v>45909.375</v>
      </c>
      <c r="G419" s="364" t="s">
        <v>1185</v>
      </c>
      <c r="H419" s="364" t="s">
        <v>1190</v>
      </c>
    </row>
    <row r="420" ht="15.75" customHeight="1">
      <c r="A420" s="364" t="s">
        <v>55</v>
      </c>
      <c r="B420" s="364" t="s">
        <v>23</v>
      </c>
      <c r="C420" s="365" t="s">
        <v>246</v>
      </c>
      <c r="D420" s="364" t="s">
        <v>247</v>
      </c>
      <c r="E420" s="366">
        <v>7.0</v>
      </c>
      <c r="F420" s="367">
        <v>45917.375</v>
      </c>
      <c r="G420" s="364" t="s">
        <v>1185</v>
      </c>
      <c r="H420" s="364" t="s">
        <v>1190</v>
      </c>
    </row>
    <row r="421" ht="15.75" customHeight="1">
      <c r="A421" s="364" t="s">
        <v>55</v>
      </c>
      <c r="B421" s="364" t="s">
        <v>23</v>
      </c>
      <c r="C421" s="365" t="s">
        <v>246</v>
      </c>
      <c r="D421" s="364" t="s">
        <v>247</v>
      </c>
      <c r="E421" s="366">
        <v>8.0</v>
      </c>
      <c r="F421" s="367">
        <v>45923.375</v>
      </c>
      <c r="G421" s="364" t="s">
        <v>1187</v>
      </c>
      <c r="H421" s="364" t="s">
        <v>1190</v>
      </c>
    </row>
    <row r="422" ht="15.75" customHeight="1">
      <c r="A422" s="364" t="s">
        <v>55</v>
      </c>
      <c r="B422" s="364" t="s">
        <v>23</v>
      </c>
      <c r="C422" s="365" t="s">
        <v>246</v>
      </c>
      <c r="D422" s="364" t="s">
        <v>247</v>
      </c>
      <c r="E422" s="366">
        <v>9.0</v>
      </c>
      <c r="F422" s="367">
        <v>45932.375</v>
      </c>
      <c r="G422" s="364" t="s">
        <v>1187</v>
      </c>
      <c r="H422" s="364" t="s">
        <v>1190</v>
      </c>
    </row>
    <row r="423" ht="15.75" customHeight="1">
      <c r="A423" s="364" t="s">
        <v>55</v>
      </c>
      <c r="B423" s="364" t="s">
        <v>23</v>
      </c>
      <c r="C423" s="365" t="s">
        <v>246</v>
      </c>
      <c r="D423" s="364" t="s">
        <v>247</v>
      </c>
      <c r="E423" s="366">
        <v>10.0</v>
      </c>
      <c r="F423" s="367">
        <v>45939.375</v>
      </c>
      <c r="G423" s="364" t="s">
        <v>1185</v>
      </c>
      <c r="H423" s="364" t="s">
        <v>1190</v>
      </c>
    </row>
    <row r="424" ht="15.75" customHeight="1">
      <c r="A424" s="364" t="s">
        <v>55</v>
      </c>
      <c r="B424" s="364" t="s">
        <v>23</v>
      </c>
      <c r="C424" s="365" t="s">
        <v>246</v>
      </c>
      <c r="D424" s="364" t="s">
        <v>247</v>
      </c>
      <c r="E424" s="366">
        <v>11.0</v>
      </c>
      <c r="F424" s="367">
        <v>45944.41666666667</v>
      </c>
      <c r="G424" s="364" t="s">
        <v>1187</v>
      </c>
      <c r="H424" s="364" t="s">
        <v>1190</v>
      </c>
    </row>
    <row r="425" ht="15.75" customHeight="1">
      <c r="A425" s="364" t="s">
        <v>55</v>
      </c>
      <c r="B425" s="364" t="s">
        <v>23</v>
      </c>
      <c r="C425" s="365" t="s">
        <v>246</v>
      </c>
      <c r="D425" s="364" t="s">
        <v>247</v>
      </c>
      <c r="E425" s="366">
        <v>12.0</v>
      </c>
      <c r="F425" s="367">
        <v>45966.41666666667</v>
      </c>
      <c r="G425" s="364" t="s">
        <v>1185</v>
      </c>
      <c r="H425" s="364" t="s">
        <v>1190</v>
      </c>
    </row>
    <row r="426" ht="15.75" customHeight="1">
      <c r="A426" s="364" t="s">
        <v>55</v>
      </c>
      <c r="B426" s="364" t="s">
        <v>23</v>
      </c>
      <c r="C426" s="365" t="s">
        <v>246</v>
      </c>
      <c r="D426" s="364" t="s">
        <v>247</v>
      </c>
      <c r="E426" s="366">
        <v>13.0</v>
      </c>
      <c r="F426" s="367">
        <v>46007.41666666667</v>
      </c>
      <c r="G426" s="364" t="s">
        <v>1187</v>
      </c>
      <c r="H426" s="364" t="s">
        <v>1190</v>
      </c>
    </row>
    <row r="427" ht="15.75" customHeight="1">
      <c r="A427" s="364" t="s">
        <v>55</v>
      </c>
      <c r="B427" s="364" t="s">
        <v>23</v>
      </c>
      <c r="C427" s="365" t="s">
        <v>246</v>
      </c>
      <c r="D427" s="364" t="s">
        <v>247</v>
      </c>
      <c r="E427" s="366">
        <v>14.0</v>
      </c>
      <c r="F427" s="367">
        <v>46021.41666666667</v>
      </c>
      <c r="G427" s="364" t="s">
        <v>1187</v>
      </c>
      <c r="H427" s="364" t="s">
        <v>1190</v>
      </c>
    </row>
    <row r="428" ht="15.75" customHeight="1">
      <c r="A428" s="364" t="s">
        <v>55</v>
      </c>
      <c r="B428" s="364" t="s">
        <v>23</v>
      </c>
      <c r="C428" s="365" t="s">
        <v>246</v>
      </c>
      <c r="D428" s="364" t="s">
        <v>247</v>
      </c>
      <c r="E428" s="366">
        <v>15.0</v>
      </c>
      <c r="F428" s="367">
        <v>46035.41666666667</v>
      </c>
      <c r="G428" s="364" t="s">
        <v>1185</v>
      </c>
      <c r="H428" s="364" t="s">
        <v>1190</v>
      </c>
    </row>
    <row r="429" ht="15.75" customHeight="1">
      <c r="A429" s="364" t="s">
        <v>55</v>
      </c>
      <c r="B429" s="364" t="s">
        <v>23</v>
      </c>
      <c r="C429" s="365" t="s">
        <v>246</v>
      </c>
      <c r="D429" s="364" t="s">
        <v>247</v>
      </c>
      <c r="E429" s="366">
        <v>16.0</v>
      </c>
      <c r="F429" s="367">
        <v>46084.41666666667</v>
      </c>
      <c r="G429" s="364" t="s">
        <v>1185</v>
      </c>
      <c r="H429" s="364" t="s">
        <v>1190</v>
      </c>
    </row>
    <row r="430" ht="15.75" customHeight="1">
      <c r="A430" s="364" t="s">
        <v>55</v>
      </c>
      <c r="B430" s="364" t="s">
        <v>23</v>
      </c>
      <c r="C430" s="365" t="s">
        <v>248</v>
      </c>
      <c r="D430" s="364" t="s">
        <v>249</v>
      </c>
      <c r="E430" s="366">
        <v>1.0</v>
      </c>
      <c r="F430" s="367">
        <v>45869.58333333333</v>
      </c>
      <c r="G430" s="364" t="s">
        <v>1185</v>
      </c>
      <c r="H430" s="364" t="s">
        <v>1190</v>
      </c>
    </row>
    <row r="431" ht="15.75" customHeight="1">
      <c r="A431" s="364" t="s">
        <v>55</v>
      </c>
      <c r="B431" s="364" t="s">
        <v>23</v>
      </c>
      <c r="C431" s="365" t="s">
        <v>248</v>
      </c>
      <c r="D431" s="364" t="s">
        <v>249</v>
      </c>
      <c r="E431" s="366">
        <v>2.0</v>
      </c>
      <c r="F431" s="367">
        <v>45881.375</v>
      </c>
      <c r="G431" s="364" t="s">
        <v>1185</v>
      </c>
      <c r="H431" s="364" t="s">
        <v>1190</v>
      </c>
    </row>
    <row r="432" ht="15.75" customHeight="1">
      <c r="A432" s="364" t="s">
        <v>55</v>
      </c>
      <c r="B432" s="364" t="s">
        <v>23</v>
      </c>
      <c r="C432" s="365" t="s">
        <v>248</v>
      </c>
      <c r="D432" s="364" t="s">
        <v>249</v>
      </c>
      <c r="E432" s="366">
        <v>3.0</v>
      </c>
      <c r="F432" s="367">
        <v>45890.375</v>
      </c>
      <c r="G432" s="364" t="s">
        <v>1187</v>
      </c>
      <c r="H432" s="364" t="s">
        <v>1190</v>
      </c>
    </row>
    <row r="433" ht="15.75" customHeight="1">
      <c r="A433" s="364" t="s">
        <v>55</v>
      </c>
      <c r="B433" s="364" t="s">
        <v>23</v>
      </c>
      <c r="C433" s="365" t="s">
        <v>248</v>
      </c>
      <c r="D433" s="364" t="s">
        <v>249</v>
      </c>
      <c r="E433" s="366">
        <v>4.0</v>
      </c>
      <c r="F433" s="367">
        <v>45897.625</v>
      </c>
      <c r="G433" s="364" t="s">
        <v>1185</v>
      </c>
      <c r="H433" s="364" t="s">
        <v>1190</v>
      </c>
    </row>
    <row r="434" ht="15.75" customHeight="1">
      <c r="A434" s="364" t="s">
        <v>55</v>
      </c>
      <c r="B434" s="364" t="s">
        <v>23</v>
      </c>
      <c r="C434" s="365" t="s">
        <v>248</v>
      </c>
      <c r="D434" s="364" t="s">
        <v>249</v>
      </c>
      <c r="E434" s="366">
        <v>5.0</v>
      </c>
      <c r="F434" s="367">
        <v>45904.375</v>
      </c>
      <c r="G434" s="364" t="s">
        <v>1187</v>
      </c>
      <c r="H434" s="364" t="s">
        <v>1190</v>
      </c>
    </row>
    <row r="435" ht="15.75" customHeight="1">
      <c r="A435" s="364" t="s">
        <v>55</v>
      </c>
      <c r="B435" s="364" t="s">
        <v>23</v>
      </c>
      <c r="C435" s="365" t="s">
        <v>248</v>
      </c>
      <c r="D435" s="364" t="s">
        <v>249</v>
      </c>
      <c r="E435" s="366">
        <v>6.0</v>
      </c>
      <c r="F435" s="367">
        <v>45909.375</v>
      </c>
      <c r="G435" s="364" t="s">
        <v>1185</v>
      </c>
      <c r="H435" s="364" t="s">
        <v>1190</v>
      </c>
    </row>
    <row r="436" ht="15.75" customHeight="1">
      <c r="A436" s="364" t="s">
        <v>55</v>
      </c>
      <c r="B436" s="364" t="s">
        <v>23</v>
      </c>
      <c r="C436" s="365" t="s">
        <v>248</v>
      </c>
      <c r="D436" s="364" t="s">
        <v>249</v>
      </c>
      <c r="E436" s="366">
        <v>7.0</v>
      </c>
      <c r="F436" s="367">
        <v>45917.375</v>
      </c>
      <c r="G436" s="364" t="s">
        <v>1185</v>
      </c>
      <c r="H436" s="364" t="s">
        <v>1190</v>
      </c>
    </row>
    <row r="437" ht="15.75" customHeight="1">
      <c r="A437" s="364" t="s">
        <v>55</v>
      </c>
      <c r="B437" s="364" t="s">
        <v>23</v>
      </c>
      <c r="C437" s="365" t="s">
        <v>248</v>
      </c>
      <c r="D437" s="364" t="s">
        <v>249</v>
      </c>
      <c r="E437" s="366">
        <v>8.0</v>
      </c>
      <c r="F437" s="367">
        <v>45923.375</v>
      </c>
      <c r="G437" s="364" t="s">
        <v>1185</v>
      </c>
      <c r="H437" s="364" t="s">
        <v>1190</v>
      </c>
    </row>
    <row r="438" ht="15.75" customHeight="1">
      <c r="A438" s="364" t="s">
        <v>55</v>
      </c>
      <c r="B438" s="364" t="s">
        <v>23</v>
      </c>
      <c r="C438" s="365" t="s">
        <v>248</v>
      </c>
      <c r="D438" s="364" t="s">
        <v>249</v>
      </c>
      <c r="E438" s="366">
        <v>9.0</v>
      </c>
      <c r="F438" s="367">
        <v>45932.375</v>
      </c>
      <c r="G438" s="364" t="s">
        <v>1187</v>
      </c>
      <c r="H438" s="364" t="s">
        <v>1190</v>
      </c>
    </row>
    <row r="439" ht="15.75" customHeight="1">
      <c r="A439" s="364" t="s">
        <v>55</v>
      </c>
      <c r="B439" s="364" t="s">
        <v>23</v>
      </c>
      <c r="C439" s="365" t="s">
        <v>248</v>
      </c>
      <c r="D439" s="364" t="s">
        <v>249</v>
      </c>
      <c r="E439" s="366">
        <v>10.0</v>
      </c>
      <c r="F439" s="367">
        <v>45939.375</v>
      </c>
      <c r="G439" s="364" t="s">
        <v>1185</v>
      </c>
      <c r="H439" s="364" t="s">
        <v>1190</v>
      </c>
    </row>
    <row r="440" ht="15.75" customHeight="1">
      <c r="A440" s="364" t="s">
        <v>55</v>
      </c>
      <c r="B440" s="364" t="s">
        <v>23</v>
      </c>
      <c r="C440" s="365" t="s">
        <v>248</v>
      </c>
      <c r="D440" s="364" t="s">
        <v>249</v>
      </c>
      <c r="E440" s="366">
        <v>11.0</v>
      </c>
      <c r="F440" s="367">
        <v>45944.41666666667</v>
      </c>
      <c r="G440" s="364" t="s">
        <v>1185</v>
      </c>
      <c r="H440" s="364" t="s">
        <v>1190</v>
      </c>
    </row>
    <row r="441" ht="15.75" customHeight="1">
      <c r="A441" s="364" t="s">
        <v>55</v>
      </c>
      <c r="B441" s="364" t="s">
        <v>23</v>
      </c>
      <c r="C441" s="365" t="s">
        <v>248</v>
      </c>
      <c r="D441" s="364" t="s">
        <v>249</v>
      </c>
      <c r="E441" s="366">
        <v>12.0</v>
      </c>
      <c r="F441" s="367">
        <v>45966.41666666667</v>
      </c>
      <c r="G441" s="364" t="s">
        <v>1187</v>
      </c>
      <c r="H441" s="364" t="s">
        <v>1190</v>
      </c>
    </row>
    <row r="442" ht="15.75" customHeight="1">
      <c r="A442" s="364" t="s">
        <v>55</v>
      </c>
      <c r="B442" s="364" t="s">
        <v>23</v>
      </c>
      <c r="C442" s="365" t="s">
        <v>248</v>
      </c>
      <c r="D442" s="364" t="s">
        <v>249</v>
      </c>
      <c r="E442" s="366">
        <v>13.0</v>
      </c>
      <c r="F442" s="367">
        <v>46007.41666666667</v>
      </c>
      <c r="G442" s="364" t="s">
        <v>1185</v>
      </c>
      <c r="H442" s="364" t="s">
        <v>1190</v>
      </c>
    </row>
    <row r="443" ht="15.75" customHeight="1">
      <c r="A443" s="364" t="s">
        <v>55</v>
      </c>
      <c r="B443" s="364" t="s">
        <v>23</v>
      </c>
      <c r="C443" s="365" t="s">
        <v>248</v>
      </c>
      <c r="D443" s="364" t="s">
        <v>249</v>
      </c>
      <c r="E443" s="366">
        <v>14.0</v>
      </c>
      <c r="F443" s="367">
        <v>46021.41666666667</v>
      </c>
      <c r="G443" s="364" t="s">
        <v>1187</v>
      </c>
      <c r="H443" s="364" t="s">
        <v>1190</v>
      </c>
    </row>
    <row r="444" ht="15.75" customHeight="1">
      <c r="A444" s="364" t="s">
        <v>55</v>
      </c>
      <c r="B444" s="364" t="s">
        <v>23</v>
      </c>
      <c r="C444" s="365" t="s">
        <v>248</v>
      </c>
      <c r="D444" s="364" t="s">
        <v>249</v>
      </c>
      <c r="E444" s="366">
        <v>15.0</v>
      </c>
      <c r="F444" s="367">
        <v>46035.41666666667</v>
      </c>
      <c r="G444" s="364" t="s">
        <v>1185</v>
      </c>
      <c r="H444" s="364" t="s">
        <v>1190</v>
      </c>
    </row>
    <row r="445" ht="15.75" customHeight="1">
      <c r="A445" s="364" t="s">
        <v>55</v>
      </c>
      <c r="B445" s="364" t="s">
        <v>23</v>
      </c>
      <c r="C445" s="365" t="s">
        <v>248</v>
      </c>
      <c r="D445" s="364" t="s">
        <v>249</v>
      </c>
      <c r="E445" s="366">
        <v>16.0</v>
      </c>
      <c r="F445" s="367">
        <v>46084.41666666667</v>
      </c>
      <c r="G445" s="364" t="s">
        <v>1185</v>
      </c>
      <c r="H445" s="364" t="s">
        <v>1190</v>
      </c>
    </row>
    <row r="446" ht="15.75" customHeight="1">
      <c r="A446" s="364" t="s">
        <v>55</v>
      </c>
      <c r="B446" s="364" t="s">
        <v>23</v>
      </c>
      <c r="C446" s="365" t="s">
        <v>250</v>
      </c>
      <c r="D446" s="364" t="s">
        <v>251</v>
      </c>
      <c r="E446" s="366">
        <v>1.0</v>
      </c>
      <c r="F446" s="367">
        <v>45869.58333333333</v>
      </c>
      <c r="G446" s="364" t="s">
        <v>1185</v>
      </c>
      <c r="H446" s="364" t="s">
        <v>1190</v>
      </c>
    </row>
    <row r="447" ht="15.75" customHeight="1">
      <c r="A447" s="364" t="s">
        <v>55</v>
      </c>
      <c r="B447" s="364" t="s">
        <v>23</v>
      </c>
      <c r="C447" s="365" t="s">
        <v>250</v>
      </c>
      <c r="D447" s="364" t="s">
        <v>251</v>
      </c>
      <c r="E447" s="366">
        <v>2.0</v>
      </c>
      <c r="F447" s="367">
        <v>45881.375</v>
      </c>
      <c r="G447" s="364" t="s">
        <v>1185</v>
      </c>
      <c r="H447" s="364" t="s">
        <v>1190</v>
      </c>
    </row>
    <row r="448" ht="15.75" customHeight="1">
      <c r="A448" s="364" t="s">
        <v>55</v>
      </c>
      <c r="B448" s="364" t="s">
        <v>23</v>
      </c>
      <c r="C448" s="365" t="s">
        <v>250</v>
      </c>
      <c r="D448" s="364" t="s">
        <v>251</v>
      </c>
      <c r="E448" s="366">
        <v>3.0</v>
      </c>
      <c r="F448" s="367">
        <v>45890.375</v>
      </c>
      <c r="G448" s="364" t="s">
        <v>1187</v>
      </c>
      <c r="H448" s="364" t="s">
        <v>1190</v>
      </c>
    </row>
    <row r="449" ht="15.75" customHeight="1">
      <c r="A449" s="364" t="s">
        <v>55</v>
      </c>
      <c r="B449" s="364" t="s">
        <v>23</v>
      </c>
      <c r="C449" s="365" t="s">
        <v>250</v>
      </c>
      <c r="D449" s="364" t="s">
        <v>251</v>
      </c>
      <c r="E449" s="366">
        <v>4.0</v>
      </c>
      <c r="F449" s="367">
        <v>45897.625</v>
      </c>
      <c r="G449" s="364" t="s">
        <v>1187</v>
      </c>
      <c r="H449" s="364" t="s">
        <v>1190</v>
      </c>
    </row>
    <row r="450" ht="15.75" customHeight="1">
      <c r="A450" s="364" t="s">
        <v>55</v>
      </c>
      <c r="B450" s="364" t="s">
        <v>23</v>
      </c>
      <c r="C450" s="365" t="s">
        <v>250</v>
      </c>
      <c r="D450" s="364" t="s">
        <v>251</v>
      </c>
      <c r="E450" s="366">
        <v>5.0</v>
      </c>
      <c r="F450" s="367">
        <v>45904.375</v>
      </c>
      <c r="G450" s="364" t="s">
        <v>1185</v>
      </c>
      <c r="H450" s="364" t="s">
        <v>1190</v>
      </c>
    </row>
    <row r="451" ht="15.75" customHeight="1">
      <c r="A451" s="364" t="s">
        <v>55</v>
      </c>
      <c r="B451" s="364" t="s">
        <v>23</v>
      </c>
      <c r="C451" s="365" t="s">
        <v>250</v>
      </c>
      <c r="D451" s="364" t="s">
        <v>251</v>
      </c>
      <c r="E451" s="366">
        <v>6.0</v>
      </c>
      <c r="F451" s="367">
        <v>45909.375</v>
      </c>
      <c r="G451" s="364" t="s">
        <v>1185</v>
      </c>
      <c r="H451" s="364" t="s">
        <v>1190</v>
      </c>
    </row>
    <row r="452" ht="15.75" customHeight="1">
      <c r="A452" s="364" t="s">
        <v>55</v>
      </c>
      <c r="B452" s="364" t="s">
        <v>23</v>
      </c>
      <c r="C452" s="365" t="s">
        <v>250</v>
      </c>
      <c r="D452" s="364" t="s">
        <v>251</v>
      </c>
      <c r="E452" s="366">
        <v>7.0</v>
      </c>
      <c r="F452" s="367">
        <v>45917.375</v>
      </c>
      <c r="G452" s="364" t="s">
        <v>1185</v>
      </c>
      <c r="H452" s="364" t="s">
        <v>1190</v>
      </c>
    </row>
    <row r="453" ht="15.75" customHeight="1">
      <c r="A453" s="364" t="s">
        <v>55</v>
      </c>
      <c r="B453" s="364" t="s">
        <v>23</v>
      </c>
      <c r="C453" s="365" t="s">
        <v>250</v>
      </c>
      <c r="D453" s="364" t="s">
        <v>251</v>
      </c>
      <c r="E453" s="366">
        <v>8.0</v>
      </c>
      <c r="F453" s="367">
        <v>45923.375</v>
      </c>
      <c r="G453" s="364" t="s">
        <v>1185</v>
      </c>
      <c r="H453" s="364" t="s">
        <v>1190</v>
      </c>
    </row>
    <row r="454" ht="15.75" customHeight="1">
      <c r="A454" s="364" t="s">
        <v>55</v>
      </c>
      <c r="B454" s="364" t="s">
        <v>23</v>
      </c>
      <c r="C454" s="365" t="s">
        <v>250</v>
      </c>
      <c r="D454" s="364" t="s">
        <v>251</v>
      </c>
      <c r="E454" s="366">
        <v>9.0</v>
      </c>
      <c r="F454" s="367">
        <v>45932.375</v>
      </c>
      <c r="G454" s="364" t="s">
        <v>1185</v>
      </c>
      <c r="H454" s="364" t="s">
        <v>1190</v>
      </c>
    </row>
    <row r="455" ht="15.75" customHeight="1">
      <c r="A455" s="364" t="s">
        <v>55</v>
      </c>
      <c r="B455" s="364" t="s">
        <v>23</v>
      </c>
      <c r="C455" s="365" t="s">
        <v>250</v>
      </c>
      <c r="D455" s="364" t="s">
        <v>251</v>
      </c>
      <c r="E455" s="366">
        <v>10.0</v>
      </c>
      <c r="F455" s="367">
        <v>45939.375</v>
      </c>
      <c r="G455" s="364" t="s">
        <v>1185</v>
      </c>
      <c r="H455" s="364" t="s">
        <v>1190</v>
      </c>
    </row>
    <row r="456" ht="15.75" customHeight="1">
      <c r="A456" s="364" t="s">
        <v>55</v>
      </c>
      <c r="B456" s="364" t="s">
        <v>23</v>
      </c>
      <c r="C456" s="365" t="s">
        <v>250</v>
      </c>
      <c r="D456" s="364" t="s">
        <v>251</v>
      </c>
      <c r="E456" s="366">
        <v>11.0</v>
      </c>
      <c r="F456" s="367">
        <v>45944.41666666667</v>
      </c>
      <c r="G456" s="364" t="s">
        <v>1185</v>
      </c>
      <c r="H456" s="364" t="s">
        <v>1190</v>
      </c>
    </row>
    <row r="457" ht="15.75" customHeight="1">
      <c r="A457" s="364" t="s">
        <v>55</v>
      </c>
      <c r="B457" s="364" t="s">
        <v>23</v>
      </c>
      <c r="C457" s="365" t="s">
        <v>250</v>
      </c>
      <c r="D457" s="364" t="s">
        <v>251</v>
      </c>
      <c r="E457" s="366">
        <v>12.0</v>
      </c>
      <c r="F457" s="367">
        <v>45966.41666666667</v>
      </c>
      <c r="G457" s="364" t="s">
        <v>1187</v>
      </c>
      <c r="H457" s="364" t="s">
        <v>1190</v>
      </c>
    </row>
    <row r="458" ht="15.75" customHeight="1">
      <c r="A458" s="364" t="s">
        <v>55</v>
      </c>
      <c r="B458" s="364" t="s">
        <v>23</v>
      </c>
      <c r="C458" s="365" t="s">
        <v>250</v>
      </c>
      <c r="D458" s="364" t="s">
        <v>251</v>
      </c>
      <c r="E458" s="366">
        <v>13.0</v>
      </c>
      <c r="F458" s="367">
        <v>46007.41666666667</v>
      </c>
      <c r="G458" s="364" t="s">
        <v>1187</v>
      </c>
      <c r="H458" s="364" t="s">
        <v>1190</v>
      </c>
    </row>
    <row r="459" ht="15.75" customHeight="1">
      <c r="A459" s="364" t="s">
        <v>55</v>
      </c>
      <c r="B459" s="364" t="s">
        <v>23</v>
      </c>
      <c r="C459" s="365" t="s">
        <v>250</v>
      </c>
      <c r="D459" s="364" t="s">
        <v>251</v>
      </c>
      <c r="E459" s="366">
        <v>14.0</v>
      </c>
      <c r="F459" s="367">
        <v>46021.41666666667</v>
      </c>
      <c r="G459" s="364" t="s">
        <v>1185</v>
      </c>
      <c r="H459" s="364" t="s">
        <v>1190</v>
      </c>
    </row>
    <row r="460" ht="15.75" customHeight="1">
      <c r="A460" s="364" t="s">
        <v>55</v>
      </c>
      <c r="B460" s="364" t="s">
        <v>23</v>
      </c>
      <c r="C460" s="365" t="s">
        <v>250</v>
      </c>
      <c r="D460" s="364" t="s">
        <v>251</v>
      </c>
      <c r="E460" s="366">
        <v>15.0</v>
      </c>
      <c r="F460" s="367">
        <v>46035.41666666667</v>
      </c>
      <c r="G460" s="364" t="s">
        <v>1185</v>
      </c>
      <c r="H460" s="364" t="s">
        <v>1190</v>
      </c>
    </row>
    <row r="461" ht="15.75" customHeight="1">
      <c r="A461" s="364" t="s">
        <v>55</v>
      </c>
      <c r="B461" s="364" t="s">
        <v>23</v>
      </c>
      <c r="C461" s="365" t="s">
        <v>250</v>
      </c>
      <c r="D461" s="364" t="s">
        <v>251</v>
      </c>
      <c r="E461" s="366">
        <v>16.0</v>
      </c>
      <c r="F461" s="367">
        <v>46084.41666666667</v>
      </c>
      <c r="G461" s="364" t="s">
        <v>1185</v>
      </c>
      <c r="H461" s="364" t="s">
        <v>1190</v>
      </c>
    </row>
    <row r="462" ht="15.75" customHeight="1">
      <c r="A462" s="364" t="s">
        <v>55</v>
      </c>
      <c r="B462" s="364" t="s">
        <v>23</v>
      </c>
      <c r="C462" s="365" t="s">
        <v>252</v>
      </c>
      <c r="D462" s="364" t="s">
        <v>253</v>
      </c>
      <c r="E462" s="366">
        <v>1.0</v>
      </c>
      <c r="F462" s="367">
        <v>45869.58333333333</v>
      </c>
      <c r="G462" s="364" t="s">
        <v>1185</v>
      </c>
      <c r="H462" s="364" t="s">
        <v>1190</v>
      </c>
    </row>
    <row r="463" ht="15.75" customHeight="1">
      <c r="A463" s="364" t="s">
        <v>55</v>
      </c>
      <c r="B463" s="364" t="s">
        <v>23</v>
      </c>
      <c r="C463" s="365" t="s">
        <v>252</v>
      </c>
      <c r="D463" s="364" t="s">
        <v>253</v>
      </c>
      <c r="E463" s="366">
        <v>2.0</v>
      </c>
      <c r="F463" s="367">
        <v>45881.375</v>
      </c>
      <c r="G463" s="364" t="s">
        <v>1185</v>
      </c>
      <c r="H463" s="364" t="s">
        <v>1190</v>
      </c>
    </row>
    <row r="464" ht="15.75" customHeight="1">
      <c r="A464" s="364" t="s">
        <v>55</v>
      </c>
      <c r="B464" s="364" t="s">
        <v>23</v>
      </c>
      <c r="C464" s="365" t="s">
        <v>252</v>
      </c>
      <c r="D464" s="364" t="s">
        <v>253</v>
      </c>
      <c r="E464" s="366">
        <v>3.0</v>
      </c>
      <c r="F464" s="367">
        <v>45890.375</v>
      </c>
      <c r="G464" s="364" t="s">
        <v>1185</v>
      </c>
      <c r="H464" s="364" t="s">
        <v>1190</v>
      </c>
    </row>
    <row r="465" ht="15.75" customHeight="1">
      <c r="A465" s="364" t="s">
        <v>55</v>
      </c>
      <c r="B465" s="364" t="s">
        <v>23</v>
      </c>
      <c r="C465" s="365" t="s">
        <v>252</v>
      </c>
      <c r="D465" s="364" t="s">
        <v>253</v>
      </c>
      <c r="E465" s="366">
        <v>4.0</v>
      </c>
      <c r="F465" s="367">
        <v>45897.625</v>
      </c>
      <c r="G465" s="364" t="s">
        <v>1185</v>
      </c>
      <c r="H465" s="364" t="s">
        <v>1190</v>
      </c>
    </row>
    <row r="466" ht="15.75" customHeight="1">
      <c r="A466" s="364" t="s">
        <v>55</v>
      </c>
      <c r="B466" s="364" t="s">
        <v>23</v>
      </c>
      <c r="C466" s="365" t="s">
        <v>252</v>
      </c>
      <c r="D466" s="364" t="s">
        <v>253</v>
      </c>
      <c r="E466" s="366">
        <v>5.0</v>
      </c>
      <c r="F466" s="367">
        <v>45904.375</v>
      </c>
      <c r="G466" s="364" t="s">
        <v>1187</v>
      </c>
      <c r="H466" s="364" t="s">
        <v>1190</v>
      </c>
    </row>
    <row r="467" ht="15.75" customHeight="1">
      <c r="A467" s="364" t="s">
        <v>55</v>
      </c>
      <c r="B467" s="364" t="s">
        <v>23</v>
      </c>
      <c r="C467" s="365" t="s">
        <v>252</v>
      </c>
      <c r="D467" s="364" t="s">
        <v>253</v>
      </c>
      <c r="E467" s="366">
        <v>6.0</v>
      </c>
      <c r="F467" s="367">
        <v>45909.375</v>
      </c>
      <c r="G467" s="364" t="s">
        <v>1185</v>
      </c>
      <c r="H467" s="364" t="s">
        <v>1190</v>
      </c>
    </row>
    <row r="468" ht="15.75" customHeight="1">
      <c r="A468" s="364" t="s">
        <v>55</v>
      </c>
      <c r="B468" s="364" t="s">
        <v>23</v>
      </c>
      <c r="C468" s="365" t="s">
        <v>252</v>
      </c>
      <c r="D468" s="364" t="s">
        <v>253</v>
      </c>
      <c r="E468" s="366">
        <v>7.0</v>
      </c>
      <c r="F468" s="367">
        <v>45917.375</v>
      </c>
      <c r="G468" s="364" t="s">
        <v>1185</v>
      </c>
      <c r="H468" s="364" t="s">
        <v>1190</v>
      </c>
    </row>
    <row r="469" ht="15.75" customHeight="1">
      <c r="A469" s="364" t="s">
        <v>55</v>
      </c>
      <c r="B469" s="364" t="s">
        <v>23</v>
      </c>
      <c r="C469" s="365" t="s">
        <v>252</v>
      </c>
      <c r="D469" s="364" t="s">
        <v>253</v>
      </c>
      <c r="E469" s="366">
        <v>8.0</v>
      </c>
      <c r="F469" s="367">
        <v>45923.375</v>
      </c>
      <c r="G469" s="364" t="s">
        <v>1185</v>
      </c>
      <c r="H469" s="364" t="s">
        <v>1190</v>
      </c>
    </row>
    <row r="470" ht="15.75" customHeight="1">
      <c r="A470" s="364" t="s">
        <v>55</v>
      </c>
      <c r="B470" s="364" t="s">
        <v>23</v>
      </c>
      <c r="C470" s="365" t="s">
        <v>252</v>
      </c>
      <c r="D470" s="364" t="s">
        <v>253</v>
      </c>
      <c r="E470" s="366">
        <v>9.0</v>
      </c>
      <c r="F470" s="367">
        <v>45932.375</v>
      </c>
      <c r="G470" s="364" t="s">
        <v>1185</v>
      </c>
      <c r="H470" s="364" t="s">
        <v>1190</v>
      </c>
    </row>
    <row r="471" ht="15.75" customHeight="1">
      <c r="A471" s="364" t="s">
        <v>55</v>
      </c>
      <c r="B471" s="364" t="s">
        <v>23</v>
      </c>
      <c r="C471" s="365" t="s">
        <v>252</v>
      </c>
      <c r="D471" s="364" t="s">
        <v>253</v>
      </c>
      <c r="E471" s="366">
        <v>10.0</v>
      </c>
      <c r="F471" s="367">
        <v>45939.375</v>
      </c>
      <c r="G471" s="364" t="s">
        <v>1185</v>
      </c>
      <c r="H471" s="364" t="s">
        <v>1190</v>
      </c>
    </row>
    <row r="472" ht="15.75" customHeight="1">
      <c r="A472" s="364" t="s">
        <v>55</v>
      </c>
      <c r="B472" s="364" t="s">
        <v>23</v>
      </c>
      <c r="C472" s="365" t="s">
        <v>252</v>
      </c>
      <c r="D472" s="364" t="s">
        <v>253</v>
      </c>
      <c r="E472" s="366">
        <v>11.0</v>
      </c>
      <c r="F472" s="367">
        <v>45944.41666666667</v>
      </c>
      <c r="G472" s="364" t="s">
        <v>1185</v>
      </c>
      <c r="H472" s="364" t="s">
        <v>1190</v>
      </c>
    </row>
    <row r="473" ht="15.75" customHeight="1">
      <c r="A473" s="364" t="s">
        <v>55</v>
      </c>
      <c r="B473" s="364" t="s">
        <v>23</v>
      </c>
      <c r="C473" s="365" t="s">
        <v>252</v>
      </c>
      <c r="D473" s="364" t="s">
        <v>253</v>
      </c>
      <c r="E473" s="366">
        <v>12.0</v>
      </c>
      <c r="F473" s="367">
        <v>45966.41666666667</v>
      </c>
      <c r="G473" s="364" t="s">
        <v>1185</v>
      </c>
      <c r="H473" s="364" t="s">
        <v>1190</v>
      </c>
    </row>
    <row r="474" ht="15.75" customHeight="1">
      <c r="A474" s="364" t="s">
        <v>55</v>
      </c>
      <c r="B474" s="364" t="s">
        <v>23</v>
      </c>
      <c r="C474" s="365" t="s">
        <v>252</v>
      </c>
      <c r="D474" s="364" t="s">
        <v>253</v>
      </c>
      <c r="E474" s="366">
        <v>13.0</v>
      </c>
      <c r="F474" s="367">
        <v>46007.41666666667</v>
      </c>
      <c r="G474" s="364" t="s">
        <v>1185</v>
      </c>
      <c r="H474" s="364" t="s">
        <v>1190</v>
      </c>
    </row>
    <row r="475" ht="15.75" customHeight="1">
      <c r="A475" s="364" t="s">
        <v>55</v>
      </c>
      <c r="B475" s="364" t="s">
        <v>23</v>
      </c>
      <c r="C475" s="365" t="s">
        <v>252</v>
      </c>
      <c r="D475" s="364" t="s">
        <v>253</v>
      </c>
      <c r="E475" s="366">
        <v>14.0</v>
      </c>
      <c r="F475" s="367">
        <v>46021.41666666667</v>
      </c>
      <c r="G475" s="364" t="s">
        <v>1185</v>
      </c>
      <c r="H475" s="364" t="s">
        <v>1190</v>
      </c>
    </row>
    <row r="476" ht="15.75" customHeight="1">
      <c r="A476" s="364" t="s">
        <v>55</v>
      </c>
      <c r="B476" s="364" t="s">
        <v>23</v>
      </c>
      <c r="C476" s="365" t="s">
        <v>252</v>
      </c>
      <c r="D476" s="364" t="s">
        <v>253</v>
      </c>
      <c r="E476" s="366">
        <v>15.0</v>
      </c>
      <c r="F476" s="367">
        <v>46035.41666666667</v>
      </c>
      <c r="G476" s="364" t="s">
        <v>1185</v>
      </c>
      <c r="H476" s="364" t="s">
        <v>1190</v>
      </c>
    </row>
    <row r="477" ht="15.75" customHeight="1">
      <c r="A477" s="364" t="s">
        <v>55</v>
      </c>
      <c r="B477" s="364" t="s">
        <v>23</v>
      </c>
      <c r="C477" s="365" t="s">
        <v>252</v>
      </c>
      <c r="D477" s="364" t="s">
        <v>253</v>
      </c>
      <c r="E477" s="366">
        <v>16.0</v>
      </c>
      <c r="F477" s="367">
        <v>46084.41666666667</v>
      </c>
      <c r="G477" s="364" t="s">
        <v>1185</v>
      </c>
      <c r="H477" s="364" t="s">
        <v>1190</v>
      </c>
    </row>
    <row r="478" ht="15.75" customHeight="1">
      <c r="A478" s="364" t="s">
        <v>55</v>
      </c>
      <c r="B478" s="364" t="s">
        <v>23</v>
      </c>
      <c r="C478" s="365" t="s">
        <v>254</v>
      </c>
      <c r="D478" s="364" t="s">
        <v>255</v>
      </c>
      <c r="E478" s="366">
        <v>1.0</v>
      </c>
      <c r="F478" s="367">
        <v>45869.58333333333</v>
      </c>
      <c r="G478" s="364" t="s">
        <v>1185</v>
      </c>
      <c r="H478" s="364" t="s">
        <v>1190</v>
      </c>
    </row>
    <row r="479" ht="15.75" customHeight="1">
      <c r="A479" s="364" t="s">
        <v>55</v>
      </c>
      <c r="B479" s="364" t="s">
        <v>23</v>
      </c>
      <c r="C479" s="365" t="s">
        <v>254</v>
      </c>
      <c r="D479" s="364" t="s">
        <v>255</v>
      </c>
      <c r="E479" s="366">
        <v>2.0</v>
      </c>
      <c r="F479" s="367">
        <v>45881.375</v>
      </c>
      <c r="G479" s="364" t="s">
        <v>1185</v>
      </c>
      <c r="H479" s="364" t="s">
        <v>1190</v>
      </c>
    </row>
    <row r="480" ht="15.75" customHeight="1">
      <c r="A480" s="364" t="s">
        <v>55</v>
      </c>
      <c r="B480" s="364" t="s">
        <v>23</v>
      </c>
      <c r="C480" s="365" t="s">
        <v>254</v>
      </c>
      <c r="D480" s="364" t="s">
        <v>255</v>
      </c>
      <c r="E480" s="366">
        <v>3.0</v>
      </c>
      <c r="F480" s="367">
        <v>45890.375</v>
      </c>
      <c r="G480" s="364" t="s">
        <v>1185</v>
      </c>
      <c r="H480" s="364" t="s">
        <v>1190</v>
      </c>
    </row>
    <row r="481" ht="15.75" customHeight="1">
      <c r="A481" s="364" t="s">
        <v>55</v>
      </c>
      <c r="B481" s="364" t="s">
        <v>23</v>
      </c>
      <c r="C481" s="365" t="s">
        <v>254</v>
      </c>
      <c r="D481" s="364" t="s">
        <v>255</v>
      </c>
      <c r="E481" s="366">
        <v>4.0</v>
      </c>
      <c r="F481" s="367">
        <v>45897.625</v>
      </c>
      <c r="G481" s="364" t="s">
        <v>1187</v>
      </c>
      <c r="H481" s="364" t="s">
        <v>1190</v>
      </c>
    </row>
    <row r="482" ht="15.75" customHeight="1">
      <c r="A482" s="364" t="s">
        <v>55</v>
      </c>
      <c r="B482" s="364" t="s">
        <v>23</v>
      </c>
      <c r="C482" s="365" t="s">
        <v>254</v>
      </c>
      <c r="D482" s="364" t="s">
        <v>255</v>
      </c>
      <c r="E482" s="366">
        <v>5.0</v>
      </c>
      <c r="F482" s="367">
        <v>45904.375</v>
      </c>
      <c r="G482" s="364" t="s">
        <v>1185</v>
      </c>
      <c r="H482" s="364" t="s">
        <v>1190</v>
      </c>
    </row>
    <row r="483" ht="15.75" customHeight="1">
      <c r="A483" s="364" t="s">
        <v>55</v>
      </c>
      <c r="B483" s="364" t="s">
        <v>23</v>
      </c>
      <c r="C483" s="365" t="s">
        <v>254</v>
      </c>
      <c r="D483" s="364" t="s">
        <v>255</v>
      </c>
      <c r="E483" s="366">
        <v>6.0</v>
      </c>
      <c r="F483" s="367">
        <v>45909.375</v>
      </c>
      <c r="G483" s="364" t="s">
        <v>1187</v>
      </c>
      <c r="H483" s="364" t="s">
        <v>1190</v>
      </c>
    </row>
    <row r="484" ht="15.75" customHeight="1">
      <c r="A484" s="364" t="s">
        <v>55</v>
      </c>
      <c r="B484" s="364" t="s">
        <v>23</v>
      </c>
      <c r="C484" s="365" t="s">
        <v>254</v>
      </c>
      <c r="D484" s="364" t="s">
        <v>255</v>
      </c>
      <c r="E484" s="366">
        <v>7.0</v>
      </c>
      <c r="F484" s="367">
        <v>45917.375</v>
      </c>
      <c r="G484" s="364" t="s">
        <v>1185</v>
      </c>
      <c r="H484" s="364" t="s">
        <v>1190</v>
      </c>
    </row>
    <row r="485" ht="15.75" customHeight="1">
      <c r="A485" s="364" t="s">
        <v>55</v>
      </c>
      <c r="B485" s="364" t="s">
        <v>23</v>
      </c>
      <c r="C485" s="365" t="s">
        <v>254</v>
      </c>
      <c r="D485" s="364" t="s">
        <v>255</v>
      </c>
      <c r="E485" s="366">
        <v>8.0</v>
      </c>
      <c r="F485" s="367">
        <v>45923.375</v>
      </c>
      <c r="G485" s="364" t="s">
        <v>1185</v>
      </c>
      <c r="H485" s="364" t="s">
        <v>1190</v>
      </c>
    </row>
    <row r="486" ht="15.75" customHeight="1">
      <c r="A486" s="364" t="s">
        <v>55</v>
      </c>
      <c r="B486" s="364" t="s">
        <v>23</v>
      </c>
      <c r="C486" s="365" t="s">
        <v>254</v>
      </c>
      <c r="D486" s="364" t="s">
        <v>255</v>
      </c>
      <c r="E486" s="366">
        <v>9.0</v>
      </c>
      <c r="F486" s="367">
        <v>45932.375</v>
      </c>
      <c r="G486" s="364" t="s">
        <v>1185</v>
      </c>
      <c r="H486" s="364" t="s">
        <v>1190</v>
      </c>
    </row>
    <row r="487" ht="15.75" customHeight="1">
      <c r="A487" s="364" t="s">
        <v>55</v>
      </c>
      <c r="B487" s="364" t="s">
        <v>23</v>
      </c>
      <c r="C487" s="365" t="s">
        <v>254</v>
      </c>
      <c r="D487" s="364" t="s">
        <v>255</v>
      </c>
      <c r="E487" s="366">
        <v>10.0</v>
      </c>
      <c r="F487" s="367">
        <v>45939.375</v>
      </c>
      <c r="G487" s="364" t="s">
        <v>1185</v>
      </c>
      <c r="H487" s="364" t="s">
        <v>1190</v>
      </c>
    </row>
    <row r="488" ht="15.75" customHeight="1">
      <c r="A488" s="364" t="s">
        <v>55</v>
      </c>
      <c r="B488" s="364" t="s">
        <v>23</v>
      </c>
      <c r="C488" s="365" t="s">
        <v>254</v>
      </c>
      <c r="D488" s="364" t="s">
        <v>255</v>
      </c>
      <c r="E488" s="366">
        <v>11.0</v>
      </c>
      <c r="F488" s="367">
        <v>45944.41666666667</v>
      </c>
      <c r="G488" s="364" t="s">
        <v>1187</v>
      </c>
      <c r="H488" s="364" t="s">
        <v>1190</v>
      </c>
    </row>
    <row r="489" ht="15.75" customHeight="1">
      <c r="A489" s="364" t="s">
        <v>55</v>
      </c>
      <c r="B489" s="364" t="s">
        <v>23</v>
      </c>
      <c r="C489" s="365" t="s">
        <v>254</v>
      </c>
      <c r="D489" s="364" t="s">
        <v>255</v>
      </c>
      <c r="E489" s="366">
        <v>12.0</v>
      </c>
      <c r="F489" s="367">
        <v>45966.41666666667</v>
      </c>
      <c r="G489" s="364" t="s">
        <v>1185</v>
      </c>
      <c r="H489" s="364" t="s">
        <v>1190</v>
      </c>
    </row>
    <row r="490" ht="15.75" customHeight="1">
      <c r="A490" s="364" t="s">
        <v>55</v>
      </c>
      <c r="B490" s="364" t="s">
        <v>23</v>
      </c>
      <c r="C490" s="365" t="s">
        <v>254</v>
      </c>
      <c r="D490" s="364" t="s">
        <v>255</v>
      </c>
      <c r="E490" s="366">
        <v>13.0</v>
      </c>
      <c r="F490" s="367">
        <v>46007.41666666667</v>
      </c>
      <c r="G490" s="364" t="s">
        <v>1185</v>
      </c>
      <c r="H490" s="364" t="s">
        <v>1190</v>
      </c>
    </row>
    <row r="491" ht="15.75" customHeight="1">
      <c r="A491" s="364" t="s">
        <v>55</v>
      </c>
      <c r="B491" s="364" t="s">
        <v>23</v>
      </c>
      <c r="C491" s="365" t="s">
        <v>254</v>
      </c>
      <c r="D491" s="364" t="s">
        <v>255</v>
      </c>
      <c r="E491" s="366">
        <v>14.0</v>
      </c>
      <c r="F491" s="367">
        <v>46021.41666666667</v>
      </c>
      <c r="G491" s="364" t="s">
        <v>1187</v>
      </c>
      <c r="H491" s="364" t="s">
        <v>1190</v>
      </c>
    </row>
    <row r="492" ht="15.75" customHeight="1">
      <c r="A492" s="364" t="s">
        <v>55</v>
      </c>
      <c r="B492" s="364" t="s">
        <v>23</v>
      </c>
      <c r="C492" s="365" t="s">
        <v>254</v>
      </c>
      <c r="D492" s="364" t="s">
        <v>255</v>
      </c>
      <c r="E492" s="366">
        <v>15.0</v>
      </c>
      <c r="F492" s="367">
        <v>46035.41666666667</v>
      </c>
      <c r="G492" s="364" t="s">
        <v>1185</v>
      </c>
      <c r="H492" s="364" t="s">
        <v>1190</v>
      </c>
    </row>
    <row r="493" ht="15.75" customHeight="1">
      <c r="A493" s="364" t="s">
        <v>55</v>
      </c>
      <c r="B493" s="364" t="s">
        <v>23</v>
      </c>
      <c r="C493" s="365" t="s">
        <v>254</v>
      </c>
      <c r="D493" s="364" t="s">
        <v>255</v>
      </c>
      <c r="E493" s="366">
        <v>16.0</v>
      </c>
      <c r="F493" s="367">
        <v>46084.41666666667</v>
      </c>
      <c r="G493" s="364" t="s">
        <v>1185</v>
      </c>
      <c r="H493" s="364" t="s">
        <v>1190</v>
      </c>
    </row>
    <row r="494" ht="15.75" customHeight="1">
      <c r="A494" s="364" t="s">
        <v>55</v>
      </c>
      <c r="B494" s="364" t="s">
        <v>23</v>
      </c>
      <c r="C494" s="365" t="s">
        <v>258</v>
      </c>
      <c r="D494" s="364" t="s">
        <v>259</v>
      </c>
      <c r="E494" s="366">
        <v>1.0</v>
      </c>
      <c r="F494" s="367">
        <v>45869.58333333333</v>
      </c>
      <c r="G494" s="364" t="s">
        <v>1185</v>
      </c>
      <c r="H494" s="364" t="s">
        <v>1190</v>
      </c>
    </row>
    <row r="495" ht="15.75" customHeight="1">
      <c r="A495" s="364" t="s">
        <v>55</v>
      </c>
      <c r="B495" s="364" t="s">
        <v>23</v>
      </c>
      <c r="C495" s="365" t="s">
        <v>258</v>
      </c>
      <c r="D495" s="364" t="s">
        <v>259</v>
      </c>
      <c r="E495" s="366">
        <v>2.0</v>
      </c>
      <c r="F495" s="367">
        <v>45881.375</v>
      </c>
      <c r="G495" s="364" t="s">
        <v>1185</v>
      </c>
      <c r="H495" s="364" t="s">
        <v>1190</v>
      </c>
    </row>
    <row r="496" ht="15.75" customHeight="1">
      <c r="A496" s="364" t="s">
        <v>55</v>
      </c>
      <c r="B496" s="364" t="s">
        <v>23</v>
      </c>
      <c r="C496" s="365" t="s">
        <v>258</v>
      </c>
      <c r="D496" s="364" t="s">
        <v>259</v>
      </c>
      <c r="E496" s="366">
        <v>3.0</v>
      </c>
      <c r="F496" s="367">
        <v>45890.375</v>
      </c>
      <c r="G496" s="364" t="s">
        <v>1185</v>
      </c>
      <c r="H496" s="364" t="s">
        <v>1190</v>
      </c>
    </row>
    <row r="497" ht="15.75" customHeight="1">
      <c r="A497" s="364" t="s">
        <v>55</v>
      </c>
      <c r="B497" s="364" t="s">
        <v>23</v>
      </c>
      <c r="C497" s="365" t="s">
        <v>258</v>
      </c>
      <c r="D497" s="364" t="s">
        <v>259</v>
      </c>
      <c r="E497" s="366">
        <v>4.0</v>
      </c>
      <c r="F497" s="367">
        <v>45897.625</v>
      </c>
      <c r="G497" s="364" t="s">
        <v>1185</v>
      </c>
      <c r="H497" s="364" t="s">
        <v>1190</v>
      </c>
    </row>
    <row r="498" ht="15.75" customHeight="1">
      <c r="A498" s="364" t="s">
        <v>55</v>
      </c>
      <c r="B498" s="364" t="s">
        <v>23</v>
      </c>
      <c r="C498" s="365" t="s">
        <v>258</v>
      </c>
      <c r="D498" s="364" t="s">
        <v>259</v>
      </c>
      <c r="E498" s="366">
        <v>5.0</v>
      </c>
      <c r="F498" s="367">
        <v>45904.375</v>
      </c>
      <c r="G498" s="364" t="s">
        <v>1185</v>
      </c>
      <c r="H498" s="364" t="s">
        <v>1190</v>
      </c>
    </row>
    <row r="499" ht="15.75" customHeight="1">
      <c r="A499" s="364" t="s">
        <v>55</v>
      </c>
      <c r="B499" s="364" t="s">
        <v>23</v>
      </c>
      <c r="C499" s="365" t="s">
        <v>258</v>
      </c>
      <c r="D499" s="364" t="s">
        <v>259</v>
      </c>
      <c r="E499" s="366">
        <v>6.0</v>
      </c>
      <c r="F499" s="367">
        <v>45909.375</v>
      </c>
      <c r="G499" s="364" t="s">
        <v>1185</v>
      </c>
      <c r="H499" s="364" t="s">
        <v>1190</v>
      </c>
    </row>
    <row r="500" ht="15.75" customHeight="1">
      <c r="A500" s="364" t="s">
        <v>55</v>
      </c>
      <c r="B500" s="364" t="s">
        <v>23</v>
      </c>
      <c r="C500" s="365" t="s">
        <v>258</v>
      </c>
      <c r="D500" s="364" t="s">
        <v>259</v>
      </c>
      <c r="E500" s="366">
        <v>7.0</v>
      </c>
      <c r="F500" s="367">
        <v>45917.375</v>
      </c>
      <c r="G500" s="364" t="s">
        <v>1185</v>
      </c>
      <c r="H500" s="364" t="s">
        <v>1190</v>
      </c>
    </row>
    <row r="501" ht="15.75" customHeight="1">
      <c r="A501" s="364" t="s">
        <v>55</v>
      </c>
      <c r="B501" s="364" t="s">
        <v>23</v>
      </c>
      <c r="C501" s="365" t="s">
        <v>258</v>
      </c>
      <c r="D501" s="364" t="s">
        <v>259</v>
      </c>
      <c r="E501" s="366">
        <v>8.0</v>
      </c>
      <c r="F501" s="367">
        <v>45923.375</v>
      </c>
      <c r="G501" s="364" t="s">
        <v>1185</v>
      </c>
      <c r="H501" s="364" t="s">
        <v>1190</v>
      </c>
    </row>
    <row r="502" ht="15.75" customHeight="1">
      <c r="A502" s="364" t="s">
        <v>55</v>
      </c>
      <c r="B502" s="364" t="s">
        <v>23</v>
      </c>
      <c r="C502" s="365" t="s">
        <v>258</v>
      </c>
      <c r="D502" s="364" t="s">
        <v>259</v>
      </c>
      <c r="E502" s="366">
        <v>9.0</v>
      </c>
      <c r="F502" s="367">
        <v>45932.375</v>
      </c>
      <c r="G502" s="364" t="s">
        <v>1185</v>
      </c>
      <c r="H502" s="364" t="s">
        <v>1190</v>
      </c>
    </row>
    <row r="503" ht="15.75" customHeight="1">
      <c r="A503" s="364" t="s">
        <v>55</v>
      </c>
      <c r="B503" s="364" t="s">
        <v>23</v>
      </c>
      <c r="C503" s="365" t="s">
        <v>258</v>
      </c>
      <c r="D503" s="364" t="s">
        <v>259</v>
      </c>
      <c r="E503" s="366">
        <v>10.0</v>
      </c>
      <c r="F503" s="367">
        <v>45939.375</v>
      </c>
      <c r="G503" s="364" t="s">
        <v>1185</v>
      </c>
      <c r="H503" s="364" t="s">
        <v>1190</v>
      </c>
    </row>
    <row r="504" ht="15.75" customHeight="1">
      <c r="A504" s="364" t="s">
        <v>55</v>
      </c>
      <c r="B504" s="364" t="s">
        <v>23</v>
      </c>
      <c r="C504" s="365" t="s">
        <v>258</v>
      </c>
      <c r="D504" s="364" t="s">
        <v>259</v>
      </c>
      <c r="E504" s="366">
        <v>11.0</v>
      </c>
      <c r="F504" s="367">
        <v>45944.41666666667</v>
      </c>
      <c r="G504" s="364" t="s">
        <v>1185</v>
      </c>
      <c r="H504" s="364" t="s">
        <v>1190</v>
      </c>
    </row>
    <row r="505" ht="15.75" customHeight="1">
      <c r="A505" s="364" t="s">
        <v>55</v>
      </c>
      <c r="B505" s="364" t="s">
        <v>23</v>
      </c>
      <c r="C505" s="365" t="s">
        <v>258</v>
      </c>
      <c r="D505" s="364" t="s">
        <v>259</v>
      </c>
      <c r="E505" s="366">
        <v>12.0</v>
      </c>
      <c r="F505" s="367">
        <v>45966.41666666667</v>
      </c>
      <c r="G505" s="364" t="s">
        <v>1185</v>
      </c>
      <c r="H505" s="364" t="s">
        <v>1190</v>
      </c>
    </row>
    <row r="506" ht="15.75" customHeight="1">
      <c r="A506" s="364" t="s">
        <v>55</v>
      </c>
      <c r="B506" s="364" t="s">
        <v>23</v>
      </c>
      <c r="C506" s="365" t="s">
        <v>258</v>
      </c>
      <c r="D506" s="364" t="s">
        <v>259</v>
      </c>
      <c r="E506" s="366">
        <v>13.0</v>
      </c>
      <c r="F506" s="367">
        <v>46007.41666666667</v>
      </c>
      <c r="G506" s="364" t="s">
        <v>1185</v>
      </c>
      <c r="H506" s="364" t="s">
        <v>1190</v>
      </c>
    </row>
    <row r="507" ht="15.75" customHeight="1">
      <c r="A507" s="364" t="s">
        <v>55</v>
      </c>
      <c r="B507" s="364" t="s">
        <v>23</v>
      </c>
      <c r="C507" s="365" t="s">
        <v>258</v>
      </c>
      <c r="D507" s="364" t="s">
        <v>259</v>
      </c>
      <c r="E507" s="366">
        <v>14.0</v>
      </c>
      <c r="F507" s="367">
        <v>46021.41666666667</v>
      </c>
      <c r="G507" s="364" t="s">
        <v>1187</v>
      </c>
      <c r="H507" s="364" t="s">
        <v>1190</v>
      </c>
    </row>
    <row r="508" ht="15.75" customHeight="1">
      <c r="A508" s="364" t="s">
        <v>55</v>
      </c>
      <c r="B508" s="364" t="s">
        <v>23</v>
      </c>
      <c r="C508" s="365" t="s">
        <v>258</v>
      </c>
      <c r="D508" s="364" t="s">
        <v>259</v>
      </c>
      <c r="E508" s="366">
        <v>15.0</v>
      </c>
      <c r="F508" s="367">
        <v>46035.41666666667</v>
      </c>
      <c r="G508" s="364" t="s">
        <v>1185</v>
      </c>
      <c r="H508" s="364" t="s">
        <v>1190</v>
      </c>
    </row>
    <row r="509" ht="15.75" customHeight="1">
      <c r="A509" s="364" t="s">
        <v>55</v>
      </c>
      <c r="B509" s="364" t="s">
        <v>23</v>
      </c>
      <c r="C509" s="365" t="s">
        <v>258</v>
      </c>
      <c r="D509" s="364" t="s">
        <v>259</v>
      </c>
      <c r="E509" s="366">
        <v>16.0</v>
      </c>
      <c r="F509" s="367">
        <v>46084.41666666667</v>
      </c>
      <c r="G509" s="364" t="s">
        <v>1185</v>
      </c>
      <c r="H509" s="364" t="s">
        <v>1190</v>
      </c>
    </row>
    <row r="510" ht="15.75" customHeight="1">
      <c r="A510" s="364" t="s">
        <v>55</v>
      </c>
      <c r="B510" s="364" t="s">
        <v>23</v>
      </c>
      <c r="C510" s="365" t="s">
        <v>373</v>
      </c>
      <c r="D510" s="364" t="s">
        <v>374</v>
      </c>
      <c r="E510" s="366">
        <v>1.0</v>
      </c>
      <c r="F510" s="367">
        <v>45869.58333333333</v>
      </c>
      <c r="G510" s="364" t="s">
        <v>1185</v>
      </c>
      <c r="H510" s="364" t="s">
        <v>1190</v>
      </c>
    </row>
    <row r="511" ht="15.75" customHeight="1">
      <c r="A511" s="364" t="s">
        <v>55</v>
      </c>
      <c r="B511" s="364" t="s">
        <v>23</v>
      </c>
      <c r="C511" s="365" t="s">
        <v>373</v>
      </c>
      <c r="D511" s="364" t="s">
        <v>374</v>
      </c>
      <c r="E511" s="366">
        <v>2.0</v>
      </c>
      <c r="F511" s="367">
        <v>45881.375</v>
      </c>
      <c r="G511" s="364" t="s">
        <v>1185</v>
      </c>
      <c r="H511" s="364" t="s">
        <v>1190</v>
      </c>
    </row>
    <row r="512" ht="15.75" customHeight="1">
      <c r="A512" s="364" t="s">
        <v>55</v>
      </c>
      <c r="B512" s="364" t="s">
        <v>23</v>
      </c>
      <c r="C512" s="365" t="s">
        <v>373</v>
      </c>
      <c r="D512" s="364" t="s">
        <v>374</v>
      </c>
      <c r="E512" s="366">
        <v>3.0</v>
      </c>
      <c r="F512" s="367">
        <v>45890.375</v>
      </c>
      <c r="G512" s="364" t="s">
        <v>1185</v>
      </c>
      <c r="H512" s="364" t="s">
        <v>1190</v>
      </c>
    </row>
    <row r="513" ht="15.75" customHeight="1">
      <c r="A513" s="364" t="s">
        <v>55</v>
      </c>
      <c r="B513" s="364" t="s">
        <v>23</v>
      </c>
      <c r="C513" s="365" t="s">
        <v>373</v>
      </c>
      <c r="D513" s="364" t="s">
        <v>374</v>
      </c>
      <c r="E513" s="366">
        <v>4.0</v>
      </c>
      <c r="F513" s="367">
        <v>45897.625</v>
      </c>
      <c r="G513" s="364" t="s">
        <v>1185</v>
      </c>
      <c r="H513" s="364" t="s">
        <v>1190</v>
      </c>
    </row>
    <row r="514" ht="15.75" customHeight="1">
      <c r="A514" s="364" t="s">
        <v>55</v>
      </c>
      <c r="B514" s="364" t="s">
        <v>23</v>
      </c>
      <c r="C514" s="365" t="s">
        <v>373</v>
      </c>
      <c r="D514" s="364" t="s">
        <v>374</v>
      </c>
      <c r="E514" s="366">
        <v>5.0</v>
      </c>
      <c r="F514" s="367">
        <v>45904.375</v>
      </c>
      <c r="G514" s="364" t="s">
        <v>1185</v>
      </c>
      <c r="H514" s="364" t="s">
        <v>1190</v>
      </c>
    </row>
    <row r="515" ht="15.75" customHeight="1">
      <c r="A515" s="364" t="s">
        <v>55</v>
      </c>
      <c r="B515" s="364" t="s">
        <v>23</v>
      </c>
      <c r="C515" s="365" t="s">
        <v>373</v>
      </c>
      <c r="D515" s="364" t="s">
        <v>374</v>
      </c>
      <c r="E515" s="366">
        <v>6.0</v>
      </c>
      <c r="F515" s="367">
        <v>45909.375</v>
      </c>
      <c r="G515" s="364" t="s">
        <v>1185</v>
      </c>
      <c r="H515" s="364" t="s">
        <v>1190</v>
      </c>
    </row>
    <row r="516" ht="15.75" customHeight="1">
      <c r="A516" s="364" t="s">
        <v>55</v>
      </c>
      <c r="B516" s="364" t="s">
        <v>23</v>
      </c>
      <c r="C516" s="365" t="s">
        <v>373</v>
      </c>
      <c r="D516" s="364" t="s">
        <v>374</v>
      </c>
      <c r="E516" s="366">
        <v>7.0</v>
      </c>
      <c r="F516" s="367">
        <v>45917.375</v>
      </c>
      <c r="G516" s="364" t="s">
        <v>1187</v>
      </c>
      <c r="H516" s="364" t="s">
        <v>1190</v>
      </c>
    </row>
    <row r="517" ht="15.75" customHeight="1">
      <c r="A517" s="364" t="s">
        <v>55</v>
      </c>
      <c r="B517" s="364" t="s">
        <v>23</v>
      </c>
      <c r="C517" s="365" t="s">
        <v>373</v>
      </c>
      <c r="D517" s="364" t="s">
        <v>374</v>
      </c>
      <c r="E517" s="366">
        <v>8.0</v>
      </c>
      <c r="F517" s="367">
        <v>45923.375</v>
      </c>
      <c r="G517" s="364" t="s">
        <v>1185</v>
      </c>
      <c r="H517" s="364" t="s">
        <v>1190</v>
      </c>
    </row>
    <row r="518" ht="15.75" customHeight="1">
      <c r="A518" s="364" t="s">
        <v>55</v>
      </c>
      <c r="B518" s="364" t="s">
        <v>23</v>
      </c>
      <c r="C518" s="365" t="s">
        <v>373</v>
      </c>
      <c r="D518" s="364" t="s">
        <v>374</v>
      </c>
      <c r="E518" s="366">
        <v>9.0</v>
      </c>
      <c r="F518" s="367">
        <v>45932.375</v>
      </c>
      <c r="G518" s="364" t="s">
        <v>1187</v>
      </c>
      <c r="H518" s="364" t="s">
        <v>1190</v>
      </c>
    </row>
    <row r="519" ht="15.75" customHeight="1">
      <c r="A519" s="364" t="s">
        <v>55</v>
      </c>
      <c r="B519" s="364" t="s">
        <v>23</v>
      </c>
      <c r="C519" s="365" t="s">
        <v>373</v>
      </c>
      <c r="D519" s="364" t="s">
        <v>374</v>
      </c>
      <c r="E519" s="366">
        <v>10.0</v>
      </c>
      <c r="F519" s="367">
        <v>45939.375</v>
      </c>
      <c r="G519" s="364" t="s">
        <v>1185</v>
      </c>
      <c r="H519" s="364" t="s">
        <v>1190</v>
      </c>
    </row>
    <row r="520" ht="15.75" customHeight="1">
      <c r="A520" s="364" t="s">
        <v>55</v>
      </c>
      <c r="B520" s="364" t="s">
        <v>23</v>
      </c>
      <c r="C520" s="365" t="s">
        <v>373</v>
      </c>
      <c r="D520" s="364" t="s">
        <v>374</v>
      </c>
      <c r="E520" s="366">
        <v>11.0</v>
      </c>
      <c r="F520" s="367">
        <v>45944.41666666667</v>
      </c>
      <c r="G520" s="364" t="s">
        <v>1185</v>
      </c>
      <c r="H520" s="364" t="s">
        <v>1190</v>
      </c>
    </row>
    <row r="521" ht="15.75" customHeight="1">
      <c r="A521" s="364" t="s">
        <v>55</v>
      </c>
      <c r="B521" s="364" t="s">
        <v>23</v>
      </c>
      <c r="C521" s="365" t="s">
        <v>373</v>
      </c>
      <c r="D521" s="364" t="s">
        <v>374</v>
      </c>
      <c r="E521" s="366">
        <v>12.0</v>
      </c>
      <c r="F521" s="367">
        <v>45966.41666666667</v>
      </c>
      <c r="G521" s="364" t="s">
        <v>1185</v>
      </c>
      <c r="H521" s="364" t="s">
        <v>1190</v>
      </c>
    </row>
    <row r="522" ht="15.75" customHeight="1">
      <c r="A522" s="364" t="s">
        <v>55</v>
      </c>
      <c r="B522" s="364" t="s">
        <v>23</v>
      </c>
      <c r="C522" s="365" t="s">
        <v>373</v>
      </c>
      <c r="D522" s="364" t="s">
        <v>374</v>
      </c>
      <c r="E522" s="366">
        <v>13.0</v>
      </c>
      <c r="F522" s="367">
        <v>46007.41666666667</v>
      </c>
      <c r="G522" s="364" t="s">
        <v>1185</v>
      </c>
      <c r="H522" s="364" t="s">
        <v>1190</v>
      </c>
    </row>
    <row r="523" ht="15.75" customHeight="1">
      <c r="A523" s="364" t="s">
        <v>55</v>
      </c>
      <c r="B523" s="364" t="s">
        <v>23</v>
      </c>
      <c r="C523" s="365" t="s">
        <v>373</v>
      </c>
      <c r="D523" s="364" t="s">
        <v>374</v>
      </c>
      <c r="E523" s="366">
        <v>14.0</v>
      </c>
      <c r="F523" s="367">
        <v>46021.41666666667</v>
      </c>
      <c r="G523" s="364" t="s">
        <v>1185</v>
      </c>
      <c r="H523" s="364" t="s">
        <v>1190</v>
      </c>
    </row>
    <row r="524" ht="15.75" customHeight="1">
      <c r="A524" s="364" t="s">
        <v>55</v>
      </c>
      <c r="B524" s="364" t="s">
        <v>23</v>
      </c>
      <c r="C524" s="365" t="s">
        <v>373</v>
      </c>
      <c r="D524" s="364" t="s">
        <v>374</v>
      </c>
      <c r="E524" s="366">
        <v>15.0</v>
      </c>
      <c r="F524" s="367">
        <v>46035.41666666667</v>
      </c>
      <c r="G524" s="364" t="s">
        <v>1185</v>
      </c>
      <c r="H524" s="364" t="s">
        <v>1190</v>
      </c>
    </row>
    <row r="525" ht="15.75" customHeight="1">
      <c r="A525" s="364" t="s">
        <v>55</v>
      </c>
      <c r="B525" s="364" t="s">
        <v>23</v>
      </c>
      <c r="C525" s="365" t="s">
        <v>373</v>
      </c>
      <c r="D525" s="364" t="s">
        <v>374</v>
      </c>
      <c r="E525" s="366">
        <v>16.0</v>
      </c>
      <c r="F525" s="367">
        <v>46084.41666666667</v>
      </c>
      <c r="G525" s="364" t="s">
        <v>1185</v>
      </c>
      <c r="H525" s="364" t="s">
        <v>1190</v>
      </c>
    </row>
    <row r="526" ht="15.75" customHeight="1">
      <c r="A526" s="364" t="s">
        <v>55</v>
      </c>
      <c r="B526" s="364" t="s">
        <v>23</v>
      </c>
      <c r="C526" s="365" t="s">
        <v>260</v>
      </c>
      <c r="D526" s="364" t="s">
        <v>261</v>
      </c>
      <c r="E526" s="366">
        <v>1.0</v>
      </c>
      <c r="F526" s="367">
        <v>45869.58333333333</v>
      </c>
      <c r="G526" s="364" t="s">
        <v>1187</v>
      </c>
      <c r="H526" s="364" t="s">
        <v>1190</v>
      </c>
    </row>
    <row r="527" ht="15.75" customHeight="1">
      <c r="A527" s="364" t="s">
        <v>55</v>
      </c>
      <c r="B527" s="364" t="s">
        <v>23</v>
      </c>
      <c r="C527" s="365" t="s">
        <v>260</v>
      </c>
      <c r="D527" s="364" t="s">
        <v>261</v>
      </c>
      <c r="E527" s="366">
        <v>2.0</v>
      </c>
      <c r="F527" s="367">
        <v>45881.375</v>
      </c>
      <c r="G527" s="364" t="s">
        <v>1185</v>
      </c>
      <c r="H527" s="364" t="s">
        <v>1190</v>
      </c>
    </row>
    <row r="528" ht="15.75" customHeight="1">
      <c r="A528" s="364" t="s">
        <v>55</v>
      </c>
      <c r="B528" s="364" t="s">
        <v>23</v>
      </c>
      <c r="C528" s="365" t="s">
        <v>260</v>
      </c>
      <c r="D528" s="364" t="s">
        <v>261</v>
      </c>
      <c r="E528" s="366">
        <v>3.0</v>
      </c>
      <c r="F528" s="367">
        <v>45890.375</v>
      </c>
      <c r="G528" s="364" t="s">
        <v>1185</v>
      </c>
      <c r="H528" s="364" t="s">
        <v>1190</v>
      </c>
    </row>
    <row r="529" ht="15.75" customHeight="1">
      <c r="A529" s="364" t="s">
        <v>55</v>
      </c>
      <c r="B529" s="364" t="s">
        <v>23</v>
      </c>
      <c r="C529" s="365" t="s">
        <v>260</v>
      </c>
      <c r="D529" s="364" t="s">
        <v>261</v>
      </c>
      <c r="E529" s="366">
        <v>4.0</v>
      </c>
      <c r="F529" s="367">
        <v>45897.625</v>
      </c>
      <c r="G529" s="364" t="s">
        <v>1185</v>
      </c>
      <c r="H529" s="364" t="s">
        <v>1190</v>
      </c>
    </row>
    <row r="530" ht="15.75" customHeight="1">
      <c r="A530" s="364" t="s">
        <v>55</v>
      </c>
      <c r="B530" s="364" t="s">
        <v>23</v>
      </c>
      <c r="C530" s="365" t="s">
        <v>260</v>
      </c>
      <c r="D530" s="364" t="s">
        <v>261</v>
      </c>
      <c r="E530" s="366">
        <v>5.0</v>
      </c>
      <c r="F530" s="367">
        <v>45904.375</v>
      </c>
      <c r="G530" s="364" t="s">
        <v>1185</v>
      </c>
      <c r="H530" s="364" t="s">
        <v>1190</v>
      </c>
    </row>
    <row r="531" ht="15.75" customHeight="1">
      <c r="A531" s="364" t="s">
        <v>55</v>
      </c>
      <c r="B531" s="364" t="s">
        <v>23</v>
      </c>
      <c r="C531" s="365" t="s">
        <v>260</v>
      </c>
      <c r="D531" s="364" t="s">
        <v>261</v>
      </c>
      <c r="E531" s="366">
        <v>6.0</v>
      </c>
      <c r="F531" s="367">
        <v>45909.375</v>
      </c>
      <c r="G531" s="364" t="s">
        <v>1187</v>
      </c>
      <c r="H531" s="364" t="s">
        <v>1190</v>
      </c>
    </row>
    <row r="532" ht="15.75" customHeight="1">
      <c r="A532" s="364" t="s">
        <v>55</v>
      </c>
      <c r="B532" s="364" t="s">
        <v>23</v>
      </c>
      <c r="C532" s="365" t="s">
        <v>260</v>
      </c>
      <c r="D532" s="364" t="s">
        <v>261</v>
      </c>
      <c r="E532" s="366">
        <v>7.0</v>
      </c>
      <c r="F532" s="367">
        <v>45917.375</v>
      </c>
      <c r="G532" s="364" t="s">
        <v>1185</v>
      </c>
      <c r="H532" s="364" t="s">
        <v>1190</v>
      </c>
    </row>
    <row r="533" ht="15.75" customHeight="1">
      <c r="A533" s="364" t="s">
        <v>55</v>
      </c>
      <c r="B533" s="364" t="s">
        <v>23</v>
      </c>
      <c r="C533" s="365" t="s">
        <v>260</v>
      </c>
      <c r="D533" s="364" t="s">
        <v>261</v>
      </c>
      <c r="E533" s="366">
        <v>8.0</v>
      </c>
      <c r="F533" s="367">
        <v>45923.375</v>
      </c>
      <c r="G533" s="364" t="s">
        <v>1187</v>
      </c>
      <c r="H533" s="364" t="s">
        <v>1190</v>
      </c>
    </row>
    <row r="534" ht="15.75" customHeight="1">
      <c r="A534" s="364" t="s">
        <v>55</v>
      </c>
      <c r="B534" s="364" t="s">
        <v>23</v>
      </c>
      <c r="C534" s="365" t="s">
        <v>260</v>
      </c>
      <c r="D534" s="364" t="s">
        <v>261</v>
      </c>
      <c r="E534" s="366">
        <v>9.0</v>
      </c>
      <c r="F534" s="367">
        <v>45932.375</v>
      </c>
      <c r="G534" s="364" t="s">
        <v>1185</v>
      </c>
      <c r="H534" s="364" t="s">
        <v>1190</v>
      </c>
    </row>
    <row r="535" ht="15.75" customHeight="1">
      <c r="A535" s="364" t="s">
        <v>55</v>
      </c>
      <c r="B535" s="364" t="s">
        <v>23</v>
      </c>
      <c r="C535" s="365" t="s">
        <v>260</v>
      </c>
      <c r="D535" s="364" t="s">
        <v>261</v>
      </c>
      <c r="E535" s="366">
        <v>10.0</v>
      </c>
      <c r="F535" s="367">
        <v>45939.375</v>
      </c>
      <c r="G535" s="364" t="s">
        <v>1185</v>
      </c>
      <c r="H535" s="364" t="s">
        <v>1190</v>
      </c>
    </row>
    <row r="536" ht="15.75" customHeight="1">
      <c r="A536" s="364" t="s">
        <v>55</v>
      </c>
      <c r="B536" s="364" t="s">
        <v>23</v>
      </c>
      <c r="C536" s="365" t="s">
        <v>260</v>
      </c>
      <c r="D536" s="364" t="s">
        <v>261</v>
      </c>
      <c r="E536" s="366">
        <v>11.0</v>
      </c>
      <c r="F536" s="367">
        <v>45944.41666666667</v>
      </c>
      <c r="G536" s="364" t="s">
        <v>1185</v>
      </c>
      <c r="H536" s="364" t="s">
        <v>1190</v>
      </c>
    </row>
    <row r="537" ht="15.75" customHeight="1">
      <c r="A537" s="364" t="s">
        <v>55</v>
      </c>
      <c r="B537" s="364" t="s">
        <v>23</v>
      </c>
      <c r="C537" s="365" t="s">
        <v>260</v>
      </c>
      <c r="D537" s="364" t="s">
        <v>261</v>
      </c>
      <c r="E537" s="366">
        <v>12.0</v>
      </c>
      <c r="F537" s="367">
        <v>45966.41666666667</v>
      </c>
      <c r="G537" s="364" t="s">
        <v>1185</v>
      </c>
      <c r="H537" s="364" t="s">
        <v>1190</v>
      </c>
    </row>
    <row r="538" ht="15.75" customHeight="1">
      <c r="A538" s="364" t="s">
        <v>55</v>
      </c>
      <c r="B538" s="364" t="s">
        <v>23</v>
      </c>
      <c r="C538" s="365" t="s">
        <v>260</v>
      </c>
      <c r="D538" s="364" t="s">
        <v>261</v>
      </c>
      <c r="E538" s="366">
        <v>13.0</v>
      </c>
      <c r="F538" s="367">
        <v>46007.41666666667</v>
      </c>
      <c r="G538" s="364" t="s">
        <v>1185</v>
      </c>
      <c r="H538" s="364" t="s">
        <v>1190</v>
      </c>
    </row>
    <row r="539" ht="15.75" customHeight="1">
      <c r="A539" s="364" t="s">
        <v>55</v>
      </c>
      <c r="B539" s="364" t="s">
        <v>23</v>
      </c>
      <c r="C539" s="365" t="s">
        <v>260</v>
      </c>
      <c r="D539" s="364" t="s">
        <v>261</v>
      </c>
      <c r="E539" s="366">
        <v>14.0</v>
      </c>
      <c r="F539" s="367">
        <v>46021.41666666667</v>
      </c>
      <c r="G539" s="364" t="s">
        <v>1185</v>
      </c>
      <c r="H539" s="364" t="s">
        <v>1190</v>
      </c>
    </row>
    <row r="540" ht="15.75" customHeight="1">
      <c r="A540" s="364" t="s">
        <v>55</v>
      </c>
      <c r="B540" s="364" t="s">
        <v>23</v>
      </c>
      <c r="C540" s="365" t="s">
        <v>260</v>
      </c>
      <c r="D540" s="364" t="s">
        <v>261</v>
      </c>
      <c r="E540" s="366">
        <v>15.0</v>
      </c>
      <c r="F540" s="367">
        <v>46035.41666666667</v>
      </c>
      <c r="G540" s="364" t="s">
        <v>1185</v>
      </c>
      <c r="H540" s="364" t="s">
        <v>1190</v>
      </c>
    </row>
    <row r="541" ht="15.75" customHeight="1">
      <c r="A541" s="364" t="s">
        <v>55</v>
      </c>
      <c r="B541" s="364" t="s">
        <v>23</v>
      </c>
      <c r="C541" s="365" t="s">
        <v>260</v>
      </c>
      <c r="D541" s="364" t="s">
        <v>261</v>
      </c>
      <c r="E541" s="366">
        <v>16.0</v>
      </c>
      <c r="F541" s="367">
        <v>46084.41666666667</v>
      </c>
      <c r="G541" s="364" t="s">
        <v>1185</v>
      </c>
      <c r="H541" s="364" t="s">
        <v>1190</v>
      </c>
    </row>
    <row r="542" ht="15.75" customHeight="1">
      <c r="A542" s="364" t="s">
        <v>55</v>
      </c>
      <c r="B542" s="364" t="s">
        <v>23</v>
      </c>
      <c r="C542" s="365" t="s">
        <v>262</v>
      </c>
      <c r="D542" s="364" t="s">
        <v>263</v>
      </c>
      <c r="E542" s="366">
        <v>1.0</v>
      </c>
      <c r="F542" s="367">
        <v>45869.58333333333</v>
      </c>
      <c r="G542" s="364" t="s">
        <v>1187</v>
      </c>
      <c r="H542" s="364" t="s">
        <v>1190</v>
      </c>
    </row>
    <row r="543" ht="15.75" customHeight="1">
      <c r="A543" s="364" t="s">
        <v>55</v>
      </c>
      <c r="B543" s="364" t="s">
        <v>23</v>
      </c>
      <c r="C543" s="365" t="s">
        <v>262</v>
      </c>
      <c r="D543" s="364" t="s">
        <v>263</v>
      </c>
      <c r="E543" s="366">
        <v>2.0</v>
      </c>
      <c r="F543" s="367">
        <v>45881.375</v>
      </c>
      <c r="G543" s="364" t="s">
        <v>1187</v>
      </c>
      <c r="H543" s="364" t="s">
        <v>1190</v>
      </c>
    </row>
    <row r="544" ht="15.75" customHeight="1">
      <c r="A544" s="364" t="s">
        <v>55</v>
      </c>
      <c r="B544" s="364" t="s">
        <v>23</v>
      </c>
      <c r="C544" s="365" t="s">
        <v>262</v>
      </c>
      <c r="D544" s="364" t="s">
        <v>263</v>
      </c>
      <c r="E544" s="366">
        <v>3.0</v>
      </c>
      <c r="F544" s="367">
        <v>45890.375</v>
      </c>
      <c r="G544" s="364" t="s">
        <v>1187</v>
      </c>
      <c r="H544" s="364" t="s">
        <v>1190</v>
      </c>
    </row>
    <row r="545" ht="15.75" customHeight="1">
      <c r="A545" s="364" t="s">
        <v>55</v>
      </c>
      <c r="B545" s="364" t="s">
        <v>23</v>
      </c>
      <c r="C545" s="365" t="s">
        <v>262</v>
      </c>
      <c r="D545" s="364" t="s">
        <v>263</v>
      </c>
      <c r="E545" s="366">
        <v>4.0</v>
      </c>
      <c r="F545" s="367">
        <v>45897.625</v>
      </c>
      <c r="G545" s="364" t="s">
        <v>1187</v>
      </c>
      <c r="H545" s="364" t="s">
        <v>1190</v>
      </c>
    </row>
    <row r="546" ht="15.75" customHeight="1">
      <c r="A546" s="364" t="s">
        <v>55</v>
      </c>
      <c r="B546" s="364" t="s">
        <v>23</v>
      </c>
      <c r="C546" s="365" t="s">
        <v>262</v>
      </c>
      <c r="D546" s="364" t="s">
        <v>263</v>
      </c>
      <c r="E546" s="366">
        <v>5.0</v>
      </c>
      <c r="F546" s="367">
        <v>45904.375</v>
      </c>
      <c r="G546" s="364" t="s">
        <v>1187</v>
      </c>
      <c r="H546" s="364" t="s">
        <v>1190</v>
      </c>
    </row>
    <row r="547" ht="15.75" customHeight="1">
      <c r="A547" s="364" t="s">
        <v>55</v>
      </c>
      <c r="B547" s="364" t="s">
        <v>23</v>
      </c>
      <c r="C547" s="365" t="s">
        <v>262</v>
      </c>
      <c r="D547" s="364" t="s">
        <v>263</v>
      </c>
      <c r="E547" s="366">
        <v>6.0</v>
      </c>
      <c r="F547" s="367">
        <v>45909.375</v>
      </c>
      <c r="G547" s="364" t="s">
        <v>1187</v>
      </c>
      <c r="H547" s="364" t="s">
        <v>1190</v>
      </c>
    </row>
    <row r="548" ht="15.75" customHeight="1">
      <c r="A548" s="364" t="s">
        <v>55</v>
      </c>
      <c r="B548" s="364" t="s">
        <v>23</v>
      </c>
      <c r="C548" s="365" t="s">
        <v>262</v>
      </c>
      <c r="D548" s="364" t="s">
        <v>263</v>
      </c>
      <c r="E548" s="366">
        <v>7.0</v>
      </c>
      <c r="F548" s="367">
        <v>45917.375</v>
      </c>
      <c r="G548" s="364" t="s">
        <v>1187</v>
      </c>
      <c r="H548" s="364" t="s">
        <v>1190</v>
      </c>
    </row>
    <row r="549" ht="15.75" customHeight="1">
      <c r="A549" s="364" t="s">
        <v>55</v>
      </c>
      <c r="B549" s="364" t="s">
        <v>23</v>
      </c>
      <c r="C549" s="365" t="s">
        <v>262</v>
      </c>
      <c r="D549" s="364" t="s">
        <v>263</v>
      </c>
      <c r="E549" s="366">
        <v>8.0</v>
      </c>
      <c r="F549" s="367">
        <v>45923.375</v>
      </c>
      <c r="G549" s="364" t="s">
        <v>1187</v>
      </c>
      <c r="H549" s="364" t="s">
        <v>1190</v>
      </c>
    </row>
    <row r="550" ht="15.75" customHeight="1">
      <c r="A550" s="364" t="s">
        <v>55</v>
      </c>
      <c r="B550" s="364" t="s">
        <v>23</v>
      </c>
      <c r="C550" s="365" t="s">
        <v>262</v>
      </c>
      <c r="D550" s="364" t="s">
        <v>263</v>
      </c>
      <c r="E550" s="366">
        <v>9.0</v>
      </c>
      <c r="F550" s="367">
        <v>45932.375</v>
      </c>
      <c r="G550" s="364" t="s">
        <v>1187</v>
      </c>
      <c r="H550" s="364" t="s">
        <v>1190</v>
      </c>
    </row>
    <row r="551" ht="15.75" customHeight="1">
      <c r="A551" s="364" t="s">
        <v>55</v>
      </c>
      <c r="B551" s="364" t="s">
        <v>23</v>
      </c>
      <c r="C551" s="365" t="s">
        <v>262</v>
      </c>
      <c r="D551" s="364" t="s">
        <v>263</v>
      </c>
      <c r="E551" s="366">
        <v>10.0</v>
      </c>
      <c r="F551" s="367">
        <v>45939.375</v>
      </c>
      <c r="G551" s="364" t="s">
        <v>1187</v>
      </c>
      <c r="H551" s="364" t="s">
        <v>1190</v>
      </c>
    </row>
    <row r="552" ht="15.75" customHeight="1">
      <c r="A552" s="364" t="s">
        <v>55</v>
      </c>
      <c r="B552" s="364" t="s">
        <v>23</v>
      </c>
      <c r="C552" s="365" t="s">
        <v>262</v>
      </c>
      <c r="D552" s="364" t="s">
        <v>263</v>
      </c>
      <c r="E552" s="366">
        <v>11.0</v>
      </c>
      <c r="F552" s="367">
        <v>45944.41666666667</v>
      </c>
      <c r="G552" s="364" t="s">
        <v>1187</v>
      </c>
      <c r="H552" s="364" t="s">
        <v>1190</v>
      </c>
    </row>
    <row r="553" ht="15.75" customHeight="1">
      <c r="A553" s="364" t="s">
        <v>55</v>
      </c>
      <c r="B553" s="364" t="s">
        <v>23</v>
      </c>
      <c r="C553" s="365" t="s">
        <v>262</v>
      </c>
      <c r="D553" s="364" t="s">
        <v>263</v>
      </c>
      <c r="E553" s="366">
        <v>12.0</v>
      </c>
      <c r="F553" s="367">
        <v>45966.41666666667</v>
      </c>
      <c r="G553" s="364" t="s">
        <v>1187</v>
      </c>
      <c r="H553" s="364" t="s">
        <v>1190</v>
      </c>
    </row>
    <row r="554" ht="15.75" customHeight="1">
      <c r="A554" s="364" t="s">
        <v>55</v>
      </c>
      <c r="B554" s="364" t="s">
        <v>23</v>
      </c>
      <c r="C554" s="365" t="s">
        <v>262</v>
      </c>
      <c r="D554" s="364" t="s">
        <v>263</v>
      </c>
      <c r="E554" s="366">
        <v>13.0</v>
      </c>
      <c r="F554" s="367">
        <v>46007.41666666667</v>
      </c>
      <c r="G554" s="364" t="s">
        <v>1187</v>
      </c>
      <c r="H554" s="364" t="s">
        <v>1190</v>
      </c>
    </row>
    <row r="555" ht="15.75" customHeight="1">
      <c r="A555" s="364" t="s">
        <v>55</v>
      </c>
      <c r="B555" s="364" t="s">
        <v>23</v>
      </c>
      <c r="C555" s="365" t="s">
        <v>262</v>
      </c>
      <c r="D555" s="364" t="s">
        <v>263</v>
      </c>
      <c r="E555" s="366">
        <v>14.0</v>
      </c>
      <c r="F555" s="367">
        <v>46021.41666666667</v>
      </c>
      <c r="G555" s="364" t="s">
        <v>1187</v>
      </c>
      <c r="H555" s="364" t="s">
        <v>1190</v>
      </c>
    </row>
    <row r="556" ht="15.75" customHeight="1">
      <c r="A556" s="364" t="s">
        <v>55</v>
      </c>
      <c r="B556" s="364" t="s">
        <v>23</v>
      </c>
      <c r="C556" s="365" t="s">
        <v>262</v>
      </c>
      <c r="D556" s="364" t="s">
        <v>263</v>
      </c>
      <c r="E556" s="366">
        <v>15.0</v>
      </c>
      <c r="F556" s="367">
        <v>46035.41666666667</v>
      </c>
      <c r="G556" s="364" t="s">
        <v>1187</v>
      </c>
      <c r="H556" s="364" t="s">
        <v>1190</v>
      </c>
    </row>
    <row r="557" ht="15.75" customHeight="1">
      <c r="A557" s="364" t="s">
        <v>55</v>
      </c>
      <c r="B557" s="364" t="s">
        <v>23</v>
      </c>
      <c r="C557" s="365" t="s">
        <v>262</v>
      </c>
      <c r="D557" s="364" t="s">
        <v>263</v>
      </c>
      <c r="E557" s="366">
        <v>16.0</v>
      </c>
      <c r="F557" s="367">
        <v>46084.41666666667</v>
      </c>
      <c r="G557" s="364" t="s">
        <v>1187</v>
      </c>
      <c r="H557" s="364" t="s">
        <v>1190</v>
      </c>
    </row>
    <row r="558" ht="15.75" customHeight="1">
      <c r="A558" s="364" t="s">
        <v>56</v>
      </c>
      <c r="B558" s="364" t="s">
        <v>22</v>
      </c>
      <c r="C558" s="365" t="s">
        <v>300</v>
      </c>
      <c r="D558" s="364" t="s">
        <v>301</v>
      </c>
      <c r="E558" s="366">
        <v>1.0</v>
      </c>
      <c r="F558" s="367">
        <v>45639.625</v>
      </c>
      <c r="G558" s="364" t="s">
        <v>1185</v>
      </c>
      <c r="H558" s="364" t="s">
        <v>1191</v>
      </c>
    </row>
    <row r="559" ht="15.75" customHeight="1">
      <c r="A559" s="364" t="s">
        <v>56</v>
      </c>
      <c r="B559" s="364" t="s">
        <v>22</v>
      </c>
      <c r="C559" s="365" t="s">
        <v>300</v>
      </c>
      <c r="D559" s="364" t="s">
        <v>301</v>
      </c>
      <c r="E559" s="366">
        <v>2.0</v>
      </c>
      <c r="F559" s="367">
        <v>45649.45833333333</v>
      </c>
      <c r="G559" s="364" t="s">
        <v>1185</v>
      </c>
      <c r="H559" s="364" t="s">
        <v>1191</v>
      </c>
    </row>
    <row r="560" ht="15.75" customHeight="1">
      <c r="A560" s="364" t="s">
        <v>56</v>
      </c>
      <c r="B560" s="364" t="s">
        <v>22</v>
      </c>
      <c r="C560" s="365" t="s">
        <v>300</v>
      </c>
      <c r="D560" s="364" t="s">
        <v>301</v>
      </c>
      <c r="E560" s="366">
        <v>3.0</v>
      </c>
      <c r="F560" s="367">
        <v>45670.58333333333</v>
      </c>
      <c r="G560" s="364" t="s">
        <v>1185</v>
      </c>
      <c r="H560" s="364" t="s">
        <v>1191</v>
      </c>
    </row>
    <row r="561" ht="15.75" customHeight="1">
      <c r="A561" s="364" t="s">
        <v>56</v>
      </c>
      <c r="B561" s="364" t="s">
        <v>22</v>
      </c>
      <c r="C561" s="365" t="s">
        <v>300</v>
      </c>
      <c r="D561" s="364" t="s">
        <v>301</v>
      </c>
      <c r="E561" s="366">
        <v>4.0</v>
      </c>
      <c r="F561" s="367">
        <v>45693.54166666667</v>
      </c>
      <c r="G561" s="364" t="s">
        <v>1185</v>
      </c>
      <c r="H561" s="364" t="s">
        <v>1191</v>
      </c>
    </row>
    <row r="562" ht="15.75" customHeight="1">
      <c r="A562" s="364" t="s">
        <v>56</v>
      </c>
      <c r="B562" s="364" t="s">
        <v>22</v>
      </c>
      <c r="C562" s="365" t="s">
        <v>300</v>
      </c>
      <c r="D562" s="364" t="s">
        <v>301</v>
      </c>
      <c r="E562" s="366">
        <v>5.0</v>
      </c>
      <c r="F562" s="367">
        <v>45707.54166666667</v>
      </c>
      <c r="G562" s="364" t="s">
        <v>1185</v>
      </c>
      <c r="H562" s="364" t="s">
        <v>1191</v>
      </c>
    </row>
    <row r="563" ht="15.75" customHeight="1">
      <c r="A563" s="364" t="s">
        <v>56</v>
      </c>
      <c r="B563" s="364" t="s">
        <v>22</v>
      </c>
      <c r="C563" s="365" t="s">
        <v>300</v>
      </c>
      <c r="D563" s="364" t="s">
        <v>301</v>
      </c>
      <c r="E563" s="366">
        <v>6.0</v>
      </c>
      <c r="F563" s="367">
        <v>45715.54166666667</v>
      </c>
      <c r="G563" s="364" t="s">
        <v>1185</v>
      </c>
      <c r="H563" s="364" t="s">
        <v>1191</v>
      </c>
    </row>
    <row r="564" ht="15.75" customHeight="1">
      <c r="A564" s="364" t="s">
        <v>56</v>
      </c>
      <c r="B564" s="364" t="s">
        <v>22</v>
      </c>
      <c r="C564" s="365" t="s">
        <v>300</v>
      </c>
      <c r="D564" s="364" t="s">
        <v>301</v>
      </c>
      <c r="E564" s="366">
        <v>7.0</v>
      </c>
      <c r="F564" s="367">
        <v>45764.54166666667</v>
      </c>
      <c r="G564" s="364" t="s">
        <v>1187</v>
      </c>
      <c r="H564" s="364" t="s">
        <v>1191</v>
      </c>
    </row>
    <row r="565" ht="15.75" customHeight="1">
      <c r="A565" s="364" t="s">
        <v>56</v>
      </c>
      <c r="B565" s="364" t="s">
        <v>22</v>
      </c>
      <c r="C565" s="365" t="s">
        <v>300</v>
      </c>
      <c r="D565" s="364" t="s">
        <v>301</v>
      </c>
      <c r="E565" s="366">
        <v>8.0</v>
      </c>
      <c r="F565" s="367">
        <v>45782.58333333333</v>
      </c>
      <c r="G565" s="364" t="s">
        <v>1185</v>
      </c>
      <c r="H565" s="364" t="s">
        <v>1191</v>
      </c>
    </row>
    <row r="566" ht="15.75" customHeight="1">
      <c r="A566" s="364" t="s">
        <v>56</v>
      </c>
      <c r="B566" s="364" t="s">
        <v>22</v>
      </c>
      <c r="C566" s="365" t="s">
        <v>300</v>
      </c>
      <c r="D566" s="364" t="s">
        <v>301</v>
      </c>
      <c r="E566" s="366">
        <v>9.0</v>
      </c>
      <c r="F566" s="367">
        <v>45803.58333333333</v>
      </c>
      <c r="G566" s="364" t="s">
        <v>1185</v>
      </c>
      <c r="H566" s="364" t="s">
        <v>1191</v>
      </c>
    </row>
    <row r="567" ht="15.75" customHeight="1">
      <c r="A567" s="364" t="s">
        <v>56</v>
      </c>
      <c r="B567" s="364" t="s">
        <v>22</v>
      </c>
      <c r="C567" s="365" t="s">
        <v>300</v>
      </c>
      <c r="D567" s="364" t="s">
        <v>301</v>
      </c>
      <c r="E567" s="366">
        <v>10.0</v>
      </c>
      <c r="F567" s="367">
        <v>45839.58333333333</v>
      </c>
      <c r="G567" s="364" t="s">
        <v>1185</v>
      </c>
      <c r="H567" s="364" t="s">
        <v>1191</v>
      </c>
    </row>
    <row r="568" ht="15.75" customHeight="1">
      <c r="A568" s="364" t="s">
        <v>56</v>
      </c>
      <c r="B568" s="364" t="s">
        <v>22</v>
      </c>
      <c r="C568" s="365" t="s">
        <v>304</v>
      </c>
      <c r="D568" s="364" t="s">
        <v>305</v>
      </c>
      <c r="E568" s="366">
        <v>1.0</v>
      </c>
      <c r="F568" s="367">
        <v>45637.41666666667</v>
      </c>
      <c r="G568" s="364" t="s">
        <v>1185</v>
      </c>
      <c r="H568" s="364" t="s">
        <v>1191</v>
      </c>
    </row>
    <row r="569" ht="15.75" customHeight="1">
      <c r="A569" s="364" t="s">
        <v>56</v>
      </c>
      <c r="B569" s="364" t="s">
        <v>22</v>
      </c>
      <c r="C569" s="365" t="s">
        <v>304</v>
      </c>
      <c r="D569" s="364" t="s">
        <v>305</v>
      </c>
      <c r="E569" s="366">
        <v>2.0</v>
      </c>
      <c r="F569" s="367">
        <v>45656.45833333333</v>
      </c>
      <c r="G569" s="364" t="s">
        <v>1185</v>
      </c>
      <c r="H569" s="364" t="s">
        <v>1191</v>
      </c>
    </row>
    <row r="570" ht="15.75" customHeight="1">
      <c r="A570" s="364" t="s">
        <v>56</v>
      </c>
      <c r="B570" s="364" t="s">
        <v>22</v>
      </c>
      <c r="C570" s="365" t="s">
        <v>304</v>
      </c>
      <c r="D570" s="364" t="s">
        <v>305</v>
      </c>
      <c r="E570" s="366">
        <v>3.0</v>
      </c>
      <c r="F570" s="367">
        <v>45670.58333333333</v>
      </c>
      <c r="G570" s="364" t="s">
        <v>1185</v>
      </c>
      <c r="H570" s="364" t="s">
        <v>1191</v>
      </c>
    </row>
    <row r="571" ht="15.75" customHeight="1">
      <c r="A571" s="364" t="s">
        <v>56</v>
      </c>
      <c r="B571" s="364" t="s">
        <v>22</v>
      </c>
      <c r="C571" s="365" t="s">
        <v>304</v>
      </c>
      <c r="D571" s="364" t="s">
        <v>305</v>
      </c>
      <c r="E571" s="366">
        <v>4.0</v>
      </c>
      <c r="F571" s="367">
        <v>45693.54166666667</v>
      </c>
      <c r="G571" s="364" t="s">
        <v>1185</v>
      </c>
      <c r="H571" s="364" t="s">
        <v>1191</v>
      </c>
    </row>
    <row r="572" ht="15.75" customHeight="1">
      <c r="A572" s="364" t="s">
        <v>56</v>
      </c>
      <c r="B572" s="364" t="s">
        <v>22</v>
      </c>
      <c r="C572" s="365" t="s">
        <v>304</v>
      </c>
      <c r="D572" s="364" t="s">
        <v>305</v>
      </c>
      <c r="E572" s="366">
        <v>5.0</v>
      </c>
      <c r="F572" s="367">
        <v>45707.54166666667</v>
      </c>
      <c r="G572" s="364" t="s">
        <v>1185</v>
      </c>
      <c r="H572" s="364" t="s">
        <v>1191</v>
      </c>
    </row>
    <row r="573" ht="15.75" customHeight="1">
      <c r="A573" s="364" t="s">
        <v>56</v>
      </c>
      <c r="B573" s="364" t="s">
        <v>22</v>
      </c>
      <c r="C573" s="365" t="s">
        <v>304</v>
      </c>
      <c r="D573" s="364" t="s">
        <v>305</v>
      </c>
      <c r="E573" s="366">
        <v>6.0</v>
      </c>
      <c r="F573" s="367">
        <v>45715.54166666667</v>
      </c>
      <c r="G573" s="364" t="s">
        <v>1185</v>
      </c>
      <c r="H573" s="364" t="s">
        <v>1191</v>
      </c>
    </row>
    <row r="574" ht="15.75" customHeight="1">
      <c r="A574" s="364" t="s">
        <v>56</v>
      </c>
      <c r="B574" s="364" t="s">
        <v>22</v>
      </c>
      <c r="C574" s="365" t="s">
        <v>304</v>
      </c>
      <c r="D574" s="364" t="s">
        <v>305</v>
      </c>
      <c r="E574" s="366">
        <v>7.0</v>
      </c>
      <c r="F574" s="367">
        <v>45764.54166666667</v>
      </c>
      <c r="G574" s="364" t="s">
        <v>1185</v>
      </c>
      <c r="H574" s="364" t="s">
        <v>1191</v>
      </c>
    </row>
    <row r="575" ht="15.75" customHeight="1">
      <c r="A575" s="364" t="s">
        <v>56</v>
      </c>
      <c r="B575" s="364" t="s">
        <v>22</v>
      </c>
      <c r="C575" s="365" t="s">
        <v>304</v>
      </c>
      <c r="D575" s="364" t="s">
        <v>305</v>
      </c>
      <c r="E575" s="366">
        <v>8.0</v>
      </c>
      <c r="F575" s="367">
        <v>45782.54166666667</v>
      </c>
      <c r="G575" s="364" t="s">
        <v>1185</v>
      </c>
      <c r="H575" s="364" t="s">
        <v>1191</v>
      </c>
    </row>
    <row r="576" ht="15.75" customHeight="1">
      <c r="A576" s="364" t="s">
        <v>56</v>
      </c>
      <c r="B576" s="364" t="s">
        <v>22</v>
      </c>
      <c r="C576" s="365" t="s">
        <v>304</v>
      </c>
      <c r="D576" s="364" t="s">
        <v>305</v>
      </c>
      <c r="E576" s="366">
        <v>9.0</v>
      </c>
      <c r="F576" s="367">
        <v>45803.58333333333</v>
      </c>
      <c r="G576" s="364" t="s">
        <v>1187</v>
      </c>
      <c r="H576" s="364" t="s">
        <v>1191</v>
      </c>
    </row>
    <row r="577" ht="15.75" customHeight="1">
      <c r="A577" s="364" t="s">
        <v>56</v>
      </c>
      <c r="B577" s="364" t="s">
        <v>22</v>
      </c>
      <c r="C577" s="365" t="s">
        <v>304</v>
      </c>
      <c r="D577" s="364" t="s">
        <v>305</v>
      </c>
      <c r="E577" s="366">
        <v>10.0</v>
      </c>
      <c r="F577" s="367">
        <v>45839.58333333333</v>
      </c>
      <c r="G577" s="364" t="s">
        <v>1185</v>
      </c>
      <c r="H577" s="364" t="s">
        <v>1191</v>
      </c>
    </row>
    <row r="578" ht="15.75" customHeight="1">
      <c r="A578" s="364" t="s">
        <v>56</v>
      </c>
      <c r="B578" s="364" t="s">
        <v>22</v>
      </c>
      <c r="C578" s="365" t="s">
        <v>306</v>
      </c>
      <c r="D578" s="364" t="s">
        <v>307</v>
      </c>
      <c r="E578" s="366">
        <v>1.0</v>
      </c>
      <c r="F578" s="367">
        <v>45637.41666666667</v>
      </c>
      <c r="G578" s="364" t="s">
        <v>1185</v>
      </c>
      <c r="H578" s="364" t="s">
        <v>1191</v>
      </c>
    </row>
    <row r="579" ht="15.75" customHeight="1">
      <c r="A579" s="364" t="s">
        <v>56</v>
      </c>
      <c r="B579" s="364" t="s">
        <v>22</v>
      </c>
      <c r="C579" s="365" t="s">
        <v>306</v>
      </c>
      <c r="D579" s="364" t="s">
        <v>307</v>
      </c>
      <c r="E579" s="366">
        <v>2.0</v>
      </c>
      <c r="F579" s="367">
        <v>45656.45833333333</v>
      </c>
      <c r="G579" s="364" t="s">
        <v>1185</v>
      </c>
      <c r="H579" s="364" t="s">
        <v>1191</v>
      </c>
    </row>
    <row r="580" ht="15.75" customHeight="1">
      <c r="A580" s="364" t="s">
        <v>56</v>
      </c>
      <c r="B580" s="364" t="s">
        <v>22</v>
      </c>
      <c r="C580" s="365" t="s">
        <v>306</v>
      </c>
      <c r="D580" s="364" t="s">
        <v>307</v>
      </c>
      <c r="E580" s="366">
        <v>3.0</v>
      </c>
      <c r="F580" s="367">
        <v>45670.58333333333</v>
      </c>
      <c r="G580" s="364" t="s">
        <v>1185</v>
      </c>
      <c r="H580" s="364" t="s">
        <v>1191</v>
      </c>
    </row>
    <row r="581" ht="15.75" customHeight="1">
      <c r="A581" s="364" t="s">
        <v>56</v>
      </c>
      <c r="B581" s="364" t="s">
        <v>22</v>
      </c>
      <c r="C581" s="365" t="s">
        <v>306</v>
      </c>
      <c r="D581" s="364" t="s">
        <v>307</v>
      </c>
      <c r="E581" s="366">
        <v>4.0</v>
      </c>
      <c r="F581" s="367">
        <v>45693.54166666667</v>
      </c>
      <c r="G581" s="364" t="s">
        <v>1185</v>
      </c>
      <c r="H581" s="364" t="s">
        <v>1191</v>
      </c>
    </row>
    <row r="582" ht="15.75" customHeight="1">
      <c r="A582" s="364" t="s">
        <v>56</v>
      </c>
      <c r="B582" s="364" t="s">
        <v>22</v>
      </c>
      <c r="C582" s="365" t="s">
        <v>306</v>
      </c>
      <c r="D582" s="364" t="s">
        <v>307</v>
      </c>
      <c r="E582" s="366">
        <v>5.0</v>
      </c>
      <c r="F582" s="367">
        <v>45707.54166666667</v>
      </c>
      <c r="G582" s="364" t="s">
        <v>1185</v>
      </c>
      <c r="H582" s="364" t="s">
        <v>1191</v>
      </c>
    </row>
    <row r="583" ht="15.75" customHeight="1">
      <c r="A583" s="364" t="s">
        <v>56</v>
      </c>
      <c r="B583" s="364" t="s">
        <v>22</v>
      </c>
      <c r="C583" s="365" t="s">
        <v>306</v>
      </c>
      <c r="D583" s="364" t="s">
        <v>307</v>
      </c>
      <c r="E583" s="366">
        <v>6.0</v>
      </c>
      <c r="F583" s="367">
        <v>45715.54166666667</v>
      </c>
      <c r="G583" s="364" t="s">
        <v>1185</v>
      </c>
      <c r="H583" s="364" t="s">
        <v>1191</v>
      </c>
    </row>
    <row r="584" ht="15.75" customHeight="1">
      <c r="A584" s="364" t="s">
        <v>56</v>
      </c>
      <c r="B584" s="364" t="s">
        <v>22</v>
      </c>
      <c r="C584" s="365" t="s">
        <v>306</v>
      </c>
      <c r="D584" s="364" t="s">
        <v>307</v>
      </c>
      <c r="E584" s="366">
        <v>7.0</v>
      </c>
      <c r="F584" s="367">
        <v>45764.54166666667</v>
      </c>
      <c r="G584" s="364" t="s">
        <v>1185</v>
      </c>
      <c r="H584" s="364" t="s">
        <v>1191</v>
      </c>
    </row>
    <row r="585" ht="15.75" customHeight="1">
      <c r="A585" s="364" t="s">
        <v>56</v>
      </c>
      <c r="B585" s="364" t="s">
        <v>22</v>
      </c>
      <c r="C585" s="365" t="s">
        <v>306</v>
      </c>
      <c r="D585" s="364" t="s">
        <v>307</v>
      </c>
      <c r="E585" s="366">
        <v>8.0</v>
      </c>
      <c r="F585" s="367">
        <v>45782.58333333333</v>
      </c>
      <c r="G585" s="364" t="s">
        <v>1187</v>
      </c>
      <c r="H585" s="364" t="s">
        <v>1191</v>
      </c>
    </row>
    <row r="586" ht="15.75" customHeight="1">
      <c r="A586" s="364" t="s">
        <v>56</v>
      </c>
      <c r="B586" s="364" t="s">
        <v>22</v>
      </c>
      <c r="C586" s="365" t="s">
        <v>306</v>
      </c>
      <c r="D586" s="364" t="s">
        <v>307</v>
      </c>
      <c r="E586" s="366">
        <v>9.0</v>
      </c>
      <c r="F586" s="367">
        <v>45803.58333333333</v>
      </c>
      <c r="G586" s="364" t="s">
        <v>1185</v>
      </c>
      <c r="H586" s="364" t="s">
        <v>1191</v>
      </c>
    </row>
    <row r="587" ht="15.75" customHeight="1">
      <c r="A587" s="364" t="s">
        <v>56</v>
      </c>
      <c r="B587" s="364" t="s">
        <v>22</v>
      </c>
      <c r="C587" s="365" t="s">
        <v>306</v>
      </c>
      <c r="D587" s="364" t="s">
        <v>307</v>
      </c>
      <c r="E587" s="366">
        <v>10.0</v>
      </c>
      <c r="F587" s="367">
        <v>45839.58333333333</v>
      </c>
      <c r="G587" s="364" t="s">
        <v>1185</v>
      </c>
      <c r="H587" s="364" t="s">
        <v>1191</v>
      </c>
    </row>
    <row r="588" ht="15.75" customHeight="1">
      <c r="A588" s="364" t="s">
        <v>56</v>
      </c>
      <c r="B588" s="364" t="s">
        <v>22</v>
      </c>
      <c r="C588" s="365" t="s">
        <v>272</v>
      </c>
      <c r="D588" s="364" t="s">
        <v>273</v>
      </c>
      <c r="E588" s="366">
        <v>1.0</v>
      </c>
      <c r="F588" s="367">
        <v>45639.625</v>
      </c>
      <c r="G588" s="364" t="s">
        <v>1185</v>
      </c>
      <c r="H588" s="364" t="s">
        <v>1191</v>
      </c>
    </row>
    <row r="589" ht="15.75" customHeight="1">
      <c r="A589" s="364" t="s">
        <v>56</v>
      </c>
      <c r="B589" s="364" t="s">
        <v>22</v>
      </c>
      <c r="C589" s="365" t="s">
        <v>272</v>
      </c>
      <c r="D589" s="364" t="s">
        <v>273</v>
      </c>
      <c r="E589" s="366">
        <v>2.0</v>
      </c>
      <c r="F589" s="367">
        <v>45649.45833333333</v>
      </c>
      <c r="G589" s="364" t="s">
        <v>1185</v>
      </c>
      <c r="H589" s="364" t="s">
        <v>1191</v>
      </c>
    </row>
    <row r="590" ht="15.75" customHeight="1">
      <c r="A590" s="364" t="s">
        <v>56</v>
      </c>
      <c r="B590" s="364" t="s">
        <v>22</v>
      </c>
      <c r="C590" s="365" t="s">
        <v>272</v>
      </c>
      <c r="D590" s="364" t="s">
        <v>273</v>
      </c>
      <c r="E590" s="366">
        <v>3.0</v>
      </c>
      <c r="F590" s="367">
        <v>45670.58333333333</v>
      </c>
      <c r="G590" s="364" t="s">
        <v>1185</v>
      </c>
      <c r="H590" s="364" t="s">
        <v>1191</v>
      </c>
    </row>
    <row r="591" ht="15.75" customHeight="1">
      <c r="A591" s="364" t="s">
        <v>56</v>
      </c>
      <c r="B591" s="364" t="s">
        <v>22</v>
      </c>
      <c r="C591" s="365" t="s">
        <v>272</v>
      </c>
      <c r="D591" s="364" t="s">
        <v>273</v>
      </c>
      <c r="E591" s="366">
        <v>4.0</v>
      </c>
      <c r="F591" s="367">
        <v>45693.54166666667</v>
      </c>
      <c r="G591" s="364" t="s">
        <v>1185</v>
      </c>
      <c r="H591" s="364" t="s">
        <v>1191</v>
      </c>
    </row>
    <row r="592" ht="15.75" customHeight="1">
      <c r="A592" s="364" t="s">
        <v>56</v>
      </c>
      <c r="B592" s="364" t="s">
        <v>22</v>
      </c>
      <c r="C592" s="365" t="s">
        <v>272</v>
      </c>
      <c r="D592" s="364" t="s">
        <v>273</v>
      </c>
      <c r="E592" s="366">
        <v>5.0</v>
      </c>
      <c r="F592" s="367">
        <v>45707.54166666667</v>
      </c>
      <c r="G592" s="364" t="s">
        <v>1185</v>
      </c>
      <c r="H592" s="364" t="s">
        <v>1191</v>
      </c>
    </row>
    <row r="593" ht="15.75" customHeight="1">
      <c r="A593" s="364" t="s">
        <v>56</v>
      </c>
      <c r="B593" s="364" t="s">
        <v>22</v>
      </c>
      <c r="C593" s="365" t="s">
        <v>272</v>
      </c>
      <c r="D593" s="364" t="s">
        <v>273</v>
      </c>
      <c r="E593" s="366">
        <v>6.0</v>
      </c>
      <c r="F593" s="367">
        <v>45715.54166666667</v>
      </c>
      <c r="G593" s="364" t="s">
        <v>1185</v>
      </c>
      <c r="H593" s="364" t="s">
        <v>1191</v>
      </c>
    </row>
    <row r="594" ht="15.75" customHeight="1">
      <c r="A594" s="364" t="s">
        <v>56</v>
      </c>
      <c r="B594" s="364" t="s">
        <v>22</v>
      </c>
      <c r="C594" s="365" t="s">
        <v>272</v>
      </c>
      <c r="D594" s="364" t="s">
        <v>273</v>
      </c>
      <c r="E594" s="366">
        <v>7.0</v>
      </c>
      <c r="F594" s="367">
        <v>45764.54166666667</v>
      </c>
      <c r="G594" s="364" t="s">
        <v>1185</v>
      </c>
      <c r="H594" s="364" t="s">
        <v>1191</v>
      </c>
    </row>
    <row r="595" ht="15.75" customHeight="1">
      <c r="A595" s="364" t="s">
        <v>56</v>
      </c>
      <c r="B595" s="364" t="s">
        <v>22</v>
      </c>
      <c r="C595" s="365" t="s">
        <v>272</v>
      </c>
      <c r="D595" s="364" t="s">
        <v>273</v>
      </c>
      <c r="E595" s="366">
        <v>8.0</v>
      </c>
      <c r="F595" s="367">
        <v>45782.58333333333</v>
      </c>
      <c r="G595" s="364" t="s">
        <v>1185</v>
      </c>
      <c r="H595" s="364" t="s">
        <v>1191</v>
      </c>
    </row>
    <row r="596" ht="15.75" customHeight="1">
      <c r="A596" s="364" t="s">
        <v>56</v>
      </c>
      <c r="B596" s="364" t="s">
        <v>22</v>
      </c>
      <c r="C596" s="365" t="s">
        <v>272</v>
      </c>
      <c r="D596" s="364" t="s">
        <v>273</v>
      </c>
      <c r="E596" s="366">
        <v>9.0</v>
      </c>
      <c r="F596" s="367">
        <v>45803.58333333333</v>
      </c>
      <c r="G596" s="364" t="s">
        <v>1185</v>
      </c>
      <c r="H596" s="364" t="s">
        <v>1191</v>
      </c>
    </row>
    <row r="597" ht="15.75" customHeight="1">
      <c r="A597" s="364" t="s">
        <v>56</v>
      </c>
      <c r="B597" s="364" t="s">
        <v>22</v>
      </c>
      <c r="C597" s="365" t="s">
        <v>272</v>
      </c>
      <c r="D597" s="364" t="s">
        <v>273</v>
      </c>
      <c r="E597" s="366">
        <v>10.0</v>
      </c>
      <c r="F597" s="367">
        <v>45839.58333333333</v>
      </c>
      <c r="G597" s="364" t="s">
        <v>1185</v>
      </c>
      <c r="H597" s="364" t="s">
        <v>1191</v>
      </c>
    </row>
    <row r="598" ht="15.75" customHeight="1">
      <c r="A598" s="364" t="s">
        <v>56</v>
      </c>
      <c r="B598" s="364" t="s">
        <v>22</v>
      </c>
      <c r="C598" s="365" t="s">
        <v>312</v>
      </c>
      <c r="D598" s="364" t="s">
        <v>313</v>
      </c>
      <c r="E598" s="366">
        <v>1.0</v>
      </c>
      <c r="F598" s="367">
        <v>45639.625</v>
      </c>
      <c r="G598" s="364" t="s">
        <v>1185</v>
      </c>
      <c r="H598" s="364" t="s">
        <v>1191</v>
      </c>
    </row>
    <row r="599" ht="15.75" customHeight="1">
      <c r="A599" s="364" t="s">
        <v>56</v>
      </c>
      <c r="B599" s="364" t="s">
        <v>22</v>
      </c>
      <c r="C599" s="365" t="s">
        <v>312</v>
      </c>
      <c r="D599" s="364" t="s">
        <v>313</v>
      </c>
      <c r="E599" s="366">
        <v>2.0</v>
      </c>
      <c r="F599" s="367">
        <v>45649.45833333333</v>
      </c>
      <c r="G599" s="364" t="s">
        <v>1185</v>
      </c>
      <c r="H599" s="364" t="s">
        <v>1191</v>
      </c>
    </row>
    <row r="600" ht="15.75" customHeight="1">
      <c r="A600" s="364" t="s">
        <v>56</v>
      </c>
      <c r="B600" s="364" t="s">
        <v>22</v>
      </c>
      <c r="C600" s="365" t="s">
        <v>312</v>
      </c>
      <c r="D600" s="364" t="s">
        <v>313</v>
      </c>
      <c r="E600" s="366">
        <v>3.0</v>
      </c>
      <c r="F600" s="367">
        <v>45670.58333333333</v>
      </c>
      <c r="G600" s="364" t="s">
        <v>1185</v>
      </c>
      <c r="H600" s="364" t="s">
        <v>1191</v>
      </c>
    </row>
    <row r="601" ht="15.75" customHeight="1">
      <c r="A601" s="364" t="s">
        <v>56</v>
      </c>
      <c r="B601" s="364" t="s">
        <v>22</v>
      </c>
      <c r="C601" s="365" t="s">
        <v>312</v>
      </c>
      <c r="D601" s="364" t="s">
        <v>313</v>
      </c>
      <c r="E601" s="366">
        <v>4.0</v>
      </c>
      <c r="F601" s="367">
        <v>45693.54166666667</v>
      </c>
      <c r="G601" s="364" t="s">
        <v>1185</v>
      </c>
      <c r="H601" s="364" t="s">
        <v>1191</v>
      </c>
    </row>
    <row r="602" ht="15.75" customHeight="1">
      <c r="A602" s="364" t="s">
        <v>56</v>
      </c>
      <c r="B602" s="364" t="s">
        <v>22</v>
      </c>
      <c r="C602" s="365" t="s">
        <v>312</v>
      </c>
      <c r="D602" s="364" t="s">
        <v>313</v>
      </c>
      <c r="E602" s="366">
        <v>5.0</v>
      </c>
      <c r="F602" s="367">
        <v>45707.54166666667</v>
      </c>
      <c r="G602" s="364" t="s">
        <v>1185</v>
      </c>
      <c r="H602" s="364" t="s">
        <v>1191</v>
      </c>
    </row>
    <row r="603" ht="15.75" customHeight="1">
      <c r="A603" s="364" t="s">
        <v>56</v>
      </c>
      <c r="B603" s="364" t="s">
        <v>22</v>
      </c>
      <c r="C603" s="365" t="s">
        <v>312</v>
      </c>
      <c r="D603" s="364" t="s">
        <v>313</v>
      </c>
      <c r="E603" s="366">
        <v>6.0</v>
      </c>
      <c r="F603" s="367">
        <v>45715.54166666667</v>
      </c>
      <c r="G603" s="364" t="s">
        <v>1185</v>
      </c>
      <c r="H603" s="364" t="s">
        <v>1191</v>
      </c>
    </row>
    <row r="604" ht="15.75" customHeight="1">
      <c r="A604" s="364" t="s">
        <v>56</v>
      </c>
      <c r="B604" s="364" t="s">
        <v>22</v>
      </c>
      <c r="C604" s="365" t="s">
        <v>312</v>
      </c>
      <c r="D604" s="364" t="s">
        <v>313</v>
      </c>
      <c r="E604" s="366">
        <v>7.0</v>
      </c>
      <c r="F604" s="367">
        <v>45764.54166666667</v>
      </c>
      <c r="G604" s="364" t="s">
        <v>1185</v>
      </c>
      <c r="H604" s="364" t="s">
        <v>1191</v>
      </c>
    </row>
    <row r="605" ht="15.75" customHeight="1">
      <c r="A605" s="364" t="s">
        <v>56</v>
      </c>
      <c r="B605" s="364" t="s">
        <v>22</v>
      </c>
      <c r="C605" s="365" t="s">
        <v>312</v>
      </c>
      <c r="D605" s="364" t="s">
        <v>313</v>
      </c>
      <c r="E605" s="366">
        <v>8.0</v>
      </c>
      <c r="F605" s="367">
        <v>45782.58333333333</v>
      </c>
      <c r="G605" s="364" t="s">
        <v>1187</v>
      </c>
      <c r="H605" s="364" t="s">
        <v>1191</v>
      </c>
    </row>
    <row r="606" ht="15.75" customHeight="1">
      <c r="A606" s="364" t="s">
        <v>56</v>
      </c>
      <c r="B606" s="364" t="s">
        <v>22</v>
      </c>
      <c r="C606" s="365" t="s">
        <v>312</v>
      </c>
      <c r="D606" s="364" t="s">
        <v>313</v>
      </c>
      <c r="E606" s="366">
        <v>9.0</v>
      </c>
      <c r="F606" s="367">
        <v>45803.58333333333</v>
      </c>
      <c r="G606" s="364" t="s">
        <v>1185</v>
      </c>
      <c r="H606" s="364" t="s">
        <v>1191</v>
      </c>
    </row>
    <row r="607" ht="15.75" customHeight="1">
      <c r="A607" s="364" t="s">
        <v>56</v>
      </c>
      <c r="B607" s="364" t="s">
        <v>22</v>
      </c>
      <c r="C607" s="365" t="s">
        <v>312</v>
      </c>
      <c r="D607" s="364" t="s">
        <v>313</v>
      </c>
      <c r="E607" s="366">
        <v>10.0</v>
      </c>
      <c r="F607" s="367">
        <v>45839.58333333333</v>
      </c>
      <c r="G607" s="364" t="s">
        <v>1185</v>
      </c>
      <c r="H607" s="364" t="s">
        <v>1191</v>
      </c>
    </row>
    <row r="608" ht="15.75" customHeight="1">
      <c r="A608" s="364" t="s">
        <v>57</v>
      </c>
      <c r="B608" s="364" t="s">
        <v>22</v>
      </c>
      <c r="C608" s="365" t="s">
        <v>264</v>
      </c>
      <c r="D608" s="364" t="s">
        <v>265</v>
      </c>
      <c r="E608" s="366">
        <v>1.0</v>
      </c>
      <c r="F608" s="367">
        <v>45639.41666666667</v>
      </c>
      <c r="G608" s="364" t="s">
        <v>1187</v>
      </c>
      <c r="H608" s="364" t="s">
        <v>1192</v>
      </c>
    </row>
    <row r="609" ht="15.75" customHeight="1">
      <c r="A609" s="364" t="s">
        <v>57</v>
      </c>
      <c r="B609" s="364" t="s">
        <v>22</v>
      </c>
      <c r="C609" s="365" t="s">
        <v>264</v>
      </c>
      <c r="D609" s="364" t="s">
        <v>265</v>
      </c>
      <c r="E609" s="366">
        <v>2.0</v>
      </c>
      <c r="F609" s="367">
        <v>45660.41666666667</v>
      </c>
      <c r="G609" s="364" t="s">
        <v>1185</v>
      </c>
      <c r="H609" s="364" t="s">
        <v>1192</v>
      </c>
    </row>
    <row r="610" ht="15.75" customHeight="1">
      <c r="A610" s="364" t="s">
        <v>57</v>
      </c>
      <c r="B610" s="364" t="s">
        <v>22</v>
      </c>
      <c r="C610" s="365" t="s">
        <v>264</v>
      </c>
      <c r="D610" s="364" t="s">
        <v>265</v>
      </c>
      <c r="E610" s="366">
        <v>3.0</v>
      </c>
      <c r="F610" s="367">
        <v>45663.54166666667</v>
      </c>
      <c r="G610" s="364" t="s">
        <v>1185</v>
      </c>
      <c r="H610" s="364" t="s">
        <v>1192</v>
      </c>
    </row>
    <row r="611" ht="15.75" customHeight="1">
      <c r="A611" s="364" t="s">
        <v>57</v>
      </c>
      <c r="B611" s="364" t="s">
        <v>22</v>
      </c>
      <c r="C611" s="365" t="s">
        <v>264</v>
      </c>
      <c r="D611" s="364" t="s">
        <v>265</v>
      </c>
      <c r="E611" s="366">
        <v>4.0</v>
      </c>
      <c r="F611" s="367">
        <v>45678.375</v>
      </c>
      <c r="G611" s="364" t="s">
        <v>1185</v>
      </c>
      <c r="H611" s="364" t="s">
        <v>1192</v>
      </c>
    </row>
    <row r="612" ht="15.75" customHeight="1">
      <c r="A612" s="364" t="s">
        <v>57</v>
      </c>
      <c r="B612" s="364" t="s">
        <v>22</v>
      </c>
      <c r="C612" s="365" t="s">
        <v>264</v>
      </c>
      <c r="D612" s="364" t="s">
        <v>265</v>
      </c>
      <c r="E612" s="366">
        <v>5.0</v>
      </c>
      <c r="F612" s="367">
        <v>45700.54166666667</v>
      </c>
      <c r="G612" s="364" t="s">
        <v>1187</v>
      </c>
      <c r="H612" s="364" t="s">
        <v>1192</v>
      </c>
    </row>
    <row r="613" ht="15.75" customHeight="1">
      <c r="A613" s="364" t="s">
        <v>57</v>
      </c>
      <c r="B613" s="364" t="s">
        <v>22</v>
      </c>
      <c r="C613" s="365" t="s">
        <v>264</v>
      </c>
      <c r="D613" s="364" t="s">
        <v>265</v>
      </c>
      <c r="E613" s="366">
        <v>6.0</v>
      </c>
      <c r="F613" s="367">
        <v>45709.54166666667</v>
      </c>
      <c r="G613" s="364" t="s">
        <v>1185</v>
      </c>
      <c r="H613" s="364" t="s">
        <v>1192</v>
      </c>
    </row>
    <row r="614" ht="15.75" customHeight="1">
      <c r="A614" s="364" t="s">
        <v>57</v>
      </c>
      <c r="B614" s="364" t="s">
        <v>22</v>
      </c>
      <c r="C614" s="365" t="s">
        <v>264</v>
      </c>
      <c r="D614" s="364" t="s">
        <v>265</v>
      </c>
      <c r="E614" s="366">
        <v>7.0</v>
      </c>
      <c r="F614" s="367">
        <v>45714.54166666667</v>
      </c>
      <c r="G614" s="364" t="s">
        <v>1185</v>
      </c>
      <c r="H614" s="364" t="s">
        <v>1192</v>
      </c>
    </row>
    <row r="615" ht="15.75" customHeight="1">
      <c r="A615" s="364" t="s">
        <v>57</v>
      </c>
      <c r="B615" s="364" t="s">
        <v>22</v>
      </c>
      <c r="C615" s="365" t="s">
        <v>264</v>
      </c>
      <c r="D615" s="364" t="s">
        <v>265</v>
      </c>
      <c r="E615" s="366">
        <v>8.0</v>
      </c>
      <c r="F615" s="367">
        <v>45762.54166666667</v>
      </c>
      <c r="G615" s="364" t="s">
        <v>1185</v>
      </c>
      <c r="H615" s="364" t="s">
        <v>1192</v>
      </c>
    </row>
    <row r="616" ht="15.75" customHeight="1">
      <c r="A616" s="364" t="s">
        <v>57</v>
      </c>
      <c r="B616" s="364" t="s">
        <v>22</v>
      </c>
      <c r="C616" s="365" t="s">
        <v>264</v>
      </c>
      <c r="D616" s="364" t="s">
        <v>265</v>
      </c>
      <c r="E616" s="366">
        <v>9.0</v>
      </c>
      <c r="F616" s="367">
        <v>45769.41666666667</v>
      </c>
      <c r="G616" s="364" t="s">
        <v>1185</v>
      </c>
      <c r="H616" s="364" t="s">
        <v>1192</v>
      </c>
    </row>
    <row r="617" ht="15.75" customHeight="1">
      <c r="A617" s="364" t="s">
        <v>57</v>
      </c>
      <c r="B617" s="364" t="s">
        <v>22</v>
      </c>
      <c r="C617" s="365" t="s">
        <v>264</v>
      </c>
      <c r="D617" s="364" t="s">
        <v>265</v>
      </c>
      <c r="E617" s="366">
        <v>10.0</v>
      </c>
      <c r="F617" s="367">
        <v>45807.58333333333</v>
      </c>
      <c r="G617" s="364" t="s">
        <v>1185</v>
      </c>
      <c r="H617" s="364" t="s">
        <v>1192</v>
      </c>
    </row>
    <row r="618" ht="15.75" customHeight="1">
      <c r="A618" s="364" t="s">
        <v>57</v>
      </c>
      <c r="B618" s="364" t="s">
        <v>22</v>
      </c>
      <c r="C618" s="365" t="s">
        <v>421</v>
      </c>
      <c r="D618" s="364" t="s">
        <v>422</v>
      </c>
      <c r="E618" s="366">
        <v>1.0</v>
      </c>
      <c r="F618" s="367">
        <v>45639.41666666667</v>
      </c>
      <c r="G618" s="364" t="s">
        <v>1185</v>
      </c>
      <c r="H618" s="364" t="s">
        <v>1192</v>
      </c>
    </row>
    <row r="619" ht="15.75" customHeight="1">
      <c r="A619" s="364" t="s">
        <v>57</v>
      </c>
      <c r="B619" s="364" t="s">
        <v>22</v>
      </c>
      <c r="C619" s="365" t="s">
        <v>421</v>
      </c>
      <c r="D619" s="364" t="s">
        <v>422</v>
      </c>
      <c r="E619" s="366">
        <v>2.0</v>
      </c>
      <c r="F619" s="367">
        <v>45660.41666666667</v>
      </c>
      <c r="G619" s="364" t="s">
        <v>1185</v>
      </c>
      <c r="H619" s="364" t="s">
        <v>1192</v>
      </c>
    </row>
    <row r="620" ht="15.75" customHeight="1">
      <c r="A620" s="364" t="s">
        <v>57</v>
      </c>
      <c r="B620" s="364" t="s">
        <v>22</v>
      </c>
      <c r="C620" s="365" t="s">
        <v>421</v>
      </c>
      <c r="D620" s="364" t="s">
        <v>422</v>
      </c>
      <c r="E620" s="366">
        <v>3.0</v>
      </c>
      <c r="F620" s="367">
        <v>45663.54166666667</v>
      </c>
      <c r="G620" s="364" t="s">
        <v>1185</v>
      </c>
      <c r="H620" s="364" t="s">
        <v>1192</v>
      </c>
    </row>
    <row r="621" ht="15.75" customHeight="1">
      <c r="A621" s="364" t="s">
        <v>57</v>
      </c>
      <c r="B621" s="364" t="s">
        <v>22</v>
      </c>
      <c r="C621" s="365" t="s">
        <v>421</v>
      </c>
      <c r="D621" s="364" t="s">
        <v>422</v>
      </c>
      <c r="E621" s="366">
        <v>4.0</v>
      </c>
      <c r="F621" s="367">
        <v>45678.375</v>
      </c>
      <c r="G621" s="364" t="s">
        <v>1185</v>
      </c>
      <c r="H621" s="364" t="s">
        <v>1192</v>
      </c>
    </row>
    <row r="622" ht="15.75" customHeight="1">
      <c r="A622" s="364" t="s">
        <v>57</v>
      </c>
      <c r="B622" s="364" t="s">
        <v>22</v>
      </c>
      <c r="C622" s="365" t="s">
        <v>421</v>
      </c>
      <c r="D622" s="364" t="s">
        <v>422</v>
      </c>
      <c r="E622" s="366">
        <v>5.0</v>
      </c>
      <c r="F622" s="367">
        <v>45700.54166666667</v>
      </c>
      <c r="G622" s="364" t="s">
        <v>1185</v>
      </c>
      <c r="H622" s="364" t="s">
        <v>1192</v>
      </c>
    </row>
    <row r="623" ht="15.75" customHeight="1">
      <c r="A623" s="364" t="s">
        <v>57</v>
      </c>
      <c r="B623" s="364" t="s">
        <v>22</v>
      </c>
      <c r="C623" s="365" t="s">
        <v>421</v>
      </c>
      <c r="D623" s="364" t="s">
        <v>422</v>
      </c>
      <c r="E623" s="366">
        <v>6.0</v>
      </c>
      <c r="F623" s="367">
        <v>45709.54166666667</v>
      </c>
      <c r="G623" s="364" t="s">
        <v>1187</v>
      </c>
      <c r="H623" s="364" t="s">
        <v>1192</v>
      </c>
    </row>
    <row r="624" ht="15.75" customHeight="1">
      <c r="A624" s="364" t="s">
        <v>57</v>
      </c>
      <c r="B624" s="364" t="s">
        <v>22</v>
      </c>
      <c r="C624" s="365" t="s">
        <v>421</v>
      </c>
      <c r="D624" s="364" t="s">
        <v>422</v>
      </c>
      <c r="E624" s="366">
        <v>7.0</v>
      </c>
      <c r="F624" s="367">
        <v>45714.54166666667</v>
      </c>
      <c r="G624" s="364" t="s">
        <v>1185</v>
      </c>
      <c r="H624" s="364" t="s">
        <v>1192</v>
      </c>
    </row>
    <row r="625" ht="15.75" customHeight="1">
      <c r="A625" s="364" t="s">
        <v>57</v>
      </c>
      <c r="B625" s="364" t="s">
        <v>22</v>
      </c>
      <c r="C625" s="365" t="s">
        <v>421</v>
      </c>
      <c r="D625" s="364" t="s">
        <v>422</v>
      </c>
      <c r="E625" s="366">
        <v>8.0</v>
      </c>
      <c r="F625" s="367">
        <v>45762.54166666667</v>
      </c>
      <c r="G625" s="364" t="s">
        <v>1185</v>
      </c>
      <c r="H625" s="364" t="s">
        <v>1192</v>
      </c>
    </row>
    <row r="626" ht="15.75" customHeight="1">
      <c r="A626" s="364" t="s">
        <v>57</v>
      </c>
      <c r="B626" s="364" t="s">
        <v>22</v>
      </c>
      <c r="C626" s="365" t="s">
        <v>421</v>
      </c>
      <c r="D626" s="364" t="s">
        <v>422</v>
      </c>
      <c r="E626" s="366">
        <v>9.0</v>
      </c>
      <c r="F626" s="367">
        <v>45769.41666666667</v>
      </c>
      <c r="G626" s="364" t="s">
        <v>1185</v>
      </c>
      <c r="H626" s="364" t="s">
        <v>1192</v>
      </c>
    </row>
    <row r="627" ht="15.75" customHeight="1">
      <c r="A627" s="364" t="s">
        <v>57</v>
      </c>
      <c r="B627" s="364" t="s">
        <v>22</v>
      </c>
      <c r="C627" s="365" t="s">
        <v>421</v>
      </c>
      <c r="D627" s="364" t="s">
        <v>422</v>
      </c>
      <c r="E627" s="366">
        <v>10.0</v>
      </c>
      <c r="F627" s="367">
        <v>45807.58333333333</v>
      </c>
      <c r="G627" s="364" t="s">
        <v>1185</v>
      </c>
      <c r="H627" s="364" t="s">
        <v>1192</v>
      </c>
    </row>
    <row r="628" ht="15.75" customHeight="1">
      <c r="A628" s="364" t="s">
        <v>57</v>
      </c>
      <c r="B628" s="364" t="s">
        <v>22</v>
      </c>
      <c r="C628" s="365" t="s">
        <v>267</v>
      </c>
      <c r="D628" s="364" t="s">
        <v>268</v>
      </c>
      <c r="E628" s="366">
        <v>1.0</v>
      </c>
      <c r="F628" s="367">
        <v>45639.41666666667</v>
      </c>
      <c r="G628" s="364" t="s">
        <v>1185</v>
      </c>
      <c r="H628" s="364" t="s">
        <v>1192</v>
      </c>
    </row>
    <row r="629" ht="15.75" customHeight="1">
      <c r="A629" s="364" t="s">
        <v>57</v>
      </c>
      <c r="B629" s="364" t="s">
        <v>22</v>
      </c>
      <c r="C629" s="365" t="s">
        <v>267</v>
      </c>
      <c r="D629" s="364" t="s">
        <v>268</v>
      </c>
      <c r="E629" s="366">
        <v>2.0</v>
      </c>
      <c r="F629" s="367">
        <v>45660.41666666667</v>
      </c>
      <c r="G629" s="364" t="s">
        <v>1185</v>
      </c>
      <c r="H629" s="364" t="s">
        <v>1192</v>
      </c>
    </row>
    <row r="630" ht="15.75" customHeight="1">
      <c r="A630" s="364" t="s">
        <v>57</v>
      </c>
      <c r="B630" s="364" t="s">
        <v>22</v>
      </c>
      <c r="C630" s="365" t="s">
        <v>267</v>
      </c>
      <c r="D630" s="364" t="s">
        <v>268</v>
      </c>
      <c r="E630" s="366">
        <v>3.0</v>
      </c>
      <c r="F630" s="367">
        <v>45663.54166666667</v>
      </c>
      <c r="G630" s="364" t="s">
        <v>1185</v>
      </c>
      <c r="H630" s="364" t="s">
        <v>1192</v>
      </c>
    </row>
    <row r="631" ht="15.75" customHeight="1">
      <c r="A631" s="364" t="s">
        <v>57</v>
      </c>
      <c r="B631" s="364" t="s">
        <v>22</v>
      </c>
      <c r="C631" s="365" t="s">
        <v>267</v>
      </c>
      <c r="D631" s="364" t="s">
        <v>268</v>
      </c>
      <c r="E631" s="366">
        <v>4.0</v>
      </c>
      <c r="F631" s="367">
        <v>45678.375</v>
      </c>
      <c r="G631" s="364" t="s">
        <v>1185</v>
      </c>
      <c r="H631" s="364" t="s">
        <v>1192</v>
      </c>
    </row>
    <row r="632" ht="15.75" customHeight="1">
      <c r="A632" s="364" t="s">
        <v>57</v>
      </c>
      <c r="B632" s="364" t="s">
        <v>22</v>
      </c>
      <c r="C632" s="365" t="s">
        <v>267</v>
      </c>
      <c r="D632" s="364" t="s">
        <v>268</v>
      </c>
      <c r="E632" s="366">
        <v>5.0</v>
      </c>
      <c r="F632" s="367">
        <v>45700.54166666667</v>
      </c>
      <c r="G632" s="364" t="s">
        <v>1185</v>
      </c>
      <c r="H632" s="364" t="s">
        <v>1192</v>
      </c>
    </row>
    <row r="633" ht="15.75" customHeight="1">
      <c r="A633" s="364" t="s">
        <v>57</v>
      </c>
      <c r="B633" s="364" t="s">
        <v>22</v>
      </c>
      <c r="C633" s="365" t="s">
        <v>267</v>
      </c>
      <c r="D633" s="364" t="s">
        <v>268</v>
      </c>
      <c r="E633" s="366">
        <v>6.0</v>
      </c>
      <c r="F633" s="367">
        <v>45709.54166666667</v>
      </c>
      <c r="G633" s="364" t="s">
        <v>1185</v>
      </c>
      <c r="H633" s="364" t="s">
        <v>1192</v>
      </c>
    </row>
    <row r="634" ht="15.75" customHeight="1">
      <c r="A634" s="364" t="s">
        <v>57</v>
      </c>
      <c r="B634" s="364" t="s">
        <v>22</v>
      </c>
      <c r="C634" s="365" t="s">
        <v>267</v>
      </c>
      <c r="D634" s="364" t="s">
        <v>268</v>
      </c>
      <c r="E634" s="366">
        <v>7.0</v>
      </c>
      <c r="F634" s="367">
        <v>45714.54166666667</v>
      </c>
      <c r="G634" s="364" t="s">
        <v>1185</v>
      </c>
      <c r="H634" s="364" t="s">
        <v>1192</v>
      </c>
    </row>
    <row r="635" ht="15.75" customHeight="1">
      <c r="A635" s="364" t="s">
        <v>57</v>
      </c>
      <c r="B635" s="364" t="s">
        <v>22</v>
      </c>
      <c r="C635" s="365" t="s">
        <v>267</v>
      </c>
      <c r="D635" s="364" t="s">
        <v>268</v>
      </c>
      <c r="E635" s="366">
        <v>8.0</v>
      </c>
      <c r="F635" s="367">
        <v>45762.54166666667</v>
      </c>
      <c r="G635" s="364" t="s">
        <v>1185</v>
      </c>
      <c r="H635" s="364" t="s">
        <v>1192</v>
      </c>
    </row>
    <row r="636" ht="15.75" customHeight="1">
      <c r="A636" s="364" t="s">
        <v>57</v>
      </c>
      <c r="B636" s="364" t="s">
        <v>22</v>
      </c>
      <c r="C636" s="365" t="s">
        <v>267</v>
      </c>
      <c r="D636" s="364" t="s">
        <v>268</v>
      </c>
      <c r="E636" s="366">
        <v>9.0</v>
      </c>
      <c r="F636" s="367">
        <v>45769.41666666667</v>
      </c>
      <c r="G636" s="364" t="s">
        <v>1185</v>
      </c>
      <c r="H636" s="364" t="s">
        <v>1192</v>
      </c>
    </row>
    <row r="637" ht="15.75" customHeight="1">
      <c r="A637" s="364" t="s">
        <v>57</v>
      </c>
      <c r="B637" s="364" t="s">
        <v>22</v>
      </c>
      <c r="C637" s="365" t="s">
        <v>267</v>
      </c>
      <c r="D637" s="364" t="s">
        <v>268</v>
      </c>
      <c r="E637" s="366">
        <v>10.0</v>
      </c>
      <c r="F637" s="367">
        <v>45807.58333333333</v>
      </c>
      <c r="G637" s="364" t="s">
        <v>1185</v>
      </c>
      <c r="H637" s="364" t="s">
        <v>1192</v>
      </c>
    </row>
    <row r="638" ht="15.75" customHeight="1">
      <c r="A638" s="364" t="s">
        <v>57</v>
      </c>
      <c r="B638" s="364" t="s">
        <v>22</v>
      </c>
      <c r="C638" s="365" t="s">
        <v>270</v>
      </c>
      <c r="D638" s="364" t="s">
        <v>271</v>
      </c>
      <c r="E638" s="366">
        <v>1.0</v>
      </c>
      <c r="F638" s="367">
        <v>45639.41666666667</v>
      </c>
      <c r="G638" s="364" t="s">
        <v>1185</v>
      </c>
      <c r="H638" s="364" t="s">
        <v>1192</v>
      </c>
    </row>
    <row r="639" ht="15.75" customHeight="1">
      <c r="A639" s="364" t="s">
        <v>57</v>
      </c>
      <c r="B639" s="364" t="s">
        <v>22</v>
      </c>
      <c r="C639" s="365" t="s">
        <v>270</v>
      </c>
      <c r="D639" s="364" t="s">
        <v>271</v>
      </c>
      <c r="E639" s="366">
        <v>2.0</v>
      </c>
      <c r="F639" s="367">
        <v>45660.41666666667</v>
      </c>
      <c r="G639" s="364" t="s">
        <v>1187</v>
      </c>
      <c r="H639" s="364" t="s">
        <v>1192</v>
      </c>
    </row>
    <row r="640" ht="15.75" customHeight="1">
      <c r="A640" s="364" t="s">
        <v>57</v>
      </c>
      <c r="B640" s="364" t="s">
        <v>22</v>
      </c>
      <c r="C640" s="365" t="s">
        <v>270</v>
      </c>
      <c r="D640" s="364" t="s">
        <v>271</v>
      </c>
      <c r="E640" s="366">
        <v>3.0</v>
      </c>
      <c r="F640" s="367">
        <v>45663.54166666667</v>
      </c>
      <c r="G640" s="364" t="s">
        <v>1185</v>
      </c>
      <c r="H640" s="364" t="s">
        <v>1192</v>
      </c>
    </row>
    <row r="641" ht="15.75" customHeight="1">
      <c r="A641" s="364" t="s">
        <v>57</v>
      </c>
      <c r="B641" s="364" t="s">
        <v>22</v>
      </c>
      <c r="C641" s="365" t="s">
        <v>270</v>
      </c>
      <c r="D641" s="364" t="s">
        <v>271</v>
      </c>
      <c r="E641" s="366">
        <v>4.0</v>
      </c>
      <c r="F641" s="367">
        <v>45678.375</v>
      </c>
      <c r="G641" s="364" t="s">
        <v>1185</v>
      </c>
      <c r="H641" s="364" t="s">
        <v>1192</v>
      </c>
    </row>
    <row r="642" ht="15.75" customHeight="1">
      <c r="A642" s="364" t="s">
        <v>57</v>
      </c>
      <c r="B642" s="364" t="s">
        <v>22</v>
      </c>
      <c r="C642" s="365" t="s">
        <v>270</v>
      </c>
      <c r="D642" s="364" t="s">
        <v>271</v>
      </c>
      <c r="E642" s="366">
        <v>5.0</v>
      </c>
      <c r="F642" s="367">
        <v>45700.54166666667</v>
      </c>
      <c r="G642" s="364" t="s">
        <v>1185</v>
      </c>
      <c r="H642" s="364" t="s">
        <v>1192</v>
      </c>
    </row>
    <row r="643" ht="15.75" customHeight="1">
      <c r="A643" s="364" t="s">
        <v>57</v>
      </c>
      <c r="B643" s="364" t="s">
        <v>22</v>
      </c>
      <c r="C643" s="365" t="s">
        <v>270</v>
      </c>
      <c r="D643" s="364" t="s">
        <v>271</v>
      </c>
      <c r="E643" s="366">
        <v>6.0</v>
      </c>
      <c r="F643" s="367">
        <v>45709.54166666667</v>
      </c>
      <c r="G643" s="364" t="s">
        <v>1185</v>
      </c>
      <c r="H643" s="364" t="s">
        <v>1192</v>
      </c>
    </row>
    <row r="644" ht="15.75" customHeight="1">
      <c r="A644" s="364" t="s">
        <v>57</v>
      </c>
      <c r="B644" s="364" t="s">
        <v>22</v>
      </c>
      <c r="C644" s="365" t="s">
        <v>270</v>
      </c>
      <c r="D644" s="364" t="s">
        <v>271</v>
      </c>
      <c r="E644" s="366">
        <v>7.0</v>
      </c>
      <c r="F644" s="367">
        <v>45714.54166666667</v>
      </c>
      <c r="G644" s="364" t="s">
        <v>1185</v>
      </c>
      <c r="H644" s="364" t="s">
        <v>1192</v>
      </c>
    </row>
    <row r="645" ht="15.75" customHeight="1">
      <c r="A645" s="364" t="s">
        <v>57</v>
      </c>
      <c r="B645" s="364" t="s">
        <v>22</v>
      </c>
      <c r="C645" s="365" t="s">
        <v>270</v>
      </c>
      <c r="D645" s="364" t="s">
        <v>271</v>
      </c>
      <c r="E645" s="366">
        <v>8.0</v>
      </c>
      <c r="F645" s="367">
        <v>45762.54166666667</v>
      </c>
      <c r="G645" s="364" t="s">
        <v>1185</v>
      </c>
      <c r="H645" s="364" t="s">
        <v>1192</v>
      </c>
    </row>
    <row r="646" ht="15.75" customHeight="1">
      <c r="A646" s="364" t="s">
        <v>57</v>
      </c>
      <c r="B646" s="364" t="s">
        <v>22</v>
      </c>
      <c r="C646" s="365" t="s">
        <v>270</v>
      </c>
      <c r="D646" s="364" t="s">
        <v>271</v>
      </c>
      <c r="E646" s="366">
        <v>9.0</v>
      </c>
      <c r="F646" s="367">
        <v>45769.41666666667</v>
      </c>
      <c r="G646" s="364" t="s">
        <v>1185</v>
      </c>
      <c r="H646" s="364" t="s">
        <v>1192</v>
      </c>
    </row>
    <row r="647" ht="15.75" customHeight="1">
      <c r="A647" s="364" t="s">
        <v>57</v>
      </c>
      <c r="B647" s="364" t="s">
        <v>22</v>
      </c>
      <c r="C647" s="365" t="s">
        <v>270</v>
      </c>
      <c r="D647" s="364" t="s">
        <v>271</v>
      </c>
      <c r="E647" s="366">
        <v>10.0</v>
      </c>
      <c r="F647" s="367">
        <v>45807.58333333333</v>
      </c>
      <c r="G647" s="364" t="s">
        <v>1185</v>
      </c>
      <c r="H647" s="364" t="s">
        <v>1192</v>
      </c>
    </row>
    <row r="648" ht="15.75" customHeight="1">
      <c r="A648" s="364" t="s">
        <v>58</v>
      </c>
      <c r="B648" s="364" t="s">
        <v>22</v>
      </c>
      <c r="C648" s="365" t="s">
        <v>466</v>
      </c>
      <c r="D648" s="364" t="s">
        <v>467</v>
      </c>
      <c r="E648" s="366">
        <v>1.0</v>
      </c>
      <c r="F648" s="367">
        <v>45702.45833333333</v>
      </c>
      <c r="G648" s="364" t="s">
        <v>1185</v>
      </c>
      <c r="H648" s="364" t="s">
        <v>1193</v>
      </c>
    </row>
    <row r="649" ht="15.75" customHeight="1">
      <c r="A649" s="364" t="s">
        <v>58</v>
      </c>
      <c r="B649" s="364" t="s">
        <v>22</v>
      </c>
      <c r="C649" s="365" t="s">
        <v>466</v>
      </c>
      <c r="D649" s="364" t="s">
        <v>467</v>
      </c>
      <c r="E649" s="366">
        <v>2.0</v>
      </c>
      <c r="F649" s="367">
        <v>45709.45833333333</v>
      </c>
      <c r="G649" s="364" t="s">
        <v>1185</v>
      </c>
      <c r="H649" s="364" t="s">
        <v>1193</v>
      </c>
    </row>
    <row r="650" ht="15.75" customHeight="1">
      <c r="A650" s="364" t="s">
        <v>58</v>
      </c>
      <c r="B650" s="364" t="s">
        <v>22</v>
      </c>
      <c r="C650" s="365" t="s">
        <v>466</v>
      </c>
      <c r="D650" s="364" t="s">
        <v>467</v>
      </c>
      <c r="E650" s="366">
        <v>3.0</v>
      </c>
      <c r="F650" s="367">
        <v>45716.45833333333</v>
      </c>
      <c r="G650" s="364" t="s">
        <v>1185</v>
      </c>
      <c r="H650" s="364" t="s">
        <v>1193</v>
      </c>
    </row>
    <row r="651" ht="15.75" customHeight="1">
      <c r="A651" s="364" t="s">
        <v>58</v>
      </c>
      <c r="B651" s="364" t="s">
        <v>22</v>
      </c>
      <c r="C651" s="365" t="s">
        <v>466</v>
      </c>
      <c r="D651" s="364" t="s">
        <v>467</v>
      </c>
      <c r="E651" s="366">
        <v>4.0</v>
      </c>
      <c r="F651" s="367">
        <v>45765.45833333333</v>
      </c>
      <c r="G651" s="364" t="s">
        <v>1185</v>
      </c>
      <c r="H651" s="364" t="s">
        <v>1193</v>
      </c>
    </row>
    <row r="652" ht="15.75" customHeight="1">
      <c r="A652" s="364" t="s">
        <v>58</v>
      </c>
      <c r="B652" s="364" t="s">
        <v>22</v>
      </c>
      <c r="C652" s="365" t="s">
        <v>466</v>
      </c>
      <c r="D652" s="364" t="s">
        <v>467</v>
      </c>
      <c r="E652" s="366">
        <v>5.0</v>
      </c>
      <c r="F652" s="367">
        <v>45770.45833333333</v>
      </c>
      <c r="G652" s="364" t="s">
        <v>1185</v>
      </c>
      <c r="H652" s="364" t="s">
        <v>1193</v>
      </c>
    </row>
    <row r="653" ht="15.75" customHeight="1">
      <c r="A653" s="364" t="s">
        <v>58</v>
      </c>
      <c r="B653" s="364" t="s">
        <v>22</v>
      </c>
      <c r="C653" s="365" t="s">
        <v>466</v>
      </c>
      <c r="D653" s="364" t="s">
        <v>467</v>
      </c>
      <c r="E653" s="366">
        <v>6.0</v>
      </c>
      <c r="F653" s="367">
        <v>45785.45833333333</v>
      </c>
      <c r="G653" s="364" t="s">
        <v>1185</v>
      </c>
      <c r="H653" s="364" t="s">
        <v>1193</v>
      </c>
    </row>
    <row r="654" ht="15.75" customHeight="1">
      <c r="A654" s="364" t="s">
        <v>58</v>
      </c>
      <c r="B654" s="364" t="s">
        <v>22</v>
      </c>
      <c r="C654" s="365" t="s">
        <v>466</v>
      </c>
      <c r="D654" s="364" t="s">
        <v>467</v>
      </c>
      <c r="E654" s="366">
        <v>7.0</v>
      </c>
      <c r="F654" s="367">
        <v>45792.45833333333</v>
      </c>
      <c r="G654" s="364" t="s">
        <v>1185</v>
      </c>
      <c r="H654" s="364" t="s">
        <v>1193</v>
      </c>
    </row>
    <row r="655" ht="15.75" customHeight="1">
      <c r="A655" s="364" t="s">
        <v>58</v>
      </c>
      <c r="B655" s="364" t="s">
        <v>22</v>
      </c>
      <c r="C655" s="365" t="s">
        <v>466</v>
      </c>
      <c r="D655" s="364" t="s">
        <v>467</v>
      </c>
      <c r="E655" s="366">
        <v>8.0</v>
      </c>
      <c r="F655" s="367">
        <v>45800.45833333333</v>
      </c>
      <c r="G655" s="364" t="s">
        <v>1185</v>
      </c>
      <c r="H655" s="364" t="s">
        <v>1193</v>
      </c>
    </row>
    <row r="656" ht="15.75" customHeight="1">
      <c r="A656" s="364" t="s">
        <v>58</v>
      </c>
      <c r="B656" s="364" t="s">
        <v>22</v>
      </c>
      <c r="C656" s="365" t="s">
        <v>466</v>
      </c>
      <c r="D656" s="364" t="s">
        <v>467</v>
      </c>
      <c r="E656" s="366">
        <v>9.0</v>
      </c>
      <c r="F656" s="367">
        <v>45806.54166666667</v>
      </c>
      <c r="G656" s="364" t="s">
        <v>1185</v>
      </c>
      <c r="H656" s="364" t="s">
        <v>1193</v>
      </c>
    </row>
    <row r="657" ht="15.75" customHeight="1">
      <c r="A657" s="364" t="s">
        <v>58</v>
      </c>
      <c r="B657" s="364" t="s">
        <v>22</v>
      </c>
      <c r="C657" s="365" t="s">
        <v>466</v>
      </c>
      <c r="D657" s="364" t="s">
        <v>467</v>
      </c>
      <c r="E657" s="366">
        <v>10.0</v>
      </c>
      <c r="F657" s="367">
        <v>45813.41666666667</v>
      </c>
      <c r="G657" s="364" t="s">
        <v>1185</v>
      </c>
      <c r="H657" s="364" t="s">
        <v>1193</v>
      </c>
    </row>
    <row r="658" ht="15.75" customHeight="1">
      <c r="A658" s="364" t="s">
        <v>58</v>
      </c>
      <c r="B658" s="364" t="s">
        <v>22</v>
      </c>
      <c r="C658" s="365" t="s">
        <v>466</v>
      </c>
      <c r="D658" s="364" t="s">
        <v>467</v>
      </c>
      <c r="E658" s="366">
        <v>11.0</v>
      </c>
      <c r="F658" s="367">
        <v>45820.41666666667</v>
      </c>
      <c r="G658" s="364" t="s">
        <v>1185</v>
      </c>
      <c r="H658" s="364" t="s">
        <v>1193</v>
      </c>
    </row>
    <row r="659" ht="15.75" customHeight="1">
      <c r="A659" s="364" t="s">
        <v>58</v>
      </c>
      <c r="B659" s="364" t="s">
        <v>22</v>
      </c>
      <c r="C659" s="365" t="s">
        <v>466</v>
      </c>
      <c r="D659" s="364" t="s">
        <v>467</v>
      </c>
      <c r="E659" s="366">
        <v>12.0</v>
      </c>
      <c r="F659" s="367">
        <v>45841.41666666667</v>
      </c>
      <c r="G659" s="364" t="s">
        <v>1185</v>
      </c>
      <c r="H659" s="364" t="s">
        <v>1193</v>
      </c>
    </row>
    <row r="660" ht="15.75" customHeight="1">
      <c r="A660" s="364" t="s">
        <v>58</v>
      </c>
      <c r="B660" s="364" t="s">
        <v>22</v>
      </c>
      <c r="C660" s="365" t="s">
        <v>468</v>
      </c>
      <c r="D660" s="364" t="s">
        <v>469</v>
      </c>
      <c r="E660" s="366">
        <v>1.0</v>
      </c>
      <c r="F660" s="367">
        <v>45702.45833333333</v>
      </c>
      <c r="G660" s="364" t="s">
        <v>1185</v>
      </c>
      <c r="H660" s="364" t="s">
        <v>1193</v>
      </c>
    </row>
    <row r="661" ht="15.75" customHeight="1">
      <c r="A661" s="364" t="s">
        <v>58</v>
      </c>
      <c r="B661" s="364" t="s">
        <v>22</v>
      </c>
      <c r="C661" s="365" t="s">
        <v>468</v>
      </c>
      <c r="D661" s="364" t="s">
        <v>469</v>
      </c>
      <c r="E661" s="366">
        <v>2.0</v>
      </c>
      <c r="F661" s="367">
        <v>45709.45833333333</v>
      </c>
      <c r="G661" s="364" t="s">
        <v>1185</v>
      </c>
      <c r="H661" s="364" t="s">
        <v>1193</v>
      </c>
    </row>
    <row r="662" ht="15.75" customHeight="1">
      <c r="A662" s="364" t="s">
        <v>58</v>
      </c>
      <c r="B662" s="364" t="s">
        <v>22</v>
      </c>
      <c r="C662" s="365" t="s">
        <v>468</v>
      </c>
      <c r="D662" s="364" t="s">
        <v>469</v>
      </c>
      <c r="E662" s="366">
        <v>3.0</v>
      </c>
      <c r="F662" s="367">
        <v>45716.45833333333</v>
      </c>
      <c r="G662" s="364" t="s">
        <v>1185</v>
      </c>
      <c r="H662" s="364" t="s">
        <v>1193</v>
      </c>
    </row>
    <row r="663" ht="15.75" customHeight="1">
      <c r="A663" s="364" t="s">
        <v>58</v>
      </c>
      <c r="B663" s="364" t="s">
        <v>22</v>
      </c>
      <c r="C663" s="365" t="s">
        <v>468</v>
      </c>
      <c r="D663" s="364" t="s">
        <v>469</v>
      </c>
      <c r="E663" s="366">
        <v>4.0</v>
      </c>
      <c r="F663" s="367">
        <v>45765.45833333333</v>
      </c>
      <c r="G663" s="364" t="s">
        <v>1185</v>
      </c>
      <c r="H663" s="364" t="s">
        <v>1193</v>
      </c>
    </row>
    <row r="664" ht="15.75" customHeight="1">
      <c r="A664" s="364" t="s">
        <v>58</v>
      </c>
      <c r="B664" s="364" t="s">
        <v>22</v>
      </c>
      <c r="C664" s="365" t="s">
        <v>468</v>
      </c>
      <c r="D664" s="364" t="s">
        <v>469</v>
      </c>
      <c r="E664" s="366">
        <v>5.0</v>
      </c>
      <c r="F664" s="367">
        <v>45770.45833333333</v>
      </c>
      <c r="G664" s="364" t="s">
        <v>1185</v>
      </c>
      <c r="H664" s="364" t="s">
        <v>1193</v>
      </c>
    </row>
    <row r="665" ht="15.75" customHeight="1">
      <c r="A665" s="364" t="s">
        <v>58</v>
      </c>
      <c r="B665" s="364" t="s">
        <v>22</v>
      </c>
      <c r="C665" s="365" t="s">
        <v>468</v>
      </c>
      <c r="D665" s="364" t="s">
        <v>469</v>
      </c>
      <c r="E665" s="366">
        <v>6.0</v>
      </c>
      <c r="F665" s="367">
        <v>45785.45833333333</v>
      </c>
      <c r="G665" s="364" t="s">
        <v>1185</v>
      </c>
      <c r="H665" s="364" t="s">
        <v>1193</v>
      </c>
    </row>
    <row r="666" ht="15.75" customHeight="1">
      <c r="A666" s="364" t="s">
        <v>58</v>
      </c>
      <c r="B666" s="364" t="s">
        <v>22</v>
      </c>
      <c r="C666" s="365" t="s">
        <v>468</v>
      </c>
      <c r="D666" s="364" t="s">
        <v>469</v>
      </c>
      <c r="E666" s="366">
        <v>7.0</v>
      </c>
      <c r="F666" s="367">
        <v>45792.45833333333</v>
      </c>
      <c r="G666" s="364" t="s">
        <v>1185</v>
      </c>
      <c r="H666" s="364" t="s">
        <v>1193</v>
      </c>
    </row>
    <row r="667" ht="15.75" customHeight="1">
      <c r="A667" s="364" t="s">
        <v>58</v>
      </c>
      <c r="B667" s="364" t="s">
        <v>22</v>
      </c>
      <c r="C667" s="365" t="s">
        <v>468</v>
      </c>
      <c r="D667" s="364" t="s">
        <v>469</v>
      </c>
      <c r="E667" s="366">
        <v>8.0</v>
      </c>
      <c r="F667" s="367">
        <v>45800.45833333333</v>
      </c>
      <c r="G667" s="364" t="s">
        <v>1185</v>
      </c>
      <c r="H667" s="364" t="s">
        <v>1193</v>
      </c>
    </row>
    <row r="668" ht="15.75" customHeight="1">
      <c r="A668" s="364" t="s">
        <v>58</v>
      </c>
      <c r="B668" s="364" t="s">
        <v>22</v>
      </c>
      <c r="C668" s="365" t="s">
        <v>468</v>
      </c>
      <c r="D668" s="364" t="s">
        <v>469</v>
      </c>
      <c r="E668" s="366">
        <v>9.0</v>
      </c>
      <c r="F668" s="367">
        <v>45806.54166666667</v>
      </c>
      <c r="G668" s="364" t="s">
        <v>1185</v>
      </c>
      <c r="H668" s="364" t="s">
        <v>1193</v>
      </c>
    </row>
    <row r="669" ht="15.75" customHeight="1">
      <c r="A669" s="364" t="s">
        <v>58</v>
      </c>
      <c r="B669" s="364" t="s">
        <v>22</v>
      </c>
      <c r="C669" s="365" t="s">
        <v>468</v>
      </c>
      <c r="D669" s="364" t="s">
        <v>469</v>
      </c>
      <c r="E669" s="366">
        <v>10.0</v>
      </c>
      <c r="F669" s="367">
        <v>45813.41666666667</v>
      </c>
      <c r="G669" s="364" t="s">
        <v>1185</v>
      </c>
      <c r="H669" s="364" t="s">
        <v>1193</v>
      </c>
    </row>
    <row r="670" ht="15.75" customHeight="1">
      <c r="A670" s="364" t="s">
        <v>58</v>
      </c>
      <c r="B670" s="364" t="s">
        <v>22</v>
      </c>
      <c r="C670" s="365" t="s">
        <v>468</v>
      </c>
      <c r="D670" s="364" t="s">
        <v>469</v>
      </c>
      <c r="E670" s="366">
        <v>11.0</v>
      </c>
      <c r="F670" s="367">
        <v>45820.41666666667</v>
      </c>
      <c r="G670" s="364" t="s">
        <v>1185</v>
      </c>
      <c r="H670" s="364" t="s">
        <v>1193</v>
      </c>
    </row>
    <row r="671" ht="15.75" customHeight="1">
      <c r="A671" s="364" t="s">
        <v>58</v>
      </c>
      <c r="B671" s="364" t="s">
        <v>22</v>
      </c>
      <c r="C671" s="365" t="s">
        <v>468</v>
      </c>
      <c r="D671" s="364" t="s">
        <v>469</v>
      </c>
      <c r="E671" s="366">
        <v>12.0</v>
      </c>
      <c r="F671" s="367">
        <v>45841.41666666667</v>
      </c>
      <c r="G671" s="364" t="s">
        <v>1185</v>
      </c>
      <c r="H671" s="364" t="s">
        <v>1193</v>
      </c>
    </row>
    <row r="672" ht="15.75" customHeight="1">
      <c r="A672" s="364" t="s">
        <v>58</v>
      </c>
      <c r="B672" s="364" t="s">
        <v>22</v>
      </c>
      <c r="C672" s="365" t="s">
        <v>476</v>
      </c>
      <c r="D672" s="364" t="s">
        <v>477</v>
      </c>
      <c r="E672" s="366">
        <v>1.0</v>
      </c>
      <c r="F672" s="367">
        <v>45702.45833333333</v>
      </c>
      <c r="G672" s="364" t="s">
        <v>1185</v>
      </c>
      <c r="H672" s="364" t="s">
        <v>1193</v>
      </c>
    </row>
    <row r="673" ht="15.75" customHeight="1">
      <c r="A673" s="364" t="s">
        <v>58</v>
      </c>
      <c r="B673" s="364" t="s">
        <v>22</v>
      </c>
      <c r="C673" s="365" t="s">
        <v>476</v>
      </c>
      <c r="D673" s="364" t="s">
        <v>477</v>
      </c>
      <c r="E673" s="366">
        <v>2.0</v>
      </c>
      <c r="F673" s="367">
        <v>45709.45833333333</v>
      </c>
      <c r="G673" s="364" t="s">
        <v>1185</v>
      </c>
      <c r="H673" s="364" t="s">
        <v>1193</v>
      </c>
    </row>
    <row r="674" ht="15.75" customHeight="1">
      <c r="A674" s="364" t="s">
        <v>58</v>
      </c>
      <c r="B674" s="364" t="s">
        <v>22</v>
      </c>
      <c r="C674" s="365" t="s">
        <v>476</v>
      </c>
      <c r="D674" s="364" t="s">
        <v>477</v>
      </c>
      <c r="E674" s="366">
        <v>3.0</v>
      </c>
      <c r="F674" s="367">
        <v>45716.45833333333</v>
      </c>
      <c r="G674" s="364" t="s">
        <v>1185</v>
      </c>
      <c r="H674" s="364" t="s">
        <v>1193</v>
      </c>
    </row>
    <row r="675" ht="15.75" customHeight="1">
      <c r="A675" s="364" t="s">
        <v>58</v>
      </c>
      <c r="B675" s="364" t="s">
        <v>22</v>
      </c>
      <c r="C675" s="365" t="s">
        <v>476</v>
      </c>
      <c r="D675" s="364" t="s">
        <v>477</v>
      </c>
      <c r="E675" s="366">
        <v>4.0</v>
      </c>
      <c r="F675" s="367">
        <v>45765.45833333333</v>
      </c>
      <c r="G675" s="364" t="s">
        <v>1185</v>
      </c>
      <c r="H675" s="364" t="s">
        <v>1193</v>
      </c>
    </row>
    <row r="676" ht="15.75" customHeight="1">
      <c r="A676" s="364" t="s">
        <v>58</v>
      </c>
      <c r="B676" s="364" t="s">
        <v>22</v>
      </c>
      <c r="C676" s="365" t="s">
        <v>476</v>
      </c>
      <c r="D676" s="364" t="s">
        <v>477</v>
      </c>
      <c r="E676" s="366">
        <v>5.0</v>
      </c>
      <c r="F676" s="367">
        <v>45770.45833333333</v>
      </c>
      <c r="G676" s="364" t="s">
        <v>1185</v>
      </c>
      <c r="H676" s="364" t="s">
        <v>1193</v>
      </c>
    </row>
    <row r="677" ht="15.75" customHeight="1">
      <c r="A677" s="364" t="s">
        <v>58</v>
      </c>
      <c r="B677" s="364" t="s">
        <v>22</v>
      </c>
      <c r="C677" s="365" t="s">
        <v>476</v>
      </c>
      <c r="D677" s="364" t="s">
        <v>477</v>
      </c>
      <c r="E677" s="366">
        <v>6.0</v>
      </c>
      <c r="F677" s="367">
        <v>45785.45833333333</v>
      </c>
      <c r="G677" s="364" t="s">
        <v>1185</v>
      </c>
      <c r="H677" s="364" t="s">
        <v>1193</v>
      </c>
    </row>
    <row r="678" ht="15.75" customHeight="1">
      <c r="A678" s="364" t="s">
        <v>58</v>
      </c>
      <c r="B678" s="364" t="s">
        <v>22</v>
      </c>
      <c r="C678" s="365" t="s">
        <v>476</v>
      </c>
      <c r="D678" s="364" t="s">
        <v>477</v>
      </c>
      <c r="E678" s="366">
        <v>7.0</v>
      </c>
      <c r="F678" s="367">
        <v>45792.45833333333</v>
      </c>
      <c r="G678" s="364" t="s">
        <v>1185</v>
      </c>
      <c r="H678" s="364" t="s">
        <v>1193</v>
      </c>
    </row>
    <row r="679" ht="15.75" customHeight="1">
      <c r="A679" s="364" t="s">
        <v>58</v>
      </c>
      <c r="B679" s="364" t="s">
        <v>22</v>
      </c>
      <c r="C679" s="365" t="s">
        <v>476</v>
      </c>
      <c r="D679" s="364" t="s">
        <v>477</v>
      </c>
      <c r="E679" s="366">
        <v>8.0</v>
      </c>
      <c r="F679" s="367">
        <v>45800.45833333333</v>
      </c>
      <c r="G679" s="364" t="s">
        <v>1185</v>
      </c>
      <c r="H679" s="364" t="s">
        <v>1193</v>
      </c>
    </row>
    <row r="680" ht="15.75" customHeight="1">
      <c r="A680" s="364" t="s">
        <v>58</v>
      </c>
      <c r="B680" s="364" t="s">
        <v>22</v>
      </c>
      <c r="C680" s="365" t="s">
        <v>476</v>
      </c>
      <c r="D680" s="364" t="s">
        <v>477</v>
      </c>
      <c r="E680" s="366">
        <v>9.0</v>
      </c>
      <c r="F680" s="367">
        <v>45806.54166666667</v>
      </c>
      <c r="G680" s="364" t="s">
        <v>1185</v>
      </c>
      <c r="H680" s="364" t="s">
        <v>1193</v>
      </c>
    </row>
    <row r="681" ht="15.75" customHeight="1">
      <c r="A681" s="364" t="s">
        <v>58</v>
      </c>
      <c r="B681" s="364" t="s">
        <v>22</v>
      </c>
      <c r="C681" s="365" t="s">
        <v>476</v>
      </c>
      <c r="D681" s="364" t="s">
        <v>477</v>
      </c>
      <c r="E681" s="366">
        <v>10.0</v>
      </c>
      <c r="F681" s="367">
        <v>45813.41666666667</v>
      </c>
      <c r="G681" s="364" t="s">
        <v>1185</v>
      </c>
      <c r="H681" s="364" t="s">
        <v>1193</v>
      </c>
    </row>
    <row r="682" ht="15.75" customHeight="1">
      <c r="A682" s="364" t="s">
        <v>58</v>
      </c>
      <c r="B682" s="364" t="s">
        <v>22</v>
      </c>
      <c r="C682" s="365" t="s">
        <v>476</v>
      </c>
      <c r="D682" s="364" t="s">
        <v>477</v>
      </c>
      <c r="E682" s="366">
        <v>11.0</v>
      </c>
      <c r="F682" s="367">
        <v>45820.41666666667</v>
      </c>
      <c r="G682" s="364" t="s">
        <v>1185</v>
      </c>
      <c r="H682" s="364" t="s">
        <v>1193</v>
      </c>
    </row>
    <row r="683" ht="15.75" customHeight="1">
      <c r="A683" s="364" t="s">
        <v>58</v>
      </c>
      <c r="B683" s="364" t="s">
        <v>22</v>
      </c>
      <c r="C683" s="365" t="s">
        <v>476</v>
      </c>
      <c r="D683" s="364" t="s">
        <v>477</v>
      </c>
      <c r="E683" s="366">
        <v>12.0</v>
      </c>
      <c r="F683" s="367">
        <v>45841.41666666667</v>
      </c>
      <c r="G683" s="364" t="s">
        <v>1185</v>
      </c>
      <c r="H683" s="364" t="s">
        <v>1193</v>
      </c>
    </row>
    <row r="684" ht="15.75" customHeight="1">
      <c r="A684" s="364" t="s">
        <v>58</v>
      </c>
      <c r="B684" s="364" t="s">
        <v>22</v>
      </c>
      <c r="C684" s="365" t="s">
        <v>470</v>
      </c>
      <c r="D684" s="364" t="s">
        <v>471</v>
      </c>
      <c r="E684" s="366">
        <v>1.0</v>
      </c>
      <c r="F684" s="367">
        <v>45702.45833333333</v>
      </c>
      <c r="G684" s="364" t="s">
        <v>1185</v>
      </c>
      <c r="H684" s="364" t="s">
        <v>1193</v>
      </c>
    </row>
    <row r="685" ht="15.75" customHeight="1">
      <c r="A685" s="364" t="s">
        <v>58</v>
      </c>
      <c r="B685" s="364" t="s">
        <v>22</v>
      </c>
      <c r="C685" s="365" t="s">
        <v>470</v>
      </c>
      <c r="D685" s="364" t="s">
        <v>471</v>
      </c>
      <c r="E685" s="366">
        <v>2.0</v>
      </c>
      <c r="F685" s="367">
        <v>45709.45833333333</v>
      </c>
      <c r="G685" s="364" t="s">
        <v>1185</v>
      </c>
      <c r="H685" s="364" t="s">
        <v>1193</v>
      </c>
    </row>
    <row r="686" ht="15.75" customHeight="1">
      <c r="A686" s="364" t="s">
        <v>58</v>
      </c>
      <c r="B686" s="364" t="s">
        <v>22</v>
      </c>
      <c r="C686" s="365" t="s">
        <v>470</v>
      </c>
      <c r="D686" s="364" t="s">
        <v>471</v>
      </c>
      <c r="E686" s="366">
        <v>3.0</v>
      </c>
      <c r="F686" s="367">
        <v>45716.45833333333</v>
      </c>
      <c r="G686" s="364" t="s">
        <v>1185</v>
      </c>
      <c r="H686" s="364" t="s">
        <v>1193</v>
      </c>
    </row>
    <row r="687" ht="15.75" customHeight="1">
      <c r="A687" s="364" t="s">
        <v>58</v>
      </c>
      <c r="B687" s="364" t="s">
        <v>22</v>
      </c>
      <c r="C687" s="365" t="s">
        <v>470</v>
      </c>
      <c r="D687" s="364" t="s">
        <v>471</v>
      </c>
      <c r="E687" s="366">
        <v>4.0</v>
      </c>
      <c r="F687" s="367">
        <v>45765.45833333333</v>
      </c>
      <c r="G687" s="364" t="s">
        <v>1185</v>
      </c>
      <c r="H687" s="364" t="s">
        <v>1193</v>
      </c>
    </row>
    <row r="688" ht="15.75" customHeight="1">
      <c r="A688" s="364" t="s">
        <v>58</v>
      </c>
      <c r="B688" s="364" t="s">
        <v>22</v>
      </c>
      <c r="C688" s="365" t="s">
        <v>470</v>
      </c>
      <c r="D688" s="364" t="s">
        <v>471</v>
      </c>
      <c r="E688" s="366">
        <v>5.0</v>
      </c>
      <c r="F688" s="367">
        <v>45770.45833333333</v>
      </c>
      <c r="G688" s="364" t="s">
        <v>1185</v>
      </c>
      <c r="H688" s="364" t="s">
        <v>1193</v>
      </c>
    </row>
    <row r="689" ht="15.75" customHeight="1">
      <c r="A689" s="364" t="s">
        <v>58</v>
      </c>
      <c r="B689" s="364" t="s">
        <v>22</v>
      </c>
      <c r="C689" s="365" t="s">
        <v>470</v>
      </c>
      <c r="D689" s="364" t="s">
        <v>471</v>
      </c>
      <c r="E689" s="366">
        <v>6.0</v>
      </c>
      <c r="F689" s="367">
        <v>45785.45833333333</v>
      </c>
      <c r="G689" s="364" t="s">
        <v>1185</v>
      </c>
      <c r="H689" s="364" t="s">
        <v>1193</v>
      </c>
    </row>
    <row r="690" ht="15.75" customHeight="1">
      <c r="A690" s="364" t="s">
        <v>58</v>
      </c>
      <c r="B690" s="364" t="s">
        <v>22</v>
      </c>
      <c r="C690" s="365" t="s">
        <v>470</v>
      </c>
      <c r="D690" s="364" t="s">
        <v>471</v>
      </c>
      <c r="E690" s="366">
        <v>7.0</v>
      </c>
      <c r="F690" s="367">
        <v>45792.45833333333</v>
      </c>
      <c r="G690" s="364" t="s">
        <v>1185</v>
      </c>
      <c r="H690" s="364" t="s">
        <v>1193</v>
      </c>
    </row>
    <row r="691" ht="15.75" customHeight="1">
      <c r="A691" s="364" t="s">
        <v>58</v>
      </c>
      <c r="B691" s="364" t="s">
        <v>22</v>
      </c>
      <c r="C691" s="365" t="s">
        <v>470</v>
      </c>
      <c r="D691" s="364" t="s">
        <v>471</v>
      </c>
      <c r="E691" s="366">
        <v>8.0</v>
      </c>
      <c r="F691" s="367">
        <v>45800.45833333333</v>
      </c>
      <c r="G691" s="364" t="s">
        <v>1185</v>
      </c>
      <c r="H691" s="364" t="s">
        <v>1193</v>
      </c>
    </row>
    <row r="692" ht="15.75" customHeight="1">
      <c r="A692" s="364" t="s">
        <v>58</v>
      </c>
      <c r="B692" s="364" t="s">
        <v>22</v>
      </c>
      <c r="C692" s="365" t="s">
        <v>470</v>
      </c>
      <c r="D692" s="364" t="s">
        <v>471</v>
      </c>
      <c r="E692" s="366">
        <v>9.0</v>
      </c>
      <c r="F692" s="367">
        <v>45806.54166666667</v>
      </c>
      <c r="G692" s="364" t="s">
        <v>1185</v>
      </c>
      <c r="H692" s="364" t="s">
        <v>1193</v>
      </c>
    </row>
    <row r="693" ht="15.75" customHeight="1">
      <c r="A693" s="364" t="s">
        <v>58</v>
      </c>
      <c r="B693" s="364" t="s">
        <v>22</v>
      </c>
      <c r="C693" s="365" t="s">
        <v>470</v>
      </c>
      <c r="D693" s="364" t="s">
        <v>471</v>
      </c>
      <c r="E693" s="366">
        <v>10.0</v>
      </c>
      <c r="F693" s="367">
        <v>45813.41666666667</v>
      </c>
      <c r="G693" s="364" t="s">
        <v>1185</v>
      </c>
      <c r="H693" s="364" t="s">
        <v>1193</v>
      </c>
    </row>
    <row r="694" ht="15.75" customHeight="1">
      <c r="A694" s="364" t="s">
        <v>58</v>
      </c>
      <c r="B694" s="364" t="s">
        <v>22</v>
      </c>
      <c r="C694" s="365" t="s">
        <v>470</v>
      </c>
      <c r="D694" s="364" t="s">
        <v>471</v>
      </c>
      <c r="E694" s="366">
        <v>11.0</v>
      </c>
      <c r="F694" s="367">
        <v>45820.41666666667</v>
      </c>
      <c r="G694" s="364" t="s">
        <v>1185</v>
      </c>
      <c r="H694" s="364" t="s">
        <v>1193</v>
      </c>
    </row>
    <row r="695" ht="15.75" customHeight="1">
      <c r="A695" s="364" t="s">
        <v>58</v>
      </c>
      <c r="B695" s="364" t="s">
        <v>22</v>
      </c>
      <c r="C695" s="365" t="s">
        <v>470</v>
      </c>
      <c r="D695" s="364" t="s">
        <v>471</v>
      </c>
      <c r="E695" s="366">
        <v>12.0</v>
      </c>
      <c r="F695" s="367">
        <v>45841.41666666667</v>
      </c>
      <c r="G695" s="364" t="s">
        <v>1185</v>
      </c>
      <c r="H695" s="364" t="s">
        <v>1193</v>
      </c>
    </row>
    <row r="696" ht="15.75" customHeight="1">
      <c r="A696" s="364" t="s">
        <v>58</v>
      </c>
      <c r="B696" s="364" t="s">
        <v>22</v>
      </c>
      <c r="C696" s="365" t="s">
        <v>459</v>
      </c>
      <c r="D696" s="364" t="s">
        <v>460</v>
      </c>
      <c r="E696" s="366">
        <v>1.0</v>
      </c>
      <c r="F696" s="367">
        <v>45702.45833333333</v>
      </c>
      <c r="G696" s="364" t="s">
        <v>1185</v>
      </c>
      <c r="H696" s="364" t="s">
        <v>1193</v>
      </c>
    </row>
    <row r="697" ht="15.75" customHeight="1">
      <c r="A697" s="364" t="s">
        <v>58</v>
      </c>
      <c r="B697" s="364" t="s">
        <v>22</v>
      </c>
      <c r="C697" s="365" t="s">
        <v>459</v>
      </c>
      <c r="D697" s="364" t="s">
        <v>460</v>
      </c>
      <c r="E697" s="366">
        <v>2.0</v>
      </c>
      <c r="F697" s="367">
        <v>45709.45833333333</v>
      </c>
      <c r="G697" s="364" t="s">
        <v>1185</v>
      </c>
      <c r="H697" s="364" t="s">
        <v>1193</v>
      </c>
    </row>
    <row r="698" ht="15.75" customHeight="1">
      <c r="A698" s="364" t="s">
        <v>58</v>
      </c>
      <c r="B698" s="364" t="s">
        <v>22</v>
      </c>
      <c r="C698" s="365" t="s">
        <v>459</v>
      </c>
      <c r="D698" s="364" t="s">
        <v>460</v>
      </c>
      <c r="E698" s="366">
        <v>3.0</v>
      </c>
      <c r="F698" s="367">
        <v>45716.45833333333</v>
      </c>
      <c r="G698" s="364" t="s">
        <v>1185</v>
      </c>
      <c r="H698" s="364" t="s">
        <v>1193</v>
      </c>
    </row>
    <row r="699" ht="15.75" customHeight="1">
      <c r="A699" s="364" t="s">
        <v>58</v>
      </c>
      <c r="B699" s="364" t="s">
        <v>22</v>
      </c>
      <c r="C699" s="365" t="s">
        <v>459</v>
      </c>
      <c r="D699" s="364" t="s">
        <v>460</v>
      </c>
      <c r="E699" s="366">
        <v>4.0</v>
      </c>
      <c r="F699" s="367">
        <v>45765.45833333333</v>
      </c>
      <c r="G699" s="364" t="s">
        <v>1185</v>
      </c>
      <c r="H699" s="364" t="s">
        <v>1193</v>
      </c>
    </row>
    <row r="700" ht="15.75" customHeight="1">
      <c r="A700" s="364" t="s">
        <v>58</v>
      </c>
      <c r="B700" s="364" t="s">
        <v>22</v>
      </c>
      <c r="C700" s="365" t="s">
        <v>459</v>
      </c>
      <c r="D700" s="364" t="s">
        <v>460</v>
      </c>
      <c r="E700" s="366">
        <v>5.0</v>
      </c>
      <c r="F700" s="367">
        <v>45770.45833333333</v>
      </c>
      <c r="G700" s="364" t="s">
        <v>1185</v>
      </c>
      <c r="H700" s="364" t="s">
        <v>1193</v>
      </c>
    </row>
    <row r="701" ht="15.75" customHeight="1">
      <c r="A701" s="364" t="s">
        <v>58</v>
      </c>
      <c r="B701" s="364" t="s">
        <v>22</v>
      </c>
      <c r="C701" s="365" t="s">
        <v>459</v>
      </c>
      <c r="D701" s="364" t="s">
        <v>460</v>
      </c>
      <c r="E701" s="366">
        <v>6.0</v>
      </c>
      <c r="F701" s="367">
        <v>45785.45833333333</v>
      </c>
      <c r="G701" s="364" t="s">
        <v>1185</v>
      </c>
      <c r="H701" s="364" t="s">
        <v>1193</v>
      </c>
    </row>
    <row r="702" ht="15.75" customHeight="1">
      <c r="A702" s="364" t="s">
        <v>58</v>
      </c>
      <c r="B702" s="364" t="s">
        <v>22</v>
      </c>
      <c r="C702" s="365" t="s">
        <v>459</v>
      </c>
      <c r="D702" s="364" t="s">
        <v>460</v>
      </c>
      <c r="E702" s="366">
        <v>7.0</v>
      </c>
      <c r="F702" s="367">
        <v>45792.45833333333</v>
      </c>
      <c r="G702" s="364" t="s">
        <v>1185</v>
      </c>
      <c r="H702" s="364" t="s">
        <v>1193</v>
      </c>
    </row>
    <row r="703" ht="15.75" customHeight="1">
      <c r="A703" s="364" t="s">
        <v>58</v>
      </c>
      <c r="B703" s="364" t="s">
        <v>22</v>
      </c>
      <c r="C703" s="365" t="s">
        <v>459</v>
      </c>
      <c r="D703" s="364" t="s">
        <v>460</v>
      </c>
      <c r="E703" s="366">
        <v>8.0</v>
      </c>
      <c r="F703" s="367">
        <v>45800.45833333333</v>
      </c>
      <c r="G703" s="364" t="s">
        <v>1187</v>
      </c>
      <c r="H703" s="364" t="s">
        <v>1193</v>
      </c>
    </row>
    <row r="704" ht="15.75" customHeight="1">
      <c r="A704" s="364" t="s">
        <v>58</v>
      </c>
      <c r="B704" s="364" t="s">
        <v>22</v>
      </c>
      <c r="C704" s="365" t="s">
        <v>459</v>
      </c>
      <c r="D704" s="364" t="s">
        <v>460</v>
      </c>
      <c r="E704" s="366">
        <v>9.0</v>
      </c>
      <c r="F704" s="367">
        <v>45806.54166666667</v>
      </c>
      <c r="G704" s="364" t="s">
        <v>1185</v>
      </c>
      <c r="H704" s="364" t="s">
        <v>1193</v>
      </c>
    </row>
    <row r="705" ht="15.75" customHeight="1">
      <c r="A705" s="364" t="s">
        <v>58</v>
      </c>
      <c r="B705" s="364" t="s">
        <v>22</v>
      </c>
      <c r="C705" s="365" t="s">
        <v>459</v>
      </c>
      <c r="D705" s="364" t="s">
        <v>460</v>
      </c>
      <c r="E705" s="366">
        <v>10.0</v>
      </c>
      <c r="F705" s="367">
        <v>45813.41666666667</v>
      </c>
      <c r="G705" s="364" t="s">
        <v>1185</v>
      </c>
      <c r="H705" s="364" t="s">
        <v>1193</v>
      </c>
    </row>
    <row r="706" ht="15.75" customHeight="1">
      <c r="A706" s="364" t="s">
        <v>58</v>
      </c>
      <c r="B706" s="364" t="s">
        <v>22</v>
      </c>
      <c r="C706" s="365" t="s">
        <v>459</v>
      </c>
      <c r="D706" s="364" t="s">
        <v>460</v>
      </c>
      <c r="E706" s="366">
        <v>11.0</v>
      </c>
      <c r="F706" s="367">
        <v>45820.41666666667</v>
      </c>
      <c r="G706" s="364" t="s">
        <v>1185</v>
      </c>
      <c r="H706" s="364" t="s">
        <v>1193</v>
      </c>
    </row>
    <row r="707" ht="15.75" customHeight="1">
      <c r="A707" s="364" t="s">
        <v>58</v>
      </c>
      <c r="B707" s="364" t="s">
        <v>22</v>
      </c>
      <c r="C707" s="365" t="s">
        <v>459</v>
      </c>
      <c r="D707" s="364" t="s">
        <v>460</v>
      </c>
      <c r="E707" s="366">
        <v>12.0</v>
      </c>
      <c r="F707" s="367">
        <v>45841.41666666667</v>
      </c>
      <c r="G707" s="364" t="s">
        <v>1185</v>
      </c>
      <c r="H707" s="364" t="s">
        <v>1193</v>
      </c>
    </row>
    <row r="708" ht="15.75" customHeight="1">
      <c r="A708" s="364" t="s">
        <v>58</v>
      </c>
      <c r="B708" s="364" t="s">
        <v>23</v>
      </c>
      <c r="C708" s="365" t="s">
        <v>461</v>
      </c>
      <c r="D708" s="364" t="s">
        <v>462</v>
      </c>
      <c r="E708" s="366">
        <v>1.0</v>
      </c>
      <c r="F708" s="367">
        <v>45841.58333333333</v>
      </c>
      <c r="G708" s="364" t="s">
        <v>1185</v>
      </c>
      <c r="H708" s="364" t="s">
        <v>1193</v>
      </c>
    </row>
    <row r="709" ht="15.75" customHeight="1">
      <c r="A709" s="364" t="s">
        <v>58</v>
      </c>
      <c r="B709" s="364" t="s">
        <v>23</v>
      </c>
      <c r="C709" s="365" t="s">
        <v>461</v>
      </c>
      <c r="D709" s="364" t="s">
        <v>462</v>
      </c>
      <c r="E709" s="366">
        <v>2.0</v>
      </c>
      <c r="F709" s="367">
        <v>45853.41666666667</v>
      </c>
      <c r="G709" s="364" t="s">
        <v>1185</v>
      </c>
      <c r="H709" s="364" t="s">
        <v>1193</v>
      </c>
    </row>
    <row r="710" ht="15.75" customHeight="1">
      <c r="A710" s="364" t="s">
        <v>58</v>
      </c>
      <c r="B710" s="364" t="s">
        <v>23</v>
      </c>
      <c r="C710" s="365" t="s">
        <v>461</v>
      </c>
      <c r="D710" s="364" t="s">
        <v>462</v>
      </c>
      <c r="E710" s="366">
        <v>3.0</v>
      </c>
      <c r="F710" s="367">
        <v>45882.625</v>
      </c>
      <c r="G710" s="364" t="s">
        <v>1187</v>
      </c>
      <c r="H710" s="364" t="s">
        <v>1193</v>
      </c>
    </row>
    <row r="711" ht="15.75" customHeight="1">
      <c r="A711" s="364" t="s">
        <v>58</v>
      </c>
      <c r="B711" s="364" t="s">
        <v>23</v>
      </c>
      <c r="C711" s="365" t="s">
        <v>461</v>
      </c>
      <c r="D711" s="364" t="s">
        <v>462</v>
      </c>
      <c r="E711" s="366">
        <v>4.0</v>
      </c>
      <c r="F711" s="367">
        <v>45889.625</v>
      </c>
      <c r="G711" s="364" t="s">
        <v>1185</v>
      </c>
      <c r="H711" s="364" t="s">
        <v>1193</v>
      </c>
    </row>
    <row r="712" ht="15.75" customHeight="1">
      <c r="A712" s="364" t="s">
        <v>58</v>
      </c>
      <c r="B712" s="364" t="s">
        <v>23</v>
      </c>
      <c r="C712" s="365" t="s">
        <v>461</v>
      </c>
      <c r="D712" s="364" t="s">
        <v>462</v>
      </c>
      <c r="E712" s="366">
        <v>5.0</v>
      </c>
      <c r="F712" s="367">
        <v>45917.625</v>
      </c>
      <c r="G712" s="364" t="s">
        <v>1187</v>
      </c>
      <c r="H712" s="364" t="s">
        <v>1193</v>
      </c>
    </row>
    <row r="713" ht="15.75" customHeight="1">
      <c r="A713" s="364" t="s">
        <v>58</v>
      </c>
      <c r="B713" s="364" t="s">
        <v>23</v>
      </c>
      <c r="C713" s="365" t="s">
        <v>461</v>
      </c>
      <c r="D713" s="364" t="s">
        <v>462</v>
      </c>
      <c r="E713" s="366">
        <v>6.0</v>
      </c>
      <c r="F713" s="367">
        <v>45924.625</v>
      </c>
      <c r="G713" s="364" t="s">
        <v>1185</v>
      </c>
      <c r="H713" s="364" t="s">
        <v>1193</v>
      </c>
    </row>
    <row r="714" ht="15.75" customHeight="1">
      <c r="A714" s="364" t="s">
        <v>58</v>
      </c>
      <c r="B714" s="364" t="s">
        <v>23</v>
      </c>
      <c r="C714" s="365" t="s">
        <v>461</v>
      </c>
      <c r="D714" s="364" t="s">
        <v>462</v>
      </c>
      <c r="E714" s="366">
        <v>7.0</v>
      </c>
      <c r="F714" s="367">
        <v>45931.625</v>
      </c>
      <c r="G714" s="364" t="s">
        <v>1185</v>
      </c>
      <c r="H714" s="364" t="s">
        <v>1193</v>
      </c>
    </row>
    <row r="715" ht="15.75" customHeight="1">
      <c r="A715" s="364" t="s">
        <v>58</v>
      </c>
      <c r="B715" s="364" t="s">
        <v>23</v>
      </c>
      <c r="C715" s="365" t="s">
        <v>461</v>
      </c>
      <c r="D715" s="364" t="s">
        <v>462</v>
      </c>
      <c r="E715" s="366">
        <v>8.0</v>
      </c>
      <c r="F715" s="367">
        <v>45953.41666666667</v>
      </c>
      <c r="G715" s="364" t="s">
        <v>1185</v>
      </c>
      <c r="H715" s="364" t="s">
        <v>1193</v>
      </c>
    </row>
    <row r="716" ht="15.75" customHeight="1">
      <c r="A716" s="364" t="s">
        <v>58</v>
      </c>
      <c r="B716" s="364" t="s">
        <v>23</v>
      </c>
      <c r="C716" s="365" t="s">
        <v>461</v>
      </c>
      <c r="D716" s="364" t="s">
        <v>462</v>
      </c>
      <c r="E716" s="366">
        <v>9.0</v>
      </c>
      <c r="F716" s="367">
        <v>45960.41666666667</v>
      </c>
      <c r="G716" s="364" t="s">
        <v>1185</v>
      </c>
      <c r="H716" s="364" t="s">
        <v>1193</v>
      </c>
    </row>
    <row r="717" ht="15.75" customHeight="1">
      <c r="A717" s="364" t="s">
        <v>58</v>
      </c>
      <c r="B717" s="364" t="s">
        <v>23</v>
      </c>
      <c r="C717" s="365" t="s">
        <v>461</v>
      </c>
      <c r="D717" s="364" t="s">
        <v>462</v>
      </c>
      <c r="E717" s="366">
        <v>10.0</v>
      </c>
      <c r="F717" s="367">
        <v>45982.45833333333</v>
      </c>
      <c r="G717" s="364" t="s">
        <v>1185</v>
      </c>
      <c r="H717" s="364" t="s">
        <v>1193</v>
      </c>
    </row>
    <row r="718" ht="15.75" customHeight="1">
      <c r="A718" s="364" t="s">
        <v>58</v>
      </c>
      <c r="B718" s="364" t="s">
        <v>23</v>
      </c>
      <c r="C718" s="365" t="s">
        <v>461</v>
      </c>
      <c r="D718" s="364" t="s">
        <v>462</v>
      </c>
      <c r="E718" s="366">
        <v>11.0</v>
      </c>
      <c r="F718" s="367">
        <v>45989.45833333333</v>
      </c>
      <c r="G718" s="364" t="s">
        <v>1185</v>
      </c>
      <c r="H718" s="364" t="s">
        <v>1193</v>
      </c>
    </row>
    <row r="719" ht="15.75" customHeight="1">
      <c r="A719" s="364" t="s">
        <v>58</v>
      </c>
      <c r="B719" s="364" t="s">
        <v>23</v>
      </c>
      <c r="C719" s="365" t="s">
        <v>461</v>
      </c>
      <c r="D719" s="364" t="s">
        <v>462</v>
      </c>
      <c r="E719" s="366">
        <v>12.0</v>
      </c>
      <c r="F719" s="367">
        <v>45996.41666666667</v>
      </c>
      <c r="G719" s="364" t="s">
        <v>1185</v>
      </c>
      <c r="H719" s="364" t="s">
        <v>1193</v>
      </c>
    </row>
    <row r="720" ht="15.75" customHeight="1">
      <c r="A720" s="364" t="s">
        <v>58</v>
      </c>
      <c r="B720" s="364" t="s">
        <v>23</v>
      </c>
      <c r="C720" s="365" t="s">
        <v>461</v>
      </c>
      <c r="D720" s="364" t="s">
        <v>462</v>
      </c>
      <c r="E720" s="366">
        <v>13.0</v>
      </c>
      <c r="F720" s="367">
        <v>46010.41666666667</v>
      </c>
      <c r="G720" s="364" t="s">
        <v>1185</v>
      </c>
      <c r="H720" s="364" t="s">
        <v>1193</v>
      </c>
    </row>
    <row r="721" ht="15.75" customHeight="1">
      <c r="A721" s="364" t="s">
        <v>58</v>
      </c>
      <c r="B721" s="364" t="s">
        <v>23</v>
      </c>
      <c r="C721" s="365" t="s">
        <v>461</v>
      </c>
      <c r="D721" s="364" t="s">
        <v>462</v>
      </c>
      <c r="E721" s="366">
        <v>14.0</v>
      </c>
      <c r="F721" s="367">
        <v>46021.375</v>
      </c>
      <c r="G721" s="364" t="s">
        <v>1185</v>
      </c>
      <c r="H721" s="364" t="s">
        <v>1193</v>
      </c>
    </row>
    <row r="722" ht="15.75" customHeight="1">
      <c r="A722" s="364" t="s">
        <v>58</v>
      </c>
      <c r="B722" s="364" t="s">
        <v>23</v>
      </c>
      <c r="C722" s="365" t="s">
        <v>461</v>
      </c>
      <c r="D722" s="364" t="s">
        <v>462</v>
      </c>
      <c r="E722" s="366">
        <v>15.0</v>
      </c>
      <c r="F722" s="367">
        <v>46038.45833333333</v>
      </c>
      <c r="G722" s="364" t="s">
        <v>1185</v>
      </c>
      <c r="H722" s="364" t="s">
        <v>1193</v>
      </c>
    </row>
    <row r="723" ht="15.75" customHeight="1">
      <c r="A723" s="364" t="s">
        <v>58</v>
      </c>
      <c r="B723" s="364" t="s">
        <v>23</v>
      </c>
      <c r="C723" s="365" t="s">
        <v>461</v>
      </c>
      <c r="D723" s="364" t="s">
        <v>462</v>
      </c>
      <c r="E723" s="366">
        <v>16.0</v>
      </c>
      <c r="F723" s="367">
        <v>46083.45833333333</v>
      </c>
      <c r="G723" s="364" t="s">
        <v>1185</v>
      </c>
      <c r="H723" s="364" t="s">
        <v>1193</v>
      </c>
    </row>
    <row r="724" ht="15.75" customHeight="1">
      <c r="A724" s="364" t="s">
        <v>58</v>
      </c>
      <c r="B724" s="364" t="s">
        <v>23</v>
      </c>
      <c r="C724" s="365" t="s">
        <v>474</v>
      </c>
      <c r="D724" s="364" t="s">
        <v>475</v>
      </c>
      <c r="E724" s="366">
        <v>1.0</v>
      </c>
      <c r="F724" s="367">
        <v>45841.58333333333</v>
      </c>
      <c r="G724" s="364" t="s">
        <v>1185</v>
      </c>
      <c r="H724" s="364" t="s">
        <v>1193</v>
      </c>
    </row>
    <row r="725" ht="15.75" customHeight="1">
      <c r="A725" s="364" t="s">
        <v>58</v>
      </c>
      <c r="B725" s="364" t="s">
        <v>23</v>
      </c>
      <c r="C725" s="365" t="s">
        <v>474</v>
      </c>
      <c r="D725" s="364" t="s">
        <v>475</v>
      </c>
      <c r="E725" s="366">
        <v>2.0</v>
      </c>
      <c r="F725" s="367">
        <v>45853.41666666667</v>
      </c>
      <c r="G725" s="364" t="s">
        <v>1185</v>
      </c>
      <c r="H725" s="364" t="s">
        <v>1193</v>
      </c>
    </row>
    <row r="726" ht="15.75" customHeight="1">
      <c r="A726" s="364" t="s">
        <v>58</v>
      </c>
      <c r="B726" s="364" t="s">
        <v>23</v>
      </c>
      <c r="C726" s="365" t="s">
        <v>474</v>
      </c>
      <c r="D726" s="364" t="s">
        <v>475</v>
      </c>
      <c r="E726" s="366">
        <v>3.0</v>
      </c>
      <c r="F726" s="367">
        <v>45882.625</v>
      </c>
      <c r="G726" s="364" t="s">
        <v>1185</v>
      </c>
      <c r="H726" s="364" t="s">
        <v>1193</v>
      </c>
    </row>
    <row r="727" ht="15.75" customHeight="1">
      <c r="A727" s="364" t="s">
        <v>58</v>
      </c>
      <c r="B727" s="364" t="s">
        <v>23</v>
      </c>
      <c r="C727" s="365" t="s">
        <v>474</v>
      </c>
      <c r="D727" s="364" t="s">
        <v>475</v>
      </c>
      <c r="E727" s="366">
        <v>4.0</v>
      </c>
      <c r="F727" s="367">
        <v>45889.625</v>
      </c>
      <c r="G727" s="364" t="s">
        <v>1185</v>
      </c>
      <c r="H727" s="364" t="s">
        <v>1193</v>
      </c>
    </row>
    <row r="728" ht="15.75" customHeight="1">
      <c r="A728" s="364" t="s">
        <v>58</v>
      </c>
      <c r="B728" s="364" t="s">
        <v>23</v>
      </c>
      <c r="C728" s="365" t="s">
        <v>474</v>
      </c>
      <c r="D728" s="364" t="s">
        <v>475</v>
      </c>
      <c r="E728" s="366">
        <v>5.0</v>
      </c>
      <c r="F728" s="367">
        <v>45917.625</v>
      </c>
      <c r="G728" s="364" t="s">
        <v>1185</v>
      </c>
      <c r="H728" s="364" t="s">
        <v>1193</v>
      </c>
    </row>
    <row r="729" ht="15.75" customHeight="1">
      <c r="A729" s="364" t="s">
        <v>58</v>
      </c>
      <c r="B729" s="364" t="s">
        <v>23</v>
      </c>
      <c r="C729" s="365" t="s">
        <v>474</v>
      </c>
      <c r="D729" s="364" t="s">
        <v>475</v>
      </c>
      <c r="E729" s="366">
        <v>6.0</v>
      </c>
      <c r="F729" s="367">
        <v>45924.625</v>
      </c>
      <c r="G729" s="364" t="s">
        <v>1185</v>
      </c>
      <c r="H729" s="364" t="s">
        <v>1193</v>
      </c>
    </row>
    <row r="730" ht="15.75" customHeight="1">
      <c r="A730" s="364" t="s">
        <v>58</v>
      </c>
      <c r="B730" s="364" t="s">
        <v>23</v>
      </c>
      <c r="C730" s="365" t="s">
        <v>474</v>
      </c>
      <c r="D730" s="364" t="s">
        <v>475</v>
      </c>
      <c r="E730" s="366">
        <v>7.0</v>
      </c>
      <c r="F730" s="367">
        <v>45931.625</v>
      </c>
      <c r="G730" s="364" t="s">
        <v>1185</v>
      </c>
      <c r="H730" s="364" t="s">
        <v>1193</v>
      </c>
    </row>
    <row r="731" ht="15.75" customHeight="1">
      <c r="A731" s="364" t="s">
        <v>58</v>
      </c>
      <c r="B731" s="364" t="s">
        <v>23</v>
      </c>
      <c r="C731" s="365" t="s">
        <v>474</v>
      </c>
      <c r="D731" s="364" t="s">
        <v>475</v>
      </c>
      <c r="E731" s="366">
        <v>8.0</v>
      </c>
      <c r="F731" s="367">
        <v>45953.41666666667</v>
      </c>
      <c r="G731" s="364" t="s">
        <v>1185</v>
      </c>
      <c r="H731" s="364" t="s">
        <v>1193</v>
      </c>
    </row>
    <row r="732" ht="15.75" customHeight="1">
      <c r="A732" s="364" t="s">
        <v>58</v>
      </c>
      <c r="B732" s="364" t="s">
        <v>23</v>
      </c>
      <c r="C732" s="365" t="s">
        <v>474</v>
      </c>
      <c r="D732" s="364" t="s">
        <v>475</v>
      </c>
      <c r="E732" s="366">
        <v>9.0</v>
      </c>
      <c r="F732" s="367">
        <v>45960.41666666667</v>
      </c>
      <c r="G732" s="364" t="s">
        <v>1185</v>
      </c>
      <c r="H732" s="364" t="s">
        <v>1193</v>
      </c>
    </row>
    <row r="733" ht="15.75" customHeight="1">
      <c r="A733" s="364" t="s">
        <v>58</v>
      </c>
      <c r="B733" s="364" t="s">
        <v>23</v>
      </c>
      <c r="C733" s="365" t="s">
        <v>474</v>
      </c>
      <c r="D733" s="364" t="s">
        <v>475</v>
      </c>
      <c r="E733" s="366">
        <v>10.0</v>
      </c>
      <c r="F733" s="367">
        <v>45982.45833333333</v>
      </c>
      <c r="G733" s="364" t="s">
        <v>1185</v>
      </c>
      <c r="H733" s="364" t="s">
        <v>1193</v>
      </c>
    </row>
    <row r="734" ht="15.75" customHeight="1">
      <c r="A734" s="364" t="s">
        <v>58</v>
      </c>
      <c r="B734" s="364" t="s">
        <v>23</v>
      </c>
      <c r="C734" s="365" t="s">
        <v>474</v>
      </c>
      <c r="D734" s="364" t="s">
        <v>475</v>
      </c>
      <c r="E734" s="366">
        <v>11.0</v>
      </c>
      <c r="F734" s="367">
        <v>45989.45833333333</v>
      </c>
      <c r="G734" s="364" t="s">
        <v>1185</v>
      </c>
      <c r="H734" s="364" t="s">
        <v>1193</v>
      </c>
    </row>
    <row r="735" ht="15.75" customHeight="1">
      <c r="A735" s="364" t="s">
        <v>58</v>
      </c>
      <c r="B735" s="364" t="s">
        <v>23</v>
      </c>
      <c r="C735" s="365" t="s">
        <v>474</v>
      </c>
      <c r="D735" s="364" t="s">
        <v>475</v>
      </c>
      <c r="E735" s="366">
        <v>12.0</v>
      </c>
      <c r="F735" s="367">
        <v>45996.41666666667</v>
      </c>
      <c r="G735" s="364" t="s">
        <v>1185</v>
      </c>
      <c r="H735" s="364" t="s">
        <v>1193</v>
      </c>
    </row>
    <row r="736" ht="15.75" customHeight="1">
      <c r="A736" s="364" t="s">
        <v>58</v>
      </c>
      <c r="B736" s="364" t="s">
        <v>23</v>
      </c>
      <c r="C736" s="365" t="s">
        <v>474</v>
      </c>
      <c r="D736" s="364" t="s">
        <v>475</v>
      </c>
      <c r="E736" s="366">
        <v>13.0</v>
      </c>
      <c r="F736" s="367">
        <v>46010.41666666667</v>
      </c>
      <c r="G736" s="364" t="s">
        <v>1185</v>
      </c>
      <c r="H736" s="364" t="s">
        <v>1193</v>
      </c>
    </row>
    <row r="737" ht="15.75" customHeight="1">
      <c r="A737" s="364" t="s">
        <v>58</v>
      </c>
      <c r="B737" s="364" t="s">
        <v>23</v>
      </c>
      <c r="C737" s="365" t="s">
        <v>474</v>
      </c>
      <c r="D737" s="364" t="s">
        <v>475</v>
      </c>
      <c r="E737" s="366">
        <v>14.0</v>
      </c>
      <c r="F737" s="367">
        <v>46021.375</v>
      </c>
      <c r="G737" s="364" t="s">
        <v>1185</v>
      </c>
      <c r="H737" s="364" t="s">
        <v>1193</v>
      </c>
    </row>
    <row r="738" ht="15.75" customHeight="1">
      <c r="A738" s="364" t="s">
        <v>58</v>
      </c>
      <c r="B738" s="364" t="s">
        <v>23</v>
      </c>
      <c r="C738" s="365" t="s">
        <v>474</v>
      </c>
      <c r="D738" s="364" t="s">
        <v>475</v>
      </c>
      <c r="E738" s="366">
        <v>15.0</v>
      </c>
      <c r="F738" s="367">
        <v>46038.45833333333</v>
      </c>
      <c r="G738" s="364" t="s">
        <v>1185</v>
      </c>
      <c r="H738" s="364" t="s">
        <v>1193</v>
      </c>
    </row>
    <row r="739" ht="15.75" customHeight="1">
      <c r="A739" s="364" t="s">
        <v>58</v>
      </c>
      <c r="B739" s="364" t="s">
        <v>23</v>
      </c>
      <c r="C739" s="365" t="s">
        <v>474</v>
      </c>
      <c r="D739" s="364" t="s">
        <v>475</v>
      </c>
      <c r="E739" s="366">
        <v>16.0</v>
      </c>
      <c r="F739" s="367">
        <v>46083.45833333333</v>
      </c>
      <c r="G739" s="364" t="s">
        <v>1185</v>
      </c>
      <c r="H739" s="364" t="s">
        <v>1193</v>
      </c>
    </row>
    <row r="740" ht="15.75" customHeight="1">
      <c r="A740" s="364" t="s">
        <v>58</v>
      </c>
      <c r="B740" s="364" t="s">
        <v>23</v>
      </c>
      <c r="C740" s="365" t="s">
        <v>464</v>
      </c>
      <c r="D740" s="364" t="s">
        <v>465</v>
      </c>
      <c r="E740" s="366">
        <v>1.0</v>
      </c>
      <c r="F740" s="367">
        <v>45841.58333333333</v>
      </c>
      <c r="G740" s="364" t="s">
        <v>1185</v>
      </c>
      <c r="H740" s="364" t="s">
        <v>1193</v>
      </c>
    </row>
    <row r="741" ht="15.75" customHeight="1">
      <c r="A741" s="364" t="s">
        <v>58</v>
      </c>
      <c r="B741" s="364" t="s">
        <v>23</v>
      </c>
      <c r="C741" s="365" t="s">
        <v>464</v>
      </c>
      <c r="D741" s="364" t="s">
        <v>465</v>
      </c>
      <c r="E741" s="366">
        <v>2.0</v>
      </c>
      <c r="F741" s="367">
        <v>45853.41666666667</v>
      </c>
      <c r="G741" s="364" t="s">
        <v>1185</v>
      </c>
      <c r="H741" s="364" t="s">
        <v>1193</v>
      </c>
    </row>
    <row r="742" ht="15.75" customHeight="1">
      <c r="A742" s="364" t="s">
        <v>58</v>
      </c>
      <c r="B742" s="364" t="s">
        <v>23</v>
      </c>
      <c r="C742" s="365" t="s">
        <v>464</v>
      </c>
      <c r="D742" s="364" t="s">
        <v>465</v>
      </c>
      <c r="E742" s="366">
        <v>3.0</v>
      </c>
      <c r="F742" s="367">
        <v>45882.625</v>
      </c>
      <c r="G742" s="364" t="s">
        <v>1185</v>
      </c>
      <c r="H742" s="364" t="s">
        <v>1193</v>
      </c>
    </row>
    <row r="743" ht="15.75" customHeight="1">
      <c r="A743" s="364" t="s">
        <v>58</v>
      </c>
      <c r="B743" s="364" t="s">
        <v>23</v>
      </c>
      <c r="C743" s="365" t="s">
        <v>464</v>
      </c>
      <c r="D743" s="364" t="s">
        <v>465</v>
      </c>
      <c r="E743" s="366">
        <v>4.0</v>
      </c>
      <c r="F743" s="367">
        <v>45889.625</v>
      </c>
      <c r="G743" s="364" t="s">
        <v>1185</v>
      </c>
      <c r="H743" s="364" t="s">
        <v>1193</v>
      </c>
    </row>
    <row r="744" ht="15.75" customHeight="1">
      <c r="A744" s="364" t="s">
        <v>58</v>
      </c>
      <c r="B744" s="364" t="s">
        <v>23</v>
      </c>
      <c r="C744" s="365" t="s">
        <v>464</v>
      </c>
      <c r="D744" s="364" t="s">
        <v>465</v>
      </c>
      <c r="E744" s="366">
        <v>5.0</v>
      </c>
      <c r="F744" s="367">
        <v>45917.625</v>
      </c>
      <c r="G744" s="364" t="s">
        <v>1185</v>
      </c>
      <c r="H744" s="364" t="s">
        <v>1193</v>
      </c>
    </row>
    <row r="745" ht="15.75" customHeight="1">
      <c r="A745" s="364" t="s">
        <v>58</v>
      </c>
      <c r="B745" s="364" t="s">
        <v>23</v>
      </c>
      <c r="C745" s="365" t="s">
        <v>464</v>
      </c>
      <c r="D745" s="364" t="s">
        <v>465</v>
      </c>
      <c r="E745" s="366">
        <v>6.0</v>
      </c>
      <c r="F745" s="367">
        <v>45924.625</v>
      </c>
      <c r="G745" s="364" t="s">
        <v>1185</v>
      </c>
      <c r="H745" s="364" t="s">
        <v>1193</v>
      </c>
    </row>
    <row r="746" ht="15.75" customHeight="1">
      <c r="A746" s="364" t="s">
        <v>58</v>
      </c>
      <c r="B746" s="364" t="s">
        <v>23</v>
      </c>
      <c r="C746" s="365" t="s">
        <v>464</v>
      </c>
      <c r="D746" s="364" t="s">
        <v>465</v>
      </c>
      <c r="E746" s="366">
        <v>7.0</v>
      </c>
      <c r="F746" s="367">
        <v>45931.625</v>
      </c>
      <c r="G746" s="364" t="s">
        <v>1185</v>
      </c>
      <c r="H746" s="364" t="s">
        <v>1193</v>
      </c>
    </row>
    <row r="747" ht="15.75" customHeight="1">
      <c r="A747" s="364" t="s">
        <v>58</v>
      </c>
      <c r="B747" s="364" t="s">
        <v>23</v>
      </c>
      <c r="C747" s="365" t="s">
        <v>464</v>
      </c>
      <c r="D747" s="364" t="s">
        <v>465</v>
      </c>
      <c r="E747" s="366">
        <v>8.0</v>
      </c>
      <c r="F747" s="367">
        <v>45953.41666666667</v>
      </c>
      <c r="G747" s="364" t="s">
        <v>1185</v>
      </c>
      <c r="H747" s="364" t="s">
        <v>1193</v>
      </c>
    </row>
    <row r="748" ht="15.75" customHeight="1">
      <c r="A748" s="364" t="s">
        <v>58</v>
      </c>
      <c r="B748" s="364" t="s">
        <v>23</v>
      </c>
      <c r="C748" s="365" t="s">
        <v>464</v>
      </c>
      <c r="D748" s="364" t="s">
        <v>465</v>
      </c>
      <c r="E748" s="366">
        <v>9.0</v>
      </c>
      <c r="F748" s="367">
        <v>45960.41666666667</v>
      </c>
      <c r="G748" s="364" t="s">
        <v>1185</v>
      </c>
      <c r="H748" s="364" t="s">
        <v>1193</v>
      </c>
    </row>
    <row r="749" ht="15.75" customHeight="1">
      <c r="A749" s="364" t="s">
        <v>58</v>
      </c>
      <c r="B749" s="364" t="s">
        <v>23</v>
      </c>
      <c r="C749" s="365" t="s">
        <v>464</v>
      </c>
      <c r="D749" s="364" t="s">
        <v>465</v>
      </c>
      <c r="E749" s="366">
        <v>10.0</v>
      </c>
      <c r="F749" s="367">
        <v>45982.45833333333</v>
      </c>
      <c r="G749" s="364" t="s">
        <v>1185</v>
      </c>
      <c r="H749" s="364" t="s">
        <v>1193</v>
      </c>
    </row>
    <row r="750" ht="15.75" customHeight="1">
      <c r="A750" s="364" t="s">
        <v>58</v>
      </c>
      <c r="B750" s="364" t="s">
        <v>23</v>
      </c>
      <c r="C750" s="365" t="s">
        <v>464</v>
      </c>
      <c r="D750" s="364" t="s">
        <v>465</v>
      </c>
      <c r="E750" s="366">
        <v>11.0</v>
      </c>
      <c r="F750" s="367">
        <v>45989.45833333333</v>
      </c>
      <c r="G750" s="364" t="s">
        <v>1185</v>
      </c>
      <c r="H750" s="364" t="s">
        <v>1193</v>
      </c>
    </row>
    <row r="751" ht="15.75" customHeight="1">
      <c r="A751" s="364" t="s">
        <v>58</v>
      </c>
      <c r="B751" s="364" t="s">
        <v>23</v>
      </c>
      <c r="C751" s="365" t="s">
        <v>464</v>
      </c>
      <c r="D751" s="364" t="s">
        <v>465</v>
      </c>
      <c r="E751" s="366">
        <v>12.0</v>
      </c>
      <c r="F751" s="367">
        <v>45996.41666666667</v>
      </c>
      <c r="G751" s="364" t="s">
        <v>1187</v>
      </c>
      <c r="H751" s="364" t="s">
        <v>1193</v>
      </c>
    </row>
    <row r="752" ht="15.75" customHeight="1">
      <c r="A752" s="364" t="s">
        <v>58</v>
      </c>
      <c r="B752" s="364" t="s">
        <v>23</v>
      </c>
      <c r="C752" s="365" t="s">
        <v>464</v>
      </c>
      <c r="D752" s="364" t="s">
        <v>465</v>
      </c>
      <c r="E752" s="366">
        <v>13.0</v>
      </c>
      <c r="F752" s="367">
        <v>46010.41666666667</v>
      </c>
      <c r="G752" s="364" t="s">
        <v>1187</v>
      </c>
      <c r="H752" s="364" t="s">
        <v>1193</v>
      </c>
    </row>
    <row r="753" ht="15.75" customHeight="1">
      <c r="A753" s="364" t="s">
        <v>58</v>
      </c>
      <c r="B753" s="364" t="s">
        <v>23</v>
      </c>
      <c r="C753" s="365" t="s">
        <v>464</v>
      </c>
      <c r="D753" s="364" t="s">
        <v>465</v>
      </c>
      <c r="E753" s="366">
        <v>14.0</v>
      </c>
      <c r="F753" s="367">
        <v>46021.375</v>
      </c>
      <c r="G753" s="364" t="s">
        <v>1187</v>
      </c>
      <c r="H753" s="364" t="s">
        <v>1193</v>
      </c>
    </row>
    <row r="754" ht="15.75" customHeight="1">
      <c r="A754" s="364" t="s">
        <v>58</v>
      </c>
      <c r="B754" s="364" t="s">
        <v>23</v>
      </c>
      <c r="C754" s="365" t="s">
        <v>464</v>
      </c>
      <c r="D754" s="364" t="s">
        <v>465</v>
      </c>
      <c r="E754" s="366">
        <v>15.0</v>
      </c>
      <c r="F754" s="367">
        <v>46038.45833333333</v>
      </c>
      <c r="G754" s="364" t="s">
        <v>1187</v>
      </c>
      <c r="H754" s="364" t="s">
        <v>1193</v>
      </c>
    </row>
    <row r="755" ht="15.75" customHeight="1">
      <c r="A755" s="364" t="s">
        <v>58</v>
      </c>
      <c r="B755" s="364" t="s">
        <v>23</v>
      </c>
      <c r="C755" s="365" t="s">
        <v>466</v>
      </c>
      <c r="D755" s="364" t="s">
        <v>467</v>
      </c>
      <c r="E755" s="366">
        <v>1.0</v>
      </c>
      <c r="F755" s="367">
        <v>45890.41666666667</v>
      </c>
      <c r="G755" s="364" t="s">
        <v>1185</v>
      </c>
      <c r="H755" s="364" t="s">
        <v>1193</v>
      </c>
    </row>
    <row r="756" ht="15.75" customHeight="1">
      <c r="A756" s="364" t="s">
        <v>58</v>
      </c>
      <c r="B756" s="364" t="s">
        <v>23</v>
      </c>
      <c r="C756" s="365" t="s">
        <v>466</v>
      </c>
      <c r="D756" s="364" t="s">
        <v>467</v>
      </c>
      <c r="E756" s="366">
        <v>2.0</v>
      </c>
      <c r="F756" s="367">
        <v>45897.41666666667</v>
      </c>
      <c r="G756" s="364" t="s">
        <v>1185</v>
      </c>
      <c r="H756" s="364" t="s">
        <v>1193</v>
      </c>
    </row>
    <row r="757" ht="15.75" customHeight="1">
      <c r="A757" s="364" t="s">
        <v>58</v>
      </c>
      <c r="B757" s="364" t="s">
        <v>23</v>
      </c>
      <c r="C757" s="365" t="s">
        <v>466</v>
      </c>
      <c r="D757" s="364" t="s">
        <v>467</v>
      </c>
      <c r="E757" s="366">
        <v>3.0</v>
      </c>
      <c r="F757" s="367">
        <v>45904.41666666667</v>
      </c>
      <c r="G757" s="364" t="s">
        <v>1185</v>
      </c>
      <c r="H757" s="364" t="s">
        <v>1193</v>
      </c>
    </row>
    <row r="758" ht="15.75" customHeight="1">
      <c r="A758" s="364" t="s">
        <v>58</v>
      </c>
      <c r="B758" s="364" t="s">
        <v>23</v>
      </c>
      <c r="C758" s="365" t="s">
        <v>466</v>
      </c>
      <c r="D758" s="364" t="s">
        <v>467</v>
      </c>
      <c r="E758" s="366">
        <v>4.0</v>
      </c>
      <c r="F758" s="367">
        <v>45911.41666666667</v>
      </c>
      <c r="G758" s="364" t="s">
        <v>1185</v>
      </c>
      <c r="H758" s="364" t="s">
        <v>1193</v>
      </c>
    </row>
    <row r="759" ht="15.75" customHeight="1">
      <c r="A759" s="364" t="s">
        <v>58</v>
      </c>
      <c r="B759" s="364" t="s">
        <v>23</v>
      </c>
      <c r="C759" s="365" t="s">
        <v>466</v>
      </c>
      <c r="D759" s="364" t="s">
        <v>467</v>
      </c>
      <c r="E759" s="366">
        <v>5.0</v>
      </c>
      <c r="F759" s="367">
        <v>45925.41666666667</v>
      </c>
      <c r="G759" s="364" t="s">
        <v>1185</v>
      </c>
      <c r="H759" s="364" t="s">
        <v>1193</v>
      </c>
    </row>
    <row r="760" ht="15.75" customHeight="1">
      <c r="A760" s="364" t="s">
        <v>58</v>
      </c>
      <c r="B760" s="364" t="s">
        <v>23</v>
      </c>
      <c r="C760" s="365" t="s">
        <v>466</v>
      </c>
      <c r="D760" s="364" t="s">
        <v>467</v>
      </c>
      <c r="E760" s="366">
        <v>6.0</v>
      </c>
      <c r="F760" s="367">
        <v>45939.41666666667</v>
      </c>
      <c r="G760" s="364" t="s">
        <v>1185</v>
      </c>
      <c r="H760" s="364" t="s">
        <v>1193</v>
      </c>
    </row>
    <row r="761" ht="15.75" customHeight="1">
      <c r="A761" s="364" t="s">
        <v>58</v>
      </c>
      <c r="B761" s="364" t="s">
        <v>23</v>
      </c>
      <c r="C761" s="365" t="s">
        <v>466</v>
      </c>
      <c r="D761" s="364" t="s">
        <v>467</v>
      </c>
      <c r="E761" s="366">
        <v>7.0</v>
      </c>
      <c r="F761" s="367">
        <v>45946.41666666667</v>
      </c>
      <c r="G761" s="364" t="s">
        <v>1185</v>
      </c>
      <c r="H761" s="364" t="s">
        <v>1193</v>
      </c>
    </row>
    <row r="762" ht="15.75" customHeight="1">
      <c r="A762" s="364" t="s">
        <v>58</v>
      </c>
      <c r="B762" s="364" t="s">
        <v>23</v>
      </c>
      <c r="C762" s="365" t="s">
        <v>466</v>
      </c>
      <c r="D762" s="364" t="s">
        <v>467</v>
      </c>
      <c r="E762" s="366">
        <v>8.0</v>
      </c>
      <c r="F762" s="367">
        <v>45953.41666666667</v>
      </c>
      <c r="G762" s="364" t="s">
        <v>1185</v>
      </c>
      <c r="H762" s="364" t="s">
        <v>1193</v>
      </c>
    </row>
    <row r="763" ht="15.75" customHeight="1">
      <c r="A763" s="364" t="s">
        <v>58</v>
      </c>
      <c r="B763" s="364" t="s">
        <v>23</v>
      </c>
      <c r="C763" s="365" t="s">
        <v>466</v>
      </c>
      <c r="D763" s="364" t="s">
        <v>467</v>
      </c>
      <c r="E763" s="366">
        <v>9.0</v>
      </c>
      <c r="F763" s="367">
        <v>45960.41666666667</v>
      </c>
      <c r="G763" s="364" t="s">
        <v>1185</v>
      </c>
      <c r="H763" s="364" t="s">
        <v>1193</v>
      </c>
    </row>
    <row r="764" ht="15.75" customHeight="1">
      <c r="A764" s="364" t="s">
        <v>58</v>
      </c>
      <c r="B764" s="364" t="s">
        <v>23</v>
      </c>
      <c r="C764" s="365" t="s">
        <v>466</v>
      </c>
      <c r="D764" s="364" t="s">
        <v>467</v>
      </c>
      <c r="E764" s="366">
        <v>10.0</v>
      </c>
      <c r="F764" s="367">
        <v>45982.45833333333</v>
      </c>
      <c r="G764" s="364" t="s">
        <v>1185</v>
      </c>
      <c r="H764" s="364" t="s">
        <v>1193</v>
      </c>
    </row>
    <row r="765" ht="15.75" customHeight="1">
      <c r="A765" s="364" t="s">
        <v>58</v>
      </c>
      <c r="B765" s="364" t="s">
        <v>23</v>
      </c>
      <c r="C765" s="365" t="s">
        <v>466</v>
      </c>
      <c r="D765" s="364" t="s">
        <v>467</v>
      </c>
      <c r="E765" s="366">
        <v>11.0</v>
      </c>
      <c r="F765" s="367">
        <v>45989.45833333333</v>
      </c>
      <c r="G765" s="364" t="s">
        <v>1187</v>
      </c>
      <c r="H765" s="364" t="s">
        <v>1193</v>
      </c>
    </row>
    <row r="766" ht="15.75" customHeight="1">
      <c r="A766" s="364" t="s">
        <v>58</v>
      </c>
      <c r="B766" s="364" t="s">
        <v>23</v>
      </c>
      <c r="C766" s="365" t="s">
        <v>466</v>
      </c>
      <c r="D766" s="364" t="s">
        <v>467</v>
      </c>
      <c r="E766" s="366">
        <v>12.0</v>
      </c>
      <c r="F766" s="367">
        <v>45996.41666666667</v>
      </c>
      <c r="G766" s="364" t="s">
        <v>1187</v>
      </c>
      <c r="H766" s="364" t="s">
        <v>1193</v>
      </c>
    </row>
    <row r="767" ht="15.75" customHeight="1">
      <c r="A767" s="364" t="s">
        <v>58</v>
      </c>
      <c r="B767" s="364" t="s">
        <v>23</v>
      </c>
      <c r="C767" s="365" t="s">
        <v>466</v>
      </c>
      <c r="D767" s="364" t="s">
        <v>467</v>
      </c>
      <c r="E767" s="366">
        <v>13.0</v>
      </c>
      <c r="F767" s="367">
        <v>46010.41666666667</v>
      </c>
      <c r="G767" s="364" t="s">
        <v>1185</v>
      </c>
      <c r="H767" s="364" t="s">
        <v>1193</v>
      </c>
    </row>
    <row r="768" ht="15.75" customHeight="1">
      <c r="A768" s="364" t="s">
        <v>58</v>
      </c>
      <c r="B768" s="364" t="s">
        <v>23</v>
      </c>
      <c r="C768" s="365" t="s">
        <v>466</v>
      </c>
      <c r="D768" s="364" t="s">
        <v>467</v>
      </c>
      <c r="E768" s="366">
        <v>14.0</v>
      </c>
      <c r="F768" s="367">
        <v>46021.375</v>
      </c>
      <c r="G768" s="364" t="s">
        <v>1185</v>
      </c>
      <c r="H768" s="364" t="s">
        <v>1193</v>
      </c>
    </row>
    <row r="769" ht="15.75" customHeight="1">
      <c r="A769" s="364" t="s">
        <v>58</v>
      </c>
      <c r="B769" s="364" t="s">
        <v>23</v>
      </c>
      <c r="C769" s="365" t="s">
        <v>468</v>
      </c>
      <c r="D769" s="364" t="s">
        <v>469</v>
      </c>
      <c r="E769" s="366">
        <v>1.0</v>
      </c>
      <c r="F769" s="367">
        <v>45890.41666666667</v>
      </c>
      <c r="G769" s="364" t="s">
        <v>1185</v>
      </c>
      <c r="H769" s="364" t="s">
        <v>1193</v>
      </c>
    </row>
    <row r="770" ht="15.75" customHeight="1">
      <c r="A770" s="364" t="s">
        <v>58</v>
      </c>
      <c r="B770" s="364" t="s">
        <v>23</v>
      </c>
      <c r="C770" s="365" t="s">
        <v>468</v>
      </c>
      <c r="D770" s="364" t="s">
        <v>469</v>
      </c>
      <c r="E770" s="366">
        <v>2.0</v>
      </c>
      <c r="F770" s="367">
        <v>45897.41666666667</v>
      </c>
      <c r="G770" s="364" t="s">
        <v>1185</v>
      </c>
      <c r="H770" s="364" t="s">
        <v>1193</v>
      </c>
    </row>
    <row r="771" ht="15.75" customHeight="1">
      <c r="A771" s="364" t="s">
        <v>58</v>
      </c>
      <c r="B771" s="364" t="s">
        <v>23</v>
      </c>
      <c r="C771" s="365" t="s">
        <v>468</v>
      </c>
      <c r="D771" s="364" t="s">
        <v>469</v>
      </c>
      <c r="E771" s="366">
        <v>3.0</v>
      </c>
      <c r="F771" s="367">
        <v>45904.41666666667</v>
      </c>
      <c r="G771" s="364" t="s">
        <v>1185</v>
      </c>
      <c r="H771" s="364" t="s">
        <v>1193</v>
      </c>
    </row>
    <row r="772" ht="15.75" customHeight="1">
      <c r="A772" s="364" t="s">
        <v>58</v>
      </c>
      <c r="B772" s="364" t="s">
        <v>23</v>
      </c>
      <c r="C772" s="365" t="s">
        <v>468</v>
      </c>
      <c r="D772" s="364" t="s">
        <v>469</v>
      </c>
      <c r="E772" s="366">
        <v>4.0</v>
      </c>
      <c r="F772" s="367">
        <v>45911.41666666667</v>
      </c>
      <c r="G772" s="364" t="s">
        <v>1185</v>
      </c>
      <c r="H772" s="364" t="s">
        <v>1193</v>
      </c>
    </row>
    <row r="773" ht="15.75" customHeight="1">
      <c r="A773" s="364" t="s">
        <v>58</v>
      </c>
      <c r="B773" s="364" t="s">
        <v>23</v>
      </c>
      <c r="C773" s="365" t="s">
        <v>468</v>
      </c>
      <c r="D773" s="364" t="s">
        <v>469</v>
      </c>
      <c r="E773" s="366">
        <v>5.0</v>
      </c>
      <c r="F773" s="367">
        <v>45925.41666666667</v>
      </c>
      <c r="G773" s="364" t="s">
        <v>1185</v>
      </c>
      <c r="H773" s="364" t="s">
        <v>1193</v>
      </c>
    </row>
    <row r="774" ht="15.75" customHeight="1">
      <c r="A774" s="364" t="s">
        <v>58</v>
      </c>
      <c r="B774" s="364" t="s">
        <v>23</v>
      </c>
      <c r="C774" s="365" t="s">
        <v>468</v>
      </c>
      <c r="D774" s="364" t="s">
        <v>469</v>
      </c>
      <c r="E774" s="366">
        <v>6.0</v>
      </c>
      <c r="F774" s="367">
        <v>45939.41666666667</v>
      </c>
      <c r="G774" s="364" t="s">
        <v>1185</v>
      </c>
      <c r="H774" s="364" t="s">
        <v>1193</v>
      </c>
    </row>
    <row r="775" ht="15.75" customHeight="1">
      <c r="A775" s="364" t="s">
        <v>58</v>
      </c>
      <c r="B775" s="364" t="s">
        <v>23</v>
      </c>
      <c r="C775" s="365" t="s">
        <v>468</v>
      </c>
      <c r="D775" s="364" t="s">
        <v>469</v>
      </c>
      <c r="E775" s="366">
        <v>7.0</v>
      </c>
      <c r="F775" s="367">
        <v>45946.41666666667</v>
      </c>
      <c r="G775" s="364" t="s">
        <v>1185</v>
      </c>
      <c r="H775" s="364" t="s">
        <v>1193</v>
      </c>
    </row>
    <row r="776" ht="15.75" customHeight="1">
      <c r="A776" s="364" t="s">
        <v>58</v>
      </c>
      <c r="B776" s="364" t="s">
        <v>23</v>
      </c>
      <c r="C776" s="365" t="s">
        <v>468</v>
      </c>
      <c r="D776" s="364" t="s">
        <v>469</v>
      </c>
      <c r="E776" s="366">
        <v>8.0</v>
      </c>
      <c r="F776" s="367">
        <v>45953.41666666667</v>
      </c>
      <c r="G776" s="364" t="s">
        <v>1185</v>
      </c>
      <c r="H776" s="364" t="s">
        <v>1193</v>
      </c>
    </row>
    <row r="777" ht="15.75" customHeight="1">
      <c r="A777" s="364" t="s">
        <v>58</v>
      </c>
      <c r="B777" s="364" t="s">
        <v>23</v>
      </c>
      <c r="C777" s="365" t="s">
        <v>468</v>
      </c>
      <c r="D777" s="364" t="s">
        <v>469</v>
      </c>
      <c r="E777" s="366">
        <v>9.0</v>
      </c>
      <c r="F777" s="367">
        <v>45960.41666666667</v>
      </c>
      <c r="G777" s="364" t="s">
        <v>1185</v>
      </c>
      <c r="H777" s="364" t="s">
        <v>1193</v>
      </c>
    </row>
    <row r="778" ht="15.75" customHeight="1">
      <c r="A778" s="364" t="s">
        <v>58</v>
      </c>
      <c r="B778" s="364" t="s">
        <v>23</v>
      </c>
      <c r="C778" s="365" t="s">
        <v>468</v>
      </c>
      <c r="D778" s="364" t="s">
        <v>469</v>
      </c>
      <c r="E778" s="366">
        <v>10.0</v>
      </c>
      <c r="F778" s="367">
        <v>45982.45833333333</v>
      </c>
      <c r="G778" s="364" t="s">
        <v>1185</v>
      </c>
      <c r="H778" s="364" t="s">
        <v>1193</v>
      </c>
    </row>
    <row r="779" ht="15.75" customHeight="1">
      <c r="A779" s="364" t="s">
        <v>58</v>
      </c>
      <c r="B779" s="364" t="s">
        <v>23</v>
      </c>
      <c r="C779" s="365" t="s">
        <v>468</v>
      </c>
      <c r="D779" s="364" t="s">
        <v>469</v>
      </c>
      <c r="E779" s="366">
        <v>11.0</v>
      </c>
      <c r="F779" s="367">
        <v>45989.45833333333</v>
      </c>
      <c r="G779" s="364" t="s">
        <v>1185</v>
      </c>
      <c r="H779" s="364" t="s">
        <v>1193</v>
      </c>
    </row>
    <row r="780" ht="15.75" customHeight="1">
      <c r="A780" s="364" t="s">
        <v>58</v>
      </c>
      <c r="B780" s="364" t="s">
        <v>23</v>
      </c>
      <c r="C780" s="365" t="s">
        <v>468</v>
      </c>
      <c r="D780" s="364" t="s">
        <v>469</v>
      </c>
      <c r="E780" s="366">
        <v>12.0</v>
      </c>
      <c r="F780" s="367">
        <v>45996.41666666667</v>
      </c>
      <c r="G780" s="364" t="s">
        <v>1185</v>
      </c>
      <c r="H780" s="364" t="s">
        <v>1193</v>
      </c>
    </row>
    <row r="781" ht="15.75" customHeight="1">
      <c r="A781" s="364" t="s">
        <v>58</v>
      </c>
      <c r="B781" s="364" t="s">
        <v>23</v>
      </c>
      <c r="C781" s="365" t="s">
        <v>468</v>
      </c>
      <c r="D781" s="364" t="s">
        <v>469</v>
      </c>
      <c r="E781" s="366">
        <v>13.0</v>
      </c>
      <c r="F781" s="367">
        <v>46010.41666666667</v>
      </c>
      <c r="G781" s="364" t="s">
        <v>1185</v>
      </c>
      <c r="H781" s="364" t="s">
        <v>1193</v>
      </c>
    </row>
    <row r="782" ht="15.75" customHeight="1">
      <c r="A782" s="364" t="s">
        <v>58</v>
      </c>
      <c r="B782" s="364" t="s">
        <v>23</v>
      </c>
      <c r="C782" s="365" t="s">
        <v>468</v>
      </c>
      <c r="D782" s="364" t="s">
        <v>469</v>
      </c>
      <c r="E782" s="366">
        <v>14.0</v>
      </c>
      <c r="F782" s="367">
        <v>46021.375</v>
      </c>
      <c r="G782" s="364" t="s">
        <v>1185</v>
      </c>
      <c r="H782" s="364" t="s">
        <v>1193</v>
      </c>
    </row>
    <row r="783" ht="15.75" customHeight="1">
      <c r="A783" s="364" t="s">
        <v>58</v>
      </c>
      <c r="B783" s="364" t="s">
        <v>23</v>
      </c>
      <c r="C783" s="365" t="s">
        <v>476</v>
      </c>
      <c r="D783" s="364" t="s">
        <v>477</v>
      </c>
      <c r="E783" s="366">
        <v>1.0</v>
      </c>
      <c r="F783" s="367">
        <v>45890.41666666667</v>
      </c>
      <c r="G783" s="364" t="s">
        <v>1185</v>
      </c>
      <c r="H783" s="364" t="s">
        <v>1193</v>
      </c>
    </row>
    <row r="784" ht="15.75" customHeight="1">
      <c r="A784" s="364" t="s">
        <v>58</v>
      </c>
      <c r="B784" s="364" t="s">
        <v>23</v>
      </c>
      <c r="C784" s="365" t="s">
        <v>476</v>
      </c>
      <c r="D784" s="364" t="s">
        <v>477</v>
      </c>
      <c r="E784" s="366">
        <v>2.0</v>
      </c>
      <c r="F784" s="367">
        <v>45897.41666666667</v>
      </c>
      <c r="G784" s="364" t="s">
        <v>1185</v>
      </c>
      <c r="H784" s="364" t="s">
        <v>1193</v>
      </c>
    </row>
    <row r="785" ht="15.75" customHeight="1">
      <c r="A785" s="364" t="s">
        <v>58</v>
      </c>
      <c r="B785" s="364" t="s">
        <v>23</v>
      </c>
      <c r="C785" s="365" t="s">
        <v>476</v>
      </c>
      <c r="D785" s="364" t="s">
        <v>477</v>
      </c>
      <c r="E785" s="366">
        <v>3.0</v>
      </c>
      <c r="F785" s="367">
        <v>45904.41666666667</v>
      </c>
      <c r="G785" s="364" t="s">
        <v>1185</v>
      </c>
      <c r="H785" s="364" t="s">
        <v>1193</v>
      </c>
    </row>
    <row r="786" ht="15.75" customHeight="1">
      <c r="A786" s="364" t="s">
        <v>58</v>
      </c>
      <c r="B786" s="364" t="s">
        <v>23</v>
      </c>
      <c r="C786" s="365" t="s">
        <v>476</v>
      </c>
      <c r="D786" s="364" t="s">
        <v>477</v>
      </c>
      <c r="E786" s="366">
        <v>4.0</v>
      </c>
      <c r="F786" s="367">
        <v>45911.41666666667</v>
      </c>
      <c r="G786" s="364" t="s">
        <v>1185</v>
      </c>
      <c r="H786" s="364" t="s">
        <v>1193</v>
      </c>
    </row>
    <row r="787" ht="15.75" customHeight="1">
      <c r="A787" s="364" t="s">
        <v>58</v>
      </c>
      <c r="B787" s="364" t="s">
        <v>23</v>
      </c>
      <c r="C787" s="365" t="s">
        <v>476</v>
      </c>
      <c r="D787" s="364" t="s">
        <v>477</v>
      </c>
      <c r="E787" s="366">
        <v>5.0</v>
      </c>
      <c r="F787" s="367">
        <v>45925.41666666667</v>
      </c>
      <c r="G787" s="364" t="s">
        <v>1185</v>
      </c>
      <c r="H787" s="364" t="s">
        <v>1193</v>
      </c>
    </row>
    <row r="788" ht="15.75" customHeight="1">
      <c r="A788" s="364" t="s">
        <v>58</v>
      </c>
      <c r="B788" s="364" t="s">
        <v>23</v>
      </c>
      <c r="C788" s="365" t="s">
        <v>476</v>
      </c>
      <c r="D788" s="364" t="s">
        <v>477</v>
      </c>
      <c r="E788" s="366">
        <v>6.0</v>
      </c>
      <c r="F788" s="367">
        <v>45939.41666666667</v>
      </c>
      <c r="G788" s="364" t="s">
        <v>1185</v>
      </c>
      <c r="H788" s="364" t="s">
        <v>1193</v>
      </c>
    </row>
    <row r="789" ht="15.75" customHeight="1">
      <c r="A789" s="364" t="s">
        <v>58</v>
      </c>
      <c r="B789" s="364" t="s">
        <v>23</v>
      </c>
      <c r="C789" s="365" t="s">
        <v>476</v>
      </c>
      <c r="D789" s="364" t="s">
        <v>477</v>
      </c>
      <c r="E789" s="366">
        <v>7.0</v>
      </c>
      <c r="F789" s="367">
        <v>45946.41666666667</v>
      </c>
      <c r="G789" s="364" t="s">
        <v>1185</v>
      </c>
      <c r="H789" s="364" t="s">
        <v>1193</v>
      </c>
    </row>
    <row r="790" ht="15.75" customHeight="1">
      <c r="A790" s="364" t="s">
        <v>58</v>
      </c>
      <c r="B790" s="364" t="s">
        <v>23</v>
      </c>
      <c r="C790" s="365" t="s">
        <v>476</v>
      </c>
      <c r="D790" s="364" t="s">
        <v>477</v>
      </c>
      <c r="E790" s="366">
        <v>8.0</v>
      </c>
      <c r="F790" s="367">
        <v>45953.41666666667</v>
      </c>
      <c r="G790" s="364" t="s">
        <v>1185</v>
      </c>
      <c r="H790" s="364" t="s">
        <v>1193</v>
      </c>
    </row>
    <row r="791" ht="15.75" customHeight="1">
      <c r="A791" s="364" t="s">
        <v>58</v>
      </c>
      <c r="B791" s="364" t="s">
        <v>23</v>
      </c>
      <c r="C791" s="365" t="s">
        <v>476</v>
      </c>
      <c r="D791" s="364" t="s">
        <v>477</v>
      </c>
      <c r="E791" s="366">
        <v>9.0</v>
      </c>
      <c r="F791" s="367">
        <v>45960.41666666667</v>
      </c>
      <c r="G791" s="364" t="s">
        <v>1185</v>
      </c>
      <c r="H791" s="364" t="s">
        <v>1193</v>
      </c>
    </row>
    <row r="792" ht="15.75" customHeight="1">
      <c r="A792" s="364" t="s">
        <v>58</v>
      </c>
      <c r="B792" s="364" t="s">
        <v>23</v>
      </c>
      <c r="C792" s="365" t="s">
        <v>476</v>
      </c>
      <c r="D792" s="364" t="s">
        <v>477</v>
      </c>
      <c r="E792" s="366">
        <v>10.0</v>
      </c>
      <c r="F792" s="367">
        <v>45982.45833333333</v>
      </c>
      <c r="G792" s="364" t="s">
        <v>1185</v>
      </c>
      <c r="H792" s="364" t="s">
        <v>1193</v>
      </c>
    </row>
    <row r="793" ht="15.75" customHeight="1">
      <c r="A793" s="364" t="s">
        <v>58</v>
      </c>
      <c r="B793" s="364" t="s">
        <v>23</v>
      </c>
      <c r="C793" s="365" t="s">
        <v>476</v>
      </c>
      <c r="D793" s="364" t="s">
        <v>477</v>
      </c>
      <c r="E793" s="366">
        <v>11.0</v>
      </c>
      <c r="F793" s="367">
        <v>45989.45833333333</v>
      </c>
      <c r="G793" s="364" t="s">
        <v>1185</v>
      </c>
      <c r="H793" s="364" t="s">
        <v>1193</v>
      </c>
    </row>
    <row r="794" ht="15.75" customHeight="1">
      <c r="A794" s="364" t="s">
        <v>58</v>
      </c>
      <c r="B794" s="364" t="s">
        <v>23</v>
      </c>
      <c r="C794" s="365" t="s">
        <v>476</v>
      </c>
      <c r="D794" s="364" t="s">
        <v>477</v>
      </c>
      <c r="E794" s="366">
        <v>12.0</v>
      </c>
      <c r="F794" s="367">
        <v>45996.41666666667</v>
      </c>
      <c r="G794" s="364" t="s">
        <v>1185</v>
      </c>
      <c r="H794" s="364" t="s">
        <v>1193</v>
      </c>
    </row>
    <row r="795" ht="15.75" customHeight="1">
      <c r="A795" s="364" t="s">
        <v>58</v>
      </c>
      <c r="B795" s="364" t="s">
        <v>23</v>
      </c>
      <c r="C795" s="365" t="s">
        <v>476</v>
      </c>
      <c r="D795" s="364" t="s">
        <v>477</v>
      </c>
      <c r="E795" s="366">
        <v>13.0</v>
      </c>
      <c r="F795" s="367">
        <v>46010.41666666667</v>
      </c>
      <c r="G795" s="364" t="s">
        <v>1185</v>
      </c>
      <c r="H795" s="364" t="s">
        <v>1193</v>
      </c>
    </row>
    <row r="796" ht="15.75" customHeight="1">
      <c r="A796" s="364" t="s">
        <v>58</v>
      </c>
      <c r="B796" s="364" t="s">
        <v>23</v>
      </c>
      <c r="C796" s="365" t="s">
        <v>476</v>
      </c>
      <c r="D796" s="364" t="s">
        <v>477</v>
      </c>
      <c r="E796" s="366">
        <v>14.0</v>
      </c>
      <c r="F796" s="367">
        <v>46021.375</v>
      </c>
      <c r="G796" s="364" t="s">
        <v>1185</v>
      </c>
      <c r="H796" s="364" t="s">
        <v>1193</v>
      </c>
    </row>
    <row r="797" ht="15.75" customHeight="1">
      <c r="A797" s="364" t="s">
        <v>58</v>
      </c>
      <c r="B797" s="364" t="s">
        <v>23</v>
      </c>
      <c r="C797" s="365" t="s">
        <v>476</v>
      </c>
      <c r="D797" s="364" t="s">
        <v>477</v>
      </c>
      <c r="E797" s="366">
        <v>15.0</v>
      </c>
      <c r="F797" s="367">
        <v>46038.45833333333</v>
      </c>
      <c r="G797" s="364" t="s">
        <v>1185</v>
      </c>
      <c r="H797" s="364" t="s">
        <v>1193</v>
      </c>
    </row>
    <row r="798" ht="15.75" customHeight="1">
      <c r="A798" s="364" t="s">
        <v>58</v>
      </c>
      <c r="B798" s="364" t="s">
        <v>23</v>
      </c>
      <c r="C798" s="365" t="s">
        <v>476</v>
      </c>
      <c r="D798" s="364" t="s">
        <v>477</v>
      </c>
      <c r="E798" s="366">
        <v>16.0</v>
      </c>
      <c r="F798" s="367">
        <v>46083.45833333333</v>
      </c>
      <c r="G798" s="364" t="s">
        <v>1185</v>
      </c>
      <c r="H798" s="364" t="s">
        <v>1193</v>
      </c>
    </row>
    <row r="799" ht="15.75" customHeight="1">
      <c r="A799" s="364" t="s">
        <v>58</v>
      </c>
      <c r="B799" s="364" t="s">
        <v>23</v>
      </c>
      <c r="C799" s="365" t="s">
        <v>470</v>
      </c>
      <c r="D799" s="364" t="s">
        <v>471</v>
      </c>
      <c r="E799" s="366">
        <v>1.0</v>
      </c>
      <c r="F799" s="367">
        <v>45890.41666666667</v>
      </c>
      <c r="G799" s="364" t="s">
        <v>1185</v>
      </c>
      <c r="H799" s="364" t="s">
        <v>1193</v>
      </c>
    </row>
    <row r="800" ht="15.75" customHeight="1">
      <c r="A800" s="364" t="s">
        <v>58</v>
      </c>
      <c r="B800" s="364" t="s">
        <v>23</v>
      </c>
      <c r="C800" s="365" t="s">
        <v>470</v>
      </c>
      <c r="D800" s="364" t="s">
        <v>471</v>
      </c>
      <c r="E800" s="366">
        <v>2.0</v>
      </c>
      <c r="F800" s="367">
        <v>45897.41666666667</v>
      </c>
      <c r="G800" s="364" t="s">
        <v>1185</v>
      </c>
      <c r="H800" s="364" t="s">
        <v>1193</v>
      </c>
    </row>
    <row r="801" ht="15.75" customHeight="1">
      <c r="A801" s="364" t="s">
        <v>58</v>
      </c>
      <c r="B801" s="364" t="s">
        <v>23</v>
      </c>
      <c r="C801" s="365" t="s">
        <v>470</v>
      </c>
      <c r="D801" s="364" t="s">
        <v>471</v>
      </c>
      <c r="E801" s="366">
        <v>3.0</v>
      </c>
      <c r="F801" s="367">
        <v>45904.41666666667</v>
      </c>
      <c r="G801" s="364" t="s">
        <v>1185</v>
      </c>
      <c r="H801" s="364" t="s">
        <v>1193</v>
      </c>
    </row>
    <row r="802" ht="15.75" customHeight="1">
      <c r="A802" s="364" t="s">
        <v>58</v>
      </c>
      <c r="B802" s="364" t="s">
        <v>23</v>
      </c>
      <c r="C802" s="365" t="s">
        <v>470</v>
      </c>
      <c r="D802" s="364" t="s">
        <v>471</v>
      </c>
      <c r="E802" s="366">
        <v>4.0</v>
      </c>
      <c r="F802" s="367">
        <v>45911.41666666667</v>
      </c>
      <c r="G802" s="364" t="s">
        <v>1185</v>
      </c>
      <c r="H802" s="364" t="s">
        <v>1193</v>
      </c>
    </row>
    <row r="803" ht="15.75" customHeight="1">
      <c r="A803" s="364" t="s">
        <v>58</v>
      </c>
      <c r="B803" s="364" t="s">
        <v>23</v>
      </c>
      <c r="C803" s="365" t="s">
        <v>470</v>
      </c>
      <c r="D803" s="364" t="s">
        <v>471</v>
      </c>
      <c r="E803" s="366">
        <v>5.0</v>
      </c>
      <c r="F803" s="367">
        <v>45925.41666666667</v>
      </c>
      <c r="G803" s="364" t="s">
        <v>1185</v>
      </c>
      <c r="H803" s="364" t="s">
        <v>1193</v>
      </c>
    </row>
    <row r="804" ht="15.75" customHeight="1">
      <c r="A804" s="364" t="s">
        <v>58</v>
      </c>
      <c r="B804" s="364" t="s">
        <v>23</v>
      </c>
      <c r="C804" s="365" t="s">
        <v>470</v>
      </c>
      <c r="D804" s="364" t="s">
        <v>471</v>
      </c>
      <c r="E804" s="366">
        <v>6.0</v>
      </c>
      <c r="F804" s="367">
        <v>45939.41666666667</v>
      </c>
      <c r="G804" s="364" t="s">
        <v>1185</v>
      </c>
      <c r="H804" s="364" t="s">
        <v>1193</v>
      </c>
    </row>
    <row r="805" ht="15.75" customHeight="1">
      <c r="A805" s="364" t="s">
        <v>58</v>
      </c>
      <c r="B805" s="364" t="s">
        <v>23</v>
      </c>
      <c r="C805" s="365" t="s">
        <v>470</v>
      </c>
      <c r="D805" s="364" t="s">
        <v>471</v>
      </c>
      <c r="E805" s="366">
        <v>7.0</v>
      </c>
      <c r="F805" s="367">
        <v>45946.41666666667</v>
      </c>
      <c r="G805" s="364" t="s">
        <v>1185</v>
      </c>
      <c r="H805" s="364" t="s">
        <v>1193</v>
      </c>
    </row>
    <row r="806" ht="15.75" customHeight="1">
      <c r="A806" s="364" t="s">
        <v>58</v>
      </c>
      <c r="B806" s="364" t="s">
        <v>23</v>
      </c>
      <c r="C806" s="365" t="s">
        <v>470</v>
      </c>
      <c r="D806" s="364" t="s">
        <v>471</v>
      </c>
      <c r="E806" s="366">
        <v>8.0</v>
      </c>
      <c r="F806" s="367">
        <v>45953.41666666667</v>
      </c>
      <c r="G806" s="364" t="s">
        <v>1185</v>
      </c>
      <c r="H806" s="364" t="s">
        <v>1193</v>
      </c>
    </row>
    <row r="807" ht="15.75" customHeight="1">
      <c r="A807" s="364" t="s">
        <v>58</v>
      </c>
      <c r="B807" s="364" t="s">
        <v>23</v>
      </c>
      <c r="C807" s="365" t="s">
        <v>470</v>
      </c>
      <c r="D807" s="364" t="s">
        <v>471</v>
      </c>
      <c r="E807" s="366">
        <v>9.0</v>
      </c>
      <c r="F807" s="367">
        <v>45960.41666666667</v>
      </c>
      <c r="G807" s="364" t="s">
        <v>1185</v>
      </c>
      <c r="H807" s="364" t="s">
        <v>1193</v>
      </c>
    </row>
    <row r="808" ht="15.75" customHeight="1">
      <c r="A808" s="364" t="s">
        <v>58</v>
      </c>
      <c r="B808" s="364" t="s">
        <v>23</v>
      </c>
      <c r="C808" s="365" t="s">
        <v>470</v>
      </c>
      <c r="D808" s="364" t="s">
        <v>471</v>
      </c>
      <c r="E808" s="366">
        <v>10.0</v>
      </c>
      <c r="F808" s="367">
        <v>45982.45833333333</v>
      </c>
      <c r="G808" s="364" t="s">
        <v>1187</v>
      </c>
      <c r="H808" s="364" t="s">
        <v>1193</v>
      </c>
    </row>
    <row r="809" ht="15.75" customHeight="1">
      <c r="A809" s="364" t="s">
        <v>58</v>
      </c>
      <c r="B809" s="364" t="s">
        <v>23</v>
      </c>
      <c r="C809" s="365" t="s">
        <v>470</v>
      </c>
      <c r="D809" s="364" t="s">
        <v>471</v>
      </c>
      <c r="E809" s="366">
        <v>11.0</v>
      </c>
      <c r="F809" s="367">
        <v>45989.45833333333</v>
      </c>
      <c r="G809" s="364" t="s">
        <v>1185</v>
      </c>
      <c r="H809" s="364" t="s">
        <v>1193</v>
      </c>
    </row>
    <row r="810" ht="15.75" customHeight="1">
      <c r="A810" s="364" t="s">
        <v>58</v>
      </c>
      <c r="B810" s="364" t="s">
        <v>23</v>
      </c>
      <c r="C810" s="365" t="s">
        <v>470</v>
      </c>
      <c r="D810" s="364" t="s">
        <v>471</v>
      </c>
      <c r="E810" s="366">
        <v>12.0</v>
      </c>
      <c r="F810" s="367">
        <v>45996.41666666667</v>
      </c>
      <c r="G810" s="364" t="s">
        <v>1185</v>
      </c>
      <c r="H810" s="364" t="s">
        <v>1193</v>
      </c>
    </row>
    <row r="811" ht="15.75" customHeight="1">
      <c r="A811" s="364" t="s">
        <v>58</v>
      </c>
      <c r="B811" s="364" t="s">
        <v>23</v>
      </c>
      <c r="C811" s="365" t="s">
        <v>470</v>
      </c>
      <c r="D811" s="364" t="s">
        <v>471</v>
      </c>
      <c r="E811" s="366">
        <v>13.0</v>
      </c>
      <c r="F811" s="367">
        <v>46010.41666666667</v>
      </c>
      <c r="G811" s="364" t="s">
        <v>1185</v>
      </c>
      <c r="H811" s="364" t="s">
        <v>1193</v>
      </c>
    </row>
    <row r="812" ht="15.75" customHeight="1">
      <c r="A812" s="364" t="s">
        <v>58</v>
      </c>
      <c r="B812" s="364" t="s">
        <v>23</v>
      </c>
      <c r="C812" s="365" t="s">
        <v>470</v>
      </c>
      <c r="D812" s="364" t="s">
        <v>471</v>
      </c>
      <c r="E812" s="366">
        <v>14.0</v>
      </c>
      <c r="F812" s="367">
        <v>46021.375</v>
      </c>
      <c r="G812" s="364" t="s">
        <v>1185</v>
      </c>
      <c r="H812" s="364" t="s">
        <v>1193</v>
      </c>
    </row>
    <row r="813" ht="15.75" customHeight="1">
      <c r="A813" s="364" t="s">
        <v>58</v>
      </c>
      <c r="B813" s="364" t="s">
        <v>23</v>
      </c>
      <c r="C813" s="365" t="s">
        <v>472</v>
      </c>
      <c r="D813" s="364" t="s">
        <v>473</v>
      </c>
      <c r="E813" s="366">
        <v>1.0</v>
      </c>
      <c r="F813" s="367">
        <v>45841.58333333333</v>
      </c>
      <c r="G813" s="364" t="s">
        <v>1185</v>
      </c>
      <c r="H813" s="364" t="s">
        <v>1193</v>
      </c>
    </row>
    <row r="814" ht="15.75" customHeight="1">
      <c r="A814" s="364" t="s">
        <v>58</v>
      </c>
      <c r="B814" s="364" t="s">
        <v>23</v>
      </c>
      <c r="C814" s="365" t="s">
        <v>472</v>
      </c>
      <c r="D814" s="364" t="s">
        <v>473</v>
      </c>
      <c r="E814" s="366">
        <v>2.0</v>
      </c>
      <c r="F814" s="367">
        <v>45853.41666666667</v>
      </c>
      <c r="G814" s="364" t="s">
        <v>1185</v>
      </c>
      <c r="H814" s="364" t="s">
        <v>1193</v>
      </c>
    </row>
    <row r="815" ht="15.75" customHeight="1">
      <c r="A815" s="364" t="s">
        <v>58</v>
      </c>
      <c r="B815" s="364" t="s">
        <v>23</v>
      </c>
      <c r="C815" s="365" t="s">
        <v>472</v>
      </c>
      <c r="D815" s="364" t="s">
        <v>473</v>
      </c>
      <c r="E815" s="366">
        <v>3.0</v>
      </c>
      <c r="F815" s="367">
        <v>45882.625</v>
      </c>
      <c r="G815" s="364" t="s">
        <v>1185</v>
      </c>
      <c r="H815" s="364" t="s">
        <v>1193</v>
      </c>
    </row>
    <row r="816" ht="15.75" customHeight="1">
      <c r="A816" s="364" t="s">
        <v>58</v>
      </c>
      <c r="B816" s="364" t="s">
        <v>23</v>
      </c>
      <c r="C816" s="365" t="s">
        <v>472</v>
      </c>
      <c r="D816" s="364" t="s">
        <v>473</v>
      </c>
      <c r="E816" s="366">
        <v>4.0</v>
      </c>
      <c r="F816" s="367">
        <v>45889.625</v>
      </c>
      <c r="G816" s="364" t="s">
        <v>1185</v>
      </c>
      <c r="H816" s="364" t="s">
        <v>1193</v>
      </c>
    </row>
    <row r="817" ht="15.75" customHeight="1">
      <c r="A817" s="364" t="s">
        <v>58</v>
      </c>
      <c r="B817" s="364" t="s">
        <v>23</v>
      </c>
      <c r="C817" s="365" t="s">
        <v>472</v>
      </c>
      <c r="D817" s="364" t="s">
        <v>473</v>
      </c>
      <c r="E817" s="366">
        <v>5.0</v>
      </c>
      <c r="F817" s="367">
        <v>45917.625</v>
      </c>
      <c r="G817" s="364" t="s">
        <v>1185</v>
      </c>
      <c r="H817" s="364" t="s">
        <v>1193</v>
      </c>
    </row>
    <row r="818" ht="15.75" customHeight="1">
      <c r="A818" s="364" t="s">
        <v>58</v>
      </c>
      <c r="B818" s="364" t="s">
        <v>23</v>
      </c>
      <c r="C818" s="365" t="s">
        <v>472</v>
      </c>
      <c r="D818" s="364" t="s">
        <v>473</v>
      </c>
      <c r="E818" s="366">
        <v>6.0</v>
      </c>
      <c r="F818" s="367">
        <v>45924.625</v>
      </c>
      <c r="G818" s="364" t="s">
        <v>1185</v>
      </c>
      <c r="H818" s="364" t="s">
        <v>1193</v>
      </c>
    </row>
    <row r="819" ht="15.75" customHeight="1">
      <c r="A819" s="364" t="s">
        <v>58</v>
      </c>
      <c r="B819" s="364" t="s">
        <v>23</v>
      </c>
      <c r="C819" s="365" t="s">
        <v>472</v>
      </c>
      <c r="D819" s="364" t="s">
        <v>473</v>
      </c>
      <c r="E819" s="366">
        <v>7.0</v>
      </c>
      <c r="F819" s="367">
        <v>45931.625</v>
      </c>
      <c r="G819" s="364" t="s">
        <v>1185</v>
      </c>
      <c r="H819" s="364" t="s">
        <v>1193</v>
      </c>
    </row>
    <row r="820" ht="15.75" customHeight="1">
      <c r="A820" s="364" t="s">
        <v>58</v>
      </c>
      <c r="B820" s="364" t="s">
        <v>23</v>
      </c>
      <c r="C820" s="365" t="s">
        <v>472</v>
      </c>
      <c r="D820" s="364" t="s">
        <v>473</v>
      </c>
      <c r="E820" s="366">
        <v>8.0</v>
      </c>
      <c r="F820" s="367">
        <v>45953.41666666667</v>
      </c>
      <c r="G820" s="364" t="s">
        <v>1187</v>
      </c>
      <c r="H820" s="364" t="s">
        <v>1193</v>
      </c>
    </row>
    <row r="821" ht="15.75" customHeight="1">
      <c r="A821" s="364" t="s">
        <v>58</v>
      </c>
      <c r="B821" s="364" t="s">
        <v>23</v>
      </c>
      <c r="C821" s="365" t="s">
        <v>472</v>
      </c>
      <c r="D821" s="364" t="s">
        <v>473</v>
      </c>
      <c r="E821" s="366">
        <v>9.0</v>
      </c>
      <c r="F821" s="367">
        <v>45960.41666666667</v>
      </c>
      <c r="G821" s="364" t="s">
        <v>1185</v>
      </c>
      <c r="H821" s="364" t="s">
        <v>1193</v>
      </c>
    </row>
    <row r="822" ht="15.75" customHeight="1">
      <c r="A822" s="364" t="s">
        <v>58</v>
      </c>
      <c r="B822" s="364" t="s">
        <v>23</v>
      </c>
      <c r="C822" s="365" t="s">
        <v>472</v>
      </c>
      <c r="D822" s="364" t="s">
        <v>473</v>
      </c>
      <c r="E822" s="366">
        <v>10.0</v>
      </c>
      <c r="F822" s="367">
        <v>45982.45833333333</v>
      </c>
      <c r="G822" s="364" t="s">
        <v>1185</v>
      </c>
      <c r="H822" s="364" t="s">
        <v>1193</v>
      </c>
    </row>
    <row r="823" ht="15.75" customHeight="1">
      <c r="A823" s="364" t="s">
        <v>58</v>
      </c>
      <c r="B823" s="364" t="s">
        <v>23</v>
      </c>
      <c r="C823" s="365" t="s">
        <v>472</v>
      </c>
      <c r="D823" s="364" t="s">
        <v>473</v>
      </c>
      <c r="E823" s="366">
        <v>11.0</v>
      </c>
      <c r="F823" s="367">
        <v>45989.45833333333</v>
      </c>
      <c r="G823" s="364" t="s">
        <v>1187</v>
      </c>
      <c r="H823" s="364" t="s">
        <v>1193</v>
      </c>
    </row>
    <row r="824" ht="15.75" customHeight="1">
      <c r="A824" s="364" t="s">
        <v>58</v>
      </c>
      <c r="B824" s="364" t="s">
        <v>23</v>
      </c>
      <c r="C824" s="365" t="s">
        <v>472</v>
      </c>
      <c r="D824" s="364" t="s">
        <v>473</v>
      </c>
      <c r="E824" s="366">
        <v>12.0</v>
      </c>
      <c r="F824" s="367">
        <v>45996.41666666667</v>
      </c>
      <c r="G824" s="364" t="s">
        <v>1185</v>
      </c>
      <c r="H824" s="364" t="s">
        <v>1193</v>
      </c>
    </row>
    <row r="825" ht="15.75" customHeight="1">
      <c r="A825" s="364" t="s">
        <v>58</v>
      </c>
      <c r="B825" s="364" t="s">
        <v>23</v>
      </c>
      <c r="C825" s="365" t="s">
        <v>472</v>
      </c>
      <c r="D825" s="364" t="s">
        <v>473</v>
      </c>
      <c r="E825" s="366">
        <v>13.0</v>
      </c>
      <c r="F825" s="367">
        <v>46010.41666666667</v>
      </c>
      <c r="G825" s="364" t="s">
        <v>1187</v>
      </c>
      <c r="H825" s="364" t="s">
        <v>1193</v>
      </c>
    </row>
    <row r="826" ht="15.75" customHeight="1">
      <c r="A826" s="364" t="s">
        <v>58</v>
      </c>
      <c r="B826" s="364" t="s">
        <v>23</v>
      </c>
      <c r="C826" s="365" t="s">
        <v>472</v>
      </c>
      <c r="D826" s="364" t="s">
        <v>473</v>
      </c>
      <c r="E826" s="366">
        <v>14.0</v>
      </c>
      <c r="F826" s="367">
        <v>46021.375</v>
      </c>
      <c r="G826" s="364" t="s">
        <v>1187</v>
      </c>
      <c r="H826" s="364" t="s">
        <v>1193</v>
      </c>
    </row>
    <row r="827" ht="15.75" customHeight="1">
      <c r="A827" s="364" t="s">
        <v>58</v>
      </c>
      <c r="B827" s="364" t="s">
        <v>23</v>
      </c>
      <c r="C827" s="365" t="s">
        <v>472</v>
      </c>
      <c r="D827" s="364" t="s">
        <v>473</v>
      </c>
      <c r="E827" s="366">
        <v>15.0</v>
      </c>
      <c r="F827" s="367">
        <v>46038.45833333333</v>
      </c>
      <c r="G827" s="364" t="s">
        <v>1187</v>
      </c>
      <c r="H827" s="364" t="s">
        <v>1193</v>
      </c>
    </row>
    <row r="828" ht="15.75" customHeight="1">
      <c r="A828" s="364" t="s">
        <v>59</v>
      </c>
      <c r="B828" s="364" t="s">
        <v>22</v>
      </c>
      <c r="C828" s="365" t="s">
        <v>288</v>
      </c>
      <c r="D828" s="364" t="s">
        <v>289</v>
      </c>
      <c r="E828" s="366">
        <v>1.0</v>
      </c>
      <c r="F828" s="367">
        <v>45772.58333333333</v>
      </c>
      <c r="G828" s="364" t="s">
        <v>1185</v>
      </c>
      <c r="H828" s="364" t="s">
        <v>1194</v>
      </c>
    </row>
    <row r="829" ht="15.75" customHeight="1">
      <c r="A829" s="364" t="s">
        <v>59</v>
      </c>
      <c r="B829" s="364" t="s">
        <v>22</v>
      </c>
      <c r="C829" s="365" t="s">
        <v>288</v>
      </c>
      <c r="D829" s="364" t="s">
        <v>289</v>
      </c>
      <c r="E829" s="366">
        <v>2.0</v>
      </c>
      <c r="F829" s="367">
        <v>45786.58333333333</v>
      </c>
      <c r="G829" s="364" t="s">
        <v>1185</v>
      </c>
      <c r="H829" s="364" t="s">
        <v>1194</v>
      </c>
    </row>
    <row r="830" ht="15.75" customHeight="1">
      <c r="A830" s="364" t="s">
        <v>59</v>
      </c>
      <c r="B830" s="364" t="s">
        <v>22</v>
      </c>
      <c r="C830" s="365" t="s">
        <v>288</v>
      </c>
      <c r="D830" s="364" t="s">
        <v>289</v>
      </c>
      <c r="E830" s="366">
        <v>3.0</v>
      </c>
      <c r="F830" s="367">
        <v>45841.54166666667</v>
      </c>
      <c r="G830" s="364" t="s">
        <v>1187</v>
      </c>
      <c r="H830" s="364" t="s">
        <v>1194</v>
      </c>
    </row>
    <row r="831" ht="15.75" customHeight="1">
      <c r="A831" s="364" t="s">
        <v>59</v>
      </c>
      <c r="B831" s="364" t="s">
        <v>22</v>
      </c>
      <c r="C831" s="365" t="s">
        <v>288</v>
      </c>
      <c r="D831" s="364" t="s">
        <v>289</v>
      </c>
      <c r="E831" s="366">
        <v>4.0</v>
      </c>
      <c r="F831" s="367">
        <v>45849.45833333333</v>
      </c>
      <c r="G831" s="364" t="s">
        <v>1185</v>
      </c>
      <c r="H831" s="364" t="s">
        <v>1194</v>
      </c>
    </row>
    <row r="832" ht="15.75" customHeight="1">
      <c r="A832" s="364" t="s">
        <v>59</v>
      </c>
      <c r="B832" s="364" t="s">
        <v>22</v>
      </c>
      <c r="C832" s="365" t="s">
        <v>288</v>
      </c>
      <c r="D832" s="364" t="s">
        <v>289</v>
      </c>
      <c r="E832" s="366">
        <v>5.0</v>
      </c>
      <c r="F832" s="367">
        <v>45849.45833333333</v>
      </c>
      <c r="G832" s="364" t="s">
        <v>1185</v>
      </c>
      <c r="H832" s="364" t="s">
        <v>1194</v>
      </c>
    </row>
    <row r="833" ht="15.75" customHeight="1">
      <c r="A833" s="364" t="s">
        <v>59</v>
      </c>
      <c r="B833" s="364" t="s">
        <v>22</v>
      </c>
      <c r="C833" s="365" t="s">
        <v>288</v>
      </c>
      <c r="D833" s="364" t="s">
        <v>289</v>
      </c>
      <c r="E833" s="366">
        <v>6.0</v>
      </c>
      <c r="F833" s="367">
        <v>45862.625</v>
      </c>
      <c r="G833" s="364" t="s">
        <v>1185</v>
      </c>
      <c r="H833" s="364" t="s">
        <v>1194</v>
      </c>
    </row>
    <row r="834" ht="15.75" customHeight="1">
      <c r="A834" s="364" t="s">
        <v>59</v>
      </c>
      <c r="B834" s="364" t="s">
        <v>22</v>
      </c>
      <c r="C834" s="365" t="s">
        <v>288</v>
      </c>
      <c r="D834" s="364" t="s">
        <v>289</v>
      </c>
      <c r="E834" s="366">
        <v>7.0</v>
      </c>
      <c r="F834" s="367">
        <v>45869.41666666667</v>
      </c>
      <c r="G834" s="364" t="s">
        <v>1185</v>
      </c>
      <c r="H834" s="364" t="s">
        <v>1194</v>
      </c>
    </row>
    <row r="835" ht="15.75" customHeight="1">
      <c r="A835" s="364" t="s">
        <v>59</v>
      </c>
      <c r="B835" s="364" t="s">
        <v>22</v>
      </c>
      <c r="C835" s="365" t="s">
        <v>288</v>
      </c>
      <c r="D835" s="364" t="s">
        <v>289</v>
      </c>
      <c r="E835" s="366">
        <v>8.0</v>
      </c>
      <c r="F835" s="367">
        <v>45890.58333333333</v>
      </c>
      <c r="G835" s="364" t="s">
        <v>1185</v>
      </c>
      <c r="H835" s="364" t="s">
        <v>1194</v>
      </c>
    </row>
    <row r="836" ht="15.75" customHeight="1">
      <c r="A836" s="364" t="s">
        <v>59</v>
      </c>
      <c r="B836" s="364" t="s">
        <v>22</v>
      </c>
      <c r="C836" s="365" t="s">
        <v>288</v>
      </c>
      <c r="D836" s="364" t="s">
        <v>289</v>
      </c>
      <c r="E836" s="366">
        <v>9.0</v>
      </c>
      <c r="F836" s="367">
        <v>45897.54166666667</v>
      </c>
      <c r="G836" s="364" t="s">
        <v>1185</v>
      </c>
      <c r="H836" s="364" t="s">
        <v>1194</v>
      </c>
    </row>
    <row r="837" ht="15.75" customHeight="1">
      <c r="A837" s="364" t="s">
        <v>59</v>
      </c>
      <c r="B837" s="364" t="s">
        <v>22</v>
      </c>
      <c r="C837" s="365" t="s">
        <v>288</v>
      </c>
      <c r="D837" s="364" t="s">
        <v>289</v>
      </c>
      <c r="E837" s="366">
        <v>10.0</v>
      </c>
      <c r="F837" s="367">
        <v>45918.41666666667</v>
      </c>
      <c r="G837" s="364" t="s">
        <v>1185</v>
      </c>
      <c r="H837" s="364" t="s">
        <v>1194</v>
      </c>
    </row>
    <row r="838" ht="15.75" customHeight="1">
      <c r="A838" s="364" t="s">
        <v>59</v>
      </c>
      <c r="B838" s="364" t="s">
        <v>22</v>
      </c>
      <c r="C838" s="365" t="s">
        <v>290</v>
      </c>
      <c r="D838" s="364" t="s">
        <v>291</v>
      </c>
      <c r="E838" s="366">
        <v>1.0</v>
      </c>
      <c r="F838" s="367">
        <v>45772.58333333333</v>
      </c>
      <c r="G838" s="364" t="s">
        <v>1185</v>
      </c>
      <c r="H838" s="364" t="s">
        <v>1194</v>
      </c>
    </row>
    <row r="839" ht="15.75" customHeight="1">
      <c r="A839" s="364" t="s">
        <v>59</v>
      </c>
      <c r="B839" s="364" t="s">
        <v>22</v>
      </c>
      <c r="C839" s="365" t="s">
        <v>290</v>
      </c>
      <c r="D839" s="364" t="s">
        <v>291</v>
      </c>
      <c r="E839" s="366">
        <v>2.0</v>
      </c>
      <c r="F839" s="367">
        <v>45786.58333333333</v>
      </c>
      <c r="G839" s="364" t="s">
        <v>1185</v>
      </c>
      <c r="H839" s="364" t="s">
        <v>1194</v>
      </c>
    </row>
    <row r="840" ht="15.75" customHeight="1">
      <c r="A840" s="364" t="s">
        <v>59</v>
      </c>
      <c r="B840" s="364" t="s">
        <v>22</v>
      </c>
      <c r="C840" s="365" t="s">
        <v>290</v>
      </c>
      <c r="D840" s="364" t="s">
        <v>291</v>
      </c>
      <c r="E840" s="366">
        <v>3.0</v>
      </c>
      <c r="F840" s="367">
        <v>45841.54166666667</v>
      </c>
      <c r="G840" s="364" t="s">
        <v>1185</v>
      </c>
      <c r="H840" s="364" t="s">
        <v>1194</v>
      </c>
    </row>
    <row r="841" ht="15.75" customHeight="1">
      <c r="A841" s="364" t="s">
        <v>59</v>
      </c>
      <c r="B841" s="364" t="s">
        <v>22</v>
      </c>
      <c r="C841" s="365" t="s">
        <v>290</v>
      </c>
      <c r="D841" s="364" t="s">
        <v>291</v>
      </c>
      <c r="E841" s="366">
        <v>4.0</v>
      </c>
      <c r="F841" s="367">
        <v>45849.45833333333</v>
      </c>
      <c r="G841" s="364" t="s">
        <v>1185</v>
      </c>
      <c r="H841" s="364" t="s">
        <v>1194</v>
      </c>
    </row>
    <row r="842" ht="15.75" customHeight="1">
      <c r="A842" s="364" t="s">
        <v>59</v>
      </c>
      <c r="B842" s="364" t="s">
        <v>22</v>
      </c>
      <c r="C842" s="365" t="s">
        <v>290</v>
      </c>
      <c r="D842" s="364" t="s">
        <v>291</v>
      </c>
      <c r="E842" s="366">
        <v>5.0</v>
      </c>
      <c r="F842" s="367">
        <v>45849.45833333333</v>
      </c>
      <c r="G842" s="364" t="s">
        <v>1185</v>
      </c>
      <c r="H842" s="364" t="s">
        <v>1194</v>
      </c>
    </row>
    <row r="843" ht="15.75" customHeight="1">
      <c r="A843" s="364" t="s">
        <v>59</v>
      </c>
      <c r="B843" s="364" t="s">
        <v>22</v>
      </c>
      <c r="C843" s="365" t="s">
        <v>290</v>
      </c>
      <c r="D843" s="364" t="s">
        <v>291</v>
      </c>
      <c r="E843" s="366">
        <v>6.0</v>
      </c>
      <c r="F843" s="367">
        <v>45862.625</v>
      </c>
      <c r="G843" s="364" t="s">
        <v>1185</v>
      </c>
      <c r="H843" s="364" t="s">
        <v>1194</v>
      </c>
    </row>
    <row r="844" ht="15.75" customHeight="1">
      <c r="A844" s="364" t="s">
        <v>59</v>
      </c>
      <c r="B844" s="364" t="s">
        <v>22</v>
      </c>
      <c r="C844" s="365" t="s">
        <v>290</v>
      </c>
      <c r="D844" s="364" t="s">
        <v>291</v>
      </c>
      <c r="E844" s="366">
        <v>7.0</v>
      </c>
      <c r="F844" s="367">
        <v>45869.41666666667</v>
      </c>
      <c r="G844" s="364" t="s">
        <v>1185</v>
      </c>
      <c r="H844" s="364" t="s">
        <v>1194</v>
      </c>
    </row>
    <row r="845" ht="15.75" customHeight="1">
      <c r="A845" s="364" t="s">
        <v>59</v>
      </c>
      <c r="B845" s="364" t="s">
        <v>22</v>
      </c>
      <c r="C845" s="365" t="s">
        <v>290</v>
      </c>
      <c r="D845" s="364" t="s">
        <v>291</v>
      </c>
      <c r="E845" s="366">
        <v>8.0</v>
      </c>
      <c r="F845" s="367">
        <v>45890.58333333333</v>
      </c>
      <c r="G845" s="364" t="s">
        <v>1185</v>
      </c>
      <c r="H845" s="364" t="s">
        <v>1194</v>
      </c>
    </row>
    <row r="846" ht="15.75" customHeight="1">
      <c r="A846" s="364" t="s">
        <v>59</v>
      </c>
      <c r="B846" s="364" t="s">
        <v>22</v>
      </c>
      <c r="C846" s="365" t="s">
        <v>290</v>
      </c>
      <c r="D846" s="364" t="s">
        <v>291</v>
      </c>
      <c r="E846" s="366">
        <v>9.0</v>
      </c>
      <c r="F846" s="367">
        <v>45897.54166666667</v>
      </c>
      <c r="G846" s="364" t="s">
        <v>1185</v>
      </c>
      <c r="H846" s="364" t="s">
        <v>1194</v>
      </c>
    </row>
    <row r="847" ht="15.75" customHeight="1">
      <c r="A847" s="364" t="s">
        <v>59</v>
      </c>
      <c r="B847" s="364" t="s">
        <v>22</v>
      </c>
      <c r="C847" s="365" t="s">
        <v>290</v>
      </c>
      <c r="D847" s="364" t="s">
        <v>291</v>
      </c>
      <c r="E847" s="366">
        <v>10.0</v>
      </c>
      <c r="F847" s="367">
        <v>45918.41666666667</v>
      </c>
      <c r="G847" s="364" t="s">
        <v>1185</v>
      </c>
      <c r="H847" s="364" t="s">
        <v>1194</v>
      </c>
    </row>
    <row r="848" ht="15.75" customHeight="1">
      <c r="A848" s="364" t="s">
        <v>59</v>
      </c>
      <c r="B848" s="364" t="s">
        <v>22</v>
      </c>
      <c r="C848" s="365" t="s">
        <v>292</v>
      </c>
      <c r="D848" s="364" t="s">
        <v>293</v>
      </c>
      <c r="E848" s="366">
        <v>1.0</v>
      </c>
      <c r="F848" s="367">
        <v>45772.58333333333</v>
      </c>
      <c r="G848" s="364" t="s">
        <v>1185</v>
      </c>
      <c r="H848" s="364" t="s">
        <v>1194</v>
      </c>
    </row>
    <row r="849" ht="15.75" customHeight="1">
      <c r="A849" s="364" t="s">
        <v>59</v>
      </c>
      <c r="B849" s="364" t="s">
        <v>22</v>
      </c>
      <c r="C849" s="365" t="s">
        <v>292</v>
      </c>
      <c r="D849" s="364" t="s">
        <v>293</v>
      </c>
      <c r="E849" s="366">
        <v>2.0</v>
      </c>
      <c r="F849" s="367">
        <v>45786.58333333333</v>
      </c>
      <c r="G849" s="364" t="s">
        <v>1185</v>
      </c>
      <c r="H849" s="364" t="s">
        <v>1194</v>
      </c>
    </row>
    <row r="850" ht="15.75" customHeight="1">
      <c r="A850" s="364" t="s">
        <v>59</v>
      </c>
      <c r="B850" s="364" t="s">
        <v>22</v>
      </c>
      <c r="C850" s="365" t="s">
        <v>292</v>
      </c>
      <c r="D850" s="364" t="s">
        <v>293</v>
      </c>
      <c r="E850" s="366">
        <v>3.0</v>
      </c>
      <c r="F850" s="367">
        <v>45841.54166666667</v>
      </c>
      <c r="G850" s="364" t="s">
        <v>1185</v>
      </c>
      <c r="H850" s="364" t="s">
        <v>1194</v>
      </c>
    </row>
    <row r="851" ht="15.75" customHeight="1">
      <c r="A851" s="364" t="s">
        <v>59</v>
      </c>
      <c r="B851" s="364" t="s">
        <v>22</v>
      </c>
      <c r="C851" s="365" t="s">
        <v>292</v>
      </c>
      <c r="D851" s="364" t="s">
        <v>293</v>
      </c>
      <c r="E851" s="366">
        <v>4.0</v>
      </c>
      <c r="F851" s="367">
        <v>45849.45833333333</v>
      </c>
      <c r="G851" s="364" t="s">
        <v>1185</v>
      </c>
      <c r="H851" s="364" t="s">
        <v>1194</v>
      </c>
    </row>
    <row r="852" ht="15.75" customHeight="1">
      <c r="A852" s="364" t="s">
        <v>59</v>
      </c>
      <c r="B852" s="364" t="s">
        <v>22</v>
      </c>
      <c r="C852" s="365" t="s">
        <v>292</v>
      </c>
      <c r="D852" s="364" t="s">
        <v>293</v>
      </c>
      <c r="E852" s="366">
        <v>5.0</v>
      </c>
      <c r="F852" s="367">
        <v>45849.45833333333</v>
      </c>
      <c r="G852" s="364" t="s">
        <v>1185</v>
      </c>
      <c r="H852" s="364" t="s">
        <v>1194</v>
      </c>
    </row>
    <row r="853" ht="15.75" customHeight="1">
      <c r="A853" s="364" t="s">
        <v>59</v>
      </c>
      <c r="B853" s="364" t="s">
        <v>22</v>
      </c>
      <c r="C853" s="365" t="s">
        <v>292</v>
      </c>
      <c r="D853" s="364" t="s">
        <v>293</v>
      </c>
      <c r="E853" s="366">
        <v>6.0</v>
      </c>
      <c r="F853" s="367">
        <v>45862.625</v>
      </c>
      <c r="G853" s="364" t="s">
        <v>1185</v>
      </c>
      <c r="H853" s="364" t="s">
        <v>1194</v>
      </c>
    </row>
    <row r="854" ht="15.75" customHeight="1">
      <c r="A854" s="364" t="s">
        <v>59</v>
      </c>
      <c r="B854" s="364" t="s">
        <v>22</v>
      </c>
      <c r="C854" s="365" t="s">
        <v>292</v>
      </c>
      <c r="D854" s="364" t="s">
        <v>293</v>
      </c>
      <c r="E854" s="366">
        <v>7.0</v>
      </c>
      <c r="F854" s="367">
        <v>45869.41666666667</v>
      </c>
      <c r="G854" s="364" t="s">
        <v>1185</v>
      </c>
      <c r="H854" s="364" t="s">
        <v>1194</v>
      </c>
    </row>
    <row r="855" ht="15.75" customHeight="1">
      <c r="A855" s="364" t="s">
        <v>59</v>
      </c>
      <c r="B855" s="364" t="s">
        <v>22</v>
      </c>
      <c r="C855" s="365" t="s">
        <v>292</v>
      </c>
      <c r="D855" s="364" t="s">
        <v>293</v>
      </c>
      <c r="E855" s="366">
        <v>8.0</v>
      </c>
      <c r="F855" s="367">
        <v>45890.58333333333</v>
      </c>
      <c r="G855" s="364" t="s">
        <v>1187</v>
      </c>
      <c r="H855" s="364" t="s">
        <v>1194</v>
      </c>
    </row>
    <row r="856" ht="15.75" customHeight="1">
      <c r="A856" s="364" t="s">
        <v>59</v>
      </c>
      <c r="B856" s="364" t="s">
        <v>22</v>
      </c>
      <c r="C856" s="365" t="s">
        <v>292</v>
      </c>
      <c r="D856" s="364" t="s">
        <v>293</v>
      </c>
      <c r="E856" s="366">
        <v>9.0</v>
      </c>
      <c r="F856" s="367">
        <v>45897.54166666667</v>
      </c>
      <c r="G856" s="364" t="s">
        <v>1185</v>
      </c>
      <c r="H856" s="364" t="s">
        <v>1194</v>
      </c>
    </row>
    <row r="857" ht="15.75" customHeight="1">
      <c r="A857" s="364" t="s">
        <v>59</v>
      </c>
      <c r="B857" s="364" t="s">
        <v>22</v>
      </c>
      <c r="C857" s="365" t="s">
        <v>292</v>
      </c>
      <c r="D857" s="364" t="s">
        <v>293</v>
      </c>
      <c r="E857" s="366">
        <v>10.0</v>
      </c>
      <c r="F857" s="367">
        <v>45918.41666666667</v>
      </c>
      <c r="G857" s="364" t="s">
        <v>1185</v>
      </c>
      <c r="H857" s="364" t="s">
        <v>1194</v>
      </c>
    </row>
    <row r="858" ht="15.75" customHeight="1">
      <c r="A858" s="364" t="s">
        <v>59</v>
      </c>
      <c r="B858" s="364" t="s">
        <v>22</v>
      </c>
      <c r="C858" s="365" t="s">
        <v>294</v>
      </c>
      <c r="D858" s="364" t="s">
        <v>295</v>
      </c>
      <c r="E858" s="366">
        <v>1.0</v>
      </c>
      <c r="F858" s="367">
        <v>45772.58333333333</v>
      </c>
      <c r="G858" s="364" t="s">
        <v>1185</v>
      </c>
      <c r="H858" s="364" t="s">
        <v>1194</v>
      </c>
    </row>
    <row r="859" ht="15.75" customHeight="1">
      <c r="A859" s="364" t="s">
        <v>59</v>
      </c>
      <c r="B859" s="364" t="s">
        <v>22</v>
      </c>
      <c r="C859" s="365" t="s">
        <v>294</v>
      </c>
      <c r="D859" s="364" t="s">
        <v>295</v>
      </c>
      <c r="E859" s="366">
        <v>2.0</v>
      </c>
      <c r="F859" s="367">
        <v>45786.58333333333</v>
      </c>
      <c r="G859" s="364" t="s">
        <v>1185</v>
      </c>
      <c r="H859" s="364" t="s">
        <v>1194</v>
      </c>
    </row>
    <row r="860" ht="15.75" customHeight="1">
      <c r="A860" s="364" t="s">
        <v>59</v>
      </c>
      <c r="B860" s="364" t="s">
        <v>22</v>
      </c>
      <c r="C860" s="365" t="s">
        <v>294</v>
      </c>
      <c r="D860" s="364" t="s">
        <v>295</v>
      </c>
      <c r="E860" s="366">
        <v>3.0</v>
      </c>
      <c r="F860" s="367">
        <v>45841.54166666667</v>
      </c>
      <c r="G860" s="364" t="s">
        <v>1185</v>
      </c>
      <c r="H860" s="364" t="s">
        <v>1194</v>
      </c>
    </row>
    <row r="861" ht="15.75" customHeight="1">
      <c r="A861" s="364" t="s">
        <v>59</v>
      </c>
      <c r="B861" s="364" t="s">
        <v>22</v>
      </c>
      <c r="C861" s="365" t="s">
        <v>294</v>
      </c>
      <c r="D861" s="364" t="s">
        <v>295</v>
      </c>
      <c r="E861" s="366">
        <v>4.0</v>
      </c>
      <c r="F861" s="367">
        <v>45849.45833333333</v>
      </c>
      <c r="G861" s="364" t="s">
        <v>1185</v>
      </c>
      <c r="H861" s="364" t="s">
        <v>1194</v>
      </c>
    </row>
    <row r="862" ht="15.75" customHeight="1">
      <c r="A862" s="364" t="s">
        <v>59</v>
      </c>
      <c r="B862" s="364" t="s">
        <v>22</v>
      </c>
      <c r="C862" s="365" t="s">
        <v>294</v>
      </c>
      <c r="D862" s="364" t="s">
        <v>295</v>
      </c>
      <c r="E862" s="366">
        <v>5.0</v>
      </c>
      <c r="F862" s="367">
        <v>45855.54166666667</v>
      </c>
      <c r="G862" s="364" t="s">
        <v>1185</v>
      </c>
      <c r="H862" s="364" t="s">
        <v>1194</v>
      </c>
    </row>
    <row r="863" ht="15.75" customHeight="1">
      <c r="A863" s="364" t="s">
        <v>59</v>
      </c>
      <c r="B863" s="364" t="s">
        <v>22</v>
      </c>
      <c r="C863" s="365" t="s">
        <v>294</v>
      </c>
      <c r="D863" s="364" t="s">
        <v>295</v>
      </c>
      <c r="E863" s="366">
        <v>6.0</v>
      </c>
      <c r="F863" s="367">
        <v>45862.625</v>
      </c>
      <c r="G863" s="364" t="s">
        <v>1185</v>
      </c>
      <c r="H863" s="364" t="s">
        <v>1194</v>
      </c>
    </row>
    <row r="864" ht="15.75" customHeight="1">
      <c r="A864" s="364" t="s">
        <v>59</v>
      </c>
      <c r="B864" s="364" t="s">
        <v>22</v>
      </c>
      <c r="C864" s="365" t="s">
        <v>294</v>
      </c>
      <c r="D864" s="364" t="s">
        <v>295</v>
      </c>
      <c r="E864" s="366">
        <v>7.0</v>
      </c>
      <c r="F864" s="367">
        <v>45869.41666666667</v>
      </c>
      <c r="G864" s="364" t="s">
        <v>1185</v>
      </c>
      <c r="H864" s="364" t="s">
        <v>1194</v>
      </c>
    </row>
    <row r="865" ht="15.75" customHeight="1">
      <c r="A865" s="364" t="s">
        <v>59</v>
      </c>
      <c r="B865" s="364" t="s">
        <v>22</v>
      </c>
      <c r="C865" s="365" t="s">
        <v>294</v>
      </c>
      <c r="D865" s="364" t="s">
        <v>295</v>
      </c>
      <c r="E865" s="366">
        <v>8.0</v>
      </c>
      <c r="F865" s="367">
        <v>45890.58333333333</v>
      </c>
      <c r="G865" s="364" t="s">
        <v>1185</v>
      </c>
      <c r="H865" s="364" t="s">
        <v>1194</v>
      </c>
    </row>
    <row r="866" ht="15.75" customHeight="1">
      <c r="A866" s="364" t="s">
        <v>59</v>
      </c>
      <c r="B866" s="364" t="s">
        <v>22</v>
      </c>
      <c r="C866" s="365" t="s">
        <v>294</v>
      </c>
      <c r="D866" s="364" t="s">
        <v>295</v>
      </c>
      <c r="E866" s="366">
        <v>9.0</v>
      </c>
      <c r="F866" s="367">
        <v>45897.54166666667</v>
      </c>
      <c r="G866" s="364" t="s">
        <v>1185</v>
      </c>
      <c r="H866" s="364" t="s">
        <v>1194</v>
      </c>
    </row>
    <row r="867" ht="15.75" customHeight="1">
      <c r="A867" s="364" t="s">
        <v>59</v>
      </c>
      <c r="B867" s="364" t="s">
        <v>22</v>
      </c>
      <c r="C867" s="365" t="s">
        <v>294</v>
      </c>
      <c r="D867" s="364" t="s">
        <v>295</v>
      </c>
      <c r="E867" s="366">
        <v>10.0</v>
      </c>
      <c r="F867" s="367">
        <v>45918.41666666667</v>
      </c>
      <c r="G867" s="364" t="s">
        <v>1185</v>
      </c>
      <c r="H867" s="364" t="s">
        <v>1194</v>
      </c>
    </row>
    <row r="868" ht="15.75" customHeight="1">
      <c r="A868" s="364" t="s">
        <v>59</v>
      </c>
      <c r="B868" s="364" t="s">
        <v>22</v>
      </c>
      <c r="C868" s="365" t="s">
        <v>296</v>
      </c>
      <c r="D868" s="364" t="s">
        <v>297</v>
      </c>
      <c r="E868" s="366">
        <v>1.0</v>
      </c>
      <c r="F868" s="367">
        <v>45772.58333333333</v>
      </c>
      <c r="G868" s="364" t="s">
        <v>1185</v>
      </c>
      <c r="H868" s="364" t="s">
        <v>1194</v>
      </c>
    </row>
    <row r="869" ht="15.75" customHeight="1">
      <c r="A869" s="364" t="s">
        <v>59</v>
      </c>
      <c r="B869" s="364" t="s">
        <v>22</v>
      </c>
      <c r="C869" s="365" t="s">
        <v>296</v>
      </c>
      <c r="D869" s="364" t="s">
        <v>297</v>
      </c>
      <c r="E869" s="366">
        <v>2.0</v>
      </c>
      <c r="F869" s="367">
        <v>45786.58333333333</v>
      </c>
      <c r="G869" s="364" t="s">
        <v>1185</v>
      </c>
      <c r="H869" s="364" t="s">
        <v>1194</v>
      </c>
    </row>
    <row r="870" ht="15.75" customHeight="1">
      <c r="A870" s="364" t="s">
        <v>59</v>
      </c>
      <c r="B870" s="364" t="s">
        <v>22</v>
      </c>
      <c r="C870" s="365" t="s">
        <v>296</v>
      </c>
      <c r="D870" s="364" t="s">
        <v>297</v>
      </c>
      <c r="E870" s="366">
        <v>3.0</v>
      </c>
      <c r="F870" s="367">
        <v>45841.54166666667</v>
      </c>
      <c r="G870" s="364" t="s">
        <v>1185</v>
      </c>
      <c r="H870" s="364" t="s">
        <v>1194</v>
      </c>
    </row>
    <row r="871" ht="15.75" customHeight="1">
      <c r="A871" s="364" t="s">
        <v>59</v>
      </c>
      <c r="B871" s="364" t="s">
        <v>22</v>
      </c>
      <c r="C871" s="365" t="s">
        <v>296</v>
      </c>
      <c r="D871" s="364" t="s">
        <v>297</v>
      </c>
      <c r="E871" s="366">
        <v>4.0</v>
      </c>
      <c r="F871" s="367">
        <v>45849.45833333333</v>
      </c>
      <c r="G871" s="364" t="s">
        <v>1185</v>
      </c>
      <c r="H871" s="364" t="s">
        <v>1194</v>
      </c>
    </row>
    <row r="872" ht="15.75" customHeight="1">
      <c r="A872" s="364" t="s">
        <v>59</v>
      </c>
      <c r="B872" s="364" t="s">
        <v>22</v>
      </c>
      <c r="C872" s="365" t="s">
        <v>296</v>
      </c>
      <c r="D872" s="364" t="s">
        <v>297</v>
      </c>
      <c r="E872" s="366">
        <v>5.0</v>
      </c>
      <c r="F872" s="367">
        <v>45849.45833333333</v>
      </c>
      <c r="G872" s="364" t="s">
        <v>1185</v>
      </c>
      <c r="H872" s="364" t="s">
        <v>1194</v>
      </c>
    </row>
    <row r="873" ht="15.75" customHeight="1">
      <c r="A873" s="364" t="s">
        <v>59</v>
      </c>
      <c r="B873" s="364" t="s">
        <v>22</v>
      </c>
      <c r="C873" s="365" t="s">
        <v>296</v>
      </c>
      <c r="D873" s="364" t="s">
        <v>297</v>
      </c>
      <c r="E873" s="366">
        <v>6.0</v>
      </c>
      <c r="F873" s="367">
        <v>45862.625</v>
      </c>
      <c r="G873" s="364" t="s">
        <v>1185</v>
      </c>
      <c r="H873" s="364" t="s">
        <v>1194</v>
      </c>
    </row>
    <row r="874" ht="15.75" customHeight="1">
      <c r="A874" s="364" t="s">
        <v>59</v>
      </c>
      <c r="B874" s="364" t="s">
        <v>22</v>
      </c>
      <c r="C874" s="365" t="s">
        <v>296</v>
      </c>
      <c r="D874" s="364" t="s">
        <v>297</v>
      </c>
      <c r="E874" s="366">
        <v>7.0</v>
      </c>
      <c r="F874" s="367">
        <v>45869.41666666667</v>
      </c>
      <c r="G874" s="364" t="s">
        <v>1185</v>
      </c>
      <c r="H874" s="364" t="s">
        <v>1194</v>
      </c>
    </row>
    <row r="875" ht="15.75" customHeight="1">
      <c r="A875" s="364" t="s">
        <v>59</v>
      </c>
      <c r="B875" s="364" t="s">
        <v>22</v>
      </c>
      <c r="C875" s="365" t="s">
        <v>296</v>
      </c>
      <c r="D875" s="364" t="s">
        <v>297</v>
      </c>
      <c r="E875" s="366">
        <v>8.0</v>
      </c>
      <c r="F875" s="367">
        <v>45890.58333333333</v>
      </c>
      <c r="G875" s="364" t="s">
        <v>1185</v>
      </c>
      <c r="H875" s="364" t="s">
        <v>1194</v>
      </c>
    </row>
    <row r="876" ht="15.75" customHeight="1">
      <c r="A876" s="364" t="s">
        <v>59</v>
      </c>
      <c r="B876" s="364" t="s">
        <v>22</v>
      </c>
      <c r="C876" s="365" t="s">
        <v>296</v>
      </c>
      <c r="D876" s="364" t="s">
        <v>297</v>
      </c>
      <c r="E876" s="366">
        <v>9.0</v>
      </c>
      <c r="F876" s="367">
        <v>45897.54166666667</v>
      </c>
      <c r="G876" s="364" t="s">
        <v>1185</v>
      </c>
      <c r="H876" s="364" t="s">
        <v>1194</v>
      </c>
    </row>
    <row r="877" ht="15.75" customHeight="1">
      <c r="A877" s="364" t="s">
        <v>59</v>
      </c>
      <c r="B877" s="364" t="s">
        <v>22</v>
      </c>
      <c r="C877" s="365" t="s">
        <v>296</v>
      </c>
      <c r="D877" s="364" t="s">
        <v>297</v>
      </c>
      <c r="E877" s="366">
        <v>10.0</v>
      </c>
      <c r="F877" s="367">
        <v>45918.41666666667</v>
      </c>
      <c r="G877" s="364" t="s">
        <v>1185</v>
      </c>
      <c r="H877" s="364" t="s">
        <v>1194</v>
      </c>
    </row>
    <row r="878" ht="15.75" customHeight="1">
      <c r="A878" s="364" t="s">
        <v>59</v>
      </c>
      <c r="B878" s="364" t="s">
        <v>23</v>
      </c>
      <c r="C878" s="365" t="s">
        <v>288</v>
      </c>
      <c r="D878" s="364" t="s">
        <v>289</v>
      </c>
      <c r="E878" s="366">
        <v>1.0</v>
      </c>
      <c r="F878" s="367">
        <v>45946.45833333333</v>
      </c>
      <c r="G878" s="364" t="s">
        <v>1185</v>
      </c>
      <c r="H878" s="364" t="s">
        <v>1194</v>
      </c>
    </row>
    <row r="879" ht="15.75" customHeight="1">
      <c r="A879" s="364" t="s">
        <v>59</v>
      </c>
      <c r="B879" s="364" t="s">
        <v>23</v>
      </c>
      <c r="C879" s="365" t="s">
        <v>288</v>
      </c>
      <c r="D879" s="364" t="s">
        <v>289</v>
      </c>
      <c r="E879" s="366">
        <v>2.0</v>
      </c>
      <c r="F879" s="367">
        <v>45953.45833333333</v>
      </c>
      <c r="G879" s="364" t="s">
        <v>1185</v>
      </c>
      <c r="H879" s="364" t="s">
        <v>1194</v>
      </c>
    </row>
    <row r="880" ht="15.75" customHeight="1">
      <c r="A880" s="364" t="s">
        <v>59</v>
      </c>
      <c r="B880" s="364" t="s">
        <v>23</v>
      </c>
      <c r="C880" s="365" t="s">
        <v>288</v>
      </c>
      <c r="D880" s="364" t="s">
        <v>289</v>
      </c>
      <c r="E880" s="366">
        <v>3.0</v>
      </c>
      <c r="F880" s="367">
        <v>45960.45833333333</v>
      </c>
      <c r="G880" s="364" t="s">
        <v>1185</v>
      </c>
      <c r="H880" s="364" t="s">
        <v>1194</v>
      </c>
    </row>
    <row r="881" ht="15.75" customHeight="1">
      <c r="A881" s="364" t="s">
        <v>59</v>
      </c>
      <c r="B881" s="364" t="s">
        <v>23</v>
      </c>
      <c r="C881" s="365" t="s">
        <v>288</v>
      </c>
      <c r="D881" s="364" t="s">
        <v>289</v>
      </c>
      <c r="E881" s="366">
        <v>4.0</v>
      </c>
      <c r="F881" s="367">
        <v>45961.625</v>
      </c>
      <c r="G881" s="364" t="s">
        <v>1185</v>
      </c>
      <c r="H881" s="364" t="s">
        <v>1194</v>
      </c>
    </row>
    <row r="882" ht="15.75" customHeight="1">
      <c r="A882" s="364" t="s">
        <v>59</v>
      </c>
      <c r="B882" s="364" t="s">
        <v>23</v>
      </c>
      <c r="C882" s="365" t="s">
        <v>288</v>
      </c>
      <c r="D882" s="364" t="s">
        <v>289</v>
      </c>
      <c r="E882" s="366">
        <v>5.0</v>
      </c>
      <c r="F882" s="367">
        <v>45974.41666666667</v>
      </c>
      <c r="G882" s="364" t="s">
        <v>1185</v>
      </c>
      <c r="H882" s="364" t="s">
        <v>1194</v>
      </c>
    </row>
    <row r="883" ht="15.75" customHeight="1">
      <c r="A883" s="364" t="s">
        <v>59</v>
      </c>
      <c r="B883" s="364" t="s">
        <v>23</v>
      </c>
      <c r="C883" s="365" t="s">
        <v>288</v>
      </c>
      <c r="D883" s="364" t="s">
        <v>289</v>
      </c>
      <c r="E883" s="366">
        <v>6.0</v>
      </c>
      <c r="F883" s="367">
        <v>45981.41666666667</v>
      </c>
      <c r="G883" s="364" t="s">
        <v>1185</v>
      </c>
      <c r="H883" s="364" t="s">
        <v>1194</v>
      </c>
    </row>
    <row r="884" ht="15.75" customHeight="1">
      <c r="A884" s="364" t="s">
        <v>59</v>
      </c>
      <c r="B884" s="364" t="s">
        <v>23</v>
      </c>
      <c r="C884" s="365" t="s">
        <v>288</v>
      </c>
      <c r="D884" s="364" t="s">
        <v>289</v>
      </c>
      <c r="E884" s="366">
        <v>7.0</v>
      </c>
      <c r="F884" s="367">
        <v>45988.41666666667</v>
      </c>
      <c r="G884" s="364" t="s">
        <v>1185</v>
      </c>
      <c r="H884" s="364" t="s">
        <v>1194</v>
      </c>
    </row>
    <row r="885" ht="15.75" customHeight="1">
      <c r="A885" s="364" t="s">
        <v>59</v>
      </c>
      <c r="B885" s="364" t="s">
        <v>23</v>
      </c>
      <c r="C885" s="365" t="s">
        <v>288</v>
      </c>
      <c r="D885" s="364" t="s">
        <v>289</v>
      </c>
      <c r="E885" s="366">
        <v>8.0</v>
      </c>
      <c r="F885" s="367">
        <v>45995.41666666667</v>
      </c>
      <c r="G885" s="364" t="s">
        <v>1185</v>
      </c>
      <c r="H885" s="364" t="s">
        <v>1194</v>
      </c>
    </row>
    <row r="886" ht="15.75" customHeight="1">
      <c r="A886" s="364" t="s">
        <v>59</v>
      </c>
      <c r="B886" s="364" t="s">
        <v>23</v>
      </c>
      <c r="C886" s="365" t="s">
        <v>288</v>
      </c>
      <c r="D886" s="364" t="s">
        <v>289</v>
      </c>
      <c r="E886" s="366">
        <v>9.0</v>
      </c>
      <c r="F886" s="367">
        <v>46002.625</v>
      </c>
      <c r="G886" s="364" t="s">
        <v>1185</v>
      </c>
      <c r="H886" s="364" t="s">
        <v>1194</v>
      </c>
    </row>
    <row r="887" ht="15.75" customHeight="1">
      <c r="A887" s="364" t="s">
        <v>59</v>
      </c>
      <c r="B887" s="364" t="s">
        <v>23</v>
      </c>
      <c r="C887" s="365" t="s">
        <v>288</v>
      </c>
      <c r="D887" s="364" t="s">
        <v>289</v>
      </c>
      <c r="E887" s="366">
        <v>10.0</v>
      </c>
      <c r="F887" s="367">
        <v>46010.625</v>
      </c>
      <c r="G887" s="364" t="s">
        <v>1185</v>
      </c>
      <c r="H887" s="364" t="s">
        <v>1194</v>
      </c>
    </row>
    <row r="888" ht="15.75" customHeight="1">
      <c r="A888" s="364" t="s">
        <v>59</v>
      </c>
      <c r="B888" s="364" t="s">
        <v>23</v>
      </c>
      <c r="C888" s="365" t="s">
        <v>288</v>
      </c>
      <c r="D888" s="364" t="s">
        <v>289</v>
      </c>
      <c r="E888" s="366">
        <v>11.0</v>
      </c>
      <c r="F888" s="367">
        <v>46017.58333333333</v>
      </c>
      <c r="G888" s="364" t="s">
        <v>1185</v>
      </c>
      <c r="H888" s="364" t="s">
        <v>1194</v>
      </c>
    </row>
    <row r="889" ht="15.75" customHeight="1">
      <c r="A889" s="364" t="s">
        <v>59</v>
      </c>
      <c r="B889" s="364" t="s">
        <v>23</v>
      </c>
      <c r="C889" s="365" t="s">
        <v>288</v>
      </c>
      <c r="D889" s="364" t="s">
        <v>289</v>
      </c>
      <c r="E889" s="366">
        <v>12.0</v>
      </c>
      <c r="F889" s="367">
        <v>46038.58333333333</v>
      </c>
      <c r="G889" s="364" t="s">
        <v>1185</v>
      </c>
      <c r="H889" s="364" t="s">
        <v>1194</v>
      </c>
    </row>
    <row r="890" ht="15.75" customHeight="1">
      <c r="A890" s="364" t="s">
        <v>59</v>
      </c>
      <c r="B890" s="364" t="s">
        <v>23</v>
      </c>
      <c r="C890" s="365" t="s">
        <v>288</v>
      </c>
      <c r="D890" s="364" t="s">
        <v>289</v>
      </c>
      <c r="E890" s="366">
        <v>13.0</v>
      </c>
      <c r="F890" s="367">
        <v>46044.41666666667</v>
      </c>
      <c r="G890" s="364" t="s">
        <v>1185</v>
      </c>
      <c r="H890" s="364" t="s">
        <v>1194</v>
      </c>
    </row>
    <row r="891" ht="15.75" customHeight="1">
      <c r="A891" s="364" t="s">
        <v>59</v>
      </c>
      <c r="B891" s="364" t="s">
        <v>23</v>
      </c>
      <c r="C891" s="365" t="s">
        <v>288</v>
      </c>
      <c r="D891" s="364" t="s">
        <v>289</v>
      </c>
      <c r="E891" s="366">
        <v>14.0</v>
      </c>
      <c r="F891" s="367">
        <v>46051.625</v>
      </c>
      <c r="G891" s="364" t="s">
        <v>1185</v>
      </c>
      <c r="H891" s="364" t="s">
        <v>1194</v>
      </c>
    </row>
    <row r="892" ht="15.75" customHeight="1">
      <c r="A892" s="364" t="s">
        <v>59</v>
      </c>
      <c r="B892" s="364" t="s">
        <v>23</v>
      </c>
      <c r="C892" s="365" t="s">
        <v>288</v>
      </c>
      <c r="D892" s="364" t="s">
        <v>289</v>
      </c>
      <c r="E892" s="366">
        <v>15.0</v>
      </c>
      <c r="F892" s="367">
        <v>46052.625</v>
      </c>
      <c r="G892" s="364" t="s">
        <v>1185</v>
      </c>
      <c r="H892" s="364" t="s">
        <v>1194</v>
      </c>
    </row>
    <row r="893" ht="15.75" customHeight="1">
      <c r="A893" s="364" t="s">
        <v>59</v>
      </c>
      <c r="B893" s="364" t="s">
        <v>23</v>
      </c>
      <c r="C893" s="365" t="s">
        <v>288</v>
      </c>
      <c r="D893" s="364" t="s">
        <v>289</v>
      </c>
      <c r="E893" s="366">
        <v>16.0</v>
      </c>
      <c r="F893" s="367">
        <v>46104.41666666667</v>
      </c>
      <c r="G893" s="364" t="s">
        <v>1185</v>
      </c>
      <c r="H893" s="364" t="s">
        <v>1194</v>
      </c>
    </row>
    <row r="894" ht="15.75" customHeight="1">
      <c r="A894" s="364" t="s">
        <v>59</v>
      </c>
      <c r="B894" s="364" t="s">
        <v>23</v>
      </c>
      <c r="C894" s="365" t="s">
        <v>290</v>
      </c>
      <c r="D894" s="364" t="s">
        <v>291</v>
      </c>
      <c r="E894" s="366">
        <v>1.0</v>
      </c>
      <c r="F894" s="367">
        <v>45946.45833333333</v>
      </c>
      <c r="G894" s="364" t="s">
        <v>1185</v>
      </c>
      <c r="H894" s="364" t="s">
        <v>1194</v>
      </c>
    </row>
    <row r="895" ht="15.75" customHeight="1">
      <c r="A895" s="364" t="s">
        <v>59</v>
      </c>
      <c r="B895" s="364" t="s">
        <v>23</v>
      </c>
      <c r="C895" s="365" t="s">
        <v>290</v>
      </c>
      <c r="D895" s="364" t="s">
        <v>291</v>
      </c>
      <c r="E895" s="366">
        <v>2.0</v>
      </c>
      <c r="F895" s="367">
        <v>45953.45833333333</v>
      </c>
      <c r="G895" s="364" t="s">
        <v>1185</v>
      </c>
      <c r="H895" s="364" t="s">
        <v>1194</v>
      </c>
    </row>
    <row r="896" ht="15.75" customHeight="1">
      <c r="A896" s="364" t="s">
        <v>59</v>
      </c>
      <c r="B896" s="364" t="s">
        <v>23</v>
      </c>
      <c r="C896" s="365" t="s">
        <v>290</v>
      </c>
      <c r="D896" s="364" t="s">
        <v>291</v>
      </c>
      <c r="E896" s="366">
        <v>3.0</v>
      </c>
      <c r="F896" s="367">
        <v>45960.45833333333</v>
      </c>
      <c r="G896" s="364" t="s">
        <v>1185</v>
      </c>
      <c r="H896" s="364" t="s">
        <v>1194</v>
      </c>
    </row>
    <row r="897" ht="15.75" customHeight="1">
      <c r="A897" s="364" t="s">
        <v>59</v>
      </c>
      <c r="B897" s="364" t="s">
        <v>23</v>
      </c>
      <c r="C897" s="365" t="s">
        <v>290</v>
      </c>
      <c r="D897" s="364" t="s">
        <v>291</v>
      </c>
      <c r="E897" s="366">
        <v>4.0</v>
      </c>
      <c r="F897" s="367">
        <v>45961.625</v>
      </c>
      <c r="G897" s="364" t="s">
        <v>1185</v>
      </c>
      <c r="H897" s="364" t="s">
        <v>1194</v>
      </c>
    </row>
    <row r="898" ht="15.75" customHeight="1">
      <c r="A898" s="364" t="s">
        <v>59</v>
      </c>
      <c r="B898" s="364" t="s">
        <v>23</v>
      </c>
      <c r="C898" s="365" t="s">
        <v>290</v>
      </c>
      <c r="D898" s="364" t="s">
        <v>291</v>
      </c>
      <c r="E898" s="366">
        <v>5.0</v>
      </c>
      <c r="F898" s="367">
        <v>45974.41666666667</v>
      </c>
      <c r="G898" s="364" t="s">
        <v>1185</v>
      </c>
      <c r="H898" s="364" t="s">
        <v>1194</v>
      </c>
    </row>
    <row r="899" ht="15.75" customHeight="1">
      <c r="A899" s="364" t="s">
        <v>59</v>
      </c>
      <c r="B899" s="364" t="s">
        <v>23</v>
      </c>
      <c r="C899" s="365" t="s">
        <v>290</v>
      </c>
      <c r="D899" s="364" t="s">
        <v>291</v>
      </c>
      <c r="E899" s="366">
        <v>6.0</v>
      </c>
      <c r="F899" s="367">
        <v>45981.41666666667</v>
      </c>
      <c r="G899" s="364" t="s">
        <v>1185</v>
      </c>
      <c r="H899" s="364" t="s">
        <v>1194</v>
      </c>
    </row>
    <row r="900" ht="15.75" customHeight="1">
      <c r="A900" s="364" t="s">
        <v>59</v>
      </c>
      <c r="B900" s="364" t="s">
        <v>23</v>
      </c>
      <c r="C900" s="365" t="s">
        <v>290</v>
      </c>
      <c r="D900" s="364" t="s">
        <v>291</v>
      </c>
      <c r="E900" s="366">
        <v>7.0</v>
      </c>
      <c r="F900" s="367">
        <v>45988.41666666667</v>
      </c>
      <c r="G900" s="364" t="s">
        <v>1185</v>
      </c>
      <c r="H900" s="364" t="s">
        <v>1194</v>
      </c>
    </row>
    <row r="901" ht="15.75" customHeight="1">
      <c r="A901" s="364" t="s">
        <v>59</v>
      </c>
      <c r="B901" s="364" t="s">
        <v>23</v>
      </c>
      <c r="C901" s="365" t="s">
        <v>290</v>
      </c>
      <c r="D901" s="364" t="s">
        <v>291</v>
      </c>
      <c r="E901" s="366">
        <v>8.0</v>
      </c>
      <c r="F901" s="367">
        <v>45995.41666666667</v>
      </c>
      <c r="G901" s="364" t="s">
        <v>1185</v>
      </c>
      <c r="H901" s="364" t="s">
        <v>1194</v>
      </c>
    </row>
    <row r="902" ht="15.75" customHeight="1">
      <c r="A902" s="364" t="s">
        <v>59</v>
      </c>
      <c r="B902" s="364" t="s">
        <v>23</v>
      </c>
      <c r="C902" s="365" t="s">
        <v>290</v>
      </c>
      <c r="D902" s="364" t="s">
        <v>291</v>
      </c>
      <c r="E902" s="366">
        <v>9.0</v>
      </c>
      <c r="F902" s="367">
        <v>46002.625</v>
      </c>
      <c r="G902" s="364" t="s">
        <v>1185</v>
      </c>
      <c r="H902" s="364" t="s">
        <v>1194</v>
      </c>
    </row>
    <row r="903" ht="15.75" customHeight="1">
      <c r="A903" s="364" t="s">
        <v>59</v>
      </c>
      <c r="B903" s="364" t="s">
        <v>23</v>
      </c>
      <c r="C903" s="365" t="s">
        <v>290</v>
      </c>
      <c r="D903" s="364" t="s">
        <v>291</v>
      </c>
      <c r="E903" s="366">
        <v>10.0</v>
      </c>
      <c r="F903" s="367">
        <v>46010.625</v>
      </c>
      <c r="G903" s="364" t="s">
        <v>1185</v>
      </c>
      <c r="H903" s="364" t="s">
        <v>1194</v>
      </c>
    </row>
    <row r="904" ht="15.75" customHeight="1">
      <c r="A904" s="364" t="s">
        <v>59</v>
      </c>
      <c r="B904" s="364" t="s">
        <v>23</v>
      </c>
      <c r="C904" s="365" t="s">
        <v>290</v>
      </c>
      <c r="D904" s="364" t="s">
        <v>291</v>
      </c>
      <c r="E904" s="366">
        <v>11.0</v>
      </c>
      <c r="F904" s="367">
        <v>46017.58333333333</v>
      </c>
      <c r="G904" s="364" t="s">
        <v>1185</v>
      </c>
      <c r="H904" s="364" t="s">
        <v>1194</v>
      </c>
    </row>
    <row r="905" ht="15.75" customHeight="1">
      <c r="A905" s="364" t="s">
        <v>59</v>
      </c>
      <c r="B905" s="364" t="s">
        <v>23</v>
      </c>
      <c r="C905" s="365" t="s">
        <v>290</v>
      </c>
      <c r="D905" s="364" t="s">
        <v>291</v>
      </c>
      <c r="E905" s="366">
        <v>12.0</v>
      </c>
      <c r="F905" s="367">
        <v>46038.58333333333</v>
      </c>
      <c r="G905" s="364" t="s">
        <v>1185</v>
      </c>
      <c r="H905" s="364" t="s">
        <v>1194</v>
      </c>
    </row>
    <row r="906" ht="15.75" customHeight="1">
      <c r="A906" s="364" t="s">
        <v>59</v>
      </c>
      <c r="B906" s="364" t="s">
        <v>23</v>
      </c>
      <c r="C906" s="365" t="s">
        <v>290</v>
      </c>
      <c r="D906" s="364" t="s">
        <v>291</v>
      </c>
      <c r="E906" s="366">
        <v>13.0</v>
      </c>
      <c r="F906" s="367">
        <v>46044.41666666667</v>
      </c>
      <c r="G906" s="364" t="s">
        <v>1185</v>
      </c>
      <c r="H906" s="364" t="s">
        <v>1194</v>
      </c>
    </row>
    <row r="907" ht="15.75" customHeight="1">
      <c r="A907" s="364" t="s">
        <v>59</v>
      </c>
      <c r="B907" s="364" t="s">
        <v>23</v>
      </c>
      <c r="C907" s="365" t="s">
        <v>290</v>
      </c>
      <c r="D907" s="364" t="s">
        <v>291</v>
      </c>
      <c r="E907" s="366">
        <v>14.0</v>
      </c>
      <c r="F907" s="367">
        <v>46051.625</v>
      </c>
      <c r="G907" s="364" t="s">
        <v>1185</v>
      </c>
      <c r="H907" s="364" t="s">
        <v>1194</v>
      </c>
    </row>
    <row r="908" ht="15.75" customHeight="1">
      <c r="A908" s="364" t="s">
        <v>59</v>
      </c>
      <c r="B908" s="364" t="s">
        <v>23</v>
      </c>
      <c r="C908" s="365" t="s">
        <v>290</v>
      </c>
      <c r="D908" s="364" t="s">
        <v>291</v>
      </c>
      <c r="E908" s="366">
        <v>15.0</v>
      </c>
      <c r="F908" s="367">
        <v>46052.625</v>
      </c>
      <c r="G908" s="364" t="s">
        <v>1185</v>
      </c>
      <c r="H908" s="364" t="s">
        <v>1194</v>
      </c>
    </row>
    <row r="909" ht="15.75" customHeight="1">
      <c r="A909" s="364" t="s">
        <v>59</v>
      </c>
      <c r="B909" s="364" t="s">
        <v>23</v>
      </c>
      <c r="C909" s="365" t="s">
        <v>290</v>
      </c>
      <c r="D909" s="364" t="s">
        <v>291</v>
      </c>
      <c r="E909" s="366">
        <v>16.0</v>
      </c>
      <c r="F909" s="367">
        <v>46104.41666666667</v>
      </c>
      <c r="G909" s="364" t="s">
        <v>1185</v>
      </c>
      <c r="H909" s="364" t="s">
        <v>1194</v>
      </c>
    </row>
    <row r="910" ht="15.75" customHeight="1">
      <c r="A910" s="364" t="s">
        <v>59</v>
      </c>
      <c r="B910" s="364" t="s">
        <v>23</v>
      </c>
      <c r="C910" s="365" t="s">
        <v>292</v>
      </c>
      <c r="D910" s="364" t="s">
        <v>293</v>
      </c>
      <c r="E910" s="366">
        <v>1.0</v>
      </c>
      <c r="F910" s="367">
        <v>45946.45833333333</v>
      </c>
      <c r="G910" s="364" t="s">
        <v>1185</v>
      </c>
      <c r="H910" s="364" t="s">
        <v>1194</v>
      </c>
    </row>
    <row r="911" ht="15.75" customHeight="1">
      <c r="A911" s="364" t="s">
        <v>59</v>
      </c>
      <c r="B911" s="364" t="s">
        <v>23</v>
      </c>
      <c r="C911" s="365" t="s">
        <v>292</v>
      </c>
      <c r="D911" s="364" t="s">
        <v>293</v>
      </c>
      <c r="E911" s="366">
        <v>2.0</v>
      </c>
      <c r="F911" s="367">
        <v>45953.45833333333</v>
      </c>
      <c r="G911" s="364" t="s">
        <v>1185</v>
      </c>
      <c r="H911" s="364" t="s">
        <v>1194</v>
      </c>
    </row>
    <row r="912" ht="15.75" customHeight="1">
      <c r="A912" s="364" t="s">
        <v>59</v>
      </c>
      <c r="B912" s="364" t="s">
        <v>23</v>
      </c>
      <c r="C912" s="365" t="s">
        <v>292</v>
      </c>
      <c r="D912" s="364" t="s">
        <v>293</v>
      </c>
      <c r="E912" s="366">
        <v>3.0</v>
      </c>
      <c r="F912" s="367">
        <v>45960.45833333333</v>
      </c>
      <c r="G912" s="364" t="s">
        <v>1185</v>
      </c>
      <c r="H912" s="364" t="s">
        <v>1194</v>
      </c>
    </row>
    <row r="913" ht="15.75" customHeight="1">
      <c r="A913" s="364" t="s">
        <v>59</v>
      </c>
      <c r="B913" s="364" t="s">
        <v>23</v>
      </c>
      <c r="C913" s="365" t="s">
        <v>292</v>
      </c>
      <c r="D913" s="364" t="s">
        <v>293</v>
      </c>
      <c r="E913" s="366">
        <v>4.0</v>
      </c>
      <c r="F913" s="367">
        <v>45961.625</v>
      </c>
      <c r="G913" s="364" t="s">
        <v>1185</v>
      </c>
      <c r="H913" s="364" t="s">
        <v>1194</v>
      </c>
    </row>
    <row r="914" ht="15.75" customHeight="1">
      <c r="A914" s="364" t="s">
        <v>59</v>
      </c>
      <c r="B914" s="364" t="s">
        <v>23</v>
      </c>
      <c r="C914" s="365" t="s">
        <v>292</v>
      </c>
      <c r="D914" s="364" t="s">
        <v>293</v>
      </c>
      <c r="E914" s="366">
        <v>5.0</v>
      </c>
      <c r="F914" s="367">
        <v>45974.41666666667</v>
      </c>
      <c r="G914" s="364" t="s">
        <v>1185</v>
      </c>
      <c r="H914" s="364" t="s">
        <v>1194</v>
      </c>
    </row>
    <row r="915" ht="15.75" customHeight="1">
      <c r="A915" s="364" t="s">
        <v>59</v>
      </c>
      <c r="B915" s="364" t="s">
        <v>23</v>
      </c>
      <c r="C915" s="365" t="s">
        <v>292</v>
      </c>
      <c r="D915" s="364" t="s">
        <v>293</v>
      </c>
      <c r="E915" s="366">
        <v>6.0</v>
      </c>
      <c r="F915" s="367">
        <v>45981.41666666667</v>
      </c>
      <c r="G915" s="364" t="s">
        <v>1185</v>
      </c>
      <c r="H915" s="364" t="s">
        <v>1194</v>
      </c>
    </row>
    <row r="916" ht="15.75" customHeight="1">
      <c r="A916" s="364" t="s">
        <v>59</v>
      </c>
      <c r="B916" s="364" t="s">
        <v>23</v>
      </c>
      <c r="C916" s="365" t="s">
        <v>292</v>
      </c>
      <c r="D916" s="364" t="s">
        <v>293</v>
      </c>
      <c r="E916" s="366">
        <v>8.0</v>
      </c>
      <c r="F916" s="367">
        <v>45995.41666666667</v>
      </c>
      <c r="G916" s="364" t="s">
        <v>1185</v>
      </c>
      <c r="H916" s="364" t="s">
        <v>1194</v>
      </c>
    </row>
    <row r="917" ht="15.75" customHeight="1">
      <c r="A917" s="364" t="s">
        <v>59</v>
      </c>
      <c r="B917" s="364" t="s">
        <v>23</v>
      </c>
      <c r="C917" s="365" t="s">
        <v>292</v>
      </c>
      <c r="D917" s="364" t="s">
        <v>293</v>
      </c>
      <c r="E917" s="366">
        <v>9.0</v>
      </c>
      <c r="F917" s="367">
        <v>46002.625</v>
      </c>
      <c r="G917" s="364" t="s">
        <v>1185</v>
      </c>
      <c r="H917" s="364" t="s">
        <v>1194</v>
      </c>
    </row>
    <row r="918" ht="15.75" customHeight="1">
      <c r="A918" s="364" t="s">
        <v>59</v>
      </c>
      <c r="B918" s="364" t="s">
        <v>23</v>
      </c>
      <c r="C918" s="365" t="s">
        <v>292</v>
      </c>
      <c r="D918" s="364" t="s">
        <v>293</v>
      </c>
      <c r="E918" s="366">
        <v>10.0</v>
      </c>
      <c r="F918" s="367">
        <v>46010.625</v>
      </c>
      <c r="G918" s="364" t="s">
        <v>1185</v>
      </c>
      <c r="H918" s="364" t="s">
        <v>1194</v>
      </c>
    </row>
    <row r="919" ht="15.75" customHeight="1">
      <c r="A919" s="364" t="s">
        <v>59</v>
      </c>
      <c r="B919" s="364" t="s">
        <v>23</v>
      </c>
      <c r="C919" s="365" t="s">
        <v>292</v>
      </c>
      <c r="D919" s="364" t="s">
        <v>293</v>
      </c>
      <c r="E919" s="366">
        <v>11.0</v>
      </c>
      <c r="F919" s="367">
        <v>46017.58333333333</v>
      </c>
      <c r="G919" s="364" t="s">
        <v>1185</v>
      </c>
      <c r="H919" s="364" t="s">
        <v>1194</v>
      </c>
    </row>
    <row r="920" ht="15.75" customHeight="1">
      <c r="A920" s="364" t="s">
        <v>59</v>
      </c>
      <c r="B920" s="364" t="s">
        <v>23</v>
      </c>
      <c r="C920" s="365" t="s">
        <v>292</v>
      </c>
      <c r="D920" s="364" t="s">
        <v>293</v>
      </c>
      <c r="E920" s="366">
        <v>12.0</v>
      </c>
      <c r="F920" s="367">
        <v>46038.58333333333</v>
      </c>
      <c r="G920" s="364" t="s">
        <v>1187</v>
      </c>
      <c r="H920" s="364" t="s">
        <v>1194</v>
      </c>
    </row>
    <row r="921" ht="15.75" customHeight="1">
      <c r="A921" s="364" t="s">
        <v>59</v>
      </c>
      <c r="B921" s="364" t="s">
        <v>23</v>
      </c>
      <c r="C921" s="365" t="s">
        <v>292</v>
      </c>
      <c r="D921" s="364" t="s">
        <v>293</v>
      </c>
      <c r="E921" s="366">
        <v>13.0</v>
      </c>
      <c r="F921" s="367">
        <v>46044.41666666667</v>
      </c>
      <c r="G921" s="364" t="s">
        <v>1185</v>
      </c>
      <c r="H921" s="364" t="s">
        <v>1194</v>
      </c>
    </row>
    <row r="922" ht="15.75" customHeight="1">
      <c r="A922" s="364" t="s">
        <v>59</v>
      </c>
      <c r="B922" s="364" t="s">
        <v>23</v>
      </c>
      <c r="C922" s="365" t="s">
        <v>292</v>
      </c>
      <c r="D922" s="364" t="s">
        <v>293</v>
      </c>
      <c r="E922" s="366">
        <v>14.0</v>
      </c>
      <c r="F922" s="367">
        <v>46051.625</v>
      </c>
      <c r="G922" s="364" t="s">
        <v>1185</v>
      </c>
      <c r="H922" s="364" t="s">
        <v>1194</v>
      </c>
    </row>
    <row r="923" ht="15.75" customHeight="1">
      <c r="A923" s="364" t="s">
        <v>59</v>
      </c>
      <c r="B923" s="364" t="s">
        <v>23</v>
      </c>
      <c r="C923" s="365" t="s">
        <v>292</v>
      </c>
      <c r="D923" s="364" t="s">
        <v>293</v>
      </c>
      <c r="E923" s="366">
        <v>15.0</v>
      </c>
      <c r="F923" s="367">
        <v>46052.625</v>
      </c>
      <c r="G923" s="364" t="s">
        <v>1185</v>
      </c>
      <c r="H923" s="364" t="s">
        <v>1194</v>
      </c>
    </row>
    <row r="924" ht="15.75" customHeight="1">
      <c r="A924" s="364" t="s">
        <v>59</v>
      </c>
      <c r="B924" s="364" t="s">
        <v>23</v>
      </c>
      <c r="C924" s="365" t="s">
        <v>292</v>
      </c>
      <c r="D924" s="364" t="s">
        <v>293</v>
      </c>
      <c r="E924" s="366">
        <v>16.0</v>
      </c>
      <c r="F924" s="367">
        <v>46104.41666666667</v>
      </c>
      <c r="G924" s="364" t="s">
        <v>1185</v>
      </c>
      <c r="H924" s="364" t="s">
        <v>1194</v>
      </c>
    </row>
    <row r="925" ht="15.75" customHeight="1">
      <c r="A925" s="364" t="s">
        <v>59</v>
      </c>
      <c r="B925" s="364" t="s">
        <v>23</v>
      </c>
      <c r="C925" s="365" t="s">
        <v>294</v>
      </c>
      <c r="D925" s="364" t="s">
        <v>295</v>
      </c>
      <c r="E925" s="366">
        <v>1.0</v>
      </c>
      <c r="F925" s="367">
        <v>45946.45833333333</v>
      </c>
      <c r="G925" s="364" t="s">
        <v>1185</v>
      </c>
      <c r="H925" s="364" t="s">
        <v>1194</v>
      </c>
    </row>
    <row r="926" ht="15.75" customHeight="1">
      <c r="A926" s="364" t="s">
        <v>59</v>
      </c>
      <c r="B926" s="364" t="s">
        <v>23</v>
      </c>
      <c r="C926" s="365" t="s">
        <v>294</v>
      </c>
      <c r="D926" s="364" t="s">
        <v>295</v>
      </c>
      <c r="E926" s="366">
        <v>2.0</v>
      </c>
      <c r="F926" s="367">
        <v>45953.45833333333</v>
      </c>
      <c r="G926" s="364" t="s">
        <v>1185</v>
      </c>
      <c r="H926" s="364" t="s">
        <v>1194</v>
      </c>
    </row>
    <row r="927" ht="15.75" customHeight="1">
      <c r="A927" s="364" t="s">
        <v>59</v>
      </c>
      <c r="B927" s="364" t="s">
        <v>23</v>
      </c>
      <c r="C927" s="365" t="s">
        <v>294</v>
      </c>
      <c r="D927" s="364" t="s">
        <v>295</v>
      </c>
      <c r="E927" s="366">
        <v>3.0</v>
      </c>
      <c r="F927" s="367">
        <v>45960.45833333333</v>
      </c>
      <c r="G927" s="364" t="s">
        <v>1185</v>
      </c>
      <c r="H927" s="364" t="s">
        <v>1194</v>
      </c>
    </row>
    <row r="928" ht="15.75" customHeight="1">
      <c r="A928" s="364" t="s">
        <v>59</v>
      </c>
      <c r="B928" s="364" t="s">
        <v>23</v>
      </c>
      <c r="C928" s="365" t="s">
        <v>294</v>
      </c>
      <c r="D928" s="364" t="s">
        <v>295</v>
      </c>
      <c r="E928" s="366">
        <v>4.0</v>
      </c>
      <c r="F928" s="367">
        <v>45961.625</v>
      </c>
      <c r="G928" s="364" t="s">
        <v>1185</v>
      </c>
      <c r="H928" s="364" t="s">
        <v>1194</v>
      </c>
    </row>
    <row r="929" ht="15.75" customHeight="1">
      <c r="A929" s="364" t="s">
        <v>59</v>
      </c>
      <c r="B929" s="364" t="s">
        <v>23</v>
      </c>
      <c r="C929" s="365" t="s">
        <v>294</v>
      </c>
      <c r="D929" s="364" t="s">
        <v>295</v>
      </c>
      <c r="E929" s="366">
        <v>5.0</v>
      </c>
      <c r="F929" s="367">
        <v>45974.41666666667</v>
      </c>
      <c r="G929" s="364" t="s">
        <v>1185</v>
      </c>
      <c r="H929" s="364" t="s">
        <v>1194</v>
      </c>
    </row>
    <row r="930" ht="15.75" customHeight="1">
      <c r="A930" s="364" t="s">
        <v>59</v>
      </c>
      <c r="B930" s="364" t="s">
        <v>23</v>
      </c>
      <c r="C930" s="365" t="s">
        <v>294</v>
      </c>
      <c r="D930" s="364" t="s">
        <v>295</v>
      </c>
      <c r="E930" s="366">
        <v>6.0</v>
      </c>
      <c r="F930" s="367">
        <v>45981.41666666667</v>
      </c>
      <c r="G930" s="364" t="s">
        <v>1185</v>
      </c>
      <c r="H930" s="364" t="s">
        <v>1194</v>
      </c>
    </row>
    <row r="931" ht="15.75" customHeight="1">
      <c r="A931" s="364" t="s">
        <v>59</v>
      </c>
      <c r="B931" s="364" t="s">
        <v>23</v>
      </c>
      <c r="C931" s="365" t="s">
        <v>294</v>
      </c>
      <c r="D931" s="364" t="s">
        <v>295</v>
      </c>
      <c r="E931" s="366">
        <v>7.0</v>
      </c>
      <c r="F931" s="367">
        <v>45988.41666666667</v>
      </c>
      <c r="G931" s="364" t="s">
        <v>1185</v>
      </c>
      <c r="H931" s="364" t="s">
        <v>1194</v>
      </c>
    </row>
    <row r="932" ht="15.75" customHeight="1">
      <c r="A932" s="364" t="s">
        <v>59</v>
      </c>
      <c r="B932" s="364" t="s">
        <v>23</v>
      </c>
      <c r="C932" s="365" t="s">
        <v>294</v>
      </c>
      <c r="D932" s="364" t="s">
        <v>295</v>
      </c>
      <c r="E932" s="366">
        <v>8.0</v>
      </c>
      <c r="F932" s="367">
        <v>45995.41666666667</v>
      </c>
      <c r="G932" s="364" t="s">
        <v>1185</v>
      </c>
      <c r="H932" s="364" t="s">
        <v>1194</v>
      </c>
    </row>
    <row r="933" ht="15.75" customHeight="1">
      <c r="A933" s="364" t="s">
        <v>59</v>
      </c>
      <c r="B933" s="364" t="s">
        <v>23</v>
      </c>
      <c r="C933" s="365" t="s">
        <v>294</v>
      </c>
      <c r="D933" s="364" t="s">
        <v>295</v>
      </c>
      <c r="E933" s="366">
        <v>9.0</v>
      </c>
      <c r="F933" s="367">
        <v>46002.625</v>
      </c>
      <c r="G933" s="364" t="s">
        <v>1185</v>
      </c>
      <c r="H933" s="364" t="s">
        <v>1194</v>
      </c>
    </row>
    <row r="934" ht="15.75" customHeight="1">
      <c r="A934" s="364" t="s">
        <v>59</v>
      </c>
      <c r="B934" s="364" t="s">
        <v>23</v>
      </c>
      <c r="C934" s="365" t="s">
        <v>294</v>
      </c>
      <c r="D934" s="364" t="s">
        <v>295</v>
      </c>
      <c r="E934" s="366">
        <v>10.0</v>
      </c>
      <c r="F934" s="367">
        <v>46010.625</v>
      </c>
      <c r="G934" s="364" t="s">
        <v>1185</v>
      </c>
      <c r="H934" s="364" t="s">
        <v>1194</v>
      </c>
    </row>
    <row r="935" ht="15.75" customHeight="1">
      <c r="A935" s="364" t="s">
        <v>59</v>
      </c>
      <c r="B935" s="364" t="s">
        <v>23</v>
      </c>
      <c r="C935" s="365" t="s">
        <v>294</v>
      </c>
      <c r="D935" s="364" t="s">
        <v>295</v>
      </c>
      <c r="E935" s="366">
        <v>11.0</v>
      </c>
      <c r="F935" s="367">
        <v>46017.58333333333</v>
      </c>
      <c r="G935" s="364" t="s">
        <v>1185</v>
      </c>
      <c r="H935" s="364" t="s">
        <v>1194</v>
      </c>
    </row>
    <row r="936" ht="15.75" customHeight="1">
      <c r="A936" s="364" t="s">
        <v>59</v>
      </c>
      <c r="B936" s="364" t="s">
        <v>23</v>
      </c>
      <c r="C936" s="365" t="s">
        <v>294</v>
      </c>
      <c r="D936" s="364" t="s">
        <v>295</v>
      </c>
      <c r="E936" s="366">
        <v>12.0</v>
      </c>
      <c r="F936" s="367">
        <v>46038.58333333333</v>
      </c>
      <c r="G936" s="364" t="s">
        <v>1185</v>
      </c>
      <c r="H936" s="364" t="s">
        <v>1194</v>
      </c>
    </row>
    <row r="937" ht="15.75" customHeight="1">
      <c r="A937" s="364" t="s">
        <v>59</v>
      </c>
      <c r="B937" s="364" t="s">
        <v>23</v>
      </c>
      <c r="C937" s="365" t="s">
        <v>294</v>
      </c>
      <c r="D937" s="364" t="s">
        <v>295</v>
      </c>
      <c r="E937" s="366">
        <v>13.0</v>
      </c>
      <c r="F937" s="367">
        <v>46044.41666666667</v>
      </c>
      <c r="G937" s="364" t="s">
        <v>1185</v>
      </c>
      <c r="H937" s="364" t="s">
        <v>1194</v>
      </c>
    </row>
    <row r="938" ht="15.75" customHeight="1">
      <c r="A938" s="364" t="s">
        <v>59</v>
      </c>
      <c r="B938" s="364" t="s">
        <v>23</v>
      </c>
      <c r="C938" s="365" t="s">
        <v>294</v>
      </c>
      <c r="D938" s="364" t="s">
        <v>295</v>
      </c>
      <c r="E938" s="366">
        <v>14.0</v>
      </c>
      <c r="F938" s="367">
        <v>46051.625</v>
      </c>
      <c r="G938" s="364" t="s">
        <v>1185</v>
      </c>
      <c r="H938" s="364" t="s">
        <v>1194</v>
      </c>
    </row>
    <row r="939" ht="15.75" customHeight="1">
      <c r="A939" s="364" t="s">
        <v>59</v>
      </c>
      <c r="B939" s="364" t="s">
        <v>23</v>
      </c>
      <c r="C939" s="365" t="s">
        <v>294</v>
      </c>
      <c r="D939" s="364" t="s">
        <v>295</v>
      </c>
      <c r="E939" s="366">
        <v>15.0</v>
      </c>
      <c r="F939" s="367">
        <v>46052.625</v>
      </c>
      <c r="G939" s="364" t="s">
        <v>1185</v>
      </c>
      <c r="H939" s="364" t="s">
        <v>1194</v>
      </c>
    </row>
    <row r="940" ht="15.75" customHeight="1">
      <c r="A940" s="364" t="s">
        <v>59</v>
      </c>
      <c r="B940" s="364" t="s">
        <v>23</v>
      </c>
      <c r="C940" s="365" t="s">
        <v>294</v>
      </c>
      <c r="D940" s="364" t="s">
        <v>295</v>
      </c>
      <c r="E940" s="366">
        <v>16.0</v>
      </c>
      <c r="F940" s="367">
        <v>46104.41666666667</v>
      </c>
      <c r="G940" s="364" t="s">
        <v>1185</v>
      </c>
      <c r="H940" s="364" t="s">
        <v>1194</v>
      </c>
    </row>
    <row r="941" ht="15.75" customHeight="1">
      <c r="A941" s="364" t="s">
        <v>59</v>
      </c>
      <c r="B941" s="364" t="s">
        <v>23</v>
      </c>
      <c r="C941" s="365" t="s">
        <v>296</v>
      </c>
      <c r="D941" s="364" t="s">
        <v>297</v>
      </c>
      <c r="E941" s="366">
        <v>1.0</v>
      </c>
      <c r="F941" s="367">
        <v>45946.45833333333</v>
      </c>
      <c r="G941" s="364" t="s">
        <v>1185</v>
      </c>
      <c r="H941" s="364" t="s">
        <v>1194</v>
      </c>
    </row>
    <row r="942" ht="15.75" customHeight="1">
      <c r="A942" s="364" t="s">
        <v>59</v>
      </c>
      <c r="B942" s="364" t="s">
        <v>23</v>
      </c>
      <c r="C942" s="365" t="s">
        <v>296</v>
      </c>
      <c r="D942" s="364" t="s">
        <v>297</v>
      </c>
      <c r="E942" s="366">
        <v>2.0</v>
      </c>
      <c r="F942" s="367">
        <v>45953.45833333333</v>
      </c>
      <c r="G942" s="364" t="s">
        <v>1185</v>
      </c>
      <c r="H942" s="364" t="s">
        <v>1194</v>
      </c>
    </row>
    <row r="943" ht="15.75" customHeight="1">
      <c r="A943" s="364" t="s">
        <v>59</v>
      </c>
      <c r="B943" s="364" t="s">
        <v>23</v>
      </c>
      <c r="C943" s="365" t="s">
        <v>296</v>
      </c>
      <c r="D943" s="364" t="s">
        <v>297</v>
      </c>
      <c r="E943" s="366">
        <v>3.0</v>
      </c>
      <c r="F943" s="367">
        <v>45960.45833333333</v>
      </c>
      <c r="G943" s="364" t="s">
        <v>1185</v>
      </c>
      <c r="H943" s="364" t="s">
        <v>1194</v>
      </c>
    </row>
    <row r="944" ht="15.75" customHeight="1">
      <c r="A944" s="364" t="s">
        <v>59</v>
      </c>
      <c r="B944" s="364" t="s">
        <v>23</v>
      </c>
      <c r="C944" s="365" t="s">
        <v>296</v>
      </c>
      <c r="D944" s="364" t="s">
        <v>297</v>
      </c>
      <c r="E944" s="366">
        <v>4.0</v>
      </c>
      <c r="F944" s="367">
        <v>45961.625</v>
      </c>
      <c r="G944" s="364" t="s">
        <v>1185</v>
      </c>
      <c r="H944" s="364" t="s">
        <v>1194</v>
      </c>
    </row>
    <row r="945" ht="15.75" customHeight="1">
      <c r="A945" s="364" t="s">
        <v>59</v>
      </c>
      <c r="B945" s="364" t="s">
        <v>23</v>
      </c>
      <c r="C945" s="365" t="s">
        <v>296</v>
      </c>
      <c r="D945" s="364" t="s">
        <v>297</v>
      </c>
      <c r="E945" s="366">
        <v>5.0</v>
      </c>
      <c r="F945" s="367">
        <v>45974.41666666667</v>
      </c>
      <c r="G945" s="364" t="s">
        <v>1185</v>
      </c>
      <c r="H945" s="364" t="s">
        <v>1194</v>
      </c>
    </row>
    <row r="946" ht="15.75" customHeight="1">
      <c r="A946" s="364" t="s">
        <v>59</v>
      </c>
      <c r="B946" s="364" t="s">
        <v>23</v>
      </c>
      <c r="C946" s="365" t="s">
        <v>296</v>
      </c>
      <c r="D946" s="364" t="s">
        <v>297</v>
      </c>
      <c r="E946" s="366">
        <v>6.0</v>
      </c>
      <c r="F946" s="367">
        <v>45981.41666666667</v>
      </c>
      <c r="G946" s="364" t="s">
        <v>1185</v>
      </c>
      <c r="H946" s="364" t="s">
        <v>1194</v>
      </c>
    </row>
    <row r="947" ht="15.75" customHeight="1">
      <c r="A947" s="364" t="s">
        <v>59</v>
      </c>
      <c r="B947" s="364" t="s">
        <v>23</v>
      </c>
      <c r="C947" s="365" t="s">
        <v>296</v>
      </c>
      <c r="D947" s="364" t="s">
        <v>297</v>
      </c>
      <c r="E947" s="366">
        <v>7.0</v>
      </c>
      <c r="F947" s="367">
        <v>45988.41666666667</v>
      </c>
      <c r="G947" s="364" t="s">
        <v>1185</v>
      </c>
      <c r="H947" s="364" t="s">
        <v>1194</v>
      </c>
    </row>
    <row r="948" ht="15.75" customHeight="1">
      <c r="A948" s="364" t="s">
        <v>59</v>
      </c>
      <c r="B948" s="364" t="s">
        <v>23</v>
      </c>
      <c r="C948" s="365" t="s">
        <v>296</v>
      </c>
      <c r="D948" s="364" t="s">
        <v>297</v>
      </c>
      <c r="E948" s="366">
        <v>8.0</v>
      </c>
      <c r="F948" s="367">
        <v>45995.41666666667</v>
      </c>
      <c r="G948" s="364" t="s">
        <v>1185</v>
      </c>
      <c r="H948" s="364" t="s">
        <v>1194</v>
      </c>
    </row>
    <row r="949" ht="15.75" customHeight="1">
      <c r="A949" s="364" t="s">
        <v>59</v>
      </c>
      <c r="B949" s="364" t="s">
        <v>23</v>
      </c>
      <c r="C949" s="365" t="s">
        <v>296</v>
      </c>
      <c r="D949" s="364" t="s">
        <v>297</v>
      </c>
      <c r="E949" s="366">
        <v>9.0</v>
      </c>
      <c r="F949" s="367">
        <v>46002.625</v>
      </c>
      <c r="G949" s="364" t="s">
        <v>1185</v>
      </c>
      <c r="H949" s="364" t="s">
        <v>1194</v>
      </c>
    </row>
    <row r="950" ht="15.75" customHeight="1">
      <c r="A950" s="364" t="s">
        <v>59</v>
      </c>
      <c r="B950" s="364" t="s">
        <v>23</v>
      </c>
      <c r="C950" s="365" t="s">
        <v>296</v>
      </c>
      <c r="D950" s="364" t="s">
        <v>297</v>
      </c>
      <c r="E950" s="366">
        <v>10.0</v>
      </c>
      <c r="F950" s="367">
        <v>46010.625</v>
      </c>
      <c r="G950" s="364" t="s">
        <v>1185</v>
      </c>
      <c r="H950" s="364" t="s">
        <v>1194</v>
      </c>
    </row>
    <row r="951" ht="15.75" customHeight="1">
      <c r="A951" s="364" t="s">
        <v>59</v>
      </c>
      <c r="B951" s="364" t="s">
        <v>23</v>
      </c>
      <c r="C951" s="365" t="s">
        <v>296</v>
      </c>
      <c r="D951" s="364" t="s">
        <v>297</v>
      </c>
      <c r="E951" s="366">
        <v>11.0</v>
      </c>
      <c r="F951" s="367">
        <v>46017.58333333333</v>
      </c>
      <c r="G951" s="364" t="s">
        <v>1185</v>
      </c>
      <c r="H951" s="364" t="s">
        <v>1194</v>
      </c>
    </row>
    <row r="952" ht="15.75" customHeight="1">
      <c r="A952" s="364" t="s">
        <v>59</v>
      </c>
      <c r="B952" s="364" t="s">
        <v>23</v>
      </c>
      <c r="C952" s="365" t="s">
        <v>296</v>
      </c>
      <c r="D952" s="364" t="s">
        <v>297</v>
      </c>
      <c r="E952" s="366">
        <v>12.0</v>
      </c>
      <c r="F952" s="367">
        <v>46038.58333333333</v>
      </c>
      <c r="G952" s="364" t="s">
        <v>1185</v>
      </c>
      <c r="H952" s="364" t="s">
        <v>1194</v>
      </c>
    </row>
    <row r="953" ht="15.75" customHeight="1">
      <c r="A953" s="364" t="s">
        <v>59</v>
      </c>
      <c r="B953" s="364" t="s">
        <v>23</v>
      </c>
      <c r="C953" s="365" t="s">
        <v>296</v>
      </c>
      <c r="D953" s="364" t="s">
        <v>297</v>
      </c>
      <c r="E953" s="366">
        <v>13.0</v>
      </c>
      <c r="F953" s="367">
        <v>46044.41666666667</v>
      </c>
      <c r="G953" s="364" t="s">
        <v>1185</v>
      </c>
      <c r="H953" s="364" t="s">
        <v>1194</v>
      </c>
    </row>
    <row r="954" ht="15.75" customHeight="1">
      <c r="A954" s="364" t="s">
        <v>59</v>
      </c>
      <c r="B954" s="364" t="s">
        <v>23</v>
      </c>
      <c r="C954" s="365" t="s">
        <v>296</v>
      </c>
      <c r="D954" s="364" t="s">
        <v>297</v>
      </c>
      <c r="E954" s="366">
        <v>14.0</v>
      </c>
      <c r="F954" s="367">
        <v>46051.625</v>
      </c>
      <c r="G954" s="364" t="s">
        <v>1185</v>
      </c>
      <c r="H954" s="364" t="s">
        <v>1194</v>
      </c>
    </row>
    <row r="955" ht="15.75" customHeight="1">
      <c r="A955" s="364" t="s">
        <v>59</v>
      </c>
      <c r="B955" s="364" t="s">
        <v>23</v>
      </c>
      <c r="C955" s="365" t="s">
        <v>296</v>
      </c>
      <c r="D955" s="364" t="s">
        <v>297</v>
      </c>
      <c r="E955" s="366">
        <v>15.0</v>
      </c>
      <c r="F955" s="367">
        <v>46052.625</v>
      </c>
      <c r="G955" s="364" t="s">
        <v>1185</v>
      </c>
      <c r="H955" s="364" t="s">
        <v>1194</v>
      </c>
    </row>
    <row r="956" ht="15.75" customHeight="1">
      <c r="A956" s="364" t="s">
        <v>59</v>
      </c>
      <c r="B956" s="364" t="s">
        <v>23</v>
      </c>
      <c r="C956" s="365" t="s">
        <v>296</v>
      </c>
      <c r="D956" s="364" t="s">
        <v>297</v>
      </c>
      <c r="E956" s="366">
        <v>16.0</v>
      </c>
      <c r="F956" s="367">
        <v>46104.41666666667</v>
      </c>
      <c r="G956" s="364" t="s">
        <v>1185</v>
      </c>
      <c r="H956" s="364" t="s">
        <v>1194</v>
      </c>
    </row>
    <row r="957" ht="15.75" customHeight="1">
      <c r="A957" s="364" t="s">
        <v>59</v>
      </c>
      <c r="B957" s="364" t="s">
        <v>25</v>
      </c>
      <c r="C957" s="365" t="s">
        <v>288</v>
      </c>
      <c r="D957" s="364" t="s">
        <v>289</v>
      </c>
      <c r="E957" s="366">
        <v>2.0</v>
      </c>
      <c r="F957" s="367">
        <v>46163.41666666667</v>
      </c>
      <c r="G957" s="364" t="s">
        <v>1185</v>
      </c>
      <c r="H957" s="364" t="s">
        <v>1194</v>
      </c>
    </row>
    <row r="958" ht="15.75" customHeight="1">
      <c r="A958" s="364" t="s">
        <v>59</v>
      </c>
      <c r="B958" s="364" t="s">
        <v>25</v>
      </c>
      <c r="C958" s="365" t="s">
        <v>288</v>
      </c>
      <c r="D958" s="364" t="s">
        <v>289</v>
      </c>
      <c r="E958" s="366">
        <v>3.0</v>
      </c>
      <c r="F958" s="367">
        <v>46170.625</v>
      </c>
      <c r="G958" s="364" t="s">
        <v>1185</v>
      </c>
      <c r="H958" s="364" t="s">
        <v>1194</v>
      </c>
    </row>
    <row r="959" ht="15.75" customHeight="1">
      <c r="A959" s="364" t="s">
        <v>59</v>
      </c>
      <c r="B959" s="364" t="s">
        <v>25</v>
      </c>
      <c r="C959" s="365" t="s">
        <v>288</v>
      </c>
      <c r="D959" s="364" t="s">
        <v>289</v>
      </c>
      <c r="E959" s="366">
        <v>4.0</v>
      </c>
      <c r="F959" s="367">
        <v>46184.45833333333</v>
      </c>
      <c r="G959" s="364" t="s">
        <v>1185</v>
      </c>
      <c r="H959" s="364" t="s">
        <v>1194</v>
      </c>
    </row>
    <row r="960" ht="15.75" customHeight="1">
      <c r="A960" s="364" t="s">
        <v>59</v>
      </c>
      <c r="B960" s="364" t="s">
        <v>25</v>
      </c>
      <c r="C960" s="365" t="s">
        <v>288</v>
      </c>
      <c r="D960" s="364" t="s">
        <v>289</v>
      </c>
      <c r="E960" s="366">
        <v>5.0</v>
      </c>
      <c r="F960" s="367">
        <v>46185.41666666667</v>
      </c>
      <c r="G960" s="364" t="s">
        <v>1185</v>
      </c>
      <c r="H960" s="364" t="s">
        <v>1194</v>
      </c>
    </row>
    <row r="961" ht="15.75" customHeight="1">
      <c r="A961" s="364" t="s">
        <v>59</v>
      </c>
      <c r="B961" s="364" t="s">
        <v>25</v>
      </c>
      <c r="C961" s="365" t="s">
        <v>288</v>
      </c>
      <c r="D961" s="364" t="s">
        <v>289</v>
      </c>
      <c r="E961" s="366">
        <v>6.0</v>
      </c>
      <c r="F961" s="367">
        <v>46191.41666666667</v>
      </c>
      <c r="G961" s="364" t="s">
        <v>1185</v>
      </c>
      <c r="H961" s="364" t="s">
        <v>1194</v>
      </c>
    </row>
    <row r="962" ht="15.75" customHeight="1">
      <c r="A962" s="364" t="s">
        <v>59</v>
      </c>
      <c r="B962" s="364" t="s">
        <v>25</v>
      </c>
      <c r="C962" s="365" t="s">
        <v>288</v>
      </c>
      <c r="D962" s="364" t="s">
        <v>289</v>
      </c>
      <c r="E962" s="366">
        <v>7.0</v>
      </c>
      <c r="F962" s="367">
        <v>46199.41666666667</v>
      </c>
      <c r="G962" s="364" t="s">
        <v>1185</v>
      </c>
      <c r="H962" s="364" t="s">
        <v>1194</v>
      </c>
    </row>
    <row r="963" ht="15.75" customHeight="1">
      <c r="A963" s="364" t="s">
        <v>59</v>
      </c>
      <c r="B963" s="364" t="s">
        <v>25</v>
      </c>
      <c r="C963" s="365" t="s">
        <v>288</v>
      </c>
      <c r="D963" s="364" t="s">
        <v>289</v>
      </c>
      <c r="E963" s="366">
        <v>8.0</v>
      </c>
      <c r="F963" s="367">
        <v>46205.45833333333</v>
      </c>
      <c r="G963" s="364" t="s">
        <v>1185</v>
      </c>
      <c r="H963" s="364" t="s">
        <v>1194</v>
      </c>
    </row>
    <row r="964" ht="15.75" customHeight="1">
      <c r="A964" s="364" t="s">
        <v>59</v>
      </c>
      <c r="B964" s="364" t="s">
        <v>25</v>
      </c>
      <c r="C964" s="365" t="s">
        <v>288</v>
      </c>
      <c r="D964" s="364" t="s">
        <v>289</v>
      </c>
      <c r="E964" s="366">
        <v>9.0</v>
      </c>
      <c r="F964" s="367">
        <v>46212.45833333333</v>
      </c>
      <c r="G964" s="364" t="s">
        <v>1187</v>
      </c>
      <c r="H964" s="364" t="s">
        <v>1194</v>
      </c>
    </row>
    <row r="965" ht="15.75" customHeight="1">
      <c r="A965" s="364" t="s">
        <v>59</v>
      </c>
      <c r="B965" s="364" t="s">
        <v>25</v>
      </c>
      <c r="C965" s="365" t="s">
        <v>290</v>
      </c>
      <c r="D965" s="364" t="s">
        <v>291</v>
      </c>
      <c r="E965" s="366">
        <v>2.0</v>
      </c>
      <c r="F965" s="367">
        <v>46163.41666666667</v>
      </c>
      <c r="G965" s="364" t="s">
        <v>1185</v>
      </c>
      <c r="H965" s="364" t="s">
        <v>1194</v>
      </c>
    </row>
    <row r="966" ht="15.75" customHeight="1">
      <c r="A966" s="364" t="s">
        <v>59</v>
      </c>
      <c r="B966" s="364" t="s">
        <v>25</v>
      </c>
      <c r="C966" s="365" t="s">
        <v>290</v>
      </c>
      <c r="D966" s="364" t="s">
        <v>291</v>
      </c>
      <c r="E966" s="366">
        <v>3.0</v>
      </c>
      <c r="F966" s="367">
        <v>46170.625</v>
      </c>
      <c r="G966" s="364" t="s">
        <v>1185</v>
      </c>
      <c r="H966" s="364" t="s">
        <v>1194</v>
      </c>
    </row>
    <row r="967" ht="15.75" customHeight="1">
      <c r="A967" s="364" t="s">
        <v>59</v>
      </c>
      <c r="B967" s="364" t="s">
        <v>25</v>
      </c>
      <c r="C967" s="365" t="s">
        <v>290</v>
      </c>
      <c r="D967" s="364" t="s">
        <v>291</v>
      </c>
      <c r="E967" s="366">
        <v>4.0</v>
      </c>
      <c r="F967" s="367">
        <v>46184.45833333333</v>
      </c>
      <c r="G967" s="364" t="s">
        <v>1185</v>
      </c>
      <c r="H967" s="364" t="s">
        <v>1194</v>
      </c>
    </row>
    <row r="968" ht="15.75" customHeight="1">
      <c r="A968" s="364" t="s">
        <v>59</v>
      </c>
      <c r="B968" s="364" t="s">
        <v>25</v>
      </c>
      <c r="C968" s="365" t="s">
        <v>290</v>
      </c>
      <c r="D968" s="364" t="s">
        <v>291</v>
      </c>
      <c r="E968" s="366">
        <v>5.0</v>
      </c>
      <c r="F968" s="367">
        <v>46185.41666666667</v>
      </c>
      <c r="G968" s="364" t="s">
        <v>1185</v>
      </c>
      <c r="H968" s="364" t="s">
        <v>1194</v>
      </c>
    </row>
    <row r="969" ht="15.75" customHeight="1">
      <c r="A969" s="364" t="s">
        <v>59</v>
      </c>
      <c r="B969" s="364" t="s">
        <v>25</v>
      </c>
      <c r="C969" s="365" t="s">
        <v>290</v>
      </c>
      <c r="D969" s="364" t="s">
        <v>291</v>
      </c>
      <c r="E969" s="366">
        <v>6.0</v>
      </c>
      <c r="F969" s="367">
        <v>46191.41666666667</v>
      </c>
      <c r="G969" s="364" t="s">
        <v>1185</v>
      </c>
      <c r="H969" s="364" t="s">
        <v>1194</v>
      </c>
    </row>
    <row r="970" ht="15.75" customHeight="1">
      <c r="A970" s="364" t="s">
        <v>59</v>
      </c>
      <c r="B970" s="364" t="s">
        <v>25</v>
      </c>
      <c r="C970" s="365" t="s">
        <v>290</v>
      </c>
      <c r="D970" s="364" t="s">
        <v>291</v>
      </c>
      <c r="E970" s="366">
        <v>7.0</v>
      </c>
      <c r="F970" s="367">
        <v>46199.41666666667</v>
      </c>
      <c r="G970" s="364" t="s">
        <v>1185</v>
      </c>
      <c r="H970" s="364" t="s">
        <v>1194</v>
      </c>
    </row>
    <row r="971" ht="15.75" customHeight="1">
      <c r="A971" s="364" t="s">
        <v>59</v>
      </c>
      <c r="B971" s="364" t="s">
        <v>25</v>
      </c>
      <c r="C971" s="365" t="s">
        <v>290</v>
      </c>
      <c r="D971" s="364" t="s">
        <v>291</v>
      </c>
      <c r="E971" s="366">
        <v>8.0</v>
      </c>
      <c r="F971" s="367">
        <v>46205.45833333333</v>
      </c>
      <c r="G971" s="364" t="s">
        <v>1185</v>
      </c>
      <c r="H971" s="364" t="s">
        <v>1194</v>
      </c>
    </row>
    <row r="972" ht="15.75" customHeight="1">
      <c r="A972" s="364" t="s">
        <v>59</v>
      </c>
      <c r="B972" s="364" t="s">
        <v>25</v>
      </c>
      <c r="C972" s="365" t="s">
        <v>290</v>
      </c>
      <c r="D972" s="364" t="s">
        <v>291</v>
      </c>
      <c r="E972" s="366">
        <v>9.0</v>
      </c>
      <c r="F972" s="367">
        <v>46212.45833333333</v>
      </c>
      <c r="G972" s="364" t="s">
        <v>1185</v>
      </c>
      <c r="H972" s="364" t="s">
        <v>1194</v>
      </c>
    </row>
    <row r="973" ht="15.75" customHeight="1">
      <c r="A973" s="364" t="s">
        <v>59</v>
      </c>
      <c r="B973" s="364" t="s">
        <v>25</v>
      </c>
      <c r="C973" s="365" t="s">
        <v>292</v>
      </c>
      <c r="D973" s="364" t="s">
        <v>293</v>
      </c>
      <c r="E973" s="366">
        <v>2.0</v>
      </c>
      <c r="F973" s="367">
        <v>46163.41666666667</v>
      </c>
      <c r="G973" s="364" t="s">
        <v>1185</v>
      </c>
      <c r="H973" s="364" t="s">
        <v>1194</v>
      </c>
    </row>
    <row r="974" ht="15.75" customHeight="1">
      <c r="A974" s="364" t="s">
        <v>59</v>
      </c>
      <c r="B974" s="364" t="s">
        <v>25</v>
      </c>
      <c r="C974" s="365" t="s">
        <v>292</v>
      </c>
      <c r="D974" s="364" t="s">
        <v>293</v>
      </c>
      <c r="E974" s="366">
        <v>3.0</v>
      </c>
      <c r="F974" s="367">
        <v>46170.625</v>
      </c>
      <c r="G974" s="364" t="s">
        <v>1185</v>
      </c>
      <c r="H974" s="364" t="s">
        <v>1194</v>
      </c>
    </row>
    <row r="975" ht="15.75" customHeight="1">
      <c r="A975" s="364" t="s">
        <v>59</v>
      </c>
      <c r="B975" s="364" t="s">
        <v>25</v>
      </c>
      <c r="C975" s="365" t="s">
        <v>292</v>
      </c>
      <c r="D975" s="364" t="s">
        <v>293</v>
      </c>
      <c r="E975" s="366">
        <v>4.0</v>
      </c>
      <c r="F975" s="367">
        <v>46184.45833333333</v>
      </c>
      <c r="G975" s="364" t="s">
        <v>1185</v>
      </c>
      <c r="H975" s="364" t="s">
        <v>1194</v>
      </c>
    </row>
    <row r="976" ht="15.75" customHeight="1">
      <c r="A976" s="364" t="s">
        <v>59</v>
      </c>
      <c r="B976" s="364" t="s">
        <v>25</v>
      </c>
      <c r="C976" s="365" t="s">
        <v>292</v>
      </c>
      <c r="D976" s="364" t="s">
        <v>293</v>
      </c>
      <c r="E976" s="366">
        <v>5.0</v>
      </c>
      <c r="F976" s="367">
        <v>46185.41666666667</v>
      </c>
      <c r="G976" s="364" t="s">
        <v>1185</v>
      </c>
      <c r="H976" s="364" t="s">
        <v>1194</v>
      </c>
    </row>
    <row r="977" ht="15.75" customHeight="1">
      <c r="A977" s="364" t="s">
        <v>59</v>
      </c>
      <c r="B977" s="364" t="s">
        <v>25</v>
      </c>
      <c r="C977" s="365" t="s">
        <v>292</v>
      </c>
      <c r="D977" s="364" t="s">
        <v>293</v>
      </c>
      <c r="E977" s="366">
        <v>6.0</v>
      </c>
      <c r="F977" s="367">
        <v>46191.41666666667</v>
      </c>
      <c r="G977" s="364" t="s">
        <v>1185</v>
      </c>
      <c r="H977" s="364" t="s">
        <v>1194</v>
      </c>
    </row>
    <row r="978" ht="15.75" customHeight="1">
      <c r="A978" s="364" t="s">
        <v>59</v>
      </c>
      <c r="B978" s="364" t="s">
        <v>25</v>
      </c>
      <c r="C978" s="365" t="s">
        <v>292</v>
      </c>
      <c r="D978" s="364" t="s">
        <v>293</v>
      </c>
      <c r="E978" s="366">
        <v>7.0</v>
      </c>
      <c r="F978" s="367">
        <v>46199.41666666667</v>
      </c>
      <c r="G978" s="364" t="s">
        <v>1185</v>
      </c>
      <c r="H978" s="364" t="s">
        <v>1194</v>
      </c>
    </row>
    <row r="979" ht="15.75" customHeight="1">
      <c r="A979" s="364" t="s">
        <v>59</v>
      </c>
      <c r="B979" s="364" t="s">
        <v>25</v>
      </c>
      <c r="C979" s="365" t="s">
        <v>292</v>
      </c>
      <c r="D979" s="364" t="s">
        <v>293</v>
      </c>
      <c r="E979" s="366">
        <v>8.0</v>
      </c>
      <c r="F979" s="367">
        <v>46205.45833333333</v>
      </c>
      <c r="G979" s="364" t="s">
        <v>1185</v>
      </c>
      <c r="H979" s="364" t="s">
        <v>1194</v>
      </c>
    </row>
    <row r="980" ht="15.75" customHeight="1">
      <c r="A980" s="364" t="s">
        <v>59</v>
      </c>
      <c r="B980" s="364" t="s">
        <v>25</v>
      </c>
      <c r="C980" s="365" t="s">
        <v>292</v>
      </c>
      <c r="D980" s="364" t="s">
        <v>293</v>
      </c>
      <c r="E980" s="366">
        <v>9.0</v>
      </c>
      <c r="F980" s="367">
        <v>46212.45833333333</v>
      </c>
      <c r="G980" s="364" t="s">
        <v>1185</v>
      </c>
      <c r="H980" s="364" t="s">
        <v>1194</v>
      </c>
    </row>
    <row r="981" ht="15.75" customHeight="1">
      <c r="A981" s="364" t="s">
        <v>59</v>
      </c>
      <c r="B981" s="364" t="s">
        <v>25</v>
      </c>
      <c r="C981" s="365" t="s">
        <v>294</v>
      </c>
      <c r="D981" s="364" t="s">
        <v>295</v>
      </c>
      <c r="E981" s="366">
        <v>2.0</v>
      </c>
      <c r="F981" s="367">
        <v>46163.41666666667</v>
      </c>
      <c r="G981" s="364" t="s">
        <v>1185</v>
      </c>
      <c r="H981" s="364" t="s">
        <v>1194</v>
      </c>
    </row>
    <row r="982" ht="15.75" customHeight="1">
      <c r="A982" s="364" t="s">
        <v>59</v>
      </c>
      <c r="B982" s="364" t="s">
        <v>25</v>
      </c>
      <c r="C982" s="365" t="s">
        <v>294</v>
      </c>
      <c r="D982" s="364" t="s">
        <v>295</v>
      </c>
      <c r="E982" s="366">
        <v>3.0</v>
      </c>
      <c r="F982" s="367">
        <v>46170.625</v>
      </c>
      <c r="G982" s="364" t="s">
        <v>1185</v>
      </c>
      <c r="H982" s="364" t="s">
        <v>1194</v>
      </c>
    </row>
    <row r="983" ht="15.75" customHeight="1">
      <c r="A983" s="364" t="s">
        <v>59</v>
      </c>
      <c r="B983" s="364" t="s">
        <v>25</v>
      </c>
      <c r="C983" s="365" t="s">
        <v>294</v>
      </c>
      <c r="D983" s="364" t="s">
        <v>295</v>
      </c>
      <c r="E983" s="366">
        <v>4.0</v>
      </c>
      <c r="F983" s="367">
        <v>46184.45833333333</v>
      </c>
      <c r="G983" s="364" t="s">
        <v>1185</v>
      </c>
      <c r="H983" s="364" t="s">
        <v>1194</v>
      </c>
    </row>
    <row r="984" ht="15.75" customHeight="1">
      <c r="A984" s="364" t="s">
        <v>59</v>
      </c>
      <c r="B984" s="364" t="s">
        <v>25</v>
      </c>
      <c r="C984" s="365" t="s">
        <v>294</v>
      </c>
      <c r="D984" s="364" t="s">
        <v>295</v>
      </c>
      <c r="E984" s="366">
        <v>5.0</v>
      </c>
      <c r="F984" s="367">
        <v>46185.41666666667</v>
      </c>
      <c r="G984" s="364" t="s">
        <v>1185</v>
      </c>
      <c r="H984" s="364" t="s">
        <v>1194</v>
      </c>
    </row>
    <row r="985" ht="15.75" customHeight="1">
      <c r="A985" s="364" t="s">
        <v>59</v>
      </c>
      <c r="B985" s="364" t="s">
        <v>25</v>
      </c>
      <c r="C985" s="365" t="s">
        <v>294</v>
      </c>
      <c r="D985" s="364" t="s">
        <v>295</v>
      </c>
      <c r="E985" s="366">
        <v>6.0</v>
      </c>
      <c r="F985" s="367">
        <v>46191.41666666667</v>
      </c>
      <c r="G985" s="364" t="s">
        <v>1185</v>
      </c>
      <c r="H985" s="364" t="s">
        <v>1194</v>
      </c>
    </row>
    <row r="986" ht="15.75" customHeight="1">
      <c r="A986" s="364" t="s">
        <v>59</v>
      </c>
      <c r="B986" s="364" t="s">
        <v>25</v>
      </c>
      <c r="C986" s="365" t="s">
        <v>294</v>
      </c>
      <c r="D986" s="364" t="s">
        <v>295</v>
      </c>
      <c r="E986" s="366">
        <v>7.0</v>
      </c>
      <c r="F986" s="367">
        <v>46199.41666666667</v>
      </c>
      <c r="G986" s="364" t="s">
        <v>1185</v>
      </c>
      <c r="H986" s="364" t="s">
        <v>1194</v>
      </c>
    </row>
    <row r="987" ht="15.75" customHeight="1">
      <c r="A987" s="364" t="s">
        <v>59</v>
      </c>
      <c r="B987" s="364" t="s">
        <v>25</v>
      </c>
      <c r="C987" s="365" t="s">
        <v>294</v>
      </c>
      <c r="D987" s="364" t="s">
        <v>295</v>
      </c>
      <c r="E987" s="366">
        <v>8.0</v>
      </c>
      <c r="F987" s="367">
        <v>46205.45833333333</v>
      </c>
      <c r="G987" s="364" t="s">
        <v>1185</v>
      </c>
      <c r="H987" s="364" t="s">
        <v>1194</v>
      </c>
    </row>
    <row r="988" ht="15.75" customHeight="1">
      <c r="A988" s="364" t="s">
        <v>59</v>
      </c>
      <c r="B988" s="364" t="s">
        <v>25</v>
      </c>
      <c r="C988" s="365" t="s">
        <v>294</v>
      </c>
      <c r="D988" s="364" t="s">
        <v>295</v>
      </c>
      <c r="E988" s="366">
        <v>9.0</v>
      </c>
      <c r="F988" s="367">
        <v>46212.45833333333</v>
      </c>
      <c r="G988" s="364" t="s">
        <v>1185</v>
      </c>
      <c r="H988" s="364" t="s">
        <v>1194</v>
      </c>
    </row>
    <row r="989" ht="15.75" customHeight="1">
      <c r="A989" s="364" t="s">
        <v>59</v>
      </c>
      <c r="B989" s="364" t="s">
        <v>25</v>
      </c>
      <c r="C989" s="365" t="s">
        <v>296</v>
      </c>
      <c r="D989" s="364" t="s">
        <v>297</v>
      </c>
      <c r="E989" s="366">
        <v>4.0</v>
      </c>
      <c r="F989" s="367">
        <v>46184.45833333333</v>
      </c>
      <c r="G989" s="364" t="s">
        <v>1185</v>
      </c>
      <c r="H989" s="364" t="s">
        <v>1194</v>
      </c>
    </row>
    <row r="990" ht="15.75" customHeight="1">
      <c r="A990" s="364" t="s">
        <v>59</v>
      </c>
      <c r="B990" s="364" t="s">
        <v>25</v>
      </c>
      <c r="C990" s="365" t="s">
        <v>296</v>
      </c>
      <c r="D990" s="364" t="s">
        <v>297</v>
      </c>
      <c r="E990" s="366">
        <v>5.0</v>
      </c>
      <c r="F990" s="367">
        <v>46185.41666666667</v>
      </c>
      <c r="G990" s="364" t="s">
        <v>1185</v>
      </c>
      <c r="H990" s="364" t="s">
        <v>1194</v>
      </c>
    </row>
    <row r="991" ht="15.75" customHeight="1">
      <c r="A991" s="364" t="s">
        <v>59</v>
      </c>
      <c r="B991" s="364" t="s">
        <v>25</v>
      </c>
      <c r="C991" s="365" t="s">
        <v>296</v>
      </c>
      <c r="D991" s="364" t="s">
        <v>297</v>
      </c>
      <c r="E991" s="366">
        <v>6.0</v>
      </c>
      <c r="F991" s="367">
        <v>46191.41666666667</v>
      </c>
      <c r="G991" s="364" t="s">
        <v>1185</v>
      </c>
      <c r="H991" s="364" t="s">
        <v>1194</v>
      </c>
    </row>
    <row r="992" ht="15.75" customHeight="1">
      <c r="A992" s="364" t="s">
        <v>59</v>
      </c>
      <c r="B992" s="364" t="s">
        <v>25</v>
      </c>
      <c r="C992" s="365" t="s">
        <v>296</v>
      </c>
      <c r="D992" s="364" t="s">
        <v>297</v>
      </c>
      <c r="E992" s="366">
        <v>7.0</v>
      </c>
      <c r="F992" s="367">
        <v>46199.41666666667</v>
      </c>
      <c r="G992" s="364" t="s">
        <v>1185</v>
      </c>
      <c r="H992" s="364" t="s">
        <v>1194</v>
      </c>
    </row>
    <row r="993" ht="15.75" customHeight="1">
      <c r="A993" s="364" t="s">
        <v>59</v>
      </c>
      <c r="B993" s="364" t="s">
        <v>25</v>
      </c>
      <c r="C993" s="365" t="s">
        <v>296</v>
      </c>
      <c r="D993" s="364" t="s">
        <v>297</v>
      </c>
      <c r="E993" s="366">
        <v>8.0</v>
      </c>
      <c r="F993" s="367">
        <v>46205.45833333333</v>
      </c>
      <c r="G993" s="364" t="s">
        <v>1187</v>
      </c>
      <c r="H993" s="364" t="s">
        <v>1194</v>
      </c>
    </row>
    <row r="994" ht="15.75" customHeight="1">
      <c r="A994" s="364" t="s">
        <v>59</v>
      </c>
      <c r="B994" s="364" t="s">
        <v>25</v>
      </c>
      <c r="C994" s="365" t="s">
        <v>296</v>
      </c>
      <c r="D994" s="364" t="s">
        <v>297</v>
      </c>
      <c r="E994" s="366">
        <v>9.0</v>
      </c>
      <c r="F994" s="367">
        <v>46212.45833333333</v>
      </c>
      <c r="G994" s="364" t="s">
        <v>1185</v>
      </c>
      <c r="H994" s="364" t="s">
        <v>1194</v>
      </c>
    </row>
    <row r="995" ht="15.75" customHeight="1">
      <c r="A995" s="364" t="s">
        <v>60</v>
      </c>
      <c r="B995" s="364" t="s">
        <v>22</v>
      </c>
      <c r="C995" s="365" t="s">
        <v>752</v>
      </c>
      <c r="D995" s="364" t="s">
        <v>753</v>
      </c>
      <c r="E995" s="366">
        <v>1.0</v>
      </c>
      <c r="F995" s="367">
        <v>45663.58333333333</v>
      </c>
      <c r="G995" s="364" t="s">
        <v>1185</v>
      </c>
      <c r="H995" s="364" t="s">
        <v>1195</v>
      </c>
    </row>
    <row r="996" ht="15.75" customHeight="1">
      <c r="A996" s="364" t="s">
        <v>60</v>
      </c>
      <c r="B996" s="364" t="s">
        <v>22</v>
      </c>
      <c r="C996" s="365" t="s">
        <v>752</v>
      </c>
      <c r="D996" s="364" t="s">
        <v>753</v>
      </c>
      <c r="E996" s="366">
        <v>2.0</v>
      </c>
      <c r="F996" s="367">
        <v>45698.58333333333</v>
      </c>
      <c r="G996" s="364" t="s">
        <v>1187</v>
      </c>
      <c r="H996" s="364" t="s">
        <v>1195</v>
      </c>
    </row>
    <row r="997" ht="15.75" customHeight="1">
      <c r="A997" s="364" t="s">
        <v>60</v>
      </c>
      <c r="B997" s="364" t="s">
        <v>22</v>
      </c>
      <c r="C997" s="365" t="s">
        <v>752</v>
      </c>
      <c r="D997" s="364" t="s">
        <v>753</v>
      </c>
      <c r="E997" s="366">
        <v>3.0</v>
      </c>
      <c r="F997" s="367">
        <v>45716.58333333333</v>
      </c>
      <c r="G997" s="364" t="s">
        <v>1185</v>
      </c>
      <c r="H997" s="364" t="s">
        <v>1195</v>
      </c>
    </row>
    <row r="998" ht="15.75" customHeight="1">
      <c r="A998" s="364" t="s">
        <v>60</v>
      </c>
      <c r="B998" s="364" t="s">
        <v>22</v>
      </c>
      <c r="C998" s="365" t="s">
        <v>752</v>
      </c>
      <c r="D998" s="364" t="s">
        <v>753</v>
      </c>
      <c r="E998" s="366">
        <v>4.0</v>
      </c>
      <c r="F998" s="367">
        <v>45762.58333333333</v>
      </c>
      <c r="G998" s="364" t="s">
        <v>1185</v>
      </c>
      <c r="H998" s="364" t="s">
        <v>1195</v>
      </c>
    </row>
    <row r="999" ht="15.75" customHeight="1">
      <c r="A999" s="364" t="s">
        <v>60</v>
      </c>
      <c r="B999" s="364" t="s">
        <v>22</v>
      </c>
      <c r="C999" s="365" t="s">
        <v>752</v>
      </c>
      <c r="D999" s="364" t="s">
        <v>753</v>
      </c>
      <c r="E999" s="366">
        <v>5.0</v>
      </c>
      <c r="F999" s="367">
        <v>45768.58333333333</v>
      </c>
      <c r="G999" s="364" t="s">
        <v>1185</v>
      </c>
      <c r="H999" s="364" t="s">
        <v>1195</v>
      </c>
    </row>
    <row r="1000" ht="15.75" customHeight="1">
      <c r="A1000" s="364" t="s">
        <v>60</v>
      </c>
      <c r="B1000" s="364" t="s">
        <v>22</v>
      </c>
      <c r="C1000" s="365" t="s">
        <v>752</v>
      </c>
      <c r="D1000" s="364" t="s">
        <v>753</v>
      </c>
      <c r="E1000" s="366">
        <v>6.0</v>
      </c>
      <c r="F1000" s="367">
        <v>45782.54166666667</v>
      </c>
      <c r="G1000" s="364" t="s">
        <v>1187</v>
      </c>
      <c r="H1000" s="364" t="s">
        <v>1195</v>
      </c>
    </row>
    <row r="1001" ht="15.75" customHeight="1">
      <c r="A1001" s="364" t="s">
        <v>60</v>
      </c>
      <c r="B1001" s="364" t="s">
        <v>22</v>
      </c>
      <c r="C1001" s="365" t="s">
        <v>752</v>
      </c>
      <c r="D1001" s="364" t="s">
        <v>753</v>
      </c>
      <c r="E1001" s="366">
        <v>7.0</v>
      </c>
      <c r="F1001" s="367">
        <v>45806.58333333333</v>
      </c>
      <c r="G1001" s="364" t="s">
        <v>1185</v>
      </c>
      <c r="H1001" s="364" t="s">
        <v>1195</v>
      </c>
    </row>
    <row r="1002" ht="15.75" customHeight="1">
      <c r="A1002" s="364" t="s">
        <v>60</v>
      </c>
      <c r="B1002" s="364" t="s">
        <v>22</v>
      </c>
      <c r="C1002" s="365" t="s">
        <v>752</v>
      </c>
      <c r="D1002" s="364" t="s">
        <v>753</v>
      </c>
      <c r="E1002" s="366">
        <v>8.0</v>
      </c>
      <c r="F1002" s="367">
        <v>45810.54166666667</v>
      </c>
      <c r="G1002" s="364" t="s">
        <v>1185</v>
      </c>
      <c r="H1002" s="364" t="s">
        <v>1195</v>
      </c>
    </row>
    <row r="1003" ht="15.75" customHeight="1">
      <c r="A1003" s="364" t="s">
        <v>60</v>
      </c>
      <c r="B1003" s="364" t="s">
        <v>22</v>
      </c>
      <c r="C1003" s="365" t="s">
        <v>752</v>
      </c>
      <c r="D1003" s="364" t="s">
        <v>753</v>
      </c>
      <c r="E1003" s="366">
        <v>9.0</v>
      </c>
      <c r="F1003" s="367">
        <v>45824.58333333333</v>
      </c>
      <c r="G1003" s="364" t="s">
        <v>1185</v>
      </c>
      <c r="H1003" s="364" t="s">
        <v>1195</v>
      </c>
    </row>
    <row r="1004" ht="15.75" customHeight="1">
      <c r="A1004" s="364" t="s">
        <v>60</v>
      </c>
      <c r="B1004" s="364" t="s">
        <v>22</v>
      </c>
      <c r="C1004" s="365" t="s">
        <v>752</v>
      </c>
      <c r="D1004" s="364" t="s">
        <v>753</v>
      </c>
      <c r="E1004" s="366">
        <v>10.0</v>
      </c>
      <c r="F1004" s="367">
        <v>45852.54166666667</v>
      </c>
      <c r="G1004" s="364" t="s">
        <v>1185</v>
      </c>
      <c r="H1004" s="364" t="s">
        <v>1195</v>
      </c>
    </row>
    <row r="1005" ht="15.75" customHeight="1">
      <c r="A1005" s="364" t="s">
        <v>60</v>
      </c>
      <c r="B1005" s="364" t="s">
        <v>22</v>
      </c>
      <c r="C1005" s="365" t="s">
        <v>302</v>
      </c>
      <c r="D1005" s="364" t="s">
        <v>303</v>
      </c>
      <c r="E1005" s="366">
        <v>1.0</v>
      </c>
      <c r="F1005" s="367">
        <v>45663.58333333333</v>
      </c>
      <c r="G1005" s="364" t="s">
        <v>1185</v>
      </c>
      <c r="H1005" s="364" t="s">
        <v>1195</v>
      </c>
    </row>
    <row r="1006" ht="15.75" customHeight="1">
      <c r="A1006" s="364" t="s">
        <v>60</v>
      </c>
      <c r="B1006" s="364" t="s">
        <v>22</v>
      </c>
      <c r="C1006" s="365" t="s">
        <v>302</v>
      </c>
      <c r="D1006" s="364" t="s">
        <v>303</v>
      </c>
      <c r="E1006" s="366">
        <v>2.0</v>
      </c>
      <c r="F1006" s="367">
        <v>45698.58333333333</v>
      </c>
      <c r="G1006" s="364" t="s">
        <v>1185</v>
      </c>
      <c r="H1006" s="364" t="s">
        <v>1195</v>
      </c>
    </row>
    <row r="1007" ht="15.75" customHeight="1">
      <c r="A1007" s="364" t="s">
        <v>60</v>
      </c>
      <c r="B1007" s="364" t="s">
        <v>22</v>
      </c>
      <c r="C1007" s="365" t="s">
        <v>302</v>
      </c>
      <c r="D1007" s="364" t="s">
        <v>303</v>
      </c>
      <c r="E1007" s="366">
        <v>3.0</v>
      </c>
      <c r="F1007" s="367">
        <v>45716.58333333333</v>
      </c>
      <c r="G1007" s="364" t="s">
        <v>1185</v>
      </c>
      <c r="H1007" s="364" t="s">
        <v>1195</v>
      </c>
    </row>
    <row r="1008" ht="15.75" customHeight="1">
      <c r="A1008" s="364" t="s">
        <v>60</v>
      </c>
      <c r="B1008" s="364" t="s">
        <v>22</v>
      </c>
      <c r="C1008" s="365" t="s">
        <v>302</v>
      </c>
      <c r="D1008" s="364" t="s">
        <v>303</v>
      </c>
      <c r="E1008" s="366">
        <v>4.0</v>
      </c>
      <c r="F1008" s="367">
        <v>45762.58333333333</v>
      </c>
      <c r="G1008" s="364" t="s">
        <v>1185</v>
      </c>
      <c r="H1008" s="364" t="s">
        <v>1195</v>
      </c>
    </row>
    <row r="1009" ht="15.75" customHeight="1">
      <c r="A1009" s="364" t="s">
        <v>60</v>
      </c>
      <c r="B1009" s="364" t="s">
        <v>22</v>
      </c>
      <c r="C1009" s="365" t="s">
        <v>302</v>
      </c>
      <c r="D1009" s="364" t="s">
        <v>303</v>
      </c>
      <c r="E1009" s="366">
        <v>5.0</v>
      </c>
      <c r="F1009" s="367">
        <v>45768.58333333333</v>
      </c>
      <c r="G1009" s="364" t="s">
        <v>1185</v>
      </c>
      <c r="H1009" s="364" t="s">
        <v>1195</v>
      </c>
    </row>
    <row r="1010" ht="15.75" customHeight="1">
      <c r="A1010" s="364" t="s">
        <v>60</v>
      </c>
      <c r="B1010" s="364" t="s">
        <v>22</v>
      </c>
      <c r="C1010" s="365" t="s">
        <v>302</v>
      </c>
      <c r="D1010" s="364" t="s">
        <v>303</v>
      </c>
      <c r="E1010" s="366">
        <v>6.0</v>
      </c>
      <c r="F1010" s="367">
        <v>45782.54166666667</v>
      </c>
      <c r="G1010" s="364" t="s">
        <v>1187</v>
      </c>
      <c r="H1010" s="364" t="s">
        <v>1195</v>
      </c>
    </row>
    <row r="1011" ht="15.75" customHeight="1">
      <c r="A1011" s="364" t="s">
        <v>60</v>
      </c>
      <c r="B1011" s="364" t="s">
        <v>22</v>
      </c>
      <c r="C1011" s="365" t="s">
        <v>302</v>
      </c>
      <c r="D1011" s="364" t="s">
        <v>303</v>
      </c>
      <c r="E1011" s="366">
        <v>7.0</v>
      </c>
      <c r="F1011" s="367">
        <v>45806.58333333333</v>
      </c>
      <c r="G1011" s="364" t="s">
        <v>1185</v>
      </c>
      <c r="H1011" s="364" t="s">
        <v>1195</v>
      </c>
    </row>
    <row r="1012" ht="15.75" customHeight="1">
      <c r="A1012" s="364" t="s">
        <v>60</v>
      </c>
      <c r="B1012" s="364" t="s">
        <v>22</v>
      </c>
      <c r="C1012" s="365" t="s">
        <v>302</v>
      </c>
      <c r="D1012" s="364" t="s">
        <v>303</v>
      </c>
      <c r="E1012" s="366">
        <v>8.0</v>
      </c>
      <c r="F1012" s="367">
        <v>45810.54166666667</v>
      </c>
      <c r="G1012" s="364" t="s">
        <v>1185</v>
      </c>
      <c r="H1012" s="364" t="s">
        <v>1195</v>
      </c>
    </row>
    <row r="1013" ht="15.75" customHeight="1">
      <c r="A1013" s="364" t="s">
        <v>60</v>
      </c>
      <c r="B1013" s="364" t="s">
        <v>22</v>
      </c>
      <c r="C1013" s="365" t="s">
        <v>302</v>
      </c>
      <c r="D1013" s="364" t="s">
        <v>303</v>
      </c>
      <c r="E1013" s="366">
        <v>9.0</v>
      </c>
      <c r="F1013" s="367">
        <v>45824.58333333333</v>
      </c>
      <c r="G1013" s="364" t="s">
        <v>1185</v>
      </c>
      <c r="H1013" s="364" t="s">
        <v>1195</v>
      </c>
    </row>
    <row r="1014" ht="15.75" customHeight="1">
      <c r="A1014" s="364" t="s">
        <v>60</v>
      </c>
      <c r="B1014" s="364" t="s">
        <v>22</v>
      </c>
      <c r="C1014" s="365" t="s">
        <v>302</v>
      </c>
      <c r="D1014" s="364" t="s">
        <v>303</v>
      </c>
      <c r="E1014" s="366">
        <v>10.0</v>
      </c>
      <c r="F1014" s="367">
        <v>45852.54166666667</v>
      </c>
      <c r="G1014" s="364" t="s">
        <v>1185</v>
      </c>
      <c r="H1014" s="364" t="s">
        <v>1195</v>
      </c>
    </row>
    <row r="1015" ht="15.75" customHeight="1">
      <c r="A1015" s="364" t="s">
        <v>60</v>
      </c>
      <c r="B1015" s="364" t="s">
        <v>22</v>
      </c>
      <c r="C1015" s="365" t="s">
        <v>747</v>
      </c>
      <c r="D1015" s="364" t="s">
        <v>283</v>
      </c>
      <c r="E1015" s="366">
        <v>1.0</v>
      </c>
      <c r="F1015" s="367">
        <v>45663.58333333333</v>
      </c>
      <c r="G1015" s="364" t="s">
        <v>1185</v>
      </c>
      <c r="H1015" s="364" t="s">
        <v>1195</v>
      </c>
    </row>
    <row r="1016" ht="15.75" customHeight="1">
      <c r="A1016" s="364" t="s">
        <v>60</v>
      </c>
      <c r="B1016" s="364" t="s">
        <v>22</v>
      </c>
      <c r="C1016" s="365" t="s">
        <v>747</v>
      </c>
      <c r="D1016" s="364" t="s">
        <v>283</v>
      </c>
      <c r="E1016" s="366">
        <v>2.0</v>
      </c>
      <c r="F1016" s="367">
        <v>45698.58333333333</v>
      </c>
      <c r="G1016" s="364" t="s">
        <v>1185</v>
      </c>
      <c r="H1016" s="364" t="s">
        <v>1195</v>
      </c>
    </row>
    <row r="1017" ht="15.75" customHeight="1">
      <c r="A1017" s="364" t="s">
        <v>60</v>
      </c>
      <c r="B1017" s="364" t="s">
        <v>22</v>
      </c>
      <c r="C1017" s="365" t="s">
        <v>747</v>
      </c>
      <c r="D1017" s="364" t="s">
        <v>283</v>
      </c>
      <c r="E1017" s="366">
        <v>3.0</v>
      </c>
      <c r="F1017" s="367">
        <v>45716.58333333333</v>
      </c>
      <c r="G1017" s="364" t="s">
        <v>1185</v>
      </c>
      <c r="H1017" s="364" t="s">
        <v>1195</v>
      </c>
    </row>
    <row r="1018" ht="15.75" customHeight="1">
      <c r="A1018" s="364" t="s">
        <v>60</v>
      </c>
      <c r="B1018" s="364" t="s">
        <v>22</v>
      </c>
      <c r="C1018" s="365" t="s">
        <v>747</v>
      </c>
      <c r="D1018" s="364" t="s">
        <v>283</v>
      </c>
      <c r="E1018" s="366">
        <v>4.0</v>
      </c>
      <c r="F1018" s="367">
        <v>45762.58333333333</v>
      </c>
      <c r="G1018" s="364" t="s">
        <v>1185</v>
      </c>
      <c r="H1018" s="364" t="s">
        <v>1195</v>
      </c>
    </row>
    <row r="1019" ht="15.75" customHeight="1">
      <c r="A1019" s="364" t="s">
        <v>60</v>
      </c>
      <c r="B1019" s="364" t="s">
        <v>22</v>
      </c>
      <c r="C1019" s="365" t="s">
        <v>747</v>
      </c>
      <c r="D1019" s="364" t="s">
        <v>283</v>
      </c>
      <c r="E1019" s="366">
        <v>5.0</v>
      </c>
      <c r="F1019" s="367">
        <v>45768.58333333333</v>
      </c>
      <c r="G1019" s="364" t="s">
        <v>1185</v>
      </c>
      <c r="H1019" s="364" t="s">
        <v>1195</v>
      </c>
    </row>
    <row r="1020" ht="15.75" customHeight="1">
      <c r="A1020" s="364" t="s">
        <v>60</v>
      </c>
      <c r="B1020" s="364" t="s">
        <v>22</v>
      </c>
      <c r="C1020" s="365" t="s">
        <v>747</v>
      </c>
      <c r="D1020" s="364" t="s">
        <v>283</v>
      </c>
      <c r="E1020" s="366">
        <v>6.0</v>
      </c>
      <c r="F1020" s="367">
        <v>45782.54166666667</v>
      </c>
      <c r="G1020" s="364" t="s">
        <v>1185</v>
      </c>
      <c r="H1020" s="364" t="s">
        <v>1195</v>
      </c>
    </row>
    <row r="1021" ht="15.75" customHeight="1">
      <c r="A1021" s="364" t="s">
        <v>60</v>
      </c>
      <c r="B1021" s="364" t="s">
        <v>22</v>
      </c>
      <c r="C1021" s="365" t="s">
        <v>747</v>
      </c>
      <c r="D1021" s="364" t="s">
        <v>283</v>
      </c>
      <c r="E1021" s="366">
        <v>7.0</v>
      </c>
      <c r="F1021" s="367">
        <v>45806.58333333333</v>
      </c>
      <c r="G1021" s="364" t="s">
        <v>1185</v>
      </c>
      <c r="H1021" s="364" t="s">
        <v>1195</v>
      </c>
    </row>
    <row r="1022" ht="15.75" customHeight="1">
      <c r="A1022" s="364" t="s">
        <v>60</v>
      </c>
      <c r="B1022" s="364" t="s">
        <v>22</v>
      </c>
      <c r="C1022" s="365" t="s">
        <v>747</v>
      </c>
      <c r="D1022" s="364" t="s">
        <v>283</v>
      </c>
      <c r="E1022" s="366">
        <v>8.0</v>
      </c>
      <c r="F1022" s="367">
        <v>45810.54166666667</v>
      </c>
      <c r="G1022" s="364" t="s">
        <v>1185</v>
      </c>
      <c r="H1022" s="364" t="s">
        <v>1195</v>
      </c>
    </row>
    <row r="1023" ht="15.75" customHeight="1">
      <c r="A1023" s="364" t="s">
        <v>60</v>
      </c>
      <c r="B1023" s="364" t="s">
        <v>22</v>
      </c>
      <c r="C1023" s="365" t="s">
        <v>747</v>
      </c>
      <c r="D1023" s="364" t="s">
        <v>283</v>
      </c>
      <c r="E1023" s="366">
        <v>9.0</v>
      </c>
      <c r="F1023" s="367">
        <v>45824.58333333333</v>
      </c>
      <c r="G1023" s="364" t="s">
        <v>1185</v>
      </c>
      <c r="H1023" s="364" t="s">
        <v>1195</v>
      </c>
    </row>
    <row r="1024" ht="15.75" customHeight="1">
      <c r="A1024" s="364" t="s">
        <v>60</v>
      </c>
      <c r="B1024" s="364" t="s">
        <v>22</v>
      </c>
      <c r="C1024" s="365" t="s">
        <v>747</v>
      </c>
      <c r="D1024" s="364" t="s">
        <v>283</v>
      </c>
      <c r="E1024" s="366">
        <v>10.0</v>
      </c>
      <c r="F1024" s="367">
        <v>45852.54166666667</v>
      </c>
      <c r="G1024" s="364" t="s">
        <v>1185</v>
      </c>
      <c r="H1024" s="364" t="s">
        <v>1195</v>
      </c>
    </row>
    <row r="1025" ht="15.75" customHeight="1">
      <c r="A1025" s="364" t="s">
        <v>60</v>
      </c>
      <c r="B1025" s="364" t="s">
        <v>22</v>
      </c>
      <c r="C1025" s="365" t="s">
        <v>308</v>
      </c>
      <c r="D1025" s="364" t="s">
        <v>309</v>
      </c>
      <c r="E1025" s="366">
        <v>1.0</v>
      </c>
      <c r="F1025" s="367">
        <v>45663.58333333333</v>
      </c>
      <c r="G1025" s="364" t="s">
        <v>1187</v>
      </c>
      <c r="H1025" s="364" t="s">
        <v>1195</v>
      </c>
    </row>
    <row r="1026" ht="15.75" customHeight="1">
      <c r="A1026" s="364" t="s">
        <v>60</v>
      </c>
      <c r="B1026" s="364" t="s">
        <v>22</v>
      </c>
      <c r="C1026" s="365" t="s">
        <v>308</v>
      </c>
      <c r="D1026" s="364" t="s">
        <v>309</v>
      </c>
      <c r="E1026" s="366">
        <v>2.0</v>
      </c>
      <c r="F1026" s="367">
        <v>45698.58333333333</v>
      </c>
      <c r="G1026" s="364" t="s">
        <v>1185</v>
      </c>
      <c r="H1026" s="364" t="s">
        <v>1195</v>
      </c>
    </row>
    <row r="1027" ht="15.75" customHeight="1">
      <c r="A1027" s="364" t="s">
        <v>60</v>
      </c>
      <c r="B1027" s="364" t="s">
        <v>22</v>
      </c>
      <c r="C1027" s="365" t="s">
        <v>308</v>
      </c>
      <c r="D1027" s="364" t="s">
        <v>309</v>
      </c>
      <c r="E1027" s="366">
        <v>3.0</v>
      </c>
      <c r="F1027" s="367">
        <v>45716.58333333333</v>
      </c>
      <c r="G1027" s="364" t="s">
        <v>1185</v>
      </c>
      <c r="H1027" s="364" t="s">
        <v>1195</v>
      </c>
    </row>
    <row r="1028" ht="15.75" customHeight="1">
      <c r="A1028" s="364" t="s">
        <v>60</v>
      </c>
      <c r="B1028" s="364" t="s">
        <v>22</v>
      </c>
      <c r="C1028" s="365" t="s">
        <v>308</v>
      </c>
      <c r="D1028" s="364" t="s">
        <v>309</v>
      </c>
      <c r="E1028" s="366">
        <v>4.0</v>
      </c>
      <c r="F1028" s="367">
        <v>45762.58333333333</v>
      </c>
      <c r="G1028" s="364" t="s">
        <v>1185</v>
      </c>
      <c r="H1028" s="364" t="s">
        <v>1195</v>
      </c>
    </row>
    <row r="1029" ht="15.75" customHeight="1">
      <c r="A1029" s="364" t="s">
        <v>60</v>
      </c>
      <c r="B1029" s="364" t="s">
        <v>22</v>
      </c>
      <c r="C1029" s="365" t="s">
        <v>308</v>
      </c>
      <c r="D1029" s="364" t="s">
        <v>309</v>
      </c>
      <c r="E1029" s="366">
        <v>5.0</v>
      </c>
      <c r="F1029" s="367">
        <v>45768.58333333333</v>
      </c>
      <c r="G1029" s="364" t="s">
        <v>1185</v>
      </c>
      <c r="H1029" s="364" t="s">
        <v>1195</v>
      </c>
    </row>
    <row r="1030" ht="15.75" customHeight="1">
      <c r="A1030" s="364" t="s">
        <v>60</v>
      </c>
      <c r="B1030" s="364" t="s">
        <v>22</v>
      </c>
      <c r="C1030" s="365" t="s">
        <v>308</v>
      </c>
      <c r="D1030" s="364" t="s">
        <v>309</v>
      </c>
      <c r="E1030" s="366">
        <v>6.0</v>
      </c>
      <c r="F1030" s="367">
        <v>45782.54166666667</v>
      </c>
      <c r="G1030" s="364" t="s">
        <v>1185</v>
      </c>
      <c r="H1030" s="364" t="s">
        <v>1195</v>
      </c>
    </row>
    <row r="1031" ht="15.75" customHeight="1">
      <c r="A1031" s="364" t="s">
        <v>60</v>
      </c>
      <c r="B1031" s="364" t="s">
        <v>22</v>
      </c>
      <c r="C1031" s="365" t="s">
        <v>308</v>
      </c>
      <c r="D1031" s="364" t="s">
        <v>309</v>
      </c>
      <c r="E1031" s="366">
        <v>7.0</v>
      </c>
      <c r="F1031" s="367">
        <v>45806.58333333333</v>
      </c>
      <c r="G1031" s="364" t="s">
        <v>1185</v>
      </c>
      <c r="H1031" s="364" t="s">
        <v>1195</v>
      </c>
    </row>
    <row r="1032" ht="15.75" customHeight="1">
      <c r="A1032" s="364" t="s">
        <v>60</v>
      </c>
      <c r="B1032" s="364" t="s">
        <v>22</v>
      </c>
      <c r="C1032" s="365" t="s">
        <v>308</v>
      </c>
      <c r="D1032" s="364" t="s">
        <v>309</v>
      </c>
      <c r="E1032" s="366">
        <v>8.0</v>
      </c>
      <c r="F1032" s="367">
        <v>45810.54166666667</v>
      </c>
      <c r="G1032" s="364" t="s">
        <v>1185</v>
      </c>
      <c r="H1032" s="364" t="s">
        <v>1195</v>
      </c>
    </row>
    <row r="1033" ht="15.75" customHeight="1">
      <c r="A1033" s="364" t="s">
        <v>60</v>
      </c>
      <c r="B1033" s="364" t="s">
        <v>22</v>
      </c>
      <c r="C1033" s="365" t="s">
        <v>308</v>
      </c>
      <c r="D1033" s="364" t="s">
        <v>309</v>
      </c>
      <c r="E1033" s="366">
        <v>9.0</v>
      </c>
      <c r="F1033" s="367">
        <v>45824.58333333333</v>
      </c>
      <c r="G1033" s="364" t="s">
        <v>1185</v>
      </c>
      <c r="H1033" s="364" t="s">
        <v>1195</v>
      </c>
    </row>
    <row r="1034" ht="15.75" customHeight="1">
      <c r="A1034" s="364" t="s">
        <v>60</v>
      </c>
      <c r="B1034" s="364" t="s">
        <v>22</v>
      </c>
      <c r="C1034" s="365" t="s">
        <v>308</v>
      </c>
      <c r="D1034" s="364" t="s">
        <v>309</v>
      </c>
      <c r="E1034" s="366">
        <v>10.0</v>
      </c>
      <c r="F1034" s="367">
        <v>45852.54166666667</v>
      </c>
      <c r="G1034" s="364" t="s">
        <v>1185</v>
      </c>
      <c r="H1034" s="364" t="s">
        <v>1195</v>
      </c>
    </row>
    <row r="1035" ht="15.75" customHeight="1">
      <c r="A1035" s="364" t="s">
        <v>60</v>
      </c>
      <c r="B1035" s="364" t="s">
        <v>22</v>
      </c>
      <c r="C1035" s="365" t="s">
        <v>310</v>
      </c>
      <c r="D1035" s="364" t="s">
        <v>311</v>
      </c>
      <c r="E1035" s="366">
        <v>1.0</v>
      </c>
      <c r="F1035" s="367">
        <v>45663.58333333333</v>
      </c>
      <c r="G1035" s="364" t="s">
        <v>1185</v>
      </c>
      <c r="H1035" s="364" t="s">
        <v>1195</v>
      </c>
    </row>
    <row r="1036" ht="15.75" customHeight="1">
      <c r="A1036" s="364" t="s">
        <v>60</v>
      </c>
      <c r="B1036" s="364" t="s">
        <v>22</v>
      </c>
      <c r="C1036" s="365" t="s">
        <v>310</v>
      </c>
      <c r="D1036" s="364" t="s">
        <v>311</v>
      </c>
      <c r="E1036" s="366">
        <v>2.0</v>
      </c>
      <c r="F1036" s="367">
        <v>45698.58333333333</v>
      </c>
      <c r="G1036" s="364" t="s">
        <v>1187</v>
      </c>
      <c r="H1036" s="364" t="s">
        <v>1195</v>
      </c>
    </row>
    <row r="1037" ht="15.75" customHeight="1">
      <c r="A1037" s="364" t="s">
        <v>60</v>
      </c>
      <c r="B1037" s="364" t="s">
        <v>22</v>
      </c>
      <c r="C1037" s="365" t="s">
        <v>310</v>
      </c>
      <c r="D1037" s="364" t="s">
        <v>311</v>
      </c>
      <c r="E1037" s="366">
        <v>3.0</v>
      </c>
      <c r="F1037" s="367">
        <v>45716.58333333333</v>
      </c>
      <c r="G1037" s="364" t="s">
        <v>1185</v>
      </c>
      <c r="H1037" s="364" t="s">
        <v>1195</v>
      </c>
    </row>
    <row r="1038" ht="15.75" customHeight="1">
      <c r="A1038" s="364" t="s">
        <v>60</v>
      </c>
      <c r="B1038" s="364" t="s">
        <v>22</v>
      </c>
      <c r="C1038" s="365" t="s">
        <v>310</v>
      </c>
      <c r="D1038" s="364" t="s">
        <v>311</v>
      </c>
      <c r="E1038" s="366">
        <v>4.0</v>
      </c>
      <c r="F1038" s="367">
        <v>45762.58333333333</v>
      </c>
      <c r="G1038" s="364" t="s">
        <v>1187</v>
      </c>
      <c r="H1038" s="364" t="s">
        <v>1195</v>
      </c>
    </row>
    <row r="1039" ht="15.75" customHeight="1">
      <c r="A1039" s="364" t="s">
        <v>60</v>
      </c>
      <c r="B1039" s="364" t="s">
        <v>22</v>
      </c>
      <c r="C1039" s="365" t="s">
        <v>310</v>
      </c>
      <c r="D1039" s="364" t="s">
        <v>311</v>
      </c>
      <c r="E1039" s="366">
        <v>5.0</v>
      </c>
      <c r="F1039" s="367">
        <v>45768.58333333333</v>
      </c>
      <c r="G1039" s="364" t="s">
        <v>1185</v>
      </c>
      <c r="H1039" s="364" t="s">
        <v>1195</v>
      </c>
    </row>
    <row r="1040" ht="15.75" customHeight="1">
      <c r="A1040" s="364" t="s">
        <v>60</v>
      </c>
      <c r="B1040" s="364" t="s">
        <v>22</v>
      </c>
      <c r="C1040" s="365" t="s">
        <v>310</v>
      </c>
      <c r="D1040" s="364" t="s">
        <v>311</v>
      </c>
      <c r="E1040" s="366">
        <v>6.0</v>
      </c>
      <c r="F1040" s="367">
        <v>45782.54166666667</v>
      </c>
      <c r="G1040" s="364" t="s">
        <v>1185</v>
      </c>
      <c r="H1040" s="364" t="s">
        <v>1195</v>
      </c>
    </row>
    <row r="1041" ht="15.75" customHeight="1">
      <c r="A1041" s="364" t="s">
        <v>60</v>
      </c>
      <c r="B1041" s="364" t="s">
        <v>22</v>
      </c>
      <c r="C1041" s="365" t="s">
        <v>310</v>
      </c>
      <c r="D1041" s="364" t="s">
        <v>311</v>
      </c>
      <c r="E1041" s="366">
        <v>7.0</v>
      </c>
      <c r="F1041" s="367">
        <v>45806.58333333333</v>
      </c>
      <c r="G1041" s="364" t="s">
        <v>1185</v>
      </c>
      <c r="H1041" s="364" t="s">
        <v>1195</v>
      </c>
    </row>
    <row r="1042" ht="15.75" customHeight="1">
      <c r="A1042" s="364" t="s">
        <v>60</v>
      </c>
      <c r="B1042" s="364" t="s">
        <v>22</v>
      </c>
      <c r="C1042" s="365" t="s">
        <v>310</v>
      </c>
      <c r="D1042" s="364" t="s">
        <v>311</v>
      </c>
      <c r="E1042" s="366">
        <v>8.0</v>
      </c>
      <c r="F1042" s="367">
        <v>45810.54166666667</v>
      </c>
      <c r="G1042" s="364" t="s">
        <v>1185</v>
      </c>
      <c r="H1042" s="364" t="s">
        <v>1195</v>
      </c>
    </row>
    <row r="1043" ht="15.75" customHeight="1">
      <c r="A1043" s="364" t="s">
        <v>60</v>
      </c>
      <c r="B1043" s="364" t="s">
        <v>22</v>
      </c>
      <c r="C1043" s="365" t="s">
        <v>310</v>
      </c>
      <c r="D1043" s="364" t="s">
        <v>311</v>
      </c>
      <c r="E1043" s="366">
        <v>9.0</v>
      </c>
      <c r="F1043" s="367">
        <v>45824.58333333333</v>
      </c>
      <c r="G1043" s="364" t="s">
        <v>1185</v>
      </c>
      <c r="H1043" s="364" t="s">
        <v>1195</v>
      </c>
    </row>
    <row r="1044" ht="15.75" customHeight="1">
      <c r="A1044" s="364" t="s">
        <v>60</v>
      </c>
      <c r="B1044" s="364" t="s">
        <v>22</v>
      </c>
      <c r="C1044" s="365" t="s">
        <v>310</v>
      </c>
      <c r="D1044" s="364" t="s">
        <v>311</v>
      </c>
      <c r="E1044" s="366">
        <v>10.0</v>
      </c>
      <c r="F1044" s="367">
        <v>45852.54166666667</v>
      </c>
      <c r="G1044" s="364" t="s">
        <v>1185</v>
      </c>
      <c r="H1044" s="364" t="s">
        <v>1195</v>
      </c>
    </row>
    <row r="1045" ht="15.75" customHeight="1">
      <c r="A1045" s="364" t="s">
        <v>60</v>
      </c>
      <c r="B1045" s="364" t="s">
        <v>22</v>
      </c>
      <c r="C1045" s="365" t="s">
        <v>314</v>
      </c>
      <c r="D1045" s="364" t="s">
        <v>315</v>
      </c>
      <c r="E1045" s="366">
        <v>1.0</v>
      </c>
      <c r="F1045" s="367">
        <v>45663.58333333333</v>
      </c>
      <c r="G1045" s="364" t="s">
        <v>1185</v>
      </c>
      <c r="H1045" s="364" t="s">
        <v>1195</v>
      </c>
    </row>
    <row r="1046" ht="15.75" customHeight="1">
      <c r="A1046" s="364" t="s">
        <v>60</v>
      </c>
      <c r="B1046" s="364" t="s">
        <v>22</v>
      </c>
      <c r="C1046" s="365" t="s">
        <v>314</v>
      </c>
      <c r="D1046" s="364" t="s">
        <v>315</v>
      </c>
      <c r="E1046" s="366">
        <v>2.0</v>
      </c>
      <c r="F1046" s="367">
        <v>45698.58333333333</v>
      </c>
      <c r="G1046" s="364" t="s">
        <v>1185</v>
      </c>
      <c r="H1046" s="364" t="s">
        <v>1195</v>
      </c>
    </row>
    <row r="1047" ht="15.75" customHeight="1">
      <c r="A1047" s="364" t="s">
        <v>60</v>
      </c>
      <c r="B1047" s="364" t="s">
        <v>22</v>
      </c>
      <c r="C1047" s="365" t="s">
        <v>314</v>
      </c>
      <c r="D1047" s="364" t="s">
        <v>315</v>
      </c>
      <c r="E1047" s="366">
        <v>3.0</v>
      </c>
      <c r="F1047" s="367">
        <v>45716.58333333333</v>
      </c>
      <c r="G1047" s="364" t="s">
        <v>1187</v>
      </c>
      <c r="H1047" s="364" t="s">
        <v>1195</v>
      </c>
    </row>
    <row r="1048" ht="15.75" customHeight="1">
      <c r="A1048" s="364" t="s">
        <v>60</v>
      </c>
      <c r="B1048" s="364" t="s">
        <v>22</v>
      </c>
      <c r="C1048" s="365" t="s">
        <v>314</v>
      </c>
      <c r="D1048" s="364" t="s">
        <v>315</v>
      </c>
      <c r="E1048" s="366">
        <v>4.0</v>
      </c>
      <c r="F1048" s="367">
        <v>45762.58333333333</v>
      </c>
      <c r="G1048" s="364" t="s">
        <v>1185</v>
      </c>
      <c r="H1048" s="364" t="s">
        <v>1195</v>
      </c>
    </row>
    <row r="1049" ht="15.75" customHeight="1">
      <c r="A1049" s="364" t="s">
        <v>60</v>
      </c>
      <c r="B1049" s="364" t="s">
        <v>22</v>
      </c>
      <c r="C1049" s="365" t="s">
        <v>314</v>
      </c>
      <c r="D1049" s="364" t="s">
        <v>315</v>
      </c>
      <c r="E1049" s="366">
        <v>5.0</v>
      </c>
      <c r="F1049" s="367">
        <v>45768.58333333333</v>
      </c>
      <c r="G1049" s="364" t="s">
        <v>1185</v>
      </c>
      <c r="H1049" s="364" t="s">
        <v>1195</v>
      </c>
    </row>
    <row r="1050" ht="15.75" customHeight="1">
      <c r="A1050" s="364" t="s">
        <v>60</v>
      </c>
      <c r="B1050" s="364" t="s">
        <v>22</v>
      </c>
      <c r="C1050" s="365" t="s">
        <v>314</v>
      </c>
      <c r="D1050" s="364" t="s">
        <v>315</v>
      </c>
      <c r="E1050" s="366">
        <v>6.0</v>
      </c>
      <c r="F1050" s="367">
        <v>45782.54166666667</v>
      </c>
      <c r="G1050" s="364" t="s">
        <v>1185</v>
      </c>
      <c r="H1050" s="364" t="s">
        <v>1195</v>
      </c>
    </row>
    <row r="1051" ht="15.75" customHeight="1">
      <c r="A1051" s="364" t="s">
        <v>60</v>
      </c>
      <c r="B1051" s="364" t="s">
        <v>22</v>
      </c>
      <c r="C1051" s="365" t="s">
        <v>314</v>
      </c>
      <c r="D1051" s="364" t="s">
        <v>315</v>
      </c>
      <c r="E1051" s="366">
        <v>7.0</v>
      </c>
      <c r="F1051" s="367">
        <v>45806.58333333333</v>
      </c>
      <c r="G1051" s="364" t="s">
        <v>1185</v>
      </c>
      <c r="H1051" s="364" t="s">
        <v>1195</v>
      </c>
    </row>
    <row r="1052" ht="15.75" customHeight="1">
      <c r="A1052" s="364" t="s">
        <v>60</v>
      </c>
      <c r="B1052" s="364" t="s">
        <v>22</v>
      </c>
      <c r="C1052" s="365" t="s">
        <v>314</v>
      </c>
      <c r="D1052" s="364" t="s">
        <v>315</v>
      </c>
      <c r="E1052" s="366">
        <v>8.0</v>
      </c>
      <c r="F1052" s="367">
        <v>45810.54166666667</v>
      </c>
      <c r="G1052" s="364" t="s">
        <v>1185</v>
      </c>
      <c r="H1052" s="364" t="s">
        <v>1195</v>
      </c>
    </row>
    <row r="1053" ht="15.75" customHeight="1">
      <c r="A1053" s="364" t="s">
        <v>60</v>
      </c>
      <c r="B1053" s="364" t="s">
        <v>22</v>
      </c>
      <c r="C1053" s="365" t="s">
        <v>314</v>
      </c>
      <c r="D1053" s="364" t="s">
        <v>315</v>
      </c>
      <c r="E1053" s="366">
        <v>9.0</v>
      </c>
      <c r="F1053" s="367">
        <v>45824.58333333333</v>
      </c>
      <c r="G1053" s="364" t="s">
        <v>1185</v>
      </c>
      <c r="H1053" s="364" t="s">
        <v>1195</v>
      </c>
    </row>
    <row r="1054" ht="15.75" customHeight="1">
      <c r="A1054" s="364" t="s">
        <v>60</v>
      </c>
      <c r="B1054" s="364" t="s">
        <v>22</v>
      </c>
      <c r="C1054" s="365" t="s">
        <v>314</v>
      </c>
      <c r="D1054" s="364" t="s">
        <v>315</v>
      </c>
      <c r="E1054" s="366">
        <v>10.0</v>
      </c>
      <c r="F1054" s="367">
        <v>45852.54166666667</v>
      </c>
      <c r="G1054" s="364" t="s">
        <v>1185</v>
      </c>
      <c r="H1054" s="364" t="s">
        <v>1195</v>
      </c>
    </row>
    <row r="1055" ht="15.75" customHeight="1">
      <c r="A1055" s="364" t="s">
        <v>60</v>
      </c>
      <c r="B1055" s="364" t="s">
        <v>23</v>
      </c>
      <c r="C1055" s="365" t="s">
        <v>298</v>
      </c>
      <c r="D1055" s="364" t="s">
        <v>299</v>
      </c>
      <c r="E1055" s="366">
        <v>1.0</v>
      </c>
      <c r="F1055" s="367">
        <v>45915.54166666667</v>
      </c>
      <c r="G1055" s="364" t="s">
        <v>1185</v>
      </c>
      <c r="H1055" s="364" t="s">
        <v>1195</v>
      </c>
    </row>
    <row r="1056" ht="15.75" customHeight="1">
      <c r="A1056" s="364" t="s">
        <v>60</v>
      </c>
      <c r="B1056" s="364" t="s">
        <v>23</v>
      </c>
      <c r="C1056" s="365" t="s">
        <v>298</v>
      </c>
      <c r="D1056" s="364" t="s">
        <v>299</v>
      </c>
      <c r="E1056" s="366">
        <v>2.0</v>
      </c>
      <c r="F1056" s="367">
        <v>45922.58333333333</v>
      </c>
      <c r="G1056" s="364" t="s">
        <v>1185</v>
      </c>
      <c r="H1056" s="364" t="s">
        <v>1195</v>
      </c>
    </row>
    <row r="1057" ht="15.75" customHeight="1">
      <c r="A1057" s="364" t="s">
        <v>60</v>
      </c>
      <c r="B1057" s="364" t="s">
        <v>23</v>
      </c>
      <c r="C1057" s="365" t="s">
        <v>298</v>
      </c>
      <c r="D1057" s="364" t="s">
        <v>299</v>
      </c>
      <c r="E1057" s="366">
        <v>3.0</v>
      </c>
      <c r="F1057" s="367">
        <v>45929.54166666667</v>
      </c>
      <c r="G1057" s="364" t="s">
        <v>1185</v>
      </c>
      <c r="H1057" s="364" t="s">
        <v>1195</v>
      </c>
    </row>
    <row r="1058" ht="15.75" customHeight="1">
      <c r="A1058" s="364" t="s">
        <v>60</v>
      </c>
      <c r="B1058" s="364" t="s">
        <v>23</v>
      </c>
      <c r="C1058" s="365" t="s">
        <v>298</v>
      </c>
      <c r="D1058" s="364" t="s">
        <v>299</v>
      </c>
      <c r="E1058" s="366">
        <v>4.0</v>
      </c>
      <c r="F1058" s="367">
        <v>45943.54166666667</v>
      </c>
      <c r="G1058" s="364" t="s">
        <v>1185</v>
      </c>
      <c r="H1058" s="364" t="s">
        <v>1195</v>
      </c>
    </row>
    <row r="1059" ht="15.75" customHeight="1">
      <c r="A1059" s="364" t="s">
        <v>60</v>
      </c>
      <c r="B1059" s="364" t="s">
        <v>23</v>
      </c>
      <c r="C1059" s="365" t="s">
        <v>298</v>
      </c>
      <c r="D1059" s="364" t="s">
        <v>299</v>
      </c>
      <c r="E1059" s="366">
        <v>5.0</v>
      </c>
      <c r="F1059" s="367">
        <v>45950.58333333333</v>
      </c>
      <c r="G1059" s="364" t="s">
        <v>1185</v>
      </c>
      <c r="H1059" s="364" t="s">
        <v>1195</v>
      </c>
    </row>
    <row r="1060" ht="15.75" customHeight="1">
      <c r="A1060" s="364" t="s">
        <v>60</v>
      </c>
      <c r="B1060" s="364" t="s">
        <v>23</v>
      </c>
      <c r="C1060" s="365" t="s">
        <v>298</v>
      </c>
      <c r="D1060" s="364" t="s">
        <v>299</v>
      </c>
      <c r="E1060" s="366">
        <v>6.0</v>
      </c>
      <c r="F1060" s="367">
        <v>45957.54166666667</v>
      </c>
      <c r="G1060" s="364" t="s">
        <v>1185</v>
      </c>
      <c r="H1060" s="364" t="s">
        <v>1195</v>
      </c>
    </row>
    <row r="1061" ht="15.75" customHeight="1">
      <c r="A1061" s="364" t="s">
        <v>60</v>
      </c>
      <c r="B1061" s="364" t="s">
        <v>23</v>
      </c>
      <c r="C1061" s="365" t="s">
        <v>298</v>
      </c>
      <c r="D1061" s="364" t="s">
        <v>299</v>
      </c>
      <c r="E1061" s="366">
        <v>7.0</v>
      </c>
      <c r="F1061" s="367">
        <v>45972.58333333333</v>
      </c>
      <c r="G1061" s="364" t="s">
        <v>1185</v>
      </c>
      <c r="H1061" s="364" t="s">
        <v>1195</v>
      </c>
    </row>
    <row r="1062" ht="15.75" customHeight="1">
      <c r="A1062" s="364" t="s">
        <v>60</v>
      </c>
      <c r="B1062" s="364" t="s">
        <v>23</v>
      </c>
      <c r="C1062" s="365" t="s">
        <v>298</v>
      </c>
      <c r="D1062" s="364" t="s">
        <v>299</v>
      </c>
      <c r="E1062" s="366">
        <v>8.0</v>
      </c>
      <c r="F1062" s="367">
        <v>45980.58333333333</v>
      </c>
      <c r="G1062" s="364" t="s">
        <v>1185</v>
      </c>
      <c r="H1062" s="364" t="s">
        <v>1195</v>
      </c>
    </row>
    <row r="1063" ht="15.75" customHeight="1">
      <c r="A1063" s="364" t="s">
        <v>60</v>
      </c>
      <c r="B1063" s="364" t="s">
        <v>23</v>
      </c>
      <c r="C1063" s="365" t="s">
        <v>298</v>
      </c>
      <c r="D1063" s="364" t="s">
        <v>299</v>
      </c>
      <c r="E1063" s="366">
        <v>9.0</v>
      </c>
      <c r="F1063" s="367">
        <v>45981.58333333333</v>
      </c>
      <c r="G1063" s="364" t="s">
        <v>1185</v>
      </c>
      <c r="H1063" s="364" t="s">
        <v>1195</v>
      </c>
    </row>
    <row r="1064" ht="15.75" customHeight="1">
      <c r="A1064" s="364" t="s">
        <v>60</v>
      </c>
      <c r="B1064" s="364" t="s">
        <v>23</v>
      </c>
      <c r="C1064" s="365" t="s">
        <v>298</v>
      </c>
      <c r="D1064" s="364" t="s">
        <v>299</v>
      </c>
      <c r="E1064" s="366">
        <v>10.0</v>
      </c>
      <c r="F1064" s="367">
        <v>45996.58333333333</v>
      </c>
      <c r="G1064" s="364" t="s">
        <v>1185</v>
      </c>
      <c r="H1064" s="364" t="s">
        <v>1195</v>
      </c>
    </row>
    <row r="1065" ht="15.75" customHeight="1">
      <c r="A1065" s="364" t="s">
        <v>60</v>
      </c>
      <c r="B1065" s="364" t="s">
        <v>23</v>
      </c>
      <c r="C1065" s="365" t="s">
        <v>298</v>
      </c>
      <c r="D1065" s="364" t="s">
        <v>299</v>
      </c>
      <c r="E1065" s="366">
        <v>11.0</v>
      </c>
      <c r="F1065" s="367">
        <v>46006.58333333333</v>
      </c>
      <c r="G1065" s="364" t="s">
        <v>1187</v>
      </c>
      <c r="H1065" s="364" t="s">
        <v>1195</v>
      </c>
    </row>
    <row r="1066" ht="15.75" customHeight="1">
      <c r="A1066" s="364" t="s">
        <v>60</v>
      </c>
      <c r="B1066" s="364" t="s">
        <v>23</v>
      </c>
      <c r="C1066" s="365" t="s">
        <v>298</v>
      </c>
      <c r="D1066" s="364" t="s">
        <v>299</v>
      </c>
      <c r="E1066" s="366">
        <v>12.0</v>
      </c>
      <c r="F1066" s="367">
        <v>46008.58333333333</v>
      </c>
      <c r="G1066" s="364" t="s">
        <v>1185</v>
      </c>
      <c r="H1066" s="364" t="s">
        <v>1195</v>
      </c>
    </row>
    <row r="1067" ht="15.75" customHeight="1">
      <c r="A1067" s="364" t="s">
        <v>60</v>
      </c>
      <c r="B1067" s="364" t="s">
        <v>23</v>
      </c>
      <c r="C1067" s="365" t="s">
        <v>298</v>
      </c>
      <c r="D1067" s="364" t="s">
        <v>299</v>
      </c>
      <c r="E1067" s="366">
        <v>13.0</v>
      </c>
      <c r="F1067" s="367">
        <v>46017.54166666667</v>
      </c>
      <c r="G1067" s="364" t="s">
        <v>1187</v>
      </c>
      <c r="H1067" s="364" t="s">
        <v>1195</v>
      </c>
    </row>
    <row r="1068" ht="15.75" customHeight="1">
      <c r="A1068" s="364" t="s">
        <v>60</v>
      </c>
      <c r="B1068" s="364" t="s">
        <v>23</v>
      </c>
      <c r="C1068" s="365" t="s">
        <v>298</v>
      </c>
      <c r="D1068" s="364" t="s">
        <v>299</v>
      </c>
      <c r="E1068" s="366">
        <v>14.0</v>
      </c>
      <c r="F1068" s="367">
        <v>46021.54166666667</v>
      </c>
      <c r="G1068" s="364" t="s">
        <v>1185</v>
      </c>
      <c r="H1068" s="364" t="s">
        <v>1195</v>
      </c>
    </row>
    <row r="1069" ht="15.75" customHeight="1">
      <c r="A1069" s="364" t="s">
        <v>60</v>
      </c>
      <c r="B1069" s="364" t="s">
        <v>23</v>
      </c>
      <c r="C1069" s="365" t="s">
        <v>298</v>
      </c>
      <c r="D1069" s="364" t="s">
        <v>299</v>
      </c>
      <c r="E1069" s="366">
        <v>15.0</v>
      </c>
      <c r="F1069" s="367">
        <v>46041.54166666667</v>
      </c>
      <c r="G1069" s="364" t="s">
        <v>1185</v>
      </c>
      <c r="H1069" s="364" t="s">
        <v>1195</v>
      </c>
    </row>
    <row r="1070" ht="15.75" customHeight="1">
      <c r="A1070" s="364" t="s">
        <v>60</v>
      </c>
      <c r="B1070" s="364" t="s">
        <v>23</v>
      </c>
      <c r="C1070" s="365" t="s">
        <v>298</v>
      </c>
      <c r="D1070" s="364" t="s">
        <v>299</v>
      </c>
      <c r="E1070" s="366">
        <v>16.0</v>
      </c>
      <c r="F1070" s="367">
        <v>46115.54166666667</v>
      </c>
      <c r="G1070" s="364" t="s">
        <v>1185</v>
      </c>
      <c r="H1070" s="364" t="s">
        <v>1195</v>
      </c>
    </row>
    <row r="1071" ht="15.75" customHeight="1">
      <c r="A1071" s="364" t="s">
        <v>60</v>
      </c>
      <c r="B1071" s="364" t="s">
        <v>23</v>
      </c>
      <c r="C1071" s="365" t="s">
        <v>300</v>
      </c>
      <c r="D1071" s="364" t="s">
        <v>301</v>
      </c>
      <c r="E1071" s="366">
        <v>1.0</v>
      </c>
      <c r="F1071" s="367">
        <v>45915.54166666667</v>
      </c>
      <c r="G1071" s="364" t="s">
        <v>1185</v>
      </c>
      <c r="H1071" s="364" t="s">
        <v>1195</v>
      </c>
    </row>
    <row r="1072" ht="15.75" customHeight="1">
      <c r="A1072" s="364" t="s">
        <v>60</v>
      </c>
      <c r="B1072" s="364" t="s">
        <v>23</v>
      </c>
      <c r="C1072" s="365" t="s">
        <v>300</v>
      </c>
      <c r="D1072" s="364" t="s">
        <v>301</v>
      </c>
      <c r="E1072" s="366">
        <v>2.0</v>
      </c>
      <c r="F1072" s="367">
        <v>45922.58333333333</v>
      </c>
      <c r="G1072" s="364" t="s">
        <v>1187</v>
      </c>
      <c r="H1072" s="364" t="s">
        <v>1195</v>
      </c>
    </row>
    <row r="1073" ht="15.75" customHeight="1">
      <c r="A1073" s="364" t="s">
        <v>60</v>
      </c>
      <c r="B1073" s="364" t="s">
        <v>23</v>
      </c>
      <c r="C1073" s="365" t="s">
        <v>300</v>
      </c>
      <c r="D1073" s="364" t="s">
        <v>301</v>
      </c>
      <c r="E1073" s="366">
        <v>3.0</v>
      </c>
      <c r="F1073" s="367">
        <v>45929.54166666667</v>
      </c>
      <c r="G1073" s="364" t="s">
        <v>1185</v>
      </c>
      <c r="H1073" s="364" t="s">
        <v>1195</v>
      </c>
    </row>
    <row r="1074" ht="15.75" customHeight="1">
      <c r="A1074" s="364" t="s">
        <v>60</v>
      </c>
      <c r="B1074" s="364" t="s">
        <v>23</v>
      </c>
      <c r="C1074" s="365" t="s">
        <v>300</v>
      </c>
      <c r="D1074" s="364" t="s">
        <v>301</v>
      </c>
      <c r="E1074" s="366">
        <v>4.0</v>
      </c>
      <c r="F1074" s="367">
        <v>45943.54166666667</v>
      </c>
      <c r="G1074" s="364" t="s">
        <v>1187</v>
      </c>
      <c r="H1074" s="364" t="s">
        <v>1195</v>
      </c>
    </row>
    <row r="1075" ht="15.75" customHeight="1">
      <c r="A1075" s="364" t="s">
        <v>60</v>
      </c>
      <c r="B1075" s="364" t="s">
        <v>23</v>
      </c>
      <c r="C1075" s="365" t="s">
        <v>300</v>
      </c>
      <c r="D1075" s="364" t="s">
        <v>301</v>
      </c>
      <c r="E1075" s="366">
        <v>5.0</v>
      </c>
      <c r="F1075" s="367">
        <v>45950.58333333333</v>
      </c>
      <c r="G1075" s="364" t="s">
        <v>1185</v>
      </c>
      <c r="H1075" s="364" t="s">
        <v>1195</v>
      </c>
    </row>
    <row r="1076" ht="15.75" customHeight="1">
      <c r="A1076" s="364" t="s">
        <v>60</v>
      </c>
      <c r="B1076" s="364" t="s">
        <v>23</v>
      </c>
      <c r="C1076" s="365" t="s">
        <v>300</v>
      </c>
      <c r="D1076" s="364" t="s">
        <v>301</v>
      </c>
      <c r="E1076" s="366">
        <v>6.0</v>
      </c>
      <c r="F1076" s="367">
        <v>45957.54166666667</v>
      </c>
      <c r="G1076" s="364" t="s">
        <v>1185</v>
      </c>
      <c r="H1076" s="364" t="s">
        <v>1195</v>
      </c>
    </row>
    <row r="1077" ht="15.75" customHeight="1">
      <c r="A1077" s="364" t="s">
        <v>60</v>
      </c>
      <c r="B1077" s="364" t="s">
        <v>23</v>
      </c>
      <c r="C1077" s="365" t="s">
        <v>300</v>
      </c>
      <c r="D1077" s="364" t="s">
        <v>301</v>
      </c>
      <c r="E1077" s="366">
        <v>7.0</v>
      </c>
      <c r="F1077" s="367">
        <v>45972.58333333333</v>
      </c>
      <c r="G1077" s="364" t="s">
        <v>1185</v>
      </c>
      <c r="H1077" s="364" t="s">
        <v>1195</v>
      </c>
    </row>
    <row r="1078" ht="15.75" customHeight="1">
      <c r="A1078" s="364" t="s">
        <v>60</v>
      </c>
      <c r="B1078" s="364" t="s">
        <v>23</v>
      </c>
      <c r="C1078" s="365" t="s">
        <v>300</v>
      </c>
      <c r="D1078" s="364" t="s">
        <v>301</v>
      </c>
      <c r="E1078" s="366">
        <v>8.0</v>
      </c>
      <c r="F1078" s="367">
        <v>45980.58333333333</v>
      </c>
      <c r="G1078" s="364" t="s">
        <v>1185</v>
      </c>
      <c r="H1078" s="364" t="s">
        <v>1195</v>
      </c>
    </row>
    <row r="1079" ht="15.75" customHeight="1">
      <c r="A1079" s="364" t="s">
        <v>60</v>
      </c>
      <c r="B1079" s="364" t="s">
        <v>23</v>
      </c>
      <c r="C1079" s="365" t="s">
        <v>300</v>
      </c>
      <c r="D1079" s="364" t="s">
        <v>301</v>
      </c>
      <c r="E1079" s="366">
        <v>9.0</v>
      </c>
      <c r="F1079" s="367">
        <v>45981.58333333333</v>
      </c>
      <c r="G1079" s="364" t="s">
        <v>1185</v>
      </c>
      <c r="H1079" s="364" t="s">
        <v>1195</v>
      </c>
    </row>
    <row r="1080" ht="15.75" customHeight="1">
      <c r="A1080" s="364" t="s">
        <v>60</v>
      </c>
      <c r="B1080" s="364" t="s">
        <v>23</v>
      </c>
      <c r="C1080" s="365" t="s">
        <v>300</v>
      </c>
      <c r="D1080" s="364" t="s">
        <v>301</v>
      </c>
      <c r="E1080" s="366">
        <v>10.0</v>
      </c>
      <c r="F1080" s="367">
        <v>45996.58333333333</v>
      </c>
      <c r="G1080" s="364" t="s">
        <v>1185</v>
      </c>
      <c r="H1080" s="364" t="s">
        <v>1195</v>
      </c>
    </row>
    <row r="1081" ht="15.75" customHeight="1">
      <c r="A1081" s="364" t="s">
        <v>60</v>
      </c>
      <c r="B1081" s="364" t="s">
        <v>23</v>
      </c>
      <c r="C1081" s="365" t="s">
        <v>300</v>
      </c>
      <c r="D1081" s="364" t="s">
        <v>301</v>
      </c>
      <c r="E1081" s="366">
        <v>11.0</v>
      </c>
      <c r="F1081" s="367">
        <v>46006.58333333333</v>
      </c>
      <c r="G1081" s="364" t="s">
        <v>1185</v>
      </c>
      <c r="H1081" s="364" t="s">
        <v>1195</v>
      </c>
    </row>
    <row r="1082" ht="15.75" customHeight="1">
      <c r="A1082" s="364" t="s">
        <v>60</v>
      </c>
      <c r="B1082" s="364" t="s">
        <v>23</v>
      </c>
      <c r="C1082" s="365" t="s">
        <v>300</v>
      </c>
      <c r="D1082" s="364" t="s">
        <v>301</v>
      </c>
      <c r="E1082" s="366">
        <v>12.0</v>
      </c>
      <c r="F1082" s="367">
        <v>46008.58333333333</v>
      </c>
      <c r="G1082" s="364" t="s">
        <v>1185</v>
      </c>
      <c r="H1082" s="364" t="s">
        <v>1195</v>
      </c>
    </row>
    <row r="1083" ht="15.75" customHeight="1">
      <c r="A1083" s="364" t="s">
        <v>60</v>
      </c>
      <c r="B1083" s="364" t="s">
        <v>23</v>
      </c>
      <c r="C1083" s="365" t="s">
        <v>300</v>
      </c>
      <c r="D1083" s="364" t="s">
        <v>301</v>
      </c>
      <c r="E1083" s="366">
        <v>13.0</v>
      </c>
      <c r="F1083" s="367">
        <v>46017.54166666667</v>
      </c>
      <c r="G1083" s="364" t="s">
        <v>1185</v>
      </c>
      <c r="H1083" s="364" t="s">
        <v>1195</v>
      </c>
    </row>
    <row r="1084" ht="15.75" customHeight="1">
      <c r="A1084" s="364" t="s">
        <v>60</v>
      </c>
      <c r="B1084" s="364" t="s">
        <v>23</v>
      </c>
      <c r="C1084" s="365" t="s">
        <v>300</v>
      </c>
      <c r="D1084" s="364" t="s">
        <v>301</v>
      </c>
      <c r="E1084" s="366">
        <v>14.0</v>
      </c>
      <c r="F1084" s="367">
        <v>46021.54166666667</v>
      </c>
      <c r="G1084" s="364" t="s">
        <v>1185</v>
      </c>
      <c r="H1084" s="364" t="s">
        <v>1195</v>
      </c>
    </row>
    <row r="1085" ht="15.75" customHeight="1">
      <c r="A1085" s="364" t="s">
        <v>60</v>
      </c>
      <c r="B1085" s="364" t="s">
        <v>23</v>
      </c>
      <c r="C1085" s="365" t="s">
        <v>300</v>
      </c>
      <c r="D1085" s="364" t="s">
        <v>301</v>
      </c>
      <c r="E1085" s="366">
        <v>15.0</v>
      </c>
      <c r="F1085" s="367">
        <v>46041.54166666667</v>
      </c>
      <c r="G1085" s="364" t="s">
        <v>1185</v>
      </c>
      <c r="H1085" s="364" t="s">
        <v>1195</v>
      </c>
    </row>
    <row r="1086" ht="15.75" customHeight="1">
      <c r="A1086" s="364" t="s">
        <v>60</v>
      </c>
      <c r="B1086" s="364" t="s">
        <v>23</v>
      </c>
      <c r="C1086" s="365" t="s">
        <v>300</v>
      </c>
      <c r="D1086" s="364" t="s">
        <v>301</v>
      </c>
      <c r="E1086" s="366">
        <v>16.0</v>
      </c>
      <c r="F1086" s="367">
        <v>46115.54166666667</v>
      </c>
      <c r="G1086" s="364" t="s">
        <v>1185</v>
      </c>
      <c r="H1086" s="364" t="s">
        <v>1195</v>
      </c>
    </row>
    <row r="1087" ht="15.75" customHeight="1">
      <c r="A1087" s="364" t="s">
        <v>60</v>
      </c>
      <c r="B1087" s="364" t="s">
        <v>23</v>
      </c>
      <c r="C1087" s="365" t="s">
        <v>302</v>
      </c>
      <c r="D1087" s="364" t="s">
        <v>303</v>
      </c>
      <c r="E1087" s="366">
        <v>1.0</v>
      </c>
      <c r="F1087" s="367">
        <v>45915.54166666667</v>
      </c>
      <c r="G1087" s="364" t="s">
        <v>1185</v>
      </c>
      <c r="H1087" s="364" t="s">
        <v>1195</v>
      </c>
    </row>
    <row r="1088" ht="15.75" customHeight="1">
      <c r="A1088" s="364" t="s">
        <v>60</v>
      </c>
      <c r="B1088" s="364" t="s">
        <v>23</v>
      </c>
      <c r="C1088" s="365" t="s">
        <v>302</v>
      </c>
      <c r="D1088" s="364" t="s">
        <v>303</v>
      </c>
      <c r="E1088" s="366">
        <v>2.0</v>
      </c>
      <c r="F1088" s="367">
        <v>45922.58333333333</v>
      </c>
      <c r="G1088" s="364" t="s">
        <v>1185</v>
      </c>
      <c r="H1088" s="364" t="s">
        <v>1195</v>
      </c>
    </row>
    <row r="1089" ht="15.75" customHeight="1">
      <c r="A1089" s="364" t="s">
        <v>60</v>
      </c>
      <c r="B1089" s="364" t="s">
        <v>23</v>
      </c>
      <c r="C1089" s="365" t="s">
        <v>302</v>
      </c>
      <c r="D1089" s="364" t="s">
        <v>303</v>
      </c>
      <c r="E1089" s="366">
        <v>3.0</v>
      </c>
      <c r="F1089" s="367">
        <v>45929.54166666667</v>
      </c>
      <c r="G1089" s="364" t="s">
        <v>1185</v>
      </c>
      <c r="H1089" s="364" t="s">
        <v>1195</v>
      </c>
    </row>
    <row r="1090" ht="15.75" customHeight="1">
      <c r="A1090" s="364" t="s">
        <v>60</v>
      </c>
      <c r="B1090" s="364" t="s">
        <v>23</v>
      </c>
      <c r="C1090" s="365" t="s">
        <v>302</v>
      </c>
      <c r="D1090" s="364" t="s">
        <v>303</v>
      </c>
      <c r="E1090" s="366">
        <v>4.0</v>
      </c>
      <c r="F1090" s="367">
        <v>45943.54166666667</v>
      </c>
      <c r="G1090" s="364" t="s">
        <v>1185</v>
      </c>
      <c r="H1090" s="364" t="s">
        <v>1195</v>
      </c>
    </row>
    <row r="1091" ht="15.75" customHeight="1">
      <c r="A1091" s="364" t="s">
        <v>60</v>
      </c>
      <c r="B1091" s="364" t="s">
        <v>23</v>
      </c>
      <c r="C1091" s="365" t="s">
        <v>302</v>
      </c>
      <c r="D1091" s="364" t="s">
        <v>303</v>
      </c>
      <c r="E1091" s="366">
        <v>5.0</v>
      </c>
      <c r="F1091" s="367">
        <v>45950.58333333333</v>
      </c>
      <c r="G1091" s="364" t="s">
        <v>1185</v>
      </c>
      <c r="H1091" s="364" t="s">
        <v>1195</v>
      </c>
    </row>
    <row r="1092" ht="15.75" customHeight="1">
      <c r="A1092" s="364" t="s">
        <v>60</v>
      </c>
      <c r="B1092" s="364" t="s">
        <v>23</v>
      </c>
      <c r="C1092" s="365" t="s">
        <v>302</v>
      </c>
      <c r="D1092" s="364" t="s">
        <v>303</v>
      </c>
      <c r="E1092" s="366">
        <v>6.0</v>
      </c>
      <c r="F1092" s="367">
        <v>45957.54166666667</v>
      </c>
      <c r="G1092" s="364" t="s">
        <v>1187</v>
      </c>
      <c r="H1092" s="364" t="s">
        <v>1195</v>
      </c>
    </row>
    <row r="1093" ht="15.75" customHeight="1">
      <c r="A1093" s="364" t="s">
        <v>60</v>
      </c>
      <c r="B1093" s="364" t="s">
        <v>23</v>
      </c>
      <c r="C1093" s="365" t="s">
        <v>302</v>
      </c>
      <c r="D1093" s="364" t="s">
        <v>303</v>
      </c>
      <c r="E1093" s="366">
        <v>7.0</v>
      </c>
      <c r="F1093" s="367">
        <v>45972.58333333333</v>
      </c>
      <c r="G1093" s="364" t="s">
        <v>1187</v>
      </c>
      <c r="H1093" s="364" t="s">
        <v>1195</v>
      </c>
    </row>
    <row r="1094" ht="15.75" customHeight="1">
      <c r="A1094" s="364" t="s">
        <v>60</v>
      </c>
      <c r="B1094" s="364" t="s">
        <v>23</v>
      </c>
      <c r="C1094" s="365" t="s">
        <v>302</v>
      </c>
      <c r="D1094" s="364" t="s">
        <v>303</v>
      </c>
      <c r="E1094" s="366">
        <v>8.0</v>
      </c>
      <c r="F1094" s="367">
        <v>45980.58333333333</v>
      </c>
      <c r="G1094" s="364" t="s">
        <v>1185</v>
      </c>
      <c r="H1094" s="364" t="s">
        <v>1195</v>
      </c>
    </row>
    <row r="1095" ht="15.75" customHeight="1">
      <c r="A1095" s="364" t="s">
        <v>60</v>
      </c>
      <c r="B1095" s="364" t="s">
        <v>23</v>
      </c>
      <c r="C1095" s="365" t="s">
        <v>302</v>
      </c>
      <c r="D1095" s="364" t="s">
        <v>303</v>
      </c>
      <c r="E1095" s="366">
        <v>9.0</v>
      </c>
      <c r="F1095" s="367">
        <v>45981.58333333333</v>
      </c>
      <c r="G1095" s="364" t="s">
        <v>1185</v>
      </c>
      <c r="H1095" s="364" t="s">
        <v>1195</v>
      </c>
    </row>
    <row r="1096" ht="15.75" customHeight="1">
      <c r="A1096" s="364" t="s">
        <v>60</v>
      </c>
      <c r="B1096" s="364" t="s">
        <v>23</v>
      </c>
      <c r="C1096" s="365" t="s">
        <v>302</v>
      </c>
      <c r="D1096" s="364" t="s">
        <v>303</v>
      </c>
      <c r="E1096" s="366">
        <v>10.0</v>
      </c>
      <c r="F1096" s="367">
        <v>45996.58333333333</v>
      </c>
      <c r="G1096" s="364" t="s">
        <v>1185</v>
      </c>
      <c r="H1096" s="364" t="s">
        <v>1195</v>
      </c>
    </row>
    <row r="1097" ht="15.75" customHeight="1">
      <c r="A1097" s="364" t="s">
        <v>60</v>
      </c>
      <c r="B1097" s="364" t="s">
        <v>23</v>
      </c>
      <c r="C1097" s="365" t="s">
        <v>302</v>
      </c>
      <c r="D1097" s="364" t="s">
        <v>303</v>
      </c>
      <c r="E1097" s="366">
        <v>11.0</v>
      </c>
      <c r="F1097" s="367">
        <v>46006.58333333333</v>
      </c>
      <c r="G1097" s="364" t="s">
        <v>1185</v>
      </c>
      <c r="H1097" s="364" t="s">
        <v>1195</v>
      </c>
    </row>
    <row r="1098" ht="15.75" customHeight="1">
      <c r="A1098" s="364" t="s">
        <v>60</v>
      </c>
      <c r="B1098" s="364" t="s">
        <v>23</v>
      </c>
      <c r="C1098" s="365" t="s">
        <v>302</v>
      </c>
      <c r="D1098" s="364" t="s">
        <v>303</v>
      </c>
      <c r="E1098" s="366">
        <v>12.0</v>
      </c>
      <c r="F1098" s="367">
        <v>46008.58333333333</v>
      </c>
      <c r="G1098" s="364" t="s">
        <v>1185</v>
      </c>
      <c r="H1098" s="364" t="s">
        <v>1195</v>
      </c>
    </row>
    <row r="1099" ht="15.75" customHeight="1">
      <c r="A1099" s="364" t="s">
        <v>60</v>
      </c>
      <c r="B1099" s="364" t="s">
        <v>23</v>
      </c>
      <c r="C1099" s="365" t="s">
        <v>302</v>
      </c>
      <c r="D1099" s="364" t="s">
        <v>303</v>
      </c>
      <c r="E1099" s="366">
        <v>13.0</v>
      </c>
      <c r="F1099" s="367">
        <v>46017.54166666667</v>
      </c>
      <c r="G1099" s="364" t="s">
        <v>1185</v>
      </c>
      <c r="H1099" s="364" t="s">
        <v>1195</v>
      </c>
    </row>
    <row r="1100" ht="15.75" customHeight="1">
      <c r="A1100" s="364" t="s">
        <v>60</v>
      </c>
      <c r="B1100" s="364" t="s">
        <v>23</v>
      </c>
      <c r="C1100" s="365" t="s">
        <v>302</v>
      </c>
      <c r="D1100" s="364" t="s">
        <v>303</v>
      </c>
      <c r="E1100" s="366">
        <v>14.0</v>
      </c>
      <c r="F1100" s="367">
        <v>46021.54166666667</v>
      </c>
      <c r="G1100" s="364" t="s">
        <v>1185</v>
      </c>
      <c r="H1100" s="364" t="s">
        <v>1195</v>
      </c>
    </row>
    <row r="1101" ht="15.75" customHeight="1">
      <c r="A1101" s="364" t="s">
        <v>60</v>
      </c>
      <c r="B1101" s="364" t="s">
        <v>23</v>
      </c>
      <c r="C1101" s="365" t="s">
        <v>302</v>
      </c>
      <c r="D1101" s="364" t="s">
        <v>303</v>
      </c>
      <c r="E1101" s="366">
        <v>15.0</v>
      </c>
      <c r="F1101" s="367">
        <v>46041.54166666667</v>
      </c>
      <c r="G1101" s="364" t="s">
        <v>1185</v>
      </c>
      <c r="H1101" s="364" t="s">
        <v>1195</v>
      </c>
    </row>
    <row r="1102" ht="15.75" customHeight="1">
      <c r="A1102" s="364" t="s">
        <v>60</v>
      </c>
      <c r="B1102" s="364" t="s">
        <v>23</v>
      </c>
      <c r="C1102" s="365" t="s">
        <v>302</v>
      </c>
      <c r="D1102" s="364" t="s">
        <v>303</v>
      </c>
      <c r="E1102" s="366">
        <v>16.0</v>
      </c>
      <c r="F1102" s="367">
        <v>46115.54166666667</v>
      </c>
      <c r="G1102" s="364" t="s">
        <v>1185</v>
      </c>
      <c r="H1102" s="364" t="s">
        <v>1195</v>
      </c>
    </row>
    <row r="1103" ht="15.75" customHeight="1">
      <c r="A1103" s="364" t="s">
        <v>60</v>
      </c>
      <c r="B1103" s="364" t="s">
        <v>23</v>
      </c>
      <c r="C1103" s="365" t="s">
        <v>304</v>
      </c>
      <c r="D1103" s="364" t="s">
        <v>305</v>
      </c>
      <c r="E1103" s="366">
        <v>1.0</v>
      </c>
      <c r="F1103" s="367">
        <v>45915.54166666667</v>
      </c>
      <c r="G1103" s="364" t="s">
        <v>1185</v>
      </c>
      <c r="H1103" s="364" t="s">
        <v>1195</v>
      </c>
    </row>
    <row r="1104" ht="15.75" customHeight="1">
      <c r="A1104" s="364" t="s">
        <v>60</v>
      </c>
      <c r="B1104" s="364" t="s">
        <v>23</v>
      </c>
      <c r="C1104" s="365" t="s">
        <v>304</v>
      </c>
      <c r="D1104" s="364" t="s">
        <v>305</v>
      </c>
      <c r="E1104" s="366">
        <v>2.0</v>
      </c>
      <c r="F1104" s="367">
        <v>45922.58333333333</v>
      </c>
      <c r="G1104" s="364" t="s">
        <v>1185</v>
      </c>
      <c r="H1104" s="364" t="s">
        <v>1195</v>
      </c>
    </row>
    <row r="1105" ht="15.75" customHeight="1">
      <c r="A1105" s="364" t="s">
        <v>60</v>
      </c>
      <c r="B1105" s="364" t="s">
        <v>23</v>
      </c>
      <c r="C1105" s="365" t="s">
        <v>304</v>
      </c>
      <c r="D1105" s="364" t="s">
        <v>305</v>
      </c>
      <c r="E1105" s="366">
        <v>3.0</v>
      </c>
      <c r="F1105" s="367">
        <v>45929.54166666667</v>
      </c>
      <c r="G1105" s="364" t="s">
        <v>1185</v>
      </c>
      <c r="H1105" s="364" t="s">
        <v>1195</v>
      </c>
    </row>
    <row r="1106" ht="15.75" customHeight="1">
      <c r="A1106" s="364" t="s">
        <v>60</v>
      </c>
      <c r="B1106" s="364" t="s">
        <v>23</v>
      </c>
      <c r="C1106" s="365" t="s">
        <v>304</v>
      </c>
      <c r="D1106" s="364" t="s">
        <v>305</v>
      </c>
      <c r="E1106" s="366">
        <v>4.0</v>
      </c>
      <c r="F1106" s="367">
        <v>45943.54166666667</v>
      </c>
      <c r="G1106" s="364" t="s">
        <v>1185</v>
      </c>
      <c r="H1106" s="364" t="s">
        <v>1195</v>
      </c>
    </row>
    <row r="1107" ht="15.75" customHeight="1">
      <c r="A1107" s="364" t="s">
        <v>60</v>
      </c>
      <c r="B1107" s="364" t="s">
        <v>23</v>
      </c>
      <c r="C1107" s="365" t="s">
        <v>304</v>
      </c>
      <c r="D1107" s="364" t="s">
        <v>305</v>
      </c>
      <c r="E1107" s="366">
        <v>5.0</v>
      </c>
      <c r="F1107" s="367">
        <v>45950.58333333333</v>
      </c>
      <c r="G1107" s="364" t="s">
        <v>1185</v>
      </c>
      <c r="H1107" s="364" t="s">
        <v>1195</v>
      </c>
    </row>
    <row r="1108" ht="15.75" customHeight="1">
      <c r="A1108" s="364" t="s">
        <v>60</v>
      </c>
      <c r="B1108" s="364" t="s">
        <v>23</v>
      </c>
      <c r="C1108" s="365" t="s">
        <v>304</v>
      </c>
      <c r="D1108" s="364" t="s">
        <v>305</v>
      </c>
      <c r="E1108" s="366">
        <v>6.0</v>
      </c>
      <c r="F1108" s="367">
        <v>45957.54166666667</v>
      </c>
      <c r="G1108" s="364" t="s">
        <v>1185</v>
      </c>
      <c r="H1108" s="364" t="s">
        <v>1195</v>
      </c>
    </row>
    <row r="1109" ht="15.75" customHeight="1">
      <c r="A1109" s="364" t="s">
        <v>60</v>
      </c>
      <c r="B1109" s="364" t="s">
        <v>23</v>
      </c>
      <c r="C1109" s="365" t="s">
        <v>304</v>
      </c>
      <c r="D1109" s="364" t="s">
        <v>305</v>
      </c>
      <c r="E1109" s="366">
        <v>7.0</v>
      </c>
      <c r="F1109" s="367">
        <v>45972.58333333333</v>
      </c>
      <c r="G1109" s="364" t="s">
        <v>1187</v>
      </c>
      <c r="H1109" s="364" t="s">
        <v>1195</v>
      </c>
    </row>
    <row r="1110" ht="15.75" customHeight="1">
      <c r="A1110" s="364" t="s">
        <v>60</v>
      </c>
      <c r="B1110" s="364" t="s">
        <v>23</v>
      </c>
      <c r="C1110" s="365" t="s">
        <v>304</v>
      </c>
      <c r="D1110" s="364" t="s">
        <v>305</v>
      </c>
      <c r="E1110" s="366">
        <v>8.0</v>
      </c>
      <c r="F1110" s="367">
        <v>45980.58333333333</v>
      </c>
      <c r="G1110" s="364" t="s">
        <v>1185</v>
      </c>
      <c r="H1110" s="364" t="s">
        <v>1195</v>
      </c>
    </row>
    <row r="1111" ht="15.75" customHeight="1">
      <c r="A1111" s="364" t="s">
        <v>60</v>
      </c>
      <c r="B1111" s="364" t="s">
        <v>23</v>
      </c>
      <c r="C1111" s="365" t="s">
        <v>304</v>
      </c>
      <c r="D1111" s="364" t="s">
        <v>305</v>
      </c>
      <c r="E1111" s="366">
        <v>9.0</v>
      </c>
      <c r="F1111" s="367">
        <v>45981.58333333333</v>
      </c>
      <c r="G1111" s="364" t="s">
        <v>1185</v>
      </c>
      <c r="H1111" s="364" t="s">
        <v>1195</v>
      </c>
    </row>
    <row r="1112" ht="15.75" customHeight="1">
      <c r="A1112" s="364" t="s">
        <v>60</v>
      </c>
      <c r="B1112" s="364" t="s">
        <v>23</v>
      </c>
      <c r="C1112" s="365" t="s">
        <v>304</v>
      </c>
      <c r="D1112" s="364" t="s">
        <v>305</v>
      </c>
      <c r="E1112" s="366">
        <v>10.0</v>
      </c>
      <c r="F1112" s="367">
        <v>45996.58333333333</v>
      </c>
      <c r="G1112" s="364" t="s">
        <v>1185</v>
      </c>
      <c r="H1112" s="364" t="s">
        <v>1195</v>
      </c>
    </row>
    <row r="1113" ht="15.75" customHeight="1">
      <c r="A1113" s="364" t="s">
        <v>60</v>
      </c>
      <c r="B1113" s="364" t="s">
        <v>23</v>
      </c>
      <c r="C1113" s="365" t="s">
        <v>304</v>
      </c>
      <c r="D1113" s="364" t="s">
        <v>305</v>
      </c>
      <c r="E1113" s="366">
        <v>11.0</v>
      </c>
      <c r="F1113" s="367">
        <v>46006.58333333333</v>
      </c>
      <c r="G1113" s="364" t="s">
        <v>1185</v>
      </c>
      <c r="H1113" s="364" t="s">
        <v>1195</v>
      </c>
    </row>
    <row r="1114" ht="15.75" customHeight="1">
      <c r="A1114" s="364" t="s">
        <v>60</v>
      </c>
      <c r="B1114" s="364" t="s">
        <v>23</v>
      </c>
      <c r="C1114" s="365" t="s">
        <v>304</v>
      </c>
      <c r="D1114" s="364" t="s">
        <v>305</v>
      </c>
      <c r="E1114" s="366">
        <v>12.0</v>
      </c>
      <c r="F1114" s="367">
        <v>46008.58333333333</v>
      </c>
      <c r="G1114" s="364" t="s">
        <v>1185</v>
      </c>
      <c r="H1114" s="364" t="s">
        <v>1195</v>
      </c>
    </row>
    <row r="1115" ht="15.75" customHeight="1">
      <c r="A1115" s="364" t="s">
        <v>60</v>
      </c>
      <c r="B1115" s="364" t="s">
        <v>23</v>
      </c>
      <c r="C1115" s="365" t="s">
        <v>304</v>
      </c>
      <c r="D1115" s="364" t="s">
        <v>305</v>
      </c>
      <c r="E1115" s="366">
        <v>13.0</v>
      </c>
      <c r="F1115" s="367">
        <v>46017.54166666667</v>
      </c>
      <c r="G1115" s="364" t="s">
        <v>1185</v>
      </c>
      <c r="H1115" s="364" t="s">
        <v>1195</v>
      </c>
    </row>
    <row r="1116" ht="15.75" customHeight="1">
      <c r="A1116" s="364" t="s">
        <v>60</v>
      </c>
      <c r="B1116" s="364" t="s">
        <v>23</v>
      </c>
      <c r="C1116" s="365" t="s">
        <v>304</v>
      </c>
      <c r="D1116" s="364" t="s">
        <v>305</v>
      </c>
      <c r="E1116" s="366">
        <v>14.0</v>
      </c>
      <c r="F1116" s="367">
        <v>46021.54166666667</v>
      </c>
      <c r="G1116" s="364" t="s">
        <v>1185</v>
      </c>
      <c r="H1116" s="364" t="s">
        <v>1195</v>
      </c>
    </row>
    <row r="1117" ht="15.75" customHeight="1">
      <c r="A1117" s="364" t="s">
        <v>60</v>
      </c>
      <c r="B1117" s="364" t="s">
        <v>23</v>
      </c>
      <c r="C1117" s="365" t="s">
        <v>304</v>
      </c>
      <c r="D1117" s="364" t="s">
        <v>305</v>
      </c>
      <c r="E1117" s="366">
        <v>15.0</v>
      </c>
      <c r="F1117" s="367">
        <v>46041.54166666667</v>
      </c>
      <c r="G1117" s="364" t="s">
        <v>1185</v>
      </c>
      <c r="H1117" s="364" t="s">
        <v>1195</v>
      </c>
    </row>
    <row r="1118" ht="15.75" customHeight="1">
      <c r="A1118" s="364" t="s">
        <v>60</v>
      </c>
      <c r="B1118" s="364" t="s">
        <v>23</v>
      </c>
      <c r="C1118" s="365" t="s">
        <v>304</v>
      </c>
      <c r="D1118" s="364" t="s">
        <v>305</v>
      </c>
      <c r="E1118" s="366">
        <v>16.0</v>
      </c>
      <c r="F1118" s="367">
        <v>46115.54166666667</v>
      </c>
      <c r="G1118" s="364" t="s">
        <v>1185</v>
      </c>
      <c r="H1118" s="364" t="s">
        <v>1195</v>
      </c>
    </row>
    <row r="1119" ht="15.75" customHeight="1">
      <c r="A1119" s="364" t="s">
        <v>60</v>
      </c>
      <c r="B1119" s="364" t="s">
        <v>23</v>
      </c>
      <c r="C1119" s="365" t="s">
        <v>306</v>
      </c>
      <c r="D1119" s="364" t="s">
        <v>307</v>
      </c>
      <c r="E1119" s="366">
        <v>1.0</v>
      </c>
      <c r="F1119" s="367">
        <v>45915.54166666667</v>
      </c>
      <c r="G1119" s="364" t="s">
        <v>1185</v>
      </c>
      <c r="H1119" s="364" t="s">
        <v>1195</v>
      </c>
    </row>
    <row r="1120" ht="15.75" customHeight="1">
      <c r="A1120" s="364" t="s">
        <v>60</v>
      </c>
      <c r="B1120" s="364" t="s">
        <v>23</v>
      </c>
      <c r="C1120" s="365" t="s">
        <v>306</v>
      </c>
      <c r="D1120" s="364" t="s">
        <v>307</v>
      </c>
      <c r="E1120" s="366">
        <v>2.0</v>
      </c>
      <c r="F1120" s="367">
        <v>45922.58333333333</v>
      </c>
      <c r="G1120" s="364" t="s">
        <v>1187</v>
      </c>
      <c r="H1120" s="364" t="s">
        <v>1195</v>
      </c>
    </row>
    <row r="1121" ht="15.75" customHeight="1">
      <c r="A1121" s="364" t="s">
        <v>60</v>
      </c>
      <c r="B1121" s="364" t="s">
        <v>23</v>
      </c>
      <c r="C1121" s="365" t="s">
        <v>306</v>
      </c>
      <c r="D1121" s="364" t="s">
        <v>307</v>
      </c>
      <c r="E1121" s="366">
        <v>3.0</v>
      </c>
      <c r="F1121" s="367">
        <v>45929.54166666667</v>
      </c>
      <c r="G1121" s="364" t="s">
        <v>1187</v>
      </c>
      <c r="H1121" s="364" t="s">
        <v>1195</v>
      </c>
    </row>
    <row r="1122" ht="15.75" customHeight="1">
      <c r="A1122" s="364" t="s">
        <v>60</v>
      </c>
      <c r="B1122" s="364" t="s">
        <v>23</v>
      </c>
      <c r="C1122" s="365" t="s">
        <v>306</v>
      </c>
      <c r="D1122" s="364" t="s">
        <v>307</v>
      </c>
      <c r="E1122" s="366">
        <v>4.0</v>
      </c>
      <c r="F1122" s="367">
        <v>45943.54166666667</v>
      </c>
      <c r="G1122" s="364" t="s">
        <v>1185</v>
      </c>
      <c r="H1122" s="364" t="s">
        <v>1195</v>
      </c>
    </row>
    <row r="1123" ht="15.75" customHeight="1">
      <c r="A1123" s="364" t="s">
        <v>60</v>
      </c>
      <c r="B1123" s="364" t="s">
        <v>23</v>
      </c>
      <c r="C1123" s="365" t="s">
        <v>306</v>
      </c>
      <c r="D1123" s="364" t="s">
        <v>307</v>
      </c>
      <c r="E1123" s="366">
        <v>5.0</v>
      </c>
      <c r="F1123" s="367">
        <v>45950.58333333333</v>
      </c>
      <c r="G1123" s="364" t="s">
        <v>1185</v>
      </c>
      <c r="H1123" s="364" t="s">
        <v>1195</v>
      </c>
    </row>
    <row r="1124" ht="15.75" customHeight="1">
      <c r="A1124" s="364" t="s">
        <v>60</v>
      </c>
      <c r="B1124" s="364" t="s">
        <v>23</v>
      </c>
      <c r="C1124" s="365" t="s">
        <v>306</v>
      </c>
      <c r="D1124" s="364" t="s">
        <v>307</v>
      </c>
      <c r="E1124" s="366">
        <v>6.0</v>
      </c>
      <c r="F1124" s="367">
        <v>45957.54166666667</v>
      </c>
      <c r="G1124" s="364" t="s">
        <v>1185</v>
      </c>
      <c r="H1124" s="364" t="s">
        <v>1195</v>
      </c>
    </row>
    <row r="1125" ht="15.75" customHeight="1">
      <c r="A1125" s="364" t="s">
        <v>60</v>
      </c>
      <c r="B1125" s="364" t="s">
        <v>23</v>
      </c>
      <c r="C1125" s="365" t="s">
        <v>306</v>
      </c>
      <c r="D1125" s="364" t="s">
        <v>307</v>
      </c>
      <c r="E1125" s="366">
        <v>7.0</v>
      </c>
      <c r="F1125" s="367">
        <v>45972.58333333333</v>
      </c>
      <c r="G1125" s="364" t="s">
        <v>1187</v>
      </c>
      <c r="H1125" s="364" t="s">
        <v>1195</v>
      </c>
    </row>
    <row r="1126" ht="15.75" customHeight="1">
      <c r="A1126" s="364" t="s">
        <v>60</v>
      </c>
      <c r="B1126" s="364" t="s">
        <v>23</v>
      </c>
      <c r="C1126" s="365" t="s">
        <v>306</v>
      </c>
      <c r="D1126" s="364" t="s">
        <v>307</v>
      </c>
      <c r="E1126" s="366">
        <v>8.0</v>
      </c>
      <c r="F1126" s="367">
        <v>45980.58333333333</v>
      </c>
      <c r="G1126" s="364" t="s">
        <v>1185</v>
      </c>
      <c r="H1126" s="364" t="s">
        <v>1195</v>
      </c>
    </row>
    <row r="1127" ht="15.75" customHeight="1">
      <c r="A1127" s="364" t="s">
        <v>60</v>
      </c>
      <c r="B1127" s="364" t="s">
        <v>23</v>
      </c>
      <c r="C1127" s="365" t="s">
        <v>306</v>
      </c>
      <c r="D1127" s="364" t="s">
        <v>307</v>
      </c>
      <c r="E1127" s="366">
        <v>9.0</v>
      </c>
      <c r="F1127" s="367">
        <v>45981.58333333333</v>
      </c>
      <c r="G1127" s="364" t="s">
        <v>1185</v>
      </c>
      <c r="H1127" s="364" t="s">
        <v>1195</v>
      </c>
    </row>
    <row r="1128" ht="15.75" customHeight="1">
      <c r="A1128" s="364" t="s">
        <v>60</v>
      </c>
      <c r="B1128" s="364" t="s">
        <v>23</v>
      </c>
      <c r="C1128" s="365" t="s">
        <v>306</v>
      </c>
      <c r="D1128" s="364" t="s">
        <v>307</v>
      </c>
      <c r="E1128" s="366">
        <v>10.0</v>
      </c>
      <c r="F1128" s="367">
        <v>45996.58333333333</v>
      </c>
      <c r="G1128" s="364" t="s">
        <v>1185</v>
      </c>
      <c r="H1128" s="364" t="s">
        <v>1195</v>
      </c>
    </row>
    <row r="1129" ht="15.75" customHeight="1">
      <c r="A1129" s="364" t="s">
        <v>60</v>
      </c>
      <c r="B1129" s="364" t="s">
        <v>23</v>
      </c>
      <c r="C1129" s="365" t="s">
        <v>306</v>
      </c>
      <c r="D1129" s="364" t="s">
        <v>307</v>
      </c>
      <c r="E1129" s="366">
        <v>11.0</v>
      </c>
      <c r="F1129" s="367">
        <v>46006.58333333333</v>
      </c>
      <c r="G1129" s="364" t="s">
        <v>1185</v>
      </c>
      <c r="H1129" s="364" t="s">
        <v>1195</v>
      </c>
    </row>
    <row r="1130" ht="15.75" customHeight="1">
      <c r="A1130" s="364" t="s">
        <v>60</v>
      </c>
      <c r="B1130" s="364" t="s">
        <v>23</v>
      </c>
      <c r="C1130" s="365" t="s">
        <v>306</v>
      </c>
      <c r="D1130" s="364" t="s">
        <v>307</v>
      </c>
      <c r="E1130" s="366">
        <v>12.0</v>
      </c>
      <c r="F1130" s="367">
        <v>46008.58333333333</v>
      </c>
      <c r="G1130" s="364" t="s">
        <v>1185</v>
      </c>
      <c r="H1130" s="364" t="s">
        <v>1195</v>
      </c>
    </row>
    <row r="1131" ht="15.75" customHeight="1">
      <c r="A1131" s="364" t="s">
        <v>60</v>
      </c>
      <c r="B1131" s="364" t="s">
        <v>23</v>
      </c>
      <c r="C1131" s="365" t="s">
        <v>306</v>
      </c>
      <c r="D1131" s="364" t="s">
        <v>307</v>
      </c>
      <c r="E1131" s="366">
        <v>13.0</v>
      </c>
      <c r="F1131" s="367">
        <v>46017.54166666667</v>
      </c>
      <c r="G1131" s="364" t="s">
        <v>1185</v>
      </c>
      <c r="H1131" s="364" t="s">
        <v>1195</v>
      </c>
    </row>
    <row r="1132" ht="15.75" customHeight="1">
      <c r="A1132" s="364" t="s">
        <v>60</v>
      </c>
      <c r="B1132" s="364" t="s">
        <v>23</v>
      </c>
      <c r="C1132" s="365" t="s">
        <v>306</v>
      </c>
      <c r="D1132" s="364" t="s">
        <v>307</v>
      </c>
      <c r="E1132" s="366">
        <v>14.0</v>
      </c>
      <c r="F1132" s="367">
        <v>46021.54166666667</v>
      </c>
      <c r="G1132" s="364" t="s">
        <v>1185</v>
      </c>
      <c r="H1132" s="364" t="s">
        <v>1195</v>
      </c>
    </row>
    <row r="1133" ht="15.75" customHeight="1">
      <c r="A1133" s="364" t="s">
        <v>60</v>
      </c>
      <c r="B1133" s="364" t="s">
        <v>23</v>
      </c>
      <c r="C1133" s="365" t="s">
        <v>306</v>
      </c>
      <c r="D1133" s="364" t="s">
        <v>307</v>
      </c>
      <c r="E1133" s="366">
        <v>15.0</v>
      </c>
      <c r="F1133" s="367">
        <v>46041.54166666667</v>
      </c>
      <c r="G1133" s="364" t="s">
        <v>1185</v>
      </c>
      <c r="H1133" s="364" t="s">
        <v>1195</v>
      </c>
    </row>
    <row r="1134" ht="15.75" customHeight="1">
      <c r="A1134" s="364" t="s">
        <v>60</v>
      </c>
      <c r="B1134" s="364" t="s">
        <v>23</v>
      </c>
      <c r="C1134" s="365" t="s">
        <v>306</v>
      </c>
      <c r="D1134" s="364" t="s">
        <v>307</v>
      </c>
      <c r="E1134" s="366">
        <v>16.0</v>
      </c>
      <c r="F1134" s="367">
        <v>46115.54166666667</v>
      </c>
      <c r="G1134" s="364" t="s">
        <v>1185</v>
      </c>
      <c r="H1134" s="364" t="s">
        <v>1195</v>
      </c>
    </row>
    <row r="1135" ht="15.75" customHeight="1">
      <c r="A1135" s="364" t="s">
        <v>60</v>
      </c>
      <c r="B1135" s="364" t="s">
        <v>23</v>
      </c>
      <c r="C1135" s="365" t="s">
        <v>308</v>
      </c>
      <c r="D1135" s="364" t="s">
        <v>309</v>
      </c>
      <c r="E1135" s="366">
        <v>1.0</v>
      </c>
      <c r="F1135" s="367">
        <v>45915.54166666667</v>
      </c>
      <c r="G1135" s="364" t="s">
        <v>1187</v>
      </c>
      <c r="H1135" s="364" t="s">
        <v>1195</v>
      </c>
    </row>
    <row r="1136" ht="15.75" customHeight="1">
      <c r="A1136" s="364" t="s">
        <v>60</v>
      </c>
      <c r="B1136" s="364" t="s">
        <v>23</v>
      </c>
      <c r="C1136" s="365" t="s">
        <v>308</v>
      </c>
      <c r="D1136" s="364" t="s">
        <v>309</v>
      </c>
      <c r="E1136" s="366">
        <v>2.0</v>
      </c>
      <c r="F1136" s="367">
        <v>45922.58333333333</v>
      </c>
      <c r="G1136" s="364" t="s">
        <v>1185</v>
      </c>
      <c r="H1136" s="364" t="s">
        <v>1195</v>
      </c>
    </row>
    <row r="1137" ht="15.75" customHeight="1">
      <c r="A1137" s="364" t="s">
        <v>60</v>
      </c>
      <c r="B1137" s="364" t="s">
        <v>23</v>
      </c>
      <c r="C1137" s="365" t="s">
        <v>308</v>
      </c>
      <c r="D1137" s="364" t="s">
        <v>309</v>
      </c>
      <c r="E1137" s="366">
        <v>3.0</v>
      </c>
      <c r="F1137" s="367">
        <v>45929.54166666667</v>
      </c>
      <c r="G1137" s="364" t="s">
        <v>1185</v>
      </c>
      <c r="H1137" s="364" t="s">
        <v>1195</v>
      </c>
    </row>
    <row r="1138" ht="15.75" customHeight="1">
      <c r="A1138" s="364" t="s">
        <v>60</v>
      </c>
      <c r="B1138" s="364" t="s">
        <v>23</v>
      </c>
      <c r="C1138" s="365" t="s">
        <v>308</v>
      </c>
      <c r="D1138" s="364" t="s">
        <v>309</v>
      </c>
      <c r="E1138" s="366">
        <v>4.0</v>
      </c>
      <c r="F1138" s="367">
        <v>45943.54166666667</v>
      </c>
      <c r="G1138" s="364" t="s">
        <v>1187</v>
      </c>
      <c r="H1138" s="364" t="s">
        <v>1195</v>
      </c>
    </row>
    <row r="1139" ht="15.75" customHeight="1">
      <c r="A1139" s="364" t="s">
        <v>60</v>
      </c>
      <c r="B1139" s="364" t="s">
        <v>23</v>
      </c>
      <c r="C1139" s="365" t="s">
        <v>308</v>
      </c>
      <c r="D1139" s="364" t="s">
        <v>309</v>
      </c>
      <c r="E1139" s="366">
        <v>5.0</v>
      </c>
      <c r="F1139" s="367">
        <v>45950.58333333333</v>
      </c>
      <c r="G1139" s="364" t="s">
        <v>1185</v>
      </c>
      <c r="H1139" s="364" t="s">
        <v>1195</v>
      </c>
    </row>
    <row r="1140" ht="15.75" customHeight="1">
      <c r="A1140" s="364" t="s">
        <v>60</v>
      </c>
      <c r="B1140" s="364" t="s">
        <v>23</v>
      </c>
      <c r="C1140" s="365" t="s">
        <v>308</v>
      </c>
      <c r="D1140" s="364" t="s">
        <v>309</v>
      </c>
      <c r="E1140" s="366">
        <v>6.0</v>
      </c>
      <c r="F1140" s="367">
        <v>45957.54166666667</v>
      </c>
      <c r="G1140" s="364" t="s">
        <v>1185</v>
      </c>
      <c r="H1140" s="364" t="s">
        <v>1195</v>
      </c>
    </row>
    <row r="1141" ht="15.75" customHeight="1">
      <c r="A1141" s="364" t="s">
        <v>60</v>
      </c>
      <c r="B1141" s="364" t="s">
        <v>23</v>
      </c>
      <c r="C1141" s="365" t="s">
        <v>308</v>
      </c>
      <c r="D1141" s="364" t="s">
        <v>309</v>
      </c>
      <c r="E1141" s="366">
        <v>7.0</v>
      </c>
      <c r="F1141" s="367">
        <v>45972.58333333333</v>
      </c>
      <c r="G1141" s="364" t="s">
        <v>1187</v>
      </c>
      <c r="H1141" s="364" t="s">
        <v>1195</v>
      </c>
    </row>
    <row r="1142" ht="15.75" customHeight="1">
      <c r="A1142" s="364" t="s">
        <v>60</v>
      </c>
      <c r="B1142" s="364" t="s">
        <v>23</v>
      </c>
      <c r="C1142" s="365" t="s">
        <v>308</v>
      </c>
      <c r="D1142" s="364" t="s">
        <v>309</v>
      </c>
      <c r="E1142" s="366">
        <v>8.0</v>
      </c>
      <c r="F1142" s="367">
        <v>45980.58333333333</v>
      </c>
      <c r="G1142" s="364" t="s">
        <v>1185</v>
      </c>
      <c r="H1142" s="364" t="s">
        <v>1195</v>
      </c>
    </row>
    <row r="1143" ht="15.75" customHeight="1">
      <c r="A1143" s="364" t="s">
        <v>60</v>
      </c>
      <c r="B1143" s="364" t="s">
        <v>23</v>
      </c>
      <c r="C1143" s="365" t="s">
        <v>308</v>
      </c>
      <c r="D1143" s="364" t="s">
        <v>309</v>
      </c>
      <c r="E1143" s="366">
        <v>9.0</v>
      </c>
      <c r="F1143" s="367">
        <v>45981.58333333333</v>
      </c>
      <c r="G1143" s="364" t="s">
        <v>1185</v>
      </c>
      <c r="H1143" s="364" t="s">
        <v>1195</v>
      </c>
    </row>
    <row r="1144" ht="15.75" customHeight="1">
      <c r="A1144" s="364" t="s">
        <v>60</v>
      </c>
      <c r="B1144" s="364" t="s">
        <v>23</v>
      </c>
      <c r="C1144" s="365" t="s">
        <v>308</v>
      </c>
      <c r="D1144" s="364" t="s">
        <v>309</v>
      </c>
      <c r="E1144" s="366">
        <v>10.0</v>
      </c>
      <c r="F1144" s="367">
        <v>45996.58333333333</v>
      </c>
      <c r="G1144" s="364" t="s">
        <v>1185</v>
      </c>
      <c r="H1144" s="364" t="s">
        <v>1195</v>
      </c>
    </row>
    <row r="1145" ht="15.75" customHeight="1">
      <c r="A1145" s="364" t="s">
        <v>60</v>
      </c>
      <c r="B1145" s="364" t="s">
        <v>23</v>
      </c>
      <c r="C1145" s="365" t="s">
        <v>308</v>
      </c>
      <c r="D1145" s="364" t="s">
        <v>309</v>
      </c>
      <c r="E1145" s="366">
        <v>11.0</v>
      </c>
      <c r="F1145" s="367">
        <v>46006.58333333333</v>
      </c>
      <c r="G1145" s="364" t="s">
        <v>1185</v>
      </c>
      <c r="H1145" s="364" t="s">
        <v>1195</v>
      </c>
    </row>
    <row r="1146" ht="15.75" customHeight="1">
      <c r="A1146" s="364" t="s">
        <v>60</v>
      </c>
      <c r="B1146" s="364" t="s">
        <v>23</v>
      </c>
      <c r="C1146" s="365" t="s">
        <v>308</v>
      </c>
      <c r="D1146" s="364" t="s">
        <v>309</v>
      </c>
      <c r="E1146" s="366">
        <v>12.0</v>
      </c>
      <c r="F1146" s="367">
        <v>46008.58333333333</v>
      </c>
      <c r="G1146" s="364" t="s">
        <v>1185</v>
      </c>
      <c r="H1146" s="364" t="s">
        <v>1195</v>
      </c>
    </row>
    <row r="1147" ht="15.75" customHeight="1">
      <c r="A1147" s="364" t="s">
        <v>60</v>
      </c>
      <c r="B1147" s="364" t="s">
        <v>23</v>
      </c>
      <c r="C1147" s="365" t="s">
        <v>308</v>
      </c>
      <c r="D1147" s="364" t="s">
        <v>309</v>
      </c>
      <c r="E1147" s="366">
        <v>13.0</v>
      </c>
      <c r="F1147" s="367">
        <v>46017.54166666667</v>
      </c>
      <c r="G1147" s="364" t="s">
        <v>1185</v>
      </c>
      <c r="H1147" s="364" t="s">
        <v>1195</v>
      </c>
    </row>
    <row r="1148" ht="15.75" customHeight="1">
      <c r="A1148" s="364" t="s">
        <v>60</v>
      </c>
      <c r="B1148" s="364" t="s">
        <v>23</v>
      </c>
      <c r="C1148" s="365" t="s">
        <v>308</v>
      </c>
      <c r="D1148" s="364" t="s">
        <v>309</v>
      </c>
      <c r="E1148" s="366">
        <v>14.0</v>
      </c>
      <c r="F1148" s="367">
        <v>46021.54166666667</v>
      </c>
      <c r="G1148" s="364" t="s">
        <v>1187</v>
      </c>
      <c r="H1148" s="364" t="s">
        <v>1195</v>
      </c>
    </row>
    <row r="1149" ht="15.75" customHeight="1">
      <c r="A1149" s="364" t="s">
        <v>60</v>
      </c>
      <c r="B1149" s="364" t="s">
        <v>23</v>
      </c>
      <c r="C1149" s="365" t="s">
        <v>308</v>
      </c>
      <c r="D1149" s="364" t="s">
        <v>309</v>
      </c>
      <c r="E1149" s="366">
        <v>15.0</v>
      </c>
      <c r="F1149" s="367">
        <v>46041.54166666667</v>
      </c>
      <c r="G1149" s="364" t="s">
        <v>1185</v>
      </c>
      <c r="H1149" s="364" t="s">
        <v>1195</v>
      </c>
    </row>
    <row r="1150" ht="15.75" customHeight="1">
      <c r="A1150" s="364" t="s">
        <v>60</v>
      </c>
      <c r="B1150" s="364" t="s">
        <v>23</v>
      </c>
      <c r="C1150" s="365" t="s">
        <v>308</v>
      </c>
      <c r="D1150" s="364" t="s">
        <v>309</v>
      </c>
      <c r="E1150" s="366">
        <v>16.0</v>
      </c>
      <c r="F1150" s="367">
        <v>46115.54166666667</v>
      </c>
      <c r="G1150" s="364" t="s">
        <v>1185</v>
      </c>
      <c r="H1150" s="364" t="s">
        <v>1195</v>
      </c>
    </row>
    <row r="1151" ht="15.75" customHeight="1">
      <c r="A1151" s="364" t="s">
        <v>60</v>
      </c>
      <c r="B1151" s="364" t="s">
        <v>23</v>
      </c>
      <c r="C1151" s="365" t="s">
        <v>310</v>
      </c>
      <c r="D1151" s="364" t="s">
        <v>311</v>
      </c>
      <c r="E1151" s="366">
        <v>1.0</v>
      </c>
      <c r="F1151" s="367">
        <v>45915.54166666667</v>
      </c>
      <c r="G1151" s="364" t="s">
        <v>1185</v>
      </c>
      <c r="H1151" s="364" t="s">
        <v>1195</v>
      </c>
    </row>
    <row r="1152" ht="15.75" customHeight="1">
      <c r="A1152" s="364" t="s">
        <v>60</v>
      </c>
      <c r="B1152" s="364" t="s">
        <v>23</v>
      </c>
      <c r="C1152" s="365" t="s">
        <v>310</v>
      </c>
      <c r="D1152" s="364" t="s">
        <v>311</v>
      </c>
      <c r="E1152" s="366">
        <v>2.0</v>
      </c>
      <c r="F1152" s="367">
        <v>45922.58333333333</v>
      </c>
      <c r="G1152" s="364" t="s">
        <v>1187</v>
      </c>
      <c r="H1152" s="364" t="s">
        <v>1195</v>
      </c>
    </row>
    <row r="1153" ht="15.75" customHeight="1">
      <c r="A1153" s="364" t="s">
        <v>60</v>
      </c>
      <c r="B1153" s="364" t="s">
        <v>23</v>
      </c>
      <c r="C1153" s="365" t="s">
        <v>310</v>
      </c>
      <c r="D1153" s="364" t="s">
        <v>311</v>
      </c>
      <c r="E1153" s="366">
        <v>3.0</v>
      </c>
      <c r="F1153" s="367">
        <v>45929.54166666667</v>
      </c>
      <c r="G1153" s="364" t="s">
        <v>1187</v>
      </c>
      <c r="H1153" s="364" t="s">
        <v>1195</v>
      </c>
    </row>
    <row r="1154" ht="15.75" customHeight="1">
      <c r="A1154" s="364" t="s">
        <v>60</v>
      </c>
      <c r="B1154" s="364" t="s">
        <v>23</v>
      </c>
      <c r="C1154" s="365" t="s">
        <v>310</v>
      </c>
      <c r="D1154" s="364" t="s">
        <v>311</v>
      </c>
      <c r="E1154" s="366">
        <v>4.0</v>
      </c>
      <c r="F1154" s="367">
        <v>45943.54166666667</v>
      </c>
      <c r="G1154" s="364" t="s">
        <v>1185</v>
      </c>
      <c r="H1154" s="364" t="s">
        <v>1195</v>
      </c>
    </row>
    <row r="1155" ht="15.75" customHeight="1">
      <c r="A1155" s="364" t="s">
        <v>60</v>
      </c>
      <c r="B1155" s="364" t="s">
        <v>23</v>
      </c>
      <c r="C1155" s="365" t="s">
        <v>310</v>
      </c>
      <c r="D1155" s="364" t="s">
        <v>311</v>
      </c>
      <c r="E1155" s="366">
        <v>5.0</v>
      </c>
      <c r="F1155" s="367">
        <v>45950.58333333333</v>
      </c>
      <c r="G1155" s="364" t="s">
        <v>1185</v>
      </c>
      <c r="H1155" s="364" t="s">
        <v>1195</v>
      </c>
    </row>
    <row r="1156" ht="15.75" customHeight="1">
      <c r="A1156" s="364" t="s">
        <v>60</v>
      </c>
      <c r="B1156" s="364" t="s">
        <v>23</v>
      </c>
      <c r="C1156" s="365" t="s">
        <v>310</v>
      </c>
      <c r="D1156" s="364" t="s">
        <v>311</v>
      </c>
      <c r="E1156" s="366">
        <v>6.0</v>
      </c>
      <c r="F1156" s="367">
        <v>45957.54166666667</v>
      </c>
      <c r="G1156" s="364" t="s">
        <v>1185</v>
      </c>
      <c r="H1156" s="364" t="s">
        <v>1195</v>
      </c>
    </row>
    <row r="1157" ht="15.75" customHeight="1">
      <c r="A1157" s="364" t="s">
        <v>60</v>
      </c>
      <c r="B1157" s="364" t="s">
        <v>23</v>
      </c>
      <c r="C1157" s="365" t="s">
        <v>310</v>
      </c>
      <c r="D1157" s="364" t="s">
        <v>311</v>
      </c>
      <c r="E1157" s="366">
        <v>7.0</v>
      </c>
      <c r="F1157" s="367">
        <v>45972.58333333333</v>
      </c>
      <c r="G1157" s="364" t="s">
        <v>1185</v>
      </c>
      <c r="H1157" s="364" t="s">
        <v>1195</v>
      </c>
    </row>
    <row r="1158" ht="15.75" customHeight="1">
      <c r="A1158" s="364" t="s">
        <v>60</v>
      </c>
      <c r="B1158" s="364" t="s">
        <v>23</v>
      </c>
      <c r="C1158" s="365" t="s">
        <v>310</v>
      </c>
      <c r="D1158" s="364" t="s">
        <v>311</v>
      </c>
      <c r="E1158" s="366">
        <v>8.0</v>
      </c>
      <c r="F1158" s="367">
        <v>45980.58333333333</v>
      </c>
      <c r="G1158" s="364" t="s">
        <v>1185</v>
      </c>
      <c r="H1158" s="364" t="s">
        <v>1195</v>
      </c>
    </row>
    <row r="1159" ht="15.75" customHeight="1">
      <c r="A1159" s="364" t="s">
        <v>60</v>
      </c>
      <c r="B1159" s="364" t="s">
        <v>23</v>
      </c>
      <c r="C1159" s="365" t="s">
        <v>310</v>
      </c>
      <c r="D1159" s="364" t="s">
        <v>311</v>
      </c>
      <c r="E1159" s="366">
        <v>9.0</v>
      </c>
      <c r="F1159" s="367">
        <v>45981.58333333333</v>
      </c>
      <c r="G1159" s="364" t="s">
        <v>1185</v>
      </c>
      <c r="H1159" s="364" t="s">
        <v>1195</v>
      </c>
    </row>
    <row r="1160" ht="15.75" customHeight="1">
      <c r="A1160" s="364" t="s">
        <v>60</v>
      </c>
      <c r="B1160" s="364" t="s">
        <v>23</v>
      </c>
      <c r="C1160" s="365" t="s">
        <v>310</v>
      </c>
      <c r="D1160" s="364" t="s">
        <v>311</v>
      </c>
      <c r="E1160" s="366">
        <v>10.0</v>
      </c>
      <c r="F1160" s="367">
        <v>45996.58333333333</v>
      </c>
      <c r="G1160" s="364" t="s">
        <v>1185</v>
      </c>
      <c r="H1160" s="364" t="s">
        <v>1195</v>
      </c>
    </row>
    <row r="1161" ht="15.75" customHeight="1">
      <c r="A1161" s="364" t="s">
        <v>60</v>
      </c>
      <c r="B1161" s="364" t="s">
        <v>23</v>
      </c>
      <c r="C1161" s="365" t="s">
        <v>310</v>
      </c>
      <c r="D1161" s="364" t="s">
        <v>311</v>
      </c>
      <c r="E1161" s="366">
        <v>11.0</v>
      </c>
      <c r="F1161" s="367">
        <v>46006.58333333333</v>
      </c>
      <c r="G1161" s="364" t="s">
        <v>1185</v>
      </c>
      <c r="H1161" s="364" t="s">
        <v>1195</v>
      </c>
    </row>
    <row r="1162" ht="15.75" customHeight="1">
      <c r="A1162" s="364" t="s">
        <v>60</v>
      </c>
      <c r="B1162" s="364" t="s">
        <v>23</v>
      </c>
      <c r="C1162" s="365" t="s">
        <v>310</v>
      </c>
      <c r="D1162" s="364" t="s">
        <v>311</v>
      </c>
      <c r="E1162" s="366">
        <v>12.0</v>
      </c>
      <c r="F1162" s="367">
        <v>46008.58333333333</v>
      </c>
      <c r="G1162" s="364" t="s">
        <v>1185</v>
      </c>
      <c r="H1162" s="364" t="s">
        <v>1195</v>
      </c>
    </row>
    <row r="1163" ht="15.75" customHeight="1">
      <c r="A1163" s="364" t="s">
        <v>60</v>
      </c>
      <c r="B1163" s="364" t="s">
        <v>23</v>
      </c>
      <c r="C1163" s="365" t="s">
        <v>310</v>
      </c>
      <c r="D1163" s="364" t="s">
        <v>311</v>
      </c>
      <c r="E1163" s="366">
        <v>13.0</v>
      </c>
      <c r="F1163" s="367">
        <v>46017.54166666667</v>
      </c>
      <c r="G1163" s="364" t="s">
        <v>1185</v>
      </c>
      <c r="H1163" s="364" t="s">
        <v>1195</v>
      </c>
    </row>
    <row r="1164" ht="15.75" customHeight="1">
      <c r="A1164" s="364" t="s">
        <v>60</v>
      </c>
      <c r="B1164" s="364" t="s">
        <v>23</v>
      </c>
      <c r="C1164" s="365" t="s">
        <v>310</v>
      </c>
      <c r="D1164" s="364" t="s">
        <v>311</v>
      </c>
      <c r="E1164" s="366">
        <v>14.0</v>
      </c>
      <c r="F1164" s="367">
        <v>46021.54166666667</v>
      </c>
      <c r="G1164" s="364" t="s">
        <v>1185</v>
      </c>
      <c r="H1164" s="364" t="s">
        <v>1195</v>
      </c>
    </row>
    <row r="1165" ht="15.75" customHeight="1">
      <c r="A1165" s="364" t="s">
        <v>60</v>
      </c>
      <c r="B1165" s="364" t="s">
        <v>23</v>
      </c>
      <c r="C1165" s="365" t="s">
        <v>310</v>
      </c>
      <c r="D1165" s="364" t="s">
        <v>311</v>
      </c>
      <c r="E1165" s="366">
        <v>15.0</v>
      </c>
      <c r="F1165" s="367">
        <v>46041.54166666667</v>
      </c>
      <c r="G1165" s="364" t="s">
        <v>1185</v>
      </c>
      <c r="H1165" s="364" t="s">
        <v>1195</v>
      </c>
    </row>
    <row r="1166" ht="15.75" customHeight="1">
      <c r="A1166" s="364" t="s">
        <v>60</v>
      </c>
      <c r="B1166" s="364" t="s">
        <v>23</v>
      </c>
      <c r="C1166" s="365" t="s">
        <v>310</v>
      </c>
      <c r="D1166" s="364" t="s">
        <v>311</v>
      </c>
      <c r="E1166" s="366">
        <v>16.0</v>
      </c>
      <c r="F1166" s="367">
        <v>46115.54166666667</v>
      </c>
      <c r="G1166" s="364" t="s">
        <v>1185</v>
      </c>
      <c r="H1166" s="364" t="s">
        <v>1195</v>
      </c>
    </row>
    <row r="1167" ht="15.75" customHeight="1">
      <c r="A1167" s="364" t="s">
        <v>60</v>
      </c>
      <c r="B1167" s="364" t="s">
        <v>23</v>
      </c>
      <c r="C1167" s="365" t="s">
        <v>314</v>
      </c>
      <c r="D1167" s="364" t="s">
        <v>315</v>
      </c>
      <c r="E1167" s="366">
        <v>1.0</v>
      </c>
      <c r="F1167" s="367">
        <v>45915.54166666667</v>
      </c>
      <c r="G1167" s="364" t="s">
        <v>1185</v>
      </c>
      <c r="H1167" s="364" t="s">
        <v>1195</v>
      </c>
    </row>
    <row r="1168" ht="15.75" customHeight="1">
      <c r="A1168" s="364" t="s">
        <v>60</v>
      </c>
      <c r="B1168" s="364" t="s">
        <v>23</v>
      </c>
      <c r="C1168" s="365" t="s">
        <v>314</v>
      </c>
      <c r="D1168" s="364" t="s">
        <v>315</v>
      </c>
      <c r="E1168" s="366">
        <v>2.0</v>
      </c>
      <c r="F1168" s="367">
        <v>45922.58333333333</v>
      </c>
      <c r="G1168" s="364" t="s">
        <v>1185</v>
      </c>
      <c r="H1168" s="364" t="s">
        <v>1195</v>
      </c>
    </row>
    <row r="1169" ht="15.75" customHeight="1">
      <c r="A1169" s="364" t="s">
        <v>60</v>
      </c>
      <c r="B1169" s="364" t="s">
        <v>23</v>
      </c>
      <c r="C1169" s="365" t="s">
        <v>314</v>
      </c>
      <c r="D1169" s="364" t="s">
        <v>315</v>
      </c>
      <c r="E1169" s="366">
        <v>3.0</v>
      </c>
      <c r="F1169" s="367">
        <v>45929.54166666667</v>
      </c>
      <c r="G1169" s="364" t="s">
        <v>1185</v>
      </c>
      <c r="H1169" s="364" t="s">
        <v>1195</v>
      </c>
    </row>
    <row r="1170" ht="15.75" customHeight="1">
      <c r="A1170" s="364" t="s">
        <v>60</v>
      </c>
      <c r="B1170" s="364" t="s">
        <v>23</v>
      </c>
      <c r="C1170" s="365" t="s">
        <v>314</v>
      </c>
      <c r="D1170" s="364" t="s">
        <v>315</v>
      </c>
      <c r="E1170" s="366">
        <v>4.0</v>
      </c>
      <c r="F1170" s="367">
        <v>45943.54166666667</v>
      </c>
      <c r="G1170" s="364" t="s">
        <v>1187</v>
      </c>
      <c r="H1170" s="364" t="s">
        <v>1195</v>
      </c>
    </row>
    <row r="1171" ht="15.75" customHeight="1">
      <c r="A1171" s="364" t="s">
        <v>60</v>
      </c>
      <c r="B1171" s="364" t="s">
        <v>23</v>
      </c>
      <c r="C1171" s="365" t="s">
        <v>314</v>
      </c>
      <c r="D1171" s="364" t="s">
        <v>315</v>
      </c>
      <c r="E1171" s="366">
        <v>5.0</v>
      </c>
      <c r="F1171" s="367">
        <v>45950.58333333333</v>
      </c>
      <c r="G1171" s="364" t="s">
        <v>1185</v>
      </c>
      <c r="H1171" s="364" t="s">
        <v>1195</v>
      </c>
    </row>
    <row r="1172" ht="15.75" customHeight="1">
      <c r="A1172" s="364" t="s">
        <v>60</v>
      </c>
      <c r="B1172" s="364" t="s">
        <v>23</v>
      </c>
      <c r="C1172" s="365" t="s">
        <v>314</v>
      </c>
      <c r="D1172" s="364" t="s">
        <v>315</v>
      </c>
      <c r="E1172" s="366">
        <v>6.0</v>
      </c>
      <c r="F1172" s="367">
        <v>45957.54166666667</v>
      </c>
      <c r="G1172" s="364" t="s">
        <v>1185</v>
      </c>
      <c r="H1172" s="364" t="s">
        <v>1195</v>
      </c>
    </row>
    <row r="1173" ht="15.75" customHeight="1">
      <c r="A1173" s="364" t="s">
        <v>60</v>
      </c>
      <c r="B1173" s="364" t="s">
        <v>23</v>
      </c>
      <c r="C1173" s="365" t="s">
        <v>314</v>
      </c>
      <c r="D1173" s="364" t="s">
        <v>315</v>
      </c>
      <c r="E1173" s="366">
        <v>7.0</v>
      </c>
      <c r="F1173" s="367">
        <v>45972.58333333333</v>
      </c>
      <c r="G1173" s="364" t="s">
        <v>1185</v>
      </c>
      <c r="H1173" s="364" t="s">
        <v>1195</v>
      </c>
    </row>
    <row r="1174" ht="15.75" customHeight="1">
      <c r="A1174" s="364" t="s">
        <v>60</v>
      </c>
      <c r="B1174" s="364" t="s">
        <v>23</v>
      </c>
      <c r="C1174" s="365" t="s">
        <v>314</v>
      </c>
      <c r="D1174" s="364" t="s">
        <v>315</v>
      </c>
      <c r="E1174" s="366">
        <v>8.0</v>
      </c>
      <c r="F1174" s="367">
        <v>45980.58333333333</v>
      </c>
      <c r="G1174" s="364" t="s">
        <v>1185</v>
      </c>
      <c r="H1174" s="364" t="s">
        <v>1195</v>
      </c>
    </row>
    <row r="1175" ht="15.75" customHeight="1">
      <c r="A1175" s="364" t="s">
        <v>60</v>
      </c>
      <c r="B1175" s="364" t="s">
        <v>23</v>
      </c>
      <c r="C1175" s="365" t="s">
        <v>314</v>
      </c>
      <c r="D1175" s="364" t="s">
        <v>315</v>
      </c>
      <c r="E1175" s="366">
        <v>9.0</v>
      </c>
      <c r="F1175" s="367">
        <v>45981.58333333333</v>
      </c>
      <c r="G1175" s="364" t="s">
        <v>1185</v>
      </c>
      <c r="H1175" s="364" t="s">
        <v>1195</v>
      </c>
    </row>
    <row r="1176" ht="15.75" customHeight="1">
      <c r="A1176" s="364" t="s">
        <v>60</v>
      </c>
      <c r="B1176" s="364" t="s">
        <v>23</v>
      </c>
      <c r="C1176" s="365" t="s">
        <v>314</v>
      </c>
      <c r="D1176" s="364" t="s">
        <v>315</v>
      </c>
      <c r="E1176" s="366">
        <v>10.0</v>
      </c>
      <c r="F1176" s="367">
        <v>45996.58333333333</v>
      </c>
      <c r="G1176" s="364" t="s">
        <v>1185</v>
      </c>
      <c r="H1176" s="364" t="s">
        <v>1195</v>
      </c>
    </row>
    <row r="1177" ht="15.75" customHeight="1">
      <c r="A1177" s="364" t="s">
        <v>60</v>
      </c>
      <c r="B1177" s="364" t="s">
        <v>23</v>
      </c>
      <c r="C1177" s="365" t="s">
        <v>314</v>
      </c>
      <c r="D1177" s="364" t="s">
        <v>315</v>
      </c>
      <c r="E1177" s="366">
        <v>11.0</v>
      </c>
      <c r="F1177" s="367">
        <v>46006.58333333333</v>
      </c>
      <c r="G1177" s="364" t="s">
        <v>1185</v>
      </c>
      <c r="H1177" s="364" t="s">
        <v>1195</v>
      </c>
    </row>
    <row r="1178" ht="15.75" customHeight="1">
      <c r="A1178" s="364" t="s">
        <v>60</v>
      </c>
      <c r="B1178" s="364" t="s">
        <v>23</v>
      </c>
      <c r="C1178" s="365" t="s">
        <v>314</v>
      </c>
      <c r="D1178" s="364" t="s">
        <v>315</v>
      </c>
      <c r="E1178" s="366">
        <v>12.0</v>
      </c>
      <c r="F1178" s="367">
        <v>46008.58333333333</v>
      </c>
      <c r="G1178" s="364" t="s">
        <v>1185</v>
      </c>
      <c r="H1178" s="364" t="s">
        <v>1195</v>
      </c>
    </row>
    <row r="1179" ht="15.75" customHeight="1">
      <c r="A1179" s="364" t="s">
        <v>60</v>
      </c>
      <c r="B1179" s="364" t="s">
        <v>23</v>
      </c>
      <c r="C1179" s="365" t="s">
        <v>314</v>
      </c>
      <c r="D1179" s="364" t="s">
        <v>315</v>
      </c>
      <c r="E1179" s="366">
        <v>13.0</v>
      </c>
      <c r="F1179" s="367">
        <v>46017.54166666667</v>
      </c>
      <c r="G1179" s="364" t="s">
        <v>1185</v>
      </c>
      <c r="H1179" s="364" t="s">
        <v>1195</v>
      </c>
    </row>
    <row r="1180" ht="15.75" customHeight="1">
      <c r="A1180" s="364" t="s">
        <v>60</v>
      </c>
      <c r="B1180" s="364" t="s">
        <v>23</v>
      </c>
      <c r="C1180" s="365" t="s">
        <v>314</v>
      </c>
      <c r="D1180" s="364" t="s">
        <v>315</v>
      </c>
      <c r="E1180" s="366">
        <v>14.0</v>
      </c>
      <c r="F1180" s="367">
        <v>46021.54166666667</v>
      </c>
      <c r="G1180" s="364" t="s">
        <v>1187</v>
      </c>
      <c r="H1180" s="364" t="s">
        <v>1195</v>
      </c>
    </row>
    <row r="1181" ht="15.75" customHeight="1">
      <c r="A1181" s="364" t="s">
        <v>60</v>
      </c>
      <c r="B1181" s="364" t="s">
        <v>23</v>
      </c>
      <c r="C1181" s="365" t="s">
        <v>314</v>
      </c>
      <c r="D1181" s="364" t="s">
        <v>315</v>
      </c>
      <c r="E1181" s="366">
        <v>15.0</v>
      </c>
      <c r="F1181" s="367">
        <v>46041.54166666667</v>
      </c>
      <c r="G1181" s="364" t="s">
        <v>1187</v>
      </c>
      <c r="H1181" s="364" t="s">
        <v>1195</v>
      </c>
    </row>
    <row r="1182" ht="15.75" customHeight="1">
      <c r="A1182" s="364" t="s">
        <v>60</v>
      </c>
      <c r="B1182" s="364" t="s">
        <v>23</v>
      </c>
      <c r="C1182" s="365" t="s">
        <v>314</v>
      </c>
      <c r="D1182" s="364" t="s">
        <v>315</v>
      </c>
      <c r="E1182" s="366">
        <v>16.0</v>
      </c>
      <c r="F1182" s="367">
        <v>46115.54166666667</v>
      </c>
      <c r="G1182" s="364" t="s">
        <v>1187</v>
      </c>
      <c r="H1182" s="364" t="s">
        <v>1195</v>
      </c>
    </row>
    <row r="1183" ht="15.75" customHeight="1">
      <c r="A1183" s="364" t="s">
        <v>60</v>
      </c>
      <c r="B1183" s="364" t="s">
        <v>23</v>
      </c>
      <c r="C1183" s="365" t="s">
        <v>312</v>
      </c>
      <c r="D1183" s="364" t="s">
        <v>313</v>
      </c>
      <c r="E1183" s="366">
        <v>1.0</v>
      </c>
      <c r="F1183" s="367">
        <v>45915.54166666667</v>
      </c>
      <c r="G1183" s="364" t="s">
        <v>1185</v>
      </c>
      <c r="H1183" s="364" t="s">
        <v>1195</v>
      </c>
    </row>
    <row r="1184" ht="15.75" customHeight="1">
      <c r="A1184" s="364" t="s">
        <v>60</v>
      </c>
      <c r="B1184" s="364" t="s">
        <v>23</v>
      </c>
      <c r="C1184" s="365" t="s">
        <v>312</v>
      </c>
      <c r="D1184" s="364" t="s">
        <v>313</v>
      </c>
      <c r="E1184" s="366">
        <v>2.0</v>
      </c>
      <c r="F1184" s="367">
        <v>45922.58333333333</v>
      </c>
      <c r="G1184" s="364" t="s">
        <v>1185</v>
      </c>
      <c r="H1184" s="364" t="s">
        <v>1195</v>
      </c>
    </row>
    <row r="1185" ht="15.75" customHeight="1">
      <c r="A1185" s="364" t="s">
        <v>60</v>
      </c>
      <c r="B1185" s="364" t="s">
        <v>23</v>
      </c>
      <c r="C1185" s="365" t="s">
        <v>312</v>
      </c>
      <c r="D1185" s="364" t="s">
        <v>313</v>
      </c>
      <c r="E1185" s="366">
        <v>3.0</v>
      </c>
      <c r="F1185" s="367">
        <v>45929.54166666667</v>
      </c>
      <c r="G1185" s="364" t="s">
        <v>1185</v>
      </c>
      <c r="H1185" s="364" t="s">
        <v>1195</v>
      </c>
    </row>
    <row r="1186" ht="15.75" customHeight="1">
      <c r="A1186" s="364" t="s">
        <v>60</v>
      </c>
      <c r="B1186" s="364" t="s">
        <v>23</v>
      </c>
      <c r="C1186" s="365" t="s">
        <v>312</v>
      </c>
      <c r="D1186" s="364" t="s">
        <v>313</v>
      </c>
      <c r="E1186" s="366">
        <v>4.0</v>
      </c>
      <c r="F1186" s="367">
        <v>45943.54166666667</v>
      </c>
      <c r="G1186" s="364" t="s">
        <v>1187</v>
      </c>
      <c r="H1186" s="364" t="s">
        <v>1195</v>
      </c>
    </row>
    <row r="1187" ht="15.75" customHeight="1">
      <c r="A1187" s="364" t="s">
        <v>60</v>
      </c>
      <c r="B1187" s="364" t="s">
        <v>23</v>
      </c>
      <c r="C1187" s="365" t="s">
        <v>312</v>
      </c>
      <c r="D1187" s="364" t="s">
        <v>313</v>
      </c>
      <c r="E1187" s="366">
        <v>5.0</v>
      </c>
      <c r="F1187" s="367">
        <v>45950.58333333333</v>
      </c>
      <c r="G1187" s="364" t="s">
        <v>1185</v>
      </c>
      <c r="H1187" s="364" t="s">
        <v>1195</v>
      </c>
    </row>
    <row r="1188" ht="15.75" customHeight="1">
      <c r="A1188" s="364" t="s">
        <v>60</v>
      </c>
      <c r="B1188" s="364" t="s">
        <v>23</v>
      </c>
      <c r="C1188" s="365" t="s">
        <v>312</v>
      </c>
      <c r="D1188" s="364" t="s">
        <v>313</v>
      </c>
      <c r="E1188" s="366">
        <v>6.0</v>
      </c>
      <c r="F1188" s="367">
        <v>45957.54166666667</v>
      </c>
      <c r="G1188" s="364" t="s">
        <v>1185</v>
      </c>
      <c r="H1188" s="364" t="s">
        <v>1195</v>
      </c>
    </row>
    <row r="1189" ht="15.75" customHeight="1">
      <c r="A1189" s="364" t="s">
        <v>60</v>
      </c>
      <c r="B1189" s="364" t="s">
        <v>23</v>
      </c>
      <c r="C1189" s="365" t="s">
        <v>312</v>
      </c>
      <c r="D1189" s="364" t="s">
        <v>313</v>
      </c>
      <c r="E1189" s="366">
        <v>7.0</v>
      </c>
      <c r="F1189" s="367">
        <v>45972.58333333333</v>
      </c>
      <c r="G1189" s="364" t="s">
        <v>1185</v>
      </c>
      <c r="H1189" s="364" t="s">
        <v>1195</v>
      </c>
    </row>
    <row r="1190" ht="15.75" customHeight="1">
      <c r="A1190" s="364" t="s">
        <v>60</v>
      </c>
      <c r="B1190" s="364" t="s">
        <v>23</v>
      </c>
      <c r="C1190" s="365" t="s">
        <v>312</v>
      </c>
      <c r="D1190" s="364" t="s">
        <v>313</v>
      </c>
      <c r="E1190" s="366">
        <v>8.0</v>
      </c>
      <c r="F1190" s="367">
        <v>45980.58333333333</v>
      </c>
      <c r="G1190" s="364" t="s">
        <v>1185</v>
      </c>
      <c r="H1190" s="364" t="s">
        <v>1195</v>
      </c>
    </row>
    <row r="1191" ht="15.75" customHeight="1">
      <c r="A1191" s="364" t="s">
        <v>60</v>
      </c>
      <c r="B1191" s="364" t="s">
        <v>23</v>
      </c>
      <c r="C1191" s="365" t="s">
        <v>312</v>
      </c>
      <c r="D1191" s="364" t="s">
        <v>313</v>
      </c>
      <c r="E1191" s="366">
        <v>9.0</v>
      </c>
      <c r="F1191" s="367">
        <v>45981.58333333333</v>
      </c>
      <c r="G1191" s="364" t="s">
        <v>1185</v>
      </c>
      <c r="H1191" s="364" t="s">
        <v>1195</v>
      </c>
    </row>
    <row r="1192" ht="15.75" customHeight="1">
      <c r="A1192" s="364" t="s">
        <v>60</v>
      </c>
      <c r="B1192" s="364" t="s">
        <v>23</v>
      </c>
      <c r="C1192" s="365" t="s">
        <v>312</v>
      </c>
      <c r="D1192" s="364" t="s">
        <v>313</v>
      </c>
      <c r="E1192" s="366">
        <v>10.0</v>
      </c>
      <c r="F1192" s="367">
        <v>45996.58333333333</v>
      </c>
      <c r="G1192" s="364" t="s">
        <v>1185</v>
      </c>
      <c r="H1192" s="364" t="s">
        <v>1195</v>
      </c>
    </row>
    <row r="1193" ht="15.75" customHeight="1">
      <c r="A1193" s="364" t="s">
        <v>60</v>
      </c>
      <c r="B1193" s="364" t="s">
        <v>23</v>
      </c>
      <c r="C1193" s="365" t="s">
        <v>312</v>
      </c>
      <c r="D1193" s="364" t="s">
        <v>313</v>
      </c>
      <c r="E1193" s="366">
        <v>11.0</v>
      </c>
      <c r="F1193" s="367">
        <v>46006.58333333333</v>
      </c>
      <c r="G1193" s="364" t="s">
        <v>1185</v>
      </c>
      <c r="H1193" s="364" t="s">
        <v>1195</v>
      </c>
    </row>
    <row r="1194" ht="15.75" customHeight="1">
      <c r="A1194" s="364" t="s">
        <v>60</v>
      </c>
      <c r="B1194" s="364" t="s">
        <v>23</v>
      </c>
      <c r="C1194" s="365" t="s">
        <v>312</v>
      </c>
      <c r="D1194" s="364" t="s">
        <v>313</v>
      </c>
      <c r="E1194" s="366">
        <v>12.0</v>
      </c>
      <c r="F1194" s="367">
        <v>46008.58333333333</v>
      </c>
      <c r="G1194" s="364" t="s">
        <v>1185</v>
      </c>
      <c r="H1194" s="364" t="s">
        <v>1195</v>
      </c>
    </row>
    <row r="1195" ht="15.75" customHeight="1">
      <c r="A1195" s="364" t="s">
        <v>60</v>
      </c>
      <c r="B1195" s="364" t="s">
        <v>23</v>
      </c>
      <c r="C1195" s="365" t="s">
        <v>312</v>
      </c>
      <c r="D1195" s="364" t="s">
        <v>313</v>
      </c>
      <c r="E1195" s="366">
        <v>13.0</v>
      </c>
      <c r="F1195" s="367">
        <v>46017.54166666667</v>
      </c>
      <c r="G1195" s="364" t="s">
        <v>1187</v>
      </c>
      <c r="H1195" s="364" t="s">
        <v>1195</v>
      </c>
    </row>
    <row r="1196" ht="15.75" customHeight="1">
      <c r="A1196" s="364" t="s">
        <v>60</v>
      </c>
      <c r="B1196" s="364" t="s">
        <v>23</v>
      </c>
      <c r="C1196" s="365" t="s">
        <v>312</v>
      </c>
      <c r="D1196" s="364" t="s">
        <v>313</v>
      </c>
      <c r="E1196" s="366">
        <v>14.0</v>
      </c>
      <c r="F1196" s="367">
        <v>46021.54166666667</v>
      </c>
      <c r="G1196" s="364" t="s">
        <v>1185</v>
      </c>
      <c r="H1196" s="364" t="s">
        <v>1195</v>
      </c>
    </row>
    <row r="1197" ht="15.75" customHeight="1">
      <c r="A1197" s="364" t="s">
        <v>60</v>
      </c>
      <c r="B1197" s="364" t="s">
        <v>23</v>
      </c>
      <c r="C1197" s="365" t="s">
        <v>312</v>
      </c>
      <c r="D1197" s="364" t="s">
        <v>313</v>
      </c>
      <c r="E1197" s="366">
        <v>15.0</v>
      </c>
      <c r="F1197" s="367">
        <v>46041.54166666667</v>
      </c>
      <c r="G1197" s="364" t="s">
        <v>1185</v>
      </c>
      <c r="H1197" s="364" t="s">
        <v>1195</v>
      </c>
    </row>
    <row r="1198" ht="15.75" customHeight="1">
      <c r="A1198" s="364" t="s">
        <v>60</v>
      </c>
      <c r="B1198" s="364" t="s">
        <v>23</v>
      </c>
      <c r="C1198" s="365" t="s">
        <v>312</v>
      </c>
      <c r="D1198" s="364" t="s">
        <v>313</v>
      </c>
      <c r="E1198" s="366">
        <v>16.0</v>
      </c>
      <c r="F1198" s="367">
        <v>46115.54166666667</v>
      </c>
      <c r="G1198" s="364" t="s">
        <v>1185</v>
      </c>
      <c r="H1198" s="364" t="s">
        <v>1195</v>
      </c>
    </row>
    <row r="1199" ht="15.75" customHeight="1">
      <c r="A1199" s="364" t="s">
        <v>61</v>
      </c>
      <c r="B1199" s="364" t="s">
        <v>22</v>
      </c>
      <c r="C1199" s="365" t="s">
        <v>333</v>
      </c>
      <c r="D1199" s="364" t="s">
        <v>334</v>
      </c>
      <c r="E1199" s="366">
        <v>1.0</v>
      </c>
      <c r="F1199" s="367">
        <v>45644.375</v>
      </c>
      <c r="G1199" s="364" t="s">
        <v>1185</v>
      </c>
      <c r="H1199" s="364" t="s">
        <v>1196</v>
      </c>
    </row>
    <row r="1200" ht="15.75" customHeight="1">
      <c r="A1200" s="364" t="s">
        <v>61</v>
      </c>
      <c r="B1200" s="364" t="s">
        <v>22</v>
      </c>
      <c r="C1200" s="365" t="s">
        <v>333</v>
      </c>
      <c r="D1200" s="364" t="s">
        <v>334</v>
      </c>
      <c r="E1200" s="366">
        <v>2.0</v>
      </c>
      <c r="F1200" s="367">
        <v>45652.375</v>
      </c>
      <c r="G1200" s="364" t="s">
        <v>1185</v>
      </c>
      <c r="H1200" s="364" t="s">
        <v>1196</v>
      </c>
    </row>
    <row r="1201" ht="15.75" customHeight="1">
      <c r="A1201" s="364" t="s">
        <v>61</v>
      </c>
      <c r="B1201" s="364" t="s">
        <v>22</v>
      </c>
      <c r="C1201" s="365" t="s">
        <v>333</v>
      </c>
      <c r="D1201" s="364" t="s">
        <v>334</v>
      </c>
      <c r="E1201" s="366">
        <v>3.0</v>
      </c>
      <c r="F1201" s="367">
        <v>45659.375</v>
      </c>
      <c r="G1201" s="364" t="s">
        <v>1185</v>
      </c>
      <c r="H1201" s="364" t="s">
        <v>1196</v>
      </c>
    </row>
    <row r="1202" ht="15.75" customHeight="1">
      <c r="A1202" s="364" t="s">
        <v>61</v>
      </c>
      <c r="B1202" s="364" t="s">
        <v>22</v>
      </c>
      <c r="C1202" s="365" t="s">
        <v>333</v>
      </c>
      <c r="D1202" s="364" t="s">
        <v>334</v>
      </c>
      <c r="E1202" s="366">
        <v>4.0</v>
      </c>
      <c r="F1202" s="367">
        <v>45671.375</v>
      </c>
      <c r="G1202" s="364" t="s">
        <v>1185</v>
      </c>
      <c r="H1202" s="364" t="s">
        <v>1196</v>
      </c>
    </row>
    <row r="1203" ht="15.75" customHeight="1">
      <c r="A1203" s="364" t="s">
        <v>61</v>
      </c>
      <c r="B1203" s="364" t="s">
        <v>22</v>
      </c>
      <c r="C1203" s="365" t="s">
        <v>333</v>
      </c>
      <c r="D1203" s="364" t="s">
        <v>334</v>
      </c>
      <c r="E1203" s="366">
        <v>5.0</v>
      </c>
      <c r="F1203" s="367">
        <v>45694.375</v>
      </c>
      <c r="G1203" s="364" t="s">
        <v>1185</v>
      </c>
      <c r="H1203" s="364" t="s">
        <v>1196</v>
      </c>
    </row>
    <row r="1204" ht="15.75" customHeight="1">
      <c r="A1204" s="364" t="s">
        <v>61</v>
      </c>
      <c r="B1204" s="364" t="s">
        <v>22</v>
      </c>
      <c r="C1204" s="365" t="s">
        <v>333</v>
      </c>
      <c r="D1204" s="364" t="s">
        <v>334</v>
      </c>
      <c r="E1204" s="366">
        <v>6.0</v>
      </c>
      <c r="F1204" s="367">
        <v>45701.375</v>
      </c>
      <c r="G1204" s="364" t="s">
        <v>1185</v>
      </c>
      <c r="H1204" s="364" t="s">
        <v>1196</v>
      </c>
    </row>
    <row r="1205" ht="15.75" customHeight="1">
      <c r="A1205" s="364" t="s">
        <v>61</v>
      </c>
      <c r="B1205" s="364" t="s">
        <v>22</v>
      </c>
      <c r="C1205" s="365" t="s">
        <v>333</v>
      </c>
      <c r="D1205" s="364" t="s">
        <v>334</v>
      </c>
      <c r="E1205" s="366">
        <v>7.0</v>
      </c>
      <c r="F1205" s="367">
        <v>45707.45833333333</v>
      </c>
      <c r="G1205" s="364" t="s">
        <v>1185</v>
      </c>
      <c r="H1205" s="364" t="s">
        <v>1196</v>
      </c>
    </row>
    <row r="1206" ht="15.75" customHeight="1">
      <c r="A1206" s="364" t="s">
        <v>61</v>
      </c>
      <c r="B1206" s="364" t="s">
        <v>22</v>
      </c>
      <c r="C1206" s="365" t="s">
        <v>333</v>
      </c>
      <c r="D1206" s="364" t="s">
        <v>334</v>
      </c>
      <c r="E1206" s="366">
        <v>8.0</v>
      </c>
      <c r="F1206" s="367">
        <v>45715.375</v>
      </c>
      <c r="G1206" s="364" t="s">
        <v>1187</v>
      </c>
      <c r="H1206" s="364" t="s">
        <v>1196</v>
      </c>
    </row>
    <row r="1207" ht="15.75" customHeight="1">
      <c r="A1207" s="364" t="s">
        <v>61</v>
      </c>
      <c r="B1207" s="364" t="s">
        <v>22</v>
      </c>
      <c r="C1207" s="365" t="s">
        <v>333</v>
      </c>
      <c r="D1207" s="364" t="s">
        <v>334</v>
      </c>
      <c r="E1207" s="366">
        <v>9.0</v>
      </c>
      <c r="F1207" s="367">
        <v>45762.45833333333</v>
      </c>
      <c r="G1207" s="364" t="s">
        <v>1185</v>
      </c>
      <c r="H1207" s="364" t="s">
        <v>1196</v>
      </c>
    </row>
    <row r="1208" ht="15.75" customHeight="1">
      <c r="A1208" s="364" t="s">
        <v>61</v>
      </c>
      <c r="B1208" s="364" t="s">
        <v>22</v>
      </c>
      <c r="C1208" s="365" t="s">
        <v>333</v>
      </c>
      <c r="D1208" s="364" t="s">
        <v>334</v>
      </c>
      <c r="E1208" s="366">
        <v>10.0</v>
      </c>
      <c r="F1208" s="367">
        <v>45799.375</v>
      </c>
      <c r="G1208" s="364" t="s">
        <v>1185</v>
      </c>
      <c r="H1208" s="364" t="s">
        <v>1196</v>
      </c>
    </row>
    <row r="1209" ht="15.75" customHeight="1">
      <c r="A1209" s="364" t="s">
        <v>61</v>
      </c>
      <c r="B1209" s="364" t="s">
        <v>22</v>
      </c>
      <c r="C1209" s="365" t="s">
        <v>335</v>
      </c>
      <c r="D1209" s="364" t="s">
        <v>336</v>
      </c>
      <c r="E1209" s="366">
        <v>1.0</v>
      </c>
      <c r="F1209" s="367">
        <v>45644.375</v>
      </c>
      <c r="G1209" s="364" t="s">
        <v>1185</v>
      </c>
      <c r="H1209" s="364" t="s">
        <v>1196</v>
      </c>
    </row>
    <row r="1210" ht="15.75" customHeight="1">
      <c r="A1210" s="364" t="s">
        <v>61</v>
      </c>
      <c r="B1210" s="364" t="s">
        <v>22</v>
      </c>
      <c r="C1210" s="365" t="s">
        <v>335</v>
      </c>
      <c r="D1210" s="364" t="s">
        <v>336</v>
      </c>
      <c r="E1210" s="366">
        <v>2.0</v>
      </c>
      <c r="F1210" s="367">
        <v>45652.375</v>
      </c>
      <c r="G1210" s="364" t="s">
        <v>1185</v>
      </c>
      <c r="H1210" s="364" t="s">
        <v>1196</v>
      </c>
    </row>
    <row r="1211" ht="15.75" customHeight="1">
      <c r="A1211" s="364" t="s">
        <v>61</v>
      </c>
      <c r="B1211" s="364" t="s">
        <v>22</v>
      </c>
      <c r="C1211" s="365" t="s">
        <v>335</v>
      </c>
      <c r="D1211" s="364" t="s">
        <v>336</v>
      </c>
      <c r="E1211" s="366">
        <v>3.0</v>
      </c>
      <c r="F1211" s="367">
        <v>45659.375</v>
      </c>
      <c r="G1211" s="364" t="s">
        <v>1185</v>
      </c>
      <c r="H1211" s="364" t="s">
        <v>1196</v>
      </c>
    </row>
    <row r="1212" ht="15.75" customHeight="1">
      <c r="A1212" s="364" t="s">
        <v>61</v>
      </c>
      <c r="B1212" s="364" t="s">
        <v>22</v>
      </c>
      <c r="C1212" s="365" t="s">
        <v>335</v>
      </c>
      <c r="D1212" s="364" t="s">
        <v>336</v>
      </c>
      <c r="E1212" s="366">
        <v>4.0</v>
      </c>
      <c r="F1212" s="367">
        <v>45671.375</v>
      </c>
      <c r="G1212" s="364" t="s">
        <v>1185</v>
      </c>
      <c r="H1212" s="364" t="s">
        <v>1196</v>
      </c>
    </row>
    <row r="1213" ht="15.75" customHeight="1">
      <c r="A1213" s="364" t="s">
        <v>61</v>
      </c>
      <c r="B1213" s="364" t="s">
        <v>22</v>
      </c>
      <c r="C1213" s="365" t="s">
        <v>335</v>
      </c>
      <c r="D1213" s="364" t="s">
        <v>336</v>
      </c>
      <c r="E1213" s="366">
        <v>5.0</v>
      </c>
      <c r="F1213" s="367">
        <v>45694.375</v>
      </c>
      <c r="G1213" s="364" t="s">
        <v>1185</v>
      </c>
      <c r="H1213" s="364" t="s">
        <v>1196</v>
      </c>
    </row>
    <row r="1214" ht="15.75" customHeight="1">
      <c r="A1214" s="364" t="s">
        <v>61</v>
      </c>
      <c r="B1214" s="364" t="s">
        <v>22</v>
      </c>
      <c r="C1214" s="365" t="s">
        <v>335</v>
      </c>
      <c r="D1214" s="364" t="s">
        <v>336</v>
      </c>
      <c r="E1214" s="366">
        <v>6.0</v>
      </c>
      <c r="F1214" s="367">
        <v>45701.375</v>
      </c>
      <c r="G1214" s="364" t="s">
        <v>1185</v>
      </c>
      <c r="H1214" s="364" t="s">
        <v>1196</v>
      </c>
    </row>
    <row r="1215" ht="15.75" customHeight="1">
      <c r="A1215" s="364" t="s">
        <v>61</v>
      </c>
      <c r="B1215" s="364" t="s">
        <v>22</v>
      </c>
      <c r="C1215" s="365" t="s">
        <v>335</v>
      </c>
      <c r="D1215" s="364" t="s">
        <v>336</v>
      </c>
      <c r="E1215" s="366">
        <v>7.0</v>
      </c>
      <c r="F1215" s="367">
        <v>45707.45833333333</v>
      </c>
      <c r="G1215" s="364" t="s">
        <v>1185</v>
      </c>
      <c r="H1215" s="364" t="s">
        <v>1196</v>
      </c>
    </row>
    <row r="1216" ht="15.75" customHeight="1">
      <c r="A1216" s="364" t="s">
        <v>61</v>
      </c>
      <c r="B1216" s="364" t="s">
        <v>22</v>
      </c>
      <c r="C1216" s="365" t="s">
        <v>335</v>
      </c>
      <c r="D1216" s="364" t="s">
        <v>336</v>
      </c>
      <c r="E1216" s="366">
        <v>8.0</v>
      </c>
      <c r="F1216" s="367">
        <v>45715.375</v>
      </c>
      <c r="G1216" s="364" t="s">
        <v>1185</v>
      </c>
      <c r="H1216" s="364" t="s">
        <v>1196</v>
      </c>
    </row>
    <row r="1217" ht="15.75" customHeight="1">
      <c r="A1217" s="364" t="s">
        <v>61</v>
      </c>
      <c r="B1217" s="364" t="s">
        <v>22</v>
      </c>
      <c r="C1217" s="365" t="s">
        <v>335</v>
      </c>
      <c r="D1217" s="364" t="s">
        <v>336</v>
      </c>
      <c r="E1217" s="366">
        <v>9.0</v>
      </c>
      <c r="F1217" s="367">
        <v>45762.45833333333</v>
      </c>
      <c r="G1217" s="364" t="s">
        <v>1185</v>
      </c>
      <c r="H1217" s="364" t="s">
        <v>1196</v>
      </c>
    </row>
    <row r="1218" ht="15.75" customHeight="1">
      <c r="A1218" s="364" t="s">
        <v>61</v>
      </c>
      <c r="B1218" s="364" t="s">
        <v>22</v>
      </c>
      <c r="C1218" s="365" t="s">
        <v>335</v>
      </c>
      <c r="D1218" s="364" t="s">
        <v>336</v>
      </c>
      <c r="E1218" s="366">
        <v>10.0</v>
      </c>
      <c r="F1218" s="367">
        <v>45799.375</v>
      </c>
      <c r="G1218" s="364" t="s">
        <v>1185</v>
      </c>
      <c r="H1218" s="364" t="s">
        <v>1196</v>
      </c>
    </row>
    <row r="1219" ht="15.75" customHeight="1">
      <c r="A1219" s="364" t="s">
        <v>61</v>
      </c>
      <c r="B1219" s="364" t="s">
        <v>22</v>
      </c>
      <c r="C1219" s="365" t="s">
        <v>337</v>
      </c>
      <c r="D1219" s="364" t="s">
        <v>338</v>
      </c>
      <c r="E1219" s="366">
        <v>1.0</v>
      </c>
      <c r="F1219" s="367">
        <v>45644.375</v>
      </c>
      <c r="G1219" s="364" t="s">
        <v>1185</v>
      </c>
      <c r="H1219" s="364" t="s">
        <v>1196</v>
      </c>
    </row>
    <row r="1220" ht="15.75" customHeight="1">
      <c r="A1220" s="364" t="s">
        <v>61</v>
      </c>
      <c r="B1220" s="364" t="s">
        <v>22</v>
      </c>
      <c r="C1220" s="365" t="s">
        <v>337</v>
      </c>
      <c r="D1220" s="364" t="s">
        <v>338</v>
      </c>
      <c r="E1220" s="366">
        <v>2.0</v>
      </c>
      <c r="F1220" s="367">
        <v>45652.375</v>
      </c>
      <c r="G1220" s="364" t="s">
        <v>1187</v>
      </c>
      <c r="H1220" s="364" t="s">
        <v>1196</v>
      </c>
    </row>
    <row r="1221" ht="15.75" customHeight="1">
      <c r="A1221" s="364" t="s">
        <v>61</v>
      </c>
      <c r="B1221" s="364" t="s">
        <v>22</v>
      </c>
      <c r="C1221" s="365" t="s">
        <v>337</v>
      </c>
      <c r="D1221" s="364" t="s">
        <v>338</v>
      </c>
      <c r="E1221" s="366">
        <v>3.0</v>
      </c>
      <c r="F1221" s="367">
        <v>45659.375</v>
      </c>
      <c r="G1221" s="364" t="s">
        <v>1185</v>
      </c>
      <c r="H1221" s="364" t="s">
        <v>1196</v>
      </c>
    </row>
    <row r="1222" ht="15.75" customHeight="1">
      <c r="A1222" s="364" t="s">
        <v>61</v>
      </c>
      <c r="B1222" s="364" t="s">
        <v>22</v>
      </c>
      <c r="C1222" s="365" t="s">
        <v>337</v>
      </c>
      <c r="D1222" s="364" t="s">
        <v>338</v>
      </c>
      <c r="E1222" s="366">
        <v>4.0</v>
      </c>
      <c r="F1222" s="367">
        <v>45671.375</v>
      </c>
      <c r="G1222" s="364" t="s">
        <v>1185</v>
      </c>
      <c r="H1222" s="364" t="s">
        <v>1196</v>
      </c>
    </row>
    <row r="1223" ht="15.75" customHeight="1">
      <c r="A1223" s="364" t="s">
        <v>61</v>
      </c>
      <c r="B1223" s="364" t="s">
        <v>22</v>
      </c>
      <c r="C1223" s="365" t="s">
        <v>337</v>
      </c>
      <c r="D1223" s="364" t="s">
        <v>338</v>
      </c>
      <c r="E1223" s="366">
        <v>5.0</v>
      </c>
      <c r="F1223" s="367">
        <v>45694.375</v>
      </c>
      <c r="G1223" s="364" t="s">
        <v>1185</v>
      </c>
      <c r="H1223" s="364" t="s">
        <v>1196</v>
      </c>
    </row>
    <row r="1224" ht="15.75" customHeight="1">
      <c r="A1224" s="364" t="s">
        <v>61</v>
      </c>
      <c r="B1224" s="364" t="s">
        <v>22</v>
      </c>
      <c r="C1224" s="365" t="s">
        <v>337</v>
      </c>
      <c r="D1224" s="364" t="s">
        <v>338</v>
      </c>
      <c r="E1224" s="366">
        <v>6.0</v>
      </c>
      <c r="F1224" s="367">
        <v>45701.375</v>
      </c>
      <c r="G1224" s="364" t="s">
        <v>1185</v>
      </c>
      <c r="H1224" s="364" t="s">
        <v>1196</v>
      </c>
    </row>
    <row r="1225" ht="15.75" customHeight="1">
      <c r="A1225" s="364" t="s">
        <v>61</v>
      </c>
      <c r="B1225" s="364" t="s">
        <v>22</v>
      </c>
      <c r="C1225" s="365" t="s">
        <v>337</v>
      </c>
      <c r="D1225" s="364" t="s">
        <v>338</v>
      </c>
      <c r="E1225" s="366">
        <v>7.0</v>
      </c>
      <c r="F1225" s="367">
        <v>45707.45833333333</v>
      </c>
      <c r="G1225" s="364" t="s">
        <v>1185</v>
      </c>
      <c r="H1225" s="364" t="s">
        <v>1196</v>
      </c>
    </row>
    <row r="1226" ht="15.75" customHeight="1">
      <c r="A1226" s="364" t="s">
        <v>61</v>
      </c>
      <c r="B1226" s="364" t="s">
        <v>22</v>
      </c>
      <c r="C1226" s="365" t="s">
        <v>337</v>
      </c>
      <c r="D1226" s="364" t="s">
        <v>338</v>
      </c>
      <c r="E1226" s="366">
        <v>8.0</v>
      </c>
      <c r="F1226" s="367">
        <v>45715.375</v>
      </c>
      <c r="G1226" s="364" t="s">
        <v>1185</v>
      </c>
      <c r="H1226" s="364" t="s">
        <v>1196</v>
      </c>
    </row>
    <row r="1227" ht="15.75" customHeight="1">
      <c r="A1227" s="364" t="s">
        <v>61</v>
      </c>
      <c r="B1227" s="364" t="s">
        <v>22</v>
      </c>
      <c r="C1227" s="365" t="s">
        <v>337</v>
      </c>
      <c r="D1227" s="364" t="s">
        <v>338</v>
      </c>
      <c r="E1227" s="366">
        <v>9.0</v>
      </c>
      <c r="F1227" s="367">
        <v>45762.45833333333</v>
      </c>
      <c r="G1227" s="364" t="s">
        <v>1185</v>
      </c>
      <c r="H1227" s="364" t="s">
        <v>1196</v>
      </c>
    </row>
    <row r="1228" ht="15.75" customHeight="1">
      <c r="A1228" s="364" t="s">
        <v>61</v>
      </c>
      <c r="B1228" s="364" t="s">
        <v>22</v>
      </c>
      <c r="C1228" s="365" t="s">
        <v>337</v>
      </c>
      <c r="D1228" s="364" t="s">
        <v>338</v>
      </c>
      <c r="E1228" s="366">
        <v>10.0</v>
      </c>
      <c r="F1228" s="367">
        <v>45799.375</v>
      </c>
      <c r="G1228" s="364" t="s">
        <v>1185</v>
      </c>
      <c r="H1228" s="364" t="s">
        <v>1196</v>
      </c>
    </row>
    <row r="1229" ht="15.75" customHeight="1">
      <c r="A1229" s="364" t="s">
        <v>61</v>
      </c>
      <c r="B1229" s="364" t="s">
        <v>22</v>
      </c>
      <c r="C1229" s="365" t="s">
        <v>347</v>
      </c>
      <c r="D1229" s="364" t="s">
        <v>348</v>
      </c>
      <c r="E1229" s="366">
        <v>1.0</v>
      </c>
      <c r="F1229" s="367">
        <v>45644.375</v>
      </c>
      <c r="G1229" s="364" t="s">
        <v>1185</v>
      </c>
      <c r="H1229" s="364" t="s">
        <v>1196</v>
      </c>
    </row>
    <row r="1230" ht="15.75" customHeight="1">
      <c r="A1230" s="364" t="s">
        <v>61</v>
      </c>
      <c r="B1230" s="364" t="s">
        <v>22</v>
      </c>
      <c r="C1230" s="365" t="s">
        <v>347</v>
      </c>
      <c r="D1230" s="364" t="s">
        <v>348</v>
      </c>
      <c r="E1230" s="366">
        <v>2.0</v>
      </c>
      <c r="F1230" s="367">
        <v>45652.375</v>
      </c>
      <c r="G1230" s="364" t="s">
        <v>1185</v>
      </c>
      <c r="H1230" s="364" t="s">
        <v>1196</v>
      </c>
    </row>
    <row r="1231" ht="15.75" customHeight="1">
      <c r="A1231" s="364" t="s">
        <v>61</v>
      </c>
      <c r="B1231" s="364" t="s">
        <v>22</v>
      </c>
      <c r="C1231" s="365" t="s">
        <v>347</v>
      </c>
      <c r="D1231" s="364" t="s">
        <v>348</v>
      </c>
      <c r="E1231" s="366">
        <v>3.0</v>
      </c>
      <c r="F1231" s="367">
        <v>45659.375</v>
      </c>
      <c r="G1231" s="364" t="s">
        <v>1185</v>
      </c>
      <c r="H1231" s="364" t="s">
        <v>1196</v>
      </c>
    </row>
    <row r="1232" ht="15.75" customHeight="1">
      <c r="A1232" s="364" t="s">
        <v>61</v>
      </c>
      <c r="B1232" s="364" t="s">
        <v>22</v>
      </c>
      <c r="C1232" s="365" t="s">
        <v>347</v>
      </c>
      <c r="D1232" s="364" t="s">
        <v>348</v>
      </c>
      <c r="E1232" s="366">
        <v>4.0</v>
      </c>
      <c r="F1232" s="367">
        <v>45671.375</v>
      </c>
      <c r="G1232" s="364" t="s">
        <v>1185</v>
      </c>
      <c r="H1232" s="364" t="s">
        <v>1196</v>
      </c>
    </row>
    <row r="1233" ht="15.75" customHeight="1">
      <c r="A1233" s="364" t="s">
        <v>61</v>
      </c>
      <c r="B1233" s="364" t="s">
        <v>22</v>
      </c>
      <c r="C1233" s="365" t="s">
        <v>347</v>
      </c>
      <c r="D1233" s="364" t="s">
        <v>348</v>
      </c>
      <c r="E1233" s="366">
        <v>5.0</v>
      </c>
      <c r="F1233" s="367">
        <v>45694.375</v>
      </c>
      <c r="G1233" s="364" t="s">
        <v>1185</v>
      </c>
      <c r="H1233" s="364" t="s">
        <v>1196</v>
      </c>
    </row>
    <row r="1234" ht="15.75" customHeight="1">
      <c r="A1234" s="364" t="s">
        <v>61</v>
      </c>
      <c r="B1234" s="364" t="s">
        <v>22</v>
      </c>
      <c r="C1234" s="365" t="s">
        <v>347</v>
      </c>
      <c r="D1234" s="364" t="s">
        <v>348</v>
      </c>
      <c r="E1234" s="366">
        <v>6.0</v>
      </c>
      <c r="F1234" s="367">
        <v>45701.375</v>
      </c>
      <c r="G1234" s="364" t="s">
        <v>1185</v>
      </c>
      <c r="H1234" s="364" t="s">
        <v>1196</v>
      </c>
    </row>
    <row r="1235" ht="15.75" customHeight="1">
      <c r="A1235" s="364" t="s">
        <v>61</v>
      </c>
      <c r="B1235" s="364" t="s">
        <v>22</v>
      </c>
      <c r="C1235" s="365" t="s">
        <v>347</v>
      </c>
      <c r="D1235" s="364" t="s">
        <v>348</v>
      </c>
      <c r="E1235" s="366">
        <v>7.0</v>
      </c>
      <c r="F1235" s="367">
        <v>45707.45833333333</v>
      </c>
      <c r="G1235" s="364" t="s">
        <v>1185</v>
      </c>
      <c r="H1235" s="364" t="s">
        <v>1196</v>
      </c>
    </row>
    <row r="1236" ht="15.75" customHeight="1">
      <c r="A1236" s="364" t="s">
        <v>61</v>
      </c>
      <c r="B1236" s="364" t="s">
        <v>22</v>
      </c>
      <c r="C1236" s="365" t="s">
        <v>347</v>
      </c>
      <c r="D1236" s="364" t="s">
        <v>348</v>
      </c>
      <c r="E1236" s="366">
        <v>8.0</v>
      </c>
      <c r="F1236" s="367">
        <v>45715.375</v>
      </c>
      <c r="G1236" s="364" t="s">
        <v>1185</v>
      </c>
      <c r="H1236" s="364" t="s">
        <v>1196</v>
      </c>
    </row>
    <row r="1237" ht="15.75" customHeight="1">
      <c r="A1237" s="364" t="s">
        <v>61</v>
      </c>
      <c r="B1237" s="364" t="s">
        <v>22</v>
      </c>
      <c r="C1237" s="365" t="s">
        <v>347</v>
      </c>
      <c r="D1237" s="364" t="s">
        <v>348</v>
      </c>
      <c r="E1237" s="366">
        <v>9.0</v>
      </c>
      <c r="F1237" s="367">
        <v>45762.45833333333</v>
      </c>
      <c r="G1237" s="364" t="s">
        <v>1185</v>
      </c>
      <c r="H1237" s="364" t="s">
        <v>1196</v>
      </c>
    </row>
    <row r="1238" ht="15.75" customHeight="1">
      <c r="A1238" s="364" t="s">
        <v>61</v>
      </c>
      <c r="B1238" s="364" t="s">
        <v>22</v>
      </c>
      <c r="C1238" s="365" t="s">
        <v>347</v>
      </c>
      <c r="D1238" s="364" t="s">
        <v>348</v>
      </c>
      <c r="E1238" s="366">
        <v>10.0</v>
      </c>
      <c r="F1238" s="367">
        <v>45799.375</v>
      </c>
      <c r="G1238" s="364" t="s">
        <v>1185</v>
      </c>
      <c r="H1238" s="364" t="s">
        <v>1196</v>
      </c>
    </row>
    <row r="1239" ht="15.75" customHeight="1">
      <c r="A1239" s="364" t="s">
        <v>61</v>
      </c>
      <c r="B1239" s="364" t="s">
        <v>22</v>
      </c>
      <c r="C1239" s="365" t="s">
        <v>349</v>
      </c>
      <c r="D1239" s="364" t="s">
        <v>350</v>
      </c>
      <c r="E1239" s="366">
        <v>1.0</v>
      </c>
      <c r="F1239" s="367">
        <v>45644.375</v>
      </c>
      <c r="G1239" s="364" t="s">
        <v>1185</v>
      </c>
      <c r="H1239" s="364" t="s">
        <v>1196</v>
      </c>
    </row>
    <row r="1240" ht="15.75" customHeight="1">
      <c r="A1240" s="364" t="s">
        <v>61</v>
      </c>
      <c r="B1240" s="364" t="s">
        <v>22</v>
      </c>
      <c r="C1240" s="365" t="s">
        <v>349</v>
      </c>
      <c r="D1240" s="364" t="s">
        <v>350</v>
      </c>
      <c r="E1240" s="366">
        <v>2.0</v>
      </c>
      <c r="F1240" s="367">
        <v>45652.375</v>
      </c>
      <c r="G1240" s="364" t="s">
        <v>1185</v>
      </c>
      <c r="H1240" s="364" t="s">
        <v>1196</v>
      </c>
    </row>
    <row r="1241" ht="15.75" customHeight="1">
      <c r="A1241" s="364" t="s">
        <v>61</v>
      </c>
      <c r="B1241" s="364" t="s">
        <v>22</v>
      </c>
      <c r="C1241" s="365" t="s">
        <v>349</v>
      </c>
      <c r="D1241" s="364" t="s">
        <v>350</v>
      </c>
      <c r="E1241" s="366">
        <v>3.0</v>
      </c>
      <c r="F1241" s="367">
        <v>45659.375</v>
      </c>
      <c r="G1241" s="364" t="s">
        <v>1185</v>
      </c>
      <c r="H1241" s="364" t="s">
        <v>1196</v>
      </c>
    </row>
    <row r="1242" ht="15.75" customHeight="1">
      <c r="A1242" s="364" t="s">
        <v>61</v>
      </c>
      <c r="B1242" s="364" t="s">
        <v>22</v>
      </c>
      <c r="C1242" s="365" t="s">
        <v>349</v>
      </c>
      <c r="D1242" s="364" t="s">
        <v>350</v>
      </c>
      <c r="E1242" s="366">
        <v>4.0</v>
      </c>
      <c r="F1242" s="367">
        <v>45671.375</v>
      </c>
      <c r="G1242" s="364" t="s">
        <v>1185</v>
      </c>
      <c r="H1242" s="364" t="s">
        <v>1196</v>
      </c>
    </row>
    <row r="1243" ht="15.75" customHeight="1">
      <c r="A1243" s="364" t="s">
        <v>61</v>
      </c>
      <c r="B1243" s="364" t="s">
        <v>22</v>
      </c>
      <c r="C1243" s="365" t="s">
        <v>349</v>
      </c>
      <c r="D1243" s="364" t="s">
        <v>350</v>
      </c>
      <c r="E1243" s="366">
        <v>5.0</v>
      </c>
      <c r="F1243" s="367">
        <v>45694.375</v>
      </c>
      <c r="G1243" s="364" t="s">
        <v>1185</v>
      </c>
      <c r="H1243" s="364" t="s">
        <v>1196</v>
      </c>
    </row>
    <row r="1244" ht="15.75" customHeight="1">
      <c r="A1244" s="364" t="s">
        <v>61</v>
      </c>
      <c r="B1244" s="364" t="s">
        <v>22</v>
      </c>
      <c r="C1244" s="365" t="s">
        <v>349</v>
      </c>
      <c r="D1244" s="364" t="s">
        <v>350</v>
      </c>
      <c r="E1244" s="366">
        <v>6.0</v>
      </c>
      <c r="F1244" s="367">
        <v>45701.375</v>
      </c>
      <c r="G1244" s="364" t="s">
        <v>1185</v>
      </c>
      <c r="H1244" s="364" t="s">
        <v>1196</v>
      </c>
    </row>
    <row r="1245" ht="15.75" customHeight="1">
      <c r="A1245" s="364" t="s">
        <v>61</v>
      </c>
      <c r="B1245" s="364" t="s">
        <v>22</v>
      </c>
      <c r="C1245" s="365" t="s">
        <v>349</v>
      </c>
      <c r="D1245" s="364" t="s">
        <v>350</v>
      </c>
      <c r="E1245" s="366">
        <v>7.0</v>
      </c>
      <c r="F1245" s="367">
        <v>45707.45833333333</v>
      </c>
      <c r="G1245" s="364" t="s">
        <v>1185</v>
      </c>
      <c r="H1245" s="364" t="s">
        <v>1196</v>
      </c>
    </row>
    <row r="1246" ht="15.75" customHeight="1">
      <c r="A1246" s="364" t="s">
        <v>61</v>
      </c>
      <c r="B1246" s="364" t="s">
        <v>22</v>
      </c>
      <c r="C1246" s="365" t="s">
        <v>349</v>
      </c>
      <c r="D1246" s="364" t="s">
        <v>350</v>
      </c>
      <c r="E1246" s="366">
        <v>8.0</v>
      </c>
      <c r="F1246" s="367">
        <v>45715.375</v>
      </c>
      <c r="G1246" s="364" t="s">
        <v>1185</v>
      </c>
      <c r="H1246" s="364" t="s">
        <v>1196</v>
      </c>
    </row>
    <row r="1247" ht="15.75" customHeight="1">
      <c r="A1247" s="364" t="s">
        <v>61</v>
      </c>
      <c r="B1247" s="364" t="s">
        <v>22</v>
      </c>
      <c r="C1247" s="365" t="s">
        <v>349</v>
      </c>
      <c r="D1247" s="364" t="s">
        <v>350</v>
      </c>
      <c r="E1247" s="366">
        <v>9.0</v>
      </c>
      <c r="F1247" s="367">
        <v>45762.45833333333</v>
      </c>
      <c r="G1247" s="364" t="s">
        <v>1185</v>
      </c>
      <c r="H1247" s="364" t="s">
        <v>1196</v>
      </c>
    </row>
    <row r="1248" ht="15.75" customHeight="1">
      <c r="A1248" s="364" t="s">
        <v>61</v>
      </c>
      <c r="B1248" s="364" t="s">
        <v>22</v>
      </c>
      <c r="C1248" s="365" t="s">
        <v>349</v>
      </c>
      <c r="D1248" s="364" t="s">
        <v>350</v>
      </c>
      <c r="E1248" s="366">
        <v>10.0</v>
      </c>
      <c r="F1248" s="367">
        <v>45799.375</v>
      </c>
      <c r="G1248" s="364" t="s">
        <v>1185</v>
      </c>
      <c r="H1248" s="364" t="s">
        <v>1196</v>
      </c>
    </row>
    <row r="1249" ht="15.75" customHeight="1">
      <c r="A1249" s="364" t="s">
        <v>61</v>
      </c>
      <c r="B1249" s="364" t="s">
        <v>23</v>
      </c>
      <c r="C1249" s="365" t="s">
        <v>331</v>
      </c>
      <c r="D1249" s="364" t="s">
        <v>332</v>
      </c>
      <c r="E1249" s="366">
        <v>1.0</v>
      </c>
      <c r="F1249" s="367">
        <v>45853.375</v>
      </c>
      <c r="G1249" s="364" t="s">
        <v>1185</v>
      </c>
      <c r="H1249" s="364" t="s">
        <v>1196</v>
      </c>
    </row>
    <row r="1250" ht="15.75" customHeight="1">
      <c r="A1250" s="364" t="s">
        <v>61</v>
      </c>
      <c r="B1250" s="364" t="s">
        <v>23</v>
      </c>
      <c r="C1250" s="365" t="s">
        <v>331</v>
      </c>
      <c r="D1250" s="364" t="s">
        <v>332</v>
      </c>
      <c r="E1250" s="366">
        <v>2.0</v>
      </c>
      <c r="F1250" s="367">
        <v>45853.45833333333</v>
      </c>
      <c r="G1250" s="364" t="s">
        <v>1185</v>
      </c>
      <c r="H1250" s="364" t="s">
        <v>1196</v>
      </c>
    </row>
    <row r="1251" ht="15.75" customHeight="1">
      <c r="A1251" s="364" t="s">
        <v>61</v>
      </c>
      <c r="B1251" s="364" t="s">
        <v>23</v>
      </c>
      <c r="C1251" s="365" t="s">
        <v>331</v>
      </c>
      <c r="D1251" s="364" t="s">
        <v>332</v>
      </c>
      <c r="E1251" s="366">
        <v>3.0</v>
      </c>
      <c r="F1251" s="367">
        <v>45888.375</v>
      </c>
      <c r="G1251" s="364" t="s">
        <v>1185</v>
      </c>
      <c r="H1251" s="364" t="s">
        <v>1196</v>
      </c>
    </row>
    <row r="1252" ht="15.75" customHeight="1">
      <c r="A1252" s="364" t="s">
        <v>61</v>
      </c>
      <c r="B1252" s="364" t="s">
        <v>23</v>
      </c>
      <c r="C1252" s="365" t="s">
        <v>331</v>
      </c>
      <c r="D1252" s="364" t="s">
        <v>332</v>
      </c>
      <c r="E1252" s="366">
        <v>4.0</v>
      </c>
      <c r="F1252" s="367">
        <v>45895.45833333333</v>
      </c>
      <c r="G1252" s="364" t="s">
        <v>1185</v>
      </c>
      <c r="H1252" s="364" t="s">
        <v>1196</v>
      </c>
    </row>
    <row r="1253" ht="15.75" customHeight="1">
      <c r="A1253" s="364" t="s">
        <v>61</v>
      </c>
      <c r="B1253" s="364" t="s">
        <v>23</v>
      </c>
      <c r="C1253" s="365" t="s">
        <v>333</v>
      </c>
      <c r="D1253" s="364" t="s">
        <v>334</v>
      </c>
      <c r="E1253" s="366">
        <v>1.0</v>
      </c>
      <c r="F1253" s="367">
        <v>45853.375</v>
      </c>
      <c r="G1253" s="364" t="s">
        <v>1185</v>
      </c>
      <c r="H1253" s="364" t="s">
        <v>1196</v>
      </c>
    </row>
    <row r="1254" ht="15.75" customHeight="1">
      <c r="A1254" s="364" t="s">
        <v>61</v>
      </c>
      <c r="B1254" s="364" t="s">
        <v>23</v>
      </c>
      <c r="C1254" s="365" t="s">
        <v>333</v>
      </c>
      <c r="D1254" s="364" t="s">
        <v>334</v>
      </c>
      <c r="E1254" s="366">
        <v>2.0</v>
      </c>
      <c r="F1254" s="367">
        <v>45853.45833333333</v>
      </c>
      <c r="G1254" s="364" t="s">
        <v>1185</v>
      </c>
      <c r="H1254" s="364" t="s">
        <v>1196</v>
      </c>
    </row>
    <row r="1255" ht="15.75" customHeight="1">
      <c r="A1255" s="364" t="s">
        <v>61</v>
      </c>
      <c r="B1255" s="364" t="s">
        <v>23</v>
      </c>
      <c r="C1255" s="365" t="s">
        <v>333</v>
      </c>
      <c r="D1255" s="364" t="s">
        <v>334</v>
      </c>
      <c r="E1255" s="366">
        <v>3.0</v>
      </c>
      <c r="F1255" s="367">
        <v>45888.375</v>
      </c>
      <c r="G1255" s="364" t="s">
        <v>1185</v>
      </c>
      <c r="H1255" s="364" t="s">
        <v>1196</v>
      </c>
    </row>
    <row r="1256" ht="15.75" customHeight="1">
      <c r="A1256" s="364" t="s">
        <v>61</v>
      </c>
      <c r="B1256" s="364" t="s">
        <v>23</v>
      </c>
      <c r="C1256" s="365" t="s">
        <v>333</v>
      </c>
      <c r="D1256" s="364" t="s">
        <v>334</v>
      </c>
      <c r="E1256" s="366">
        <v>4.0</v>
      </c>
      <c r="F1256" s="367">
        <v>45895.45833333333</v>
      </c>
      <c r="G1256" s="364" t="s">
        <v>1185</v>
      </c>
      <c r="H1256" s="364" t="s">
        <v>1196</v>
      </c>
    </row>
    <row r="1257" ht="15.75" customHeight="1">
      <c r="A1257" s="364" t="s">
        <v>61</v>
      </c>
      <c r="B1257" s="364" t="s">
        <v>23</v>
      </c>
      <c r="C1257" s="365" t="s">
        <v>335</v>
      </c>
      <c r="D1257" s="364" t="s">
        <v>336</v>
      </c>
      <c r="E1257" s="366">
        <v>1.0</v>
      </c>
      <c r="F1257" s="367">
        <v>45853.375</v>
      </c>
      <c r="G1257" s="364" t="s">
        <v>1185</v>
      </c>
      <c r="H1257" s="364" t="s">
        <v>1196</v>
      </c>
    </row>
    <row r="1258" ht="15.75" customHeight="1">
      <c r="A1258" s="364" t="s">
        <v>61</v>
      </c>
      <c r="B1258" s="364" t="s">
        <v>23</v>
      </c>
      <c r="C1258" s="365" t="s">
        <v>335</v>
      </c>
      <c r="D1258" s="364" t="s">
        <v>336</v>
      </c>
      <c r="E1258" s="366">
        <v>2.0</v>
      </c>
      <c r="F1258" s="367">
        <v>45853.45833333333</v>
      </c>
      <c r="G1258" s="364" t="s">
        <v>1185</v>
      </c>
      <c r="H1258" s="364" t="s">
        <v>1196</v>
      </c>
    </row>
    <row r="1259" ht="15.75" customHeight="1">
      <c r="A1259" s="364" t="s">
        <v>61</v>
      </c>
      <c r="B1259" s="364" t="s">
        <v>23</v>
      </c>
      <c r="C1259" s="365" t="s">
        <v>335</v>
      </c>
      <c r="D1259" s="364" t="s">
        <v>336</v>
      </c>
      <c r="E1259" s="366">
        <v>3.0</v>
      </c>
      <c r="F1259" s="367">
        <v>45888.375</v>
      </c>
      <c r="G1259" s="364" t="s">
        <v>1185</v>
      </c>
      <c r="H1259" s="364" t="s">
        <v>1196</v>
      </c>
    </row>
    <row r="1260" ht="15.75" customHeight="1">
      <c r="A1260" s="364" t="s">
        <v>61</v>
      </c>
      <c r="B1260" s="364" t="s">
        <v>23</v>
      </c>
      <c r="C1260" s="365" t="s">
        <v>335</v>
      </c>
      <c r="D1260" s="364" t="s">
        <v>336</v>
      </c>
      <c r="E1260" s="366">
        <v>4.0</v>
      </c>
      <c r="F1260" s="367">
        <v>45895.45833333333</v>
      </c>
      <c r="G1260" s="364" t="s">
        <v>1185</v>
      </c>
      <c r="H1260" s="364" t="s">
        <v>1196</v>
      </c>
    </row>
    <row r="1261" ht="15.75" customHeight="1">
      <c r="A1261" s="364" t="s">
        <v>61</v>
      </c>
      <c r="B1261" s="364" t="s">
        <v>23</v>
      </c>
      <c r="C1261" s="365" t="s">
        <v>337</v>
      </c>
      <c r="D1261" s="364" t="s">
        <v>338</v>
      </c>
      <c r="E1261" s="366">
        <v>1.0</v>
      </c>
      <c r="F1261" s="367">
        <v>45853.375</v>
      </c>
      <c r="G1261" s="364" t="s">
        <v>1185</v>
      </c>
      <c r="H1261" s="364" t="s">
        <v>1196</v>
      </c>
    </row>
    <row r="1262" ht="15.75" customHeight="1">
      <c r="A1262" s="364" t="s">
        <v>61</v>
      </c>
      <c r="B1262" s="364" t="s">
        <v>23</v>
      </c>
      <c r="C1262" s="365" t="s">
        <v>337</v>
      </c>
      <c r="D1262" s="364" t="s">
        <v>338</v>
      </c>
      <c r="E1262" s="366">
        <v>2.0</v>
      </c>
      <c r="F1262" s="367">
        <v>45853.45833333333</v>
      </c>
      <c r="G1262" s="364" t="s">
        <v>1185</v>
      </c>
      <c r="H1262" s="364" t="s">
        <v>1196</v>
      </c>
    </row>
    <row r="1263" ht="15.75" customHeight="1">
      <c r="A1263" s="364" t="s">
        <v>61</v>
      </c>
      <c r="B1263" s="364" t="s">
        <v>23</v>
      </c>
      <c r="C1263" s="365" t="s">
        <v>337</v>
      </c>
      <c r="D1263" s="364" t="s">
        <v>338</v>
      </c>
      <c r="E1263" s="366">
        <v>3.0</v>
      </c>
      <c r="F1263" s="367">
        <v>45888.375</v>
      </c>
      <c r="G1263" s="364" t="s">
        <v>1185</v>
      </c>
      <c r="H1263" s="364" t="s">
        <v>1196</v>
      </c>
    </row>
    <row r="1264" ht="15.75" customHeight="1">
      <c r="A1264" s="364" t="s">
        <v>61</v>
      </c>
      <c r="B1264" s="364" t="s">
        <v>23</v>
      </c>
      <c r="C1264" s="365" t="s">
        <v>337</v>
      </c>
      <c r="D1264" s="364" t="s">
        <v>338</v>
      </c>
      <c r="E1264" s="366">
        <v>4.0</v>
      </c>
      <c r="F1264" s="367">
        <v>45895.45833333333</v>
      </c>
      <c r="G1264" s="364" t="s">
        <v>1185</v>
      </c>
      <c r="H1264" s="364" t="s">
        <v>1196</v>
      </c>
    </row>
    <row r="1265" ht="15.75" customHeight="1">
      <c r="A1265" s="364" t="s">
        <v>61</v>
      </c>
      <c r="B1265" s="364" t="s">
        <v>23</v>
      </c>
      <c r="C1265" s="365" t="s">
        <v>339</v>
      </c>
      <c r="D1265" s="364" t="s">
        <v>340</v>
      </c>
      <c r="E1265" s="366">
        <v>1.0</v>
      </c>
      <c r="F1265" s="367">
        <v>45853.375</v>
      </c>
      <c r="G1265" s="364" t="s">
        <v>1185</v>
      </c>
      <c r="H1265" s="364" t="s">
        <v>1196</v>
      </c>
    </row>
    <row r="1266" ht="15.75" customHeight="1">
      <c r="A1266" s="364" t="s">
        <v>61</v>
      </c>
      <c r="B1266" s="364" t="s">
        <v>23</v>
      </c>
      <c r="C1266" s="365" t="s">
        <v>339</v>
      </c>
      <c r="D1266" s="364" t="s">
        <v>340</v>
      </c>
      <c r="E1266" s="366">
        <v>2.0</v>
      </c>
      <c r="F1266" s="367">
        <v>45853.45833333333</v>
      </c>
      <c r="G1266" s="364" t="s">
        <v>1185</v>
      </c>
      <c r="H1266" s="364" t="s">
        <v>1196</v>
      </c>
    </row>
    <row r="1267" ht="15.75" customHeight="1">
      <c r="A1267" s="364" t="s">
        <v>61</v>
      </c>
      <c r="B1267" s="364" t="s">
        <v>23</v>
      </c>
      <c r="C1267" s="365" t="s">
        <v>339</v>
      </c>
      <c r="D1267" s="364" t="s">
        <v>340</v>
      </c>
      <c r="E1267" s="366">
        <v>3.0</v>
      </c>
      <c r="F1267" s="367">
        <v>45888.375</v>
      </c>
      <c r="G1267" s="364" t="s">
        <v>1185</v>
      </c>
      <c r="H1267" s="364" t="s">
        <v>1196</v>
      </c>
    </row>
    <row r="1268" ht="15.75" customHeight="1">
      <c r="A1268" s="364" t="s">
        <v>61</v>
      </c>
      <c r="B1268" s="364" t="s">
        <v>23</v>
      </c>
      <c r="C1268" s="365" t="s">
        <v>339</v>
      </c>
      <c r="D1268" s="364" t="s">
        <v>340</v>
      </c>
      <c r="E1268" s="366">
        <v>4.0</v>
      </c>
      <c r="F1268" s="367">
        <v>45895.45833333333</v>
      </c>
      <c r="G1268" s="364" t="s">
        <v>1185</v>
      </c>
      <c r="H1268" s="364" t="s">
        <v>1196</v>
      </c>
    </row>
    <row r="1269" ht="15.75" customHeight="1">
      <c r="A1269" s="364" t="s">
        <v>61</v>
      </c>
      <c r="B1269" s="364" t="s">
        <v>23</v>
      </c>
      <c r="C1269" s="365" t="s">
        <v>341</v>
      </c>
      <c r="D1269" s="364" t="s">
        <v>342</v>
      </c>
      <c r="E1269" s="366">
        <v>1.0</v>
      </c>
      <c r="F1269" s="367">
        <v>45853.375</v>
      </c>
      <c r="G1269" s="364" t="s">
        <v>1185</v>
      </c>
      <c r="H1269" s="364" t="s">
        <v>1196</v>
      </c>
    </row>
    <row r="1270" ht="15.75" customHeight="1">
      <c r="A1270" s="364" t="s">
        <v>61</v>
      </c>
      <c r="B1270" s="364" t="s">
        <v>23</v>
      </c>
      <c r="C1270" s="365" t="s">
        <v>341</v>
      </c>
      <c r="D1270" s="364" t="s">
        <v>342</v>
      </c>
      <c r="E1270" s="366">
        <v>2.0</v>
      </c>
      <c r="F1270" s="367">
        <v>45853.45833333333</v>
      </c>
      <c r="G1270" s="364" t="s">
        <v>1185</v>
      </c>
      <c r="H1270" s="364" t="s">
        <v>1196</v>
      </c>
    </row>
    <row r="1271" ht="15.75" customHeight="1">
      <c r="A1271" s="364" t="s">
        <v>61</v>
      </c>
      <c r="B1271" s="364" t="s">
        <v>23</v>
      </c>
      <c r="C1271" s="365" t="s">
        <v>341</v>
      </c>
      <c r="D1271" s="364" t="s">
        <v>342</v>
      </c>
      <c r="E1271" s="366">
        <v>3.0</v>
      </c>
      <c r="F1271" s="367">
        <v>45888.375</v>
      </c>
      <c r="G1271" s="364" t="s">
        <v>1185</v>
      </c>
      <c r="H1271" s="364" t="s">
        <v>1196</v>
      </c>
    </row>
    <row r="1272" ht="15.75" customHeight="1">
      <c r="A1272" s="364" t="s">
        <v>61</v>
      </c>
      <c r="B1272" s="364" t="s">
        <v>23</v>
      </c>
      <c r="C1272" s="365" t="s">
        <v>341</v>
      </c>
      <c r="D1272" s="364" t="s">
        <v>342</v>
      </c>
      <c r="E1272" s="366">
        <v>4.0</v>
      </c>
      <c r="F1272" s="367">
        <v>45895.45833333333</v>
      </c>
      <c r="G1272" s="364" t="s">
        <v>1185</v>
      </c>
      <c r="H1272" s="364" t="s">
        <v>1196</v>
      </c>
    </row>
    <row r="1273" ht="15.75" customHeight="1">
      <c r="A1273" s="364" t="s">
        <v>61</v>
      </c>
      <c r="B1273" s="364" t="s">
        <v>23</v>
      </c>
      <c r="C1273" s="365" t="s">
        <v>343</v>
      </c>
      <c r="D1273" s="364" t="s">
        <v>344</v>
      </c>
      <c r="E1273" s="366">
        <v>1.0</v>
      </c>
      <c r="F1273" s="367">
        <v>45853.375</v>
      </c>
      <c r="G1273" s="364" t="s">
        <v>1185</v>
      </c>
      <c r="H1273" s="364" t="s">
        <v>1196</v>
      </c>
    </row>
    <row r="1274" ht="15.75" customHeight="1">
      <c r="A1274" s="364" t="s">
        <v>61</v>
      </c>
      <c r="B1274" s="364" t="s">
        <v>23</v>
      </c>
      <c r="C1274" s="365" t="s">
        <v>343</v>
      </c>
      <c r="D1274" s="364" t="s">
        <v>344</v>
      </c>
      <c r="E1274" s="366">
        <v>2.0</v>
      </c>
      <c r="F1274" s="367">
        <v>45853.45833333333</v>
      </c>
      <c r="G1274" s="364" t="s">
        <v>1187</v>
      </c>
      <c r="H1274" s="364" t="s">
        <v>1196</v>
      </c>
    </row>
    <row r="1275" ht="15.75" customHeight="1">
      <c r="A1275" s="364" t="s">
        <v>61</v>
      </c>
      <c r="B1275" s="364" t="s">
        <v>23</v>
      </c>
      <c r="C1275" s="365" t="s">
        <v>343</v>
      </c>
      <c r="D1275" s="364" t="s">
        <v>344</v>
      </c>
      <c r="E1275" s="366">
        <v>3.0</v>
      </c>
      <c r="F1275" s="367">
        <v>45888.375</v>
      </c>
      <c r="G1275" s="364" t="s">
        <v>1187</v>
      </c>
      <c r="H1275" s="364" t="s">
        <v>1196</v>
      </c>
    </row>
    <row r="1276" ht="15.75" customHeight="1">
      <c r="A1276" s="364" t="s">
        <v>61</v>
      </c>
      <c r="B1276" s="364" t="s">
        <v>23</v>
      </c>
      <c r="C1276" s="365" t="s">
        <v>343</v>
      </c>
      <c r="D1276" s="364" t="s">
        <v>344</v>
      </c>
      <c r="E1276" s="366">
        <v>4.0</v>
      </c>
      <c r="F1276" s="367">
        <v>45895.45833333333</v>
      </c>
      <c r="G1276" s="364" t="s">
        <v>1187</v>
      </c>
      <c r="H1276" s="364" t="s">
        <v>1196</v>
      </c>
    </row>
    <row r="1277" ht="15.75" customHeight="1">
      <c r="A1277" s="364" t="s">
        <v>61</v>
      </c>
      <c r="B1277" s="364" t="s">
        <v>23</v>
      </c>
      <c r="C1277" s="365" t="s">
        <v>345</v>
      </c>
      <c r="D1277" s="364" t="s">
        <v>346</v>
      </c>
      <c r="E1277" s="366">
        <v>1.0</v>
      </c>
      <c r="F1277" s="367">
        <v>45853.375</v>
      </c>
      <c r="G1277" s="364" t="s">
        <v>1185</v>
      </c>
      <c r="H1277" s="364" t="s">
        <v>1196</v>
      </c>
    </row>
    <row r="1278" ht="15.75" customHeight="1">
      <c r="A1278" s="364" t="s">
        <v>61</v>
      </c>
      <c r="B1278" s="364" t="s">
        <v>23</v>
      </c>
      <c r="C1278" s="365" t="s">
        <v>345</v>
      </c>
      <c r="D1278" s="364" t="s">
        <v>346</v>
      </c>
      <c r="E1278" s="366">
        <v>2.0</v>
      </c>
      <c r="F1278" s="367">
        <v>45853.45833333333</v>
      </c>
      <c r="G1278" s="364" t="s">
        <v>1185</v>
      </c>
      <c r="H1278" s="364" t="s">
        <v>1196</v>
      </c>
    </row>
    <row r="1279" ht="15.75" customHeight="1">
      <c r="A1279" s="364" t="s">
        <v>61</v>
      </c>
      <c r="B1279" s="364" t="s">
        <v>23</v>
      </c>
      <c r="C1279" s="365" t="s">
        <v>345</v>
      </c>
      <c r="D1279" s="364" t="s">
        <v>346</v>
      </c>
      <c r="E1279" s="366">
        <v>3.0</v>
      </c>
      <c r="F1279" s="367">
        <v>45888.375</v>
      </c>
      <c r="G1279" s="364" t="s">
        <v>1185</v>
      </c>
      <c r="H1279" s="364" t="s">
        <v>1196</v>
      </c>
    </row>
    <row r="1280" ht="15.75" customHeight="1">
      <c r="A1280" s="364" t="s">
        <v>61</v>
      </c>
      <c r="B1280" s="364" t="s">
        <v>23</v>
      </c>
      <c r="C1280" s="365" t="s">
        <v>345</v>
      </c>
      <c r="D1280" s="364" t="s">
        <v>346</v>
      </c>
      <c r="E1280" s="366">
        <v>4.0</v>
      </c>
      <c r="F1280" s="367">
        <v>45895.45833333333</v>
      </c>
      <c r="G1280" s="364" t="s">
        <v>1185</v>
      </c>
      <c r="H1280" s="364" t="s">
        <v>1196</v>
      </c>
    </row>
    <row r="1281" ht="15.75" customHeight="1">
      <c r="A1281" s="364" t="s">
        <v>62</v>
      </c>
      <c r="B1281" s="364" t="s">
        <v>22</v>
      </c>
      <c r="C1281" s="365" t="s">
        <v>331</v>
      </c>
      <c r="D1281" s="364" t="s">
        <v>332</v>
      </c>
      <c r="E1281" s="366">
        <v>1.0</v>
      </c>
      <c r="F1281" s="367">
        <v>45644.375</v>
      </c>
      <c r="G1281" s="364" t="s">
        <v>1185</v>
      </c>
      <c r="H1281" s="364" t="s">
        <v>1197</v>
      </c>
    </row>
    <row r="1282" ht="15.75" customHeight="1">
      <c r="A1282" s="364" t="s">
        <v>62</v>
      </c>
      <c r="B1282" s="364" t="s">
        <v>22</v>
      </c>
      <c r="C1282" s="365" t="s">
        <v>331</v>
      </c>
      <c r="D1282" s="364" t="s">
        <v>332</v>
      </c>
      <c r="E1282" s="366">
        <v>2.0</v>
      </c>
      <c r="F1282" s="367">
        <v>45652.375</v>
      </c>
      <c r="G1282" s="364" t="s">
        <v>1185</v>
      </c>
      <c r="H1282" s="364" t="s">
        <v>1197</v>
      </c>
    </row>
    <row r="1283" ht="15.75" customHeight="1">
      <c r="A1283" s="364" t="s">
        <v>62</v>
      </c>
      <c r="B1283" s="364" t="s">
        <v>22</v>
      </c>
      <c r="C1283" s="365" t="s">
        <v>331</v>
      </c>
      <c r="D1283" s="364" t="s">
        <v>332</v>
      </c>
      <c r="E1283" s="366">
        <v>3.0</v>
      </c>
      <c r="F1283" s="367">
        <v>45666.375</v>
      </c>
      <c r="G1283" s="364" t="s">
        <v>1185</v>
      </c>
      <c r="H1283" s="364" t="s">
        <v>1197</v>
      </c>
    </row>
    <row r="1284" ht="15.75" customHeight="1">
      <c r="A1284" s="364" t="s">
        <v>62</v>
      </c>
      <c r="B1284" s="364" t="s">
        <v>22</v>
      </c>
      <c r="C1284" s="365" t="s">
        <v>331</v>
      </c>
      <c r="D1284" s="364" t="s">
        <v>332</v>
      </c>
      <c r="E1284" s="366">
        <v>4.0</v>
      </c>
      <c r="F1284" s="367">
        <v>45692.375</v>
      </c>
      <c r="G1284" s="364" t="s">
        <v>1185</v>
      </c>
      <c r="H1284" s="364" t="s">
        <v>1197</v>
      </c>
    </row>
    <row r="1285" ht="15.75" customHeight="1">
      <c r="A1285" s="364" t="s">
        <v>62</v>
      </c>
      <c r="B1285" s="364" t="s">
        <v>22</v>
      </c>
      <c r="C1285" s="365" t="s">
        <v>331</v>
      </c>
      <c r="D1285" s="364" t="s">
        <v>332</v>
      </c>
      <c r="E1285" s="366">
        <v>5.0</v>
      </c>
      <c r="F1285" s="367">
        <v>45700.45833333333</v>
      </c>
      <c r="G1285" s="364" t="s">
        <v>1185</v>
      </c>
      <c r="H1285" s="364" t="s">
        <v>1197</v>
      </c>
    </row>
    <row r="1286" ht="15.75" customHeight="1">
      <c r="A1286" s="364" t="s">
        <v>62</v>
      </c>
      <c r="B1286" s="364" t="s">
        <v>22</v>
      </c>
      <c r="C1286" s="365" t="s">
        <v>331</v>
      </c>
      <c r="D1286" s="364" t="s">
        <v>332</v>
      </c>
      <c r="E1286" s="366">
        <v>6.0</v>
      </c>
      <c r="F1286" s="367">
        <v>45708.375</v>
      </c>
      <c r="G1286" s="364" t="s">
        <v>1185</v>
      </c>
      <c r="H1286" s="364" t="s">
        <v>1197</v>
      </c>
    </row>
    <row r="1287" ht="15.75" customHeight="1">
      <c r="A1287" s="364" t="s">
        <v>62</v>
      </c>
      <c r="B1287" s="364" t="s">
        <v>22</v>
      </c>
      <c r="C1287" s="365" t="s">
        <v>331</v>
      </c>
      <c r="D1287" s="364" t="s">
        <v>332</v>
      </c>
      <c r="E1287" s="366">
        <v>7.0</v>
      </c>
      <c r="F1287" s="367">
        <v>45714.45833333333</v>
      </c>
      <c r="G1287" s="364" t="s">
        <v>1185</v>
      </c>
      <c r="H1287" s="364" t="s">
        <v>1197</v>
      </c>
    </row>
    <row r="1288" ht="15.75" customHeight="1">
      <c r="A1288" s="364" t="s">
        <v>62</v>
      </c>
      <c r="B1288" s="364" t="s">
        <v>22</v>
      </c>
      <c r="C1288" s="365" t="s">
        <v>331</v>
      </c>
      <c r="D1288" s="364" t="s">
        <v>332</v>
      </c>
      <c r="E1288" s="366">
        <v>8.0</v>
      </c>
      <c r="F1288" s="367">
        <v>45756.45833333333</v>
      </c>
      <c r="G1288" s="364" t="s">
        <v>1185</v>
      </c>
      <c r="H1288" s="364" t="s">
        <v>1197</v>
      </c>
    </row>
    <row r="1289" ht="15.75" customHeight="1">
      <c r="A1289" s="364" t="s">
        <v>62</v>
      </c>
      <c r="B1289" s="364" t="s">
        <v>22</v>
      </c>
      <c r="C1289" s="365" t="s">
        <v>331</v>
      </c>
      <c r="D1289" s="364" t="s">
        <v>332</v>
      </c>
      <c r="E1289" s="366">
        <v>9.0</v>
      </c>
      <c r="F1289" s="367">
        <v>45762.375</v>
      </c>
      <c r="G1289" s="364" t="s">
        <v>1185</v>
      </c>
      <c r="H1289" s="364" t="s">
        <v>1197</v>
      </c>
    </row>
    <row r="1290" ht="15.75" customHeight="1">
      <c r="A1290" s="364" t="s">
        <v>62</v>
      </c>
      <c r="B1290" s="364" t="s">
        <v>22</v>
      </c>
      <c r="C1290" s="365" t="s">
        <v>331</v>
      </c>
      <c r="D1290" s="364" t="s">
        <v>332</v>
      </c>
      <c r="E1290" s="366">
        <v>10.0</v>
      </c>
      <c r="F1290" s="367">
        <v>45799.375</v>
      </c>
      <c r="G1290" s="364" t="s">
        <v>1185</v>
      </c>
      <c r="H1290" s="364" t="s">
        <v>1197</v>
      </c>
    </row>
    <row r="1291" ht="15.75" customHeight="1">
      <c r="A1291" s="364" t="s">
        <v>62</v>
      </c>
      <c r="B1291" s="364" t="s">
        <v>22</v>
      </c>
      <c r="C1291" s="365" t="s">
        <v>339</v>
      </c>
      <c r="D1291" s="364" t="s">
        <v>340</v>
      </c>
      <c r="E1291" s="366">
        <v>1.0</v>
      </c>
      <c r="F1291" s="367">
        <v>45644.375</v>
      </c>
      <c r="G1291" s="364" t="s">
        <v>1185</v>
      </c>
      <c r="H1291" s="364" t="s">
        <v>1197</v>
      </c>
    </row>
    <row r="1292" ht="15.75" customHeight="1">
      <c r="A1292" s="364" t="s">
        <v>62</v>
      </c>
      <c r="B1292" s="364" t="s">
        <v>22</v>
      </c>
      <c r="C1292" s="365" t="s">
        <v>339</v>
      </c>
      <c r="D1292" s="364" t="s">
        <v>340</v>
      </c>
      <c r="E1292" s="366">
        <v>2.0</v>
      </c>
      <c r="F1292" s="367">
        <v>45652.375</v>
      </c>
      <c r="G1292" s="364" t="s">
        <v>1185</v>
      </c>
      <c r="H1292" s="364" t="s">
        <v>1197</v>
      </c>
    </row>
    <row r="1293" ht="15.75" customHeight="1">
      <c r="A1293" s="364" t="s">
        <v>62</v>
      </c>
      <c r="B1293" s="364" t="s">
        <v>22</v>
      </c>
      <c r="C1293" s="365" t="s">
        <v>339</v>
      </c>
      <c r="D1293" s="364" t="s">
        <v>340</v>
      </c>
      <c r="E1293" s="366">
        <v>3.0</v>
      </c>
      <c r="F1293" s="367">
        <v>45666.375</v>
      </c>
      <c r="G1293" s="364" t="s">
        <v>1185</v>
      </c>
      <c r="H1293" s="364" t="s">
        <v>1197</v>
      </c>
    </row>
    <row r="1294" ht="15.75" customHeight="1">
      <c r="A1294" s="364" t="s">
        <v>62</v>
      </c>
      <c r="B1294" s="364" t="s">
        <v>22</v>
      </c>
      <c r="C1294" s="365" t="s">
        <v>339</v>
      </c>
      <c r="D1294" s="364" t="s">
        <v>340</v>
      </c>
      <c r="E1294" s="366">
        <v>4.0</v>
      </c>
      <c r="F1294" s="367">
        <v>45692.375</v>
      </c>
      <c r="G1294" s="364" t="s">
        <v>1185</v>
      </c>
      <c r="H1294" s="364" t="s">
        <v>1197</v>
      </c>
    </row>
    <row r="1295" ht="15.75" customHeight="1">
      <c r="A1295" s="364" t="s">
        <v>62</v>
      </c>
      <c r="B1295" s="364" t="s">
        <v>22</v>
      </c>
      <c r="C1295" s="365" t="s">
        <v>339</v>
      </c>
      <c r="D1295" s="364" t="s">
        <v>340</v>
      </c>
      <c r="E1295" s="366">
        <v>5.0</v>
      </c>
      <c r="F1295" s="367">
        <v>45700.45833333333</v>
      </c>
      <c r="G1295" s="364" t="s">
        <v>1185</v>
      </c>
      <c r="H1295" s="364" t="s">
        <v>1197</v>
      </c>
    </row>
    <row r="1296" ht="15.75" customHeight="1">
      <c r="A1296" s="364" t="s">
        <v>62</v>
      </c>
      <c r="B1296" s="364" t="s">
        <v>22</v>
      </c>
      <c r="C1296" s="365" t="s">
        <v>339</v>
      </c>
      <c r="D1296" s="364" t="s">
        <v>340</v>
      </c>
      <c r="E1296" s="366">
        <v>6.0</v>
      </c>
      <c r="F1296" s="367">
        <v>45708.375</v>
      </c>
      <c r="G1296" s="364" t="s">
        <v>1185</v>
      </c>
      <c r="H1296" s="364" t="s">
        <v>1197</v>
      </c>
    </row>
    <row r="1297" ht="15.75" customHeight="1">
      <c r="A1297" s="364" t="s">
        <v>62</v>
      </c>
      <c r="B1297" s="364" t="s">
        <v>22</v>
      </c>
      <c r="C1297" s="365" t="s">
        <v>339</v>
      </c>
      <c r="D1297" s="364" t="s">
        <v>340</v>
      </c>
      <c r="E1297" s="366">
        <v>7.0</v>
      </c>
      <c r="F1297" s="367">
        <v>45714.45833333333</v>
      </c>
      <c r="G1297" s="364" t="s">
        <v>1185</v>
      </c>
      <c r="H1297" s="364" t="s">
        <v>1197</v>
      </c>
    </row>
    <row r="1298" ht="15.75" customHeight="1">
      <c r="A1298" s="364" t="s">
        <v>62</v>
      </c>
      <c r="B1298" s="364" t="s">
        <v>22</v>
      </c>
      <c r="C1298" s="365" t="s">
        <v>339</v>
      </c>
      <c r="D1298" s="364" t="s">
        <v>340</v>
      </c>
      <c r="E1298" s="366">
        <v>8.0</v>
      </c>
      <c r="F1298" s="367">
        <v>45756.45833333333</v>
      </c>
      <c r="G1298" s="364" t="s">
        <v>1185</v>
      </c>
      <c r="H1298" s="364" t="s">
        <v>1197</v>
      </c>
    </row>
    <row r="1299" ht="15.75" customHeight="1">
      <c r="A1299" s="364" t="s">
        <v>62</v>
      </c>
      <c r="B1299" s="364" t="s">
        <v>22</v>
      </c>
      <c r="C1299" s="365" t="s">
        <v>339</v>
      </c>
      <c r="D1299" s="364" t="s">
        <v>340</v>
      </c>
      <c r="E1299" s="366">
        <v>9.0</v>
      </c>
      <c r="F1299" s="367">
        <v>45762.375</v>
      </c>
      <c r="G1299" s="364" t="s">
        <v>1185</v>
      </c>
      <c r="H1299" s="364" t="s">
        <v>1197</v>
      </c>
    </row>
    <row r="1300" ht="15.75" customHeight="1">
      <c r="A1300" s="364" t="s">
        <v>62</v>
      </c>
      <c r="B1300" s="364" t="s">
        <v>22</v>
      </c>
      <c r="C1300" s="365" t="s">
        <v>339</v>
      </c>
      <c r="D1300" s="364" t="s">
        <v>340</v>
      </c>
      <c r="E1300" s="366">
        <v>10.0</v>
      </c>
      <c r="F1300" s="367">
        <v>45799.375</v>
      </c>
      <c r="G1300" s="364" t="s">
        <v>1185</v>
      </c>
      <c r="H1300" s="364" t="s">
        <v>1197</v>
      </c>
    </row>
    <row r="1301" ht="15.75" customHeight="1">
      <c r="A1301" s="364" t="s">
        <v>62</v>
      </c>
      <c r="B1301" s="364" t="s">
        <v>22</v>
      </c>
      <c r="C1301" s="365" t="s">
        <v>341</v>
      </c>
      <c r="D1301" s="364" t="s">
        <v>342</v>
      </c>
      <c r="E1301" s="366">
        <v>1.0</v>
      </c>
      <c r="F1301" s="367">
        <v>45644.375</v>
      </c>
      <c r="G1301" s="364" t="s">
        <v>1185</v>
      </c>
      <c r="H1301" s="364" t="s">
        <v>1197</v>
      </c>
    </row>
    <row r="1302" ht="15.75" customHeight="1">
      <c r="A1302" s="364" t="s">
        <v>62</v>
      </c>
      <c r="B1302" s="364" t="s">
        <v>22</v>
      </c>
      <c r="C1302" s="365" t="s">
        <v>341</v>
      </c>
      <c r="D1302" s="364" t="s">
        <v>342</v>
      </c>
      <c r="E1302" s="366">
        <v>2.0</v>
      </c>
      <c r="F1302" s="367">
        <v>45652.375</v>
      </c>
      <c r="G1302" s="364" t="s">
        <v>1187</v>
      </c>
      <c r="H1302" s="364" t="s">
        <v>1197</v>
      </c>
    </row>
    <row r="1303" ht="15.75" customHeight="1">
      <c r="A1303" s="364" t="s">
        <v>62</v>
      </c>
      <c r="B1303" s="364" t="s">
        <v>22</v>
      </c>
      <c r="C1303" s="365" t="s">
        <v>341</v>
      </c>
      <c r="D1303" s="364" t="s">
        <v>342</v>
      </c>
      <c r="E1303" s="366">
        <v>3.0</v>
      </c>
      <c r="F1303" s="367">
        <v>45666.375</v>
      </c>
      <c r="G1303" s="364" t="s">
        <v>1185</v>
      </c>
      <c r="H1303" s="364" t="s">
        <v>1197</v>
      </c>
    </row>
    <row r="1304" ht="15.75" customHeight="1">
      <c r="A1304" s="364" t="s">
        <v>62</v>
      </c>
      <c r="B1304" s="364" t="s">
        <v>22</v>
      </c>
      <c r="C1304" s="365" t="s">
        <v>341</v>
      </c>
      <c r="D1304" s="364" t="s">
        <v>342</v>
      </c>
      <c r="E1304" s="366">
        <v>4.0</v>
      </c>
      <c r="F1304" s="367">
        <v>45692.375</v>
      </c>
      <c r="G1304" s="364" t="s">
        <v>1185</v>
      </c>
      <c r="H1304" s="364" t="s">
        <v>1197</v>
      </c>
    </row>
    <row r="1305" ht="15.75" customHeight="1">
      <c r="A1305" s="364" t="s">
        <v>62</v>
      </c>
      <c r="B1305" s="364" t="s">
        <v>22</v>
      </c>
      <c r="C1305" s="365" t="s">
        <v>341</v>
      </c>
      <c r="D1305" s="364" t="s">
        <v>342</v>
      </c>
      <c r="E1305" s="366">
        <v>5.0</v>
      </c>
      <c r="F1305" s="367">
        <v>45700.45833333333</v>
      </c>
      <c r="G1305" s="364" t="s">
        <v>1185</v>
      </c>
      <c r="H1305" s="364" t="s">
        <v>1197</v>
      </c>
    </row>
    <row r="1306" ht="15.75" customHeight="1">
      <c r="A1306" s="364" t="s">
        <v>62</v>
      </c>
      <c r="B1306" s="364" t="s">
        <v>22</v>
      </c>
      <c r="C1306" s="365" t="s">
        <v>341</v>
      </c>
      <c r="D1306" s="364" t="s">
        <v>342</v>
      </c>
      <c r="E1306" s="366">
        <v>6.0</v>
      </c>
      <c r="F1306" s="367">
        <v>45708.375</v>
      </c>
      <c r="G1306" s="364" t="s">
        <v>1185</v>
      </c>
      <c r="H1306" s="364" t="s">
        <v>1197</v>
      </c>
    </row>
    <row r="1307" ht="15.75" customHeight="1">
      <c r="A1307" s="364" t="s">
        <v>62</v>
      </c>
      <c r="B1307" s="364" t="s">
        <v>22</v>
      </c>
      <c r="C1307" s="365" t="s">
        <v>341</v>
      </c>
      <c r="D1307" s="364" t="s">
        <v>342</v>
      </c>
      <c r="E1307" s="366">
        <v>7.0</v>
      </c>
      <c r="F1307" s="367">
        <v>45714.45833333333</v>
      </c>
      <c r="G1307" s="364" t="s">
        <v>1185</v>
      </c>
      <c r="H1307" s="364" t="s">
        <v>1197</v>
      </c>
    </row>
    <row r="1308" ht="15.75" customHeight="1">
      <c r="A1308" s="364" t="s">
        <v>62</v>
      </c>
      <c r="B1308" s="364" t="s">
        <v>22</v>
      </c>
      <c r="C1308" s="365" t="s">
        <v>341</v>
      </c>
      <c r="D1308" s="364" t="s">
        <v>342</v>
      </c>
      <c r="E1308" s="366">
        <v>8.0</v>
      </c>
      <c r="F1308" s="367">
        <v>45756.45833333333</v>
      </c>
      <c r="G1308" s="364" t="s">
        <v>1185</v>
      </c>
      <c r="H1308" s="364" t="s">
        <v>1197</v>
      </c>
    </row>
    <row r="1309" ht="15.75" customHeight="1">
      <c r="A1309" s="364" t="s">
        <v>62</v>
      </c>
      <c r="B1309" s="364" t="s">
        <v>22</v>
      </c>
      <c r="C1309" s="365" t="s">
        <v>341</v>
      </c>
      <c r="D1309" s="364" t="s">
        <v>342</v>
      </c>
      <c r="E1309" s="366">
        <v>9.0</v>
      </c>
      <c r="F1309" s="367">
        <v>45762.375</v>
      </c>
      <c r="G1309" s="364" t="s">
        <v>1185</v>
      </c>
      <c r="H1309" s="364" t="s">
        <v>1197</v>
      </c>
    </row>
    <row r="1310" ht="15.75" customHeight="1">
      <c r="A1310" s="364" t="s">
        <v>62</v>
      </c>
      <c r="B1310" s="364" t="s">
        <v>22</v>
      </c>
      <c r="C1310" s="365" t="s">
        <v>341</v>
      </c>
      <c r="D1310" s="364" t="s">
        <v>342</v>
      </c>
      <c r="E1310" s="366">
        <v>10.0</v>
      </c>
      <c r="F1310" s="367">
        <v>45799.375</v>
      </c>
      <c r="G1310" s="364" t="s">
        <v>1185</v>
      </c>
      <c r="H1310" s="364" t="s">
        <v>1197</v>
      </c>
    </row>
    <row r="1311" ht="15.75" customHeight="1">
      <c r="A1311" s="364" t="s">
        <v>62</v>
      </c>
      <c r="B1311" s="364" t="s">
        <v>22</v>
      </c>
      <c r="C1311" s="365" t="s">
        <v>343</v>
      </c>
      <c r="D1311" s="364" t="s">
        <v>344</v>
      </c>
      <c r="E1311" s="366">
        <v>1.0</v>
      </c>
      <c r="F1311" s="367">
        <v>45644.375</v>
      </c>
      <c r="G1311" s="364" t="s">
        <v>1185</v>
      </c>
      <c r="H1311" s="364" t="s">
        <v>1197</v>
      </c>
    </row>
    <row r="1312" ht="15.75" customHeight="1">
      <c r="A1312" s="364" t="s">
        <v>62</v>
      </c>
      <c r="B1312" s="364" t="s">
        <v>22</v>
      </c>
      <c r="C1312" s="365" t="s">
        <v>343</v>
      </c>
      <c r="D1312" s="364" t="s">
        <v>344</v>
      </c>
      <c r="E1312" s="366">
        <v>2.0</v>
      </c>
      <c r="F1312" s="367">
        <v>45652.375</v>
      </c>
      <c r="G1312" s="364" t="s">
        <v>1185</v>
      </c>
      <c r="H1312" s="364" t="s">
        <v>1197</v>
      </c>
    </row>
    <row r="1313" ht="15.75" customHeight="1">
      <c r="A1313" s="364" t="s">
        <v>62</v>
      </c>
      <c r="B1313" s="364" t="s">
        <v>22</v>
      </c>
      <c r="C1313" s="365" t="s">
        <v>343</v>
      </c>
      <c r="D1313" s="364" t="s">
        <v>344</v>
      </c>
      <c r="E1313" s="366">
        <v>3.0</v>
      </c>
      <c r="F1313" s="367">
        <v>45666.375</v>
      </c>
      <c r="G1313" s="364" t="s">
        <v>1185</v>
      </c>
      <c r="H1313" s="364" t="s">
        <v>1197</v>
      </c>
    </row>
    <row r="1314" ht="15.75" customHeight="1">
      <c r="A1314" s="364" t="s">
        <v>62</v>
      </c>
      <c r="B1314" s="364" t="s">
        <v>22</v>
      </c>
      <c r="C1314" s="365" t="s">
        <v>343</v>
      </c>
      <c r="D1314" s="364" t="s">
        <v>344</v>
      </c>
      <c r="E1314" s="366">
        <v>4.0</v>
      </c>
      <c r="F1314" s="367">
        <v>45692.375</v>
      </c>
      <c r="G1314" s="364" t="s">
        <v>1185</v>
      </c>
      <c r="H1314" s="364" t="s">
        <v>1197</v>
      </c>
    </row>
    <row r="1315" ht="15.75" customHeight="1">
      <c r="A1315" s="364" t="s">
        <v>62</v>
      </c>
      <c r="B1315" s="364" t="s">
        <v>22</v>
      </c>
      <c r="C1315" s="365" t="s">
        <v>343</v>
      </c>
      <c r="D1315" s="364" t="s">
        <v>344</v>
      </c>
      <c r="E1315" s="366">
        <v>5.0</v>
      </c>
      <c r="F1315" s="367">
        <v>45700.45833333333</v>
      </c>
      <c r="G1315" s="364" t="s">
        <v>1185</v>
      </c>
      <c r="H1315" s="364" t="s">
        <v>1197</v>
      </c>
    </row>
    <row r="1316" ht="15.75" customHeight="1">
      <c r="A1316" s="364" t="s">
        <v>62</v>
      </c>
      <c r="B1316" s="364" t="s">
        <v>22</v>
      </c>
      <c r="C1316" s="365" t="s">
        <v>343</v>
      </c>
      <c r="D1316" s="364" t="s">
        <v>344</v>
      </c>
      <c r="E1316" s="366">
        <v>6.0</v>
      </c>
      <c r="F1316" s="367">
        <v>45708.375</v>
      </c>
      <c r="G1316" s="364" t="s">
        <v>1187</v>
      </c>
      <c r="H1316" s="364" t="s">
        <v>1197</v>
      </c>
    </row>
    <row r="1317" ht="15.75" customHeight="1">
      <c r="A1317" s="364" t="s">
        <v>62</v>
      </c>
      <c r="B1317" s="364" t="s">
        <v>22</v>
      </c>
      <c r="C1317" s="365" t="s">
        <v>343</v>
      </c>
      <c r="D1317" s="364" t="s">
        <v>344</v>
      </c>
      <c r="E1317" s="366">
        <v>7.0</v>
      </c>
      <c r="F1317" s="367">
        <v>45714.45833333333</v>
      </c>
      <c r="G1317" s="364" t="s">
        <v>1185</v>
      </c>
      <c r="H1317" s="364" t="s">
        <v>1197</v>
      </c>
    </row>
    <row r="1318" ht="15.75" customHeight="1">
      <c r="A1318" s="364" t="s">
        <v>62</v>
      </c>
      <c r="B1318" s="364" t="s">
        <v>22</v>
      </c>
      <c r="C1318" s="365" t="s">
        <v>343</v>
      </c>
      <c r="D1318" s="364" t="s">
        <v>344</v>
      </c>
      <c r="E1318" s="366">
        <v>8.0</v>
      </c>
      <c r="F1318" s="367">
        <v>45756.45833333333</v>
      </c>
      <c r="G1318" s="364" t="s">
        <v>1185</v>
      </c>
      <c r="H1318" s="364" t="s">
        <v>1197</v>
      </c>
    </row>
    <row r="1319" ht="15.75" customHeight="1">
      <c r="A1319" s="364" t="s">
        <v>62</v>
      </c>
      <c r="B1319" s="364" t="s">
        <v>22</v>
      </c>
      <c r="C1319" s="365" t="s">
        <v>343</v>
      </c>
      <c r="D1319" s="364" t="s">
        <v>344</v>
      </c>
      <c r="E1319" s="366">
        <v>9.0</v>
      </c>
      <c r="F1319" s="367">
        <v>45762.375</v>
      </c>
      <c r="G1319" s="364" t="s">
        <v>1185</v>
      </c>
      <c r="H1319" s="364" t="s">
        <v>1197</v>
      </c>
    </row>
    <row r="1320" ht="15.75" customHeight="1">
      <c r="A1320" s="364" t="s">
        <v>62</v>
      </c>
      <c r="B1320" s="364" t="s">
        <v>22</v>
      </c>
      <c r="C1320" s="365" t="s">
        <v>343</v>
      </c>
      <c r="D1320" s="364" t="s">
        <v>344</v>
      </c>
      <c r="E1320" s="366">
        <v>10.0</v>
      </c>
      <c r="F1320" s="367">
        <v>45799.375</v>
      </c>
      <c r="G1320" s="364" t="s">
        <v>1185</v>
      </c>
      <c r="H1320" s="364" t="s">
        <v>1197</v>
      </c>
    </row>
    <row r="1321" ht="15.75" customHeight="1">
      <c r="A1321" s="364" t="s">
        <v>62</v>
      </c>
      <c r="B1321" s="364" t="s">
        <v>22</v>
      </c>
      <c r="C1321" s="365" t="s">
        <v>345</v>
      </c>
      <c r="D1321" s="364" t="s">
        <v>346</v>
      </c>
      <c r="E1321" s="366">
        <v>1.0</v>
      </c>
      <c r="F1321" s="367">
        <v>45644.375</v>
      </c>
      <c r="G1321" s="364" t="s">
        <v>1185</v>
      </c>
      <c r="H1321" s="364" t="s">
        <v>1197</v>
      </c>
    </row>
    <row r="1322" ht="15.75" customHeight="1">
      <c r="A1322" s="364" t="s">
        <v>62</v>
      </c>
      <c r="B1322" s="364" t="s">
        <v>22</v>
      </c>
      <c r="C1322" s="365" t="s">
        <v>345</v>
      </c>
      <c r="D1322" s="364" t="s">
        <v>346</v>
      </c>
      <c r="E1322" s="366">
        <v>2.0</v>
      </c>
      <c r="F1322" s="367">
        <v>45652.375</v>
      </c>
      <c r="G1322" s="364" t="s">
        <v>1185</v>
      </c>
      <c r="H1322" s="364" t="s">
        <v>1197</v>
      </c>
    </row>
    <row r="1323" ht="15.75" customHeight="1">
      <c r="A1323" s="364" t="s">
        <v>62</v>
      </c>
      <c r="B1323" s="364" t="s">
        <v>22</v>
      </c>
      <c r="C1323" s="365" t="s">
        <v>345</v>
      </c>
      <c r="D1323" s="364" t="s">
        <v>346</v>
      </c>
      <c r="E1323" s="366">
        <v>3.0</v>
      </c>
      <c r="F1323" s="367">
        <v>45666.375</v>
      </c>
      <c r="G1323" s="364" t="s">
        <v>1185</v>
      </c>
      <c r="H1323" s="364" t="s">
        <v>1197</v>
      </c>
    </row>
    <row r="1324" ht="15.75" customHeight="1">
      <c r="A1324" s="364" t="s">
        <v>62</v>
      </c>
      <c r="B1324" s="364" t="s">
        <v>22</v>
      </c>
      <c r="C1324" s="365" t="s">
        <v>345</v>
      </c>
      <c r="D1324" s="364" t="s">
        <v>346</v>
      </c>
      <c r="E1324" s="366">
        <v>4.0</v>
      </c>
      <c r="F1324" s="367">
        <v>45692.375</v>
      </c>
      <c r="G1324" s="364" t="s">
        <v>1185</v>
      </c>
      <c r="H1324" s="364" t="s">
        <v>1197</v>
      </c>
    </row>
    <row r="1325" ht="15.75" customHeight="1">
      <c r="A1325" s="364" t="s">
        <v>62</v>
      </c>
      <c r="B1325" s="364" t="s">
        <v>22</v>
      </c>
      <c r="C1325" s="365" t="s">
        <v>345</v>
      </c>
      <c r="D1325" s="364" t="s">
        <v>346</v>
      </c>
      <c r="E1325" s="366">
        <v>5.0</v>
      </c>
      <c r="F1325" s="367">
        <v>45700.45833333333</v>
      </c>
      <c r="G1325" s="364" t="s">
        <v>1185</v>
      </c>
      <c r="H1325" s="364" t="s">
        <v>1197</v>
      </c>
    </row>
    <row r="1326" ht="15.75" customHeight="1">
      <c r="A1326" s="364" t="s">
        <v>62</v>
      </c>
      <c r="B1326" s="364" t="s">
        <v>22</v>
      </c>
      <c r="C1326" s="365" t="s">
        <v>345</v>
      </c>
      <c r="D1326" s="364" t="s">
        <v>346</v>
      </c>
      <c r="E1326" s="366">
        <v>6.0</v>
      </c>
      <c r="F1326" s="367">
        <v>45708.375</v>
      </c>
      <c r="G1326" s="364" t="s">
        <v>1185</v>
      </c>
      <c r="H1326" s="364" t="s">
        <v>1197</v>
      </c>
    </row>
    <row r="1327" ht="15.75" customHeight="1">
      <c r="A1327" s="364" t="s">
        <v>62</v>
      </c>
      <c r="B1327" s="364" t="s">
        <v>22</v>
      </c>
      <c r="C1327" s="365" t="s">
        <v>345</v>
      </c>
      <c r="D1327" s="364" t="s">
        <v>346</v>
      </c>
      <c r="E1327" s="366">
        <v>7.0</v>
      </c>
      <c r="F1327" s="367">
        <v>45714.45833333333</v>
      </c>
      <c r="G1327" s="364" t="s">
        <v>1185</v>
      </c>
      <c r="H1327" s="364" t="s">
        <v>1197</v>
      </c>
    </row>
    <row r="1328" ht="15.75" customHeight="1">
      <c r="A1328" s="364" t="s">
        <v>62</v>
      </c>
      <c r="B1328" s="364" t="s">
        <v>22</v>
      </c>
      <c r="C1328" s="365" t="s">
        <v>345</v>
      </c>
      <c r="D1328" s="364" t="s">
        <v>346</v>
      </c>
      <c r="E1328" s="366">
        <v>8.0</v>
      </c>
      <c r="F1328" s="367">
        <v>45756.45833333333</v>
      </c>
      <c r="G1328" s="364" t="s">
        <v>1185</v>
      </c>
      <c r="H1328" s="364" t="s">
        <v>1197</v>
      </c>
    </row>
    <row r="1329" ht="15.75" customHeight="1">
      <c r="A1329" s="364" t="s">
        <v>62</v>
      </c>
      <c r="B1329" s="364" t="s">
        <v>22</v>
      </c>
      <c r="C1329" s="365" t="s">
        <v>345</v>
      </c>
      <c r="D1329" s="364" t="s">
        <v>346</v>
      </c>
      <c r="E1329" s="366">
        <v>9.0</v>
      </c>
      <c r="F1329" s="367">
        <v>45762.375</v>
      </c>
      <c r="G1329" s="364" t="s">
        <v>1185</v>
      </c>
      <c r="H1329" s="364" t="s">
        <v>1197</v>
      </c>
    </row>
    <row r="1330" ht="15.75" customHeight="1">
      <c r="A1330" s="364" t="s">
        <v>62</v>
      </c>
      <c r="B1330" s="364" t="s">
        <v>22</v>
      </c>
      <c r="C1330" s="365" t="s">
        <v>345</v>
      </c>
      <c r="D1330" s="364" t="s">
        <v>346</v>
      </c>
      <c r="E1330" s="366">
        <v>10.0</v>
      </c>
      <c r="F1330" s="367">
        <v>45799.375</v>
      </c>
      <c r="G1330" s="364" t="s">
        <v>1185</v>
      </c>
      <c r="H1330" s="364" t="s">
        <v>1197</v>
      </c>
    </row>
    <row r="1331" ht="15.75" customHeight="1">
      <c r="A1331" s="364" t="s">
        <v>63</v>
      </c>
      <c r="B1331" s="364" t="s">
        <v>22</v>
      </c>
      <c r="C1331" s="365" t="s">
        <v>351</v>
      </c>
      <c r="D1331" s="364" t="s">
        <v>352</v>
      </c>
      <c r="E1331" s="366">
        <v>1.0</v>
      </c>
      <c r="F1331" s="367">
        <v>45646.375</v>
      </c>
      <c r="G1331" s="364" t="s">
        <v>1185</v>
      </c>
      <c r="H1331" s="364" t="s">
        <v>1198</v>
      </c>
    </row>
    <row r="1332" ht="15.75" customHeight="1">
      <c r="A1332" s="364" t="s">
        <v>63</v>
      </c>
      <c r="B1332" s="364" t="s">
        <v>22</v>
      </c>
      <c r="C1332" s="365" t="s">
        <v>351</v>
      </c>
      <c r="D1332" s="364" t="s">
        <v>352</v>
      </c>
      <c r="E1332" s="366">
        <v>2.0</v>
      </c>
      <c r="F1332" s="367">
        <v>45653.375</v>
      </c>
      <c r="G1332" s="364" t="s">
        <v>1185</v>
      </c>
      <c r="H1332" s="364" t="s">
        <v>1198</v>
      </c>
    </row>
    <row r="1333" ht="15.75" customHeight="1">
      <c r="A1333" s="364" t="s">
        <v>63</v>
      </c>
      <c r="B1333" s="364" t="s">
        <v>22</v>
      </c>
      <c r="C1333" s="365" t="s">
        <v>351</v>
      </c>
      <c r="D1333" s="364" t="s">
        <v>352</v>
      </c>
      <c r="E1333" s="366">
        <v>3.0</v>
      </c>
      <c r="F1333" s="367">
        <v>45673.41666666667</v>
      </c>
      <c r="G1333" s="364" t="s">
        <v>1185</v>
      </c>
      <c r="H1333" s="364" t="s">
        <v>1198</v>
      </c>
    </row>
    <row r="1334" ht="15.75" customHeight="1">
      <c r="A1334" s="364" t="s">
        <v>63</v>
      </c>
      <c r="B1334" s="364" t="s">
        <v>22</v>
      </c>
      <c r="C1334" s="365" t="s">
        <v>351</v>
      </c>
      <c r="D1334" s="364" t="s">
        <v>352</v>
      </c>
      <c r="E1334" s="366">
        <v>4.0</v>
      </c>
      <c r="F1334" s="367">
        <v>45680.375</v>
      </c>
      <c r="G1334" s="364" t="s">
        <v>1187</v>
      </c>
      <c r="H1334" s="364" t="s">
        <v>1198</v>
      </c>
    </row>
    <row r="1335" ht="15.75" customHeight="1">
      <c r="A1335" s="364" t="s">
        <v>63</v>
      </c>
      <c r="B1335" s="364" t="s">
        <v>22</v>
      </c>
      <c r="C1335" s="365" t="s">
        <v>351</v>
      </c>
      <c r="D1335" s="364" t="s">
        <v>352</v>
      </c>
      <c r="E1335" s="366">
        <v>5.0</v>
      </c>
      <c r="F1335" s="367">
        <v>45700.58333333333</v>
      </c>
      <c r="G1335" s="364" t="s">
        <v>1185</v>
      </c>
      <c r="H1335" s="364" t="s">
        <v>1198</v>
      </c>
    </row>
    <row r="1336" ht="15.75" customHeight="1">
      <c r="A1336" s="364" t="s">
        <v>63</v>
      </c>
      <c r="B1336" s="364" t="s">
        <v>22</v>
      </c>
      <c r="C1336" s="365" t="s">
        <v>351</v>
      </c>
      <c r="D1336" s="364" t="s">
        <v>352</v>
      </c>
      <c r="E1336" s="366">
        <v>6.0</v>
      </c>
      <c r="F1336" s="367">
        <v>45707.58333333333</v>
      </c>
      <c r="G1336" s="364" t="s">
        <v>1185</v>
      </c>
      <c r="H1336" s="364" t="s">
        <v>1198</v>
      </c>
    </row>
    <row r="1337" ht="15.75" customHeight="1">
      <c r="A1337" s="364" t="s">
        <v>63</v>
      </c>
      <c r="B1337" s="364" t="s">
        <v>22</v>
      </c>
      <c r="C1337" s="365" t="s">
        <v>351</v>
      </c>
      <c r="D1337" s="364" t="s">
        <v>352</v>
      </c>
      <c r="E1337" s="366">
        <v>7.0</v>
      </c>
      <c r="F1337" s="367">
        <v>45714.58333333333</v>
      </c>
      <c r="G1337" s="364" t="s">
        <v>1185</v>
      </c>
      <c r="H1337" s="364" t="s">
        <v>1198</v>
      </c>
    </row>
    <row r="1338" ht="15.75" customHeight="1">
      <c r="A1338" s="364" t="s">
        <v>63</v>
      </c>
      <c r="B1338" s="364" t="s">
        <v>22</v>
      </c>
      <c r="C1338" s="365" t="s">
        <v>351</v>
      </c>
      <c r="D1338" s="364" t="s">
        <v>352</v>
      </c>
      <c r="E1338" s="366">
        <v>8.0</v>
      </c>
      <c r="F1338" s="367">
        <v>45756.375</v>
      </c>
      <c r="G1338" s="364" t="s">
        <v>1185</v>
      </c>
      <c r="H1338" s="364" t="s">
        <v>1198</v>
      </c>
    </row>
    <row r="1339" ht="15.75" customHeight="1">
      <c r="A1339" s="364" t="s">
        <v>63</v>
      </c>
      <c r="B1339" s="364" t="s">
        <v>22</v>
      </c>
      <c r="C1339" s="365" t="s">
        <v>351</v>
      </c>
      <c r="D1339" s="364" t="s">
        <v>352</v>
      </c>
      <c r="E1339" s="366">
        <v>9.0</v>
      </c>
      <c r="F1339" s="367">
        <v>45784.375</v>
      </c>
      <c r="G1339" s="364" t="s">
        <v>1185</v>
      </c>
      <c r="H1339" s="364" t="s">
        <v>1198</v>
      </c>
    </row>
    <row r="1340" ht="15.75" customHeight="1">
      <c r="A1340" s="364" t="s">
        <v>63</v>
      </c>
      <c r="B1340" s="364" t="s">
        <v>22</v>
      </c>
      <c r="C1340" s="365" t="s">
        <v>351</v>
      </c>
      <c r="D1340" s="364" t="s">
        <v>352</v>
      </c>
      <c r="E1340" s="366">
        <v>10.0</v>
      </c>
      <c r="F1340" s="367">
        <v>45791.375</v>
      </c>
      <c r="G1340" s="364" t="s">
        <v>1185</v>
      </c>
      <c r="H1340" s="364" t="s">
        <v>1198</v>
      </c>
    </row>
    <row r="1341" ht="15.75" customHeight="1">
      <c r="A1341" s="364" t="s">
        <v>63</v>
      </c>
      <c r="B1341" s="364" t="s">
        <v>22</v>
      </c>
      <c r="C1341" s="365" t="s">
        <v>362</v>
      </c>
      <c r="D1341" s="364" t="s">
        <v>363</v>
      </c>
      <c r="E1341" s="366">
        <v>1.0</v>
      </c>
      <c r="F1341" s="367">
        <v>45646.375</v>
      </c>
      <c r="G1341" s="364" t="s">
        <v>1185</v>
      </c>
      <c r="H1341" s="364" t="s">
        <v>1198</v>
      </c>
    </row>
    <row r="1342" ht="15.75" customHeight="1">
      <c r="A1342" s="364" t="s">
        <v>63</v>
      </c>
      <c r="B1342" s="364" t="s">
        <v>22</v>
      </c>
      <c r="C1342" s="365" t="s">
        <v>362</v>
      </c>
      <c r="D1342" s="364" t="s">
        <v>363</v>
      </c>
      <c r="E1342" s="366">
        <v>2.0</v>
      </c>
      <c r="F1342" s="367">
        <v>45653.375</v>
      </c>
      <c r="G1342" s="364" t="s">
        <v>1185</v>
      </c>
      <c r="H1342" s="364" t="s">
        <v>1198</v>
      </c>
    </row>
    <row r="1343" ht="15.75" customHeight="1">
      <c r="A1343" s="364" t="s">
        <v>63</v>
      </c>
      <c r="B1343" s="364" t="s">
        <v>22</v>
      </c>
      <c r="C1343" s="365" t="s">
        <v>362</v>
      </c>
      <c r="D1343" s="364" t="s">
        <v>363</v>
      </c>
      <c r="E1343" s="366">
        <v>3.0</v>
      </c>
      <c r="F1343" s="367">
        <v>45673.375</v>
      </c>
      <c r="G1343" s="364" t="s">
        <v>1185</v>
      </c>
      <c r="H1343" s="364" t="s">
        <v>1198</v>
      </c>
    </row>
    <row r="1344" ht="15.75" customHeight="1">
      <c r="A1344" s="364" t="s">
        <v>63</v>
      </c>
      <c r="B1344" s="364" t="s">
        <v>22</v>
      </c>
      <c r="C1344" s="365" t="s">
        <v>362</v>
      </c>
      <c r="D1344" s="364" t="s">
        <v>363</v>
      </c>
      <c r="E1344" s="366">
        <v>4.0</v>
      </c>
      <c r="F1344" s="367">
        <v>45680.375</v>
      </c>
      <c r="G1344" s="364" t="s">
        <v>1185</v>
      </c>
      <c r="H1344" s="364" t="s">
        <v>1198</v>
      </c>
    </row>
    <row r="1345" ht="15.75" customHeight="1">
      <c r="A1345" s="364" t="s">
        <v>63</v>
      </c>
      <c r="B1345" s="364" t="s">
        <v>22</v>
      </c>
      <c r="C1345" s="365" t="s">
        <v>362</v>
      </c>
      <c r="D1345" s="364" t="s">
        <v>363</v>
      </c>
      <c r="E1345" s="366">
        <v>5.0</v>
      </c>
      <c r="F1345" s="367">
        <v>45700.58333333333</v>
      </c>
      <c r="G1345" s="364" t="s">
        <v>1185</v>
      </c>
      <c r="H1345" s="364" t="s">
        <v>1198</v>
      </c>
    </row>
    <row r="1346" ht="15.75" customHeight="1">
      <c r="A1346" s="364" t="s">
        <v>63</v>
      </c>
      <c r="B1346" s="364" t="s">
        <v>22</v>
      </c>
      <c r="C1346" s="365" t="s">
        <v>362</v>
      </c>
      <c r="D1346" s="364" t="s">
        <v>363</v>
      </c>
      <c r="E1346" s="366">
        <v>6.0</v>
      </c>
      <c r="F1346" s="367">
        <v>45707.58333333333</v>
      </c>
      <c r="G1346" s="364" t="s">
        <v>1185</v>
      </c>
      <c r="H1346" s="364" t="s">
        <v>1198</v>
      </c>
    </row>
    <row r="1347" ht="15.75" customHeight="1">
      <c r="A1347" s="364" t="s">
        <v>63</v>
      </c>
      <c r="B1347" s="364" t="s">
        <v>22</v>
      </c>
      <c r="C1347" s="365" t="s">
        <v>362</v>
      </c>
      <c r="D1347" s="364" t="s">
        <v>363</v>
      </c>
      <c r="E1347" s="366">
        <v>7.0</v>
      </c>
      <c r="F1347" s="367">
        <v>45714.58333333333</v>
      </c>
      <c r="G1347" s="364" t="s">
        <v>1185</v>
      </c>
      <c r="H1347" s="364" t="s">
        <v>1198</v>
      </c>
    </row>
    <row r="1348" ht="15.75" customHeight="1">
      <c r="A1348" s="364" t="s">
        <v>63</v>
      </c>
      <c r="B1348" s="364" t="s">
        <v>22</v>
      </c>
      <c r="C1348" s="365" t="s">
        <v>362</v>
      </c>
      <c r="D1348" s="364" t="s">
        <v>363</v>
      </c>
      <c r="E1348" s="366">
        <v>8.0</v>
      </c>
      <c r="F1348" s="367">
        <v>45756.375</v>
      </c>
      <c r="G1348" s="364" t="s">
        <v>1185</v>
      </c>
      <c r="H1348" s="364" t="s">
        <v>1198</v>
      </c>
    </row>
    <row r="1349" ht="15.75" customHeight="1">
      <c r="A1349" s="364" t="s">
        <v>63</v>
      </c>
      <c r="B1349" s="364" t="s">
        <v>22</v>
      </c>
      <c r="C1349" s="365" t="s">
        <v>362</v>
      </c>
      <c r="D1349" s="364" t="s">
        <v>363</v>
      </c>
      <c r="E1349" s="366">
        <v>9.0</v>
      </c>
      <c r="F1349" s="367">
        <v>45784.375</v>
      </c>
      <c r="G1349" s="364" t="s">
        <v>1187</v>
      </c>
      <c r="H1349" s="364" t="s">
        <v>1198</v>
      </c>
    </row>
    <row r="1350" ht="15.75" customHeight="1">
      <c r="A1350" s="364" t="s">
        <v>63</v>
      </c>
      <c r="B1350" s="364" t="s">
        <v>22</v>
      </c>
      <c r="C1350" s="365" t="s">
        <v>362</v>
      </c>
      <c r="D1350" s="364" t="s">
        <v>363</v>
      </c>
      <c r="E1350" s="366">
        <v>10.0</v>
      </c>
      <c r="F1350" s="367">
        <v>45791.375</v>
      </c>
      <c r="G1350" s="364" t="s">
        <v>1185</v>
      </c>
      <c r="H1350" s="364" t="s">
        <v>1198</v>
      </c>
    </row>
    <row r="1351" ht="15.75" customHeight="1">
      <c r="A1351" s="364" t="s">
        <v>63</v>
      </c>
      <c r="B1351" s="364" t="s">
        <v>22</v>
      </c>
      <c r="C1351" s="365" t="s">
        <v>353</v>
      </c>
      <c r="D1351" s="364" t="s">
        <v>354</v>
      </c>
      <c r="E1351" s="366">
        <v>1.0</v>
      </c>
      <c r="F1351" s="367">
        <v>45646.375</v>
      </c>
      <c r="G1351" s="364" t="s">
        <v>1185</v>
      </c>
      <c r="H1351" s="364" t="s">
        <v>1198</v>
      </c>
    </row>
    <row r="1352" ht="15.75" customHeight="1">
      <c r="A1352" s="364" t="s">
        <v>63</v>
      </c>
      <c r="B1352" s="364" t="s">
        <v>22</v>
      </c>
      <c r="C1352" s="365" t="s">
        <v>353</v>
      </c>
      <c r="D1352" s="364" t="s">
        <v>354</v>
      </c>
      <c r="E1352" s="366">
        <v>2.0</v>
      </c>
      <c r="F1352" s="367">
        <v>45653.375</v>
      </c>
      <c r="G1352" s="364" t="s">
        <v>1185</v>
      </c>
      <c r="H1352" s="364" t="s">
        <v>1198</v>
      </c>
    </row>
    <row r="1353" ht="15.75" customHeight="1">
      <c r="A1353" s="364" t="s">
        <v>63</v>
      </c>
      <c r="B1353" s="364" t="s">
        <v>22</v>
      </c>
      <c r="C1353" s="365" t="s">
        <v>353</v>
      </c>
      <c r="D1353" s="364" t="s">
        <v>354</v>
      </c>
      <c r="E1353" s="366">
        <v>3.0</v>
      </c>
      <c r="F1353" s="367">
        <v>45673.41666666667</v>
      </c>
      <c r="G1353" s="364" t="s">
        <v>1185</v>
      </c>
      <c r="H1353" s="364" t="s">
        <v>1198</v>
      </c>
    </row>
    <row r="1354" ht="15.75" customHeight="1">
      <c r="A1354" s="364" t="s">
        <v>63</v>
      </c>
      <c r="B1354" s="364" t="s">
        <v>22</v>
      </c>
      <c r="C1354" s="365" t="s">
        <v>353</v>
      </c>
      <c r="D1354" s="364" t="s">
        <v>354</v>
      </c>
      <c r="E1354" s="366">
        <v>4.0</v>
      </c>
      <c r="F1354" s="367">
        <v>45680.41666666667</v>
      </c>
      <c r="G1354" s="364" t="s">
        <v>1185</v>
      </c>
      <c r="H1354" s="364" t="s">
        <v>1198</v>
      </c>
    </row>
    <row r="1355" ht="15.75" customHeight="1">
      <c r="A1355" s="364" t="s">
        <v>63</v>
      </c>
      <c r="B1355" s="364" t="s">
        <v>22</v>
      </c>
      <c r="C1355" s="365" t="s">
        <v>353</v>
      </c>
      <c r="D1355" s="364" t="s">
        <v>354</v>
      </c>
      <c r="E1355" s="366">
        <v>5.0</v>
      </c>
      <c r="F1355" s="367">
        <v>45700.58333333333</v>
      </c>
      <c r="G1355" s="364" t="s">
        <v>1185</v>
      </c>
      <c r="H1355" s="364" t="s">
        <v>1198</v>
      </c>
    </row>
    <row r="1356" ht="15.75" customHeight="1">
      <c r="A1356" s="364" t="s">
        <v>63</v>
      </c>
      <c r="B1356" s="364" t="s">
        <v>22</v>
      </c>
      <c r="C1356" s="365" t="s">
        <v>353</v>
      </c>
      <c r="D1356" s="364" t="s">
        <v>354</v>
      </c>
      <c r="E1356" s="366">
        <v>6.0</v>
      </c>
      <c r="F1356" s="367">
        <v>45707.58333333333</v>
      </c>
      <c r="G1356" s="364" t="s">
        <v>1185</v>
      </c>
      <c r="H1356" s="364" t="s">
        <v>1198</v>
      </c>
    </row>
    <row r="1357" ht="15.75" customHeight="1">
      <c r="A1357" s="364" t="s">
        <v>63</v>
      </c>
      <c r="B1357" s="364" t="s">
        <v>22</v>
      </c>
      <c r="C1357" s="365" t="s">
        <v>353</v>
      </c>
      <c r="D1357" s="364" t="s">
        <v>354</v>
      </c>
      <c r="E1357" s="366">
        <v>7.0</v>
      </c>
      <c r="F1357" s="367">
        <v>45714.58333333333</v>
      </c>
      <c r="G1357" s="364" t="s">
        <v>1187</v>
      </c>
      <c r="H1357" s="364" t="s">
        <v>1198</v>
      </c>
    </row>
    <row r="1358" ht="15.75" customHeight="1">
      <c r="A1358" s="364" t="s">
        <v>63</v>
      </c>
      <c r="B1358" s="364" t="s">
        <v>22</v>
      </c>
      <c r="C1358" s="365" t="s">
        <v>353</v>
      </c>
      <c r="D1358" s="364" t="s">
        <v>354</v>
      </c>
      <c r="E1358" s="366">
        <v>8.0</v>
      </c>
      <c r="F1358" s="367">
        <v>45756.375</v>
      </c>
      <c r="G1358" s="364" t="s">
        <v>1185</v>
      </c>
      <c r="H1358" s="364" t="s">
        <v>1198</v>
      </c>
    </row>
    <row r="1359" ht="15.75" customHeight="1">
      <c r="A1359" s="364" t="s">
        <v>63</v>
      </c>
      <c r="B1359" s="364" t="s">
        <v>22</v>
      </c>
      <c r="C1359" s="365" t="s">
        <v>353</v>
      </c>
      <c r="D1359" s="364" t="s">
        <v>354</v>
      </c>
      <c r="E1359" s="366">
        <v>9.0</v>
      </c>
      <c r="F1359" s="367">
        <v>45784.375</v>
      </c>
      <c r="G1359" s="364" t="s">
        <v>1187</v>
      </c>
      <c r="H1359" s="364" t="s">
        <v>1198</v>
      </c>
    </row>
    <row r="1360" ht="15.75" customHeight="1">
      <c r="A1360" s="364" t="s">
        <v>63</v>
      </c>
      <c r="B1360" s="364" t="s">
        <v>22</v>
      </c>
      <c r="C1360" s="365" t="s">
        <v>353</v>
      </c>
      <c r="D1360" s="364" t="s">
        <v>354</v>
      </c>
      <c r="E1360" s="366">
        <v>10.0</v>
      </c>
      <c r="F1360" s="367">
        <v>45791.375</v>
      </c>
      <c r="G1360" s="364" t="s">
        <v>1185</v>
      </c>
      <c r="H1360" s="364" t="s">
        <v>1198</v>
      </c>
    </row>
    <row r="1361" ht="15.75" customHeight="1">
      <c r="A1361" s="364" t="s">
        <v>63</v>
      </c>
      <c r="B1361" s="364" t="s">
        <v>22</v>
      </c>
      <c r="C1361" s="365" t="s">
        <v>355</v>
      </c>
      <c r="D1361" s="364" t="s">
        <v>356</v>
      </c>
      <c r="E1361" s="366">
        <v>1.0</v>
      </c>
      <c r="F1361" s="367">
        <v>45646.375</v>
      </c>
      <c r="G1361" s="364" t="s">
        <v>1185</v>
      </c>
      <c r="H1361" s="364" t="s">
        <v>1198</v>
      </c>
    </row>
    <row r="1362" ht="15.75" customHeight="1">
      <c r="A1362" s="364" t="s">
        <v>63</v>
      </c>
      <c r="B1362" s="364" t="s">
        <v>22</v>
      </c>
      <c r="C1362" s="365" t="s">
        <v>355</v>
      </c>
      <c r="D1362" s="364" t="s">
        <v>356</v>
      </c>
      <c r="E1362" s="366">
        <v>2.0</v>
      </c>
      <c r="F1362" s="367">
        <v>45653.375</v>
      </c>
      <c r="G1362" s="364" t="s">
        <v>1185</v>
      </c>
      <c r="H1362" s="364" t="s">
        <v>1198</v>
      </c>
    </row>
    <row r="1363" ht="15.75" customHeight="1">
      <c r="A1363" s="364" t="s">
        <v>63</v>
      </c>
      <c r="B1363" s="364" t="s">
        <v>22</v>
      </c>
      <c r="C1363" s="365" t="s">
        <v>355</v>
      </c>
      <c r="D1363" s="364" t="s">
        <v>356</v>
      </c>
      <c r="E1363" s="366">
        <v>3.0</v>
      </c>
      <c r="F1363" s="367">
        <v>45673.375</v>
      </c>
      <c r="G1363" s="364" t="s">
        <v>1185</v>
      </c>
      <c r="H1363" s="364" t="s">
        <v>1198</v>
      </c>
    </row>
    <row r="1364" ht="15.75" customHeight="1">
      <c r="A1364" s="364" t="s">
        <v>63</v>
      </c>
      <c r="B1364" s="364" t="s">
        <v>22</v>
      </c>
      <c r="C1364" s="365" t="s">
        <v>355</v>
      </c>
      <c r="D1364" s="364" t="s">
        <v>356</v>
      </c>
      <c r="E1364" s="366">
        <v>4.0</v>
      </c>
      <c r="F1364" s="367">
        <v>45680.375</v>
      </c>
      <c r="G1364" s="364" t="s">
        <v>1187</v>
      </c>
      <c r="H1364" s="364" t="s">
        <v>1198</v>
      </c>
    </row>
    <row r="1365" ht="15.75" customHeight="1">
      <c r="A1365" s="364" t="s">
        <v>63</v>
      </c>
      <c r="B1365" s="364" t="s">
        <v>22</v>
      </c>
      <c r="C1365" s="365" t="s">
        <v>355</v>
      </c>
      <c r="D1365" s="364" t="s">
        <v>356</v>
      </c>
      <c r="E1365" s="366">
        <v>5.0</v>
      </c>
      <c r="F1365" s="367">
        <v>45700.58333333333</v>
      </c>
      <c r="G1365" s="364" t="s">
        <v>1185</v>
      </c>
      <c r="H1365" s="364" t="s">
        <v>1198</v>
      </c>
    </row>
    <row r="1366" ht="15.75" customHeight="1">
      <c r="A1366" s="364" t="s">
        <v>63</v>
      </c>
      <c r="B1366" s="364" t="s">
        <v>22</v>
      </c>
      <c r="C1366" s="365" t="s">
        <v>355</v>
      </c>
      <c r="D1366" s="364" t="s">
        <v>356</v>
      </c>
      <c r="E1366" s="366">
        <v>6.0</v>
      </c>
      <c r="F1366" s="367">
        <v>45707.58333333333</v>
      </c>
      <c r="G1366" s="364" t="s">
        <v>1185</v>
      </c>
      <c r="H1366" s="364" t="s">
        <v>1198</v>
      </c>
    </row>
    <row r="1367" ht="15.75" customHeight="1">
      <c r="A1367" s="364" t="s">
        <v>63</v>
      </c>
      <c r="B1367" s="364" t="s">
        <v>22</v>
      </c>
      <c r="C1367" s="365" t="s">
        <v>355</v>
      </c>
      <c r="D1367" s="364" t="s">
        <v>356</v>
      </c>
      <c r="E1367" s="366">
        <v>7.0</v>
      </c>
      <c r="F1367" s="367">
        <v>45714.58333333333</v>
      </c>
      <c r="G1367" s="364" t="s">
        <v>1185</v>
      </c>
      <c r="H1367" s="364" t="s">
        <v>1198</v>
      </c>
    </row>
    <row r="1368" ht="15.75" customHeight="1">
      <c r="A1368" s="364" t="s">
        <v>63</v>
      </c>
      <c r="B1368" s="364" t="s">
        <v>22</v>
      </c>
      <c r="C1368" s="365" t="s">
        <v>355</v>
      </c>
      <c r="D1368" s="364" t="s">
        <v>356</v>
      </c>
      <c r="E1368" s="366">
        <v>8.0</v>
      </c>
      <c r="F1368" s="367">
        <v>45756.375</v>
      </c>
      <c r="G1368" s="364" t="s">
        <v>1185</v>
      </c>
      <c r="H1368" s="364" t="s">
        <v>1198</v>
      </c>
    </row>
    <row r="1369" ht="15.75" customHeight="1">
      <c r="A1369" s="364" t="s">
        <v>63</v>
      </c>
      <c r="B1369" s="364" t="s">
        <v>22</v>
      </c>
      <c r="C1369" s="365" t="s">
        <v>355</v>
      </c>
      <c r="D1369" s="364" t="s">
        <v>356</v>
      </c>
      <c r="E1369" s="366">
        <v>9.0</v>
      </c>
      <c r="F1369" s="367">
        <v>45784.375</v>
      </c>
      <c r="G1369" s="364" t="s">
        <v>1185</v>
      </c>
      <c r="H1369" s="364" t="s">
        <v>1198</v>
      </c>
    </row>
    <row r="1370" ht="15.75" customHeight="1">
      <c r="A1370" s="364" t="s">
        <v>63</v>
      </c>
      <c r="B1370" s="364" t="s">
        <v>22</v>
      </c>
      <c r="C1370" s="365" t="s">
        <v>355</v>
      </c>
      <c r="D1370" s="364" t="s">
        <v>356</v>
      </c>
      <c r="E1370" s="366">
        <v>10.0</v>
      </c>
      <c r="F1370" s="367">
        <v>45791.375</v>
      </c>
      <c r="G1370" s="364" t="s">
        <v>1185</v>
      </c>
      <c r="H1370" s="364" t="s">
        <v>1198</v>
      </c>
    </row>
    <row r="1371" ht="15.75" customHeight="1">
      <c r="A1371" s="364" t="s">
        <v>63</v>
      </c>
      <c r="B1371" s="364" t="s">
        <v>22</v>
      </c>
      <c r="C1371" s="365" t="s">
        <v>364</v>
      </c>
      <c r="D1371" s="364" t="s">
        <v>365</v>
      </c>
      <c r="E1371" s="366">
        <v>1.0</v>
      </c>
      <c r="F1371" s="367">
        <v>45646.375</v>
      </c>
      <c r="G1371" s="364" t="s">
        <v>1185</v>
      </c>
      <c r="H1371" s="364" t="s">
        <v>1198</v>
      </c>
    </row>
    <row r="1372" ht="15.75" customHeight="1">
      <c r="A1372" s="364" t="s">
        <v>63</v>
      </c>
      <c r="B1372" s="364" t="s">
        <v>22</v>
      </c>
      <c r="C1372" s="365" t="s">
        <v>364</v>
      </c>
      <c r="D1372" s="364" t="s">
        <v>365</v>
      </c>
      <c r="E1372" s="366">
        <v>2.0</v>
      </c>
      <c r="F1372" s="367">
        <v>45653.375</v>
      </c>
      <c r="G1372" s="364" t="s">
        <v>1185</v>
      </c>
      <c r="H1372" s="364" t="s">
        <v>1198</v>
      </c>
    </row>
    <row r="1373" ht="15.75" customHeight="1">
      <c r="A1373" s="364" t="s">
        <v>63</v>
      </c>
      <c r="B1373" s="364" t="s">
        <v>22</v>
      </c>
      <c r="C1373" s="365" t="s">
        <v>364</v>
      </c>
      <c r="D1373" s="364" t="s">
        <v>365</v>
      </c>
      <c r="E1373" s="366">
        <v>3.0</v>
      </c>
      <c r="F1373" s="367">
        <v>45673.41666666667</v>
      </c>
      <c r="G1373" s="364" t="s">
        <v>1185</v>
      </c>
      <c r="H1373" s="364" t="s">
        <v>1198</v>
      </c>
    </row>
    <row r="1374" ht="15.75" customHeight="1">
      <c r="A1374" s="364" t="s">
        <v>63</v>
      </c>
      <c r="B1374" s="364" t="s">
        <v>22</v>
      </c>
      <c r="C1374" s="365" t="s">
        <v>364</v>
      </c>
      <c r="D1374" s="364" t="s">
        <v>365</v>
      </c>
      <c r="E1374" s="366">
        <v>4.0</v>
      </c>
      <c r="F1374" s="367">
        <v>45680.41666666667</v>
      </c>
      <c r="G1374" s="364" t="s">
        <v>1185</v>
      </c>
      <c r="H1374" s="364" t="s">
        <v>1198</v>
      </c>
    </row>
    <row r="1375" ht="15.75" customHeight="1">
      <c r="A1375" s="364" t="s">
        <v>63</v>
      </c>
      <c r="B1375" s="364" t="s">
        <v>22</v>
      </c>
      <c r="C1375" s="365" t="s">
        <v>364</v>
      </c>
      <c r="D1375" s="364" t="s">
        <v>365</v>
      </c>
      <c r="E1375" s="366">
        <v>5.0</v>
      </c>
      <c r="F1375" s="367">
        <v>45694.375</v>
      </c>
      <c r="G1375" s="364" t="s">
        <v>1185</v>
      </c>
      <c r="H1375" s="364" t="s">
        <v>1198</v>
      </c>
    </row>
    <row r="1376" ht="15.75" customHeight="1">
      <c r="A1376" s="364" t="s">
        <v>63</v>
      </c>
      <c r="B1376" s="364" t="s">
        <v>22</v>
      </c>
      <c r="C1376" s="365" t="s">
        <v>364</v>
      </c>
      <c r="D1376" s="364" t="s">
        <v>365</v>
      </c>
      <c r="E1376" s="366">
        <v>6.0</v>
      </c>
      <c r="F1376" s="367">
        <v>45701.375</v>
      </c>
      <c r="G1376" s="364" t="s">
        <v>1185</v>
      </c>
      <c r="H1376" s="364" t="s">
        <v>1198</v>
      </c>
    </row>
    <row r="1377" ht="15.75" customHeight="1">
      <c r="A1377" s="364" t="s">
        <v>63</v>
      </c>
      <c r="B1377" s="364" t="s">
        <v>22</v>
      </c>
      <c r="C1377" s="365" t="s">
        <v>364</v>
      </c>
      <c r="D1377" s="364" t="s">
        <v>365</v>
      </c>
      <c r="E1377" s="366">
        <v>7.0</v>
      </c>
      <c r="F1377" s="367">
        <v>45708.375</v>
      </c>
      <c r="G1377" s="364" t="s">
        <v>1185</v>
      </c>
      <c r="H1377" s="364" t="s">
        <v>1198</v>
      </c>
    </row>
    <row r="1378" ht="15.75" customHeight="1">
      <c r="A1378" s="364" t="s">
        <v>63</v>
      </c>
      <c r="B1378" s="364" t="s">
        <v>22</v>
      </c>
      <c r="C1378" s="365" t="s">
        <v>364</v>
      </c>
      <c r="D1378" s="364" t="s">
        <v>365</v>
      </c>
      <c r="E1378" s="366">
        <v>8.0</v>
      </c>
      <c r="F1378" s="367">
        <v>45756.375</v>
      </c>
      <c r="G1378" s="364" t="s">
        <v>1185</v>
      </c>
      <c r="H1378" s="364" t="s">
        <v>1198</v>
      </c>
    </row>
    <row r="1379" ht="15.75" customHeight="1">
      <c r="A1379" s="364" t="s">
        <v>63</v>
      </c>
      <c r="B1379" s="364" t="s">
        <v>22</v>
      </c>
      <c r="C1379" s="365" t="s">
        <v>364</v>
      </c>
      <c r="D1379" s="364" t="s">
        <v>365</v>
      </c>
      <c r="E1379" s="366">
        <v>9.0</v>
      </c>
      <c r="F1379" s="367">
        <v>45784.375</v>
      </c>
      <c r="G1379" s="364" t="s">
        <v>1185</v>
      </c>
      <c r="H1379" s="364" t="s">
        <v>1198</v>
      </c>
    </row>
    <row r="1380" ht="15.75" customHeight="1">
      <c r="A1380" s="364" t="s">
        <v>63</v>
      </c>
      <c r="B1380" s="364" t="s">
        <v>22</v>
      </c>
      <c r="C1380" s="365" t="s">
        <v>364</v>
      </c>
      <c r="D1380" s="364" t="s">
        <v>365</v>
      </c>
      <c r="E1380" s="366">
        <v>10.0</v>
      </c>
      <c r="F1380" s="367">
        <v>45791.375</v>
      </c>
      <c r="G1380" s="364" t="s">
        <v>1185</v>
      </c>
      <c r="H1380" s="364" t="s">
        <v>1198</v>
      </c>
    </row>
    <row r="1381" ht="15.75" customHeight="1">
      <c r="A1381" s="364" t="s">
        <v>63</v>
      </c>
      <c r="B1381" s="364" t="s">
        <v>22</v>
      </c>
      <c r="C1381" s="365" t="s">
        <v>357</v>
      </c>
      <c r="D1381" s="364" t="s">
        <v>358</v>
      </c>
      <c r="E1381" s="366">
        <v>1.0</v>
      </c>
      <c r="F1381" s="367">
        <v>45646.375</v>
      </c>
      <c r="G1381" s="364" t="s">
        <v>1185</v>
      </c>
      <c r="H1381" s="364" t="s">
        <v>1198</v>
      </c>
    </row>
    <row r="1382" ht="15.75" customHeight="1">
      <c r="A1382" s="364" t="s">
        <v>63</v>
      </c>
      <c r="B1382" s="364" t="s">
        <v>22</v>
      </c>
      <c r="C1382" s="365" t="s">
        <v>357</v>
      </c>
      <c r="D1382" s="364" t="s">
        <v>358</v>
      </c>
      <c r="E1382" s="366">
        <v>2.0</v>
      </c>
      <c r="F1382" s="367">
        <v>45653.375</v>
      </c>
      <c r="G1382" s="364" t="s">
        <v>1185</v>
      </c>
      <c r="H1382" s="364" t="s">
        <v>1198</v>
      </c>
    </row>
    <row r="1383" ht="15.75" customHeight="1">
      <c r="A1383" s="364" t="s">
        <v>63</v>
      </c>
      <c r="B1383" s="364" t="s">
        <v>22</v>
      </c>
      <c r="C1383" s="365" t="s">
        <v>357</v>
      </c>
      <c r="D1383" s="364" t="s">
        <v>358</v>
      </c>
      <c r="E1383" s="366">
        <v>3.0</v>
      </c>
      <c r="F1383" s="367">
        <v>45673.41666666667</v>
      </c>
      <c r="G1383" s="364" t="s">
        <v>1187</v>
      </c>
      <c r="H1383" s="364" t="s">
        <v>1198</v>
      </c>
    </row>
    <row r="1384" ht="15.75" customHeight="1">
      <c r="A1384" s="364" t="s">
        <v>63</v>
      </c>
      <c r="B1384" s="364" t="s">
        <v>22</v>
      </c>
      <c r="C1384" s="365" t="s">
        <v>357</v>
      </c>
      <c r="D1384" s="364" t="s">
        <v>358</v>
      </c>
      <c r="E1384" s="366">
        <v>4.0</v>
      </c>
      <c r="F1384" s="367">
        <v>45680.375</v>
      </c>
      <c r="G1384" s="364" t="s">
        <v>1187</v>
      </c>
      <c r="H1384" s="364" t="s">
        <v>1198</v>
      </c>
    </row>
    <row r="1385" ht="15.75" customHeight="1">
      <c r="A1385" s="364" t="s">
        <v>63</v>
      </c>
      <c r="B1385" s="364" t="s">
        <v>22</v>
      </c>
      <c r="C1385" s="365" t="s">
        <v>357</v>
      </c>
      <c r="D1385" s="364" t="s">
        <v>358</v>
      </c>
      <c r="E1385" s="366">
        <v>5.0</v>
      </c>
      <c r="F1385" s="367">
        <v>45700.58333333333</v>
      </c>
      <c r="G1385" s="364" t="s">
        <v>1185</v>
      </c>
      <c r="H1385" s="364" t="s">
        <v>1198</v>
      </c>
    </row>
    <row r="1386" ht="15.75" customHeight="1">
      <c r="A1386" s="364" t="s">
        <v>63</v>
      </c>
      <c r="B1386" s="364" t="s">
        <v>22</v>
      </c>
      <c r="C1386" s="365" t="s">
        <v>357</v>
      </c>
      <c r="D1386" s="364" t="s">
        <v>358</v>
      </c>
      <c r="E1386" s="366">
        <v>6.0</v>
      </c>
      <c r="F1386" s="367">
        <v>45707.58333333333</v>
      </c>
      <c r="G1386" s="364" t="s">
        <v>1185</v>
      </c>
      <c r="H1386" s="364" t="s">
        <v>1198</v>
      </c>
    </row>
    <row r="1387" ht="15.75" customHeight="1">
      <c r="A1387" s="364" t="s">
        <v>63</v>
      </c>
      <c r="B1387" s="364" t="s">
        <v>22</v>
      </c>
      <c r="C1387" s="365" t="s">
        <v>357</v>
      </c>
      <c r="D1387" s="364" t="s">
        <v>358</v>
      </c>
      <c r="E1387" s="366">
        <v>7.0</v>
      </c>
      <c r="F1387" s="367">
        <v>45714.58333333333</v>
      </c>
      <c r="G1387" s="364" t="s">
        <v>1187</v>
      </c>
      <c r="H1387" s="364" t="s">
        <v>1198</v>
      </c>
    </row>
    <row r="1388" ht="15.75" customHeight="1">
      <c r="A1388" s="364" t="s">
        <v>63</v>
      </c>
      <c r="B1388" s="364" t="s">
        <v>22</v>
      </c>
      <c r="C1388" s="365" t="s">
        <v>357</v>
      </c>
      <c r="D1388" s="364" t="s">
        <v>358</v>
      </c>
      <c r="E1388" s="366">
        <v>8.0</v>
      </c>
      <c r="F1388" s="367">
        <v>45756.375</v>
      </c>
      <c r="G1388" s="364" t="s">
        <v>1187</v>
      </c>
      <c r="H1388" s="364" t="s">
        <v>1198</v>
      </c>
    </row>
    <row r="1389" ht="15.75" customHeight="1">
      <c r="A1389" s="364" t="s">
        <v>63</v>
      </c>
      <c r="B1389" s="364" t="s">
        <v>22</v>
      </c>
      <c r="C1389" s="365" t="s">
        <v>357</v>
      </c>
      <c r="D1389" s="364" t="s">
        <v>358</v>
      </c>
      <c r="E1389" s="366">
        <v>9.0</v>
      </c>
      <c r="F1389" s="367">
        <v>45784.375</v>
      </c>
      <c r="G1389" s="364" t="s">
        <v>1185</v>
      </c>
      <c r="H1389" s="364" t="s">
        <v>1198</v>
      </c>
    </row>
    <row r="1390" ht="15.75" customHeight="1">
      <c r="A1390" s="364" t="s">
        <v>63</v>
      </c>
      <c r="B1390" s="364" t="s">
        <v>22</v>
      </c>
      <c r="C1390" s="365" t="s">
        <v>357</v>
      </c>
      <c r="D1390" s="364" t="s">
        <v>358</v>
      </c>
      <c r="E1390" s="366">
        <v>10.0</v>
      </c>
      <c r="F1390" s="367">
        <v>45791.375</v>
      </c>
      <c r="G1390" s="364" t="s">
        <v>1185</v>
      </c>
      <c r="H1390" s="364" t="s">
        <v>1198</v>
      </c>
    </row>
    <row r="1391" ht="15.75" customHeight="1">
      <c r="A1391" s="364" t="s">
        <v>63</v>
      </c>
      <c r="B1391" s="364" t="s">
        <v>22</v>
      </c>
      <c r="C1391" s="365" t="s">
        <v>360</v>
      </c>
      <c r="D1391" s="364" t="s">
        <v>361</v>
      </c>
      <c r="E1391" s="366">
        <v>1.0</v>
      </c>
      <c r="F1391" s="367">
        <v>45646.375</v>
      </c>
      <c r="G1391" s="364" t="s">
        <v>1187</v>
      </c>
      <c r="H1391" s="364" t="s">
        <v>1198</v>
      </c>
    </row>
    <row r="1392" ht="15.75" customHeight="1">
      <c r="A1392" s="364" t="s">
        <v>63</v>
      </c>
      <c r="B1392" s="364" t="s">
        <v>22</v>
      </c>
      <c r="C1392" s="365" t="s">
        <v>360</v>
      </c>
      <c r="D1392" s="364" t="s">
        <v>361</v>
      </c>
      <c r="E1392" s="366">
        <v>2.0</v>
      </c>
      <c r="F1392" s="367">
        <v>45653.375</v>
      </c>
      <c r="G1392" s="364" t="s">
        <v>1185</v>
      </c>
      <c r="H1392" s="364" t="s">
        <v>1198</v>
      </c>
    </row>
    <row r="1393" ht="15.75" customHeight="1">
      <c r="A1393" s="364" t="s">
        <v>63</v>
      </c>
      <c r="B1393" s="364" t="s">
        <v>22</v>
      </c>
      <c r="C1393" s="365" t="s">
        <v>360</v>
      </c>
      <c r="D1393" s="364" t="s">
        <v>361</v>
      </c>
      <c r="E1393" s="366">
        <v>3.0</v>
      </c>
      <c r="F1393" s="367">
        <v>45673.375</v>
      </c>
      <c r="G1393" s="364" t="s">
        <v>1185</v>
      </c>
      <c r="H1393" s="364" t="s">
        <v>1198</v>
      </c>
    </row>
    <row r="1394" ht="15.75" customHeight="1">
      <c r="A1394" s="364" t="s">
        <v>63</v>
      </c>
      <c r="B1394" s="364" t="s">
        <v>22</v>
      </c>
      <c r="C1394" s="365" t="s">
        <v>360</v>
      </c>
      <c r="D1394" s="364" t="s">
        <v>361</v>
      </c>
      <c r="E1394" s="366">
        <v>4.0</v>
      </c>
      <c r="F1394" s="367">
        <v>45680.375</v>
      </c>
      <c r="G1394" s="364" t="s">
        <v>1185</v>
      </c>
      <c r="H1394" s="364" t="s">
        <v>1198</v>
      </c>
    </row>
    <row r="1395" ht="15.75" customHeight="1">
      <c r="A1395" s="364" t="s">
        <v>63</v>
      </c>
      <c r="B1395" s="364" t="s">
        <v>22</v>
      </c>
      <c r="C1395" s="365" t="s">
        <v>360</v>
      </c>
      <c r="D1395" s="364" t="s">
        <v>361</v>
      </c>
      <c r="E1395" s="366">
        <v>5.0</v>
      </c>
      <c r="F1395" s="367">
        <v>45700.58333333333</v>
      </c>
      <c r="G1395" s="364" t="s">
        <v>1185</v>
      </c>
      <c r="H1395" s="364" t="s">
        <v>1198</v>
      </c>
    </row>
    <row r="1396" ht="15.75" customHeight="1">
      <c r="A1396" s="364" t="s">
        <v>63</v>
      </c>
      <c r="B1396" s="364" t="s">
        <v>22</v>
      </c>
      <c r="C1396" s="365" t="s">
        <v>360</v>
      </c>
      <c r="D1396" s="364" t="s">
        <v>361</v>
      </c>
      <c r="E1396" s="366">
        <v>6.0</v>
      </c>
      <c r="F1396" s="367">
        <v>45707.58333333333</v>
      </c>
      <c r="G1396" s="364" t="s">
        <v>1185</v>
      </c>
      <c r="H1396" s="364" t="s">
        <v>1198</v>
      </c>
    </row>
    <row r="1397" ht="15.75" customHeight="1">
      <c r="A1397" s="364" t="s">
        <v>63</v>
      </c>
      <c r="B1397" s="364" t="s">
        <v>22</v>
      </c>
      <c r="C1397" s="365" t="s">
        <v>360</v>
      </c>
      <c r="D1397" s="364" t="s">
        <v>361</v>
      </c>
      <c r="E1397" s="366">
        <v>7.0</v>
      </c>
      <c r="F1397" s="367">
        <v>45714.58333333333</v>
      </c>
      <c r="G1397" s="364" t="s">
        <v>1185</v>
      </c>
      <c r="H1397" s="364" t="s">
        <v>1198</v>
      </c>
    </row>
    <row r="1398" ht="15.75" customHeight="1">
      <c r="A1398" s="364" t="s">
        <v>63</v>
      </c>
      <c r="B1398" s="364" t="s">
        <v>22</v>
      </c>
      <c r="C1398" s="365" t="s">
        <v>360</v>
      </c>
      <c r="D1398" s="364" t="s">
        <v>361</v>
      </c>
      <c r="E1398" s="366">
        <v>8.0</v>
      </c>
      <c r="F1398" s="367">
        <v>45756.375</v>
      </c>
      <c r="G1398" s="364" t="s">
        <v>1185</v>
      </c>
      <c r="H1398" s="364" t="s">
        <v>1198</v>
      </c>
    </row>
    <row r="1399" ht="15.75" customHeight="1">
      <c r="A1399" s="364" t="s">
        <v>63</v>
      </c>
      <c r="B1399" s="364" t="s">
        <v>22</v>
      </c>
      <c r="C1399" s="365" t="s">
        <v>360</v>
      </c>
      <c r="D1399" s="364" t="s">
        <v>361</v>
      </c>
      <c r="E1399" s="366">
        <v>9.0</v>
      </c>
      <c r="F1399" s="367">
        <v>45784.375</v>
      </c>
      <c r="G1399" s="364" t="s">
        <v>1185</v>
      </c>
      <c r="H1399" s="364" t="s">
        <v>1198</v>
      </c>
    </row>
    <row r="1400" ht="15.75" customHeight="1">
      <c r="A1400" s="364" t="s">
        <v>63</v>
      </c>
      <c r="B1400" s="364" t="s">
        <v>22</v>
      </c>
      <c r="C1400" s="365" t="s">
        <v>360</v>
      </c>
      <c r="D1400" s="364" t="s">
        <v>361</v>
      </c>
      <c r="E1400" s="366">
        <v>10.0</v>
      </c>
      <c r="F1400" s="367">
        <v>45791.375</v>
      </c>
      <c r="G1400" s="364" t="s">
        <v>1185</v>
      </c>
      <c r="H1400" s="364" t="s">
        <v>1198</v>
      </c>
    </row>
    <row r="1401" ht="15.75" customHeight="1">
      <c r="A1401" s="364" t="s">
        <v>64</v>
      </c>
      <c r="B1401" s="364" t="s">
        <v>22</v>
      </c>
      <c r="C1401" s="365" t="s">
        <v>366</v>
      </c>
      <c r="D1401" s="364" t="s">
        <v>367</v>
      </c>
      <c r="E1401" s="366">
        <v>1.0</v>
      </c>
      <c r="F1401" s="367">
        <v>45637.375</v>
      </c>
      <c r="G1401" s="364" t="s">
        <v>1185</v>
      </c>
      <c r="H1401" s="364" t="s">
        <v>1199</v>
      </c>
    </row>
    <row r="1402" ht="15.75" customHeight="1">
      <c r="A1402" s="364" t="s">
        <v>64</v>
      </c>
      <c r="B1402" s="364" t="s">
        <v>22</v>
      </c>
      <c r="C1402" s="365" t="s">
        <v>366</v>
      </c>
      <c r="D1402" s="364" t="s">
        <v>367</v>
      </c>
      <c r="E1402" s="366">
        <v>2.0</v>
      </c>
      <c r="F1402" s="367">
        <v>45645.375</v>
      </c>
      <c r="G1402" s="364" t="s">
        <v>1185</v>
      </c>
      <c r="H1402" s="364" t="s">
        <v>1199</v>
      </c>
    </row>
    <row r="1403" ht="15.75" customHeight="1">
      <c r="A1403" s="364" t="s">
        <v>64</v>
      </c>
      <c r="B1403" s="364" t="s">
        <v>22</v>
      </c>
      <c r="C1403" s="365" t="s">
        <v>366</v>
      </c>
      <c r="D1403" s="364" t="s">
        <v>367</v>
      </c>
      <c r="E1403" s="366">
        <v>3.0</v>
      </c>
      <c r="F1403" s="367">
        <v>45667.41666666667</v>
      </c>
      <c r="G1403" s="364" t="s">
        <v>1185</v>
      </c>
      <c r="H1403" s="364" t="s">
        <v>1199</v>
      </c>
    </row>
    <row r="1404" ht="15.75" customHeight="1">
      <c r="A1404" s="364" t="s">
        <v>64</v>
      </c>
      <c r="B1404" s="364" t="s">
        <v>22</v>
      </c>
      <c r="C1404" s="365" t="s">
        <v>366</v>
      </c>
      <c r="D1404" s="364" t="s">
        <v>367</v>
      </c>
      <c r="E1404" s="366">
        <v>4.0</v>
      </c>
      <c r="F1404" s="367">
        <v>45674.41666666667</v>
      </c>
      <c r="G1404" s="364" t="s">
        <v>1185</v>
      </c>
      <c r="H1404" s="364" t="s">
        <v>1199</v>
      </c>
    </row>
    <row r="1405" ht="15.75" customHeight="1">
      <c r="A1405" s="364" t="s">
        <v>64</v>
      </c>
      <c r="B1405" s="364" t="s">
        <v>22</v>
      </c>
      <c r="C1405" s="365" t="s">
        <v>366</v>
      </c>
      <c r="D1405" s="364" t="s">
        <v>367</v>
      </c>
      <c r="E1405" s="366">
        <v>5.0</v>
      </c>
      <c r="F1405" s="367">
        <v>45695.41666666667</v>
      </c>
      <c r="G1405" s="364" t="s">
        <v>1185</v>
      </c>
      <c r="H1405" s="364" t="s">
        <v>1199</v>
      </c>
    </row>
    <row r="1406" ht="15.75" customHeight="1">
      <c r="A1406" s="364" t="s">
        <v>64</v>
      </c>
      <c r="B1406" s="364" t="s">
        <v>22</v>
      </c>
      <c r="C1406" s="365" t="s">
        <v>366</v>
      </c>
      <c r="D1406" s="364" t="s">
        <v>367</v>
      </c>
      <c r="E1406" s="366">
        <v>6.0</v>
      </c>
      <c r="F1406" s="367">
        <v>45702.41666666667</v>
      </c>
      <c r="G1406" s="364" t="s">
        <v>1185</v>
      </c>
      <c r="H1406" s="364" t="s">
        <v>1199</v>
      </c>
    </row>
    <row r="1407" ht="15.75" customHeight="1">
      <c r="A1407" s="364" t="s">
        <v>64</v>
      </c>
      <c r="B1407" s="364" t="s">
        <v>22</v>
      </c>
      <c r="C1407" s="365" t="s">
        <v>366</v>
      </c>
      <c r="D1407" s="364" t="s">
        <v>367</v>
      </c>
      <c r="E1407" s="366">
        <v>7.0</v>
      </c>
      <c r="F1407" s="367">
        <v>45709.58333333333</v>
      </c>
      <c r="G1407" s="364" t="s">
        <v>1185</v>
      </c>
      <c r="H1407" s="364" t="s">
        <v>1199</v>
      </c>
    </row>
    <row r="1408" ht="15.75" customHeight="1">
      <c r="A1408" s="364" t="s">
        <v>64</v>
      </c>
      <c r="B1408" s="364" t="s">
        <v>22</v>
      </c>
      <c r="C1408" s="365" t="s">
        <v>366</v>
      </c>
      <c r="D1408" s="364" t="s">
        <v>367</v>
      </c>
      <c r="E1408" s="366">
        <v>8.0</v>
      </c>
      <c r="F1408" s="367">
        <v>45716.54166666667</v>
      </c>
      <c r="G1408" s="364" t="s">
        <v>1185</v>
      </c>
      <c r="H1408" s="364" t="s">
        <v>1199</v>
      </c>
    </row>
    <row r="1409" ht="15.75" customHeight="1">
      <c r="A1409" s="364" t="s">
        <v>64</v>
      </c>
      <c r="B1409" s="364" t="s">
        <v>22</v>
      </c>
      <c r="C1409" s="365" t="s">
        <v>366</v>
      </c>
      <c r="D1409" s="364" t="s">
        <v>367</v>
      </c>
      <c r="E1409" s="366">
        <v>9.0</v>
      </c>
      <c r="F1409" s="367">
        <v>45765.625</v>
      </c>
      <c r="G1409" s="364" t="s">
        <v>1185</v>
      </c>
      <c r="H1409" s="364" t="s">
        <v>1199</v>
      </c>
    </row>
    <row r="1410" ht="15.75" customHeight="1">
      <c r="A1410" s="364" t="s">
        <v>64</v>
      </c>
      <c r="B1410" s="364" t="s">
        <v>22</v>
      </c>
      <c r="C1410" s="365" t="s">
        <v>366</v>
      </c>
      <c r="D1410" s="364" t="s">
        <v>367</v>
      </c>
      <c r="E1410" s="366">
        <v>10.0</v>
      </c>
      <c r="F1410" s="367">
        <v>45806.41666666667</v>
      </c>
      <c r="G1410" s="364" t="s">
        <v>1185</v>
      </c>
      <c r="H1410" s="364" t="s">
        <v>1199</v>
      </c>
    </row>
    <row r="1411" ht="15.75" customHeight="1">
      <c r="A1411" s="364" t="s">
        <v>64</v>
      </c>
      <c r="B1411" s="364" t="s">
        <v>22</v>
      </c>
      <c r="C1411" s="365" t="s">
        <v>368</v>
      </c>
      <c r="D1411" s="364" t="s">
        <v>369</v>
      </c>
      <c r="E1411" s="366">
        <v>1.0</v>
      </c>
      <c r="F1411" s="367">
        <v>45637.375</v>
      </c>
      <c r="G1411" s="364" t="s">
        <v>1185</v>
      </c>
      <c r="H1411" s="364" t="s">
        <v>1199</v>
      </c>
    </row>
    <row r="1412" ht="15.75" customHeight="1">
      <c r="A1412" s="364" t="s">
        <v>64</v>
      </c>
      <c r="B1412" s="364" t="s">
        <v>22</v>
      </c>
      <c r="C1412" s="365" t="s">
        <v>368</v>
      </c>
      <c r="D1412" s="364" t="s">
        <v>369</v>
      </c>
      <c r="E1412" s="366">
        <v>2.0</v>
      </c>
      <c r="F1412" s="367">
        <v>45645.375</v>
      </c>
      <c r="G1412" s="364" t="s">
        <v>1185</v>
      </c>
      <c r="H1412" s="364" t="s">
        <v>1199</v>
      </c>
    </row>
    <row r="1413" ht="15.75" customHeight="1">
      <c r="A1413" s="364" t="s">
        <v>64</v>
      </c>
      <c r="B1413" s="364" t="s">
        <v>22</v>
      </c>
      <c r="C1413" s="365" t="s">
        <v>368</v>
      </c>
      <c r="D1413" s="364" t="s">
        <v>369</v>
      </c>
      <c r="E1413" s="366">
        <v>3.0</v>
      </c>
      <c r="F1413" s="367">
        <v>45667.41666666667</v>
      </c>
      <c r="G1413" s="364" t="s">
        <v>1185</v>
      </c>
      <c r="H1413" s="364" t="s">
        <v>1199</v>
      </c>
    </row>
    <row r="1414" ht="15.75" customHeight="1">
      <c r="A1414" s="364" t="s">
        <v>64</v>
      </c>
      <c r="B1414" s="364" t="s">
        <v>22</v>
      </c>
      <c r="C1414" s="365" t="s">
        <v>368</v>
      </c>
      <c r="D1414" s="364" t="s">
        <v>369</v>
      </c>
      <c r="E1414" s="366">
        <v>4.0</v>
      </c>
      <c r="F1414" s="367">
        <v>45674.41666666667</v>
      </c>
      <c r="G1414" s="364" t="s">
        <v>1185</v>
      </c>
      <c r="H1414" s="364" t="s">
        <v>1199</v>
      </c>
    </row>
    <row r="1415" ht="15.75" customHeight="1">
      <c r="A1415" s="364" t="s">
        <v>64</v>
      </c>
      <c r="B1415" s="364" t="s">
        <v>22</v>
      </c>
      <c r="C1415" s="365" t="s">
        <v>368</v>
      </c>
      <c r="D1415" s="364" t="s">
        <v>369</v>
      </c>
      <c r="E1415" s="366">
        <v>5.0</v>
      </c>
      <c r="F1415" s="367">
        <v>45695.41666666667</v>
      </c>
      <c r="G1415" s="364" t="s">
        <v>1185</v>
      </c>
      <c r="H1415" s="364" t="s">
        <v>1199</v>
      </c>
    </row>
    <row r="1416" ht="15.75" customHeight="1">
      <c r="A1416" s="364" t="s">
        <v>64</v>
      </c>
      <c r="B1416" s="364" t="s">
        <v>22</v>
      </c>
      <c r="C1416" s="365" t="s">
        <v>368</v>
      </c>
      <c r="D1416" s="364" t="s">
        <v>369</v>
      </c>
      <c r="E1416" s="366">
        <v>6.0</v>
      </c>
      <c r="F1416" s="367">
        <v>45702.41666666667</v>
      </c>
      <c r="G1416" s="364" t="s">
        <v>1185</v>
      </c>
      <c r="H1416" s="364" t="s">
        <v>1199</v>
      </c>
    </row>
    <row r="1417" ht="15.75" customHeight="1">
      <c r="A1417" s="364" t="s">
        <v>64</v>
      </c>
      <c r="B1417" s="364" t="s">
        <v>22</v>
      </c>
      <c r="C1417" s="365" t="s">
        <v>368</v>
      </c>
      <c r="D1417" s="364" t="s">
        <v>369</v>
      </c>
      <c r="E1417" s="366">
        <v>7.0</v>
      </c>
      <c r="F1417" s="367">
        <v>45709.58333333333</v>
      </c>
      <c r="G1417" s="364" t="s">
        <v>1185</v>
      </c>
      <c r="H1417" s="364" t="s">
        <v>1199</v>
      </c>
    </row>
    <row r="1418" ht="15.75" customHeight="1">
      <c r="A1418" s="364" t="s">
        <v>64</v>
      </c>
      <c r="B1418" s="364" t="s">
        <v>22</v>
      </c>
      <c r="C1418" s="365" t="s">
        <v>368</v>
      </c>
      <c r="D1418" s="364" t="s">
        <v>369</v>
      </c>
      <c r="E1418" s="366">
        <v>8.0</v>
      </c>
      <c r="F1418" s="367">
        <v>45716.54166666667</v>
      </c>
      <c r="G1418" s="364" t="s">
        <v>1185</v>
      </c>
      <c r="H1418" s="364" t="s">
        <v>1199</v>
      </c>
    </row>
    <row r="1419" ht="15.75" customHeight="1">
      <c r="A1419" s="364" t="s">
        <v>64</v>
      </c>
      <c r="B1419" s="364" t="s">
        <v>22</v>
      </c>
      <c r="C1419" s="365" t="s">
        <v>368</v>
      </c>
      <c r="D1419" s="364" t="s">
        <v>369</v>
      </c>
      <c r="E1419" s="366">
        <v>9.0</v>
      </c>
      <c r="F1419" s="367">
        <v>45765.625</v>
      </c>
      <c r="G1419" s="364" t="s">
        <v>1185</v>
      </c>
      <c r="H1419" s="364" t="s">
        <v>1199</v>
      </c>
    </row>
    <row r="1420" ht="15.75" customHeight="1">
      <c r="A1420" s="364" t="s">
        <v>64</v>
      </c>
      <c r="B1420" s="364" t="s">
        <v>22</v>
      </c>
      <c r="C1420" s="365" t="s">
        <v>368</v>
      </c>
      <c r="D1420" s="364" t="s">
        <v>369</v>
      </c>
      <c r="E1420" s="366">
        <v>10.0</v>
      </c>
      <c r="F1420" s="367">
        <v>45806.41666666667</v>
      </c>
      <c r="G1420" s="364" t="s">
        <v>1185</v>
      </c>
      <c r="H1420" s="364" t="s">
        <v>1199</v>
      </c>
    </row>
    <row r="1421" ht="15.75" customHeight="1">
      <c r="A1421" s="364" t="s">
        <v>64</v>
      </c>
      <c r="B1421" s="364" t="s">
        <v>22</v>
      </c>
      <c r="C1421" s="365" t="s">
        <v>371</v>
      </c>
      <c r="D1421" s="364" t="s">
        <v>372</v>
      </c>
      <c r="E1421" s="366">
        <v>1.0</v>
      </c>
      <c r="F1421" s="367">
        <v>45639.375</v>
      </c>
      <c r="G1421" s="364" t="s">
        <v>1185</v>
      </c>
      <c r="H1421" s="364" t="s">
        <v>1199</v>
      </c>
    </row>
    <row r="1422" ht="15.75" customHeight="1">
      <c r="A1422" s="364" t="s">
        <v>64</v>
      </c>
      <c r="B1422" s="364" t="s">
        <v>22</v>
      </c>
      <c r="C1422" s="365" t="s">
        <v>371</v>
      </c>
      <c r="D1422" s="364" t="s">
        <v>372</v>
      </c>
      <c r="E1422" s="366">
        <v>2.0</v>
      </c>
      <c r="F1422" s="367">
        <v>45645.375</v>
      </c>
      <c r="G1422" s="364" t="s">
        <v>1185</v>
      </c>
      <c r="H1422" s="364" t="s">
        <v>1199</v>
      </c>
    </row>
    <row r="1423" ht="15.75" customHeight="1">
      <c r="A1423" s="364" t="s">
        <v>64</v>
      </c>
      <c r="B1423" s="364" t="s">
        <v>22</v>
      </c>
      <c r="C1423" s="365" t="s">
        <v>371</v>
      </c>
      <c r="D1423" s="364" t="s">
        <v>372</v>
      </c>
      <c r="E1423" s="366">
        <v>3.0</v>
      </c>
      <c r="F1423" s="367">
        <v>45667.41666666667</v>
      </c>
      <c r="G1423" s="364" t="s">
        <v>1185</v>
      </c>
      <c r="H1423" s="364" t="s">
        <v>1199</v>
      </c>
    </row>
    <row r="1424" ht="15.75" customHeight="1">
      <c r="A1424" s="364" t="s">
        <v>64</v>
      </c>
      <c r="B1424" s="364" t="s">
        <v>22</v>
      </c>
      <c r="C1424" s="365" t="s">
        <v>371</v>
      </c>
      <c r="D1424" s="364" t="s">
        <v>372</v>
      </c>
      <c r="E1424" s="366">
        <v>4.0</v>
      </c>
      <c r="F1424" s="367">
        <v>45674.41666666667</v>
      </c>
      <c r="G1424" s="364" t="s">
        <v>1185</v>
      </c>
      <c r="H1424" s="364" t="s">
        <v>1199</v>
      </c>
    </row>
    <row r="1425" ht="15.75" customHeight="1">
      <c r="A1425" s="364" t="s">
        <v>64</v>
      </c>
      <c r="B1425" s="364" t="s">
        <v>22</v>
      </c>
      <c r="C1425" s="365" t="s">
        <v>371</v>
      </c>
      <c r="D1425" s="364" t="s">
        <v>372</v>
      </c>
      <c r="E1425" s="366">
        <v>5.0</v>
      </c>
      <c r="F1425" s="367">
        <v>45695.41666666667</v>
      </c>
      <c r="G1425" s="364" t="s">
        <v>1185</v>
      </c>
      <c r="H1425" s="364" t="s">
        <v>1199</v>
      </c>
    </row>
    <row r="1426" ht="15.75" customHeight="1">
      <c r="A1426" s="364" t="s">
        <v>64</v>
      </c>
      <c r="B1426" s="364" t="s">
        <v>22</v>
      </c>
      <c r="C1426" s="365" t="s">
        <v>371</v>
      </c>
      <c r="D1426" s="364" t="s">
        <v>372</v>
      </c>
      <c r="E1426" s="366">
        <v>6.0</v>
      </c>
      <c r="F1426" s="367">
        <v>45702.41666666667</v>
      </c>
      <c r="G1426" s="364" t="s">
        <v>1185</v>
      </c>
      <c r="H1426" s="364" t="s">
        <v>1199</v>
      </c>
    </row>
    <row r="1427" ht="15.75" customHeight="1">
      <c r="A1427" s="364" t="s">
        <v>64</v>
      </c>
      <c r="B1427" s="364" t="s">
        <v>22</v>
      </c>
      <c r="C1427" s="365" t="s">
        <v>371</v>
      </c>
      <c r="D1427" s="364" t="s">
        <v>372</v>
      </c>
      <c r="E1427" s="366">
        <v>7.0</v>
      </c>
      <c r="F1427" s="367">
        <v>45709.58333333333</v>
      </c>
      <c r="G1427" s="364" t="s">
        <v>1187</v>
      </c>
      <c r="H1427" s="364" t="s">
        <v>1199</v>
      </c>
    </row>
    <row r="1428" ht="15.75" customHeight="1">
      <c r="A1428" s="364" t="s">
        <v>64</v>
      </c>
      <c r="B1428" s="364" t="s">
        <v>22</v>
      </c>
      <c r="C1428" s="365" t="s">
        <v>371</v>
      </c>
      <c r="D1428" s="364" t="s">
        <v>372</v>
      </c>
      <c r="E1428" s="366">
        <v>8.0</v>
      </c>
      <c r="F1428" s="367">
        <v>45716.54166666667</v>
      </c>
      <c r="G1428" s="364" t="s">
        <v>1185</v>
      </c>
      <c r="H1428" s="364" t="s">
        <v>1199</v>
      </c>
    </row>
    <row r="1429" ht="15.75" customHeight="1">
      <c r="A1429" s="364" t="s">
        <v>64</v>
      </c>
      <c r="B1429" s="364" t="s">
        <v>22</v>
      </c>
      <c r="C1429" s="365" t="s">
        <v>371</v>
      </c>
      <c r="D1429" s="364" t="s">
        <v>372</v>
      </c>
      <c r="E1429" s="366">
        <v>9.0</v>
      </c>
      <c r="F1429" s="367">
        <v>45765.625</v>
      </c>
      <c r="G1429" s="364" t="s">
        <v>1185</v>
      </c>
      <c r="H1429" s="364" t="s">
        <v>1199</v>
      </c>
    </row>
    <row r="1430" ht="15.75" customHeight="1">
      <c r="A1430" s="364" t="s">
        <v>64</v>
      </c>
      <c r="B1430" s="364" t="s">
        <v>22</v>
      </c>
      <c r="C1430" s="365" t="s">
        <v>371</v>
      </c>
      <c r="D1430" s="364" t="s">
        <v>372</v>
      </c>
      <c r="E1430" s="366">
        <v>10.0</v>
      </c>
      <c r="F1430" s="367">
        <v>45806.41666666667</v>
      </c>
      <c r="G1430" s="364" t="s">
        <v>1185</v>
      </c>
      <c r="H1430" s="364" t="s">
        <v>1199</v>
      </c>
    </row>
    <row r="1431" ht="15.75" customHeight="1">
      <c r="A1431" s="364" t="s">
        <v>64</v>
      </c>
      <c r="B1431" s="364" t="s">
        <v>22</v>
      </c>
      <c r="C1431" s="365" t="s">
        <v>380</v>
      </c>
      <c r="D1431" s="364" t="s">
        <v>381</v>
      </c>
      <c r="E1431" s="366">
        <v>1.0</v>
      </c>
      <c r="F1431" s="367">
        <v>45637.375</v>
      </c>
      <c r="G1431" s="364" t="s">
        <v>1187</v>
      </c>
      <c r="H1431" s="364" t="s">
        <v>1199</v>
      </c>
    </row>
    <row r="1432" ht="15.75" customHeight="1">
      <c r="A1432" s="364" t="s">
        <v>64</v>
      </c>
      <c r="B1432" s="364" t="s">
        <v>22</v>
      </c>
      <c r="C1432" s="365" t="s">
        <v>380</v>
      </c>
      <c r="D1432" s="364" t="s">
        <v>381</v>
      </c>
      <c r="E1432" s="366">
        <v>2.0</v>
      </c>
      <c r="F1432" s="367">
        <v>45645.375</v>
      </c>
      <c r="G1432" s="364" t="s">
        <v>1185</v>
      </c>
      <c r="H1432" s="364" t="s">
        <v>1199</v>
      </c>
    </row>
    <row r="1433" ht="15.75" customHeight="1">
      <c r="A1433" s="364" t="s">
        <v>64</v>
      </c>
      <c r="B1433" s="364" t="s">
        <v>22</v>
      </c>
      <c r="C1433" s="365" t="s">
        <v>380</v>
      </c>
      <c r="D1433" s="364" t="s">
        <v>381</v>
      </c>
      <c r="E1433" s="366">
        <v>3.0</v>
      </c>
      <c r="F1433" s="367">
        <v>45667.41666666667</v>
      </c>
      <c r="G1433" s="364" t="s">
        <v>1185</v>
      </c>
      <c r="H1433" s="364" t="s">
        <v>1199</v>
      </c>
    </row>
    <row r="1434" ht="15.75" customHeight="1">
      <c r="A1434" s="364" t="s">
        <v>64</v>
      </c>
      <c r="B1434" s="364" t="s">
        <v>22</v>
      </c>
      <c r="C1434" s="365" t="s">
        <v>380</v>
      </c>
      <c r="D1434" s="364" t="s">
        <v>381</v>
      </c>
      <c r="E1434" s="366">
        <v>4.0</v>
      </c>
      <c r="F1434" s="367">
        <v>45674.41666666667</v>
      </c>
      <c r="G1434" s="364" t="s">
        <v>1187</v>
      </c>
      <c r="H1434" s="364" t="s">
        <v>1199</v>
      </c>
    </row>
    <row r="1435" ht="15.75" customHeight="1">
      <c r="A1435" s="364" t="s">
        <v>64</v>
      </c>
      <c r="B1435" s="364" t="s">
        <v>22</v>
      </c>
      <c r="C1435" s="365" t="s">
        <v>380</v>
      </c>
      <c r="D1435" s="364" t="s">
        <v>381</v>
      </c>
      <c r="E1435" s="366">
        <v>5.0</v>
      </c>
      <c r="F1435" s="367">
        <v>45695.41666666667</v>
      </c>
      <c r="G1435" s="364" t="s">
        <v>1185</v>
      </c>
      <c r="H1435" s="364" t="s">
        <v>1199</v>
      </c>
    </row>
    <row r="1436" ht="15.75" customHeight="1">
      <c r="A1436" s="364" t="s">
        <v>64</v>
      </c>
      <c r="B1436" s="364" t="s">
        <v>22</v>
      </c>
      <c r="C1436" s="365" t="s">
        <v>380</v>
      </c>
      <c r="D1436" s="364" t="s">
        <v>381</v>
      </c>
      <c r="E1436" s="366">
        <v>6.0</v>
      </c>
      <c r="F1436" s="367">
        <v>45702.41666666667</v>
      </c>
      <c r="G1436" s="364" t="s">
        <v>1185</v>
      </c>
      <c r="H1436" s="364" t="s">
        <v>1199</v>
      </c>
    </row>
    <row r="1437" ht="15.75" customHeight="1">
      <c r="A1437" s="364" t="s">
        <v>64</v>
      </c>
      <c r="B1437" s="364" t="s">
        <v>22</v>
      </c>
      <c r="C1437" s="365" t="s">
        <v>380</v>
      </c>
      <c r="D1437" s="364" t="s">
        <v>381</v>
      </c>
      <c r="E1437" s="366">
        <v>7.0</v>
      </c>
      <c r="F1437" s="367">
        <v>45709.58333333333</v>
      </c>
      <c r="G1437" s="364" t="s">
        <v>1185</v>
      </c>
      <c r="H1437" s="364" t="s">
        <v>1199</v>
      </c>
    </row>
    <row r="1438" ht="15.75" customHeight="1">
      <c r="A1438" s="364" t="s">
        <v>64</v>
      </c>
      <c r="B1438" s="364" t="s">
        <v>22</v>
      </c>
      <c r="C1438" s="365" t="s">
        <v>380</v>
      </c>
      <c r="D1438" s="364" t="s">
        <v>381</v>
      </c>
      <c r="E1438" s="366">
        <v>8.0</v>
      </c>
      <c r="F1438" s="367">
        <v>45716.54166666667</v>
      </c>
      <c r="G1438" s="364" t="s">
        <v>1185</v>
      </c>
      <c r="H1438" s="364" t="s">
        <v>1199</v>
      </c>
    </row>
    <row r="1439" ht="15.75" customHeight="1">
      <c r="A1439" s="364" t="s">
        <v>64</v>
      </c>
      <c r="B1439" s="364" t="s">
        <v>22</v>
      </c>
      <c r="C1439" s="365" t="s">
        <v>380</v>
      </c>
      <c r="D1439" s="364" t="s">
        <v>381</v>
      </c>
      <c r="E1439" s="366">
        <v>9.0</v>
      </c>
      <c r="F1439" s="367">
        <v>45765.625</v>
      </c>
      <c r="G1439" s="364" t="s">
        <v>1185</v>
      </c>
      <c r="H1439" s="364" t="s">
        <v>1199</v>
      </c>
    </row>
    <row r="1440" ht="15.75" customHeight="1">
      <c r="A1440" s="364" t="s">
        <v>64</v>
      </c>
      <c r="B1440" s="364" t="s">
        <v>22</v>
      </c>
      <c r="C1440" s="365" t="s">
        <v>380</v>
      </c>
      <c r="D1440" s="364" t="s">
        <v>381</v>
      </c>
      <c r="E1440" s="366">
        <v>10.0</v>
      </c>
      <c r="F1440" s="367">
        <v>45806.41666666667</v>
      </c>
      <c r="G1440" s="364" t="s">
        <v>1185</v>
      </c>
      <c r="H1440" s="364" t="s">
        <v>1199</v>
      </c>
    </row>
    <row r="1441" ht="15.75" customHeight="1">
      <c r="A1441" s="364" t="s">
        <v>64</v>
      </c>
      <c r="B1441" s="364" t="s">
        <v>22</v>
      </c>
      <c r="C1441" s="365" t="s">
        <v>376</v>
      </c>
      <c r="D1441" s="364" t="s">
        <v>377</v>
      </c>
      <c r="E1441" s="366">
        <v>1.0</v>
      </c>
      <c r="F1441" s="367">
        <v>45636.45833333333</v>
      </c>
      <c r="G1441" s="364" t="s">
        <v>1185</v>
      </c>
      <c r="H1441" s="364" t="s">
        <v>1199</v>
      </c>
    </row>
    <row r="1442" ht="15.75" customHeight="1">
      <c r="A1442" s="364" t="s">
        <v>64</v>
      </c>
      <c r="B1442" s="364" t="s">
        <v>22</v>
      </c>
      <c r="C1442" s="365" t="s">
        <v>376</v>
      </c>
      <c r="D1442" s="364" t="s">
        <v>377</v>
      </c>
      <c r="E1442" s="366">
        <v>2.0</v>
      </c>
      <c r="F1442" s="367">
        <v>45653.45833333333</v>
      </c>
      <c r="G1442" s="364" t="s">
        <v>1185</v>
      </c>
      <c r="H1442" s="364" t="s">
        <v>1199</v>
      </c>
    </row>
    <row r="1443" ht="15.75" customHeight="1">
      <c r="A1443" s="364" t="s">
        <v>64</v>
      </c>
      <c r="B1443" s="364" t="s">
        <v>22</v>
      </c>
      <c r="C1443" s="365" t="s">
        <v>376</v>
      </c>
      <c r="D1443" s="364" t="s">
        <v>377</v>
      </c>
      <c r="E1443" s="366">
        <v>3.0</v>
      </c>
      <c r="F1443" s="367">
        <v>45667.41666666667</v>
      </c>
      <c r="G1443" s="364" t="s">
        <v>1185</v>
      </c>
      <c r="H1443" s="364" t="s">
        <v>1199</v>
      </c>
    </row>
    <row r="1444" ht="15.75" customHeight="1">
      <c r="A1444" s="364" t="s">
        <v>64</v>
      </c>
      <c r="B1444" s="364" t="s">
        <v>22</v>
      </c>
      <c r="C1444" s="365" t="s">
        <v>376</v>
      </c>
      <c r="D1444" s="364" t="s">
        <v>377</v>
      </c>
      <c r="E1444" s="366">
        <v>4.0</v>
      </c>
      <c r="F1444" s="367">
        <v>45674.41666666667</v>
      </c>
      <c r="G1444" s="364" t="s">
        <v>1185</v>
      </c>
      <c r="H1444" s="364" t="s">
        <v>1199</v>
      </c>
    </row>
    <row r="1445" ht="15.75" customHeight="1">
      <c r="A1445" s="364" t="s">
        <v>64</v>
      </c>
      <c r="B1445" s="364" t="s">
        <v>22</v>
      </c>
      <c r="C1445" s="365" t="s">
        <v>376</v>
      </c>
      <c r="D1445" s="364" t="s">
        <v>377</v>
      </c>
      <c r="E1445" s="366">
        <v>5.0</v>
      </c>
      <c r="F1445" s="367">
        <v>45695.41666666667</v>
      </c>
      <c r="G1445" s="364" t="s">
        <v>1187</v>
      </c>
      <c r="H1445" s="364" t="s">
        <v>1199</v>
      </c>
    </row>
    <row r="1446" ht="15.75" customHeight="1">
      <c r="A1446" s="364" t="s">
        <v>64</v>
      </c>
      <c r="B1446" s="364" t="s">
        <v>22</v>
      </c>
      <c r="C1446" s="365" t="s">
        <v>376</v>
      </c>
      <c r="D1446" s="364" t="s">
        <v>377</v>
      </c>
      <c r="E1446" s="366">
        <v>6.0</v>
      </c>
      <c r="F1446" s="367">
        <v>45702.41666666667</v>
      </c>
      <c r="G1446" s="364" t="s">
        <v>1185</v>
      </c>
      <c r="H1446" s="364" t="s">
        <v>1199</v>
      </c>
    </row>
    <row r="1447" ht="15.75" customHeight="1">
      <c r="A1447" s="364" t="s">
        <v>64</v>
      </c>
      <c r="B1447" s="364" t="s">
        <v>22</v>
      </c>
      <c r="C1447" s="365" t="s">
        <v>376</v>
      </c>
      <c r="D1447" s="364" t="s">
        <v>377</v>
      </c>
      <c r="E1447" s="366">
        <v>7.0</v>
      </c>
      <c r="F1447" s="367">
        <v>45709.58333333333</v>
      </c>
      <c r="G1447" s="364" t="s">
        <v>1185</v>
      </c>
      <c r="H1447" s="364" t="s">
        <v>1199</v>
      </c>
    </row>
    <row r="1448" ht="15.75" customHeight="1">
      <c r="A1448" s="364" t="s">
        <v>64</v>
      </c>
      <c r="B1448" s="364" t="s">
        <v>22</v>
      </c>
      <c r="C1448" s="365" t="s">
        <v>376</v>
      </c>
      <c r="D1448" s="364" t="s">
        <v>377</v>
      </c>
      <c r="E1448" s="366">
        <v>8.0</v>
      </c>
      <c r="F1448" s="367">
        <v>45716.54166666667</v>
      </c>
      <c r="G1448" s="364" t="s">
        <v>1187</v>
      </c>
      <c r="H1448" s="364" t="s">
        <v>1199</v>
      </c>
    </row>
    <row r="1449" ht="15.75" customHeight="1">
      <c r="A1449" s="364" t="s">
        <v>64</v>
      </c>
      <c r="B1449" s="364" t="s">
        <v>22</v>
      </c>
      <c r="C1449" s="365" t="s">
        <v>376</v>
      </c>
      <c r="D1449" s="364" t="s">
        <v>377</v>
      </c>
      <c r="E1449" s="366">
        <v>9.0</v>
      </c>
      <c r="F1449" s="367">
        <v>45765.625</v>
      </c>
      <c r="G1449" s="364" t="s">
        <v>1187</v>
      </c>
      <c r="H1449" s="364" t="s">
        <v>1199</v>
      </c>
    </row>
    <row r="1450" ht="15.75" customHeight="1">
      <c r="A1450" s="364" t="s">
        <v>64</v>
      </c>
      <c r="B1450" s="364" t="s">
        <v>22</v>
      </c>
      <c r="C1450" s="365" t="s">
        <v>376</v>
      </c>
      <c r="D1450" s="364" t="s">
        <v>377</v>
      </c>
      <c r="E1450" s="366">
        <v>10.0</v>
      </c>
      <c r="F1450" s="367">
        <v>45806.41666666667</v>
      </c>
      <c r="G1450" s="364" t="s">
        <v>1185</v>
      </c>
      <c r="H1450" s="364" t="s">
        <v>1199</v>
      </c>
    </row>
    <row r="1451" ht="15.75" customHeight="1">
      <c r="A1451" s="364" t="s">
        <v>64</v>
      </c>
      <c r="B1451" s="364" t="s">
        <v>22</v>
      </c>
      <c r="C1451" s="365" t="s">
        <v>378</v>
      </c>
      <c r="D1451" s="364" t="s">
        <v>379</v>
      </c>
      <c r="E1451" s="366">
        <v>1.0</v>
      </c>
      <c r="F1451" s="367">
        <v>45639.375</v>
      </c>
      <c r="G1451" s="364" t="s">
        <v>1185</v>
      </c>
      <c r="H1451" s="364" t="s">
        <v>1199</v>
      </c>
    </row>
    <row r="1452" ht="15.75" customHeight="1">
      <c r="A1452" s="364" t="s">
        <v>64</v>
      </c>
      <c r="B1452" s="364" t="s">
        <v>22</v>
      </c>
      <c r="C1452" s="365" t="s">
        <v>378</v>
      </c>
      <c r="D1452" s="364" t="s">
        <v>379</v>
      </c>
      <c r="E1452" s="366">
        <v>2.0</v>
      </c>
      <c r="F1452" s="367">
        <v>45645.375</v>
      </c>
      <c r="G1452" s="364" t="s">
        <v>1185</v>
      </c>
      <c r="H1452" s="364" t="s">
        <v>1199</v>
      </c>
    </row>
    <row r="1453" ht="15.75" customHeight="1">
      <c r="A1453" s="364" t="s">
        <v>64</v>
      </c>
      <c r="B1453" s="364" t="s">
        <v>22</v>
      </c>
      <c r="C1453" s="365" t="s">
        <v>378</v>
      </c>
      <c r="D1453" s="364" t="s">
        <v>379</v>
      </c>
      <c r="E1453" s="366">
        <v>3.0</v>
      </c>
      <c r="F1453" s="367">
        <v>45667.41666666667</v>
      </c>
      <c r="G1453" s="364" t="s">
        <v>1185</v>
      </c>
      <c r="H1453" s="364" t="s">
        <v>1199</v>
      </c>
    </row>
    <row r="1454" ht="15.75" customHeight="1">
      <c r="A1454" s="364" t="s">
        <v>64</v>
      </c>
      <c r="B1454" s="364" t="s">
        <v>22</v>
      </c>
      <c r="C1454" s="365" t="s">
        <v>378</v>
      </c>
      <c r="D1454" s="364" t="s">
        <v>379</v>
      </c>
      <c r="E1454" s="366">
        <v>4.0</v>
      </c>
      <c r="F1454" s="367">
        <v>45674.41666666667</v>
      </c>
      <c r="G1454" s="364" t="s">
        <v>1185</v>
      </c>
      <c r="H1454" s="364" t="s">
        <v>1199</v>
      </c>
    </row>
    <row r="1455" ht="15.75" customHeight="1">
      <c r="A1455" s="364" t="s">
        <v>64</v>
      </c>
      <c r="B1455" s="364" t="s">
        <v>22</v>
      </c>
      <c r="C1455" s="365" t="s">
        <v>378</v>
      </c>
      <c r="D1455" s="364" t="s">
        <v>379</v>
      </c>
      <c r="E1455" s="366">
        <v>5.0</v>
      </c>
      <c r="F1455" s="367">
        <v>45695.41666666667</v>
      </c>
      <c r="G1455" s="364" t="s">
        <v>1185</v>
      </c>
      <c r="H1455" s="364" t="s">
        <v>1199</v>
      </c>
    </row>
    <row r="1456" ht="15.75" customHeight="1">
      <c r="A1456" s="364" t="s">
        <v>64</v>
      </c>
      <c r="B1456" s="364" t="s">
        <v>22</v>
      </c>
      <c r="C1456" s="365" t="s">
        <v>378</v>
      </c>
      <c r="D1456" s="364" t="s">
        <v>379</v>
      </c>
      <c r="E1456" s="366">
        <v>6.0</v>
      </c>
      <c r="F1456" s="367">
        <v>45702.41666666667</v>
      </c>
      <c r="G1456" s="364" t="s">
        <v>1185</v>
      </c>
      <c r="H1456" s="364" t="s">
        <v>1199</v>
      </c>
    </row>
    <row r="1457" ht="15.75" customHeight="1">
      <c r="A1457" s="364" t="s">
        <v>64</v>
      </c>
      <c r="B1457" s="364" t="s">
        <v>22</v>
      </c>
      <c r="C1457" s="365" t="s">
        <v>378</v>
      </c>
      <c r="D1457" s="364" t="s">
        <v>379</v>
      </c>
      <c r="E1457" s="366">
        <v>7.0</v>
      </c>
      <c r="F1457" s="367">
        <v>45709.58333333333</v>
      </c>
      <c r="G1457" s="364" t="s">
        <v>1185</v>
      </c>
      <c r="H1457" s="364" t="s">
        <v>1199</v>
      </c>
    </row>
    <row r="1458" ht="15.75" customHeight="1">
      <c r="A1458" s="364" t="s">
        <v>64</v>
      </c>
      <c r="B1458" s="364" t="s">
        <v>22</v>
      </c>
      <c r="C1458" s="365" t="s">
        <v>378</v>
      </c>
      <c r="D1458" s="364" t="s">
        <v>379</v>
      </c>
      <c r="E1458" s="366">
        <v>8.0</v>
      </c>
      <c r="F1458" s="367">
        <v>45716.54166666667</v>
      </c>
      <c r="G1458" s="364" t="s">
        <v>1185</v>
      </c>
      <c r="H1458" s="364" t="s">
        <v>1199</v>
      </c>
    </row>
    <row r="1459" ht="15.75" customHeight="1">
      <c r="A1459" s="364" t="s">
        <v>64</v>
      </c>
      <c r="B1459" s="364" t="s">
        <v>22</v>
      </c>
      <c r="C1459" s="365" t="s">
        <v>378</v>
      </c>
      <c r="D1459" s="364" t="s">
        <v>379</v>
      </c>
      <c r="E1459" s="366">
        <v>9.0</v>
      </c>
      <c r="F1459" s="367">
        <v>45765.625</v>
      </c>
      <c r="G1459" s="364" t="s">
        <v>1185</v>
      </c>
      <c r="H1459" s="364" t="s">
        <v>1199</v>
      </c>
    </row>
    <row r="1460" ht="15.75" customHeight="1">
      <c r="A1460" s="364" t="s">
        <v>64</v>
      </c>
      <c r="B1460" s="364" t="s">
        <v>22</v>
      </c>
      <c r="C1460" s="365" t="s">
        <v>378</v>
      </c>
      <c r="D1460" s="364" t="s">
        <v>379</v>
      </c>
      <c r="E1460" s="366">
        <v>10.0</v>
      </c>
      <c r="F1460" s="367">
        <v>45806.41666666667</v>
      </c>
      <c r="G1460" s="364" t="s">
        <v>1185</v>
      </c>
      <c r="H1460" s="364" t="s">
        <v>1199</v>
      </c>
    </row>
    <row r="1461" ht="15.75" customHeight="1">
      <c r="A1461" s="364" t="s">
        <v>64</v>
      </c>
      <c r="B1461" s="364" t="s">
        <v>23</v>
      </c>
      <c r="C1461" s="365" t="s">
        <v>366</v>
      </c>
      <c r="D1461" s="364" t="s">
        <v>367</v>
      </c>
      <c r="E1461" s="366">
        <v>1.0</v>
      </c>
      <c r="F1461" s="367">
        <v>45841.375</v>
      </c>
      <c r="G1461" s="364" t="s">
        <v>1185</v>
      </c>
      <c r="H1461" s="364" t="s">
        <v>1199</v>
      </c>
    </row>
    <row r="1462" ht="15.75" customHeight="1">
      <c r="A1462" s="364" t="s">
        <v>64</v>
      </c>
      <c r="B1462" s="364" t="s">
        <v>23</v>
      </c>
      <c r="C1462" s="365" t="s">
        <v>366</v>
      </c>
      <c r="D1462" s="364" t="s">
        <v>367</v>
      </c>
      <c r="E1462" s="366">
        <v>2.0</v>
      </c>
      <c r="F1462" s="367">
        <v>45849.375</v>
      </c>
      <c r="G1462" s="364" t="s">
        <v>1185</v>
      </c>
      <c r="H1462" s="364" t="s">
        <v>1199</v>
      </c>
    </row>
    <row r="1463" ht="15.75" customHeight="1">
      <c r="A1463" s="364" t="s">
        <v>64</v>
      </c>
      <c r="B1463" s="364" t="s">
        <v>23</v>
      </c>
      <c r="C1463" s="365" t="s">
        <v>366</v>
      </c>
      <c r="D1463" s="364" t="s">
        <v>367</v>
      </c>
      <c r="E1463" s="366">
        <v>3.0</v>
      </c>
      <c r="F1463" s="367">
        <v>45862.375</v>
      </c>
      <c r="G1463" s="364" t="s">
        <v>1185</v>
      </c>
      <c r="H1463" s="364" t="s">
        <v>1199</v>
      </c>
    </row>
    <row r="1464" ht="15.75" customHeight="1">
      <c r="A1464" s="364" t="s">
        <v>64</v>
      </c>
      <c r="B1464" s="364" t="s">
        <v>23</v>
      </c>
      <c r="C1464" s="365" t="s">
        <v>366</v>
      </c>
      <c r="D1464" s="364" t="s">
        <v>367</v>
      </c>
      <c r="E1464" s="366">
        <v>4.0</v>
      </c>
      <c r="F1464" s="367">
        <v>45881.41666666667</v>
      </c>
      <c r="G1464" s="364" t="s">
        <v>1187</v>
      </c>
      <c r="H1464" s="364" t="s">
        <v>1199</v>
      </c>
    </row>
    <row r="1465" ht="15.75" customHeight="1">
      <c r="A1465" s="364" t="s">
        <v>64</v>
      </c>
      <c r="B1465" s="364" t="s">
        <v>23</v>
      </c>
      <c r="C1465" s="365" t="s">
        <v>366</v>
      </c>
      <c r="D1465" s="364" t="s">
        <v>367</v>
      </c>
      <c r="E1465" s="366">
        <v>5.0</v>
      </c>
      <c r="F1465" s="367">
        <v>45888.41666666667</v>
      </c>
      <c r="G1465" s="364" t="s">
        <v>1185</v>
      </c>
      <c r="H1465" s="364" t="s">
        <v>1199</v>
      </c>
    </row>
    <row r="1466" ht="15.75" customHeight="1">
      <c r="A1466" s="364" t="s">
        <v>64</v>
      </c>
      <c r="B1466" s="364" t="s">
        <v>23</v>
      </c>
      <c r="C1466" s="365" t="s">
        <v>366</v>
      </c>
      <c r="D1466" s="364" t="s">
        <v>367</v>
      </c>
      <c r="E1466" s="366">
        <v>6.0</v>
      </c>
      <c r="F1466" s="367">
        <v>45895.41666666667</v>
      </c>
      <c r="G1466" s="364" t="s">
        <v>1185</v>
      </c>
      <c r="H1466" s="364" t="s">
        <v>1199</v>
      </c>
    </row>
    <row r="1467" ht="15.75" customHeight="1">
      <c r="A1467" s="364" t="s">
        <v>64</v>
      </c>
      <c r="B1467" s="364" t="s">
        <v>23</v>
      </c>
      <c r="C1467" s="365" t="s">
        <v>366</v>
      </c>
      <c r="D1467" s="364" t="s">
        <v>367</v>
      </c>
      <c r="E1467" s="366">
        <v>7.0</v>
      </c>
      <c r="F1467" s="367">
        <v>45911.45833333333</v>
      </c>
      <c r="G1467" s="364" t="s">
        <v>1185</v>
      </c>
      <c r="H1467" s="364" t="s">
        <v>1199</v>
      </c>
    </row>
    <row r="1468" ht="15.75" customHeight="1">
      <c r="A1468" s="364" t="s">
        <v>64</v>
      </c>
      <c r="B1468" s="364" t="s">
        <v>23</v>
      </c>
      <c r="C1468" s="365" t="s">
        <v>366</v>
      </c>
      <c r="D1468" s="364" t="s">
        <v>367</v>
      </c>
      <c r="E1468" s="366">
        <v>8.0</v>
      </c>
      <c r="F1468" s="367">
        <v>45925.41666666667</v>
      </c>
      <c r="G1468" s="364" t="s">
        <v>1185</v>
      </c>
      <c r="H1468" s="364" t="s">
        <v>1199</v>
      </c>
    </row>
    <row r="1469" ht="15.75" customHeight="1">
      <c r="A1469" s="364" t="s">
        <v>64</v>
      </c>
      <c r="B1469" s="364" t="s">
        <v>23</v>
      </c>
      <c r="C1469" s="365" t="s">
        <v>366</v>
      </c>
      <c r="D1469" s="364" t="s">
        <v>367</v>
      </c>
      <c r="E1469" s="366">
        <v>9.0</v>
      </c>
      <c r="F1469" s="367">
        <v>45932.45833333333</v>
      </c>
      <c r="G1469" s="364" t="s">
        <v>1187</v>
      </c>
      <c r="H1469" s="364" t="s">
        <v>1199</v>
      </c>
    </row>
    <row r="1470" ht="15.75" customHeight="1">
      <c r="A1470" s="364" t="s">
        <v>64</v>
      </c>
      <c r="B1470" s="364" t="s">
        <v>23</v>
      </c>
      <c r="C1470" s="365" t="s">
        <v>366</v>
      </c>
      <c r="D1470" s="364" t="s">
        <v>367</v>
      </c>
      <c r="E1470" s="366">
        <v>10.0</v>
      </c>
      <c r="F1470" s="367">
        <v>45939.45833333333</v>
      </c>
      <c r="G1470" s="364" t="s">
        <v>1185</v>
      </c>
      <c r="H1470" s="364" t="s">
        <v>1199</v>
      </c>
    </row>
    <row r="1471" ht="15.75" customHeight="1">
      <c r="A1471" s="364" t="s">
        <v>64</v>
      </c>
      <c r="B1471" s="364" t="s">
        <v>23</v>
      </c>
      <c r="C1471" s="365" t="s">
        <v>366</v>
      </c>
      <c r="D1471" s="364" t="s">
        <v>367</v>
      </c>
      <c r="E1471" s="366">
        <v>11.0</v>
      </c>
      <c r="F1471" s="367">
        <v>45946.375</v>
      </c>
      <c r="G1471" s="364" t="s">
        <v>1185</v>
      </c>
      <c r="H1471" s="364" t="s">
        <v>1199</v>
      </c>
    </row>
    <row r="1472" ht="15.75" customHeight="1">
      <c r="A1472" s="364" t="s">
        <v>64</v>
      </c>
      <c r="B1472" s="364" t="s">
        <v>23</v>
      </c>
      <c r="C1472" s="365" t="s">
        <v>366</v>
      </c>
      <c r="D1472" s="364" t="s">
        <v>367</v>
      </c>
      <c r="E1472" s="366">
        <v>12.0</v>
      </c>
      <c r="F1472" s="367">
        <v>45961.45833333333</v>
      </c>
      <c r="G1472" s="364" t="s">
        <v>1185</v>
      </c>
      <c r="H1472" s="364" t="s">
        <v>1199</v>
      </c>
    </row>
    <row r="1473" ht="15.75" customHeight="1">
      <c r="A1473" s="364" t="s">
        <v>64</v>
      </c>
      <c r="B1473" s="364" t="s">
        <v>23</v>
      </c>
      <c r="C1473" s="365" t="s">
        <v>366</v>
      </c>
      <c r="D1473" s="364" t="s">
        <v>367</v>
      </c>
      <c r="E1473" s="366">
        <v>13.0</v>
      </c>
      <c r="F1473" s="367">
        <v>45967.625</v>
      </c>
      <c r="G1473" s="364" t="s">
        <v>1185</v>
      </c>
      <c r="H1473" s="364" t="s">
        <v>1199</v>
      </c>
    </row>
    <row r="1474" ht="15.75" customHeight="1">
      <c r="A1474" s="364" t="s">
        <v>64</v>
      </c>
      <c r="B1474" s="364" t="s">
        <v>23</v>
      </c>
      <c r="C1474" s="365" t="s">
        <v>366</v>
      </c>
      <c r="D1474" s="364" t="s">
        <v>367</v>
      </c>
      <c r="E1474" s="366">
        <v>14.0</v>
      </c>
      <c r="F1474" s="367">
        <v>45974.625</v>
      </c>
      <c r="G1474" s="364" t="s">
        <v>1185</v>
      </c>
      <c r="H1474" s="364" t="s">
        <v>1199</v>
      </c>
    </row>
    <row r="1475" ht="15.75" customHeight="1">
      <c r="A1475" s="364" t="s">
        <v>64</v>
      </c>
      <c r="B1475" s="364" t="s">
        <v>23</v>
      </c>
      <c r="C1475" s="365" t="s">
        <v>366</v>
      </c>
      <c r="D1475" s="364" t="s">
        <v>367</v>
      </c>
      <c r="E1475" s="366">
        <v>15.0</v>
      </c>
      <c r="F1475" s="367">
        <v>46006.41666666667</v>
      </c>
      <c r="G1475" s="364" t="s">
        <v>1185</v>
      </c>
      <c r="H1475" s="364" t="s">
        <v>1199</v>
      </c>
    </row>
    <row r="1476" ht="15.75" customHeight="1">
      <c r="A1476" s="364" t="s">
        <v>64</v>
      </c>
      <c r="B1476" s="364" t="s">
        <v>23</v>
      </c>
      <c r="C1476" s="365" t="s">
        <v>366</v>
      </c>
      <c r="D1476" s="364" t="s">
        <v>367</v>
      </c>
      <c r="E1476" s="366">
        <v>16.0</v>
      </c>
      <c r="F1476" s="367">
        <v>46045.41666666667</v>
      </c>
      <c r="G1476" s="364" t="s">
        <v>1185</v>
      </c>
      <c r="H1476" s="364" t="s">
        <v>1199</v>
      </c>
    </row>
    <row r="1477" ht="15.75" customHeight="1">
      <c r="A1477" s="364" t="s">
        <v>64</v>
      </c>
      <c r="B1477" s="364" t="s">
        <v>23</v>
      </c>
      <c r="C1477" s="365" t="s">
        <v>368</v>
      </c>
      <c r="D1477" s="364" t="s">
        <v>369</v>
      </c>
      <c r="E1477" s="366">
        <v>1.0</v>
      </c>
      <c r="F1477" s="367">
        <v>45841.375</v>
      </c>
      <c r="G1477" s="364" t="s">
        <v>1185</v>
      </c>
      <c r="H1477" s="364" t="s">
        <v>1199</v>
      </c>
    </row>
    <row r="1478" ht="15.75" customHeight="1">
      <c r="A1478" s="364" t="s">
        <v>64</v>
      </c>
      <c r="B1478" s="364" t="s">
        <v>23</v>
      </c>
      <c r="C1478" s="365" t="s">
        <v>368</v>
      </c>
      <c r="D1478" s="364" t="s">
        <v>369</v>
      </c>
      <c r="E1478" s="366">
        <v>2.0</v>
      </c>
      <c r="F1478" s="367">
        <v>45849.375</v>
      </c>
      <c r="G1478" s="364" t="s">
        <v>1185</v>
      </c>
      <c r="H1478" s="364" t="s">
        <v>1199</v>
      </c>
    </row>
    <row r="1479" ht="15.75" customHeight="1">
      <c r="A1479" s="364" t="s">
        <v>64</v>
      </c>
      <c r="B1479" s="364" t="s">
        <v>23</v>
      </c>
      <c r="C1479" s="365" t="s">
        <v>368</v>
      </c>
      <c r="D1479" s="364" t="s">
        <v>369</v>
      </c>
      <c r="E1479" s="366">
        <v>3.0</v>
      </c>
      <c r="F1479" s="367">
        <v>45862.375</v>
      </c>
      <c r="G1479" s="364" t="s">
        <v>1185</v>
      </c>
      <c r="H1479" s="364" t="s">
        <v>1199</v>
      </c>
    </row>
    <row r="1480" ht="15.75" customHeight="1">
      <c r="A1480" s="364" t="s">
        <v>64</v>
      </c>
      <c r="B1480" s="364" t="s">
        <v>23</v>
      </c>
      <c r="C1480" s="365" t="s">
        <v>368</v>
      </c>
      <c r="D1480" s="364" t="s">
        <v>369</v>
      </c>
      <c r="E1480" s="366">
        <v>4.0</v>
      </c>
      <c r="F1480" s="367">
        <v>45881.41666666667</v>
      </c>
      <c r="G1480" s="364" t="s">
        <v>1185</v>
      </c>
      <c r="H1480" s="364" t="s">
        <v>1199</v>
      </c>
    </row>
    <row r="1481" ht="15.75" customHeight="1">
      <c r="A1481" s="364" t="s">
        <v>64</v>
      </c>
      <c r="B1481" s="364" t="s">
        <v>23</v>
      </c>
      <c r="C1481" s="365" t="s">
        <v>368</v>
      </c>
      <c r="D1481" s="364" t="s">
        <v>369</v>
      </c>
      <c r="E1481" s="366">
        <v>5.0</v>
      </c>
      <c r="F1481" s="367">
        <v>45888.41666666667</v>
      </c>
      <c r="G1481" s="364" t="s">
        <v>1185</v>
      </c>
      <c r="H1481" s="364" t="s">
        <v>1199</v>
      </c>
    </row>
    <row r="1482" ht="15.75" customHeight="1">
      <c r="A1482" s="364" t="s">
        <v>64</v>
      </c>
      <c r="B1482" s="364" t="s">
        <v>23</v>
      </c>
      <c r="C1482" s="365" t="s">
        <v>368</v>
      </c>
      <c r="D1482" s="364" t="s">
        <v>369</v>
      </c>
      <c r="E1482" s="366">
        <v>6.0</v>
      </c>
      <c r="F1482" s="367">
        <v>45895.41666666667</v>
      </c>
      <c r="G1482" s="364" t="s">
        <v>1185</v>
      </c>
      <c r="H1482" s="364" t="s">
        <v>1199</v>
      </c>
    </row>
    <row r="1483" ht="15.75" customHeight="1">
      <c r="A1483" s="364" t="s">
        <v>64</v>
      </c>
      <c r="B1483" s="364" t="s">
        <v>23</v>
      </c>
      <c r="C1483" s="365" t="s">
        <v>368</v>
      </c>
      <c r="D1483" s="364" t="s">
        <v>369</v>
      </c>
      <c r="E1483" s="366">
        <v>7.0</v>
      </c>
      <c r="F1483" s="367">
        <v>45911.45833333333</v>
      </c>
      <c r="G1483" s="364" t="s">
        <v>1185</v>
      </c>
      <c r="H1483" s="364" t="s">
        <v>1199</v>
      </c>
    </row>
    <row r="1484" ht="15.75" customHeight="1">
      <c r="A1484" s="364" t="s">
        <v>64</v>
      </c>
      <c r="B1484" s="364" t="s">
        <v>23</v>
      </c>
      <c r="C1484" s="365" t="s">
        <v>368</v>
      </c>
      <c r="D1484" s="364" t="s">
        <v>369</v>
      </c>
      <c r="E1484" s="366">
        <v>8.0</v>
      </c>
      <c r="F1484" s="367">
        <v>45925.41666666667</v>
      </c>
      <c r="G1484" s="364" t="s">
        <v>1185</v>
      </c>
      <c r="H1484" s="364" t="s">
        <v>1199</v>
      </c>
    </row>
    <row r="1485" ht="15.75" customHeight="1">
      <c r="A1485" s="364" t="s">
        <v>64</v>
      </c>
      <c r="B1485" s="364" t="s">
        <v>23</v>
      </c>
      <c r="C1485" s="365" t="s">
        <v>368</v>
      </c>
      <c r="D1485" s="364" t="s">
        <v>369</v>
      </c>
      <c r="E1485" s="366">
        <v>9.0</v>
      </c>
      <c r="F1485" s="367">
        <v>45932.45833333333</v>
      </c>
      <c r="G1485" s="364" t="s">
        <v>1185</v>
      </c>
      <c r="H1485" s="364" t="s">
        <v>1199</v>
      </c>
    </row>
    <row r="1486" ht="15.75" customHeight="1">
      <c r="A1486" s="364" t="s">
        <v>64</v>
      </c>
      <c r="B1486" s="364" t="s">
        <v>23</v>
      </c>
      <c r="C1486" s="365" t="s">
        <v>368</v>
      </c>
      <c r="D1486" s="364" t="s">
        <v>369</v>
      </c>
      <c r="E1486" s="366">
        <v>10.0</v>
      </c>
      <c r="F1486" s="367">
        <v>45939.45833333333</v>
      </c>
      <c r="G1486" s="364" t="s">
        <v>1185</v>
      </c>
      <c r="H1486" s="364" t="s">
        <v>1199</v>
      </c>
    </row>
    <row r="1487" ht="15.75" customHeight="1">
      <c r="A1487" s="364" t="s">
        <v>64</v>
      </c>
      <c r="B1487" s="364" t="s">
        <v>23</v>
      </c>
      <c r="C1487" s="365" t="s">
        <v>368</v>
      </c>
      <c r="D1487" s="364" t="s">
        <v>369</v>
      </c>
      <c r="E1487" s="366">
        <v>11.0</v>
      </c>
      <c r="F1487" s="367">
        <v>45946.375</v>
      </c>
      <c r="G1487" s="364" t="s">
        <v>1185</v>
      </c>
      <c r="H1487" s="364" t="s">
        <v>1199</v>
      </c>
    </row>
    <row r="1488" ht="15.75" customHeight="1">
      <c r="A1488" s="364" t="s">
        <v>64</v>
      </c>
      <c r="B1488" s="364" t="s">
        <v>23</v>
      </c>
      <c r="C1488" s="365" t="s">
        <v>368</v>
      </c>
      <c r="D1488" s="364" t="s">
        <v>369</v>
      </c>
      <c r="E1488" s="366">
        <v>12.0</v>
      </c>
      <c r="F1488" s="367">
        <v>45961.45833333333</v>
      </c>
      <c r="G1488" s="364" t="s">
        <v>1185</v>
      </c>
      <c r="H1488" s="364" t="s">
        <v>1199</v>
      </c>
    </row>
    <row r="1489" ht="15.75" customHeight="1">
      <c r="A1489" s="364" t="s">
        <v>64</v>
      </c>
      <c r="B1489" s="364" t="s">
        <v>23</v>
      </c>
      <c r="C1489" s="365" t="s">
        <v>368</v>
      </c>
      <c r="D1489" s="364" t="s">
        <v>369</v>
      </c>
      <c r="E1489" s="366">
        <v>13.0</v>
      </c>
      <c r="F1489" s="367">
        <v>45967.625</v>
      </c>
      <c r="G1489" s="364" t="s">
        <v>1185</v>
      </c>
      <c r="H1489" s="364" t="s">
        <v>1199</v>
      </c>
    </row>
    <row r="1490" ht="15.75" customHeight="1">
      <c r="A1490" s="364" t="s">
        <v>64</v>
      </c>
      <c r="B1490" s="364" t="s">
        <v>23</v>
      </c>
      <c r="C1490" s="365" t="s">
        <v>368</v>
      </c>
      <c r="D1490" s="364" t="s">
        <v>369</v>
      </c>
      <c r="E1490" s="366">
        <v>14.0</v>
      </c>
      <c r="F1490" s="367">
        <v>45974.625</v>
      </c>
      <c r="G1490" s="364" t="s">
        <v>1185</v>
      </c>
      <c r="H1490" s="364" t="s">
        <v>1199</v>
      </c>
    </row>
    <row r="1491" ht="15.75" customHeight="1">
      <c r="A1491" s="364" t="s">
        <v>64</v>
      </c>
      <c r="B1491" s="364" t="s">
        <v>23</v>
      </c>
      <c r="C1491" s="365" t="s">
        <v>368</v>
      </c>
      <c r="D1491" s="364" t="s">
        <v>369</v>
      </c>
      <c r="E1491" s="366">
        <v>15.0</v>
      </c>
      <c r="F1491" s="367">
        <v>46006.41666666667</v>
      </c>
      <c r="G1491" s="364" t="s">
        <v>1185</v>
      </c>
      <c r="H1491" s="364" t="s">
        <v>1199</v>
      </c>
    </row>
    <row r="1492" ht="15.75" customHeight="1">
      <c r="A1492" s="364" t="s">
        <v>64</v>
      </c>
      <c r="B1492" s="364" t="s">
        <v>23</v>
      </c>
      <c r="C1492" s="365" t="s">
        <v>368</v>
      </c>
      <c r="D1492" s="364" t="s">
        <v>369</v>
      </c>
      <c r="E1492" s="366">
        <v>16.0</v>
      </c>
      <c r="F1492" s="367">
        <v>46045.41666666667</v>
      </c>
      <c r="G1492" s="364" t="s">
        <v>1185</v>
      </c>
      <c r="H1492" s="364" t="s">
        <v>1199</v>
      </c>
    </row>
    <row r="1493" ht="15.75" customHeight="1">
      <c r="A1493" s="364" t="s">
        <v>64</v>
      </c>
      <c r="B1493" s="364" t="s">
        <v>23</v>
      </c>
      <c r="C1493" s="365" t="s">
        <v>371</v>
      </c>
      <c r="D1493" s="364" t="s">
        <v>372</v>
      </c>
      <c r="E1493" s="366">
        <v>1.0</v>
      </c>
      <c r="F1493" s="367">
        <v>45841.375</v>
      </c>
      <c r="G1493" s="364" t="s">
        <v>1185</v>
      </c>
      <c r="H1493" s="364" t="s">
        <v>1199</v>
      </c>
    </row>
    <row r="1494" ht="15.75" customHeight="1">
      <c r="A1494" s="364" t="s">
        <v>64</v>
      </c>
      <c r="B1494" s="364" t="s">
        <v>23</v>
      </c>
      <c r="C1494" s="365" t="s">
        <v>371</v>
      </c>
      <c r="D1494" s="364" t="s">
        <v>372</v>
      </c>
      <c r="E1494" s="366">
        <v>2.0</v>
      </c>
      <c r="F1494" s="367">
        <v>45849.375</v>
      </c>
      <c r="G1494" s="364" t="s">
        <v>1187</v>
      </c>
      <c r="H1494" s="364" t="s">
        <v>1199</v>
      </c>
    </row>
    <row r="1495" ht="15.75" customHeight="1">
      <c r="A1495" s="364" t="s">
        <v>64</v>
      </c>
      <c r="B1495" s="364" t="s">
        <v>23</v>
      </c>
      <c r="C1495" s="365" t="s">
        <v>371</v>
      </c>
      <c r="D1495" s="364" t="s">
        <v>372</v>
      </c>
      <c r="E1495" s="366">
        <v>3.0</v>
      </c>
      <c r="F1495" s="367">
        <v>45862.375</v>
      </c>
      <c r="G1495" s="364" t="s">
        <v>1185</v>
      </c>
      <c r="H1495" s="364" t="s">
        <v>1199</v>
      </c>
    </row>
    <row r="1496" ht="15.75" customHeight="1">
      <c r="A1496" s="364" t="s">
        <v>64</v>
      </c>
      <c r="B1496" s="364" t="s">
        <v>23</v>
      </c>
      <c r="C1496" s="365" t="s">
        <v>371</v>
      </c>
      <c r="D1496" s="364" t="s">
        <v>372</v>
      </c>
      <c r="E1496" s="366">
        <v>4.0</v>
      </c>
      <c r="F1496" s="367">
        <v>45881.41666666667</v>
      </c>
      <c r="G1496" s="364" t="s">
        <v>1185</v>
      </c>
      <c r="H1496" s="364" t="s">
        <v>1199</v>
      </c>
    </row>
    <row r="1497" ht="15.75" customHeight="1">
      <c r="A1497" s="364" t="s">
        <v>64</v>
      </c>
      <c r="B1497" s="364" t="s">
        <v>23</v>
      </c>
      <c r="C1497" s="365" t="s">
        <v>371</v>
      </c>
      <c r="D1497" s="364" t="s">
        <v>372</v>
      </c>
      <c r="E1497" s="366">
        <v>5.0</v>
      </c>
      <c r="F1497" s="367">
        <v>45888.41666666667</v>
      </c>
      <c r="G1497" s="364" t="s">
        <v>1185</v>
      </c>
      <c r="H1497" s="364" t="s">
        <v>1199</v>
      </c>
    </row>
    <row r="1498" ht="15.75" customHeight="1">
      <c r="A1498" s="364" t="s">
        <v>64</v>
      </c>
      <c r="B1498" s="364" t="s">
        <v>23</v>
      </c>
      <c r="C1498" s="365" t="s">
        <v>371</v>
      </c>
      <c r="D1498" s="364" t="s">
        <v>372</v>
      </c>
      <c r="E1498" s="366">
        <v>6.0</v>
      </c>
      <c r="F1498" s="367">
        <v>45895.41666666667</v>
      </c>
      <c r="G1498" s="364" t="s">
        <v>1185</v>
      </c>
      <c r="H1498" s="364" t="s">
        <v>1199</v>
      </c>
    </row>
    <row r="1499" ht="15.75" customHeight="1">
      <c r="A1499" s="364" t="s">
        <v>64</v>
      </c>
      <c r="B1499" s="364" t="s">
        <v>23</v>
      </c>
      <c r="C1499" s="365" t="s">
        <v>371</v>
      </c>
      <c r="D1499" s="364" t="s">
        <v>372</v>
      </c>
      <c r="E1499" s="366">
        <v>7.0</v>
      </c>
      <c r="F1499" s="367">
        <v>45911.45833333333</v>
      </c>
      <c r="G1499" s="364" t="s">
        <v>1185</v>
      </c>
      <c r="H1499" s="364" t="s">
        <v>1199</v>
      </c>
    </row>
    <row r="1500" ht="15.75" customHeight="1">
      <c r="A1500" s="364" t="s">
        <v>64</v>
      </c>
      <c r="B1500" s="364" t="s">
        <v>23</v>
      </c>
      <c r="C1500" s="365" t="s">
        <v>371</v>
      </c>
      <c r="D1500" s="364" t="s">
        <v>372</v>
      </c>
      <c r="E1500" s="366">
        <v>8.0</v>
      </c>
      <c r="F1500" s="367">
        <v>45925.41666666667</v>
      </c>
      <c r="G1500" s="364" t="s">
        <v>1187</v>
      </c>
      <c r="H1500" s="364" t="s">
        <v>1199</v>
      </c>
    </row>
    <row r="1501" ht="15.75" customHeight="1">
      <c r="A1501" s="364" t="s">
        <v>64</v>
      </c>
      <c r="B1501" s="364" t="s">
        <v>23</v>
      </c>
      <c r="C1501" s="365" t="s">
        <v>371</v>
      </c>
      <c r="D1501" s="364" t="s">
        <v>372</v>
      </c>
      <c r="E1501" s="366">
        <v>9.0</v>
      </c>
      <c r="F1501" s="367">
        <v>45932.45833333333</v>
      </c>
      <c r="G1501" s="364" t="s">
        <v>1185</v>
      </c>
      <c r="H1501" s="364" t="s">
        <v>1199</v>
      </c>
    </row>
    <row r="1502" ht="15.75" customHeight="1">
      <c r="A1502" s="364" t="s">
        <v>64</v>
      </c>
      <c r="B1502" s="364" t="s">
        <v>23</v>
      </c>
      <c r="C1502" s="365" t="s">
        <v>371</v>
      </c>
      <c r="D1502" s="364" t="s">
        <v>372</v>
      </c>
      <c r="E1502" s="366">
        <v>10.0</v>
      </c>
      <c r="F1502" s="367">
        <v>45939.45833333333</v>
      </c>
      <c r="G1502" s="364" t="s">
        <v>1185</v>
      </c>
      <c r="H1502" s="364" t="s">
        <v>1199</v>
      </c>
    </row>
    <row r="1503" ht="15.75" customHeight="1">
      <c r="A1503" s="364" t="s">
        <v>64</v>
      </c>
      <c r="B1503" s="364" t="s">
        <v>23</v>
      </c>
      <c r="C1503" s="365" t="s">
        <v>371</v>
      </c>
      <c r="D1503" s="364" t="s">
        <v>372</v>
      </c>
      <c r="E1503" s="366">
        <v>11.0</v>
      </c>
      <c r="F1503" s="367">
        <v>45946.375</v>
      </c>
      <c r="G1503" s="364" t="s">
        <v>1185</v>
      </c>
      <c r="H1503" s="364" t="s">
        <v>1199</v>
      </c>
    </row>
    <row r="1504" ht="15.75" customHeight="1">
      <c r="A1504" s="364" t="s">
        <v>64</v>
      </c>
      <c r="B1504" s="364" t="s">
        <v>23</v>
      </c>
      <c r="C1504" s="365" t="s">
        <v>371</v>
      </c>
      <c r="D1504" s="364" t="s">
        <v>372</v>
      </c>
      <c r="E1504" s="366">
        <v>12.0</v>
      </c>
      <c r="F1504" s="367">
        <v>45961.45833333333</v>
      </c>
      <c r="G1504" s="364" t="s">
        <v>1185</v>
      </c>
      <c r="H1504" s="364" t="s">
        <v>1199</v>
      </c>
    </row>
    <row r="1505" ht="15.75" customHeight="1">
      <c r="A1505" s="364" t="s">
        <v>64</v>
      </c>
      <c r="B1505" s="364" t="s">
        <v>23</v>
      </c>
      <c r="C1505" s="365" t="s">
        <v>371</v>
      </c>
      <c r="D1505" s="364" t="s">
        <v>372</v>
      </c>
      <c r="E1505" s="366">
        <v>13.0</v>
      </c>
      <c r="F1505" s="367">
        <v>45967.625</v>
      </c>
      <c r="G1505" s="364" t="s">
        <v>1185</v>
      </c>
      <c r="H1505" s="364" t="s">
        <v>1199</v>
      </c>
    </row>
    <row r="1506" ht="15.75" customHeight="1">
      <c r="A1506" s="364" t="s">
        <v>64</v>
      </c>
      <c r="B1506" s="364" t="s">
        <v>23</v>
      </c>
      <c r="C1506" s="365" t="s">
        <v>371</v>
      </c>
      <c r="D1506" s="364" t="s">
        <v>372</v>
      </c>
      <c r="E1506" s="366">
        <v>14.0</v>
      </c>
      <c r="F1506" s="367">
        <v>45974.625</v>
      </c>
      <c r="G1506" s="364" t="s">
        <v>1185</v>
      </c>
      <c r="H1506" s="364" t="s">
        <v>1199</v>
      </c>
    </row>
    <row r="1507" ht="15.75" customHeight="1">
      <c r="A1507" s="364" t="s">
        <v>64</v>
      </c>
      <c r="B1507" s="364" t="s">
        <v>23</v>
      </c>
      <c r="C1507" s="365" t="s">
        <v>371</v>
      </c>
      <c r="D1507" s="364" t="s">
        <v>372</v>
      </c>
      <c r="E1507" s="366">
        <v>15.0</v>
      </c>
      <c r="F1507" s="367">
        <v>46006.41666666667</v>
      </c>
      <c r="G1507" s="364" t="s">
        <v>1185</v>
      </c>
      <c r="H1507" s="364" t="s">
        <v>1199</v>
      </c>
    </row>
    <row r="1508" ht="15.75" customHeight="1">
      <c r="A1508" s="364" t="s">
        <v>64</v>
      </c>
      <c r="B1508" s="364" t="s">
        <v>23</v>
      </c>
      <c r="C1508" s="365" t="s">
        <v>371</v>
      </c>
      <c r="D1508" s="364" t="s">
        <v>372</v>
      </c>
      <c r="E1508" s="366">
        <v>16.0</v>
      </c>
      <c r="F1508" s="367">
        <v>46045.41666666667</v>
      </c>
      <c r="G1508" s="364" t="s">
        <v>1185</v>
      </c>
      <c r="H1508" s="364" t="s">
        <v>1199</v>
      </c>
    </row>
    <row r="1509" ht="15.75" customHeight="1">
      <c r="A1509" s="364" t="s">
        <v>64</v>
      </c>
      <c r="B1509" s="364" t="s">
        <v>23</v>
      </c>
      <c r="C1509" s="365" t="s">
        <v>380</v>
      </c>
      <c r="D1509" s="364" t="s">
        <v>381</v>
      </c>
      <c r="E1509" s="366">
        <v>1.0</v>
      </c>
      <c r="F1509" s="367">
        <v>45841.375</v>
      </c>
      <c r="G1509" s="364" t="s">
        <v>1187</v>
      </c>
      <c r="H1509" s="364" t="s">
        <v>1199</v>
      </c>
    </row>
    <row r="1510" ht="15.75" customHeight="1">
      <c r="A1510" s="364" t="s">
        <v>64</v>
      </c>
      <c r="B1510" s="364" t="s">
        <v>23</v>
      </c>
      <c r="C1510" s="365" t="s">
        <v>380</v>
      </c>
      <c r="D1510" s="364" t="s">
        <v>381</v>
      </c>
      <c r="E1510" s="366">
        <v>2.0</v>
      </c>
      <c r="F1510" s="367">
        <v>45849.375</v>
      </c>
      <c r="G1510" s="364" t="s">
        <v>1185</v>
      </c>
      <c r="H1510" s="364" t="s">
        <v>1199</v>
      </c>
    </row>
    <row r="1511" ht="15.75" customHeight="1">
      <c r="A1511" s="364" t="s">
        <v>64</v>
      </c>
      <c r="B1511" s="364" t="s">
        <v>23</v>
      </c>
      <c r="C1511" s="365" t="s">
        <v>380</v>
      </c>
      <c r="D1511" s="364" t="s">
        <v>381</v>
      </c>
      <c r="E1511" s="366">
        <v>3.0</v>
      </c>
      <c r="F1511" s="367">
        <v>45862.375</v>
      </c>
      <c r="G1511" s="364" t="s">
        <v>1185</v>
      </c>
      <c r="H1511" s="364" t="s">
        <v>1199</v>
      </c>
    </row>
    <row r="1512" ht="15.75" customHeight="1">
      <c r="A1512" s="364" t="s">
        <v>64</v>
      </c>
      <c r="B1512" s="364" t="s">
        <v>23</v>
      </c>
      <c r="C1512" s="365" t="s">
        <v>380</v>
      </c>
      <c r="D1512" s="364" t="s">
        <v>381</v>
      </c>
      <c r="E1512" s="366">
        <v>4.0</v>
      </c>
      <c r="F1512" s="367">
        <v>45881.41666666667</v>
      </c>
      <c r="G1512" s="364" t="s">
        <v>1185</v>
      </c>
      <c r="H1512" s="364" t="s">
        <v>1199</v>
      </c>
    </row>
    <row r="1513" ht="15.75" customHeight="1">
      <c r="A1513" s="364" t="s">
        <v>64</v>
      </c>
      <c r="B1513" s="364" t="s">
        <v>23</v>
      </c>
      <c r="C1513" s="365" t="s">
        <v>380</v>
      </c>
      <c r="D1513" s="364" t="s">
        <v>381</v>
      </c>
      <c r="E1513" s="366">
        <v>5.0</v>
      </c>
      <c r="F1513" s="367">
        <v>45888.41666666667</v>
      </c>
      <c r="G1513" s="364" t="s">
        <v>1185</v>
      </c>
      <c r="H1513" s="364" t="s">
        <v>1199</v>
      </c>
    </row>
    <row r="1514" ht="15.75" customHeight="1">
      <c r="A1514" s="364" t="s">
        <v>64</v>
      </c>
      <c r="B1514" s="364" t="s">
        <v>23</v>
      </c>
      <c r="C1514" s="365" t="s">
        <v>380</v>
      </c>
      <c r="D1514" s="364" t="s">
        <v>381</v>
      </c>
      <c r="E1514" s="366">
        <v>6.0</v>
      </c>
      <c r="F1514" s="367">
        <v>45895.41666666667</v>
      </c>
      <c r="G1514" s="364" t="s">
        <v>1185</v>
      </c>
      <c r="H1514" s="364" t="s">
        <v>1199</v>
      </c>
    </row>
    <row r="1515" ht="15.75" customHeight="1">
      <c r="A1515" s="364" t="s">
        <v>64</v>
      </c>
      <c r="B1515" s="364" t="s">
        <v>23</v>
      </c>
      <c r="C1515" s="365" t="s">
        <v>380</v>
      </c>
      <c r="D1515" s="364" t="s">
        <v>381</v>
      </c>
      <c r="E1515" s="366">
        <v>7.0</v>
      </c>
      <c r="F1515" s="367">
        <v>45911.45833333333</v>
      </c>
      <c r="G1515" s="364" t="s">
        <v>1187</v>
      </c>
      <c r="H1515" s="364" t="s">
        <v>1199</v>
      </c>
    </row>
    <row r="1516" ht="15.75" customHeight="1">
      <c r="A1516" s="364" t="s">
        <v>64</v>
      </c>
      <c r="B1516" s="364" t="s">
        <v>23</v>
      </c>
      <c r="C1516" s="365" t="s">
        <v>380</v>
      </c>
      <c r="D1516" s="364" t="s">
        <v>381</v>
      </c>
      <c r="E1516" s="366">
        <v>8.0</v>
      </c>
      <c r="F1516" s="367">
        <v>45925.41666666667</v>
      </c>
      <c r="G1516" s="364" t="s">
        <v>1187</v>
      </c>
      <c r="H1516" s="364" t="s">
        <v>1199</v>
      </c>
    </row>
    <row r="1517" ht="15.75" customHeight="1">
      <c r="A1517" s="364" t="s">
        <v>64</v>
      </c>
      <c r="B1517" s="364" t="s">
        <v>23</v>
      </c>
      <c r="C1517" s="365" t="s">
        <v>380</v>
      </c>
      <c r="D1517" s="364" t="s">
        <v>381</v>
      </c>
      <c r="E1517" s="366">
        <v>9.0</v>
      </c>
      <c r="F1517" s="367">
        <v>45932.45833333333</v>
      </c>
      <c r="G1517" s="364" t="s">
        <v>1187</v>
      </c>
      <c r="H1517" s="364" t="s">
        <v>1199</v>
      </c>
    </row>
    <row r="1518" ht="15.75" customHeight="1">
      <c r="A1518" s="364" t="s">
        <v>64</v>
      </c>
      <c r="B1518" s="364" t="s">
        <v>23</v>
      </c>
      <c r="C1518" s="365" t="s">
        <v>380</v>
      </c>
      <c r="D1518" s="364" t="s">
        <v>381</v>
      </c>
      <c r="E1518" s="366">
        <v>10.0</v>
      </c>
      <c r="F1518" s="367">
        <v>45939.45833333333</v>
      </c>
      <c r="G1518" s="364" t="s">
        <v>1187</v>
      </c>
      <c r="H1518" s="364" t="s">
        <v>1199</v>
      </c>
    </row>
    <row r="1519" ht="15.75" customHeight="1">
      <c r="A1519" s="364" t="s">
        <v>64</v>
      </c>
      <c r="B1519" s="364" t="s">
        <v>23</v>
      </c>
      <c r="C1519" s="365" t="s">
        <v>380</v>
      </c>
      <c r="D1519" s="364" t="s">
        <v>381</v>
      </c>
      <c r="E1519" s="366">
        <v>11.0</v>
      </c>
      <c r="F1519" s="367">
        <v>45946.375</v>
      </c>
      <c r="G1519" s="364" t="s">
        <v>1187</v>
      </c>
      <c r="H1519" s="364" t="s">
        <v>1199</v>
      </c>
    </row>
    <row r="1520" ht="15.75" customHeight="1">
      <c r="A1520" s="364" t="s">
        <v>64</v>
      </c>
      <c r="B1520" s="364" t="s">
        <v>23</v>
      </c>
      <c r="C1520" s="365" t="s">
        <v>380</v>
      </c>
      <c r="D1520" s="364" t="s">
        <v>381</v>
      </c>
      <c r="E1520" s="366">
        <v>12.0</v>
      </c>
      <c r="F1520" s="367">
        <v>45961.45833333333</v>
      </c>
      <c r="G1520" s="364" t="s">
        <v>1187</v>
      </c>
      <c r="H1520" s="364" t="s">
        <v>1199</v>
      </c>
    </row>
    <row r="1521" ht="15.75" customHeight="1">
      <c r="A1521" s="364" t="s">
        <v>64</v>
      </c>
      <c r="B1521" s="364" t="s">
        <v>23</v>
      </c>
      <c r="C1521" s="365" t="s">
        <v>380</v>
      </c>
      <c r="D1521" s="364" t="s">
        <v>381</v>
      </c>
      <c r="E1521" s="366">
        <v>13.0</v>
      </c>
      <c r="F1521" s="367">
        <v>45967.625</v>
      </c>
      <c r="G1521" s="364" t="s">
        <v>1185</v>
      </c>
      <c r="H1521" s="364" t="s">
        <v>1199</v>
      </c>
    </row>
    <row r="1522" ht="15.75" customHeight="1">
      <c r="A1522" s="364" t="s">
        <v>64</v>
      </c>
      <c r="B1522" s="364" t="s">
        <v>23</v>
      </c>
      <c r="C1522" s="365" t="s">
        <v>380</v>
      </c>
      <c r="D1522" s="364" t="s">
        <v>381</v>
      </c>
      <c r="E1522" s="366">
        <v>14.0</v>
      </c>
      <c r="F1522" s="367">
        <v>45974.625</v>
      </c>
      <c r="G1522" s="364" t="s">
        <v>1187</v>
      </c>
      <c r="H1522" s="364" t="s">
        <v>1199</v>
      </c>
    </row>
    <row r="1523" ht="15.75" customHeight="1">
      <c r="A1523" s="364" t="s">
        <v>64</v>
      </c>
      <c r="B1523" s="364" t="s">
        <v>23</v>
      </c>
      <c r="C1523" s="365" t="s">
        <v>380</v>
      </c>
      <c r="D1523" s="364" t="s">
        <v>381</v>
      </c>
      <c r="E1523" s="366">
        <v>15.0</v>
      </c>
      <c r="F1523" s="367">
        <v>46006.41666666667</v>
      </c>
      <c r="G1523" s="364" t="s">
        <v>1187</v>
      </c>
      <c r="H1523" s="364" t="s">
        <v>1199</v>
      </c>
    </row>
    <row r="1524" ht="15.75" customHeight="1">
      <c r="A1524" s="364" t="s">
        <v>64</v>
      </c>
      <c r="B1524" s="364" t="s">
        <v>23</v>
      </c>
      <c r="C1524" s="365" t="s">
        <v>380</v>
      </c>
      <c r="D1524" s="364" t="s">
        <v>381</v>
      </c>
      <c r="E1524" s="366">
        <v>16.0</v>
      </c>
      <c r="F1524" s="367">
        <v>46045.41666666667</v>
      </c>
      <c r="G1524" s="364" t="s">
        <v>1187</v>
      </c>
      <c r="H1524" s="364" t="s">
        <v>1199</v>
      </c>
    </row>
    <row r="1525" ht="15.75" customHeight="1">
      <c r="A1525" s="364" t="s">
        <v>64</v>
      </c>
      <c r="B1525" s="364" t="s">
        <v>23</v>
      </c>
      <c r="C1525" s="365" t="s">
        <v>376</v>
      </c>
      <c r="D1525" s="364" t="s">
        <v>377</v>
      </c>
      <c r="E1525" s="366">
        <v>1.0</v>
      </c>
      <c r="F1525" s="367">
        <v>45841.375</v>
      </c>
      <c r="G1525" s="364" t="s">
        <v>1185</v>
      </c>
      <c r="H1525" s="364" t="s">
        <v>1199</v>
      </c>
    </row>
    <row r="1526" ht="15.75" customHeight="1">
      <c r="A1526" s="364" t="s">
        <v>64</v>
      </c>
      <c r="B1526" s="364" t="s">
        <v>23</v>
      </c>
      <c r="C1526" s="365" t="s">
        <v>376</v>
      </c>
      <c r="D1526" s="364" t="s">
        <v>377</v>
      </c>
      <c r="E1526" s="366">
        <v>2.0</v>
      </c>
      <c r="F1526" s="367">
        <v>45849.375</v>
      </c>
      <c r="G1526" s="364" t="s">
        <v>1185</v>
      </c>
      <c r="H1526" s="364" t="s">
        <v>1199</v>
      </c>
    </row>
    <row r="1527" ht="15.75" customHeight="1">
      <c r="A1527" s="364" t="s">
        <v>64</v>
      </c>
      <c r="B1527" s="364" t="s">
        <v>23</v>
      </c>
      <c r="C1527" s="365" t="s">
        <v>376</v>
      </c>
      <c r="D1527" s="364" t="s">
        <v>377</v>
      </c>
      <c r="E1527" s="366">
        <v>3.0</v>
      </c>
      <c r="F1527" s="367">
        <v>45862.375</v>
      </c>
      <c r="G1527" s="364" t="s">
        <v>1185</v>
      </c>
      <c r="H1527" s="364" t="s">
        <v>1199</v>
      </c>
    </row>
    <row r="1528" ht="15.75" customHeight="1">
      <c r="A1528" s="364" t="s">
        <v>64</v>
      </c>
      <c r="B1528" s="364" t="s">
        <v>23</v>
      </c>
      <c r="C1528" s="365" t="s">
        <v>376</v>
      </c>
      <c r="D1528" s="364" t="s">
        <v>377</v>
      </c>
      <c r="E1528" s="366">
        <v>4.0</v>
      </c>
      <c r="F1528" s="367">
        <v>45881.41666666667</v>
      </c>
      <c r="G1528" s="364" t="s">
        <v>1185</v>
      </c>
      <c r="H1528" s="364" t="s">
        <v>1199</v>
      </c>
    </row>
    <row r="1529" ht="15.75" customHeight="1">
      <c r="A1529" s="364" t="s">
        <v>64</v>
      </c>
      <c r="B1529" s="364" t="s">
        <v>23</v>
      </c>
      <c r="C1529" s="365" t="s">
        <v>376</v>
      </c>
      <c r="D1529" s="364" t="s">
        <v>377</v>
      </c>
      <c r="E1529" s="366">
        <v>5.0</v>
      </c>
      <c r="F1529" s="367">
        <v>45888.41666666667</v>
      </c>
      <c r="G1529" s="364" t="s">
        <v>1185</v>
      </c>
      <c r="H1529" s="364" t="s">
        <v>1199</v>
      </c>
    </row>
    <row r="1530" ht="15.75" customHeight="1">
      <c r="A1530" s="364" t="s">
        <v>64</v>
      </c>
      <c r="B1530" s="364" t="s">
        <v>23</v>
      </c>
      <c r="C1530" s="365" t="s">
        <v>376</v>
      </c>
      <c r="D1530" s="364" t="s">
        <v>377</v>
      </c>
      <c r="E1530" s="366">
        <v>6.0</v>
      </c>
      <c r="F1530" s="367">
        <v>45895.41666666667</v>
      </c>
      <c r="G1530" s="364" t="s">
        <v>1185</v>
      </c>
      <c r="H1530" s="364" t="s">
        <v>1199</v>
      </c>
    </row>
    <row r="1531" ht="15.75" customHeight="1">
      <c r="A1531" s="364" t="s">
        <v>64</v>
      </c>
      <c r="B1531" s="364" t="s">
        <v>23</v>
      </c>
      <c r="C1531" s="365" t="s">
        <v>376</v>
      </c>
      <c r="D1531" s="364" t="s">
        <v>377</v>
      </c>
      <c r="E1531" s="366">
        <v>7.0</v>
      </c>
      <c r="F1531" s="367">
        <v>45911.45833333333</v>
      </c>
      <c r="G1531" s="364" t="s">
        <v>1185</v>
      </c>
      <c r="H1531" s="364" t="s">
        <v>1199</v>
      </c>
    </row>
    <row r="1532" ht="15.75" customHeight="1">
      <c r="A1532" s="364" t="s">
        <v>64</v>
      </c>
      <c r="B1532" s="364" t="s">
        <v>23</v>
      </c>
      <c r="C1532" s="365" t="s">
        <v>376</v>
      </c>
      <c r="D1532" s="364" t="s">
        <v>377</v>
      </c>
      <c r="E1532" s="366">
        <v>8.0</v>
      </c>
      <c r="F1532" s="367">
        <v>45925.41666666667</v>
      </c>
      <c r="G1532" s="364" t="s">
        <v>1185</v>
      </c>
      <c r="H1532" s="364" t="s">
        <v>1199</v>
      </c>
    </row>
    <row r="1533" ht="15.75" customHeight="1">
      <c r="A1533" s="364" t="s">
        <v>64</v>
      </c>
      <c r="B1533" s="364" t="s">
        <v>23</v>
      </c>
      <c r="C1533" s="365" t="s">
        <v>376</v>
      </c>
      <c r="D1533" s="364" t="s">
        <v>377</v>
      </c>
      <c r="E1533" s="366">
        <v>9.0</v>
      </c>
      <c r="F1533" s="367">
        <v>45932.45833333333</v>
      </c>
      <c r="G1533" s="364" t="s">
        <v>1185</v>
      </c>
      <c r="H1533" s="364" t="s">
        <v>1199</v>
      </c>
    </row>
    <row r="1534" ht="15.75" customHeight="1">
      <c r="A1534" s="364" t="s">
        <v>64</v>
      </c>
      <c r="B1534" s="364" t="s">
        <v>23</v>
      </c>
      <c r="C1534" s="365" t="s">
        <v>376</v>
      </c>
      <c r="D1534" s="364" t="s">
        <v>377</v>
      </c>
      <c r="E1534" s="366">
        <v>10.0</v>
      </c>
      <c r="F1534" s="367">
        <v>45939.45833333333</v>
      </c>
      <c r="G1534" s="364" t="s">
        <v>1187</v>
      </c>
      <c r="H1534" s="364" t="s">
        <v>1199</v>
      </c>
    </row>
    <row r="1535" ht="15.75" customHeight="1">
      <c r="A1535" s="364" t="s">
        <v>64</v>
      </c>
      <c r="B1535" s="364" t="s">
        <v>23</v>
      </c>
      <c r="C1535" s="365" t="s">
        <v>376</v>
      </c>
      <c r="D1535" s="364" t="s">
        <v>377</v>
      </c>
      <c r="E1535" s="366">
        <v>11.0</v>
      </c>
      <c r="F1535" s="367">
        <v>45946.375</v>
      </c>
      <c r="G1535" s="364" t="s">
        <v>1185</v>
      </c>
      <c r="H1535" s="364" t="s">
        <v>1199</v>
      </c>
    </row>
    <row r="1536" ht="15.75" customHeight="1">
      <c r="A1536" s="364" t="s">
        <v>64</v>
      </c>
      <c r="B1536" s="364" t="s">
        <v>23</v>
      </c>
      <c r="C1536" s="365" t="s">
        <v>376</v>
      </c>
      <c r="D1536" s="364" t="s">
        <v>377</v>
      </c>
      <c r="E1536" s="366">
        <v>12.0</v>
      </c>
      <c r="F1536" s="367">
        <v>45961.45833333333</v>
      </c>
      <c r="G1536" s="364" t="s">
        <v>1185</v>
      </c>
      <c r="H1536" s="364" t="s">
        <v>1199</v>
      </c>
    </row>
    <row r="1537" ht="15.75" customHeight="1">
      <c r="A1537" s="364" t="s">
        <v>64</v>
      </c>
      <c r="B1537" s="364" t="s">
        <v>23</v>
      </c>
      <c r="C1537" s="365" t="s">
        <v>376</v>
      </c>
      <c r="D1537" s="364" t="s">
        <v>377</v>
      </c>
      <c r="E1537" s="366">
        <v>13.0</v>
      </c>
      <c r="F1537" s="367">
        <v>45967.625</v>
      </c>
      <c r="G1537" s="364" t="s">
        <v>1185</v>
      </c>
      <c r="H1537" s="364" t="s">
        <v>1199</v>
      </c>
    </row>
    <row r="1538" ht="15.75" customHeight="1">
      <c r="A1538" s="364" t="s">
        <v>64</v>
      </c>
      <c r="B1538" s="364" t="s">
        <v>23</v>
      </c>
      <c r="C1538" s="365" t="s">
        <v>376</v>
      </c>
      <c r="D1538" s="364" t="s">
        <v>377</v>
      </c>
      <c r="E1538" s="366">
        <v>14.0</v>
      </c>
      <c r="F1538" s="367">
        <v>45974.625</v>
      </c>
      <c r="G1538" s="364" t="s">
        <v>1185</v>
      </c>
      <c r="H1538" s="364" t="s">
        <v>1199</v>
      </c>
    </row>
    <row r="1539" ht="15.75" customHeight="1">
      <c r="A1539" s="364" t="s">
        <v>64</v>
      </c>
      <c r="B1539" s="364" t="s">
        <v>23</v>
      </c>
      <c r="C1539" s="365" t="s">
        <v>376</v>
      </c>
      <c r="D1539" s="364" t="s">
        <v>377</v>
      </c>
      <c r="E1539" s="366">
        <v>15.0</v>
      </c>
      <c r="F1539" s="367">
        <v>46006.41666666667</v>
      </c>
      <c r="G1539" s="364" t="s">
        <v>1185</v>
      </c>
      <c r="H1539" s="364" t="s">
        <v>1199</v>
      </c>
    </row>
    <row r="1540" ht="15.75" customHeight="1">
      <c r="A1540" s="364" t="s">
        <v>64</v>
      </c>
      <c r="B1540" s="364" t="s">
        <v>23</v>
      </c>
      <c r="C1540" s="365" t="s">
        <v>376</v>
      </c>
      <c r="D1540" s="364" t="s">
        <v>377</v>
      </c>
      <c r="E1540" s="366">
        <v>16.0</v>
      </c>
      <c r="F1540" s="367">
        <v>46045.41666666667</v>
      </c>
      <c r="G1540" s="364" t="s">
        <v>1185</v>
      </c>
      <c r="H1540" s="364" t="s">
        <v>1199</v>
      </c>
    </row>
    <row r="1541" ht="15.75" customHeight="1">
      <c r="A1541" s="364" t="s">
        <v>64</v>
      </c>
      <c r="B1541" s="364" t="s">
        <v>23</v>
      </c>
      <c r="C1541" s="365" t="s">
        <v>378</v>
      </c>
      <c r="D1541" s="364" t="s">
        <v>379</v>
      </c>
      <c r="E1541" s="366">
        <v>1.0</v>
      </c>
      <c r="F1541" s="367">
        <v>45841.375</v>
      </c>
      <c r="G1541" s="364" t="s">
        <v>1185</v>
      </c>
      <c r="H1541" s="364" t="s">
        <v>1199</v>
      </c>
    </row>
    <row r="1542" ht="15.75" customHeight="1">
      <c r="A1542" s="364" t="s">
        <v>64</v>
      </c>
      <c r="B1542" s="364" t="s">
        <v>23</v>
      </c>
      <c r="C1542" s="365" t="s">
        <v>378</v>
      </c>
      <c r="D1542" s="364" t="s">
        <v>379</v>
      </c>
      <c r="E1542" s="366">
        <v>2.0</v>
      </c>
      <c r="F1542" s="367">
        <v>45849.375</v>
      </c>
      <c r="G1542" s="364" t="s">
        <v>1185</v>
      </c>
      <c r="H1542" s="364" t="s">
        <v>1199</v>
      </c>
    </row>
    <row r="1543" ht="15.75" customHeight="1">
      <c r="A1543" s="364" t="s">
        <v>64</v>
      </c>
      <c r="B1543" s="364" t="s">
        <v>23</v>
      </c>
      <c r="C1543" s="365" t="s">
        <v>378</v>
      </c>
      <c r="D1543" s="364" t="s">
        <v>379</v>
      </c>
      <c r="E1543" s="366">
        <v>3.0</v>
      </c>
      <c r="F1543" s="367">
        <v>45862.375</v>
      </c>
      <c r="G1543" s="364" t="s">
        <v>1185</v>
      </c>
      <c r="H1543" s="364" t="s">
        <v>1199</v>
      </c>
    </row>
    <row r="1544" ht="15.75" customHeight="1">
      <c r="A1544" s="364" t="s">
        <v>64</v>
      </c>
      <c r="B1544" s="364" t="s">
        <v>23</v>
      </c>
      <c r="C1544" s="365" t="s">
        <v>378</v>
      </c>
      <c r="D1544" s="364" t="s">
        <v>379</v>
      </c>
      <c r="E1544" s="366">
        <v>4.0</v>
      </c>
      <c r="F1544" s="367">
        <v>45881.41666666667</v>
      </c>
      <c r="G1544" s="364" t="s">
        <v>1185</v>
      </c>
      <c r="H1544" s="364" t="s">
        <v>1199</v>
      </c>
    </row>
    <row r="1545" ht="15.75" customHeight="1">
      <c r="A1545" s="364" t="s">
        <v>64</v>
      </c>
      <c r="B1545" s="364" t="s">
        <v>23</v>
      </c>
      <c r="C1545" s="365" t="s">
        <v>378</v>
      </c>
      <c r="D1545" s="364" t="s">
        <v>379</v>
      </c>
      <c r="E1545" s="366">
        <v>5.0</v>
      </c>
      <c r="F1545" s="367">
        <v>45888.41666666667</v>
      </c>
      <c r="G1545" s="364" t="s">
        <v>1185</v>
      </c>
      <c r="H1545" s="364" t="s">
        <v>1199</v>
      </c>
    </row>
    <row r="1546" ht="15.75" customHeight="1">
      <c r="A1546" s="364" t="s">
        <v>64</v>
      </c>
      <c r="B1546" s="364" t="s">
        <v>23</v>
      </c>
      <c r="C1546" s="365" t="s">
        <v>378</v>
      </c>
      <c r="D1546" s="364" t="s">
        <v>379</v>
      </c>
      <c r="E1546" s="366">
        <v>6.0</v>
      </c>
      <c r="F1546" s="367">
        <v>45895.41666666667</v>
      </c>
      <c r="G1546" s="364" t="s">
        <v>1185</v>
      </c>
      <c r="H1546" s="364" t="s">
        <v>1199</v>
      </c>
    </row>
    <row r="1547" ht="15.75" customHeight="1">
      <c r="A1547" s="364" t="s">
        <v>64</v>
      </c>
      <c r="B1547" s="364" t="s">
        <v>23</v>
      </c>
      <c r="C1547" s="365" t="s">
        <v>378</v>
      </c>
      <c r="D1547" s="364" t="s">
        <v>379</v>
      </c>
      <c r="E1547" s="366">
        <v>7.0</v>
      </c>
      <c r="F1547" s="367">
        <v>45911.45833333333</v>
      </c>
      <c r="G1547" s="364" t="s">
        <v>1185</v>
      </c>
      <c r="H1547" s="364" t="s">
        <v>1199</v>
      </c>
    </row>
    <row r="1548" ht="15.75" customHeight="1">
      <c r="A1548" s="364" t="s">
        <v>64</v>
      </c>
      <c r="B1548" s="364" t="s">
        <v>23</v>
      </c>
      <c r="C1548" s="365" t="s">
        <v>378</v>
      </c>
      <c r="D1548" s="364" t="s">
        <v>379</v>
      </c>
      <c r="E1548" s="366">
        <v>8.0</v>
      </c>
      <c r="F1548" s="367">
        <v>45925.41666666667</v>
      </c>
      <c r="G1548" s="364" t="s">
        <v>1185</v>
      </c>
      <c r="H1548" s="364" t="s">
        <v>1199</v>
      </c>
    </row>
    <row r="1549" ht="15.75" customHeight="1">
      <c r="A1549" s="364" t="s">
        <v>64</v>
      </c>
      <c r="B1549" s="364" t="s">
        <v>23</v>
      </c>
      <c r="C1549" s="365" t="s">
        <v>378</v>
      </c>
      <c r="D1549" s="364" t="s">
        <v>379</v>
      </c>
      <c r="E1549" s="366">
        <v>9.0</v>
      </c>
      <c r="F1549" s="367">
        <v>45932.45833333333</v>
      </c>
      <c r="G1549" s="364" t="s">
        <v>1187</v>
      </c>
      <c r="H1549" s="364" t="s">
        <v>1199</v>
      </c>
    </row>
    <row r="1550" ht="15.75" customHeight="1">
      <c r="A1550" s="364" t="s">
        <v>64</v>
      </c>
      <c r="B1550" s="364" t="s">
        <v>23</v>
      </c>
      <c r="C1550" s="365" t="s">
        <v>378</v>
      </c>
      <c r="D1550" s="364" t="s">
        <v>379</v>
      </c>
      <c r="E1550" s="366">
        <v>10.0</v>
      </c>
      <c r="F1550" s="367">
        <v>45939.45833333333</v>
      </c>
      <c r="G1550" s="364" t="s">
        <v>1185</v>
      </c>
      <c r="H1550" s="364" t="s">
        <v>1199</v>
      </c>
    </row>
    <row r="1551" ht="15.75" customHeight="1">
      <c r="A1551" s="364" t="s">
        <v>64</v>
      </c>
      <c r="B1551" s="364" t="s">
        <v>23</v>
      </c>
      <c r="C1551" s="365" t="s">
        <v>378</v>
      </c>
      <c r="D1551" s="364" t="s">
        <v>379</v>
      </c>
      <c r="E1551" s="366">
        <v>11.0</v>
      </c>
      <c r="F1551" s="367">
        <v>45946.375</v>
      </c>
      <c r="G1551" s="364" t="s">
        <v>1185</v>
      </c>
      <c r="H1551" s="364" t="s">
        <v>1199</v>
      </c>
    </row>
    <row r="1552" ht="15.75" customHeight="1">
      <c r="A1552" s="364" t="s">
        <v>64</v>
      </c>
      <c r="B1552" s="364" t="s">
        <v>23</v>
      </c>
      <c r="C1552" s="365" t="s">
        <v>378</v>
      </c>
      <c r="D1552" s="364" t="s">
        <v>379</v>
      </c>
      <c r="E1552" s="366">
        <v>12.0</v>
      </c>
      <c r="F1552" s="367">
        <v>45961.45833333333</v>
      </c>
      <c r="G1552" s="364" t="s">
        <v>1187</v>
      </c>
      <c r="H1552" s="364" t="s">
        <v>1199</v>
      </c>
    </row>
    <row r="1553" ht="15.75" customHeight="1">
      <c r="A1553" s="364" t="s">
        <v>64</v>
      </c>
      <c r="B1553" s="364" t="s">
        <v>23</v>
      </c>
      <c r="C1553" s="365" t="s">
        <v>378</v>
      </c>
      <c r="D1553" s="364" t="s">
        <v>379</v>
      </c>
      <c r="E1553" s="366">
        <v>13.0</v>
      </c>
      <c r="F1553" s="367">
        <v>45967.625</v>
      </c>
      <c r="G1553" s="364" t="s">
        <v>1185</v>
      </c>
      <c r="H1553" s="364" t="s">
        <v>1199</v>
      </c>
    </row>
    <row r="1554" ht="15.75" customHeight="1">
      <c r="A1554" s="364" t="s">
        <v>64</v>
      </c>
      <c r="B1554" s="364" t="s">
        <v>23</v>
      </c>
      <c r="C1554" s="365" t="s">
        <v>378</v>
      </c>
      <c r="D1554" s="364" t="s">
        <v>379</v>
      </c>
      <c r="E1554" s="366">
        <v>14.0</v>
      </c>
      <c r="F1554" s="367">
        <v>45974.625</v>
      </c>
      <c r="G1554" s="364" t="s">
        <v>1185</v>
      </c>
      <c r="H1554" s="364" t="s">
        <v>1199</v>
      </c>
    </row>
    <row r="1555" ht="15.75" customHeight="1">
      <c r="A1555" s="364" t="s">
        <v>64</v>
      </c>
      <c r="B1555" s="364" t="s">
        <v>23</v>
      </c>
      <c r="C1555" s="365" t="s">
        <v>378</v>
      </c>
      <c r="D1555" s="364" t="s">
        <v>379</v>
      </c>
      <c r="E1555" s="366">
        <v>15.0</v>
      </c>
      <c r="F1555" s="367">
        <v>46006.41666666667</v>
      </c>
      <c r="G1555" s="364" t="s">
        <v>1185</v>
      </c>
      <c r="H1555" s="364" t="s">
        <v>1199</v>
      </c>
    </row>
    <row r="1556" ht="15.75" customHeight="1">
      <c r="A1556" s="364" t="s">
        <v>64</v>
      </c>
      <c r="B1556" s="364" t="s">
        <v>23</v>
      </c>
      <c r="C1556" s="365" t="s">
        <v>378</v>
      </c>
      <c r="D1556" s="364" t="s">
        <v>379</v>
      </c>
      <c r="E1556" s="366">
        <v>16.0</v>
      </c>
      <c r="F1556" s="367">
        <v>46045.41666666667</v>
      </c>
      <c r="G1556" s="364" t="s">
        <v>1185</v>
      </c>
      <c r="H1556" s="364" t="s">
        <v>1199</v>
      </c>
    </row>
    <row r="1557" ht="15.75" customHeight="1">
      <c r="A1557" s="364" t="s">
        <v>64</v>
      </c>
      <c r="B1557" s="364" t="s">
        <v>24</v>
      </c>
      <c r="C1557" s="365" t="s">
        <v>366</v>
      </c>
      <c r="D1557" s="364" t="s">
        <v>367</v>
      </c>
      <c r="E1557" s="366">
        <v>1.0</v>
      </c>
      <c r="F1557" s="367">
        <v>46094.45833333333</v>
      </c>
      <c r="G1557" s="364" t="s">
        <v>1185</v>
      </c>
      <c r="H1557" s="364" t="s">
        <v>1199</v>
      </c>
    </row>
    <row r="1558" ht="15.75" customHeight="1">
      <c r="A1558" s="364" t="s">
        <v>64</v>
      </c>
      <c r="B1558" s="364" t="s">
        <v>24</v>
      </c>
      <c r="C1558" s="365" t="s">
        <v>366</v>
      </c>
      <c r="D1558" s="364" t="s">
        <v>367</v>
      </c>
      <c r="E1558" s="366">
        <v>2.0</v>
      </c>
      <c r="F1558" s="367">
        <v>46108.45833333333</v>
      </c>
      <c r="G1558" s="364" t="s">
        <v>1185</v>
      </c>
      <c r="H1558" s="364" t="s">
        <v>1199</v>
      </c>
    </row>
    <row r="1559" ht="15.75" customHeight="1">
      <c r="A1559" s="364" t="s">
        <v>64</v>
      </c>
      <c r="B1559" s="364" t="s">
        <v>24</v>
      </c>
      <c r="C1559" s="365" t="s">
        <v>366</v>
      </c>
      <c r="D1559" s="364" t="s">
        <v>367</v>
      </c>
      <c r="E1559" s="366">
        <v>3.0</v>
      </c>
      <c r="F1559" s="367">
        <v>46113.45833333333</v>
      </c>
      <c r="G1559" s="364" t="s">
        <v>1185</v>
      </c>
      <c r="H1559" s="364" t="s">
        <v>1199</v>
      </c>
    </row>
    <row r="1560" ht="15.75" customHeight="1">
      <c r="A1560" s="364" t="s">
        <v>64</v>
      </c>
      <c r="B1560" s="364" t="s">
        <v>24</v>
      </c>
      <c r="C1560" s="365" t="s">
        <v>366</v>
      </c>
      <c r="D1560" s="364" t="s">
        <v>367</v>
      </c>
      <c r="E1560" s="366">
        <v>4.0</v>
      </c>
      <c r="F1560" s="367">
        <v>46147.625</v>
      </c>
      <c r="G1560" s="364" t="s">
        <v>1185</v>
      </c>
      <c r="H1560" s="364" t="s">
        <v>1199</v>
      </c>
    </row>
    <row r="1561" ht="15.75" customHeight="1">
      <c r="A1561" s="364" t="s">
        <v>64</v>
      </c>
      <c r="B1561" s="364" t="s">
        <v>24</v>
      </c>
      <c r="C1561" s="365" t="s">
        <v>366</v>
      </c>
      <c r="D1561" s="364" t="s">
        <v>367</v>
      </c>
      <c r="E1561" s="366">
        <v>5.0</v>
      </c>
      <c r="F1561" s="367">
        <v>46154.625</v>
      </c>
      <c r="G1561" s="364" t="s">
        <v>1185</v>
      </c>
      <c r="H1561" s="364" t="s">
        <v>1199</v>
      </c>
    </row>
    <row r="1562" ht="15.75" customHeight="1">
      <c r="A1562" s="364" t="s">
        <v>64</v>
      </c>
      <c r="B1562" s="364" t="s">
        <v>24</v>
      </c>
      <c r="C1562" s="365" t="s">
        <v>366</v>
      </c>
      <c r="D1562" s="364" t="s">
        <v>367</v>
      </c>
      <c r="E1562" s="366">
        <v>6.0</v>
      </c>
      <c r="F1562" s="367">
        <v>46161.625</v>
      </c>
      <c r="G1562" s="364" t="s">
        <v>1185</v>
      </c>
      <c r="H1562" s="364" t="s">
        <v>1199</v>
      </c>
    </row>
    <row r="1563" ht="15.75" customHeight="1">
      <c r="A1563" s="364" t="s">
        <v>64</v>
      </c>
      <c r="B1563" s="364" t="s">
        <v>24</v>
      </c>
      <c r="C1563" s="365" t="s">
        <v>366</v>
      </c>
      <c r="D1563" s="364" t="s">
        <v>367</v>
      </c>
      <c r="E1563" s="366">
        <v>7.0</v>
      </c>
      <c r="F1563" s="367">
        <v>46168.625</v>
      </c>
      <c r="G1563" s="364" t="s">
        <v>1185</v>
      </c>
      <c r="H1563" s="364" t="s">
        <v>1199</v>
      </c>
    </row>
    <row r="1564" ht="15.75" customHeight="1">
      <c r="A1564" s="364" t="s">
        <v>64</v>
      </c>
      <c r="B1564" s="364" t="s">
        <v>24</v>
      </c>
      <c r="C1564" s="365" t="s">
        <v>366</v>
      </c>
      <c r="D1564" s="364" t="s">
        <v>367</v>
      </c>
      <c r="E1564" s="366">
        <v>8.0</v>
      </c>
      <c r="F1564" s="367">
        <v>46182.58333333333</v>
      </c>
      <c r="G1564" s="364" t="s">
        <v>1185</v>
      </c>
      <c r="H1564" s="364" t="s">
        <v>1199</v>
      </c>
    </row>
    <row r="1565" ht="15.75" customHeight="1">
      <c r="A1565" s="364" t="s">
        <v>64</v>
      </c>
      <c r="B1565" s="364" t="s">
        <v>24</v>
      </c>
      <c r="C1565" s="365" t="s">
        <v>368</v>
      </c>
      <c r="D1565" s="364" t="s">
        <v>369</v>
      </c>
      <c r="E1565" s="366">
        <v>2.0</v>
      </c>
      <c r="F1565" s="367">
        <v>46108.45833333333</v>
      </c>
      <c r="G1565" s="364" t="s">
        <v>1185</v>
      </c>
      <c r="H1565" s="364" t="s">
        <v>1199</v>
      </c>
    </row>
    <row r="1566" ht="15.75" customHeight="1">
      <c r="A1566" s="364" t="s">
        <v>64</v>
      </c>
      <c r="B1566" s="364" t="s">
        <v>24</v>
      </c>
      <c r="C1566" s="365" t="s">
        <v>368</v>
      </c>
      <c r="D1566" s="364" t="s">
        <v>369</v>
      </c>
      <c r="E1566" s="366">
        <v>3.0</v>
      </c>
      <c r="F1566" s="367">
        <v>46113.45833333333</v>
      </c>
      <c r="G1566" s="364" t="s">
        <v>1185</v>
      </c>
      <c r="H1566" s="364" t="s">
        <v>1199</v>
      </c>
    </row>
    <row r="1567" ht="15.75" customHeight="1">
      <c r="A1567" s="364" t="s">
        <v>64</v>
      </c>
      <c r="B1567" s="364" t="s">
        <v>24</v>
      </c>
      <c r="C1567" s="365" t="s">
        <v>368</v>
      </c>
      <c r="D1567" s="364" t="s">
        <v>369</v>
      </c>
      <c r="E1567" s="366">
        <v>4.0</v>
      </c>
      <c r="F1567" s="367">
        <v>46147.625</v>
      </c>
      <c r="G1567" s="364" t="s">
        <v>1185</v>
      </c>
      <c r="H1567" s="364" t="s">
        <v>1199</v>
      </c>
    </row>
    <row r="1568" ht="15.75" customHeight="1">
      <c r="A1568" s="364" t="s">
        <v>64</v>
      </c>
      <c r="B1568" s="364" t="s">
        <v>24</v>
      </c>
      <c r="C1568" s="365" t="s">
        <v>368</v>
      </c>
      <c r="D1568" s="364" t="s">
        <v>369</v>
      </c>
      <c r="E1568" s="366">
        <v>5.0</v>
      </c>
      <c r="F1568" s="367">
        <v>46154.625</v>
      </c>
      <c r="G1568" s="364" t="s">
        <v>1185</v>
      </c>
      <c r="H1568" s="364" t="s">
        <v>1199</v>
      </c>
    </row>
    <row r="1569" ht="15.75" customHeight="1">
      <c r="A1569" s="364" t="s">
        <v>64</v>
      </c>
      <c r="B1569" s="364" t="s">
        <v>24</v>
      </c>
      <c r="C1569" s="365" t="s">
        <v>368</v>
      </c>
      <c r="D1569" s="364" t="s">
        <v>369</v>
      </c>
      <c r="E1569" s="366">
        <v>6.0</v>
      </c>
      <c r="F1569" s="367">
        <v>46161.625</v>
      </c>
      <c r="G1569" s="364" t="s">
        <v>1185</v>
      </c>
      <c r="H1569" s="364" t="s">
        <v>1199</v>
      </c>
    </row>
    <row r="1570" ht="15.75" customHeight="1">
      <c r="A1570" s="364" t="s">
        <v>64</v>
      </c>
      <c r="B1570" s="364" t="s">
        <v>24</v>
      </c>
      <c r="C1570" s="365" t="s">
        <v>368</v>
      </c>
      <c r="D1570" s="364" t="s">
        <v>369</v>
      </c>
      <c r="E1570" s="366">
        <v>7.0</v>
      </c>
      <c r="F1570" s="367">
        <v>46168.58333333333</v>
      </c>
      <c r="G1570" s="364" t="s">
        <v>1185</v>
      </c>
      <c r="H1570" s="364" t="s">
        <v>1199</v>
      </c>
    </row>
    <row r="1571" ht="15.75" customHeight="1">
      <c r="A1571" s="364" t="s">
        <v>64</v>
      </c>
      <c r="B1571" s="364" t="s">
        <v>24</v>
      </c>
      <c r="C1571" s="365" t="s">
        <v>368</v>
      </c>
      <c r="D1571" s="364" t="s">
        <v>369</v>
      </c>
      <c r="E1571" s="366">
        <v>8.0</v>
      </c>
      <c r="F1571" s="367">
        <v>46182.58333333333</v>
      </c>
      <c r="G1571" s="364" t="s">
        <v>1185</v>
      </c>
      <c r="H1571" s="364" t="s">
        <v>1199</v>
      </c>
    </row>
    <row r="1572" ht="15.75" customHeight="1">
      <c r="A1572" s="364" t="s">
        <v>64</v>
      </c>
      <c r="B1572" s="364" t="s">
        <v>24</v>
      </c>
      <c r="C1572" s="365" t="s">
        <v>371</v>
      </c>
      <c r="D1572" s="364" t="s">
        <v>372</v>
      </c>
      <c r="E1572" s="366">
        <v>1.0</v>
      </c>
      <c r="F1572" s="367">
        <v>46094.45833333333</v>
      </c>
      <c r="G1572" s="364" t="s">
        <v>1185</v>
      </c>
      <c r="H1572" s="364" t="s">
        <v>1199</v>
      </c>
    </row>
    <row r="1573" ht="15.75" customHeight="1">
      <c r="A1573" s="364" t="s">
        <v>64</v>
      </c>
      <c r="B1573" s="364" t="s">
        <v>24</v>
      </c>
      <c r="C1573" s="365" t="s">
        <v>371</v>
      </c>
      <c r="D1573" s="364" t="s">
        <v>372</v>
      </c>
      <c r="E1573" s="366">
        <v>2.0</v>
      </c>
      <c r="F1573" s="367">
        <v>46108.45833333333</v>
      </c>
      <c r="G1573" s="364" t="s">
        <v>1185</v>
      </c>
      <c r="H1573" s="364" t="s">
        <v>1199</v>
      </c>
    </row>
    <row r="1574" ht="15.75" customHeight="1">
      <c r="A1574" s="364" t="s">
        <v>64</v>
      </c>
      <c r="B1574" s="364" t="s">
        <v>24</v>
      </c>
      <c r="C1574" s="365" t="s">
        <v>371</v>
      </c>
      <c r="D1574" s="364" t="s">
        <v>372</v>
      </c>
      <c r="E1574" s="366">
        <v>3.0</v>
      </c>
      <c r="F1574" s="367">
        <v>46113.45833333333</v>
      </c>
      <c r="G1574" s="364" t="s">
        <v>1185</v>
      </c>
      <c r="H1574" s="364" t="s">
        <v>1199</v>
      </c>
    </row>
    <row r="1575" ht="15.75" customHeight="1">
      <c r="A1575" s="364" t="s">
        <v>64</v>
      </c>
      <c r="B1575" s="364" t="s">
        <v>24</v>
      </c>
      <c r="C1575" s="365" t="s">
        <v>371</v>
      </c>
      <c r="D1575" s="364" t="s">
        <v>372</v>
      </c>
      <c r="E1575" s="366">
        <v>4.0</v>
      </c>
      <c r="F1575" s="367">
        <v>46147.625</v>
      </c>
      <c r="G1575" s="364" t="s">
        <v>1185</v>
      </c>
      <c r="H1575" s="364" t="s">
        <v>1199</v>
      </c>
    </row>
    <row r="1576" ht="15.75" customHeight="1">
      <c r="A1576" s="364" t="s">
        <v>64</v>
      </c>
      <c r="B1576" s="364" t="s">
        <v>24</v>
      </c>
      <c r="C1576" s="365" t="s">
        <v>371</v>
      </c>
      <c r="D1576" s="364" t="s">
        <v>372</v>
      </c>
      <c r="E1576" s="366">
        <v>5.0</v>
      </c>
      <c r="F1576" s="367">
        <v>46154.625</v>
      </c>
      <c r="G1576" s="364" t="s">
        <v>1185</v>
      </c>
      <c r="H1576" s="364" t="s">
        <v>1199</v>
      </c>
    </row>
    <row r="1577" ht="15.75" customHeight="1">
      <c r="A1577" s="364" t="s">
        <v>64</v>
      </c>
      <c r="B1577" s="364" t="s">
        <v>24</v>
      </c>
      <c r="C1577" s="365" t="s">
        <v>371</v>
      </c>
      <c r="D1577" s="364" t="s">
        <v>372</v>
      </c>
      <c r="E1577" s="366">
        <v>6.0</v>
      </c>
      <c r="F1577" s="367">
        <v>46161.625</v>
      </c>
      <c r="G1577" s="364" t="s">
        <v>1185</v>
      </c>
      <c r="H1577" s="364" t="s">
        <v>1199</v>
      </c>
    </row>
    <row r="1578" ht="15.75" customHeight="1">
      <c r="A1578" s="364" t="s">
        <v>64</v>
      </c>
      <c r="B1578" s="364" t="s">
        <v>24</v>
      </c>
      <c r="C1578" s="365" t="s">
        <v>371</v>
      </c>
      <c r="D1578" s="364" t="s">
        <v>372</v>
      </c>
      <c r="E1578" s="366">
        <v>7.0</v>
      </c>
      <c r="F1578" s="367">
        <v>46168.58333333333</v>
      </c>
      <c r="G1578" s="364" t="s">
        <v>1185</v>
      </c>
      <c r="H1578" s="364" t="s">
        <v>1199</v>
      </c>
    </row>
    <row r="1579" ht="15.75" customHeight="1">
      <c r="A1579" s="364" t="s">
        <v>64</v>
      </c>
      <c r="B1579" s="364" t="s">
        <v>24</v>
      </c>
      <c r="C1579" s="365" t="s">
        <v>371</v>
      </c>
      <c r="D1579" s="364" t="s">
        <v>372</v>
      </c>
      <c r="E1579" s="366">
        <v>8.0</v>
      </c>
      <c r="F1579" s="367">
        <v>46182.58333333333</v>
      </c>
      <c r="G1579" s="364" t="s">
        <v>1185</v>
      </c>
      <c r="H1579" s="364" t="s">
        <v>1199</v>
      </c>
    </row>
    <row r="1580" ht="15.75" customHeight="1">
      <c r="A1580" s="364" t="s">
        <v>64</v>
      </c>
      <c r="B1580" s="364" t="s">
        <v>24</v>
      </c>
      <c r="C1580" s="365" t="s">
        <v>373</v>
      </c>
      <c r="D1580" s="364" t="s">
        <v>374</v>
      </c>
      <c r="E1580" s="366">
        <v>1.0</v>
      </c>
      <c r="F1580" s="367">
        <v>46094.45833333333</v>
      </c>
      <c r="G1580" s="364" t="s">
        <v>1185</v>
      </c>
      <c r="H1580" s="364" t="s">
        <v>1199</v>
      </c>
    </row>
    <row r="1581" ht="15.75" customHeight="1">
      <c r="A1581" s="364" t="s">
        <v>64</v>
      </c>
      <c r="B1581" s="364" t="s">
        <v>24</v>
      </c>
      <c r="C1581" s="365" t="s">
        <v>373</v>
      </c>
      <c r="D1581" s="364" t="s">
        <v>374</v>
      </c>
      <c r="E1581" s="366">
        <v>2.0</v>
      </c>
      <c r="F1581" s="367">
        <v>46108.45833333333</v>
      </c>
      <c r="G1581" s="364" t="s">
        <v>1185</v>
      </c>
      <c r="H1581" s="364" t="s">
        <v>1199</v>
      </c>
    </row>
    <row r="1582" ht="15.75" customHeight="1">
      <c r="A1582" s="364" t="s">
        <v>64</v>
      </c>
      <c r="B1582" s="364" t="s">
        <v>24</v>
      </c>
      <c r="C1582" s="365" t="s">
        <v>373</v>
      </c>
      <c r="D1582" s="364" t="s">
        <v>374</v>
      </c>
      <c r="E1582" s="366">
        <v>3.0</v>
      </c>
      <c r="F1582" s="367">
        <v>46113.45833333333</v>
      </c>
      <c r="G1582" s="364" t="s">
        <v>1185</v>
      </c>
      <c r="H1582" s="364" t="s">
        <v>1199</v>
      </c>
    </row>
    <row r="1583" ht="15.75" customHeight="1">
      <c r="A1583" s="364" t="s">
        <v>64</v>
      </c>
      <c r="B1583" s="364" t="s">
        <v>24</v>
      </c>
      <c r="C1583" s="365" t="s">
        <v>373</v>
      </c>
      <c r="D1583" s="364" t="s">
        <v>374</v>
      </c>
      <c r="E1583" s="366">
        <v>4.0</v>
      </c>
      <c r="F1583" s="367">
        <v>46147.625</v>
      </c>
      <c r="G1583" s="364" t="s">
        <v>1185</v>
      </c>
      <c r="H1583" s="364" t="s">
        <v>1199</v>
      </c>
    </row>
    <row r="1584" ht="15.75" customHeight="1">
      <c r="A1584" s="364" t="s">
        <v>64</v>
      </c>
      <c r="B1584" s="364" t="s">
        <v>24</v>
      </c>
      <c r="C1584" s="365" t="s">
        <v>373</v>
      </c>
      <c r="D1584" s="364" t="s">
        <v>374</v>
      </c>
      <c r="E1584" s="366">
        <v>5.0</v>
      </c>
      <c r="F1584" s="367">
        <v>46154.625</v>
      </c>
      <c r="G1584" s="364" t="s">
        <v>1185</v>
      </c>
      <c r="H1584" s="364" t="s">
        <v>1199</v>
      </c>
    </row>
    <row r="1585" ht="15.75" customHeight="1">
      <c r="A1585" s="364" t="s">
        <v>64</v>
      </c>
      <c r="B1585" s="364" t="s">
        <v>24</v>
      </c>
      <c r="C1585" s="365" t="s">
        <v>373</v>
      </c>
      <c r="D1585" s="364" t="s">
        <v>374</v>
      </c>
      <c r="E1585" s="366">
        <v>6.0</v>
      </c>
      <c r="F1585" s="367">
        <v>46161.625</v>
      </c>
      <c r="G1585" s="364" t="s">
        <v>1187</v>
      </c>
      <c r="H1585" s="364" t="s">
        <v>1199</v>
      </c>
    </row>
    <row r="1586" ht="15.75" customHeight="1">
      <c r="A1586" s="364" t="s">
        <v>64</v>
      </c>
      <c r="B1586" s="364" t="s">
        <v>24</v>
      </c>
      <c r="C1586" s="365" t="s">
        <v>373</v>
      </c>
      <c r="D1586" s="364" t="s">
        <v>374</v>
      </c>
      <c r="E1586" s="366">
        <v>7.0</v>
      </c>
      <c r="F1586" s="367">
        <v>46168.625</v>
      </c>
      <c r="G1586" s="364" t="s">
        <v>1187</v>
      </c>
      <c r="H1586" s="364" t="s">
        <v>1199</v>
      </c>
    </row>
    <row r="1587" ht="15.75" customHeight="1">
      <c r="A1587" s="364" t="s">
        <v>64</v>
      </c>
      <c r="B1587" s="364" t="s">
        <v>24</v>
      </c>
      <c r="C1587" s="365" t="s">
        <v>373</v>
      </c>
      <c r="D1587" s="364" t="s">
        <v>374</v>
      </c>
      <c r="E1587" s="366">
        <v>8.0</v>
      </c>
      <c r="F1587" s="367">
        <v>46182.58333333333</v>
      </c>
      <c r="G1587" s="364" t="s">
        <v>1185</v>
      </c>
      <c r="H1587" s="364" t="s">
        <v>1199</v>
      </c>
    </row>
    <row r="1588" ht="15.75" customHeight="1">
      <c r="A1588" s="364" t="s">
        <v>64</v>
      </c>
      <c r="B1588" s="364" t="s">
        <v>24</v>
      </c>
      <c r="C1588" s="365" t="s">
        <v>376</v>
      </c>
      <c r="D1588" s="364" t="s">
        <v>377</v>
      </c>
      <c r="E1588" s="366">
        <v>1.0</v>
      </c>
      <c r="F1588" s="367">
        <v>46094.45833333333</v>
      </c>
      <c r="G1588" s="364" t="s">
        <v>1185</v>
      </c>
      <c r="H1588" s="364" t="s">
        <v>1199</v>
      </c>
    </row>
    <row r="1589" ht="15.75" customHeight="1">
      <c r="A1589" s="364" t="s">
        <v>64</v>
      </c>
      <c r="B1589" s="364" t="s">
        <v>24</v>
      </c>
      <c r="C1589" s="365" t="s">
        <v>376</v>
      </c>
      <c r="D1589" s="364" t="s">
        <v>377</v>
      </c>
      <c r="E1589" s="366">
        <v>2.0</v>
      </c>
      <c r="F1589" s="367">
        <v>46108.45833333333</v>
      </c>
      <c r="G1589" s="364" t="s">
        <v>1185</v>
      </c>
      <c r="H1589" s="364" t="s">
        <v>1199</v>
      </c>
    </row>
    <row r="1590" ht="15.75" customHeight="1">
      <c r="A1590" s="364" t="s">
        <v>64</v>
      </c>
      <c r="B1590" s="364" t="s">
        <v>24</v>
      </c>
      <c r="C1590" s="365" t="s">
        <v>376</v>
      </c>
      <c r="D1590" s="364" t="s">
        <v>377</v>
      </c>
      <c r="E1590" s="366">
        <v>3.0</v>
      </c>
      <c r="F1590" s="367">
        <v>46113.45833333333</v>
      </c>
      <c r="G1590" s="364" t="s">
        <v>1185</v>
      </c>
      <c r="H1590" s="364" t="s">
        <v>1199</v>
      </c>
    </row>
    <row r="1591" ht="15.75" customHeight="1">
      <c r="A1591" s="364" t="s">
        <v>64</v>
      </c>
      <c r="B1591" s="364" t="s">
        <v>24</v>
      </c>
      <c r="C1591" s="365" t="s">
        <v>376</v>
      </c>
      <c r="D1591" s="364" t="s">
        <v>377</v>
      </c>
      <c r="E1591" s="366">
        <v>4.0</v>
      </c>
      <c r="F1591" s="367">
        <v>46147.625</v>
      </c>
      <c r="G1591" s="364" t="s">
        <v>1185</v>
      </c>
      <c r="H1591" s="364" t="s">
        <v>1199</v>
      </c>
    </row>
    <row r="1592" ht="15.75" customHeight="1">
      <c r="A1592" s="364" t="s">
        <v>64</v>
      </c>
      <c r="B1592" s="364" t="s">
        <v>24</v>
      </c>
      <c r="C1592" s="365" t="s">
        <v>376</v>
      </c>
      <c r="D1592" s="364" t="s">
        <v>377</v>
      </c>
      <c r="E1592" s="366">
        <v>5.0</v>
      </c>
      <c r="F1592" s="367">
        <v>46154.625</v>
      </c>
      <c r="G1592" s="364" t="s">
        <v>1185</v>
      </c>
      <c r="H1592" s="364" t="s">
        <v>1199</v>
      </c>
    </row>
    <row r="1593" ht="15.75" customHeight="1">
      <c r="A1593" s="364" t="s">
        <v>64</v>
      </c>
      <c r="B1593" s="364" t="s">
        <v>24</v>
      </c>
      <c r="C1593" s="365" t="s">
        <v>376</v>
      </c>
      <c r="D1593" s="364" t="s">
        <v>377</v>
      </c>
      <c r="E1593" s="366">
        <v>6.0</v>
      </c>
      <c r="F1593" s="367">
        <v>46161.625</v>
      </c>
      <c r="G1593" s="364" t="s">
        <v>1185</v>
      </c>
      <c r="H1593" s="364" t="s">
        <v>1199</v>
      </c>
    </row>
    <row r="1594" ht="15.75" customHeight="1">
      <c r="A1594" s="364" t="s">
        <v>64</v>
      </c>
      <c r="B1594" s="364" t="s">
        <v>24</v>
      </c>
      <c r="C1594" s="365" t="s">
        <v>376</v>
      </c>
      <c r="D1594" s="364" t="s">
        <v>377</v>
      </c>
      <c r="E1594" s="366">
        <v>7.0</v>
      </c>
      <c r="F1594" s="367">
        <v>46168.58333333333</v>
      </c>
      <c r="G1594" s="364" t="s">
        <v>1185</v>
      </c>
      <c r="H1594" s="364" t="s">
        <v>1199</v>
      </c>
    </row>
    <row r="1595" ht="15.75" customHeight="1">
      <c r="A1595" s="364" t="s">
        <v>64</v>
      </c>
      <c r="B1595" s="364" t="s">
        <v>24</v>
      </c>
      <c r="C1595" s="365" t="s">
        <v>376</v>
      </c>
      <c r="D1595" s="364" t="s">
        <v>377</v>
      </c>
      <c r="E1595" s="366">
        <v>8.0</v>
      </c>
      <c r="F1595" s="367">
        <v>46182.58333333333</v>
      </c>
      <c r="G1595" s="364" t="s">
        <v>1185</v>
      </c>
      <c r="H1595" s="364" t="s">
        <v>1199</v>
      </c>
    </row>
    <row r="1596" ht="15.75" customHeight="1">
      <c r="A1596" s="364" t="s">
        <v>64</v>
      </c>
      <c r="B1596" s="364" t="s">
        <v>24</v>
      </c>
      <c r="C1596" s="365" t="s">
        <v>378</v>
      </c>
      <c r="D1596" s="364" t="s">
        <v>379</v>
      </c>
      <c r="E1596" s="366">
        <v>1.0</v>
      </c>
      <c r="F1596" s="367">
        <v>46094.45833333333</v>
      </c>
      <c r="G1596" s="364" t="s">
        <v>1185</v>
      </c>
      <c r="H1596" s="364" t="s">
        <v>1199</v>
      </c>
    </row>
    <row r="1597" ht="15.75" customHeight="1">
      <c r="A1597" s="364" t="s">
        <v>64</v>
      </c>
      <c r="B1597" s="364" t="s">
        <v>24</v>
      </c>
      <c r="C1597" s="365" t="s">
        <v>378</v>
      </c>
      <c r="D1597" s="364" t="s">
        <v>379</v>
      </c>
      <c r="E1597" s="366">
        <v>2.0</v>
      </c>
      <c r="F1597" s="367">
        <v>46108.45833333333</v>
      </c>
      <c r="G1597" s="364" t="s">
        <v>1185</v>
      </c>
      <c r="H1597" s="364" t="s">
        <v>1199</v>
      </c>
    </row>
    <row r="1598" ht="15.75" customHeight="1">
      <c r="A1598" s="364" t="s">
        <v>64</v>
      </c>
      <c r="B1598" s="364" t="s">
        <v>24</v>
      </c>
      <c r="C1598" s="365" t="s">
        <v>378</v>
      </c>
      <c r="D1598" s="364" t="s">
        <v>379</v>
      </c>
      <c r="E1598" s="366">
        <v>3.0</v>
      </c>
      <c r="F1598" s="367">
        <v>46113.45833333333</v>
      </c>
      <c r="G1598" s="364" t="s">
        <v>1185</v>
      </c>
      <c r="H1598" s="364" t="s">
        <v>1199</v>
      </c>
    </row>
    <row r="1599" ht="15.75" customHeight="1">
      <c r="A1599" s="364" t="s">
        <v>64</v>
      </c>
      <c r="B1599" s="364" t="s">
        <v>24</v>
      </c>
      <c r="C1599" s="365" t="s">
        <v>378</v>
      </c>
      <c r="D1599" s="364" t="s">
        <v>379</v>
      </c>
      <c r="E1599" s="366">
        <v>4.0</v>
      </c>
      <c r="F1599" s="367">
        <v>46147.625</v>
      </c>
      <c r="G1599" s="364" t="s">
        <v>1185</v>
      </c>
      <c r="H1599" s="364" t="s">
        <v>1199</v>
      </c>
    </row>
    <row r="1600" ht="15.75" customHeight="1">
      <c r="A1600" s="364" t="s">
        <v>64</v>
      </c>
      <c r="B1600" s="364" t="s">
        <v>24</v>
      </c>
      <c r="C1600" s="365" t="s">
        <v>378</v>
      </c>
      <c r="D1600" s="364" t="s">
        <v>379</v>
      </c>
      <c r="E1600" s="366">
        <v>5.0</v>
      </c>
      <c r="F1600" s="367">
        <v>46154.625</v>
      </c>
      <c r="G1600" s="364" t="s">
        <v>1187</v>
      </c>
      <c r="H1600" s="364" t="s">
        <v>1199</v>
      </c>
    </row>
    <row r="1601" ht="15.75" customHeight="1">
      <c r="A1601" s="364" t="s">
        <v>64</v>
      </c>
      <c r="B1601" s="364" t="s">
        <v>24</v>
      </c>
      <c r="C1601" s="365" t="s">
        <v>378</v>
      </c>
      <c r="D1601" s="364" t="s">
        <v>379</v>
      </c>
      <c r="E1601" s="366">
        <v>6.0</v>
      </c>
      <c r="F1601" s="367">
        <v>46161.625</v>
      </c>
      <c r="G1601" s="364" t="s">
        <v>1185</v>
      </c>
      <c r="H1601" s="364" t="s">
        <v>1199</v>
      </c>
    </row>
    <row r="1602" ht="15.75" customHeight="1">
      <c r="A1602" s="364" t="s">
        <v>64</v>
      </c>
      <c r="B1602" s="364" t="s">
        <v>24</v>
      </c>
      <c r="C1602" s="365" t="s">
        <v>378</v>
      </c>
      <c r="D1602" s="364" t="s">
        <v>379</v>
      </c>
      <c r="E1602" s="366">
        <v>7.0</v>
      </c>
      <c r="F1602" s="367">
        <v>46168.58333333333</v>
      </c>
      <c r="G1602" s="364" t="s">
        <v>1185</v>
      </c>
      <c r="H1602" s="364" t="s">
        <v>1199</v>
      </c>
    </row>
    <row r="1603" ht="15.75" customHeight="1">
      <c r="A1603" s="364" t="s">
        <v>64</v>
      </c>
      <c r="B1603" s="364" t="s">
        <v>24</v>
      </c>
      <c r="C1603" s="365" t="s">
        <v>378</v>
      </c>
      <c r="D1603" s="364" t="s">
        <v>379</v>
      </c>
      <c r="E1603" s="366">
        <v>8.0</v>
      </c>
      <c r="F1603" s="367">
        <v>46182.58333333333</v>
      </c>
      <c r="G1603" s="364" t="s">
        <v>1185</v>
      </c>
      <c r="H1603" s="364" t="s">
        <v>1199</v>
      </c>
    </row>
    <row r="1604" ht="15.75" customHeight="1">
      <c r="A1604" s="364" t="s">
        <v>64</v>
      </c>
      <c r="B1604" s="364" t="s">
        <v>24</v>
      </c>
      <c r="C1604" s="365" t="s">
        <v>378</v>
      </c>
      <c r="D1604" s="364" t="s">
        <v>379</v>
      </c>
      <c r="E1604" s="366">
        <v>10.0</v>
      </c>
      <c r="F1604" s="367">
        <v>46211.54166666667</v>
      </c>
      <c r="G1604" s="364" t="s">
        <v>1185</v>
      </c>
      <c r="H1604" s="364" t="s">
        <v>1199</v>
      </c>
    </row>
    <row r="1605" ht="15.75" customHeight="1">
      <c r="A1605" s="364" t="s">
        <v>65</v>
      </c>
      <c r="B1605" s="364" t="s">
        <v>22</v>
      </c>
      <c r="C1605" s="365" t="s">
        <v>639</v>
      </c>
      <c r="D1605" s="364" t="s">
        <v>640</v>
      </c>
      <c r="E1605" s="366">
        <v>1.0</v>
      </c>
      <c r="F1605" s="367">
        <v>45637.375</v>
      </c>
      <c r="G1605" s="364" t="s">
        <v>1185</v>
      </c>
      <c r="H1605" s="364" t="s">
        <v>1179</v>
      </c>
    </row>
    <row r="1606" ht="15.75" customHeight="1">
      <c r="A1606" s="364" t="s">
        <v>65</v>
      </c>
      <c r="B1606" s="364" t="s">
        <v>22</v>
      </c>
      <c r="C1606" s="365" t="s">
        <v>639</v>
      </c>
      <c r="D1606" s="364" t="s">
        <v>640</v>
      </c>
      <c r="E1606" s="366">
        <v>2.0</v>
      </c>
      <c r="F1606" s="367">
        <v>45660.375</v>
      </c>
      <c r="G1606" s="364" t="s">
        <v>1185</v>
      </c>
      <c r="H1606" s="364" t="s">
        <v>1179</v>
      </c>
    </row>
    <row r="1607" ht="15.75" customHeight="1">
      <c r="A1607" s="364" t="s">
        <v>65</v>
      </c>
      <c r="B1607" s="364" t="s">
        <v>22</v>
      </c>
      <c r="C1607" s="365" t="s">
        <v>639</v>
      </c>
      <c r="D1607" s="364" t="s">
        <v>640</v>
      </c>
      <c r="E1607" s="366">
        <v>3.0</v>
      </c>
      <c r="F1607" s="367">
        <v>45664.41666666667</v>
      </c>
      <c r="G1607" s="364" t="s">
        <v>1185</v>
      </c>
      <c r="H1607" s="364" t="s">
        <v>1179</v>
      </c>
    </row>
    <row r="1608" ht="15.75" customHeight="1">
      <c r="A1608" s="364" t="s">
        <v>65</v>
      </c>
      <c r="B1608" s="364" t="s">
        <v>22</v>
      </c>
      <c r="C1608" s="365" t="s">
        <v>639</v>
      </c>
      <c r="D1608" s="364" t="s">
        <v>640</v>
      </c>
      <c r="E1608" s="366">
        <v>4.0</v>
      </c>
      <c r="F1608" s="367">
        <v>45671.45833333333</v>
      </c>
      <c r="G1608" s="364" t="s">
        <v>1185</v>
      </c>
      <c r="H1608" s="364" t="s">
        <v>1179</v>
      </c>
    </row>
    <row r="1609" ht="15.75" customHeight="1">
      <c r="A1609" s="364" t="s">
        <v>65</v>
      </c>
      <c r="B1609" s="364" t="s">
        <v>22</v>
      </c>
      <c r="C1609" s="365" t="s">
        <v>639</v>
      </c>
      <c r="D1609" s="364" t="s">
        <v>640</v>
      </c>
      <c r="E1609" s="366">
        <v>5.0</v>
      </c>
      <c r="F1609" s="367">
        <v>45678.45833333333</v>
      </c>
      <c r="G1609" s="364" t="s">
        <v>1185</v>
      </c>
      <c r="H1609" s="364" t="s">
        <v>1179</v>
      </c>
    </row>
    <row r="1610" ht="15.75" customHeight="1">
      <c r="A1610" s="364" t="s">
        <v>65</v>
      </c>
      <c r="B1610" s="364" t="s">
        <v>22</v>
      </c>
      <c r="C1610" s="365" t="s">
        <v>639</v>
      </c>
      <c r="D1610" s="364" t="s">
        <v>640</v>
      </c>
      <c r="E1610" s="366">
        <v>6.0</v>
      </c>
      <c r="F1610" s="367">
        <v>45692.41666666667</v>
      </c>
      <c r="G1610" s="364" t="s">
        <v>1185</v>
      </c>
      <c r="H1610" s="364" t="s">
        <v>1179</v>
      </c>
    </row>
    <row r="1611" ht="15.75" customHeight="1">
      <c r="A1611" s="364" t="s">
        <v>65</v>
      </c>
      <c r="B1611" s="364" t="s">
        <v>22</v>
      </c>
      <c r="C1611" s="365" t="s">
        <v>639</v>
      </c>
      <c r="D1611" s="364" t="s">
        <v>640</v>
      </c>
      <c r="E1611" s="366">
        <v>7.0</v>
      </c>
      <c r="F1611" s="367">
        <v>45699.45833333333</v>
      </c>
      <c r="G1611" s="364" t="s">
        <v>1185</v>
      </c>
      <c r="H1611" s="364" t="s">
        <v>1179</v>
      </c>
    </row>
    <row r="1612" ht="15.75" customHeight="1">
      <c r="A1612" s="364" t="s">
        <v>65</v>
      </c>
      <c r="B1612" s="364" t="s">
        <v>22</v>
      </c>
      <c r="C1612" s="365" t="s">
        <v>639</v>
      </c>
      <c r="D1612" s="364" t="s">
        <v>640</v>
      </c>
      <c r="E1612" s="366">
        <v>8.0</v>
      </c>
      <c r="F1612" s="367">
        <v>45706.41666666667</v>
      </c>
      <c r="G1612" s="364" t="s">
        <v>1185</v>
      </c>
      <c r="H1612" s="364" t="s">
        <v>1179</v>
      </c>
    </row>
    <row r="1613" ht="15.75" customHeight="1">
      <c r="A1613" s="364" t="s">
        <v>65</v>
      </c>
      <c r="B1613" s="364" t="s">
        <v>22</v>
      </c>
      <c r="C1613" s="365" t="s">
        <v>639</v>
      </c>
      <c r="D1613" s="364" t="s">
        <v>640</v>
      </c>
      <c r="E1613" s="366">
        <v>9.0</v>
      </c>
      <c r="F1613" s="367">
        <v>45706.54166666667</v>
      </c>
      <c r="G1613" s="364" t="s">
        <v>1185</v>
      </c>
      <c r="H1613" s="364" t="s">
        <v>1179</v>
      </c>
    </row>
    <row r="1614" ht="15.75" customHeight="1">
      <c r="A1614" s="364" t="s">
        <v>65</v>
      </c>
      <c r="B1614" s="364" t="s">
        <v>22</v>
      </c>
      <c r="C1614" s="365" t="s">
        <v>639</v>
      </c>
      <c r="D1614" s="364" t="s">
        <v>640</v>
      </c>
      <c r="E1614" s="366">
        <v>10.0</v>
      </c>
      <c r="F1614" s="367">
        <v>45801.41666666667</v>
      </c>
      <c r="G1614" s="364" t="s">
        <v>1185</v>
      </c>
      <c r="H1614" s="364" t="s">
        <v>1179</v>
      </c>
    </row>
    <row r="1615" ht="15.75" customHeight="1">
      <c r="A1615" s="364" t="s">
        <v>65</v>
      </c>
      <c r="B1615" s="364" t="s">
        <v>22</v>
      </c>
      <c r="C1615" s="365" t="s">
        <v>641</v>
      </c>
      <c r="D1615" s="364" t="s">
        <v>642</v>
      </c>
      <c r="E1615" s="366">
        <v>1.0</v>
      </c>
      <c r="F1615" s="367">
        <v>45635.4375</v>
      </c>
      <c r="G1615" s="364" t="s">
        <v>1185</v>
      </c>
      <c r="H1615" s="364" t="s">
        <v>1179</v>
      </c>
    </row>
    <row r="1616" ht="15.75" customHeight="1">
      <c r="A1616" s="364" t="s">
        <v>65</v>
      </c>
      <c r="B1616" s="364" t="s">
        <v>22</v>
      </c>
      <c r="C1616" s="365" t="s">
        <v>641</v>
      </c>
      <c r="D1616" s="364" t="s">
        <v>642</v>
      </c>
      <c r="E1616" s="366">
        <v>2.0</v>
      </c>
      <c r="F1616" s="367">
        <v>45660.375</v>
      </c>
      <c r="G1616" s="364" t="s">
        <v>1185</v>
      </c>
      <c r="H1616" s="364" t="s">
        <v>1179</v>
      </c>
    </row>
    <row r="1617" ht="15.75" customHeight="1">
      <c r="A1617" s="364" t="s">
        <v>65</v>
      </c>
      <c r="B1617" s="364" t="s">
        <v>22</v>
      </c>
      <c r="C1617" s="365" t="s">
        <v>641</v>
      </c>
      <c r="D1617" s="364" t="s">
        <v>642</v>
      </c>
      <c r="E1617" s="366">
        <v>3.0</v>
      </c>
      <c r="F1617" s="367">
        <v>45664.41666666667</v>
      </c>
      <c r="G1617" s="364" t="s">
        <v>1185</v>
      </c>
      <c r="H1617" s="364" t="s">
        <v>1179</v>
      </c>
    </row>
    <row r="1618" ht="15.75" customHeight="1">
      <c r="A1618" s="364" t="s">
        <v>65</v>
      </c>
      <c r="B1618" s="364" t="s">
        <v>22</v>
      </c>
      <c r="C1618" s="365" t="s">
        <v>641</v>
      </c>
      <c r="D1618" s="364" t="s">
        <v>642</v>
      </c>
      <c r="E1618" s="366">
        <v>4.0</v>
      </c>
      <c r="F1618" s="367">
        <v>45671.45833333333</v>
      </c>
      <c r="G1618" s="364" t="s">
        <v>1185</v>
      </c>
      <c r="H1618" s="364" t="s">
        <v>1179</v>
      </c>
    </row>
    <row r="1619" ht="15.75" customHeight="1">
      <c r="A1619" s="364" t="s">
        <v>65</v>
      </c>
      <c r="B1619" s="364" t="s">
        <v>22</v>
      </c>
      <c r="C1619" s="365" t="s">
        <v>641</v>
      </c>
      <c r="D1619" s="364" t="s">
        <v>642</v>
      </c>
      <c r="E1619" s="366">
        <v>5.0</v>
      </c>
      <c r="F1619" s="367">
        <v>45678.45833333333</v>
      </c>
      <c r="G1619" s="364" t="s">
        <v>1185</v>
      </c>
      <c r="H1619" s="364" t="s">
        <v>1179</v>
      </c>
    </row>
    <row r="1620" ht="15.75" customHeight="1">
      <c r="A1620" s="364" t="s">
        <v>65</v>
      </c>
      <c r="B1620" s="364" t="s">
        <v>22</v>
      </c>
      <c r="C1620" s="365" t="s">
        <v>641</v>
      </c>
      <c r="D1620" s="364" t="s">
        <v>642</v>
      </c>
      <c r="E1620" s="366">
        <v>6.0</v>
      </c>
      <c r="F1620" s="367">
        <v>45692.41666666667</v>
      </c>
      <c r="G1620" s="364" t="s">
        <v>1185</v>
      </c>
      <c r="H1620" s="364" t="s">
        <v>1179</v>
      </c>
    </row>
    <row r="1621" ht="15.75" customHeight="1">
      <c r="A1621" s="364" t="s">
        <v>65</v>
      </c>
      <c r="B1621" s="364" t="s">
        <v>22</v>
      </c>
      <c r="C1621" s="365" t="s">
        <v>641</v>
      </c>
      <c r="D1621" s="364" t="s">
        <v>642</v>
      </c>
      <c r="E1621" s="366">
        <v>7.0</v>
      </c>
      <c r="F1621" s="367">
        <v>45699.375</v>
      </c>
      <c r="G1621" s="364" t="s">
        <v>1185</v>
      </c>
      <c r="H1621" s="364" t="s">
        <v>1179</v>
      </c>
    </row>
    <row r="1622" ht="15.75" customHeight="1">
      <c r="A1622" s="364" t="s">
        <v>65</v>
      </c>
      <c r="B1622" s="364" t="s">
        <v>22</v>
      </c>
      <c r="C1622" s="365" t="s">
        <v>641</v>
      </c>
      <c r="D1622" s="364" t="s">
        <v>642</v>
      </c>
      <c r="E1622" s="366">
        <v>8.0</v>
      </c>
      <c r="F1622" s="367">
        <v>45706.41666666667</v>
      </c>
      <c r="G1622" s="364" t="s">
        <v>1185</v>
      </c>
      <c r="H1622" s="364" t="s">
        <v>1179</v>
      </c>
    </row>
    <row r="1623" ht="15.75" customHeight="1">
      <c r="A1623" s="364" t="s">
        <v>65</v>
      </c>
      <c r="B1623" s="364" t="s">
        <v>22</v>
      </c>
      <c r="C1623" s="365" t="s">
        <v>641</v>
      </c>
      <c r="D1623" s="364" t="s">
        <v>642</v>
      </c>
      <c r="E1623" s="366">
        <v>9.0</v>
      </c>
      <c r="F1623" s="367">
        <v>45713.41666666667</v>
      </c>
      <c r="G1623" s="364" t="s">
        <v>1185</v>
      </c>
      <c r="H1623" s="364" t="s">
        <v>1179</v>
      </c>
    </row>
    <row r="1624" ht="15.75" customHeight="1">
      <c r="A1624" s="364" t="s">
        <v>65</v>
      </c>
      <c r="B1624" s="364" t="s">
        <v>22</v>
      </c>
      <c r="C1624" s="365" t="s">
        <v>641</v>
      </c>
      <c r="D1624" s="364" t="s">
        <v>642</v>
      </c>
      <c r="E1624" s="366">
        <v>10.0</v>
      </c>
      <c r="F1624" s="367">
        <v>45801.41666666667</v>
      </c>
      <c r="G1624" s="364" t="s">
        <v>1185</v>
      </c>
      <c r="H1624" s="364" t="s">
        <v>1179</v>
      </c>
    </row>
    <row r="1625" ht="15.75" customHeight="1">
      <c r="A1625" s="364" t="s">
        <v>65</v>
      </c>
      <c r="B1625" s="364" t="s">
        <v>22</v>
      </c>
      <c r="C1625" s="365" t="s">
        <v>437</v>
      </c>
      <c r="D1625" s="364" t="s">
        <v>438</v>
      </c>
      <c r="E1625" s="366">
        <v>1.0</v>
      </c>
      <c r="F1625" s="367">
        <v>45635.4375</v>
      </c>
      <c r="G1625" s="364" t="s">
        <v>1185</v>
      </c>
      <c r="H1625" s="364" t="s">
        <v>1179</v>
      </c>
    </row>
    <row r="1626" ht="15.75" customHeight="1">
      <c r="A1626" s="364" t="s">
        <v>65</v>
      </c>
      <c r="B1626" s="364" t="s">
        <v>22</v>
      </c>
      <c r="C1626" s="365" t="s">
        <v>437</v>
      </c>
      <c r="D1626" s="364" t="s">
        <v>438</v>
      </c>
      <c r="E1626" s="366">
        <v>2.0</v>
      </c>
      <c r="F1626" s="367">
        <v>45660.375</v>
      </c>
      <c r="G1626" s="364" t="s">
        <v>1185</v>
      </c>
      <c r="H1626" s="364" t="s">
        <v>1179</v>
      </c>
    </row>
    <row r="1627" ht="15.75" customHeight="1">
      <c r="A1627" s="364" t="s">
        <v>65</v>
      </c>
      <c r="B1627" s="364" t="s">
        <v>22</v>
      </c>
      <c r="C1627" s="365" t="s">
        <v>437</v>
      </c>
      <c r="D1627" s="364" t="s">
        <v>438</v>
      </c>
      <c r="E1627" s="366">
        <v>3.0</v>
      </c>
      <c r="F1627" s="367">
        <v>45664.41666666667</v>
      </c>
      <c r="G1627" s="364" t="s">
        <v>1185</v>
      </c>
      <c r="H1627" s="364" t="s">
        <v>1179</v>
      </c>
    </row>
    <row r="1628" ht="15.75" customHeight="1">
      <c r="A1628" s="364" t="s">
        <v>65</v>
      </c>
      <c r="B1628" s="364" t="s">
        <v>22</v>
      </c>
      <c r="C1628" s="365" t="s">
        <v>437</v>
      </c>
      <c r="D1628" s="364" t="s">
        <v>438</v>
      </c>
      <c r="E1628" s="366">
        <v>4.0</v>
      </c>
      <c r="F1628" s="367">
        <v>45671.45833333333</v>
      </c>
      <c r="G1628" s="364" t="s">
        <v>1187</v>
      </c>
      <c r="H1628" s="364" t="s">
        <v>1179</v>
      </c>
    </row>
    <row r="1629" ht="15.75" customHeight="1">
      <c r="A1629" s="364" t="s">
        <v>65</v>
      </c>
      <c r="B1629" s="364" t="s">
        <v>22</v>
      </c>
      <c r="C1629" s="365" t="s">
        <v>437</v>
      </c>
      <c r="D1629" s="364" t="s">
        <v>438</v>
      </c>
      <c r="E1629" s="366">
        <v>5.0</v>
      </c>
      <c r="F1629" s="367">
        <v>45678.45833333333</v>
      </c>
      <c r="G1629" s="364" t="s">
        <v>1185</v>
      </c>
      <c r="H1629" s="364" t="s">
        <v>1179</v>
      </c>
    </row>
    <row r="1630" ht="15.75" customHeight="1">
      <c r="A1630" s="364" t="s">
        <v>65</v>
      </c>
      <c r="B1630" s="364" t="s">
        <v>22</v>
      </c>
      <c r="C1630" s="365" t="s">
        <v>437</v>
      </c>
      <c r="D1630" s="364" t="s">
        <v>438</v>
      </c>
      <c r="E1630" s="366">
        <v>6.0</v>
      </c>
      <c r="F1630" s="367">
        <v>45699.375</v>
      </c>
      <c r="G1630" s="364" t="s">
        <v>1185</v>
      </c>
      <c r="H1630" s="364" t="s">
        <v>1179</v>
      </c>
    </row>
    <row r="1631" ht="15.75" customHeight="1">
      <c r="A1631" s="364" t="s">
        <v>65</v>
      </c>
      <c r="B1631" s="364" t="s">
        <v>22</v>
      </c>
      <c r="C1631" s="365" t="s">
        <v>437</v>
      </c>
      <c r="D1631" s="364" t="s">
        <v>438</v>
      </c>
      <c r="E1631" s="366">
        <v>7.0</v>
      </c>
      <c r="F1631" s="367">
        <v>45699.45833333333</v>
      </c>
      <c r="G1631" s="364" t="s">
        <v>1187</v>
      </c>
      <c r="H1631" s="364" t="s">
        <v>1179</v>
      </c>
    </row>
    <row r="1632" ht="15.75" customHeight="1">
      <c r="A1632" s="364" t="s">
        <v>65</v>
      </c>
      <c r="B1632" s="364" t="s">
        <v>22</v>
      </c>
      <c r="C1632" s="365" t="s">
        <v>437</v>
      </c>
      <c r="D1632" s="364" t="s">
        <v>438</v>
      </c>
      <c r="E1632" s="366">
        <v>8.0</v>
      </c>
      <c r="F1632" s="367">
        <v>45706.41666666667</v>
      </c>
      <c r="G1632" s="364" t="s">
        <v>1185</v>
      </c>
      <c r="H1632" s="364" t="s">
        <v>1179</v>
      </c>
    </row>
    <row r="1633" ht="15.75" customHeight="1">
      <c r="A1633" s="364" t="s">
        <v>65</v>
      </c>
      <c r="B1633" s="364" t="s">
        <v>22</v>
      </c>
      <c r="C1633" s="365" t="s">
        <v>437</v>
      </c>
      <c r="D1633" s="364" t="s">
        <v>438</v>
      </c>
      <c r="E1633" s="366">
        <v>9.0</v>
      </c>
      <c r="F1633" s="367">
        <v>45713.41666666667</v>
      </c>
      <c r="G1633" s="364" t="s">
        <v>1185</v>
      </c>
      <c r="H1633" s="364" t="s">
        <v>1179</v>
      </c>
    </row>
    <row r="1634" ht="15.75" customHeight="1">
      <c r="A1634" s="364" t="s">
        <v>65</v>
      </c>
      <c r="B1634" s="364" t="s">
        <v>22</v>
      </c>
      <c r="C1634" s="365" t="s">
        <v>437</v>
      </c>
      <c r="D1634" s="364" t="s">
        <v>438</v>
      </c>
      <c r="E1634" s="366">
        <v>10.0</v>
      </c>
      <c r="F1634" s="367">
        <v>45801.41666666667</v>
      </c>
      <c r="G1634" s="364" t="s">
        <v>1185</v>
      </c>
      <c r="H1634" s="364" t="s">
        <v>1179</v>
      </c>
    </row>
    <row r="1635" ht="15.75" customHeight="1">
      <c r="A1635" s="364" t="s">
        <v>65</v>
      </c>
      <c r="B1635" s="364" t="s">
        <v>22</v>
      </c>
      <c r="C1635" s="365" t="s">
        <v>643</v>
      </c>
      <c r="D1635" s="364" t="s">
        <v>644</v>
      </c>
      <c r="E1635" s="366">
        <v>1.0</v>
      </c>
      <c r="F1635" s="367">
        <v>45635.4375</v>
      </c>
      <c r="G1635" s="364" t="s">
        <v>1185</v>
      </c>
      <c r="H1635" s="364" t="s">
        <v>1179</v>
      </c>
    </row>
    <row r="1636" ht="15.75" customHeight="1">
      <c r="A1636" s="364" t="s">
        <v>65</v>
      </c>
      <c r="B1636" s="364" t="s">
        <v>22</v>
      </c>
      <c r="C1636" s="365" t="s">
        <v>643</v>
      </c>
      <c r="D1636" s="364" t="s">
        <v>644</v>
      </c>
      <c r="E1636" s="366">
        <v>2.0</v>
      </c>
      <c r="F1636" s="367">
        <v>45660.375</v>
      </c>
      <c r="G1636" s="364" t="s">
        <v>1185</v>
      </c>
      <c r="H1636" s="364" t="s">
        <v>1179</v>
      </c>
    </row>
    <row r="1637" ht="15.75" customHeight="1">
      <c r="A1637" s="364" t="s">
        <v>65</v>
      </c>
      <c r="B1637" s="364" t="s">
        <v>22</v>
      </c>
      <c r="C1637" s="365" t="s">
        <v>643</v>
      </c>
      <c r="D1637" s="364" t="s">
        <v>644</v>
      </c>
      <c r="E1637" s="366">
        <v>3.0</v>
      </c>
      <c r="F1637" s="367">
        <v>45664.41666666667</v>
      </c>
      <c r="G1637" s="364" t="s">
        <v>1185</v>
      </c>
      <c r="H1637" s="364" t="s">
        <v>1179</v>
      </c>
    </row>
    <row r="1638" ht="15.75" customHeight="1">
      <c r="A1638" s="364" t="s">
        <v>65</v>
      </c>
      <c r="B1638" s="364" t="s">
        <v>22</v>
      </c>
      <c r="C1638" s="365" t="s">
        <v>643</v>
      </c>
      <c r="D1638" s="364" t="s">
        <v>644</v>
      </c>
      <c r="E1638" s="366">
        <v>4.0</v>
      </c>
      <c r="F1638" s="367">
        <v>45671.45833333333</v>
      </c>
      <c r="G1638" s="364" t="s">
        <v>1185</v>
      </c>
      <c r="H1638" s="364" t="s">
        <v>1179</v>
      </c>
    </row>
    <row r="1639" ht="15.75" customHeight="1">
      <c r="A1639" s="364" t="s">
        <v>65</v>
      </c>
      <c r="B1639" s="364" t="s">
        <v>22</v>
      </c>
      <c r="C1639" s="365" t="s">
        <v>643</v>
      </c>
      <c r="D1639" s="364" t="s">
        <v>644</v>
      </c>
      <c r="E1639" s="366">
        <v>5.0</v>
      </c>
      <c r="F1639" s="367">
        <v>45678.45833333333</v>
      </c>
      <c r="G1639" s="364" t="s">
        <v>1185</v>
      </c>
      <c r="H1639" s="364" t="s">
        <v>1179</v>
      </c>
    </row>
    <row r="1640" ht="15.75" customHeight="1">
      <c r="A1640" s="364" t="s">
        <v>65</v>
      </c>
      <c r="B1640" s="364" t="s">
        <v>22</v>
      </c>
      <c r="C1640" s="365" t="s">
        <v>643</v>
      </c>
      <c r="D1640" s="364" t="s">
        <v>644</v>
      </c>
      <c r="E1640" s="366">
        <v>6.0</v>
      </c>
      <c r="F1640" s="367">
        <v>45692.41666666667</v>
      </c>
      <c r="G1640" s="364" t="s">
        <v>1185</v>
      </c>
      <c r="H1640" s="364" t="s">
        <v>1179</v>
      </c>
    </row>
    <row r="1641" ht="15.75" customHeight="1">
      <c r="A1641" s="364" t="s">
        <v>65</v>
      </c>
      <c r="B1641" s="364" t="s">
        <v>22</v>
      </c>
      <c r="C1641" s="365" t="s">
        <v>643</v>
      </c>
      <c r="D1641" s="364" t="s">
        <v>644</v>
      </c>
      <c r="E1641" s="366">
        <v>7.0</v>
      </c>
      <c r="F1641" s="367">
        <v>45699.375</v>
      </c>
      <c r="G1641" s="364" t="s">
        <v>1185</v>
      </c>
      <c r="H1641" s="364" t="s">
        <v>1179</v>
      </c>
    </row>
    <row r="1642" ht="15.75" customHeight="1">
      <c r="A1642" s="364" t="s">
        <v>65</v>
      </c>
      <c r="B1642" s="364" t="s">
        <v>22</v>
      </c>
      <c r="C1642" s="365" t="s">
        <v>643</v>
      </c>
      <c r="D1642" s="364" t="s">
        <v>644</v>
      </c>
      <c r="E1642" s="366">
        <v>8.0</v>
      </c>
      <c r="F1642" s="367">
        <v>45706.41666666667</v>
      </c>
      <c r="G1642" s="364" t="s">
        <v>1185</v>
      </c>
      <c r="H1642" s="364" t="s">
        <v>1179</v>
      </c>
    </row>
    <row r="1643" ht="15.75" customHeight="1">
      <c r="A1643" s="364" t="s">
        <v>65</v>
      </c>
      <c r="B1643" s="364" t="s">
        <v>22</v>
      </c>
      <c r="C1643" s="365" t="s">
        <v>643</v>
      </c>
      <c r="D1643" s="364" t="s">
        <v>644</v>
      </c>
      <c r="E1643" s="366">
        <v>9.0</v>
      </c>
      <c r="F1643" s="367">
        <v>45713.41666666667</v>
      </c>
      <c r="G1643" s="364" t="s">
        <v>1185</v>
      </c>
      <c r="H1643" s="364" t="s">
        <v>1179</v>
      </c>
    </row>
    <row r="1644" ht="15.75" customHeight="1">
      <c r="A1644" s="364" t="s">
        <v>65</v>
      </c>
      <c r="B1644" s="364" t="s">
        <v>22</v>
      </c>
      <c r="C1644" s="365" t="s">
        <v>643</v>
      </c>
      <c r="D1644" s="364" t="s">
        <v>644</v>
      </c>
      <c r="E1644" s="366">
        <v>10.0</v>
      </c>
      <c r="F1644" s="367">
        <v>45801.41666666667</v>
      </c>
      <c r="G1644" s="364" t="s">
        <v>1185</v>
      </c>
      <c r="H1644" s="364" t="s">
        <v>1179</v>
      </c>
    </row>
    <row r="1645" ht="15.75" customHeight="1">
      <c r="A1645" s="364" t="s">
        <v>65</v>
      </c>
      <c r="B1645" s="364" t="s">
        <v>22</v>
      </c>
      <c r="C1645" s="365" t="s">
        <v>645</v>
      </c>
      <c r="D1645" s="364" t="s">
        <v>646</v>
      </c>
      <c r="E1645" s="366">
        <v>1.0</v>
      </c>
      <c r="F1645" s="367">
        <v>45635.4375</v>
      </c>
      <c r="G1645" s="364" t="s">
        <v>1185</v>
      </c>
      <c r="H1645" s="364" t="s">
        <v>1179</v>
      </c>
    </row>
    <row r="1646" ht="15.75" customHeight="1">
      <c r="A1646" s="364" t="s">
        <v>65</v>
      </c>
      <c r="B1646" s="364" t="s">
        <v>22</v>
      </c>
      <c r="C1646" s="365" t="s">
        <v>645</v>
      </c>
      <c r="D1646" s="364" t="s">
        <v>646</v>
      </c>
      <c r="E1646" s="366">
        <v>2.0</v>
      </c>
      <c r="F1646" s="367">
        <v>45660.375</v>
      </c>
      <c r="G1646" s="364" t="s">
        <v>1185</v>
      </c>
      <c r="H1646" s="364" t="s">
        <v>1179</v>
      </c>
    </row>
    <row r="1647" ht="15.75" customHeight="1">
      <c r="A1647" s="364" t="s">
        <v>65</v>
      </c>
      <c r="B1647" s="364" t="s">
        <v>22</v>
      </c>
      <c r="C1647" s="365" t="s">
        <v>645</v>
      </c>
      <c r="D1647" s="364" t="s">
        <v>646</v>
      </c>
      <c r="E1647" s="366">
        <v>3.0</v>
      </c>
      <c r="F1647" s="367">
        <v>45664.41666666667</v>
      </c>
      <c r="G1647" s="364" t="s">
        <v>1185</v>
      </c>
      <c r="H1647" s="364" t="s">
        <v>1179</v>
      </c>
    </row>
    <row r="1648" ht="15.75" customHeight="1">
      <c r="A1648" s="364" t="s">
        <v>65</v>
      </c>
      <c r="B1648" s="364" t="s">
        <v>22</v>
      </c>
      <c r="C1648" s="365" t="s">
        <v>645</v>
      </c>
      <c r="D1648" s="364" t="s">
        <v>646</v>
      </c>
      <c r="E1648" s="366">
        <v>4.0</v>
      </c>
      <c r="F1648" s="367">
        <v>45671.45833333333</v>
      </c>
      <c r="G1648" s="364" t="s">
        <v>1185</v>
      </c>
      <c r="H1648" s="364" t="s">
        <v>1179</v>
      </c>
    </row>
    <row r="1649" ht="15.75" customHeight="1">
      <c r="A1649" s="364" t="s">
        <v>65</v>
      </c>
      <c r="B1649" s="364" t="s">
        <v>22</v>
      </c>
      <c r="C1649" s="365" t="s">
        <v>645</v>
      </c>
      <c r="D1649" s="364" t="s">
        <v>646</v>
      </c>
      <c r="E1649" s="366">
        <v>5.0</v>
      </c>
      <c r="F1649" s="367">
        <v>45678.45833333333</v>
      </c>
      <c r="G1649" s="364" t="s">
        <v>1185</v>
      </c>
      <c r="H1649" s="364" t="s">
        <v>1179</v>
      </c>
    </row>
    <row r="1650" ht="15.75" customHeight="1">
      <c r="A1650" s="364" t="s">
        <v>65</v>
      </c>
      <c r="B1650" s="364" t="s">
        <v>22</v>
      </c>
      <c r="C1650" s="365" t="s">
        <v>645</v>
      </c>
      <c r="D1650" s="364" t="s">
        <v>646</v>
      </c>
      <c r="E1650" s="366">
        <v>6.0</v>
      </c>
      <c r="F1650" s="367">
        <v>45692.41666666667</v>
      </c>
      <c r="G1650" s="364" t="s">
        <v>1185</v>
      </c>
      <c r="H1650" s="364" t="s">
        <v>1179</v>
      </c>
    </row>
    <row r="1651" ht="15.75" customHeight="1">
      <c r="A1651" s="364" t="s">
        <v>65</v>
      </c>
      <c r="B1651" s="364" t="s">
        <v>22</v>
      </c>
      <c r="C1651" s="365" t="s">
        <v>645</v>
      </c>
      <c r="D1651" s="364" t="s">
        <v>646</v>
      </c>
      <c r="E1651" s="366">
        <v>7.0</v>
      </c>
      <c r="F1651" s="367">
        <v>45699.375</v>
      </c>
      <c r="G1651" s="364" t="s">
        <v>1185</v>
      </c>
      <c r="H1651" s="364" t="s">
        <v>1179</v>
      </c>
    </row>
    <row r="1652" ht="15.75" customHeight="1">
      <c r="A1652" s="364" t="s">
        <v>65</v>
      </c>
      <c r="B1652" s="364" t="s">
        <v>22</v>
      </c>
      <c r="C1652" s="365" t="s">
        <v>645</v>
      </c>
      <c r="D1652" s="364" t="s">
        <v>646</v>
      </c>
      <c r="E1652" s="366">
        <v>8.0</v>
      </c>
      <c r="F1652" s="367">
        <v>45706.41666666667</v>
      </c>
      <c r="G1652" s="364" t="s">
        <v>1185</v>
      </c>
      <c r="H1652" s="364" t="s">
        <v>1179</v>
      </c>
    </row>
    <row r="1653" ht="15.75" customHeight="1">
      <c r="A1653" s="364" t="s">
        <v>65</v>
      </c>
      <c r="B1653" s="364" t="s">
        <v>22</v>
      </c>
      <c r="C1653" s="365" t="s">
        <v>645</v>
      </c>
      <c r="D1653" s="364" t="s">
        <v>646</v>
      </c>
      <c r="E1653" s="366">
        <v>9.0</v>
      </c>
      <c r="F1653" s="367">
        <v>45713.41666666667</v>
      </c>
      <c r="G1653" s="364" t="s">
        <v>1185</v>
      </c>
      <c r="H1653" s="364" t="s">
        <v>1179</v>
      </c>
    </row>
    <row r="1654" ht="15.75" customHeight="1">
      <c r="A1654" s="364" t="s">
        <v>65</v>
      </c>
      <c r="B1654" s="364" t="s">
        <v>22</v>
      </c>
      <c r="C1654" s="365" t="s">
        <v>645</v>
      </c>
      <c r="D1654" s="364" t="s">
        <v>646</v>
      </c>
      <c r="E1654" s="366">
        <v>10.0</v>
      </c>
      <c r="F1654" s="367">
        <v>45801.41666666667</v>
      </c>
      <c r="G1654" s="364" t="s">
        <v>1185</v>
      </c>
      <c r="H1654" s="364" t="s">
        <v>1179</v>
      </c>
    </row>
    <row r="1655" ht="15.75" customHeight="1">
      <c r="A1655" s="364" t="s">
        <v>66</v>
      </c>
      <c r="B1655" s="364" t="s">
        <v>22</v>
      </c>
      <c r="C1655" s="365" t="s">
        <v>530</v>
      </c>
      <c r="D1655" s="364" t="s">
        <v>531</v>
      </c>
      <c r="E1655" s="366">
        <v>1.0</v>
      </c>
      <c r="F1655" s="367">
        <v>45644.45833333333</v>
      </c>
      <c r="G1655" s="364" t="s">
        <v>1187</v>
      </c>
      <c r="H1655" s="364" t="s">
        <v>1200</v>
      </c>
    </row>
    <row r="1656" ht="15.75" customHeight="1">
      <c r="A1656" s="364" t="s">
        <v>66</v>
      </c>
      <c r="B1656" s="364" t="s">
        <v>22</v>
      </c>
      <c r="C1656" s="365" t="s">
        <v>530</v>
      </c>
      <c r="D1656" s="364" t="s">
        <v>531</v>
      </c>
      <c r="E1656" s="366">
        <v>2.0</v>
      </c>
      <c r="F1656" s="367">
        <v>45656.375</v>
      </c>
      <c r="G1656" s="364" t="s">
        <v>1185</v>
      </c>
      <c r="H1656" s="364" t="s">
        <v>1200</v>
      </c>
    </row>
    <row r="1657" ht="15.75" customHeight="1">
      <c r="A1657" s="364" t="s">
        <v>66</v>
      </c>
      <c r="B1657" s="364" t="s">
        <v>22</v>
      </c>
      <c r="C1657" s="365" t="s">
        <v>530</v>
      </c>
      <c r="D1657" s="364" t="s">
        <v>531</v>
      </c>
      <c r="E1657" s="366">
        <v>3.0</v>
      </c>
      <c r="F1657" s="367">
        <v>45665.45833333333</v>
      </c>
      <c r="G1657" s="364" t="s">
        <v>1185</v>
      </c>
      <c r="H1657" s="364" t="s">
        <v>1200</v>
      </c>
    </row>
    <row r="1658" ht="15.75" customHeight="1">
      <c r="A1658" s="364" t="s">
        <v>66</v>
      </c>
      <c r="B1658" s="364" t="s">
        <v>22</v>
      </c>
      <c r="C1658" s="365" t="s">
        <v>530</v>
      </c>
      <c r="D1658" s="364" t="s">
        <v>531</v>
      </c>
      <c r="E1658" s="366">
        <v>4.0</v>
      </c>
      <c r="F1658" s="367">
        <v>45672.45833333333</v>
      </c>
      <c r="G1658" s="364" t="s">
        <v>1185</v>
      </c>
      <c r="H1658" s="364" t="s">
        <v>1200</v>
      </c>
    </row>
    <row r="1659" ht="15.75" customHeight="1">
      <c r="A1659" s="364" t="s">
        <v>66</v>
      </c>
      <c r="B1659" s="364" t="s">
        <v>22</v>
      </c>
      <c r="C1659" s="365" t="s">
        <v>530</v>
      </c>
      <c r="D1659" s="364" t="s">
        <v>531</v>
      </c>
      <c r="E1659" s="366">
        <v>5.0</v>
      </c>
      <c r="F1659" s="367">
        <v>45679.45833333333</v>
      </c>
      <c r="G1659" s="364" t="s">
        <v>1187</v>
      </c>
      <c r="H1659" s="364" t="s">
        <v>1200</v>
      </c>
    </row>
    <row r="1660" ht="15.75" customHeight="1">
      <c r="A1660" s="364" t="s">
        <v>66</v>
      </c>
      <c r="B1660" s="364" t="s">
        <v>22</v>
      </c>
      <c r="C1660" s="365" t="s">
        <v>530</v>
      </c>
      <c r="D1660" s="364" t="s">
        <v>531</v>
      </c>
      <c r="E1660" s="366">
        <v>6.0</v>
      </c>
      <c r="F1660" s="367">
        <v>45694.45833333333</v>
      </c>
      <c r="G1660" s="364" t="s">
        <v>1185</v>
      </c>
      <c r="H1660" s="364" t="s">
        <v>1200</v>
      </c>
    </row>
    <row r="1661" ht="15.75" customHeight="1">
      <c r="A1661" s="364" t="s">
        <v>66</v>
      </c>
      <c r="B1661" s="364" t="s">
        <v>22</v>
      </c>
      <c r="C1661" s="365" t="s">
        <v>530</v>
      </c>
      <c r="D1661" s="364" t="s">
        <v>531</v>
      </c>
      <c r="E1661" s="366">
        <v>7.0</v>
      </c>
      <c r="F1661" s="367">
        <v>45699.45833333333</v>
      </c>
      <c r="G1661" s="364" t="s">
        <v>1185</v>
      </c>
      <c r="H1661" s="364" t="s">
        <v>1200</v>
      </c>
    </row>
    <row r="1662" ht="15.75" customHeight="1">
      <c r="A1662" s="364" t="s">
        <v>66</v>
      </c>
      <c r="B1662" s="364" t="s">
        <v>22</v>
      </c>
      <c r="C1662" s="365" t="s">
        <v>530</v>
      </c>
      <c r="D1662" s="364" t="s">
        <v>531</v>
      </c>
      <c r="E1662" s="366">
        <v>8.0</v>
      </c>
      <c r="F1662" s="367">
        <v>45706.54166666667</v>
      </c>
      <c r="G1662" s="364" t="s">
        <v>1185</v>
      </c>
      <c r="H1662" s="364" t="s">
        <v>1200</v>
      </c>
    </row>
    <row r="1663" ht="15.75" customHeight="1">
      <c r="A1663" s="364" t="s">
        <v>66</v>
      </c>
      <c r="B1663" s="364" t="s">
        <v>22</v>
      </c>
      <c r="C1663" s="365" t="s">
        <v>530</v>
      </c>
      <c r="D1663" s="364" t="s">
        <v>531</v>
      </c>
      <c r="E1663" s="366">
        <v>9.0</v>
      </c>
      <c r="F1663" s="367">
        <v>45713.54166666667</v>
      </c>
      <c r="G1663" s="364" t="s">
        <v>1185</v>
      </c>
      <c r="H1663" s="364" t="s">
        <v>1200</v>
      </c>
    </row>
    <row r="1664" ht="15.75" customHeight="1">
      <c r="A1664" s="364" t="s">
        <v>66</v>
      </c>
      <c r="B1664" s="364" t="s">
        <v>22</v>
      </c>
      <c r="C1664" s="365" t="s">
        <v>530</v>
      </c>
      <c r="D1664" s="364" t="s">
        <v>531</v>
      </c>
      <c r="E1664" s="366">
        <v>10.0</v>
      </c>
      <c r="F1664" s="367">
        <v>45801.41666666667</v>
      </c>
      <c r="G1664" s="364" t="s">
        <v>1185</v>
      </c>
      <c r="H1664" s="364" t="s">
        <v>1200</v>
      </c>
    </row>
    <row r="1665" ht="15.75" customHeight="1">
      <c r="A1665" s="364" t="s">
        <v>66</v>
      </c>
      <c r="B1665" s="364" t="s">
        <v>22</v>
      </c>
      <c r="C1665" s="365" t="s">
        <v>647</v>
      </c>
      <c r="D1665" s="364" t="s">
        <v>648</v>
      </c>
      <c r="E1665" s="366">
        <v>1.0</v>
      </c>
      <c r="F1665" s="367">
        <v>45644.45833333333</v>
      </c>
      <c r="G1665" s="364" t="s">
        <v>1187</v>
      </c>
      <c r="H1665" s="364" t="s">
        <v>1200</v>
      </c>
    </row>
    <row r="1666" ht="15.75" customHeight="1">
      <c r="A1666" s="364" t="s">
        <v>66</v>
      </c>
      <c r="B1666" s="364" t="s">
        <v>22</v>
      </c>
      <c r="C1666" s="365" t="s">
        <v>647</v>
      </c>
      <c r="D1666" s="364" t="s">
        <v>648</v>
      </c>
      <c r="E1666" s="366">
        <v>2.0</v>
      </c>
      <c r="F1666" s="367">
        <v>45656.375</v>
      </c>
      <c r="G1666" s="364" t="s">
        <v>1185</v>
      </c>
      <c r="H1666" s="364" t="s">
        <v>1200</v>
      </c>
    </row>
    <row r="1667" ht="15.75" customHeight="1">
      <c r="A1667" s="364" t="s">
        <v>66</v>
      </c>
      <c r="B1667" s="364" t="s">
        <v>22</v>
      </c>
      <c r="C1667" s="365" t="s">
        <v>647</v>
      </c>
      <c r="D1667" s="364" t="s">
        <v>648</v>
      </c>
      <c r="E1667" s="366">
        <v>3.0</v>
      </c>
      <c r="F1667" s="367">
        <v>45665.45833333333</v>
      </c>
      <c r="G1667" s="364" t="s">
        <v>1185</v>
      </c>
      <c r="H1667" s="364" t="s">
        <v>1200</v>
      </c>
    </row>
    <row r="1668" ht="15.75" customHeight="1">
      <c r="A1668" s="364" t="s">
        <v>66</v>
      </c>
      <c r="B1668" s="364" t="s">
        <v>22</v>
      </c>
      <c r="C1668" s="365" t="s">
        <v>647</v>
      </c>
      <c r="D1668" s="364" t="s">
        <v>648</v>
      </c>
      <c r="E1668" s="366">
        <v>4.0</v>
      </c>
      <c r="F1668" s="367">
        <v>45672.45833333333</v>
      </c>
      <c r="G1668" s="364" t="s">
        <v>1185</v>
      </c>
      <c r="H1668" s="364" t="s">
        <v>1200</v>
      </c>
    </row>
    <row r="1669" ht="15.75" customHeight="1">
      <c r="A1669" s="364" t="s">
        <v>66</v>
      </c>
      <c r="B1669" s="364" t="s">
        <v>22</v>
      </c>
      <c r="C1669" s="365" t="s">
        <v>647</v>
      </c>
      <c r="D1669" s="364" t="s">
        <v>648</v>
      </c>
      <c r="E1669" s="366">
        <v>5.0</v>
      </c>
      <c r="F1669" s="367">
        <v>45679.45833333333</v>
      </c>
      <c r="G1669" s="364" t="s">
        <v>1185</v>
      </c>
      <c r="H1669" s="364" t="s">
        <v>1200</v>
      </c>
    </row>
    <row r="1670" ht="15.75" customHeight="1">
      <c r="A1670" s="364" t="s">
        <v>66</v>
      </c>
      <c r="B1670" s="364" t="s">
        <v>22</v>
      </c>
      <c r="C1670" s="365" t="s">
        <v>647</v>
      </c>
      <c r="D1670" s="364" t="s">
        <v>648</v>
      </c>
      <c r="E1670" s="366">
        <v>6.0</v>
      </c>
      <c r="F1670" s="367">
        <v>45694.45833333333</v>
      </c>
      <c r="G1670" s="364" t="s">
        <v>1185</v>
      </c>
      <c r="H1670" s="364" t="s">
        <v>1200</v>
      </c>
    </row>
    <row r="1671" ht="15.75" customHeight="1">
      <c r="A1671" s="364" t="s">
        <v>66</v>
      </c>
      <c r="B1671" s="364" t="s">
        <v>22</v>
      </c>
      <c r="C1671" s="365" t="s">
        <v>647</v>
      </c>
      <c r="D1671" s="364" t="s">
        <v>648</v>
      </c>
      <c r="E1671" s="366">
        <v>7.0</v>
      </c>
      <c r="F1671" s="367">
        <v>45699.45833333333</v>
      </c>
      <c r="G1671" s="364" t="s">
        <v>1185</v>
      </c>
      <c r="H1671" s="364" t="s">
        <v>1200</v>
      </c>
    </row>
    <row r="1672" ht="15.75" customHeight="1">
      <c r="A1672" s="364" t="s">
        <v>66</v>
      </c>
      <c r="B1672" s="364" t="s">
        <v>22</v>
      </c>
      <c r="C1672" s="365" t="s">
        <v>647</v>
      </c>
      <c r="D1672" s="364" t="s">
        <v>648</v>
      </c>
      <c r="E1672" s="366">
        <v>8.0</v>
      </c>
      <c r="F1672" s="367">
        <v>45706.54166666667</v>
      </c>
      <c r="G1672" s="364" t="s">
        <v>1185</v>
      </c>
      <c r="H1672" s="364" t="s">
        <v>1200</v>
      </c>
    </row>
    <row r="1673" ht="15.75" customHeight="1">
      <c r="A1673" s="364" t="s">
        <v>66</v>
      </c>
      <c r="B1673" s="364" t="s">
        <v>22</v>
      </c>
      <c r="C1673" s="365" t="s">
        <v>647</v>
      </c>
      <c r="D1673" s="364" t="s">
        <v>648</v>
      </c>
      <c r="E1673" s="366">
        <v>9.0</v>
      </c>
      <c r="F1673" s="367">
        <v>45713.54166666667</v>
      </c>
      <c r="G1673" s="364" t="s">
        <v>1185</v>
      </c>
      <c r="H1673" s="364" t="s">
        <v>1200</v>
      </c>
    </row>
    <row r="1674" ht="15.75" customHeight="1">
      <c r="A1674" s="364" t="s">
        <v>66</v>
      </c>
      <c r="B1674" s="364" t="s">
        <v>22</v>
      </c>
      <c r="C1674" s="365" t="s">
        <v>647</v>
      </c>
      <c r="D1674" s="364" t="s">
        <v>648</v>
      </c>
      <c r="E1674" s="366">
        <v>10.0</v>
      </c>
      <c r="F1674" s="367">
        <v>45801.41666666667</v>
      </c>
      <c r="G1674" s="364" t="s">
        <v>1185</v>
      </c>
      <c r="H1674" s="364" t="s">
        <v>1200</v>
      </c>
    </row>
    <row r="1675" ht="15.75" customHeight="1">
      <c r="A1675" s="364" t="s">
        <v>66</v>
      </c>
      <c r="B1675" s="364" t="s">
        <v>22</v>
      </c>
      <c r="C1675" s="365" t="s">
        <v>433</v>
      </c>
      <c r="D1675" s="364" t="s">
        <v>434</v>
      </c>
      <c r="E1675" s="366">
        <v>1.0</v>
      </c>
      <c r="F1675" s="367">
        <v>45644.45833333333</v>
      </c>
      <c r="G1675" s="364" t="s">
        <v>1185</v>
      </c>
      <c r="H1675" s="364" t="s">
        <v>1200</v>
      </c>
    </row>
    <row r="1676" ht="15.75" customHeight="1">
      <c r="A1676" s="364" t="s">
        <v>66</v>
      </c>
      <c r="B1676" s="364" t="s">
        <v>22</v>
      </c>
      <c r="C1676" s="365" t="s">
        <v>433</v>
      </c>
      <c r="D1676" s="364" t="s">
        <v>434</v>
      </c>
      <c r="E1676" s="366">
        <v>2.0</v>
      </c>
      <c r="F1676" s="367">
        <v>45656.375</v>
      </c>
      <c r="G1676" s="364" t="s">
        <v>1185</v>
      </c>
      <c r="H1676" s="364" t="s">
        <v>1200</v>
      </c>
    </row>
    <row r="1677" ht="15.75" customHeight="1">
      <c r="A1677" s="364" t="s">
        <v>66</v>
      </c>
      <c r="B1677" s="364" t="s">
        <v>22</v>
      </c>
      <c r="C1677" s="365" t="s">
        <v>433</v>
      </c>
      <c r="D1677" s="364" t="s">
        <v>434</v>
      </c>
      <c r="E1677" s="366">
        <v>3.0</v>
      </c>
      <c r="F1677" s="367">
        <v>45665.45833333333</v>
      </c>
      <c r="G1677" s="364" t="s">
        <v>1185</v>
      </c>
      <c r="H1677" s="364" t="s">
        <v>1200</v>
      </c>
    </row>
    <row r="1678" ht="15.75" customHeight="1">
      <c r="A1678" s="364" t="s">
        <v>66</v>
      </c>
      <c r="B1678" s="364" t="s">
        <v>22</v>
      </c>
      <c r="C1678" s="365" t="s">
        <v>433</v>
      </c>
      <c r="D1678" s="364" t="s">
        <v>434</v>
      </c>
      <c r="E1678" s="366">
        <v>4.0</v>
      </c>
      <c r="F1678" s="367">
        <v>45672.45833333333</v>
      </c>
      <c r="G1678" s="364" t="s">
        <v>1185</v>
      </c>
      <c r="H1678" s="364" t="s">
        <v>1200</v>
      </c>
    </row>
    <row r="1679" ht="15.75" customHeight="1">
      <c r="A1679" s="364" t="s">
        <v>66</v>
      </c>
      <c r="B1679" s="364" t="s">
        <v>22</v>
      </c>
      <c r="C1679" s="365" t="s">
        <v>433</v>
      </c>
      <c r="D1679" s="364" t="s">
        <v>434</v>
      </c>
      <c r="E1679" s="366">
        <v>5.0</v>
      </c>
      <c r="F1679" s="367">
        <v>45679.45833333333</v>
      </c>
      <c r="G1679" s="364" t="s">
        <v>1185</v>
      </c>
      <c r="H1679" s="364" t="s">
        <v>1200</v>
      </c>
    </row>
    <row r="1680" ht="15.75" customHeight="1">
      <c r="A1680" s="364" t="s">
        <v>66</v>
      </c>
      <c r="B1680" s="364" t="s">
        <v>22</v>
      </c>
      <c r="C1680" s="365" t="s">
        <v>433</v>
      </c>
      <c r="D1680" s="364" t="s">
        <v>434</v>
      </c>
      <c r="E1680" s="366">
        <v>6.0</v>
      </c>
      <c r="F1680" s="367">
        <v>45694.45833333333</v>
      </c>
      <c r="G1680" s="364" t="s">
        <v>1185</v>
      </c>
      <c r="H1680" s="364" t="s">
        <v>1200</v>
      </c>
    </row>
    <row r="1681" ht="15.75" customHeight="1">
      <c r="A1681" s="364" t="s">
        <v>66</v>
      </c>
      <c r="B1681" s="364" t="s">
        <v>22</v>
      </c>
      <c r="C1681" s="365" t="s">
        <v>433</v>
      </c>
      <c r="D1681" s="364" t="s">
        <v>434</v>
      </c>
      <c r="E1681" s="366">
        <v>7.0</v>
      </c>
      <c r="F1681" s="367">
        <v>45699.45833333333</v>
      </c>
      <c r="G1681" s="364" t="s">
        <v>1187</v>
      </c>
      <c r="H1681" s="364" t="s">
        <v>1200</v>
      </c>
    </row>
    <row r="1682" ht="15.75" customHeight="1">
      <c r="A1682" s="364" t="s">
        <v>66</v>
      </c>
      <c r="B1682" s="364" t="s">
        <v>22</v>
      </c>
      <c r="C1682" s="365" t="s">
        <v>433</v>
      </c>
      <c r="D1682" s="364" t="s">
        <v>434</v>
      </c>
      <c r="E1682" s="366">
        <v>8.0</v>
      </c>
      <c r="F1682" s="367">
        <v>45706.54166666667</v>
      </c>
      <c r="G1682" s="364" t="s">
        <v>1185</v>
      </c>
      <c r="H1682" s="364" t="s">
        <v>1200</v>
      </c>
    </row>
    <row r="1683" ht="15.75" customHeight="1">
      <c r="A1683" s="364" t="s">
        <v>66</v>
      </c>
      <c r="B1683" s="364" t="s">
        <v>22</v>
      </c>
      <c r="C1683" s="365" t="s">
        <v>433</v>
      </c>
      <c r="D1683" s="364" t="s">
        <v>434</v>
      </c>
      <c r="E1683" s="366">
        <v>9.0</v>
      </c>
      <c r="F1683" s="367">
        <v>45713.54166666667</v>
      </c>
      <c r="G1683" s="364" t="s">
        <v>1185</v>
      </c>
      <c r="H1683" s="364" t="s">
        <v>1200</v>
      </c>
    </row>
    <row r="1684" ht="15.75" customHeight="1">
      <c r="A1684" s="364" t="s">
        <v>66</v>
      </c>
      <c r="B1684" s="364" t="s">
        <v>22</v>
      </c>
      <c r="C1684" s="365" t="s">
        <v>433</v>
      </c>
      <c r="D1684" s="364" t="s">
        <v>434</v>
      </c>
      <c r="E1684" s="366">
        <v>10.0</v>
      </c>
      <c r="F1684" s="367">
        <v>45801.41666666667</v>
      </c>
      <c r="G1684" s="364" t="s">
        <v>1185</v>
      </c>
      <c r="H1684" s="364" t="s">
        <v>1200</v>
      </c>
    </row>
    <row r="1685" ht="15.75" customHeight="1">
      <c r="A1685" s="364" t="s">
        <v>66</v>
      </c>
      <c r="B1685" s="364" t="s">
        <v>22</v>
      </c>
      <c r="C1685" s="365" t="s">
        <v>439</v>
      </c>
      <c r="D1685" s="364" t="s">
        <v>440</v>
      </c>
      <c r="E1685" s="366">
        <v>1.0</v>
      </c>
      <c r="F1685" s="367">
        <v>45637.375</v>
      </c>
      <c r="G1685" s="364" t="s">
        <v>1185</v>
      </c>
      <c r="H1685" s="364" t="s">
        <v>1200</v>
      </c>
    </row>
    <row r="1686" ht="15.75" customHeight="1">
      <c r="A1686" s="364" t="s">
        <v>66</v>
      </c>
      <c r="B1686" s="364" t="s">
        <v>22</v>
      </c>
      <c r="C1686" s="365" t="s">
        <v>439</v>
      </c>
      <c r="D1686" s="364" t="s">
        <v>440</v>
      </c>
      <c r="E1686" s="366">
        <v>2.0</v>
      </c>
      <c r="F1686" s="367">
        <v>45656.375</v>
      </c>
      <c r="G1686" s="364" t="s">
        <v>1185</v>
      </c>
      <c r="H1686" s="364" t="s">
        <v>1200</v>
      </c>
    </row>
    <row r="1687" ht="15.75" customHeight="1">
      <c r="A1687" s="364" t="s">
        <v>66</v>
      </c>
      <c r="B1687" s="364" t="s">
        <v>22</v>
      </c>
      <c r="C1687" s="365" t="s">
        <v>439</v>
      </c>
      <c r="D1687" s="364" t="s">
        <v>440</v>
      </c>
      <c r="E1687" s="366">
        <v>3.0</v>
      </c>
      <c r="F1687" s="367">
        <v>45665.45833333333</v>
      </c>
      <c r="G1687" s="364" t="s">
        <v>1185</v>
      </c>
      <c r="H1687" s="364" t="s">
        <v>1200</v>
      </c>
    </row>
    <row r="1688" ht="15.75" customHeight="1">
      <c r="A1688" s="364" t="s">
        <v>66</v>
      </c>
      <c r="B1688" s="364" t="s">
        <v>22</v>
      </c>
      <c r="C1688" s="365" t="s">
        <v>439</v>
      </c>
      <c r="D1688" s="364" t="s">
        <v>440</v>
      </c>
      <c r="E1688" s="366">
        <v>4.0</v>
      </c>
      <c r="F1688" s="367">
        <v>45672.45833333333</v>
      </c>
      <c r="G1688" s="364" t="s">
        <v>1185</v>
      </c>
      <c r="H1688" s="364" t="s">
        <v>1200</v>
      </c>
    </row>
    <row r="1689" ht="15.75" customHeight="1">
      <c r="A1689" s="364" t="s">
        <v>66</v>
      </c>
      <c r="B1689" s="364" t="s">
        <v>22</v>
      </c>
      <c r="C1689" s="365" t="s">
        <v>439</v>
      </c>
      <c r="D1689" s="364" t="s">
        <v>440</v>
      </c>
      <c r="E1689" s="366">
        <v>5.0</v>
      </c>
      <c r="F1689" s="367">
        <v>45679.45833333333</v>
      </c>
      <c r="G1689" s="364" t="s">
        <v>1185</v>
      </c>
      <c r="H1689" s="364" t="s">
        <v>1200</v>
      </c>
    </row>
    <row r="1690" ht="15.75" customHeight="1">
      <c r="A1690" s="364" t="s">
        <v>66</v>
      </c>
      <c r="B1690" s="364" t="s">
        <v>22</v>
      </c>
      <c r="C1690" s="365" t="s">
        <v>439</v>
      </c>
      <c r="D1690" s="364" t="s">
        <v>440</v>
      </c>
      <c r="E1690" s="366">
        <v>6.0</v>
      </c>
      <c r="F1690" s="367">
        <v>45694.45833333333</v>
      </c>
      <c r="G1690" s="364" t="s">
        <v>1185</v>
      </c>
      <c r="H1690" s="364" t="s">
        <v>1200</v>
      </c>
    </row>
    <row r="1691" ht="15.75" customHeight="1">
      <c r="A1691" s="364" t="s">
        <v>66</v>
      </c>
      <c r="B1691" s="364" t="s">
        <v>22</v>
      </c>
      <c r="C1691" s="365" t="s">
        <v>439</v>
      </c>
      <c r="D1691" s="364" t="s">
        <v>440</v>
      </c>
      <c r="E1691" s="366">
        <v>7.0</v>
      </c>
      <c r="F1691" s="367">
        <v>45699.45833333333</v>
      </c>
      <c r="G1691" s="364" t="s">
        <v>1185</v>
      </c>
      <c r="H1691" s="364" t="s">
        <v>1200</v>
      </c>
    </row>
    <row r="1692" ht="15.75" customHeight="1">
      <c r="A1692" s="364" t="s">
        <v>66</v>
      </c>
      <c r="B1692" s="364" t="s">
        <v>22</v>
      </c>
      <c r="C1692" s="365" t="s">
        <v>439</v>
      </c>
      <c r="D1692" s="364" t="s">
        <v>440</v>
      </c>
      <c r="E1692" s="366">
        <v>8.0</v>
      </c>
      <c r="F1692" s="367">
        <v>45706.54166666667</v>
      </c>
      <c r="G1692" s="364" t="s">
        <v>1185</v>
      </c>
      <c r="H1692" s="364" t="s">
        <v>1200</v>
      </c>
    </row>
    <row r="1693" ht="15.75" customHeight="1">
      <c r="A1693" s="364" t="s">
        <v>66</v>
      </c>
      <c r="B1693" s="364" t="s">
        <v>22</v>
      </c>
      <c r="C1693" s="365" t="s">
        <v>439</v>
      </c>
      <c r="D1693" s="364" t="s">
        <v>440</v>
      </c>
      <c r="E1693" s="366">
        <v>9.0</v>
      </c>
      <c r="F1693" s="367">
        <v>45713.54166666667</v>
      </c>
      <c r="G1693" s="364" t="s">
        <v>1185</v>
      </c>
      <c r="H1693" s="364" t="s">
        <v>1200</v>
      </c>
    </row>
    <row r="1694" ht="15.75" customHeight="1">
      <c r="A1694" s="364" t="s">
        <v>66</v>
      </c>
      <c r="B1694" s="364" t="s">
        <v>22</v>
      </c>
      <c r="C1694" s="365" t="s">
        <v>439</v>
      </c>
      <c r="D1694" s="364" t="s">
        <v>440</v>
      </c>
      <c r="E1694" s="366">
        <v>10.0</v>
      </c>
      <c r="F1694" s="367">
        <v>45801.41666666667</v>
      </c>
      <c r="G1694" s="364" t="s">
        <v>1185</v>
      </c>
      <c r="H1694" s="364" t="s">
        <v>1200</v>
      </c>
    </row>
    <row r="1695" ht="15.75" customHeight="1">
      <c r="A1695" s="364" t="s">
        <v>66</v>
      </c>
      <c r="B1695" s="364" t="s">
        <v>22</v>
      </c>
      <c r="C1695" s="365" t="s">
        <v>649</v>
      </c>
      <c r="D1695" s="364" t="s">
        <v>650</v>
      </c>
      <c r="E1695" s="366">
        <v>1.0</v>
      </c>
      <c r="F1695" s="367">
        <v>45637.375</v>
      </c>
      <c r="G1695" s="364" t="s">
        <v>1185</v>
      </c>
      <c r="H1695" s="364" t="s">
        <v>1200</v>
      </c>
    </row>
    <row r="1696" ht="15.75" customHeight="1">
      <c r="A1696" s="364" t="s">
        <v>66</v>
      </c>
      <c r="B1696" s="364" t="s">
        <v>22</v>
      </c>
      <c r="C1696" s="365" t="s">
        <v>649</v>
      </c>
      <c r="D1696" s="364" t="s">
        <v>650</v>
      </c>
      <c r="E1696" s="366">
        <v>2.0</v>
      </c>
      <c r="F1696" s="367">
        <v>45656.375</v>
      </c>
      <c r="G1696" s="364" t="s">
        <v>1185</v>
      </c>
      <c r="H1696" s="364" t="s">
        <v>1200</v>
      </c>
    </row>
    <row r="1697" ht="15.75" customHeight="1">
      <c r="A1697" s="364" t="s">
        <v>66</v>
      </c>
      <c r="B1697" s="364" t="s">
        <v>22</v>
      </c>
      <c r="C1697" s="365" t="s">
        <v>649</v>
      </c>
      <c r="D1697" s="364" t="s">
        <v>650</v>
      </c>
      <c r="E1697" s="366">
        <v>3.0</v>
      </c>
      <c r="F1697" s="367">
        <v>45665.45833333333</v>
      </c>
      <c r="G1697" s="364" t="s">
        <v>1185</v>
      </c>
      <c r="H1697" s="364" t="s">
        <v>1200</v>
      </c>
    </row>
    <row r="1698" ht="15.75" customHeight="1">
      <c r="A1698" s="364" t="s">
        <v>66</v>
      </c>
      <c r="B1698" s="364" t="s">
        <v>22</v>
      </c>
      <c r="C1698" s="365" t="s">
        <v>649</v>
      </c>
      <c r="D1698" s="364" t="s">
        <v>650</v>
      </c>
      <c r="E1698" s="366">
        <v>4.0</v>
      </c>
      <c r="F1698" s="367">
        <v>45671.45833333333</v>
      </c>
      <c r="G1698" s="364" t="s">
        <v>1185</v>
      </c>
      <c r="H1698" s="364" t="s">
        <v>1200</v>
      </c>
    </row>
    <row r="1699" ht="15.75" customHeight="1">
      <c r="A1699" s="364" t="s">
        <v>66</v>
      </c>
      <c r="B1699" s="364" t="s">
        <v>22</v>
      </c>
      <c r="C1699" s="365" t="s">
        <v>649</v>
      </c>
      <c r="D1699" s="364" t="s">
        <v>650</v>
      </c>
      <c r="E1699" s="366">
        <v>5.0</v>
      </c>
      <c r="F1699" s="367">
        <v>45678.45833333333</v>
      </c>
      <c r="G1699" s="364" t="s">
        <v>1185</v>
      </c>
      <c r="H1699" s="364" t="s">
        <v>1200</v>
      </c>
    </row>
    <row r="1700" ht="15.75" customHeight="1">
      <c r="A1700" s="364" t="s">
        <v>66</v>
      </c>
      <c r="B1700" s="364" t="s">
        <v>22</v>
      </c>
      <c r="C1700" s="365" t="s">
        <v>649</v>
      </c>
      <c r="D1700" s="364" t="s">
        <v>650</v>
      </c>
      <c r="E1700" s="366">
        <v>6.0</v>
      </c>
      <c r="F1700" s="367">
        <v>45692.41666666667</v>
      </c>
      <c r="G1700" s="364" t="s">
        <v>1185</v>
      </c>
      <c r="H1700" s="364" t="s">
        <v>1200</v>
      </c>
    </row>
    <row r="1701" ht="15.75" customHeight="1">
      <c r="A1701" s="364" t="s">
        <v>66</v>
      </c>
      <c r="B1701" s="364" t="s">
        <v>22</v>
      </c>
      <c r="C1701" s="365" t="s">
        <v>649</v>
      </c>
      <c r="D1701" s="364" t="s">
        <v>650</v>
      </c>
      <c r="E1701" s="366">
        <v>7.0</v>
      </c>
      <c r="F1701" s="367">
        <v>45699.45833333333</v>
      </c>
      <c r="G1701" s="364" t="s">
        <v>1185</v>
      </c>
      <c r="H1701" s="364" t="s">
        <v>1200</v>
      </c>
    </row>
    <row r="1702" ht="15.75" customHeight="1">
      <c r="A1702" s="364" t="s">
        <v>66</v>
      </c>
      <c r="B1702" s="364" t="s">
        <v>22</v>
      </c>
      <c r="C1702" s="365" t="s">
        <v>649</v>
      </c>
      <c r="D1702" s="364" t="s">
        <v>650</v>
      </c>
      <c r="E1702" s="366">
        <v>8.0</v>
      </c>
      <c r="F1702" s="367">
        <v>45706.54166666667</v>
      </c>
      <c r="G1702" s="364" t="s">
        <v>1185</v>
      </c>
      <c r="H1702" s="364" t="s">
        <v>1200</v>
      </c>
    </row>
    <row r="1703" ht="15.75" customHeight="1">
      <c r="A1703" s="364" t="s">
        <v>66</v>
      </c>
      <c r="B1703" s="364" t="s">
        <v>22</v>
      </c>
      <c r="C1703" s="365" t="s">
        <v>649</v>
      </c>
      <c r="D1703" s="364" t="s">
        <v>650</v>
      </c>
      <c r="E1703" s="366">
        <v>9.0</v>
      </c>
      <c r="F1703" s="367">
        <v>45713.54166666667</v>
      </c>
      <c r="G1703" s="364" t="s">
        <v>1185</v>
      </c>
      <c r="H1703" s="364" t="s">
        <v>1200</v>
      </c>
    </row>
    <row r="1704" ht="15.75" customHeight="1">
      <c r="A1704" s="364" t="s">
        <v>66</v>
      </c>
      <c r="B1704" s="364" t="s">
        <v>22</v>
      </c>
      <c r="C1704" s="365" t="s">
        <v>649</v>
      </c>
      <c r="D1704" s="364" t="s">
        <v>650</v>
      </c>
      <c r="E1704" s="366">
        <v>10.0</v>
      </c>
      <c r="F1704" s="367">
        <v>45801.41666666667</v>
      </c>
      <c r="G1704" s="364" t="s">
        <v>1185</v>
      </c>
      <c r="H1704" s="364" t="s">
        <v>1200</v>
      </c>
    </row>
    <row r="1705" ht="15.75" customHeight="1">
      <c r="A1705" s="364" t="s">
        <v>66</v>
      </c>
      <c r="B1705" s="364" t="s">
        <v>22</v>
      </c>
      <c r="C1705" s="365" t="s">
        <v>651</v>
      </c>
      <c r="D1705" s="364" t="s">
        <v>652</v>
      </c>
      <c r="E1705" s="366">
        <v>1.0</v>
      </c>
      <c r="F1705" s="367">
        <v>45644.45833333333</v>
      </c>
      <c r="G1705" s="364" t="s">
        <v>1185</v>
      </c>
      <c r="H1705" s="364" t="s">
        <v>1200</v>
      </c>
    </row>
    <row r="1706" ht="15.75" customHeight="1">
      <c r="A1706" s="364" t="s">
        <v>66</v>
      </c>
      <c r="B1706" s="364" t="s">
        <v>22</v>
      </c>
      <c r="C1706" s="365" t="s">
        <v>651</v>
      </c>
      <c r="D1706" s="364" t="s">
        <v>652</v>
      </c>
      <c r="E1706" s="366">
        <v>2.0</v>
      </c>
      <c r="F1706" s="367">
        <v>45656.375</v>
      </c>
      <c r="G1706" s="364" t="s">
        <v>1185</v>
      </c>
      <c r="H1706" s="364" t="s">
        <v>1200</v>
      </c>
    </row>
    <row r="1707" ht="15.75" customHeight="1">
      <c r="A1707" s="364" t="s">
        <v>66</v>
      </c>
      <c r="B1707" s="364" t="s">
        <v>22</v>
      </c>
      <c r="C1707" s="365" t="s">
        <v>651</v>
      </c>
      <c r="D1707" s="364" t="s">
        <v>652</v>
      </c>
      <c r="E1707" s="366">
        <v>3.0</v>
      </c>
      <c r="F1707" s="367">
        <v>45665.45833333333</v>
      </c>
      <c r="G1707" s="364" t="s">
        <v>1185</v>
      </c>
      <c r="H1707" s="364" t="s">
        <v>1200</v>
      </c>
    </row>
    <row r="1708" ht="15.75" customHeight="1">
      <c r="A1708" s="364" t="s">
        <v>66</v>
      </c>
      <c r="B1708" s="364" t="s">
        <v>22</v>
      </c>
      <c r="C1708" s="365" t="s">
        <v>651</v>
      </c>
      <c r="D1708" s="364" t="s">
        <v>652</v>
      </c>
      <c r="E1708" s="366">
        <v>4.0</v>
      </c>
      <c r="F1708" s="367">
        <v>45672.45833333333</v>
      </c>
      <c r="G1708" s="364" t="s">
        <v>1185</v>
      </c>
      <c r="H1708" s="364" t="s">
        <v>1200</v>
      </c>
    </row>
    <row r="1709" ht="15.75" customHeight="1">
      <c r="A1709" s="364" t="s">
        <v>66</v>
      </c>
      <c r="B1709" s="364" t="s">
        <v>22</v>
      </c>
      <c r="C1709" s="365" t="s">
        <v>651</v>
      </c>
      <c r="D1709" s="364" t="s">
        <v>652</v>
      </c>
      <c r="E1709" s="366">
        <v>5.0</v>
      </c>
      <c r="F1709" s="367">
        <v>45679.45833333333</v>
      </c>
      <c r="G1709" s="364" t="s">
        <v>1185</v>
      </c>
      <c r="H1709" s="364" t="s">
        <v>1200</v>
      </c>
    </row>
    <row r="1710" ht="15.75" customHeight="1">
      <c r="A1710" s="364" t="s">
        <v>66</v>
      </c>
      <c r="B1710" s="364" t="s">
        <v>22</v>
      </c>
      <c r="C1710" s="365" t="s">
        <v>651</v>
      </c>
      <c r="D1710" s="364" t="s">
        <v>652</v>
      </c>
      <c r="E1710" s="366">
        <v>6.0</v>
      </c>
      <c r="F1710" s="367">
        <v>45694.45833333333</v>
      </c>
      <c r="G1710" s="364" t="s">
        <v>1185</v>
      </c>
      <c r="H1710" s="364" t="s">
        <v>1200</v>
      </c>
    </row>
    <row r="1711" ht="15.75" customHeight="1">
      <c r="A1711" s="364" t="s">
        <v>66</v>
      </c>
      <c r="B1711" s="364" t="s">
        <v>22</v>
      </c>
      <c r="C1711" s="365" t="s">
        <v>651</v>
      </c>
      <c r="D1711" s="364" t="s">
        <v>652</v>
      </c>
      <c r="E1711" s="366">
        <v>7.0</v>
      </c>
      <c r="F1711" s="367">
        <v>45699.45833333333</v>
      </c>
      <c r="G1711" s="364" t="s">
        <v>1185</v>
      </c>
      <c r="H1711" s="364" t="s">
        <v>1200</v>
      </c>
    </row>
    <row r="1712" ht="15.75" customHeight="1">
      <c r="A1712" s="364" t="s">
        <v>66</v>
      </c>
      <c r="B1712" s="364" t="s">
        <v>22</v>
      </c>
      <c r="C1712" s="365" t="s">
        <v>651</v>
      </c>
      <c r="D1712" s="364" t="s">
        <v>652</v>
      </c>
      <c r="E1712" s="366">
        <v>8.0</v>
      </c>
      <c r="F1712" s="367">
        <v>45706.54166666667</v>
      </c>
      <c r="G1712" s="364" t="s">
        <v>1185</v>
      </c>
      <c r="H1712" s="364" t="s">
        <v>1200</v>
      </c>
    </row>
    <row r="1713" ht="15.75" customHeight="1">
      <c r="A1713" s="364" t="s">
        <v>66</v>
      </c>
      <c r="B1713" s="364" t="s">
        <v>22</v>
      </c>
      <c r="C1713" s="365" t="s">
        <v>651</v>
      </c>
      <c r="D1713" s="364" t="s">
        <v>652</v>
      </c>
      <c r="E1713" s="366">
        <v>9.0</v>
      </c>
      <c r="F1713" s="367">
        <v>45713.54166666667</v>
      </c>
      <c r="G1713" s="364" t="s">
        <v>1185</v>
      </c>
      <c r="H1713" s="364" t="s">
        <v>1200</v>
      </c>
    </row>
    <row r="1714" ht="15.75" customHeight="1">
      <c r="A1714" s="364" t="s">
        <v>66</v>
      </c>
      <c r="B1714" s="364" t="s">
        <v>22</v>
      </c>
      <c r="C1714" s="365" t="s">
        <v>651</v>
      </c>
      <c r="D1714" s="364" t="s">
        <v>652</v>
      </c>
      <c r="E1714" s="366">
        <v>10.0</v>
      </c>
      <c r="F1714" s="367">
        <v>45801.41666666667</v>
      </c>
      <c r="G1714" s="364" t="s">
        <v>1185</v>
      </c>
      <c r="H1714" s="364" t="s">
        <v>1200</v>
      </c>
    </row>
    <row r="1715" ht="15.75" customHeight="1">
      <c r="A1715" s="364" t="s">
        <v>66</v>
      </c>
      <c r="B1715" s="364" t="s">
        <v>23</v>
      </c>
      <c r="C1715" s="365" t="s">
        <v>647</v>
      </c>
      <c r="D1715" s="364" t="s">
        <v>648</v>
      </c>
      <c r="E1715" s="366">
        <v>1.0</v>
      </c>
      <c r="F1715" s="367">
        <v>45839.375</v>
      </c>
      <c r="G1715" s="364" t="s">
        <v>1185</v>
      </c>
      <c r="H1715" s="364" t="s">
        <v>1200</v>
      </c>
    </row>
    <row r="1716" ht="15.75" customHeight="1">
      <c r="A1716" s="364" t="s">
        <v>66</v>
      </c>
      <c r="B1716" s="364" t="s">
        <v>23</v>
      </c>
      <c r="C1716" s="365" t="s">
        <v>647</v>
      </c>
      <c r="D1716" s="364" t="s">
        <v>648</v>
      </c>
      <c r="E1716" s="366">
        <v>2.0</v>
      </c>
      <c r="F1716" s="367">
        <v>45846.375</v>
      </c>
      <c r="G1716" s="364" t="s">
        <v>1185</v>
      </c>
      <c r="H1716" s="364" t="s">
        <v>1200</v>
      </c>
    </row>
    <row r="1717" ht="15.75" customHeight="1">
      <c r="A1717" s="364" t="s">
        <v>66</v>
      </c>
      <c r="B1717" s="364" t="s">
        <v>23</v>
      </c>
      <c r="C1717" s="365" t="s">
        <v>647</v>
      </c>
      <c r="D1717" s="364" t="s">
        <v>648</v>
      </c>
      <c r="E1717" s="366">
        <v>3.0</v>
      </c>
      <c r="F1717" s="367">
        <v>45852.41666666667</v>
      </c>
      <c r="G1717" s="364" t="s">
        <v>1185</v>
      </c>
      <c r="H1717" s="364" t="s">
        <v>1200</v>
      </c>
    </row>
    <row r="1718" ht="15.75" customHeight="1">
      <c r="A1718" s="364" t="s">
        <v>66</v>
      </c>
      <c r="B1718" s="364" t="s">
        <v>23</v>
      </c>
      <c r="C1718" s="365" t="s">
        <v>647</v>
      </c>
      <c r="D1718" s="364" t="s">
        <v>648</v>
      </c>
      <c r="E1718" s="366">
        <v>4.0</v>
      </c>
      <c r="F1718" s="367">
        <v>45859.41666666667</v>
      </c>
      <c r="G1718" s="364" t="s">
        <v>1185</v>
      </c>
      <c r="H1718" s="364" t="s">
        <v>1200</v>
      </c>
    </row>
    <row r="1719" ht="15.75" customHeight="1">
      <c r="A1719" s="364" t="s">
        <v>66</v>
      </c>
      <c r="B1719" s="364" t="s">
        <v>23</v>
      </c>
      <c r="C1719" s="365" t="s">
        <v>433</v>
      </c>
      <c r="D1719" s="364" t="s">
        <v>434</v>
      </c>
      <c r="E1719" s="366">
        <v>1.0</v>
      </c>
      <c r="F1719" s="367">
        <v>45839.375</v>
      </c>
      <c r="G1719" s="364" t="s">
        <v>1185</v>
      </c>
      <c r="H1719" s="364" t="s">
        <v>1200</v>
      </c>
    </row>
    <row r="1720" ht="15.75" customHeight="1">
      <c r="A1720" s="364" t="s">
        <v>66</v>
      </c>
      <c r="B1720" s="364" t="s">
        <v>23</v>
      </c>
      <c r="C1720" s="365" t="s">
        <v>433</v>
      </c>
      <c r="D1720" s="364" t="s">
        <v>434</v>
      </c>
      <c r="E1720" s="366">
        <v>2.0</v>
      </c>
      <c r="F1720" s="367">
        <v>45846.375</v>
      </c>
      <c r="G1720" s="364" t="s">
        <v>1185</v>
      </c>
      <c r="H1720" s="364" t="s">
        <v>1200</v>
      </c>
    </row>
    <row r="1721" ht="15.75" customHeight="1">
      <c r="A1721" s="364" t="s">
        <v>66</v>
      </c>
      <c r="B1721" s="364" t="s">
        <v>23</v>
      </c>
      <c r="C1721" s="365" t="s">
        <v>433</v>
      </c>
      <c r="D1721" s="364" t="s">
        <v>434</v>
      </c>
      <c r="E1721" s="366">
        <v>3.0</v>
      </c>
      <c r="F1721" s="367">
        <v>45852.41666666667</v>
      </c>
      <c r="G1721" s="364" t="s">
        <v>1185</v>
      </c>
      <c r="H1721" s="364" t="s">
        <v>1200</v>
      </c>
    </row>
    <row r="1722" ht="15.75" customHeight="1">
      <c r="A1722" s="364" t="s">
        <v>66</v>
      </c>
      <c r="B1722" s="364" t="s">
        <v>23</v>
      </c>
      <c r="C1722" s="365" t="s">
        <v>433</v>
      </c>
      <c r="D1722" s="364" t="s">
        <v>434</v>
      </c>
      <c r="E1722" s="366">
        <v>4.0</v>
      </c>
      <c r="F1722" s="367">
        <v>45859.41666666667</v>
      </c>
      <c r="G1722" s="364" t="s">
        <v>1185</v>
      </c>
      <c r="H1722" s="364" t="s">
        <v>1200</v>
      </c>
    </row>
    <row r="1723" ht="15.75" customHeight="1">
      <c r="A1723" s="364" t="s">
        <v>66</v>
      </c>
      <c r="B1723" s="364" t="s">
        <v>23</v>
      </c>
      <c r="C1723" s="365" t="s">
        <v>439</v>
      </c>
      <c r="D1723" s="364" t="s">
        <v>440</v>
      </c>
      <c r="E1723" s="366">
        <v>1.0</v>
      </c>
      <c r="F1723" s="367">
        <v>45839.375</v>
      </c>
      <c r="G1723" s="364" t="s">
        <v>1185</v>
      </c>
      <c r="H1723" s="364" t="s">
        <v>1200</v>
      </c>
    </row>
    <row r="1724" ht="15.75" customHeight="1">
      <c r="A1724" s="364" t="s">
        <v>66</v>
      </c>
      <c r="B1724" s="364" t="s">
        <v>23</v>
      </c>
      <c r="C1724" s="365" t="s">
        <v>439</v>
      </c>
      <c r="D1724" s="364" t="s">
        <v>440</v>
      </c>
      <c r="E1724" s="366">
        <v>2.0</v>
      </c>
      <c r="F1724" s="367">
        <v>45846.375</v>
      </c>
      <c r="G1724" s="364" t="s">
        <v>1185</v>
      </c>
      <c r="H1724" s="364" t="s">
        <v>1200</v>
      </c>
    </row>
    <row r="1725" ht="15.75" customHeight="1">
      <c r="A1725" s="364" t="s">
        <v>66</v>
      </c>
      <c r="B1725" s="364" t="s">
        <v>23</v>
      </c>
      <c r="C1725" s="365" t="s">
        <v>439</v>
      </c>
      <c r="D1725" s="364" t="s">
        <v>440</v>
      </c>
      <c r="E1725" s="366">
        <v>3.0</v>
      </c>
      <c r="F1725" s="367">
        <v>45852.41666666667</v>
      </c>
      <c r="G1725" s="364" t="s">
        <v>1185</v>
      </c>
      <c r="H1725" s="364" t="s">
        <v>1200</v>
      </c>
    </row>
    <row r="1726" ht="15.75" customHeight="1">
      <c r="A1726" s="364" t="s">
        <v>66</v>
      </c>
      <c r="B1726" s="364" t="s">
        <v>23</v>
      </c>
      <c r="C1726" s="365" t="s">
        <v>439</v>
      </c>
      <c r="D1726" s="364" t="s">
        <v>440</v>
      </c>
      <c r="E1726" s="366">
        <v>4.0</v>
      </c>
      <c r="F1726" s="367">
        <v>45859.41666666667</v>
      </c>
      <c r="G1726" s="364" t="s">
        <v>1185</v>
      </c>
      <c r="H1726" s="364" t="s">
        <v>1200</v>
      </c>
    </row>
    <row r="1727" ht="15.75" customHeight="1">
      <c r="A1727" s="364" t="s">
        <v>66</v>
      </c>
      <c r="B1727" s="364" t="s">
        <v>23</v>
      </c>
      <c r="C1727" s="365" t="s">
        <v>651</v>
      </c>
      <c r="D1727" s="364" t="s">
        <v>652</v>
      </c>
      <c r="E1727" s="366">
        <v>1.0</v>
      </c>
      <c r="F1727" s="367">
        <v>45839.375</v>
      </c>
      <c r="G1727" s="364" t="s">
        <v>1185</v>
      </c>
      <c r="H1727" s="364" t="s">
        <v>1200</v>
      </c>
    </row>
    <row r="1728" ht="15.75" customHeight="1">
      <c r="A1728" s="364" t="s">
        <v>66</v>
      </c>
      <c r="B1728" s="364" t="s">
        <v>23</v>
      </c>
      <c r="C1728" s="365" t="s">
        <v>651</v>
      </c>
      <c r="D1728" s="364" t="s">
        <v>652</v>
      </c>
      <c r="E1728" s="366">
        <v>2.0</v>
      </c>
      <c r="F1728" s="367">
        <v>45846.375</v>
      </c>
      <c r="G1728" s="364" t="s">
        <v>1185</v>
      </c>
      <c r="H1728" s="364" t="s">
        <v>1200</v>
      </c>
    </row>
    <row r="1729" ht="15.75" customHeight="1">
      <c r="A1729" s="364" t="s">
        <v>66</v>
      </c>
      <c r="B1729" s="364" t="s">
        <v>23</v>
      </c>
      <c r="C1729" s="365" t="s">
        <v>651</v>
      </c>
      <c r="D1729" s="364" t="s">
        <v>652</v>
      </c>
      <c r="E1729" s="366">
        <v>3.0</v>
      </c>
      <c r="F1729" s="367">
        <v>45852.41666666667</v>
      </c>
      <c r="G1729" s="364" t="s">
        <v>1185</v>
      </c>
      <c r="H1729" s="364" t="s">
        <v>1200</v>
      </c>
    </row>
    <row r="1730" ht="15.75" customHeight="1">
      <c r="A1730" s="364" t="s">
        <v>66</v>
      </c>
      <c r="B1730" s="364" t="s">
        <v>23</v>
      </c>
      <c r="C1730" s="365" t="s">
        <v>651</v>
      </c>
      <c r="D1730" s="364" t="s">
        <v>652</v>
      </c>
      <c r="E1730" s="366">
        <v>4.0</v>
      </c>
      <c r="F1730" s="367">
        <v>45859.41666666667</v>
      </c>
      <c r="G1730" s="364" t="s">
        <v>1185</v>
      </c>
      <c r="H1730" s="364" t="s">
        <v>1200</v>
      </c>
    </row>
    <row r="1731" ht="15.75" customHeight="1">
      <c r="A1731" s="364" t="s">
        <v>99</v>
      </c>
      <c r="B1731" s="364" t="s">
        <v>22</v>
      </c>
      <c r="C1731" s="365" t="s">
        <v>395</v>
      </c>
      <c r="D1731" s="364" t="s">
        <v>396</v>
      </c>
      <c r="E1731" s="366">
        <v>1.0</v>
      </c>
      <c r="F1731" s="367">
        <v>45693.45833333333</v>
      </c>
      <c r="G1731" s="364" t="s">
        <v>1185</v>
      </c>
      <c r="H1731" s="364" t="s">
        <v>1201</v>
      </c>
    </row>
    <row r="1732" ht="15.75" customHeight="1">
      <c r="A1732" s="364" t="s">
        <v>99</v>
      </c>
      <c r="B1732" s="364" t="s">
        <v>22</v>
      </c>
      <c r="C1732" s="365" t="s">
        <v>395</v>
      </c>
      <c r="D1732" s="364" t="s">
        <v>396</v>
      </c>
      <c r="E1732" s="366">
        <v>2.0</v>
      </c>
      <c r="F1732" s="367">
        <v>45705.58333333333</v>
      </c>
      <c r="G1732" s="364" t="s">
        <v>1185</v>
      </c>
      <c r="H1732" s="364" t="s">
        <v>1201</v>
      </c>
    </row>
    <row r="1733" ht="15.75" customHeight="1">
      <c r="A1733" s="364" t="s">
        <v>99</v>
      </c>
      <c r="B1733" s="364" t="s">
        <v>22</v>
      </c>
      <c r="C1733" s="365" t="s">
        <v>395</v>
      </c>
      <c r="D1733" s="364" t="s">
        <v>396</v>
      </c>
      <c r="E1733" s="366">
        <v>3.0</v>
      </c>
      <c r="F1733" s="367">
        <v>45712.58333333333</v>
      </c>
      <c r="G1733" s="364" t="s">
        <v>1185</v>
      </c>
      <c r="H1733" s="364" t="s">
        <v>1201</v>
      </c>
    </row>
    <row r="1734" ht="15.75" customHeight="1">
      <c r="A1734" s="364" t="s">
        <v>99</v>
      </c>
      <c r="B1734" s="364" t="s">
        <v>22</v>
      </c>
      <c r="C1734" s="365" t="s">
        <v>398</v>
      </c>
      <c r="D1734" s="364" t="s">
        <v>399</v>
      </c>
      <c r="E1734" s="366">
        <v>1.0</v>
      </c>
      <c r="F1734" s="367">
        <v>45693.45833333333</v>
      </c>
      <c r="G1734" s="364" t="s">
        <v>1185</v>
      </c>
      <c r="H1734" s="364" t="s">
        <v>1201</v>
      </c>
    </row>
    <row r="1735" ht="15.75" customHeight="1">
      <c r="A1735" s="364" t="s">
        <v>99</v>
      </c>
      <c r="B1735" s="364" t="s">
        <v>22</v>
      </c>
      <c r="C1735" s="365" t="s">
        <v>398</v>
      </c>
      <c r="D1735" s="364" t="s">
        <v>399</v>
      </c>
      <c r="E1735" s="366">
        <v>2.0</v>
      </c>
      <c r="F1735" s="367">
        <v>45705.58333333333</v>
      </c>
      <c r="G1735" s="364" t="s">
        <v>1185</v>
      </c>
      <c r="H1735" s="364" t="s">
        <v>1201</v>
      </c>
    </row>
    <row r="1736" ht="15.75" customHeight="1">
      <c r="A1736" s="364" t="s">
        <v>99</v>
      </c>
      <c r="B1736" s="364" t="s">
        <v>22</v>
      </c>
      <c r="C1736" s="365" t="s">
        <v>398</v>
      </c>
      <c r="D1736" s="364" t="s">
        <v>399</v>
      </c>
      <c r="E1736" s="366">
        <v>3.0</v>
      </c>
      <c r="F1736" s="367">
        <v>45712.58333333333</v>
      </c>
      <c r="G1736" s="364" t="s">
        <v>1187</v>
      </c>
      <c r="H1736" s="364" t="s">
        <v>1201</v>
      </c>
    </row>
    <row r="1737" ht="15.75" customHeight="1">
      <c r="A1737" s="364" t="s">
        <v>99</v>
      </c>
      <c r="B1737" s="364" t="s">
        <v>22</v>
      </c>
      <c r="C1737" s="365" t="s">
        <v>401</v>
      </c>
      <c r="D1737" s="364" t="s">
        <v>402</v>
      </c>
      <c r="E1737" s="366">
        <v>1.0</v>
      </c>
      <c r="F1737" s="367">
        <v>45693.45833333333</v>
      </c>
      <c r="G1737" s="364" t="s">
        <v>1185</v>
      </c>
      <c r="H1737" s="364" t="s">
        <v>1201</v>
      </c>
    </row>
    <row r="1738" ht="15.75" customHeight="1">
      <c r="A1738" s="364" t="s">
        <v>99</v>
      </c>
      <c r="B1738" s="364" t="s">
        <v>22</v>
      </c>
      <c r="C1738" s="365" t="s">
        <v>401</v>
      </c>
      <c r="D1738" s="364" t="s">
        <v>402</v>
      </c>
      <c r="E1738" s="366">
        <v>2.0</v>
      </c>
      <c r="F1738" s="367">
        <v>45705.58333333333</v>
      </c>
      <c r="G1738" s="364" t="s">
        <v>1185</v>
      </c>
      <c r="H1738" s="364" t="s">
        <v>1201</v>
      </c>
    </row>
    <row r="1739" ht="15.75" customHeight="1">
      <c r="A1739" s="364" t="s">
        <v>99</v>
      </c>
      <c r="B1739" s="364" t="s">
        <v>22</v>
      </c>
      <c r="C1739" s="365" t="s">
        <v>401</v>
      </c>
      <c r="D1739" s="364" t="s">
        <v>402</v>
      </c>
      <c r="E1739" s="366">
        <v>3.0</v>
      </c>
      <c r="F1739" s="367">
        <v>45712.58333333333</v>
      </c>
      <c r="G1739" s="364" t="s">
        <v>1187</v>
      </c>
      <c r="H1739" s="364" t="s">
        <v>1201</v>
      </c>
    </row>
    <row r="1740" ht="15.75" customHeight="1">
      <c r="A1740" s="364" t="s">
        <v>99</v>
      </c>
      <c r="B1740" s="364" t="s">
        <v>22</v>
      </c>
      <c r="C1740" s="365" t="s">
        <v>403</v>
      </c>
      <c r="D1740" s="364" t="s">
        <v>404</v>
      </c>
      <c r="E1740" s="366">
        <v>1.0</v>
      </c>
      <c r="F1740" s="367">
        <v>45693.45833333333</v>
      </c>
      <c r="G1740" s="364" t="s">
        <v>1185</v>
      </c>
      <c r="H1740" s="364" t="s">
        <v>1201</v>
      </c>
    </row>
    <row r="1741" ht="15.75" customHeight="1">
      <c r="A1741" s="364" t="s">
        <v>99</v>
      </c>
      <c r="B1741" s="364" t="s">
        <v>22</v>
      </c>
      <c r="C1741" s="365" t="s">
        <v>403</v>
      </c>
      <c r="D1741" s="364" t="s">
        <v>404</v>
      </c>
      <c r="E1741" s="366">
        <v>2.0</v>
      </c>
      <c r="F1741" s="367">
        <v>45705.58333333333</v>
      </c>
      <c r="G1741" s="364" t="s">
        <v>1185</v>
      </c>
      <c r="H1741" s="364" t="s">
        <v>1201</v>
      </c>
    </row>
    <row r="1742" ht="15.75" customHeight="1">
      <c r="A1742" s="364" t="s">
        <v>99</v>
      </c>
      <c r="B1742" s="364" t="s">
        <v>22</v>
      </c>
      <c r="C1742" s="365" t="s">
        <v>403</v>
      </c>
      <c r="D1742" s="364" t="s">
        <v>404</v>
      </c>
      <c r="E1742" s="366">
        <v>3.0</v>
      </c>
      <c r="F1742" s="367">
        <v>45712.58333333333</v>
      </c>
      <c r="G1742" s="364" t="s">
        <v>1185</v>
      </c>
      <c r="H1742" s="364" t="s">
        <v>1201</v>
      </c>
    </row>
    <row r="1743" ht="15.75" customHeight="1">
      <c r="A1743" s="364" t="s">
        <v>99</v>
      </c>
      <c r="B1743" s="364" t="s">
        <v>22</v>
      </c>
      <c r="C1743" s="365" t="s">
        <v>405</v>
      </c>
      <c r="D1743" s="364" t="s">
        <v>406</v>
      </c>
      <c r="E1743" s="366">
        <v>1.0</v>
      </c>
      <c r="F1743" s="367">
        <v>45693.45833333333</v>
      </c>
      <c r="G1743" s="364" t="s">
        <v>1185</v>
      </c>
      <c r="H1743" s="364" t="s">
        <v>1201</v>
      </c>
    </row>
    <row r="1744" ht="15.75" customHeight="1">
      <c r="A1744" s="364" t="s">
        <v>99</v>
      </c>
      <c r="B1744" s="364" t="s">
        <v>22</v>
      </c>
      <c r="C1744" s="365" t="s">
        <v>405</v>
      </c>
      <c r="D1744" s="364" t="s">
        <v>406</v>
      </c>
      <c r="E1744" s="366">
        <v>2.0</v>
      </c>
      <c r="F1744" s="367">
        <v>45705.58333333333</v>
      </c>
      <c r="G1744" s="364" t="s">
        <v>1185</v>
      </c>
      <c r="H1744" s="364" t="s">
        <v>1201</v>
      </c>
    </row>
    <row r="1745" ht="15.75" customHeight="1">
      <c r="A1745" s="364" t="s">
        <v>99</v>
      </c>
      <c r="B1745" s="364" t="s">
        <v>22</v>
      </c>
      <c r="C1745" s="365" t="s">
        <v>405</v>
      </c>
      <c r="D1745" s="364" t="s">
        <v>406</v>
      </c>
      <c r="E1745" s="366">
        <v>3.0</v>
      </c>
      <c r="F1745" s="367">
        <v>45712.58333333333</v>
      </c>
      <c r="G1745" s="364" t="s">
        <v>1187</v>
      </c>
      <c r="H1745" s="364" t="s">
        <v>1201</v>
      </c>
    </row>
    <row r="1746" ht="15.75" customHeight="1">
      <c r="A1746" s="364" t="s">
        <v>99</v>
      </c>
      <c r="B1746" s="364" t="s">
        <v>22</v>
      </c>
      <c r="C1746" s="365" t="s">
        <v>407</v>
      </c>
      <c r="D1746" s="364" t="s">
        <v>408</v>
      </c>
      <c r="E1746" s="366">
        <v>1.0</v>
      </c>
      <c r="F1746" s="367">
        <v>45693.45833333333</v>
      </c>
      <c r="G1746" s="364" t="s">
        <v>1185</v>
      </c>
      <c r="H1746" s="364" t="s">
        <v>1201</v>
      </c>
    </row>
    <row r="1747" ht="15.75" customHeight="1">
      <c r="A1747" s="364" t="s">
        <v>99</v>
      </c>
      <c r="B1747" s="364" t="s">
        <v>22</v>
      </c>
      <c r="C1747" s="365" t="s">
        <v>407</v>
      </c>
      <c r="D1747" s="364" t="s">
        <v>408</v>
      </c>
      <c r="E1747" s="366">
        <v>2.0</v>
      </c>
      <c r="F1747" s="367">
        <v>45705.58333333333</v>
      </c>
      <c r="G1747" s="364" t="s">
        <v>1185</v>
      </c>
      <c r="H1747" s="364" t="s">
        <v>1201</v>
      </c>
    </row>
    <row r="1748" ht="15.75" customHeight="1">
      <c r="A1748" s="364" t="s">
        <v>99</v>
      </c>
      <c r="B1748" s="364" t="s">
        <v>22</v>
      </c>
      <c r="C1748" s="365" t="s">
        <v>407</v>
      </c>
      <c r="D1748" s="364" t="s">
        <v>408</v>
      </c>
      <c r="E1748" s="366">
        <v>3.0</v>
      </c>
      <c r="F1748" s="367">
        <v>45712.58333333333</v>
      </c>
      <c r="G1748" s="364" t="s">
        <v>1185</v>
      </c>
      <c r="H1748" s="364" t="s">
        <v>1201</v>
      </c>
    </row>
    <row r="1749" ht="15.75" customHeight="1">
      <c r="A1749" s="364" t="s">
        <v>67</v>
      </c>
      <c r="B1749" s="364" t="s">
        <v>22</v>
      </c>
      <c r="C1749" s="365" t="s">
        <v>445</v>
      </c>
      <c r="D1749" s="364" t="s">
        <v>446</v>
      </c>
      <c r="E1749" s="366">
        <v>1.0</v>
      </c>
      <c r="F1749" s="367">
        <v>45639.45833333333</v>
      </c>
      <c r="G1749" s="364" t="s">
        <v>1185</v>
      </c>
      <c r="H1749" s="364" t="s">
        <v>1202</v>
      </c>
    </row>
    <row r="1750" ht="15.75" customHeight="1">
      <c r="A1750" s="364" t="s">
        <v>67</v>
      </c>
      <c r="B1750" s="364" t="s">
        <v>22</v>
      </c>
      <c r="C1750" s="365" t="s">
        <v>445</v>
      </c>
      <c r="D1750" s="364" t="s">
        <v>446</v>
      </c>
      <c r="E1750" s="366">
        <v>2.0</v>
      </c>
      <c r="F1750" s="367">
        <v>45643.39583333333</v>
      </c>
      <c r="G1750" s="364" t="s">
        <v>1185</v>
      </c>
      <c r="H1750" s="364" t="s">
        <v>1202</v>
      </c>
    </row>
    <row r="1751" ht="15.75" customHeight="1">
      <c r="A1751" s="364" t="s">
        <v>67</v>
      </c>
      <c r="B1751" s="364" t="s">
        <v>22</v>
      </c>
      <c r="C1751" s="365" t="s">
        <v>445</v>
      </c>
      <c r="D1751" s="364" t="s">
        <v>446</v>
      </c>
      <c r="E1751" s="366">
        <v>3.0</v>
      </c>
      <c r="F1751" s="367">
        <v>45653.41666666667</v>
      </c>
      <c r="G1751" s="364" t="s">
        <v>1185</v>
      </c>
      <c r="H1751" s="364" t="s">
        <v>1202</v>
      </c>
    </row>
    <row r="1752" ht="15.75" customHeight="1">
      <c r="A1752" s="364" t="s">
        <v>67</v>
      </c>
      <c r="B1752" s="364" t="s">
        <v>22</v>
      </c>
      <c r="C1752" s="365" t="s">
        <v>445</v>
      </c>
      <c r="D1752" s="364" t="s">
        <v>446</v>
      </c>
      <c r="E1752" s="366">
        <v>4.0</v>
      </c>
      <c r="F1752" s="367">
        <v>45667.375</v>
      </c>
      <c r="G1752" s="364" t="s">
        <v>1185</v>
      </c>
      <c r="H1752" s="364" t="s">
        <v>1202</v>
      </c>
    </row>
    <row r="1753" ht="15.75" customHeight="1">
      <c r="A1753" s="364" t="s">
        <v>67</v>
      </c>
      <c r="B1753" s="364" t="s">
        <v>22</v>
      </c>
      <c r="C1753" s="365" t="s">
        <v>445</v>
      </c>
      <c r="D1753" s="364" t="s">
        <v>446</v>
      </c>
      <c r="E1753" s="366">
        <v>5.0</v>
      </c>
      <c r="F1753" s="367">
        <v>45674.375</v>
      </c>
      <c r="G1753" s="364" t="s">
        <v>1185</v>
      </c>
      <c r="H1753" s="364" t="s">
        <v>1202</v>
      </c>
    </row>
    <row r="1754" ht="15.75" customHeight="1">
      <c r="A1754" s="364" t="s">
        <v>67</v>
      </c>
      <c r="B1754" s="364" t="s">
        <v>22</v>
      </c>
      <c r="C1754" s="365" t="s">
        <v>445</v>
      </c>
      <c r="D1754" s="364" t="s">
        <v>446</v>
      </c>
      <c r="E1754" s="366">
        <v>6.0</v>
      </c>
      <c r="F1754" s="367">
        <v>45693.58333333333</v>
      </c>
      <c r="G1754" s="364" t="s">
        <v>1185</v>
      </c>
      <c r="H1754" s="364" t="s">
        <v>1202</v>
      </c>
    </row>
    <row r="1755" ht="15.75" customHeight="1">
      <c r="A1755" s="364" t="s">
        <v>67</v>
      </c>
      <c r="B1755" s="364" t="s">
        <v>22</v>
      </c>
      <c r="C1755" s="365" t="s">
        <v>445</v>
      </c>
      <c r="D1755" s="364" t="s">
        <v>446</v>
      </c>
      <c r="E1755" s="366">
        <v>7.0</v>
      </c>
      <c r="F1755" s="367">
        <v>45698.54166666667</v>
      </c>
      <c r="G1755" s="364" t="s">
        <v>1187</v>
      </c>
      <c r="H1755" s="364" t="s">
        <v>1202</v>
      </c>
    </row>
    <row r="1756" ht="15.75" customHeight="1">
      <c r="A1756" s="364" t="s">
        <v>67</v>
      </c>
      <c r="B1756" s="364" t="s">
        <v>22</v>
      </c>
      <c r="C1756" s="365" t="s">
        <v>445</v>
      </c>
      <c r="D1756" s="364" t="s">
        <v>446</v>
      </c>
      <c r="E1756" s="366">
        <v>8.0</v>
      </c>
      <c r="F1756" s="367">
        <v>45707.41666666667</v>
      </c>
      <c r="G1756" s="364" t="s">
        <v>1185</v>
      </c>
      <c r="H1756" s="364" t="s">
        <v>1202</v>
      </c>
    </row>
    <row r="1757" ht="15.75" customHeight="1">
      <c r="A1757" s="364" t="s">
        <v>67</v>
      </c>
      <c r="B1757" s="364" t="s">
        <v>22</v>
      </c>
      <c r="C1757" s="365" t="s">
        <v>445</v>
      </c>
      <c r="D1757" s="364" t="s">
        <v>446</v>
      </c>
      <c r="E1757" s="366">
        <v>9.0</v>
      </c>
      <c r="F1757" s="367">
        <v>45714.41666666667</v>
      </c>
      <c r="G1757" s="364" t="s">
        <v>1185</v>
      </c>
      <c r="H1757" s="364" t="s">
        <v>1202</v>
      </c>
    </row>
    <row r="1758" ht="15.75" customHeight="1">
      <c r="A1758" s="364" t="s">
        <v>67</v>
      </c>
      <c r="B1758" s="364" t="s">
        <v>22</v>
      </c>
      <c r="C1758" s="365" t="s">
        <v>445</v>
      </c>
      <c r="D1758" s="364" t="s">
        <v>446</v>
      </c>
      <c r="E1758" s="366">
        <v>10.0</v>
      </c>
      <c r="F1758" s="367">
        <v>45769.58333333333</v>
      </c>
      <c r="G1758" s="364" t="s">
        <v>1185</v>
      </c>
      <c r="H1758" s="364" t="s">
        <v>1202</v>
      </c>
    </row>
    <row r="1759" ht="15.75" customHeight="1">
      <c r="A1759" s="364" t="s">
        <v>67</v>
      </c>
      <c r="B1759" s="364" t="s">
        <v>22</v>
      </c>
      <c r="C1759" s="365" t="s">
        <v>447</v>
      </c>
      <c r="D1759" s="364" t="s">
        <v>448</v>
      </c>
      <c r="E1759" s="366">
        <v>1.0</v>
      </c>
      <c r="F1759" s="367">
        <v>45639.45833333333</v>
      </c>
      <c r="G1759" s="364" t="s">
        <v>1185</v>
      </c>
      <c r="H1759" s="364" t="s">
        <v>1202</v>
      </c>
    </row>
    <row r="1760" ht="15.75" customHeight="1">
      <c r="A1760" s="364" t="s">
        <v>67</v>
      </c>
      <c r="B1760" s="364" t="s">
        <v>22</v>
      </c>
      <c r="C1760" s="365" t="s">
        <v>447</v>
      </c>
      <c r="D1760" s="364" t="s">
        <v>448</v>
      </c>
      <c r="E1760" s="366">
        <v>2.0</v>
      </c>
      <c r="F1760" s="367">
        <v>45643.39583333333</v>
      </c>
      <c r="G1760" s="364" t="s">
        <v>1187</v>
      </c>
      <c r="H1760" s="364" t="s">
        <v>1202</v>
      </c>
    </row>
    <row r="1761" ht="15.75" customHeight="1">
      <c r="A1761" s="364" t="s">
        <v>67</v>
      </c>
      <c r="B1761" s="364" t="s">
        <v>22</v>
      </c>
      <c r="C1761" s="365" t="s">
        <v>447</v>
      </c>
      <c r="D1761" s="364" t="s">
        <v>448</v>
      </c>
      <c r="E1761" s="366">
        <v>3.0</v>
      </c>
      <c r="F1761" s="367">
        <v>45653.41666666667</v>
      </c>
      <c r="G1761" s="364" t="s">
        <v>1185</v>
      </c>
      <c r="H1761" s="364" t="s">
        <v>1202</v>
      </c>
    </row>
    <row r="1762" ht="15.75" customHeight="1">
      <c r="A1762" s="364" t="s">
        <v>67</v>
      </c>
      <c r="B1762" s="364" t="s">
        <v>22</v>
      </c>
      <c r="C1762" s="365" t="s">
        <v>447</v>
      </c>
      <c r="D1762" s="364" t="s">
        <v>448</v>
      </c>
      <c r="E1762" s="366">
        <v>4.0</v>
      </c>
      <c r="F1762" s="367">
        <v>45667.375</v>
      </c>
      <c r="G1762" s="364" t="s">
        <v>1187</v>
      </c>
      <c r="H1762" s="364" t="s">
        <v>1202</v>
      </c>
    </row>
    <row r="1763" ht="15.75" customHeight="1">
      <c r="A1763" s="364" t="s">
        <v>67</v>
      </c>
      <c r="B1763" s="364" t="s">
        <v>22</v>
      </c>
      <c r="C1763" s="365" t="s">
        <v>447</v>
      </c>
      <c r="D1763" s="364" t="s">
        <v>448</v>
      </c>
      <c r="E1763" s="366">
        <v>5.0</v>
      </c>
      <c r="F1763" s="367">
        <v>45674.375</v>
      </c>
      <c r="G1763" s="364" t="s">
        <v>1185</v>
      </c>
      <c r="H1763" s="364" t="s">
        <v>1202</v>
      </c>
    </row>
    <row r="1764" ht="15.75" customHeight="1">
      <c r="A1764" s="364" t="s">
        <v>67</v>
      </c>
      <c r="B1764" s="364" t="s">
        <v>22</v>
      </c>
      <c r="C1764" s="365" t="s">
        <v>447</v>
      </c>
      <c r="D1764" s="364" t="s">
        <v>448</v>
      </c>
      <c r="E1764" s="366">
        <v>6.0</v>
      </c>
      <c r="F1764" s="367">
        <v>45693.58333333333</v>
      </c>
      <c r="G1764" s="364" t="s">
        <v>1185</v>
      </c>
      <c r="H1764" s="364" t="s">
        <v>1202</v>
      </c>
    </row>
    <row r="1765" ht="15.75" customHeight="1">
      <c r="A1765" s="364" t="s">
        <v>67</v>
      </c>
      <c r="B1765" s="364" t="s">
        <v>22</v>
      </c>
      <c r="C1765" s="365" t="s">
        <v>447</v>
      </c>
      <c r="D1765" s="364" t="s">
        <v>448</v>
      </c>
      <c r="E1765" s="366">
        <v>7.0</v>
      </c>
      <c r="F1765" s="367">
        <v>45698.54166666667</v>
      </c>
      <c r="G1765" s="364" t="s">
        <v>1185</v>
      </c>
      <c r="H1765" s="364" t="s">
        <v>1202</v>
      </c>
    </row>
    <row r="1766" ht="15.75" customHeight="1">
      <c r="A1766" s="364" t="s">
        <v>67</v>
      </c>
      <c r="B1766" s="364" t="s">
        <v>22</v>
      </c>
      <c r="C1766" s="365" t="s">
        <v>447</v>
      </c>
      <c r="D1766" s="364" t="s">
        <v>448</v>
      </c>
      <c r="E1766" s="366">
        <v>8.0</v>
      </c>
      <c r="F1766" s="367">
        <v>45707.41666666667</v>
      </c>
      <c r="G1766" s="364" t="s">
        <v>1185</v>
      </c>
      <c r="H1766" s="364" t="s">
        <v>1202</v>
      </c>
    </row>
    <row r="1767" ht="15.75" customHeight="1">
      <c r="A1767" s="364" t="s">
        <v>67</v>
      </c>
      <c r="B1767" s="364" t="s">
        <v>22</v>
      </c>
      <c r="C1767" s="365" t="s">
        <v>447</v>
      </c>
      <c r="D1767" s="364" t="s">
        <v>448</v>
      </c>
      <c r="E1767" s="366">
        <v>9.0</v>
      </c>
      <c r="F1767" s="367">
        <v>45714.41666666667</v>
      </c>
      <c r="G1767" s="364" t="s">
        <v>1185</v>
      </c>
      <c r="H1767" s="364" t="s">
        <v>1202</v>
      </c>
    </row>
    <row r="1768" ht="15.75" customHeight="1">
      <c r="A1768" s="364" t="s">
        <v>67</v>
      </c>
      <c r="B1768" s="364" t="s">
        <v>22</v>
      </c>
      <c r="C1768" s="365" t="s">
        <v>447</v>
      </c>
      <c r="D1768" s="364" t="s">
        <v>448</v>
      </c>
      <c r="E1768" s="366">
        <v>10.0</v>
      </c>
      <c r="F1768" s="367">
        <v>45769.58333333333</v>
      </c>
      <c r="G1768" s="364" t="s">
        <v>1185</v>
      </c>
      <c r="H1768" s="364" t="s">
        <v>1202</v>
      </c>
    </row>
    <row r="1769" ht="15.75" customHeight="1">
      <c r="A1769" s="364" t="s">
        <v>67</v>
      </c>
      <c r="B1769" s="364" t="s">
        <v>22</v>
      </c>
      <c r="C1769" s="365" t="s">
        <v>449</v>
      </c>
      <c r="D1769" s="364" t="s">
        <v>450</v>
      </c>
      <c r="E1769" s="366">
        <v>1.0</v>
      </c>
      <c r="F1769" s="367">
        <v>45639.45833333333</v>
      </c>
      <c r="G1769" s="364" t="s">
        <v>1185</v>
      </c>
      <c r="H1769" s="364" t="s">
        <v>1202</v>
      </c>
    </row>
    <row r="1770" ht="15.75" customHeight="1">
      <c r="A1770" s="364" t="s">
        <v>67</v>
      </c>
      <c r="B1770" s="364" t="s">
        <v>22</v>
      </c>
      <c r="C1770" s="365" t="s">
        <v>449</v>
      </c>
      <c r="D1770" s="364" t="s">
        <v>450</v>
      </c>
      <c r="E1770" s="366">
        <v>2.0</v>
      </c>
      <c r="F1770" s="367">
        <v>45643.39583333333</v>
      </c>
      <c r="G1770" s="364" t="s">
        <v>1185</v>
      </c>
      <c r="H1770" s="364" t="s">
        <v>1202</v>
      </c>
    </row>
    <row r="1771" ht="15.75" customHeight="1">
      <c r="A1771" s="364" t="s">
        <v>67</v>
      </c>
      <c r="B1771" s="364" t="s">
        <v>22</v>
      </c>
      <c r="C1771" s="365" t="s">
        <v>449</v>
      </c>
      <c r="D1771" s="364" t="s">
        <v>450</v>
      </c>
      <c r="E1771" s="366">
        <v>3.0</v>
      </c>
      <c r="F1771" s="367">
        <v>45653.41666666667</v>
      </c>
      <c r="G1771" s="364" t="s">
        <v>1185</v>
      </c>
      <c r="H1771" s="364" t="s">
        <v>1202</v>
      </c>
    </row>
    <row r="1772" ht="15.75" customHeight="1">
      <c r="A1772" s="364" t="s">
        <v>67</v>
      </c>
      <c r="B1772" s="364" t="s">
        <v>22</v>
      </c>
      <c r="C1772" s="365" t="s">
        <v>449</v>
      </c>
      <c r="D1772" s="364" t="s">
        <v>450</v>
      </c>
      <c r="E1772" s="366">
        <v>4.0</v>
      </c>
      <c r="F1772" s="367">
        <v>45667.375</v>
      </c>
      <c r="G1772" s="364" t="s">
        <v>1187</v>
      </c>
      <c r="H1772" s="364" t="s">
        <v>1202</v>
      </c>
    </row>
    <row r="1773" ht="15.75" customHeight="1">
      <c r="A1773" s="364" t="s">
        <v>67</v>
      </c>
      <c r="B1773" s="364" t="s">
        <v>22</v>
      </c>
      <c r="C1773" s="365" t="s">
        <v>449</v>
      </c>
      <c r="D1773" s="364" t="s">
        <v>450</v>
      </c>
      <c r="E1773" s="366">
        <v>5.0</v>
      </c>
      <c r="F1773" s="367">
        <v>45674.375</v>
      </c>
      <c r="G1773" s="364" t="s">
        <v>1187</v>
      </c>
      <c r="H1773" s="364" t="s">
        <v>1202</v>
      </c>
    </row>
    <row r="1774" ht="15.75" customHeight="1">
      <c r="A1774" s="364" t="s">
        <v>67</v>
      </c>
      <c r="B1774" s="364" t="s">
        <v>22</v>
      </c>
      <c r="C1774" s="365" t="s">
        <v>449</v>
      </c>
      <c r="D1774" s="364" t="s">
        <v>450</v>
      </c>
      <c r="E1774" s="366">
        <v>6.0</v>
      </c>
      <c r="F1774" s="367">
        <v>45693.58333333333</v>
      </c>
      <c r="G1774" s="364" t="s">
        <v>1185</v>
      </c>
      <c r="H1774" s="364" t="s">
        <v>1202</v>
      </c>
    </row>
    <row r="1775" ht="15.75" customHeight="1">
      <c r="A1775" s="364" t="s">
        <v>67</v>
      </c>
      <c r="B1775" s="364" t="s">
        <v>22</v>
      </c>
      <c r="C1775" s="365" t="s">
        <v>449</v>
      </c>
      <c r="D1775" s="364" t="s">
        <v>450</v>
      </c>
      <c r="E1775" s="366">
        <v>7.0</v>
      </c>
      <c r="F1775" s="367">
        <v>45698.54166666667</v>
      </c>
      <c r="G1775" s="364" t="s">
        <v>1185</v>
      </c>
      <c r="H1775" s="364" t="s">
        <v>1202</v>
      </c>
    </row>
    <row r="1776" ht="15.75" customHeight="1">
      <c r="A1776" s="364" t="s">
        <v>67</v>
      </c>
      <c r="B1776" s="364" t="s">
        <v>22</v>
      </c>
      <c r="C1776" s="365" t="s">
        <v>449</v>
      </c>
      <c r="D1776" s="364" t="s">
        <v>450</v>
      </c>
      <c r="E1776" s="366">
        <v>8.0</v>
      </c>
      <c r="F1776" s="367">
        <v>45707.41666666667</v>
      </c>
      <c r="G1776" s="364" t="s">
        <v>1185</v>
      </c>
      <c r="H1776" s="364" t="s">
        <v>1202</v>
      </c>
    </row>
    <row r="1777" ht="15.75" customHeight="1">
      <c r="A1777" s="364" t="s">
        <v>67</v>
      </c>
      <c r="B1777" s="364" t="s">
        <v>22</v>
      </c>
      <c r="C1777" s="365" t="s">
        <v>449</v>
      </c>
      <c r="D1777" s="364" t="s">
        <v>450</v>
      </c>
      <c r="E1777" s="366">
        <v>9.0</v>
      </c>
      <c r="F1777" s="367">
        <v>45714.41666666667</v>
      </c>
      <c r="G1777" s="364" t="s">
        <v>1185</v>
      </c>
      <c r="H1777" s="364" t="s">
        <v>1202</v>
      </c>
    </row>
    <row r="1778" ht="15.75" customHeight="1">
      <c r="A1778" s="364" t="s">
        <v>67</v>
      </c>
      <c r="B1778" s="364" t="s">
        <v>22</v>
      </c>
      <c r="C1778" s="365" t="s">
        <v>449</v>
      </c>
      <c r="D1778" s="364" t="s">
        <v>450</v>
      </c>
      <c r="E1778" s="366">
        <v>10.0</v>
      </c>
      <c r="F1778" s="367">
        <v>45769.58333333333</v>
      </c>
      <c r="G1778" s="364" t="s">
        <v>1185</v>
      </c>
      <c r="H1778" s="364" t="s">
        <v>1202</v>
      </c>
    </row>
    <row r="1779" ht="15.75" customHeight="1">
      <c r="A1779" s="364" t="s">
        <v>67</v>
      </c>
      <c r="B1779" s="364" t="s">
        <v>22</v>
      </c>
      <c r="C1779" s="365" t="s">
        <v>451</v>
      </c>
      <c r="D1779" s="364" t="s">
        <v>452</v>
      </c>
      <c r="E1779" s="366">
        <v>1.0</v>
      </c>
      <c r="F1779" s="367">
        <v>45639.45833333333</v>
      </c>
      <c r="G1779" s="364" t="s">
        <v>1185</v>
      </c>
      <c r="H1779" s="364" t="s">
        <v>1202</v>
      </c>
    </row>
    <row r="1780" ht="15.75" customHeight="1">
      <c r="A1780" s="364" t="s">
        <v>67</v>
      </c>
      <c r="B1780" s="364" t="s">
        <v>22</v>
      </c>
      <c r="C1780" s="365" t="s">
        <v>451</v>
      </c>
      <c r="D1780" s="364" t="s">
        <v>452</v>
      </c>
      <c r="E1780" s="366">
        <v>2.0</v>
      </c>
      <c r="F1780" s="367">
        <v>45643.39583333333</v>
      </c>
      <c r="G1780" s="364" t="s">
        <v>1187</v>
      </c>
      <c r="H1780" s="364" t="s">
        <v>1202</v>
      </c>
    </row>
    <row r="1781" ht="15.75" customHeight="1">
      <c r="A1781" s="364" t="s">
        <v>67</v>
      </c>
      <c r="B1781" s="364" t="s">
        <v>22</v>
      </c>
      <c r="C1781" s="365" t="s">
        <v>451</v>
      </c>
      <c r="D1781" s="364" t="s">
        <v>452</v>
      </c>
      <c r="E1781" s="366">
        <v>3.0</v>
      </c>
      <c r="F1781" s="367">
        <v>45653.41666666667</v>
      </c>
      <c r="G1781" s="364" t="s">
        <v>1187</v>
      </c>
      <c r="H1781" s="364" t="s">
        <v>1202</v>
      </c>
    </row>
    <row r="1782" ht="15.75" customHeight="1">
      <c r="A1782" s="364" t="s">
        <v>67</v>
      </c>
      <c r="B1782" s="364" t="s">
        <v>22</v>
      </c>
      <c r="C1782" s="365" t="s">
        <v>451</v>
      </c>
      <c r="D1782" s="364" t="s">
        <v>452</v>
      </c>
      <c r="E1782" s="366">
        <v>4.0</v>
      </c>
      <c r="F1782" s="367">
        <v>45667.375</v>
      </c>
      <c r="G1782" s="364" t="s">
        <v>1185</v>
      </c>
      <c r="H1782" s="364" t="s">
        <v>1202</v>
      </c>
    </row>
    <row r="1783" ht="15.75" customHeight="1">
      <c r="A1783" s="364" t="s">
        <v>67</v>
      </c>
      <c r="B1783" s="364" t="s">
        <v>22</v>
      </c>
      <c r="C1783" s="365" t="s">
        <v>451</v>
      </c>
      <c r="D1783" s="364" t="s">
        <v>452</v>
      </c>
      <c r="E1783" s="366">
        <v>5.0</v>
      </c>
      <c r="F1783" s="367">
        <v>45674.375</v>
      </c>
      <c r="G1783" s="364" t="s">
        <v>1185</v>
      </c>
      <c r="H1783" s="364" t="s">
        <v>1202</v>
      </c>
    </row>
    <row r="1784" ht="15.75" customHeight="1">
      <c r="A1784" s="364" t="s">
        <v>67</v>
      </c>
      <c r="B1784" s="364" t="s">
        <v>22</v>
      </c>
      <c r="C1784" s="365" t="s">
        <v>451</v>
      </c>
      <c r="D1784" s="364" t="s">
        <v>452</v>
      </c>
      <c r="E1784" s="366">
        <v>6.0</v>
      </c>
      <c r="F1784" s="367">
        <v>45693.58333333333</v>
      </c>
      <c r="G1784" s="364" t="s">
        <v>1185</v>
      </c>
      <c r="H1784" s="364" t="s">
        <v>1202</v>
      </c>
    </row>
    <row r="1785" ht="15.75" customHeight="1">
      <c r="A1785" s="364" t="s">
        <v>67</v>
      </c>
      <c r="B1785" s="364" t="s">
        <v>22</v>
      </c>
      <c r="C1785" s="365" t="s">
        <v>451</v>
      </c>
      <c r="D1785" s="364" t="s">
        <v>452</v>
      </c>
      <c r="E1785" s="366">
        <v>7.0</v>
      </c>
      <c r="F1785" s="367">
        <v>45698.54166666667</v>
      </c>
      <c r="G1785" s="364" t="s">
        <v>1185</v>
      </c>
      <c r="H1785" s="364" t="s">
        <v>1202</v>
      </c>
    </row>
    <row r="1786" ht="15.75" customHeight="1">
      <c r="A1786" s="364" t="s">
        <v>67</v>
      </c>
      <c r="B1786" s="364" t="s">
        <v>22</v>
      </c>
      <c r="C1786" s="365" t="s">
        <v>451</v>
      </c>
      <c r="D1786" s="364" t="s">
        <v>452</v>
      </c>
      <c r="E1786" s="366">
        <v>8.0</v>
      </c>
      <c r="F1786" s="367">
        <v>45707.41666666667</v>
      </c>
      <c r="G1786" s="364" t="s">
        <v>1185</v>
      </c>
      <c r="H1786" s="364" t="s">
        <v>1202</v>
      </c>
    </row>
    <row r="1787" ht="15.75" customHeight="1">
      <c r="A1787" s="364" t="s">
        <v>67</v>
      </c>
      <c r="B1787" s="364" t="s">
        <v>22</v>
      </c>
      <c r="C1787" s="365" t="s">
        <v>451</v>
      </c>
      <c r="D1787" s="364" t="s">
        <v>452</v>
      </c>
      <c r="E1787" s="366">
        <v>9.0</v>
      </c>
      <c r="F1787" s="367">
        <v>45714.41666666667</v>
      </c>
      <c r="G1787" s="364" t="s">
        <v>1187</v>
      </c>
      <c r="H1787" s="364" t="s">
        <v>1202</v>
      </c>
    </row>
    <row r="1788" ht="15.75" customHeight="1">
      <c r="A1788" s="364" t="s">
        <v>67</v>
      </c>
      <c r="B1788" s="364" t="s">
        <v>22</v>
      </c>
      <c r="C1788" s="365" t="s">
        <v>451</v>
      </c>
      <c r="D1788" s="364" t="s">
        <v>452</v>
      </c>
      <c r="E1788" s="366">
        <v>10.0</v>
      </c>
      <c r="F1788" s="367">
        <v>45769.58333333333</v>
      </c>
      <c r="G1788" s="364" t="s">
        <v>1185</v>
      </c>
      <c r="H1788" s="364" t="s">
        <v>1202</v>
      </c>
    </row>
    <row r="1789" ht="15.75" customHeight="1">
      <c r="A1789" s="364" t="s">
        <v>67</v>
      </c>
      <c r="B1789" s="364" t="s">
        <v>22</v>
      </c>
      <c r="C1789" s="365" t="s">
        <v>593</v>
      </c>
      <c r="D1789" s="364" t="s">
        <v>594</v>
      </c>
      <c r="E1789" s="366">
        <v>1.0</v>
      </c>
      <c r="F1789" s="367">
        <v>45639.45833333333</v>
      </c>
      <c r="G1789" s="364" t="s">
        <v>1185</v>
      </c>
      <c r="H1789" s="364" t="s">
        <v>1202</v>
      </c>
    </row>
    <row r="1790" ht="15.75" customHeight="1">
      <c r="A1790" s="364" t="s">
        <v>67</v>
      </c>
      <c r="B1790" s="364" t="s">
        <v>22</v>
      </c>
      <c r="C1790" s="365" t="s">
        <v>593</v>
      </c>
      <c r="D1790" s="364" t="s">
        <v>594</v>
      </c>
      <c r="E1790" s="366">
        <v>2.0</v>
      </c>
      <c r="F1790" s="367">
        <v>45643.39583333333</v>
      </c>
      <c r="G1790" s="364" t="s">
        <v>1185</v>
      </c>
      <c r="H1790" s="364" t="s">
        <v>1202</v>
      </c>
    </row>
    <row r="1791" ht="15.75" customHeight="1">
      <c r="A1791" s="364" t="s">
        <v>67</v>
      </c>
      <c r="B1791" s="364" t="s">
        <v>22</v>
      </c>
      <c r="C1791" s="365" t="s">
        <v>593</v>
      </c>
      <c r="D1791" s="364" t="s">
        <v>594</v>
      </c>
      <c r="E1791" s="366">
        <v>3.0</v>
      </c>
      <c r="F1791" s="367">
        <v>45653.41666666667</v>
      </c>
      <c r="G1791" s="364" t="s">
        <v>1185</v>
      </c>
      <c r="H1791" s="364" t="s">
        <v>1202</v>
      </c>
    </row>
    <row r="1792" ht="15.75" customHeight="1">
      <c r="A1792" s="364" t="s">
        <v>67</v>
      </c>
      <c r="B1792" s="364" t="s">
        <v>22</v>
      </c>
      <c r="C1792" s="365" t="s">
        <v>593</v>
      </c>
      <c r="D1792" s="364" t="s">
        <v>594</v>
      </c>
      <c r="E1792" s="366">
        <v>4.0</v>
      </c>
      <c r="F1792" s="367">
        <v>45667.375</v>
      </c>
      <c r="G1792" s="364" t="s">
        <v>1185</v>
      </c>
      <c r="H1792" s="364" t="s">
        <v>1202</v>
      </c>
    </row>
    <row r="1793" ht="15.75" customHeight="1">
      <c r="A1793" s="364" t="s">
        <v>67</v>
      </c>
      <c r="B1793" s="364" t="s">
        <v>22</v>
      </c>
      <c r="C1793" s="365" t="s">
        <v>593</v>
      </c>
      <c r="D1793" s="364" t="s">
        <v>594</v>
      </c>
      <c r="E1793" s="366">
        <v>5.0</v>
      </c>
      <c r="F1793" s="367">
        <v>45674.375</v>
      </c>
      <c r="G1793" s="364" t="s">
        <v>1185</v>
      </c>
      <c r="H1793" s="364" t="s">
        <v>1202</v>
      </c>
    </row>
    <row r="1794" ht="15.75" customHeight="1">
      <c r="A1794" s="364" t="s">
        <v>67</v>
      </c>
      <c r="B1794" s="364" t="s">
        <v>22</v>
      </c>
      <c r="C1794" s="365" t="s">
        <v>593</v>
      </c>
      <c r="D1794" s="364" t="s">
        <v>594</v>
      </c>
      <c r="E1794" s="366">
        <v>6.0</v>
      </c>
      <c r="F1794" s="367">
        <v>45693.58333333333</v>
      </c>
      <c r="G1794" s="364" t="s">
        <v>1185</v>
      </c>
      <c r="H1794" s="364" t="s">
        <v>1202</v>
      </c>
    </row>
    <row r="1795" ht="15.75" customHeight="1">
      <c r="A1795" s="364" t="s">
        <v>67</v>
      </c>
      <c r="B1795" s="364" t="s">
        <v>22</v>
      </c>
      <c r="C1795" s="365" t="s">
        <v>593</v>
      </c>
      <c r="D1795" s="364" t="s">
        <v>594</v>
      </c>
      <c r="E1795" s="366">
        <v>7.0</v>
      </c>
      <c r="F1795" s="367">
        <v>45698.54166666667</v>
      </c>
      <c r="G1795" s="364" t="s">
        <v>1185</v>
      </c>
      <c r="H1795" s="364" t="s">
        <v>1202</v>
      </c>
    </row>
    <row r="1796" ht="15.75" customHeight="1">
      <c r="A1796" s="364" t="s">
        <v>67</v>
      </c>
      <c r="B1796" s="364" t="s">
        <v>22</v>
      </c>
      <c r="C1796" s="365" t="s">
        <v>593</v>
      </c>
      <c r="D1796" s="364" t="s">
        <v>594</v>
      </c>
      <c r="E1796" s="366">
        <v>8.0</v>
      </c>
      <c r="F1796" s="367">
        <v>45707.41666666667</v>
      </c>
      <c r="G1796" s="364" t="s">
        <v>1185</v>
      </c>
      <c r="H1796" s="364" t="s">
        <v>1202</v>
      </c>
    </row>
    <row r="1797" ht="15.75" customHeight="1">
      <c r="A1797" s="364" t="s">
        <v>67</v>
      </c>
      <c r="B1797" s="364" t="s">
        <v>22</v>
      </c>
      <c r="C1797" s="365" t="s">
        <v>593</v>
      </c>
      <c r="D1797" s="364" t="s">
        <v>594</v>
      </c>
      <c r="E1797" s="366">
        <v>9.0</v>
      </c>
      <c r="F1797" s="367">
        <v>45714.41666666667</v>
      </c>
      <c r="G1797" s="364" t="s">
        <v>1185</v>
      </c>
      <c r="H1797" s="364" t="s">
        <v>1202</v>
      </c>
    </row>
    <row r="1798" ht="15.75" customHeight="1">
      <c r="A1798" s="364" t="s">
        <v>67</v>
      </c>
      <c r="B1798" s="364" t="s">
        <v>22</v>
      </c>
      <c r="C1798" s="365" t="s">
        <v>593</v>
      </c>
      <c r="D1798" s="364" t="s">
        <v>594</v>
      </c>
      <c r="E1798" s="366">
        <v>10.0</v>
      </c>
      <c r="F1798" s="367">
        <v>45769.58333333333</v>
      </c>
      <c r="G1798" s="364" t="s">
        <v>1185</v>
      </c>
      <c r="H1798" s="364" t="s">
        <v>1202</v>
      </c>
    </row>
    <row r="1799" ht="15.75" customHeight="1">
      <c r="A1799" s="364" t="s">
        <v>67</v>
      </c>
      <c r="B1799" s="364" t="s">
        <v>22</v>
      </c>
      <c r="C1799" s="365" t="s">
        <v>453</v>
      </c>
      <c r="D1799" s="364" t="s">
        <v>454</v>
      </c>
      <c r="E1799" s="366">
        <v>1.0</v>
      </c>
      <c r="F1799" s="367">
        <v>45639.45833333333</v>
      </c>
      <c r="G1799" s="364" t="s">
        <v>1185</v>
      </c>
      <c r="H1799" s="364" t="s">
        <v>1202</v>
      </c>
    </row>
    <row r="1800" ht="15.75" customHeight="1">
      <c r="A1800" s="364" t="s">
        <v>67</v>
      </c>
      <c r="B1800" s="364" t="s">
        <v>22</v>
      </c>
      <c r="C1800" s="365" t="s">
        <v>453</v>
      </c>
      <c r="D1800" s="364" t="s">
        <v>454</v>
      </c>
      <c r="E1800" s="366">
        <v>2.0</v>
      </c>
      <c r="F1800" s="367">
        <v>45643.39583333333</v>
      </c>
      <c r="G1800" s="364" t="s">
        <v>1185</v>
      </c>
      <c r="H1800" s="364" t="s">
        <v>1202</v>
      </c>
    </row>
    <row r="1801" ht="15.75" customHeight="1">
      <c r="A1801" s="364" t="s">
        <v>67</v>
      </c>
      <c r="B1801" s="364" t="s">
        <v>22</v>
      </c>
      <c r="C1801" s="365" t="s">
        <v>453</v>
      </c>
      <c r="D1801" s="364" t="s">
        <v>454</v>
      </c>
      <c r="E1801" s="366">
        <v>3.0</v>
      </c>
      <c r="F1801" s="367">
        <v>45653.41666666667</v>
      </c>
      <c r="G1801" s="364" t="s">
        <v>1185</v>
      </c>
      <c r="H1801" s="364" t="s">
        <v>1202</v>
      </c>
    </row>
    <row r="1802" ht="15.75" customHeight="1">
      <c r="A1802" s="364" t="s">
        <v>67</v>
      </c>
      <c r="B1802" s="364" t="s">
        <v>22</v>
      </c>
      <c r="C1802" s="365" t="s">
        <v>453</v>
      </c>
      <c r="D1802" s="364" t="s">
        <v>454</v>
      </c>
      <c r="E1802" s="366">
        <v>4.0</v>
      </c>
      <c r="F1802" s="367">
        <v>45667.375</v>
      </c>
      <c r="G1802" s="364" t="s">
        <v>1185</v>
      </c>
      <c r="H1802" s="364" t="s">
        <v>1202</v>
      </c>
    </row>
    <row r="1803" ht="15.75" customHeight="1">
      <c r="A1803" s="364" t="s">
        <v>67</v>
      </c>
      <c r="B1803" s="364" t="s">
        <v>22</v>
      </c>
      <c r="C1803" s="365" t="s">
        <v>453</v>
      </c>
      <c r="D1803" s="364" t="s">
        <v>454</v>
      </c>
      <c r="E1803" s="366">
        <v>5.0</v>
      </c>
      <c r="F1803" s="367">
        <v>45674.375</v>
      </c>
      <c r="G1803" s="364" t="s">
        <v>1185</v>
      </c>
      <c r="H1803" s="364" t="s">
        <v>1202</v>
      </c>
    </row>
    <row r="1804" ht="15.75" customHeight="1">
      <c r="A1804" s="364" t="s">
        <v>67</v>
      </c>
      <c r="B1804" s="364" t="s">
        <v>22</v>
      </c>
      <c r="C1804" s="365" t="s">
        <v>453</v>
      </c>
      <c r="D1804" s="364" t="s">
        <v>454</v>
      </c>
      <c r="E1804" s="366">
        <v>6.0</v>
      </c>
      <c r="F1804" s="367">
        <v>45693.58333333333</v>
      </c>
      <c r="G1804" s="364" t="s">
        <v>1185</v>
      </c>
      <c r="H1804" s="364" t="s">
        <v>1202</v>
      </c>
    </row>
    <row r="1805" ht="15.75" customHeight="1">
      <c r="A1805" s="364" t="s">
        <v>67</v>
      </c>
      <c r="B1805" s="364" t="s">
        <v>22</v>
      </c>
      <c r="C1805" s="365" t="s">
        <v>453</v>
      </c>
      <c r="D1805" s="364" t="s">
        <v>454</v>
      </c>
      <c r="E1805" s="366">
        <v>7.0</v>
      </c>
      <c r="F1805" s="367">
        <v>45698.54166666667</v>
      </c>
      <c r="G1805" s="364" t="s">
        <v>1185</v>
      </c>
      <c r="H1805" s="364" t="s">
        <v>1202</v>
      </c>
    </row>
    <row r="1806" ht="15.75" customHeight="1">
      <c r="A1806" s="364" t="s">
        <v>67</v>
      </c>
      <c r="B1806" s="364" t="s">
        <v>22</v>
      </c>
      <c r="C1806" s="365" t="s">
        <v>453</v>
      </c>
      <c r="D1806" s="364" t="s">
        <v>454</v>
      </c>
      <c r="E1806" s="366">
        <v>8.0</v>
      </c>
      <c r="F1806" s="367">
        <v>45707.41666666667</v>
      </c>
      <c r="G1806" s="364" t="s">
        <v>1185</v>
      </c>
      <c r="H1806" s="364" t="s">
        <v>1202</v>
      </c>
    </row>
    <row r="1807" ht="15.75" customHeight="1">
      <c r="A1807" s="364" t="s">
        <v>67</v>
      </c>
      <c r="B1807" s="364" t="s">
        <v>22</v>
      </c>
      <c r="C1807" s="365" t="s">
        <v>453</v>
      </c>
      <c r="D1807" s="364" t="s">
        <v>454</v>
      </c>
      <c r="E1807" s="366">
        <v>9.0</v>
      </c>
      <c r="F1807" s="367">
        <v>45714.41666666667</v>
      </c>
      <c r="G1807" s="364" t="s">
        <v>1185</v>
      </c>
      <c r="H1807" s="364" t="s">
        <v>1202</v>
      </c>
    </row>
    <row r="1808" ht="15.75" customHeight="1">
      <c r="A1808" s="364" t="s">
        <v>67</v>
      </c>
      <c r="B1808" s="364" t="s">
        <v>22</v>
      </c>
      <c r="C1808" s="365" t="s">
        <v>453</v>
      </c>
      <c r="D1808" s="364" t="s">
        <v>454</v>
      </c>
      <c r="E1808" s="366">
        <v>10.0</v>
      </c>
      <c r="F1808" s="367">
        <v>45769.58333333333</v>
      </c>
      <c r="G1808" s="364" t="s">
        <v>1185</v>
      </c>
      <c r="H1808" s="364" t="s">
        <v>1202</v>
      </c>
    </row>
    <row r="1809" ht="15.75" customHeight="1">
      <c r="A1809" s="364" t="s">
        <v>67</v>
      </c>
      <c r="B1809" s="364" t="s">
        <v>22</v>
      </c>
      <c r="C1809" s="365" t="s">
        <v>457</v>
      </c>
      <c r="D1809" s="364" t="s">
        <v>458</v>
      </c>
      <c r="E1809" s="366">
        <v>1.0</v>
      </c>
      <c r="F1809" s="367">
        <v>45639.45833333333</v>
      </c>
      <c r="G1809" s="364" t="s">
        <v>1185</v>
      </c>
      <c r="H1809" s="364" t="s">
        <v>1202</v>
      </c>
    </row>
    <row r="1810" ht="15.75" customHeight="1">
      <c r="A1810" s="364" t="s">
        <v>67</v>
      </c>
      <c r="B1810" s="364" t="s">
        <v>22</v>
      </c>
      <c r="C1810" s="365" t="s">
        <v>457</v>
      </c>
      <c r="D1810" s="364" t="s">
        <v>458</v>
      </c>
      <c r="E1810" s="366">
        <v>2.0</v>
      </c>
      <c r="F1810" s="367">
        <v>45643.39583333333</v>
      </c>
      <c r="G1810" s="364" t="s">
        <v>1185</v>
      </c>
      <c r="H1810" s="364" t="s">
        <v>1202</v>
      </c>
    </row>
    <row r="1811" ht="15.75" customHeight="1">
      <c r="A1811" s="364" t="s">
        <v>67</v>
      </c>
      <c r="B1811" s="364" t="s">
        <v>22</v>
      </c>
      <c r="C1811" s="365" t="s">
        <v>457</v>
      </c>
      <c r="D1811" s="364" t="s">
        <v>458</v>
      </c>
      <c r="E1811" s="366">
        <v>3.0</v>
      </c>
      <c r="F1811" s="367">
        <v>45653.41666666667</v>
      </c>
      <c r="G1811" s="364" t="s">
        <v>1185</v>
      </c>
      <c r="H1811" s="364" t="s">
        <v>1202</v>
      </c>
    </row>
    <row r="1812" ht="15.75" customHeight="1">
      <c r="A1812" s="364" t="s">
        <v>67</v>
      </c>
      <c r="B1812" s="364" t="s">
        <v>22</v>
      </c>
      <c r="C1812" s="365" t="s">
        <v>457</v>
      </c>
      <c r="D1812" s="364" t="s">
        <v>458</v>
      </c>
      <c r="E1812" s="366">
        <v>4.0</v>
      </c>
      <c r="F1812" s="367">
        <v>45667.375</v>
      </c>
      <c r="G1812" s="364" t="s">
        <v>1187</v>
      </c>
      <c r="H1812" s="364" t="s">
        <v>1202</v>
      </c>
    </row>
    <row r="1813" ht="15.75" customHeight="1">
      <c r="A1813" s="364" t="s">
        <v>67</v>
      </c>
      <c r="B1813" s="364" t="s">
        <v>22</v>
      </c>
      <c r="C1813" s="365" t="s">
        <v>457</v>
      </c>
      <c r="D1813" s="364" t="s">
        <v>458</v>
      </c>
      <c r="E1813" s="366">
        <v>5.0</v>
      </c>
      <c r="F1813" s="367">
        <v>45674.375</v>
      </c>
      <c r="G1813" s="364" t="s">
        <v>1187</v>
      </c>
      <c r="H1813" s="364" t="s">
        <v>1202</v>
      </c>
    </row>
    <row r="1814" ht="15.75" customHeight="1">
      <c r="A1814" s="364" t="s">
        <v>67</v>
      </c>
      <c r="B1814" s="364" t="s">
        <v>22</v>
      </c>
      <c r="C1814" s="365" t="s">
        <v>457</v>
      </c>
      <c r="D1814" s="364" t="s">
        <v>458</v>
      </c>
      <c r="E1814" s="366">
        <v>6.0</v>
      </c>
      <c r="F1814" s="367">
        <v>45693.58333333333</v>
      </c>
      <c r="G1814" s="364" t="s">
        <v>1187</v>
      </c>
      <c r="H1814" s="364" t="s">
        <v>1202</v>
      </c>
    </row>
    <row r="1815" ht="15.75" customHeight="1">
      <c r="A1815" s="364" t="s">
        <v>67</v>
      </c>
      <c r="B1815" s="364" t="s">
        <v>22</v>
      </c>
      <c r="C1815" s="365" t="s">
        <v>457</v>
      </c>
      <c r="D1815" s="364" t="s">
        <v>458</v>
      </c>
      <c r="E1815" s="366">
        <v>7.0</v>
      </c>
      <c r="F1815" s="367">
        <v>45698.54166666667</v>
      </c>
      <c r="G1815" s="364" t="s">
        <v>1187</v>
      </c>
      <c r="H1815" s="364" t="s">
        <v>1202</v>
      </c>
    </row>
    <row r="1816" ht="15.75" customHeight="1">
      <c r="A1816" s="364" t="s">
        <v>67</v>
      </c>
      <c r="B1816" s="364" t="s">
        <v>22</v>
      </c>
      <c r="C1816" s="365" t="s">
        <v>457</v>
      </c>
      <c r="D1816" s="364" t="s">
        <v>458</v>
      </c>
      <c r="E1816" s="366">
        <v>8.0</v>
      </c>
      <c r="F1816" s="367">
        <v>45707.41666666667</v>
      </c>
      <c r="G1816" s="364" t="s">
        <v>1187</v>
      </c>
      <c r="H1816" s="364" t="s">
        <v>1202</v>
      </c>
    </row>
    <row r="1817" ht="15.75" customHeight="1">
      <c r="A1817" s="364" t="s">
        <v>67</v>
      </c>
      <c r="B1817" s="364" t="s">
        <v>22</v>
      </c>
      <c r="C1817" s="365" t="s">
        <v>457</v>
      </c>
      <c r="D1817" s="364" t="s">
        <v>458</v>
      </c>
      <c r="E1817" s="366">
        <v>9.0</v>
      </c>
      <c r="F1817" s="367">
        <v>45714.41666666667</v>
      </c>
      <c r="G1817" s="364" t="s">
        <v>1187</v>
      </c>
      <c r="H1817" s="364" t="s">
        <v>1202</v>
      </c>
    </row>
    <row r="1818" ht="15.75" customHeight="1">
      <c r="A1818" s="364" t="s">
        <v>67</v>
      </c>
      <c r="B1818" s="364" t="s">
        <v>22</v>
      </c>
      <c r="C1818" s="365" t="s">
        <v>457</v>
      </c>
      <c r="D1818" s="364" t="s">
        <v>458</v>
      </c>
      <c r="E1818" s="366">
        <v>10.0</v>
      </c>
      <c r="F1818" s="367">
        <v>45769.58333333333</v>
      </c>
      <c r="G1818" s="364" t="s">
        <v>1187</v>
      </c>
      <c r="H1818" s="364" t="s">
        <v>1202</v>
      </c>
    </row>
    <row r="1819" ht="15.75" customHeight="1">
      <c r="A1819" s="364" t="s">
        <v>67</v>
      </c>
      <c r="B1819" s="364" t="s">
        <v>22</v>
      </c>
      <c r="C1819" s="365" t="s">
        <v>455</v>
      </c>
      <c r="D1819" s="364" t="s">
        <v>456</v>
      </c>
      <c r="E1819" s="366">
        <v>1.0</v>
      </c>
      <c r="F1819" s="367">
        <v>45639.45833333333</v>
      </c>
      <c r="G1819" s="364" t="s">
        <v>1185</v>
      </c>
      <c r="H1819" s="364" t="s">
        <v>1202</v>
      </c>
    </row>
    <row r="1820" ht="15.75" customHeight="1">
      <c r="A1820" s="364" t="s">
        <v>67</v>
      </c>
      <c r="B1820" s="364" t="s">
        <v>22</v>
      </c>
      <c r="C1820" s="365" t="s">
        <v>455</v>
      </c>
      <c r="D1820" s="364" t="s">
        <v>456</v>
      </c>
      <c r="E1820" s="366">
        <v>2.0</v>
      </c>
      <c r="F1820" s="367">
        <v>45643.39583333333</v>
      </c>
      <c r="G1820" s="364" t="s">
        <v>1185</v>
      </c>
      <c r="H1820" s="364" t="s">
        <v>1202</v>
      </c>
    </row>
    <row r="1821" ht="15.75" customHeight="1">
      <c r="A1821" s="364" t="s">
        <v>67</v>
      </c>
      <c r="B1821" s="364" t="s">
        <v>22</v>
      </c>
      <c r="C1821" s="365" t="s">
        <v>455</v>
      </c>
      <c r="D1821" s="364" t="s">
        <v>456</v>
      </c>
      <c r="E1821" s="366">
        <v>3.0</v>
      </c>
      <c r="F1821" s="367">
        <v>45653.41666666667</v>
      </c>
      <c r="G1821" s="364" t="s">
        <v>1185</v>
      </c>
      <c r="H1821" s="364" t="s">
        <v>1202</v>
      </c>
    </row>
    <row r="1822" ht="15.75" customHeight="1">
      <c r="A1822" s="364" t="s">
        <v>67</v>
      </c>
      <c r="B1822" s="364" t="s">
        <v>22</v>
      </c>
      <c r="C1822" s="365" t="s">
        <v>455</v>
      </c>
      <c r="D1822" s="364" t="s">
        <v>456</v>
      </c>
      <c r="E1822" s="366">
        <v>4.0</v>
      </c>
      <c r="F1822" s="367">
        <v>45667.375</v>
      </c>
      <c r="G1822" s="364" t="s">
        <v>1185</v>
      </c>
      <c r="H1822" s="364" t="s">
        <v>1202</v>
      </c>
    </row>
    <row r="1823" ht="15.75" customHeight="1">
      <c r="A1823" s="364" t="s">
        <v>67</v>
      </c>
      <c r="B1823" s="364" t="s">
        <v>22</v>
      </c>
      <c r="C1823" s="365" t="s">
        <v>455</v>
      </c>
      <c r="D1823" s="364" t="s">
        <v>456</v>
      </c>
      <c r="E1823" s="366">
        <v>5.0</v>
      </c>
      <c r="F1823" s="367">
        <v>45674.375</v>
      </c>
      <c r="G1823" s="364" t="s">
        <v>1185</v>
      </c>
      <c r="H1823" s="364" t="s">
        <v>1202</v>
      </c>
    </row>
    <row r="1824" ht="15.75" customHeight="1">
      <c r="A1824" s="364" t="s">
        <v>67</v>
      </c>
      <c r="B1824" s="364" t="s">
        <v>22</v>
      </c>
      <c r="C1824" s="365" t="s">
        <v>455</v>
      </c>
      <c r="D1824" s="364" t="s">
        <v>456</v>
      </c>
      <c r="E1824" s="366">
        <v>6.0</v>
      </c>
      <c r="F1824" s="367">
        <v>45693.58333333333</v>
      </c>
      <c r="G1824" s="364" t="s">
        <v>1187</v>
      </c>
      <c r="H1824" s="364" t="s">
        <v>1202</v>
      </c>
    </row>
    <row r="1825" ht="15.75" customHeight="1">
      <c r="A1825" s="364" t="s">
        <v>67</v>
      </c>
      <c r="B1825" s="364" t="s">
        <v>22</v>
      </c>
      <c r="C1825" s="365" t="s">
        <v>455</v>
      </c>
      <c r="D1825" s="364" t="s">
        <v>456</v>
      </c>
      <c r="E1825" s="366">
        <v>7.0</v>
      </c>
      <c r="F1825" s="367">
        <v>45698.54166666667</v>
      </c>
      <c r="G1825" s="364" t="s">
        <v>1185</v>
      </c>
      <c r="H1825" s="364" t="s">
        <v>1202</v>
      </c>
    </row>
    <row r="1826" ht="15.75" customHeight="1">
      <c r="A1826" s="364" t="s">
        <v>67</v>
      </c>
      <c r="B1826" s="364" t="s">
        <v>22</v>
      </c>
      <c r="C1826" s="365" t="s">
        <v>455</v>
      </c>
      <c r="D1826" s="364" t="s">
        <v>456</v>
      </c>
      <c r="E1826" s="366">
        <v>8.0</v>
      </c>
      <c r="F1826" s="367">
        <v>45707.41666666667</v>
      </c>
      <c r="G1826" s="364" t="s">
        <v>1187</v>
      </c>
      <c r="H1826" s="364" t="s">
        <v>1202</v>
      </c>
    </row>
    <row r="1827" ht="15.75" customHeight="1">
      <c r="A1827" s="364" t="s">
        <v>67</v>
      </c>
      <c r="B1827" s="364" t="s">
        <v>22</v>
      </c>
      <c r="C1827" s="365" t="s">
        <v>455</v>
      </c>
      <c r="D1827" s="364" t="s">
        <v>456</v>
      </c>
      <c r="E1827" s="366">
        <v>9.0</v>
      </c>
      <c r="F1827" s="367">
        <v>45714.41666666667</v>
      </c>
      <c r="G1827" s="364" t="s">
        <v>1187</v>
      </c>
      <c r="H1827" s="364" t="s">
        <v>1202</v>
      </c>
    </row>
    <row r="1828" ht="15.75" customHeight="1">
      <c r="A1828" s="364" t="s">
        <v>67</v>
      </c>
      <c r="B1828" s="364" t="s">
        <v>22</v>
      </c>
      <c r="C1828" s="365" t="s">
        <v>455</v>
      </c>
      <c r="D1828" s="364" t="s">
        <v>456</v>
      </c>
      <c r="E1828" s="366">
        <v>10.0</v>
      </c>
      <c r="F1828" s="367">
        <v>45769.58333333333</v>
      </c>
      <c r="G1828" s="364" t="s">
        <v>1187</v>
      </c>
      <c r="H1828" s="364" t="s">
        <v>1202</v>
      </c>
    </row>
    <row r="1829" ht="15.75" customHeight="1">
      <c r="A1829" s="364" t="s">
        <v>68</v>
      </c>
      <c r="B1829" s="364" t="s">
        <v>22</v>
      </c>
      <c r="C1829" s="365" t="s">
        <v>478</v>
      </c>
      <c r="D1829" s="364" t="s">
        <v>479</v>
      </c>
      <c r="E1829" s="366">
        <v>1.0</v>
      </c>
      <c r="F1829" s="367">
        <v>45645.41666666667</v>
      </c>
      <c r="G1829" s="364" t="s">
        <v>1185</v>
      </c>
      <c r="H1829" s="364" t="s">
        <v>1203</v>
      </c>
    </row>
    <row r="1830" ht="15.75" customHeight="1">
      <c r="A1830" s="364" t="s">
        <v>68</v>
      </c>
      <c r="B1830" s="364" t="s">
        <v>22</v>
      </c>
      <c r="C1830" s="365" t="s">
        <v>478</v>
      </c>
      <c r="D1830" s="364" t="s">
        <v>479</v>
      </c>
      <c r="E1830" s="366">
        <v>2.0</v>
      </c>
      <c r="F1830" s="367">
        <v>45665.41666666667</v>
      </c>
      <c r="G1830" s="364" t="s">
        <v>1185</v>
      </c>
      <c r="H1830" s="364" t="s">
        <v>1203</v>
      </c>
    </row>
    <row r="1831" ht="15.75" customHeight="1">
      <c r="A1831" s="364" t="s">
        <v>68</v>
      </c>
      <c r="B1831" s="364" t="s">
        <v>22</v>
      </c>
      <c r="C1831" s="365" t="s">
        <v>478</v>
      </c>
      <c r="D1831" s="364" t="s">
        <v>479</v>
      </c>
      <c r="E1831" s="366">
        <v>3.0</v>
      </c>
      <c r="F1831" s="367">
        <v>45707.375</v>
      </c>
      <c r="G1831" s="364" t="s">
        <v>1187</v>
      </c>
      <c r="H1831" s="364" t="s">
        <v>1203</v>
      </c>
    </row>
    <row r="1832" ht="15.75" customHeight="1">
      <c r="A1832" s="364" t="s">
        <v>68</v>
      </c>
      <c r="B1832" s="364" t="s">
        <v>22</v>
      </c>
      <c r="C1832" s="365" t="s">
        <v>478</v>
      </c>
      <c r="D1832" s="364" t="s">
        <v>479</v>
      </c>
      <c r="E1832" s="366">
        <v>4.0</v>
      </c>
      <c r="F1832" s="367">
        <v>45714.375</v>
      </c>
      <c r="G1832" s="364" t="s">
        <v>1187</v>
      </c>
      <c r="H1832" s="364" t="s">
        <v>1203</v>
      </c>
    </row>
    <row r="1833" ht="15.75" customHeight="1">
      <c r="A1833" s="364" t="s">
        <v>68</v>
      </c>
      <c r="B1833" s="364" t="s">
        <v>22</v>
      </c>
      <c r="C1833" s="365" t="s">
        <v>478</v>
      </c>
      <c r="D1833" s="364" t="s">
        <v>479</v>
      </c>
      <c r="E1833" s="366">
        <v>5.0</v>
      </c>
      <c r="F1833" s="367">
        <v>45756.41666666667</v>
      </c>
      <c r="G1833" s="364" t="s">
        <v>1185</v>
      </c>
      <c r="H1833" s="364" t="s">
        <v>1203</v>
      </c>
    </row>
    <row r="1834" ht="15.75" customHeight="1">
      <c r="A1834" s="364" t="s">
        <v>68</v>
      </c>
      <c r="B1834" s="364" t="s">
        <v>22</v>
      </c>
      <c r="C1834" s="365" t="s">
        <v>478</v>
      </c>
      <c r="D1834" s="364" t="s">
        <v>479</v>
      </c>
      <c r="E1834" s="366">
        <v>6.0</v>
      </c>
      <c r="F1834" s="367">
        <v>45763.41666666667</v>
      </c>
      <c r="G1834" s="364" t="s">
        <v>1185</v>
      </c>
      <c r="H1834" s="364" t="s">
        <v>1203</v>
      </c>
    </row>
    <row r="1835" ht="15.75" customHeight="1">
      <c r="A1835" s="364" t="s">
        <v>68</v>
      </c>
      <c r="B1835" s="364" t="s">
        <v>22</v>
      </c>
      <c r="C1835" s="365" t="s">
        <v>478</v>
      </c>
      <c r="D1835" s="364" t="s">
        <v>479</v>
      </c>
      <c r="E1835" s="366">
        <v>7.0</v>
      </c>
      <c r="F1835" s="367">
        <v>45789.41666666667</v>
      </c>
      <c r="G1835" s="364" t="s">
        <v>1185</v>
      </c>
      <c r="H1835" s="364" t="s">
        <v>1203</v>
      </c>
    </row>
    <row r="1836" ht="15.75" customHeight="1">
      <c r="A1836" s="364" t="s">
        <v>68</v>
      </c>
      <c r="B1836" s="364" t="s">
        <v>22</v>
      </c>
      <c r="C1836" s="365" t="s">
        <v>478</v>
      </c>
      <c r="D1836" s="364" t="s">
        <v>479</v>
      </c>
      <c r="E1836" s="366">
        <v>8.0</v>
      </c>
      <c r="F1836" s="367">
        <v>45800.41666666667</v>
      </c>
      <c r="G1836" s="364" t="s">
        <v>1185</v>
      </c>
      <c r="H1836" s="364" t="s">
        <v>1203</v>
      </c>
    </row>
    <row r="1837" ht="15.75" customHeight="1">
      <c r="A1837" s="364" t="s">
        <v>68</v>
      </c>
      <c r="B1837" s="364" t="s">
        <v>22</v>
      </c>
      <c r="C1837" s="365" t="s">
        <v>478</v>
      </c>
      <c r="D1837" s="364" t="s">
        <v>479</v>
      </c>
      <c r="E1837" s="366">
        <v>9.0</v>
      </c>
      <c r="F1837" s="367">
        <v>45803.375</v>
      </c>
      <c r="G1837" s="364" t="s">
        <v>1185</v>
      </c>
      <c r="H1837" s="364" t="s">
        <v>1203</v>
      </c>
    </row>
    <row r="1838" ht="15.75" customHeight="1">
      <c r="A1838" s="364" t="s">
        <v>68</v>
      </c>
      <c r="B1838" s="364" t="s">
        <v>22</v>
      </c>
      <c r="C1838" s="365" t="s">
        <v>478</v>
      </c>
      <c r="D1838" s="364" t="s">
        <v>479</v>
      </c>
      <c r="E1838" s="366">
        <v>10.0</v>
      </c>
      <c r="F1838" s="367">
        <v>45819.41666666667</v>
      </c>
      <c r="G1838" s="364" t="s">
        <v>1185</v>
      </c>
      <c r="H1838" s="364" t="s">
        <v>1203</v>
      </c>
    </row>
    <row r="1839" ht="15.75" customHeight="1">
      <c r="A1839" s="364" t="s">
        <v>68</v>
      </c>
      <c r="B1839" s="364" t="s">
        <v>22</v>
      </c>
      <c r="C1839" s="365" t="s">
        <v>478</v>
      </c>
      <c r="D1839" s="364" t="s">
        <v>479</v>
      </c>
      <c r="E1839" s="366">
        <v>11.0</v>
      </c>
      <c r="F1839" s="367">
        <v>45826.41666666667</v>
      </c>
      <c r="G1839" s="364" t="s">
        <v>1185</v>
      </c>
      <c r="H1839" s="364" t="s">
        <v>1203</v>
      </c>
    </row>
    <row r="1840" ht="15.75" customHeight="1">
      <c r="A1840" s="364" t="s">
        <v>68</v>
      </c>
      <c r="B1840" s="364" t="s">
        <v>22</v>
      </c>
      <c r="C1840" s="365" t="s">
        <v>478</v>
      </c>
      <c r="D1840" s="364" t="s">
        <v>479</v>
      </c>
      <c r="E1840" s="366">
        <v>12.0</v>
      </c>
      <c r="F1840" s="367">
        <v>45853.41666666667</v>
      </c>
      <c r="G1840" s="364" t="s">
        <v>1185</v>
      </c>
      <c r="H1840" s="364" t="s">
        <v>1203</v>
      </c>
    </row>
    <row r="1841" ht="15.75" customHeight="1">
      <c r="A1841" s="364" t="s">
        <v>68</v>
      </c>
      <c r="B1841" s="364" t="s">
        <v>22</v>
      </c>
      <c r="C1841" s="365" t="s">
        <v>482</v>
      </c>
      <c r="D1841" s="364" t="s">
        <v>483</v>
      </c>
      <c r="E1841" s="366">
        <v>1.0</v>
      </c>
      <c r="F1841" s="367">
        <v>45645.41666666667</v>
      </c>
      <c r="G1841" s="364" t="s">
        <v>1185</v>
      </c>
      <c r="H1841" s="364" t="s">
        <v>1203</v>
      </c>
    </row>
    <row r="1842" ht="15.75" customHeight="1">
      <c r="A1842" s="364" t="s">
        <v>68</v>
      </c>
      <c r="B1842" s="364" t="s">
        <v>22</v>
      </c>
      <c r="C1842" s="365" t="s">
        <v>482</v>
      </c>
      <c r="D1842" s="364" t="s">
        <v>483</v>
      </c>
      <c r="E1842" s="366">
        <v>2.0</v>
      </c>
      <c r="F1842" s="367">
        <v>45665.41666666667</v>
      </c>
      <c r="G1842" s="364" t="s">
        <v>1185</v>
      </c>
      <c r="H1842" s="364" t="s">
        <v>1203</v>
      </c>
    </row>
    <row r="1843" ht="15.75" customHeight="1">
      <c r="A1843" s="364" t="s">
        <v>68</v>
      </c>
      <c r="B1843" s="364" t="s">
        <v>22</v>
      </c>
      <c r="C1843" s="365" t="s">
        <v>482</v>
      </c>
      <c r="D1843" s="364" t="s">
        <v>483</v>
      </c>
      <c r="E1843" s="366">
        <v>3.0</v>
      </c>
      <c r="F1843" s="367">
        <v>45707.375</v>
      </c>
      <c r="G1843" s="364" t="s">
        <v>1185</v>
      </c>
      <c r="H1843" s="364" t="s">
        <v>1203</v>
      </c>
    </row>
    <row r="1844" ht="15.75" customHeight="1">
      <c r="A1844" s="364" t="s">
        <v>68</v>
      </c>
      <c r="B1844" s="364" t="s">
        <v>22</v>
      </c>
      <c r="C1844" s="365" t="s">
        <v>482</v>
      </c>
      <c r="D1844" s="364" t="s">
        <v>483</v>
      </c>
      <c r="E1844" s="366">
        <v>4.0</v>
      </c>
      <c r="F1844" s="367">
        <v>45714.375</v>
      </c>
      <c r="G1844" s="364" t="s">
        <v>1185</v>
      </c>
      <c r="H1844" s="364" t="s">
        <v>1203</v>
      </c>
    </row>
    <row r="1845" ht="15.75" customHeight="1">
      <c r="A1845" s="364" t="s">
        <v>68</v>
      </c>
      <c r="B1845" s="364" t="s">
        <v>22</v>
      </c>
      <c r="C1845" s="365" t="s">
        <v>482</v>
      </c>
      <c r="D1845" s="364" t="s">
        <v>483</v>
      </c>
      <c r="E1845" s="366">
        <v>5.0</v>
      </c>
      <c r="F1845" s="367">
        <v>45756.41666666667</v>
      </c>
      <c r="G1845" s="364" t="s">
        <v>1185</v>
      </c>
      <c r="H1845" s="364" t="s">
        <v>1203</v>
      </c>
    </row>
    <row r="1846" ht="15.75" customHeight="1">
      <c r="A1846" s="364" t="s">
        <v>68</v>
      </c>
      <c r="B1846" s="364" t="s">
        <v>22</v>
      </c>
      <c r="C1846" s="365" t="s">
        <v>482</v>
      </c>
      <c r="D1846" s="364" t="s">
        <v>483</v>
      </c>
      <c r="E1846" s="366">
        <v>6.0</v>
      </c>
      <c r="F1846" s="367">
        <v>45763.41666666667</v>
      </c>
      <c r="G1846" s="364" t="s">
        <v>1185</v>
      </c>
      <c r="H1846" s="364" t="s">
        <v>1203</v>
      </c>
    </row>
    <row r="1847" ht="15.75" customHeight="1">
      <c r="A1847" s="364" t="s">
        <v>68</v>
      </c>
      <c r="B1847" s="364" t="s">
        <v>22</v>
      </c>
      <c r="C1847" s="365" t="s">
        <v>482</v>
      </c>
      <c r="D1847" s="364" t="s">
        <v>483</v>
      </c>
      <c r="E1847" s="366">
        <v>7.0</v>
      </c>
      <c r="F1847" s="367">
        <v>45789.41666666667</v>
      </c>
      <c r="G1847" s="364" t="s">
        <v>1185</v>
      </c>
      <c r="H1847" s="364" t="s">
        <v>1203</v>
      </c>
    </row>
    <row r="1848" ht="15.75" customHeight="1">
      <c r="A1848" s="364" t="s">
        <v>68</v>
      </c>
      <c r="B1848" s="364" t="s">
        <v>22</v>
      </c>
      <c r="C1848" s="365" t="s">
        <v>482</v>
      </c>
      <c r="D1848" s="364" t="s">
        <v>483</v>
      </c>
      <c r="E1848" s="366">
        <v>8.0</v>
      </c>
      <c r="F1848" s="367">
        <v>45800.41666666667</v>
      </c>
      <c r="G1848" s="364" t="s">
        <v>1185</v>
      </c>
      <c r="H1848" s="364" t="s">
        <v>1203</v>
      </c>
    </row>
    <row r="1849" ht="15.75" customHeight="1">
      <c r="A1849" s="364" t="s">
        <v>68</v>
      </c>
      <c r="B1849" s="364" t="s">
        <v>22</v>
      </c>
      <c r="C1849" s="365" t="s">
        <v>482</v>
      </c>
      <c r="D1849" s="364" t="s">
        <v>483</v>
      </c>
      <c r="E1849" s="366">
        <v>9.0</v>
      </c>
      <c r="F1849" s="367">
        <v>45803.375</v>
      </c>
      <c r="G1849" s="364" t="s">
        <v>1185</v>
      </c>
      <c r="H1849" s="364" t="s">
        <v>1203</v>
      </c>
    </row>
    <row r="1850" ht="15.75" customHeight="1">
      <c r="A1850" s="364" t="s">
        <v>68</v>
      </c>
      <c r="B1850" s="364" t="s">
        <v>22</v>
      </c>
      <c r="C1850" s="365" t="s">
        <v>482</v>
      </c>
      <c r="D1850" s="364" t="s">
        <v>483</v>
      </c>
      <c r="E1850" s="366">
        <v>10.0</v>
      </c>
      <c r="F1850" s="367">
        <v>45819.41666666667</v>
      </c>
      <c r="G1850" s="364" t="s">
        <v>1185</v>
      </c>
      <c r="H1850" s="364" t="s">
        <v>1203</v>
      </c>
    </row>
    <row r="1851" ht="15.75" customHeight="1">
      <c r="A1851" s="364" t="s">
        <v>68</v>
      </c>
      <c r="B1851" s="364" t="s">
        <v>22</v>
      </c>
      <c r="C1851" s="365" t="s">
        <v>482</v>
      </c>
      <c r="D1851" s="364" t="s">
        <v>483</v>
      </c>
      <c r="E1851" s="366">
        <v>11.0</v>
      </c>
      <c r="F1851" s="367">
        <v>45826.41666666667</v>
      </c>
      <c r="G1851" s="364" t="s">
        <v>1187</v>
      </c>
      <c r="H1851" s="364" t="s">
        <v>1203</v>
      </c>
    </row>
    <row r="1852" ht="15.75" customHeight="1">
      <c r="A1852" s="364" t="s">
        <v>68</v>
      </c>
      <c r="B1852" s="364" t="s">
        <v>22</v>
      </c>
      <c r="C1852" s="365" t="s">
        <v>482</v>
      </c>
      <c r="D1852" s="364" t="s">
        <v>483</v>
      </c>
      <c r="E1852" s="366">
        <v>12.0</v>
      </c>
      <c r="F1852" s="367">
        <v>45853.41666666667</v>
      </c>
      <c r="G1852" s="364" t="s">
        <v>1187</v>
      </c>
      <c r="H1852" s="364" t="s">
        <v>1203</v>
      </c>
    </row>
    <row r="1853" ht="15.75" customHeight="1">
      <c r="A1853" s="364" t="s">
        <v>68</v>
      </c>
      <c r="B1853" s="364" t="s">
        <v>22</v>
      </c>
      <c r="C1853" s="365" t="s">
        <v>484</v>
      </c>
      <c r="D1853" s="364" t="s">
        <v>485</v>
      </c>
      <c r="E1853" s="366">
        <v>2.0</v>
      </c>
      <c r="F1853" s="367">
        <v>45665.41666666667</v>
      </c>
      <c r="G1853" s="364" t="s">
        <v>1185</v>
      </c>
      <c r="H1853" s="364" t="s">
        <v>1203</v>
      </c>
    </row>
    <row r="1854" ht="15.75" customHeight="1">
      <c r="A1854" s="364" t="s">
        <v>68</v>
      </c>
      <c r="B1854" s="364" t="s">
        <v>22</v>
      </c>
      <c r="C1854" s="365" t="s">
        <v>484</v>
      </c>
      <c r="D1854" s="364" t="s">
        <v>485</v>
      </c>
      <c r="E1854" s="366">
        <v>3.0</v>
      </c>
      <c r="F1854" s="367">
        <v>45707.375</v>
      </c>
      <c r="G1854" s="364" t="s">
        <v>1185</v>
      </c>
      <c r="H1854" s="364" t="s">
        <v>1203</v>
      </c>
    </row>
    <row r="1855" ht="15.75" customHeight="1">
      <c r="A1855" s="364" t="s">
        <v>68</v>
      </c>
      <c r="B1855" s="364" t="s">
        <v>22</v>
      </c>
      <c r="C1855" s="365" t="s">
        <v>484</v>
      </c>
      <c r="D1855" s="364" t="s">
        <v>485</v>
      </c>
      <c r="E1855" s="366">
        <v>4.0</v>
      </c>
      <c r="F1855" s="367">
        <v>45714.375</v>
      </c>
      <c r="G1855" s="364" t="s">
        <v>1185</v>
      </c>
      <c r="H1855" s="364" t="s">
        <v>1203</v>
      </c>
    </row>
    <row r="1856" ht="15.75" customHeight="1">
      <c r="A1856" s="364" t="s">
        <v>68</v>
      </c>
      <c r="B1856" s="364" t="s">
        <v>22</v>
      </c>
      <c r="C1856" s="365" t="s">
        <v>484</v>
      </c>
      <c r="D1856" s="364" t="s">
        <v>485</v>
      </c>
      <c r="E1856" s="366">
        <v>5.0</v>
      </c>
      <c r="F1856" s="367">
        <v>45756.41666666667</v>
      </c>
      <c r="G1856" s="364" t="s">
        <v>1187</v>
      </c>
      <c r="H1856" s="364" t="s">
        <v>1203</v>
      </c>
    </row>
    <row r="1857" ht="15.75" customHeight="1">
      <c r="A1857" s="364" t="s">
        <v>68</v>
      </c>
      <c r="B1857" s="364" t="s">
        <v>22</v>
      </c>
      <c r="C1857" s="365" t="s">
        <v>484</v>
      </c>
      <c r="D1857" s="364" t="s">
        <v>485</v>
      </c>
      <c r="E1857" s="366">
        <v>6.0</v>
      </c>
      <c r="F1857" s="367">
        <v>45763.41666666667</v>
      </c>
      <c r="G1857" s="364" t="s">
        <v>1185</v>
      </c>
      <c r="H1857" s="364" t="s">
        <v>1203</v>
      </c>
    </row>
    <row r="1858" ht="15.75" customHeight="1">
      <c r="A1858" s="364" t="s">
        <v>68</v>
      </c>
      <c r="B1858" s="364" t="s">
        <v>22</v>
      </c>
      <c r="C1858" s="365" t="s">
        <v>484</v>
      </c>
      <c r="D1858" s="364" t="s">
        <v>485</v>
      </c>
      <c r="E1858" s="366">
        <v>7.0</v>
      </c>
      <c r="F1858" s="367">
        <v>45789.41666666667</v>
      </c>
      <c r="G1858" s="364" t="s">
        <v>1185</v>
      </c>
      <c r="H1858" s="364" t="s">
        <v>1203</v>
      </c>
    </row>
    <row r="1859" ht="15.75" customHeight="1">
      <c r="A1859" s="364" t="s">
        <v>68</v>
      </c>
      <c r="B1859" s="364" t="s">
        <v>22</v>
      </c>
      <c r="C1859" s="365" t="s">
        <v>484</v>
      </c>
      <c r="D1859" s="364" t="s">
        <v>485</v>
      </c>
      <c r="E1859" s="366">
        <v>8.0</v>
      </c>
      <c r="F1859" s="367">
        <v>45800.41666666667</v>
      </c>
      <c r="G1859" s="364" t="s">
        <v>1185</v>
      </c>
      <c r="H1859" s="364" t="s">
        <v>1203</v>
      </c>
    </row>
    <row r="1860" ht="15.75" customHeight="1">
      <c r="A1860" s="364" t="s">
        <v>68</v>
      </c>
      <c r="B1860" s="364" t="s">
        <v>22</v>
      </c>
      <c r="C1860" s="365" t="s">
        <v>484</v>
      </c>
      <c r="D1860" s="364" t="s">
        <v>485</v>
      </c>
      <c r="E1860" s="366">
        <v>9.0</v>
      </c>
      <c r="F1860" s="367">
        <v>45803.375</v>
      </c>
      <c r="G1860" s="364" t="s">
        <v>1185</v>
      </c>
      <c r="H1860" s="364" t="s">
        <v>1203</v>
      </c>
    </row>
    <row r="1861" ht="15.75" customHeight="1">
      <c r="A1861" s="364" t="s">
        <v>68</v>
      </c>
      <c r="B1861" s="364" t="s">
        <v>22</v>
      </c>
      <c r="C1861" s="365" t="s">
        <v>484</v>
      </c>
      <c r="D1861" s="364" t="s">
        <v>485</v>
      </c>
      <c r="E1861" s="366">
        <v>10.0</v>
      </c>
      <c r="F1861" s="367">
        <v>45819.41666666667</v>
      </c>
      <c r="G1861" s="364" t="s">
        <v>1185</v>
      </c>
      <c r="H1861" s="364" t="s">
        <v>1203</v>
      </c>
    </row>
    <row r="1862" ht="15.75" customHeight="1">
      <c r="A1862" s="364" t="s">
        <v>68</v>
      </c>
      <c r="B1862" s="364" t="s">
        <v>22</v>
      </c>
      <c r="C1862" s="365" t="s">
        <v>484</v>
      </c>
      <c r="D1862" s="364" t="s">
        <v>485</v>
      </c>
      <c r="E1862" s="366">
        <v>11.0</v>
      </c>
      <c r="F1862" s="367">
        <v>45826.41666666667</v>
      </c>
      <c r="G1862" s="364" t="s">
        <v>1185</v>
      </c>
      <c r="H1862" s="364" t="s">
        <v>1203</v>
      </c>
    </row>
    <row r="1863" ht="15.75" customHeight="1">
      <c r="A1863" s="364" t="s">
        <v>68</v>
      </c>
      <c r="B1863" s="364" t="s">
        <v>22</v>
      </c>
      <c r="C1863" s="365" t="s">
        <v>484</v>
      </c>
      <c r="D1863" s="364" t="s">
        <v>485</v>
      </c>
      <c r="E1863" s="366">
        <v>12.0</v>
      </c>
      <c r="F1863" s="367">
        <v>45853.41666666667</v>
      </c>
      <c r="G1863" s="364" t="s">
        <v>1185</v>
      </c>
      <c r="H1863" s="364" t="s">
        <v>1203</v>
      </c>
    </row>
    <row r="1864" ht="15.75" customHeight="1">
      <c r="A1864" s="364" t="s">
        <v>68</v>
      </c>
      <c r="B1864" s="364" t="s">
        <v>22</v>
      </c>
      <c r="C1864" s="365" t="s">
        <v>488</v>
      </c>
      <c r="D1864" s="364" t="s">
        <v>489</v>
      </c>
      <c r="E1864" s="366">
        <v>1.0</v>
      </c>
      <c r="F1864" s="367">
        <v>45645.41666666667</v>
      </c>
      <c r="G1864" s="364" t="s">
        <v>1185</v>
      </c>
      <c r="H1864" s="364" t="s">
        <v>1203</v>
      </c>
    </row>
    <row r="1865" ht="15.75" customHeight="1">
      <c r="A1865" s="364" t="s">
        <v>68</v>
      </c>
      <c r="B1865" s="364" t="s">
        <v>22</v>
      </c>
      <c r="C1865" s="365" t="s">
        <v>488</v>
      </c>
      <c r="D1865" s="364" t="s">
        <v>489</v>
      </c>
      <c r="E1865" s="366">
        <v>2.0</v>
      </c>
      <c r="F1865" s="367">
        <v>45665.41666666667</v>
      </c>
      <c r="G1865" s="364" t="s">
        <v>1185</v>
      </c>
      <c r="H1865" s="364" t="s">
        <v>1203</v>
      </c>
    </row>
    <row r="1866" ht="15.75" customHeight="1">
      <c r="A1866" s="364" t="s">
        <v>68</v>
      </c>
      <c r="B1866" s="364" t="s">
        <v>22</v>
      </c>
      <c r="C1866" s="365" t="s">
        <v>488</v>
      </c>
      <c r="D1866" s="364" t="s">
        <v>489</v>
      </c>
      <c r="E1866" s="366">
        <v>3.0</v>
      </c>
      <c r="F1866" s="367">
        <v>45707.375</v>
      </c>
      <c r="G1866" s="364" t="s">
        <v>1185</v>
      </c>
      <c r="H1866" s="364" t="s">
        <v>1203</v>
      </c>
    </row>
    <row r="1867" ht="15.75" customHeight="1">
      <c r="A1867" s="364" t="s">
        <v>68</v>
      </c>
      <c r="B1867" s="364" t="s">
        <v>22</v>
      </c>
      <c r="C1867" s="365" t="s">
        <v>488</v>
      </c>
      <c r="D1867" s="364" t="s">
        <v>489</v>
      </c>
      <c r="E1867" s="366">
        <v>4.0</v>
      </c>
      <c r="F1867" s="367">
        <v>45714.375</v>
      </c>
      <c r="G1867" s="364" t="s">
        <v>1185</v>
      </c>
      <c r="H1867" s="364" t="s">
        <v>1203</v>
      </c>
    </row>
    <row r="1868" ht="15.75" customHeight="1">
      <c r="A1868" s="364" t="s">
        <v>68</v>
      </c>
      <c r="B1868" s="364" t="s">
        <v>22</v>
      </c>
      <c r="C1868" s="365" t="s">
        <v>488</v>
      </c>
      <c r="D1868" s="364" t="s">
        <v>489</v>
      </c>
      <c r="E1868" s="366">
        <v>5.0</v>
      </c>
      <c r="F1868" s="367">
        <v>45756.41666666667</v>
      </c>
      <c r="G1868" s="364" t="s">
        <v>1185</v>
      </c>
      <c r="H1868" s="364" t="s">
        <v>1203</v>
      </c>
    </row>
    <row r="1869" ht="15.75" customHeight="1">
      <c r="A1869" s="364" t="s">
        <v>68</v>
      </c>
      <c r="B1869" s="364" t="s">
        <v>22</v>
      </c>
      <c r="C1869" s="365" t="s">
        <v>488</v>
      </c>
      <c r="D1869" s="364" t="s">
        <v>489</v>
      </c>
      <c r="E1869" s="366">
        <v>6.0</v>
      </c>
      <c r="F1869" s="367">
        <v>45763.41666666667</v>
      </c>
      <c r="G1869" s="364" t="s">
        <v>1185</v>
      </c>
      <c r="H1869" s="364" t="s">
        <v>1203</v>
      </c>
    </row>
    <row r="1870" ht="15.75" customHeight="1">
      <c r="A1870" s="364" t="s">
        <v>68</v>
      </c>
      <c r="B1870" s="364" t="s">
        <v>22</v>
      </c>
      <c r="C1870" s="365" t="s">
        <v>488</v>
      </c>
      <c r="D1870" s="364" t="s">
        <v>489</v>
      </c>
      <c r="E1870" s="366">
        <v>7.0</v>
      </c>
      <c r="F1870" s="367">
        <v>45789.41666666667</v>
      </c>
      <c r="G1870" s="364" t="s">
        <v>1185</v>
      </c>
      <c r="H1870" s="364" t="s">
        <v>1203</v>
      </c>
    </row>
    <row r="1871" ht="15.75" customHeight="1">
      <c r="A1871" s="364" t="s">
        <v>68</v>
      </c>
      <c r="B1871" s="364" t="s">
        <v>22</v>
      </c>
      <c r="C1871" s="365" t="s">
        <v>488</v>
      </c>
      <c r="D1871" s="364" t="s">
        <v>489</v>
      </c>
      <c r="E1871" s="366">
        <v>8.0</v>
      </c>
      <c r="F1871" s="367">
        <v>45800.41666666667</v>
      </c>
      <c r="G1871" s="364" t="s">
        <v>1185</v>
      </c>
      <c r="H1871" s="364" t="s">
        <v>1203</v>
      </c>
    </row>
    <row r="1872" ht="15.75" customHeight="1">
      <c r="A1872" s="364" t="s">
        <v>68</v>
      </c>
      <c r="B1872" s="364" t="s">
        <v>22</v>
      </c>
      <c r="C1872" s="365" t="s">
        <v>488</v>
      </c>
      <c r="D1872" s="364" t="s">
        <v>489</v>
      </c>
      <c r="E1872" s="366">
        <v>9.0</v>
      </c>
      <c r="F1872" s="367">
        <v>45803.375</v>
      </c>
      <c r="G1872" s="364" t="s">
        <v>1185</v>
      </c>
      <c r="H1872" s="364" t="s">
        <v>1203</v>
      </c>
    </row>
    <row r="1873" ht="15.75" customHeight="1">
      <c r="A1873" s="364" t="s">
        <v>68</v>
      </c>
      <c r="B1873" s="364" t="s">
        <v>22</v>
      </c>
      <c r="C1873" s="365" t="s">
        <v>488</v>
      </c>
      <c r="D1873" s="364" t="s">
        <v>489</v>
      </c>
      <c r="E1873" s="366">
        <v>10.0</v>
      </c>
      <c r="F1873" s="367">
        <v>45819.41666666667</v>
      </c>
      <c r="G1873" s="364" t="s">
        <v>1185</v>
      </c>
      <c r="H1873" s="364" t="s">
        <v>1203</v>
      </c>
    </row>
    <row r="1874" ht="15.75" customHeight="1">
      <c r="A1874" s="364" t="s">
        <v>68</v>
      </c>
      <c r="B1874" s="364" t="s">
        <v>22</v>
      </c>
      <c r="C1874" s="365" t="s">
        <v>488</v>
      </c>
      <c r="D1874" s="364" t="s">
        <v>489</v>
      </c>
      <c r="E1874" s="366">
        <v>11.0</v>
      </c>
      <c r="F1874" s="367">
        <v>45826.41666666667</v>
      </c>
      <c r="G1874" s="364" t="s">
        <v>1185</v>
      </c>
      <c r="H1874" s="364" t="s">
        <v>1203</v>
      </c>
    </row>
    <row r="1875" ht="15.75" customHeight="1">
      <c r="A1875" s="364" t="s">
        <v>68</v>
      </c>
      <c r="B1875" s="364" t="s">
        <v>22</v>
      </c>
      <c r="C1875" s="365" t="s">
        <v>488</v>
      </c>
      <c r="D1875" s="364" t="s">
        <v>489</v>
      </c>
      <c r="E1875" s="366">
        <v>12.0</v>
      </c>
      <c r="F1875" s="367">
        <v>45853.41666666667</v>
      </c>
      <c r="G1875" s="364" t="s">
        <v>1185</v>
      </c>
      <c r="H1875" s="364" t="s">
        <v>1203</v>
      </c>
    </row>
    <row r="1876" ht="15.75" customHeight="1">
      <c r="A1876" s="364" t="s">
        <v>68</v>
      </c>
      <c r="B1876" s="364" t="s">
        <v>23</v>
      </c>
      <c r="C1876" s="365" t="s">
        <v>478</v>
      </c>
      <c r="D1876" s="364" t="s">
        <v>479</v>
      </c>
      <c r="E1876" s="366">
        <v>1.0</v>
      </c>
      <c r="F1876" s="367">
        <v>45887.375</v>
      </c>
      <c r="G1876" s="364" t="s">
        <v>1185</v>
      </c>
      <c r="H1876" s="364" t="s">
        <v>1203</v>
      </c>
    </row>
    <row r="1877" ht="15.75" customHeight="1">
      <c r="A1877" s="364" t="s">
        <v>68</v>
      </c>
      <c r="B1877" s="364" t="s">
        <v>23</v>
      </c>
      <c r="C1877" s="365" t="s">
        <v>478</v>
      </c>
      <c r="D1877" s="364" t="s">
        <v>479</v>
      </c>
      <c r="E1877" s="366">
        <v>2.0</v>
      </c>
      <c r="F1877" s="367">
        <v>45894.45833333333</v>
      </c>
      <c r="G1877" s="364" t="s">
        <v>1187</v>
      </c>
      <c r="H1877" s="364" t="s">
        <v>1203</v>
      </c>
    </row>
    <row r="1878" ht="15.75" customHeight="1">
      <c r="A1878" s="364" t="s">
        <v>68</v>
      </c>
      <c r="B1878" s="364" t="s">
        <v>23</v>
      </c>
      <c r="C1878" s="365" t="s">
        <v>478</v>
      </c>
      <c r="D1878" s="364" t="s">
        <v>479</v>
      </c>
      <c r="E1878" s="366">
        <v>3.0</v>
      </c>
      <c r="F1878" s="367">
        <v>45912.58333333333</v>
      </c>
      <c r="G1878" s="364" t="s">
        <v>1185</v>
      </c>
      <c r="H1878" s="364" t="s">
        <v>1203</v>
      </c>
    </row>
    <row r="1879" ht="15.75" customHeight="1">
      <c r="A1879" s="364" t="s">
        <v>68</v>
      </c>
      <c r="B1879" s="364" t="s">
        <v>23</v>
      </c>
      <c r="C1879" s="365" t="s">
        <v>478</v>
      </c>
      <c r="D1879" s="364" t="s">
        <v>479</v>
      </c>
      <c r="E1879" s="366">
        <v>4.0</v>
      </c>
      <c r="F1879" s="367">
        <v>45915.58333333333</v>
      </c>
      <c r="G1879" s="364" t="s">
        <v>1185</v>
      </c>
      <c r="H1879" s="364" t="s">
        <v>1203</v>
      </c>
    </row>
    <row r="1880" ht="15.75" customHeight="1">
      <c r="A1880" s="364" t="s">
        <v>68</v>
      </c>
      <c r="B1880" s="364" t="s">
        <v>23</v>
      </c>
      <c r="C1880" s="365" t="s">
        <v>478</v>
      </c>
      <c r="D1880" s="364" t="s">
        <v>479</v>
      </c>
      <c r="E1880" s="366">
        <v>5.0</v>
      </c>
      <c r="F1880" s="367">
        <v>45922.625</v>
      </c>
      <c r="G1880" s="364" t="s">
        <v>1185</v>
      </c>
      <c r="H1880" s="364" t="s">
        <v>1203</v>
      </c>
    </row>
    <row r="1881" ht="15.75" customHeight="1">
      <c r="A1881" s="364" t="s">
        <v>68</v>
      </c>
      <c r="B1881" s="364" t="s">
        <v>23</v>
      </c>
      <c r="C1881" s="365" t="s">
        <v>478</v>
      </c>
      <c r="D1881" s="364" t="s">
        <v>479</v>
      </c>
      <c r="E1881" s="366">
        <v>6.0</v>
      </c>
      <c r="F1881" s="367">
        <v>45926.58333333333</v>
      </c>
      <c r="G1881" s="364" t="s">
        <v>1185</v>
      </c>
      <c r="H1881" s="364" t="s">
        <v>1203</v>
      </c>
    </row>
    <row r="1882" ht="15.75" customHeight="1">
      <c r="A1882" s="364" t="s">
        <v>68</v>
      </c>
      <c r="B1882" s="364" t="s">
        <v>23</v>
      </c>
      <c r="C1882" s="365" t="s">
        <v>478</v>
      </c>
      <c r="D1882" s="364" t="s">
        <v>479</v>
      </c>
      <c r="E1882" s="366">
        <v>7.0</v>
      </c>
      <c r="F1882" s="367">
        <v>45940.625</v>
      </c>
      <c r="G1882" s="364" t="s">
        <v>1185</v>
      </c>
      <c r="H1882" s="364" t="s">
        <v>1203</v>
      </c>
    </row>
    <row r="1883" ht="15.75" customHeight="1">
      <c r="A1883" s="364" t="s">
        <v>68</v>
      </c>
      <c r="B1883" s="364" t="s">
        <v>23</v>
      </c>
      <c r="C1883" s="365" t="s">
        <v>478</v>
      </c>
      <c r="D1883" s="364" t="s">
        <v>479</v>
      </c>
      <c r="E1883" s="366">
        <v>8.0</v>
      </c>
      <c r="F1883" s="367">
        <v>45943.625</v>
      </c>
      <c r="G1883" s="364" t="s">
        <v>1185</v>
      </c>
      <c r="H1883" s="364" t="s">
        <v>1203</v>
      </c>
    </row>
    <row r="1884" ht="15.75" customHeight="1">
      <c r="A1884" s="364" t="s">
        <v>68</v>
      </c>
      <c r="B1884" s="364" t="s">
        <v>23</v>
      </c>
      <c r="C1884" s="365" t="s">
        <v>478</v>
      </c>
      <c r="D1884" s="364" t="s">
        <v>479</v>
      </c>
      <c r="E1884" s="366">
        <v>9.0</v>
      </c>
      <c r="F1884" s="367">
        <v>45950.625</v>
      </c>
      <c r="G1884" s="364" t="s">
        <v>1185</v>
      </c>
      <c r="H1884" s="364" t="s">
        <v>1203</v>
      </c>
    </row>
    <row r="1885" ht="15.75" customHeight="1">
      <c r="A1885" s="364" t="s">
        <v>68</v>
      </c>
      <c r="B1885" s="364" t="s">
        <v>23</v>
      </c>
      <c r="C1885" s="365" t="s">
        <v>478</v>
      </c>
      <c r="D1885" s="364" t="s">
        <v>479</v>
      </c>
      <c r="E1885" s="366">
        <v>10.0</v>
      </c>
      <c r="F1885" s="367">
        <v>45957.625</v>
      </c>
      <c r="G1885" s="364" t="s">
        <v>1185</v>
      </c>
      <c r="H1885" s="364" t="s">
        <v>1203</v>
      </c>
    </row>
    <row r="1886" ht="15.75" customHeight="1">
      <c r="A1886" s="364" t="s">
        <v>68</v>
      </c>
      <c r="B1886" s="364" t="s">
        <v>23</v>
      </c>
      <c r="C1886" s="365" t="s">
        <v>478</v>
      </c>
      <c r="D1886" s="364" t="s">
        <v>479</v>
      </c>
      <c r="E1886" s="366">
        <v>11.0</v>
      </c>
      <c r="F1886" s="367">
        <v>46007.625</v>
      </c>
      <c r="G1886" s="364" t="s">
        <v>1185</v>
      </c>
      <c r="H1886" s="364" t="s">
        <v>1203</v>
      </c>
    </row>
    <row r="1887" ht="15.75" customHeight="1">
      <c r="A1887" s="364" t="s">
        <v>68</v>
      </c>
      <c r="B1887" s="364" t="s">
        <v>23</v>
      </c>
      <c r="C1887" s="365" t="s">
        <v>478</v>
      </c>
      <c r="D1887" s="364" t="s">
        <v>479</v>
      </c>
      <c r="E1887" s="366">
        <v>12.0</v>
      </c>
      <c r="F1887" s="367">
        <v>46021.58333333333</v>
      </c>
      <c r="G1887" s="364" t="s">
        <v>1185</v>
      </c>
      <c r="H1887" s="364" t="s">
        <v>1203</v>
      </c>
    </row>
    <row r="1888" ht="15.75" customHeight="1">
      <c r="A1888" s="364" t="s">
        <v>68</v>
      </c>
      <c r="B1888" s="364" t="s">
        <v>23</v>
      </c>
      <c r="C1888" s="365" t="s">
        <v>480</v>
      </c>
      <c r="D1888" s="364" t="s">
        <v>481</v>
      </c>
      <c r="E1888" s="366">
        <v>1.0</v>
      </c>
      <c r="F1888" s="367">
        <v>45887.375</v>
      </c>
      <c r="G1888" s="364" t="s">
        <v>1185</v>
      </c>
      <c r="H1888" s="364" t="s">
        <v>1203</v>
      </c>
    </row>
    <row r="1889" ht="15.75" customHeight="1">
      <c r="A1889" s="364" t="s">
        <v>68</v>
      </c>
      <c r="B1889" s="364" t="s">
        <v>23</v>
      </c>
      <c r="C1889" s="365" t="s">
        <v>480</v>
      </c>
      <c r="D1889" s="364" t="s">
        <v>481</v>
      </c>
      <c r="E1889" s="366">
        <v>2.0</v>
      </c>
      <c r="F1889" s="367">
        <v>45894.45833333333</v>
      </c>
      <c r="G1889" s="364" t="s">
        <v>1185</v>
      </c>
      <c r="H1889" s="364" t="s">
        <v>1203</v>
      </c>
    </row>
    <row r="1890" ht="15.75" customHeight="1">
      <c r="A1890" s="364" t="s">
        <v>68</v>
      </c>
      <c r="B1890" s="364" t="s">
        <v>23</v>
      </c>
      <c r="C1890" s="365" t="s">
        <v>480</v>
      </c>
      <c r="D1890" s="364" t="s">
        <v>481</v>
      </c>
      <c r="E1890" s="366">
        <v>3.0</v>
      </c>
      <c r="F1890" s="367">
        <v>45912.58333333333</v>
      </c>
      <c r="G1890" s="364" t="s">
        <v>1185</v>
      </c>
      <c r="H1890" s="364" t="s">
        <v>1203</v>
      </c>
    </row>
    <row r="1891" ht="15.75" customHeight="1">
      <c r="A1891" s="364" t="s">
        <v>68</v>
      </c>
      <c r="B1891" s="364" t="s">
        <v>23</v>
      </c>
      <c r="C1891" s="365" t="s">
        <v>480</v>
      </c>
      <c r="D1891" s="364" t="s">
        <v>481</v>
      </c>
      <c r="E1891" s="366">
        <v>4.0</v>
      </c>
      <c r="F1891" s="367">
        <v>45915.58333333333</v>
      </c>
      <c r="G1891" s="364" t="s">
        <v>1185</v>
      </c>
      <c r="H1891" s="364" t="s">
        <v>1203</v>
      </c>
    </row>
    <row r="1892" ht="15.75" customHeight="1">
      <c r="A1892" s="364" t="s">
        <v>68</v>
      </c>
      <c r="B1892" s="364" t="s">
        <v>23</v>
      </c>
      <c r="C1892" s="365" t="s">
        <v>480</v>
      </c>
      <c r="D1892" s="364" t="s">
        <v>481</v>
      </c>
      <c r="E1892" s="366">
        <v>5.0</v>
      </c>
      <c r="F1892" s="367">
        <v>45922.625</v>
      </c>
      <c r="G1892" s="364" t="s">
        <v>1185</v>
      </c>
      <c r="H1892" s="364" t="s">
        <v>1203</v>
      </c>
    </row>
    <row r="1893" ht="15.75" customHeight="1">
      <c r="A1893" s="364" t="s">
        <v>68</v>
      </c>
      <c r="B1893" s="364" t="s">
        <v>23</v>
      </c>
      <c r="C1893" s="365" t="s">
        <v>480</v>
      </c>
      <c r="D1893" s="364" t="s">
        <v>481</v>
      </c>
      <c r="E1893" s="366">
        <v>6.0</v>
      </c>
      <c r="F1893" s="367">
        <v>45926.58333333333</v>
      </c>
      <c r="G1893" s="364" t="s">
        <v>1185</v>
      </c>
      <c r="H1893" s="364" t="s">
        <v>1203</v>
      </c>
    </row>
    <row r="1894" ht="15.75" customHeight="1">
      <c r="A1894" s="364" t="s">
        <v>68</v>
      </c>
      <c r="B1894" s="364" t="s">
        <v>23</v>
      </c>
      <c r="C1894" s="365" t="s">
        <v>480</v>
      </c>
      <c r="D1894" s="364" t="s">
        <v>481</v>
      </c>
      <c r="E1894" s="366">
        <v>7.0</v>
      </c>
      <c r="F1894" s="367">
        <v>45940.625</v>
      </c>
      <c r="G1894" s="364" t="s">
        <v>1187</v>
      </c>
      <c r="H1894" s="364" t="s">
        <v>1203</v>
      </c>
    </row>
    <row r="1895" ht="15.75" customHeight="1">
      <c r="A1895" s="364" t="s">
        <v>68</v>
      </c>
      <c r="B1895" s="364" t="s">
        <v>23</v>
      </c>
      <c r="C1895" s="365" t="s">
        <v>480</v>
      </c>
      <c r="D1895" s="364" t="s">
        <v>481</v>
      </c>
      <c r="E1895" s="366">
        <v>8.0</v>
      </c>
      <c r="F1895" s="367">
        <v>45943.625</v>
      </c>
      <c r="G1895" s="364" t="s">
        <v>1185</v>
      </c>
      <c r="H1895" s="364" t="s">
        <v>1203</v>
      </c>
    </row>
    <row r="1896" ht="15.75" customHeight="1">
      <c r="A1896" s="364" t="s">
        <v>68</v>
      </c>
      <c r="B1896" s="364" t="s">
        <v>23</v>
      </c>
      <c r="C1896" s="365" t="s">
        <v>480</v>
      </c>
      <c r="D1896" s="364" t="s">
        <v>481</v>
      </c>
      <c r="E1896" s="366">
        <v>9.0</v>
      </c>
      <c r="F1896" s="367">
        <v>45950.625</v>
      </c>
      <c r="G1896" s="364" t="s">
        <v>1185</v>
      </c>
      <c r="H1896" s="364" t="s">
        <v>1203</v>
      </c>
    </row>
    <row r="1897" ht="15.75" customHeight="1">
      <c r="A1897" s="364" t="s">
        <v>68</v>
      </c>
      <c r="B1897" s="364" t="s">
        <v>23</v>
      </c>
      <c r="C1897" s="365" t="s">
        <v>480</v>
      </c>
      <c r="D1897" s="364" t="s">
        <v>481</v>
      </c>
      <c r="E1897" s="366">
        <v>10.0</v>
      </c>
      <c r="F1897" s="367">
        <v>45957.625</v>
      </c>
      <c r="G1897" s="364" t="s">
        <v>1185</v>
      </c>
      <c r="H1897" s="364" t="s">
        <v>1203</v>
      </c>
    </row>
    <row r="1898" ht="15.75" customHeight="1">
      <c r="A1898" s="364" t="s">
        <v>68</v>
      </c>
      <c r="B1898" s="364" t="s">
        <v>23</v>
      </c>
      <c r="C1898" s="365" t="s">
        <v>480</v>
      </c>
      <c r="D1898" s="364" t="s">
        <v>481</v>
      </c>
      <c r="E1898" s="366">
        <v>11.0</v>
      </c>
      <c r="F1898" s="367">
        <v>46007.625</v>
      </c>
      <c r="G1898" s="364" t="s">
        <v>1185</v>
      </c>
      <c r="H1898" s="364" t="s">
        <v>1203</v>
      </c>
    </row>
    <row r="1899" ht="15.75" customHeight="1">
      <c r="A1899" s="364" t="s">
        <v>68</v>
      </c>
      <c r="B1899" s="364" t="s">
        <v>23</v>
      </c>
      <c r="C1899" s="365" t="s">
        <v>480</v>
      </c>
      <c r="D1899" s="364" t="s">
        <v>481</v>
      </c>
      <c r="E1899" s="366">
        <v>12.0</v>
      </c>
      <c r="F1899" s="367">
        <v>46021.58333333333</v>
      </c>
      <c r="G1899" s="364" t="s">
        <v>1185</v>
      </c>
      <c r="H1899" s="364" t="s">
        <v>1203</v>
      </c>
    </row>
    <row r="1900" ht="15.75" customHeight="1">
      <c r="A1900" s="364" t="s">
        <v>68</v>
      </c>
      <c r="B1900" s="364" t="s">
        <v>23</v>
      </c>
      <c r="C1900" s="365" t="s">
        <v>484</v>
      </c>
      <c r="D1900" s="364" t="s">
        <v>485</v>
      </c>
      <c r="E1900" s="366">
        <v>1.0</v>
      </c>
      <c r="F1900" s="367">
        <v>45887.375</v>
      </c>
      <c r="G1900" s="364" t="s">
        <v>1185</v>
      </c>
      <c r="H1900" s="364" t="s">
        <v>1203</v>
      </c>
    </row>
    <row r="1901" ht="15.75" customHeight="1">
      <c r="A1901" s="364" t="s">
        <v>68</v>
      </c>
      <c r="B1901" s="364" t="s">
        <v>23</v>
      </c>
      <c r="C1901" s="365" t="s">
        <v>484</v>
      </c>
      <c r="D1901" s="364" t="s">
        <v>485</v>
      </c>
      <c r="E1901" s="366">
        <v>2.0</v>
      </c>
      <c r="F1901" s="367">
        <v>45894.45833333333</v>
      </c>
      <c r="G1901" s="364" t="s">
        <v>1185</v>
      </c>
      <c r="H1901" s="364" t="s">
        <v>1203</v>
      </c>
    </row>
    <row r="1902" ht="15.75" customHeight="1">
      <c r="A1902" s="364" t="s">
        <v>68</v>
      </c>
      <c r="B1902" s="364" t="s">
        <v>23</v>
      </c>
      <c r="C1902" s="365" t="s">
        <v>484</v>
      </c>
      <c r="D1902" s="364" t="s">
        <v>485</v>
      </c>
      <c r="E1902" s="366">
        <v>3.0</v>
      </c>
      <c r="F1902" s="367">
        <v>45912.58333333333</v>
      </c>
      <c r="G1902" s="364" t="s">
        <v>1185</v>
      </c>
      <c r="H1902" s="364" t="s">
        <v>1203</v>
      </c>
    </row>
    <row r="1903" ht="15.75" customHeight="1">
      <c r="A1903" s="364" t="s">
        <v>68</v>
      </c>
      <c r="B1903" s="364" t="s">
        <v>23</v>
      </c>
      <c r="C1903" s="365" t="s">
        <v>484</v>
      </c>
      <c r="D1903" s="364" t="s">
        <v>485</v>
      </c>
      <c r="E1903" s="366">
        <v>4.0</v>
      </c>
      <c r="F1903" s="367">
        <v>45915.58333333333</v>
      </c>
      <c r="G1903" s="364" t="s">
        <v>1185</v>
      </c>
      <c r="H1903" s="364" t="s">
        <v>1203</v>
      </c>
    </row>
    <row r="1904" ht="15.75" customHeight="1">
      <c r="A1904" s="364" t="s">
        <v>68</v>
      </c>
      <c r="B1904" s="364" t="s">
        <v>23</v>
      </c>
      <c r="C1904" s="365" t="s">
        <v>484</v>
      </c>
      <c r="D1904" s="364" t="s">
        <v>485</v>
      </c>
      <c r="E1904" s="366">
        <v>5.0</v>
      </c>
      <c r="F1904" s="367">
        <v>45922.625</v>
      </c>
      <c r="G1904" s="364" t="s">
        <v>1185</v>
      </c>
      <c r="H1904" s="364" t="s">
        <v>1203</v>
      </c>
    </row>
    <row r="1905" ht="15.75" customHeight="1">
      <c r="A1905" s="364" t="s">
        <v>68</v>
      </c>
      <c r="B1905" s="364" t="s">
        <v>23</v>
      </c>
      <c r="C1905" s="365" t="s">
        <v>484</v>
      </c>
      <c r="D1905" s="364" t="s">
        <v>485</v>
      </c>
      <c r="E1905" s="366">
        <v>6.0</v>
      </c>
      <c r="F1905" s="367">
        <v>45926.58333333333</v>
      </c>
      <c r="G1905" s="364" t="s">
        <v>1185</v>
      </c>
      <c r="H1905" s="364" t="s">
        <v>1203</v>
      </c>
    </row>
    <row r="1906" ht="15.75" customHeight="1">
      <c r="A1906" s="364" t="s">
        <v>68</v>
      </c>
      <c r="B1906" s="364" t="s">
        <v>23</v>
      </c>
      <c r="C1906" s="365" t="s">
        <v>484</v>
      </c>
      <c r="D1906" s="364" t="s">
        <v>485</v>
      </c>
      <c r="E1906" s="366">
        <v>7.0</v>
      </c>
      <c r="F1906" s="367">
        <v>45940.625</v>
      </c>
      <c r="G1906" s="364" t="s">
        <v>1185</v>
      </c>
      <c r="H1906" s="364" t="s">
        <v>1203</v>
      </c>
    </row>
    <row r="1907" ht="15.75" customHeight="1">
      <c r="A1907" s="364" t="s">
        <v>68</v>
      </c>
      <c r="B1907" s="364" t="s">
        <v>23</v>
      </c>
      <c r="C1907" s="365" t="s">
        <v>484</v>
      </c>
      <c r="D1907" s="364" t="s">
        <v>485</v>
      </c>
      <c r="E1907" s="366">
        <v>8.0</v>
      </c>
      <c r="F1907" s="367">
        <v>45943.625</v>
      </c>
      <c r="G1907" s="364" t="s">
        <v>1185</v>
      </c>
      <c r="H1907" s="364" t="s">
        <v>1203</v>
      </c>
    </row>
    <row r="1908" ht="15.75" customHeight="1">
      <c r="A1908" s="364" t="s">
        <v>68</v>
      </c>
      <c r="B1908" s="364" t="s">
        <v>23</v>
      </c>
      <c r="C1908" s="365" t="s">
        <v>484</v>
      </c>
      <c r="D1908" s="364" t="s">
        <v>485</v>
      </c>
      <c r="E1908" s="366">
        <v>9.0</v>
      </c>
      <c r="F1908" s="367">
        <v>45950.625</v>
      </c>
      <c r="G1908" s="364" t="s">
        <v>1185</v>
      </c>
      <c r="H1908" s="364" t="s">
        <v>1203</v>
      </c>
    </row>
    <row r="1909" ht="15.75" customHeight="1">
      <c r="A1909" s="364" t="s">
        <v>68</v>
      </c>
      <c r="B1909" s="364" t="s">
        <v>23</v>
      </c>
      <c r="C1909" s="365" t="s">
        <v>484</v>
      </c>
      <c r="D1909" s="364" t="s">
        <v>485</v>
      </c>
      <c r="E1909" s="366">
        <v>10.0</v>
      </c>
      <c r="F1909" s="367">
        <v>45957.625</v>
      </c>
      <c r="G1909" s="364" t="s">
        <v>1185</v>
      </c>
      <c r="H1909" s="364" t="s">
        <v>1203</v>
      </c>
    </row>
    <row r="1910" ht="15.75" customHeight="1">
      <c r="A1910" s="364" t="s">
        <v>68</v>
      </c>
      <c r="B1910" s="364" t="s">
        <v>23</v>
      </c>
      <c r="C1910" s="365" t="s">
        <v>484</v>
      </c>
      <c r="D1910" s="364" t="s">
        <v>485</v>
      </c>
      <c r="E1910" s="366">
        <v>11.0</v>
      </c>
      <c r="F1910" s="367">
        <v>46007.625</v>
      </c>
      <c r="G1910" s="364" t="s">
        <v>1187</v>
      </c>
      <c r="H1910" s="364" t="s">
        <v>1203</v>
      </c>
    </row>
    <row r="1911" ht="15.75" customHeight="1">
      <c r="A1911" s="364" t="s">
        <v>68</v>
      </c>
      <c r="B1911" s="364" t="s">
        <v>23</v>
      </c>
      <c r="C1911" s="365" t="s">
        <v>484</v>
      </c>
      <c r="D1911" s="364" t="s">
        <v>485</v>
      </c>
      <c r="E1911" s="366">
        <v>12.0</v>
      </c>
      <c r="F1911" s="367">
        <v>46021.58333333333</v>
      </c>
      <c r="G1911" s="364" t="s">
        <v>1185</v>
      </c>
      <c r="H1911" s="364" t="s">
        <v>1203</v>
      </c>
    </row>
    <row r="1912" ht="15.75" customHeight="1">
      <c r="A1912" s="364" t="s">
        <v>68</v>
      </c>
      <c r="B1912" s="364" t="s">
        <v>23</v>
      </c>
      <c r="C1912" s="365" t="s">
        <v>486</v>
      </c>
      <c r="D1912" s="364" t="s">
        <v>487</v>
      </c>
      <c r="E1912" s="366">
        <v>1.0</v>
      </c>
      <c r="F1912" s="367">
        <v>45887.375</v>
      </c>
      <c r="G1912" s="364" t="s">
        <v>1185</v>
      </c>
      <c r="H1912" s="364" t="s">
        <v>1203</v>
      </c>
    </row>
    <row r="1913" ht="15.75" customHeight="1">
      <c r="A1913" s="364" t="s">
        <v>68</v>
      </c>
      <c r="B1913" s="364" t="s">
        <v>23</v>
      </c>
      <c r="C1913" s="365" t="s">
        <v>486</v>
      </c>
      <c r="D1913" s="364" t="s">
        <v>487</v>
      </c>
      <c r="E1913" s="366">
        <v>2.0</v>
      </c>
      <c r="F1913" s="367">
        <v>45894.45833333333</v>
      </c>
      <c r="G1913" s="364" t="s">
        <v>1185</v>
      </c>
      <c r="H1913" s="364" t="s">
        <v>1203</v>
      </c>
    </row>
    <row r="1914" ht="15.75" customHeight="1">
      <c r="A1914" s="364" t="s">
        <v>68</v>
      </c>
      <c r="B1914" s="364" t="s">
        <v>23</v>
      </c>
      <c r="C1914" s="365" t="s">
        <v>486</v>
      </c>
      <c r="D1914" s="364" t="s">
        <v>487</v>
      </c>
      <c r="E1914" s="366">
        <v>3.0</v>
      </c>
      <c r="F1914" s="367">
        <v>45912.58333333333</v>
      </c>
      <c r="G1914" s="364" t="s">
        <v>1185</v>
      </c>
      <c r="H1914" s="364" t="s">
        <v>1203</v>
      </c>
    </row>
    <row r="1915" ht="15.75" customHeight="1">
      <c r="A1915" s="364" t="s">
        <v>68</v>
      </c>
      <c r="B1915" s="364" t="s">
        <v>23</v>
      </c>
      <c r="C1915" s="365" t="s">
        <v>486</v>
      </c>
      <c r="D1915" s="364" t="s">
        <v>487</v>
      </c>
      <c r="E1915" s="366">
        <v>4.0</v>
      </c>
      <c r="F1915" s="367">
        <v>45915.58333333333</v>
      </c>
      <c r="G1915" s="364" t="s">
        <v>1185</v>
      </c>
      <c r="H1915" s="364" t="s">
        <v>1203</v>
      </c>
    </row>
    <row r="1916" ht="15.75" customHeight="1">
      <c r="A1916" s="364" t="s">
        <v>68</v>
      </c>
      <c r="B1916" s="364" t="s">
        <v>23</v>
      </c>
      <c r="C1916" s="365" t="s">
        <v>486</v>
      </c>
      <c r="D1916" s="364" t="s">
        <v>487</v>
      </c>
      <c r="E1916" s="366">
        <v>5.0</v>
      </c>
      <c r="F1916" s="367">
        <v>45922.625</v>
      </c>
      <c r="G1916" s="364" t="s">
        <v>1185</v>
      </c>
      <c r="H1916" s="364" t="s">
        <v>1203</v>
      </c>
    </row>
    <row r="1917" ht="15.75" customHeight="1">
      <c r="A1917" s="364" t="s">
        <v>68</v>
      </c>
      <c r="B1917" s="364" t="s">
        <v>23</v>
      </c>
      <c r="C1917" s="365" t="s">
        <v>486</v>
      </c>
      <c r="D1917" s="364" t="s">
        <v>487</v>
      </c>
      <c r="E1917" s="366">
        <v>6.0</v>
      </c>
      <c r="F1917" s="367">
        <v>45926.58333333333</v>
      </c>
      <c r="G1917" s="364" t="s">
        <v>1185</v>
      </c>
      <c r="H1917" s="364" t="s">
        <v>1203</v>
      </c>
    </row>
    <row r="1918" ht="15.75" customHeight="1">
      <c r="A1918" s="364" t="s">
        <v>68</v>
      </c>
      <c r="B1918" s="364" t="s">
        <v>23</v>
      </c>
      <c r="C1918" s="365" t="s">
        <v>486</v>
      </c>
      <c r="D1918" s="364" t="s">
        <v>487</v>
      </c>
      <c r="E1918" s="366">
        <v>7.0</v>
      </c>
      <c r="F1918" s="367">
        <v>45940.625</v>
      </c>
      <c r="G1918" s="364" t="s">
        <v>1185</v>
      </c>
      <c r="H1918" s="364" t="s">
        <v>1203</v>
      </c>
    </row>
    <row r="1919" ht="15.75" customHeight="1">
      <c r="A1919" s="364" t="s">
        <v>68</v>
      </c>
      <c r="B1919" s="364" t="s">
        <v>23</v>
      </c>
      <c r="C1919" s="365" t="s">
        <v>486</v>
      </c>
      <c r="D1919" s="364" t="s">
        <v>487</v>
      </c>
      <c r="E1919" s="366">
        <v>8.0</v>
      </c>
      <c r="F1919" s="367">
        <v>45943.625</v>
      </c>
      <c r="G1919" s="364" t="s">
        <v>1185</v>
      </c>
      <c r="H1919" s="364" t="s">
        <v>1203</v>
      </c>
    </row>
    <row r="1920" ht="15.75" customHeight="1">
      <c r="A1920" s="364" t="s">
        <v>68</v>
      </c>
      <c r="B1920" s="364" t="s">
        <v>23</v>
      </c>
      <c r="C1920" s="365" t="s">
        <v>486</v>
      </c>
      <c r="D1920" s="364" t="s">
        <v>487</v>
      </c>
      <c r="E1920" s="366">
        <v>9.0</v>
      </c>
      <c r="F1920" s="367">
        <v>45950.625</v>
      </c>
      <c r="G1920" s="364" t="s">
        <v>1185</v>
      </c>
      <c r="H1920" s="364" t="s">
        <v>1203</v>
      </c>
    </row>
    <row r="1921" ht="15.75" customHeight="1">
      <c r="A1921" s="364" t="s">
        <v>68</v>
      </c>
      <c r="B1921" s="364" t="s">
        <v>23</v>
      </c>
      <c r="C1921" s="365" t="s">
        <v>486</v>
      </c>
      <c r="D1921" s="364" t="s">
        <v>487</v>
      </c>
      <c r="E1921" s="366">
        <v>10.0</v>
      </c>
      <c r="F1921" s="367">
        <v>45957.625</v>
      </c>
      <c r="G1921" s="364" t="s">
        <v>1185</v>
      </c>
      <c r="H1921" s="364" t="s">
        <v>1203</v>
      </c>
    </row>
    <row r="1922" ht="15.75" customHeight="1">
      <c r="A1922" s="364" t="s">
        <v>68</v>
      </c>
      <c r="B1922" s="364" t="s">
        <v>23</v>
      </c>
      <c r="C1922" s="365" t="s">
        <v>486</v>
      </c>
      <c r="D1922" s="364" t="s">
        <v>487</v>
      </c>
      <c r="E1922" s="366">
        <v>11.0</v>
      </c>
      <c r="F1922" s="367">
        <v>46007.625</v>
      </c>
      <c r="G1922" s="364" t="s">
        <v>1185</v>
      </c>
      <c r="H1922" s="364" t="s">
        <v>1203</v>
      </c>
    </row>
    <row r="1923" ht="15.75" customHeight="1">
      <c r="A1923" s="364" t="s">
        <v>68</v>
      </c>
      <c r="B1923" s="364" t="s">
        <v>23</v>
      </c>
      <c r="C1923" s="365" t="s">
        <v>486</v>
      </c>
      <c r="D1923" s="364" t="s">
        <v>487</v>
      </c>
      <c r="E1923" s="366">
        <v>12.0</v>
      </c>
      <c r="F1923" s="367">
        <v>46021.58333333333</v>
      </c>
      <c r="G1923" s="364" t="s">
        <v>1185</v>
      </c>
      <c r="H1923" s="364" t="s">
        <v>1203</v>
      </c>
    </row>
    <row r="1924" ht="15.75" customHeight="1">
      <c r="A1924" s="364" t="s">
        <v>68</v>
      </c>
      <c r="B1924" s="364" t="s">
        <v>23</v>
      </c>
      <c r="C1924" s="365" t="s">
        <v>488</v>
      </c>
      <c r="D1924" s="364" t="s">
        <v>489</v>
      </c>
      <c r="E1924" s="366">
        <v>1.0</v>
      </c>
      <c r="F1924" s="367">
        <v>45887.375</v>
      </c>
      <c r="G1924" s="364" t="s">
        <v>1185</v>
      </c>
      <c r="H1924" s="364" t="s">
        <v>1203</v>
      </c>
    </row>
    <row r="1925" ht="15.75" customHeight="1">
      <c r="A1925" s="364" t="s">
        <v>68</v>
      </c>
      <c r="B1925" s="364" t="s">
        <v>23</v>
      </c>
      <c r="C1925" s="365" t="s">
        <v>488</v>
      </c>
      <c r="D1925" s="364" t="s">
        <v>489</v>
      </c>
      <c r="E1925" s="366">
        <v>2.0</v>
      </c>
      <c r="F1925" s="367">
        <v>45894.45833333333</v>
      </c>
      <c r="G1925" s="364" t="s">
        <v>1185</v>
      </c>
      <c r="H1925" s="364" t="s">
        <v>1203</v>
      </c>
    </row>
    <row r="1926" ht="15.75" customHeight="1">
      <c r="A1926" s="364" t="s">
        <v>68</v>
      </c>
      <c r="B1926" s="364" t="s">
        <v>23</v>
      </c>
      <c r="C1926" s="365" t="s">
        <v>488</v>
      </c>
      <c r="D1926" s="364" t="s">
        <v>489</v>
      </c>
      <c r="E1926" s="366">
        <v>3.0</v>
      </c>
      <c r="F1926" s="367">
        <v>45912.58333333333</v>
      </c>
      <c r="G1926" s="364" t="s">
        <v>1185</v>
      </c>
      <c r="H1926" s="364" t="s">
        <v>1203</v>
      </c>
    </row>
    <row r="1927" ht="15.75" customHeight="1">
      <c r="A1927" s="364" t="s">
        <v>68</v>
      </c>
      <c r="B1927" s="364" t="s">
        <v>23</v>
      </c>
      <c r="C1927" s="365" t="s">
        <v>488</v>
      </c>
      <c r="D1927" s="364" t="s">
        <v>489</v>
      </c>
      <c r="E1927" s="366">
        <v>4.0</v>
      </c>
      <c r="F1927" s="367">
        <v>45915.58333333333</v>
      </c>
      <c r="G1927" s="364" t="s">
        <v>1187</v>
      </c>
      <c r="H1927" s="364" t="s">
        <v>1203</v>
      </c>
    </row>
    <row r="1928" ht="15.75" customHeight="1">
      <c r="A1928" s="364" t="s">
        <v>68</v>
      </c>
      <c r="B1928" s="364" t="s">
        <v>23</v>
      </c>
      <c r="C1928" s="365" t="s">
        <v>488</v>
      </c>
      <c r="D1928" s="364" t="s">
        <v>489</v>
      </c>
      <c r="E1928" s="366">
        <v>5.0</v>
      </c>
      <c r="F1928" s="367">
        <v>45922.625</v>
      </c>
      <c r="G1928" s="364" t="s">
        <v>1185</v>
      </c>
      <c r="H1928" s="364" t="s">
        <v>1203</v>
      </c>
    </row>
    <row r="1929" ht="15.75" customHeight="1">
      <c r="A1929" s="364" t="s">
        <v>68</v>
      </c>
      <c r="B1929" s="364" t="s">
        <v>23</v>
      </c>
      <c r="C1929" s="365" t="s">
        <v>488</v>
      </c>
      <c r="D1929" s="364" t="s">
        <v>489</v>
      </c>
      <c r="E1929" s="366">
        <v>6.0</v>
      </c>
      <c r="F1929" s="367">
        <v>45926.58333333333</v>
      </c>
      <c r="G1929" s="364" t="s">
        <v>1185</v>
      </c>
      <c r="H1929" s="364" t="s">
        <v>1203</v>
      </c>
    </row>
    <row r="1930" ht="15.75" customHeight="1">
      <c r="A1930" s="364" t="s">
        <v>68</v>
      </c>
      <c r="B1930" s="364" t="s">
        <v>23</v>
      </c>
      <c r="C1930" s="365" t="s">
        <v>488</v>
      </c>
      <c r="D1930" s="364" t="s">
        <v>489</v>
      </c>
      <c r="E1930" s="366">
        <v>7.0</v>
      </c>
      <c r="F1930" s="367">
        <v>45940.625</v>
      </c>
      <c r="G1930" s="364" t="s">
        <v>1185</v>
      </c>
      <c r="H1930" s="364" t="s">
        <v>1203</v>
      </c>
    </row>
    <row r="1931" ht="15.75" customHeight="1">
      <c r="A1931" s="364" t="s">
        <v>68</v>
      </c>
      <c r="B1931" s="364" t="s">
        <v>23</v>
      </c>
      <c r="C1931" s="365" t="s">
        <v>488</v>
      </c>
      <c r="D1931" s="364" t="s">
        <v>489</v>
      </c>
      <c r="E1931" s="366">
        <v>8.0</v>
      </c>
      <c r="F1931" s="367">
        <v>45943.625</v>
      </c>
      <c r="G1931" s="364" t="s">
        <v>1185</v>
      </c>
      <c r="H1931" s="364" t="s">
        <v>1203</v>
      </c>
    </row>
    <row r="1932" ht="15.75" customHeight="1">
      <c r="A1932" s="364" t="s">
        <v>68</v>
      </c>
      <c r="B1932" s="364" t="s">
        <v>23</v>
      </c>
      <c r="C1932" s="365" t="s">
        <v>488</v>
      </c>
      <c r="D1932" s="364" t="s">
        <v>489</v>
      </c>
      <c r="E1932" s="366">
        <v>9.0</v>
      </c>
      <c r="F1932" s="367">
        <v>45950.625</v>
      </c>
      <c r="G1932" s="364" t="s">
        <v>1185</v>
      </c>
      <c r="H1932" s="364" t="s">
        <v>1203</v>
      </c>
    </row>
    <row r="1933" ht="15.75" customHeight="1">
      <c r="A1933" s="364" t="s">
        <v>68</v>
      </c>
      <c r="B1933" s="364" t="s">
        <v>23</v>
      </c>
      <c r="C1933" s="365" t="s">
        <v>488</v>
      </c>
      <c r="D1933" s="364" t="s">
        <v>489</v>
      </c>
      <c r="E1933" s="366">
        <v>10.0</v>
      </c>
      <c r="F1933" s="367">
        <v>45957.625</v>
      </c>
      <c r="G1933" s="364" t="s">
        <v>1185</v>
      </c>
      <c r="H1933" s="364" t="s">
        <v>1203</v>
      </c>
    </row>
    <row r="1934" ht="15.75" customHeight="1">
      <c r="A1934" s="364" t="s">
        <v>68</v>
      </c>
      <c r="B1934" s="364" t="s">
        <v>23</v>
      </c>
      <c r="C1934" s="365" t="s">
        <v>488</v>
      </c>
      <c r="D1934" s="364" t="s">
        <v>489</v>
      </c>
      <c r="E1934" s="366">
        <v>11.0</v>
      </c>
      <c r="F1934" s="367">
        <v>46007.625</v>
      </c>
      <c r="G1934" s="364" t="s">
        <v>1185</v>
      </c>
      <c r="H1934" s="364" t="s">
        <v>1203</v>
      </c>
    </row>
    <row r="1935" ht="15.75" customHeight="1">
      <c r="A1935" s="364" t="s">
        <v>68</v>
      </c>
      <c r="B1935" s="364" t="s">
        <v>23</v>
      </c>
      <c r="C1935" s="365" t="s">
        <v>488</v>
      </c>
      <c r="D1935" s="364" t="s">
        <v>489</v>
      </c>
      <c r="E1935" s="366">
        <v>12.0</v>
      </c>
      <c r="F1935" s="367">
        <v>46021.58333333333</v>
      </c>
      <c r="G1935" s="364" t="s">
        <v>1185</v>
      </c>
      <c r="H1935" s="364" t="s">
        <v>1203</v>
      </c>
    </row>
    <row r="1936" ht="15.75" customHeight="1">
      <c r="A1936" s="364" t="s">
        <v>68</v>
      </c>
      <c r="B1936" s="364" t="s">
        <v>23</v>
      </c>
      <c r="C1936" s="365" t="s">
        <v>490</v>
      </c>
      <c r="D1936" s="364" t="s">
        <v>491</v>
      </c>
      <c r="E1936" s="366">
        <v>1.0</v>
      </c>
      <c r="F1936" s="367">
        <v>45887.375</v>
      </c>
      <c r="G1936" s="364" t="s">
        <v>1185</v>
      </c>
      <c r="H1936" s="364" t="s">
        <v>1203</v>
      </c>
    </row>
    <row r="1937" ht="15.75" customHeight="1">
      <c r="A1937" s="364" t="s">
        <v>68</v>
      </c>
      <c r="B1937" s="364" t="s">
        <v>23</v>
      </c>
      <c r="C1937" s="365" t="s">
        <v>490</v>
      </c>
      <c r="D1937" s="364" t="s">
        <v>491</v>
      </c>
      <c r="E1937" s="366">
        <v>2.0</v>
      </c>
      <c r="F1937" s="367">
        <v>45894.45833333333</v>
      </c>
      <c r="G1937" s="364" t="s">
        <v>1185</v>
      </c>
      <c r="H1937" s="364" t="s">
        <v>1203</v>
      </c>
    </row>
    <row r="1938" ht="15.75" customHeight="1">
      <c r="A1938" s="364" t="s">
        <v>68</v>
      </c>
      <c r="B1938" s="364" t="s">
        <v>23</v>
      </c>
      <c r="C1938" s="365" t="s">
        <v>490</v>
      </c>
      <c r="D1938" s="364" t="s">
        <v>491</v>
      </c>
      <c r="E1938" s="366">
        <v>3.0</v>
      </c>
      <c r="F1938" s="367">
        <v>45912.58333333333</v>
      </c>
      <c r="G1938" s="364" t="s">
        <v>1185</v>
      </c>
      <c r="H1938" s="364" t="s">
        <v>1203</v>
      </c>
    </row>
    <row r="1939" ht="15.75" customHeight="1">
      <c r="A1939" s="364" t="s">
        <v>68</v>
      </c>
      <c r="B1939" s="364" t="s">
        <v>23</v>
      </c>
      <c r="C1939" s="365" t="s">
        <v>490</v>
      </c>
      <c r="D1939" s="364" t="s">
        <v>491</v>
      </c>
      <c r="E1939" s="366">
        <v>4.0</v>
      </c>
      <c r="F1939" s="367">
        <v>45915.58333333333</v>
      </c>
      <c r="G1939" s="364" t="s">
        <v>1187</v>
      </c>
      <c r="H1939" s="364" t="s">
        <v>1203</v>
      </c>
    </row>
    <row r="1940" ht="15.75" customHeight="1">
      <c r="A1940" s="364" t="s">
        <v>68</v>
      </c>
      <c r="B1940" s="364" t="s">
        <v>23</v>
      </c>
      <c r="C1940" s="365" t="s">
        <v>490</v>
      </c>
      <c r="D1940" s="364" t="s">
        <v>491</v>
      </c>
      <c r="E1940" s="366">
        <v>5.0</v>
      </c>
      <c r="F1940" s="367">
        <v>45922.625</v>
      </c>
      <c r="G1940" s="364" t="s">
        <v>1185</v>
      </c>
      <c r="H1940" s="364" t="s">
        <v>1203</v>
      </c>
    </row>
    <row r="1941" ht="15.75" customHeight="1">
      <c r="A1941" s="364" t="s">
        <v>68</v>
      </c>
      <c r="B1941" s="364" t="s">
        <v>23</v>
      </c>
      <c r="C1941" s="365" t="s">
        <v>490</v>
      </c>
      <c r="D1941" s="364" t="s">
        <v>491</v>
      </c>
      <c r="E1941" s="366">
        <v>6.0</v>
      </c>
      <c r="F1941" s="367">
        <v>45926.58333333333</v>
      </c>
      <c r="G1941" s="364" t="s">
        <v>1185</v>
      </c>
      <c r="H1941" s="364" t="s">
        <v>1203</v>
      </c>
    </row>
    <row r="1942" ht="15.75" customHeight="1">
      <c r="A1942" s="364" t="s">
        <v>68</v>
      </c>
      <c r="B1942" s="364" t="s">
        <v>23</v>
      </c>
      <c r="C1942" s="365" t="s">
        <v>490</v>
      </c>
      <c r="D1942" s="364" t="s">
        <v>491</v>
      </c>
      <c r="E1942" s="366">
        <v>7.0</v>
      </c>
      <c r="F1942" s="367">
        <v>45940.625</v>
      </c>
      <c r="G1942" s="364" t="s">
        <v>1185</v>
      </c>
      <c r="H1942" s="364" t="s">
        <v>1203</v>
      </c>
    </row>
    <row r="1943" ht="15.75" customHeight="1">
      <c r="A1943" s="364" t="s">
        <v>68</v>
      </c>
      <c r="B1943" s="364" t="s">
        <v>23</v>
      </c>
      <c r="C1943" s="365" t="s">
        <v>490</v>
      </c>
      <c r="D1943" s="364" t="s">
        <v>491</v>
      </c>
      <c r="E1943" s="366">
        <v>8.0</v>
      </c>
      <c r="F1943" s="367">
        <v>45943.625</v>
      </c>
      <c r="G1943" s="364" t="s">
        <v>1185</v>
      </c>
      <c r="H1943" s="364" t="s">
        <v>1203</v>
      </c>
    </row>
    <row r="1944" ht="15.75" customHeight="1">
      <c r="A1944" s="364" t="s">
        <v>68</v>
      </c>
      <c r="B1944" s="364" t="s">
        <v>23</v>
      </c>
      <c r="C1944" s="365" t="s">
        <v>490</v>
      </c>
      <c r="D1944" s="364" t="s">
        <v>491</v>
      </c>
      <c r="E1944" s="366">
        <v>9.0</v>
      </c>
      <c r="F1944" s="367">
        <v>45950.625</v>
      </c>
      <c r="G1944" s="364" t="s">
        <v>1185</v>
      </c>
      <c r="H1944" s="364" t="s">
        <v>1203</v>
      </c>
    </row>
    <row r="1945" ht="15.75" customHeight="1">
      <c r="A1945" s="364" t="s">
        <v>68</v>
      </c>
      <c r="B1945" s="364" t="s">
        <v>23</v>
      </c>
      <c r="C1945" s="365" t="s">
        <v>490</v>
      </c>
      <c r="D1945" s="364" t="s">
        <v>491</v>
      </c>
      <c r="E1945" s="366">
        <v>10.0</v>
      </c>
      <c r="F1945" s="367">
        <v>45957.625</v>
      </c>
      <c r="G1945" s="364" t="s">
        <v>1185</v>
      </c>
      <c r="H1945" s="364" t="s">
        <v>1203</v>
      </c>
    </row>
    <row r="1946" ht="15.75" customHeight="1">
      <c r="A1946" s="364" t="s">
        <v>68</v>
      </c>
      <c r="B1946" s="364" t="s">
        <v>23</v>
      </c>
      <c r="C1946" s="365" t="s">
        <v>490</v>
      </c>
      <c r="D1946" s="364" t="s">
        <v>491</v>
      </c>
      <c r="E1946" s="366">
        <v>11.0</v>
      </c>
      <c r="F1946" s="367">
        <v>46007.625</v>
      </c>
      <c r="G1946" s="364" t="s">
        <v>1185</v>
      </c>
      <c r="H1946" s="364" t="s">
        <v>1203</v>
      </c>
    </row>
    <row r="1947" ht="15.75" customHeight="1">
      <c r="A1947" s="364" t="s">
        <v>68</v>
      </c>
      <c r="B1947" s="364" t="s">
        <v>23</v>
      </c>
      <c r="C1947" s="365" t="s">
        <v>490</v>
      </c>
      <c r="D1947" s="364" t="s">
        <v>491</v>
      </c>
      <c r="E1947" s="366">
        <v>12.0</v>
      </c>
      <c r="F1947" s="367">
        <v>46021.58333333333</v>
      </c>
      <c r="G1947" s="364" t="s">
        <v>1185</v>
      </c>
      <c r="H1947" s="364" t="s">
        <v>1203</v>
      </c>
    </row>
    <row r="1948" ht="15.75" customHeight="1">
      <c r="A1948" s="364" t="s">
        <v>69</v>
      </c>
      <c r="B1948" s="364" t="s">
        <v>22</v>
      </c>
      <c r="C1948" s="365" t="s">
        <v>494</v>
      </c>
      <c r="D1948" s="364" t="s">
        <v>495</v>
      </c>
      <c r="E1948" s="366">
        <v>1.0</v>
      </c>
      <c r="F1948" s="367">
        <v>45663.41666666667</v>
      </c>
      <c r="G1948" s="364" t="s">
        <v>1185</v>
      </c>
      <c r="H1948" s="364" t="s">
        <v>1204</v>
      </c>
    </row>
    <row r="1949" ht="15.75" customHeight="1">
      <c r="A1949" s="364" t="s">
        <v>69</v>
      </c>
      <c r="B1949" s="364" t="s">
        <v>22</v>
      </c>
      <c r="C1949" s="365" t="s">
        <v>494</v>
      </c>
      <c r="D1949" s="364" t="s">
        <v>495</v>
      </c>
      <c r="E1949" s="366">
        <v>2.0</v>
      </c>
      <c r="F1949" s="367">
        <v>45671.41666666667</v>
      </c>
      <c r="G1949" s="364" t="s">
        <v>1185</v>
      </c>
      <c r="H1949" s="364" t="s">
        <v>1204</v>
      </c>
    </row>
    <row r="1950" ht="15.75" customHeight="1">
      <c r="A1950" s="364" t="s">
        <v>69</v>
      </c>
      <c r="B1950" s="364" t="s">
        <v>22</v>
      </c>
      <c r="C1950" s="365" t="s">
        <v>494</v>
      </c>
      <c r="D1950" s="364" t="s">
        <v>495</v>
      </c>
      <c r="E1950" s="366">
        <v>3.0</v>
      </c>
      <c r="F1950" s="367">
        <v>45677.41666666667</v>
      </c>
      <c r="G1950" s="364" t="s">
        <v>1185</v>
      </c>
      <c r="H1950" s="364" t="s">
        <v>1204</v>
      </c>
    </row>
    <row r="1951" ht="15.75" customHeight="1">
      <c r="A1951" s="364" t="s">
        <v>69</v>
      </c>
      <c r="B1951" s="364" t="s">
        <v>22</v>
      </c>
      <c r="C1951" s="365" t="s">
        <v>494</v>
      </c>
      <c r="D1951" s="364" t="s">
        <v>495</v>
      </c>
      <c r="E1951" s="366">
        <v>4.0</v>
      </c>
      <c r="F1951" s="367">
        <v>45695.45833333333</v>
      </c>
      <c r="G1951" s="364" t="s">
        <v>1185</v>
      </c>
      <c r="H1951" s="364" t="s">
        <v>1204</v>
      </c>
    </row>
    <row r="1952" ht="15.75" customHeight="1">
      <c r="A1952" s="364" t="s">
        <v>69</v>
      </c>
      <c r="B1952" s="364" t="s">
        <v>22</v>
      </c>
      <c r="C1952" s="365" t="s">
        <v>494</v>
      </c>
      <c r="D1952" s="364" t="s">
        <v>495</v>
      </c>
      <c r="E1952" s="366">
        <v>5.0</v>
      </c>
      <c r="F1952" s="367">
        <v>45702.54166666667</v>
      </c>
      <c r="G1952" s="364" t="s">
        <v>1185</v>
      </c>
      <c r="H1952" s="364" t="s">
        <v>1204</v>
      </c>
    </row>
    <row r="1953" ht="15.75" customHeight="1">
      <c r="A1953" s="364" t="s">
        <v>69</v>
      </c>
      <c r="B1953" s="364" t="s">
        <v>22</v>
      </c>
      <c r="C1953" s="365" t="s">
        <v>494</v>
      </c>
      <c r="D1953" s="364" t="s">
        <v>495</v>
      </c>
      <c r="E1953" s="366">
        <v>6.0</v>
      </c>
      <c r="F1953" s="367">
        <v>45706.45833333333</v>
      </c>
      <c r="G1953" s="364" t="s">
        <v>1185</v>
      </c>
      <c r="H1953" s="364" t="s">
        <v>1204</v>
      </c>
    </row>
    <row r="1954" ht="15.75" customHeight="1">
      <c r="A1954" s="364" t="s">
        <v>69</v>
      </c>
      <c r="B1954" s="364" t="s">
        <v>22</v>
      </c>
      <c r="C1954" s="365" t="s">
        <v>494</v>
      </c>
      <c r="D1954" s="364" t="s">
        <v>495</v>
      </c>
      <c r="E1954" s="366">
        <v>7.0</v>
      </c>
      <c r="F1954" s="367">
        <v>45709.41666666667</v>
      </c>
      <c r="G1954" s="364" t="s">
        <v>1185</v>
      </c>
      <c r="H1954" s="364" t="s">
        <v>1204</v>
      </c>
    </row>
    <row r="1955" ht="15.75" customHeight="1">
      <c r="A1955" s="364" t="s">
        <v>69</v>
      </c>
      <c r="B1955" s="364" t="s">
        <v>22</v>
      </c>
      <c r="C1955" s="365" t="s">
        <v>494</v>
      </c>
      <c r="D1955" s="364" t="s">
        <v>495</v>
      </c>
      <c r="E1955" s="366">
        <v>8.0</v>
      </c>
      <c r="F1955" s="367">
        <v>45713.45833333333</v>
      </c>
      <c r="G1955" s="364" t="s">
        <v>1185</v>
      </c>
      <c r="H1955" s="364" t="s">
        <v>1204</v>
      </c>
    </row>
    <row r="1956" ht="15.75" customHeight="1">
      <c r="A1956" s="364" t="s">
        <v>69</v>
      </c>
      <c r="B1956" s="364" t="s">
        <v>22</v>
      </c>
      <c r="C1956" s="365" t="s">
        <v>494</v>
      </c>
      <c r="D1956" s="364" t="s">
        <v>495</v>
      </c>
      <c r="E1956" s="366">
        <v>9.0</v>
      </c>
      <c r="F1956" s="367">
        <v>45716.41666666667</v>
      </c>
      <c r="G1956" s="364" t="s">
        <v>1185</v>
      </c>
      <c r="H1956" s="364" t="s">
        <v>1204</v>
      </c>
    </row>
    <row r="1957" ht="15.75" customHeight="1">
      <c r="A1957" s="364" t="s">
        <v>69</v>
      </c>
      <c r="B1957" s="364" t="s">
        <v>22</v>
      </c>
      <c r="C1957" s="365" t="s">
        <v>494</v>
      </c>
      <c r="D1957" s="364" t="s">
        <v>495</v>
      </c>
      <c r="E1957" s="366">
        <v>10.0</v>
      </c>
      <c r="F1957" s="367">
        <v>45758.41666666667</v>
      </c>
      <c r="G1957" s="364" t="s">
        <v>1185</v>
      </c>
      <c r="H1957" s="364" t="s">
        <v>1204</v>
      </c>
    </row>
    <row r="1958" ht="15.75" customHeight="1">
      <c r="A1958" s="364" t="s">
        <v>69</v>
      </c>
      <c r="B1958" s="364" t="s">
        <v>22</v>
      </c>
      <c r="C1958" s="365" t="s">
        <v>494</v>
      </c>
      <c r="D1958" s="364" t="s">
        <v>495</v>
      </c>
      <c r="E1958" s="366">
        <v>11.0</v>
      </c>
      <c r="F1958" s="367">
        <v>45765.41666666667</v>
      </c>
      <c r="G1958" s="364" t="s">
        <v>1185</v>
      </c>
      <c r="H1958" s="364" t="s">
        <v>1204</v>
      </c>
    </row>
    <row r="1959" ht="15.75" customHeight="1">
      <c r="A1959" s="364" t="s">
        <v>69</v>
      </c>
      <c r="B1959" s="364" t="s">
        <v>22</v>
      </c>
      <c r="C1959" s="365" t="s">
        <v>494</v>
      </c>
      <c r="D1959" s="364" t="s">
        <v>495</v>
      </c>
      <c r="E1959" s="366">
        <v>12.0</v>
      </c>
      <c r="F1959" s="367">
        <v>45772.41666666667</v>
      </c>
      <c r="G1959" s="364" t="s">
        <v>1185</v>
      </c>
      <c r="H1959" s="364" t="s">
        <v>1204</v>
      </c>
    </row>
    <row r="1960" ht="15.75" customHeight="1">
      <c r="A1960" s="364" t="s">
        <v>69</v>
      </c>
      <c r="B1960" s="364" t="s">
        <v>22</v>
      </c>
      <c r="C1960" s="365" t="s">
        <v>492</v>
      </c>
      <c r="D1960" s="364" t="s">
        <v>493</v>
      </c>
      <c r="E1960" s="366">
        <v>1.0</v>
      </c>
      <c r="F1960" s="367">
        <v>45663.41666666667</v>
      </c>
      <c r="G1960" s="364" t="s">
        <v>1185</v>
      </c>
      <c r="H1960" s="364" t="s">
        <v>1204</v>
      </c>
    </row>
    <row r="1961" ht="15.75" customHeight="1">
      <c r="A1961" s="364" t="s">
        <v>69</v>
      </c>
      <c r="B1961" s="364" t="s">
        <v>22</v>
      </c>
      <c r="C1961" s="365" t="s">
        <v>492</v>
      </c>
      <c r="D1961" s="364" t="s">
        <v>493</v>
      </c>
      <c r="E1961" s="366">
        <v>2.0</v>
      </c>
      <c r="F1961" s="367">
        <v>45671.41666666667</v>
      </c>
      <c r="G1961" s="364" t="s">
        <v>1185</v>
      </c>
      <c r="H1961" s="364" t="s">
        <v>1204</v>
      </c>
    </row>
    <row r="1962" ht="15.75" customHeight="1">
      <c r="A1962" s="364" t="s">
        <v>69</v>
      </c>
      <c r="B1962" s="364" t="s">
        <v>22</v>
      </c>
      <c r="C1962" s="365" t="s">
        <v>492</v>
      </c>
      <c r="D1962" s="364" t="s">
        <v>493</v>
      </c>
      <c r="E1962" s="366">
        <v>3.0</v>
      </c>
      <c r="F1962" s="367">
        <v>45677.41666666667</v>
      </c>
      <c r="G1962" s="364" t="s">
        <v>1185</v>
      </c>
      <c r="H1962" s="364" t="s">
        <v>1204</v>
      </c>
    </row>
    <row r="1963" ht="15.75" customHeight="1">
      <c r="A1963" s="364" t="s">
        <v>69</v>
      </c>
      <c r="B1963" s="364" t="s">
        <v>22</v>
      </c>
      <c r="C1963" s="365" t="s">
        <v>492</v>
      </c>
      <c r="D1963" s="364" t="s">
        <v>493</v>
      </c>
      <c r="E1963" s="366">
        <v>4.0</v>
      </c>
      <c r="F1963" s="367">
        <v>45695.45833333333</v>
      </c>
      <c r="G1963" s="364" t="s">
        <v>1185</v>
      </c>
      <c r="H1963" s="364" t="s">
        <v>1204</v>
      </c>
    </row>
    <row r="1964" ht="15.75" customHeight="1">
      <c r="A1964" s="364" t="s">
        <v>69</v>
      </c>
      <c r="B1964" s="364" t="s">
        <v>22</v>
      </c>
      <c r="C1964" s="365" t="s">
        <v>492</v>
      </c>
      <c r="D1964" s="364" t="s">
        <v>493</v>
      </c>
      <c r="E1964" s="366">
        <v>5.0</v>
      </c>
      <c r="F1964" s="367">
        <v>45702.54166666667</v>
      </c>
      <c r="G1964" s="364" t="s">
        <v>1185</v>
      </c>
      <c r="H1964" s="364" t="s">
        <v>1204</v>
      </c>
    </row>
    <row r="1965" ht="15.75" customHeight="1">
      <c r="A1965" s="364" t="s">
        <v>69</v>
      </c>
      <c r="B1965" s="364" t="s">
        <v>22</v>
      </c>
      <c r="C1965" s="365" t="s">
        <v>492</v>
      </c>
      <c r="D1965" s="364" t="s">
        <v>493</v>
      </c>
      <c r="E1965" s="366">
        <v>6.0</v>
      </c>
      <c r="F1965" s="367">
        <v>45706.45833333333</v>
      </c>
      <c r="G1965" s="364" t="s">
        <v>1185</v>
      </c>
      <c r="H1965" s="364" t="s">
        <v>1204</v>
      </c>
    </row>
    <row r="1966" ht="15.75" customHeight="1">
      <c r="A1966" s="364" t="s">
        <v>69</v>
      </c>
      <c r="B1966" s="364" t="s">
        <v>22</v>
      </c>
      <c r="C1966" s="365" t="s">
        <v>492</v>
      </c>
      <c r="D1966" s="364" t="s">
        <v>493</v>
      </c>
      <c r="E1966" s="366">
        <v>7.0</v>
      </c>
      <c r="F1966" s="367">
        <v>45709.41666666667</v>
      </c>
      <c r="G1966" s="364" t="s">
        <v>1187</v>
      </c>
      <c r="H1966" s="364" t="s">
        <v>1204</v>
      </c>
    </row>
    <row r="1967" ht="15.75" customHeight="1">
      <c r="A1967" s="364" t="s">
        <v>69</v>
      </c>
      <c r="B1967" s="364" t="s">
        <v>22</v>
      </c>
      <c r="C1967" s="365" t="s">
        <v>492</v>
      </c>
      <c r="D1967" s="364" t="s">
        <v>493</v>
      </c>
      <c r="E1967" s="366">
        <v>8.0</v>
      </c>
      <c r="F1967" s="367">
        <v>45713.45833333333</v>
      </c>
      <c r="G1967" s="364" t="s">
        <v>1185</v>
      </c>
      <c r="H1967" s="364" t="s">
        <v>1204</v>
      </c>
    </row>
    <row r="1968" ht="15.75" customHeight="1">
      <c r="A1968" s="364" t="s">
        <v>69</v>
      </c>
      <c r="B1968" s="364" t="s">
        <v>22</v>
      </c>
      <c r="C1968" s="365" t="s">
        <v>492</v>
      </c>
      <c r="D1968" s="364" t="s">
        <v>493</v>
      </c>
      <c r="E1968" s="366">
        <v>9.0</v>
      </c>
      <c r="F1968" s="367">
        <v>45716.41666666667</v>
      </c>
      <c r="G1968" s="364" t="s">
        <v>1185</v>
      </c>
      <c r="H1968" s="364" t="s">
        <v>1204</v>
      </c>
    </row>
    <row r="1969" ht="15.75" customHeight="1">
      <c r="A1969" s="364" t="s">
        <v>69</v>
      </c>
      <c r="B1969" s="364" t="s">
        <v>22</v>
      </c>
      <c r="C1969" s="365" t="s">
        <v>492</v>
      </c>
      <c r="D1969" s="364" t="s">
        <v>493</v>
      </c>
      <c r="E1969" s="366">
        <v>10.0</v>
      </c>
      <c r="F1969" s="367">
        <v>45758.41666666667</v>
      </c>
      <c r="G1969" s="364" t="s">
        <v>1185</v>
      </c>
      <c r="H1969" s="364" t="s">
        <v>1204</v>
      </c>
    </row>
    <row r="1970" ht="15.75" customHeight="1">
      <c r="A1970" s="364" t="s">
        <v>69</v>
      </c>
      <c r="B1970" s="364" t="s">
        <v>22</v>
      </c>
      <c r="C1970" s="365" t="s">
        <v>492</v>
      </c>
      <c r="D1970" s="364" t="s">
        <v>493</v>
      </c>
      <c r="E1970" s="366">
        <v>11.0</v>
      </c>
      <c r="F1970" s="367">
        <v>45765.41666666667</v>
      </c>
      <c r="G1970" s="364" t="s">
        <v>1185</v>
      </c>
      <c r="H1970" s="364" t="s">
        <v>1204</v>
      </c>
    </row>
    <row r="1971" ht="15.75" customHeight="1">
      <c r="A1971" s="364" t="s">
        <v>69</v>
      </c>
      <c r="B1971" s="364" t="s">
        <v>22</v>
      </c>
      <c r="C1971" s="365" t="s">
        <v>492</v>
      </c>
      <c r="D1971" s="364" t="s">
        <v>493</v>
      </c>
      <c r="E1971" s="366">
        <v>12.0</v>
      </c>
      <c r="F1971" s="367">
        <v>45772.41666666667</v>
      </c>
      <c r="G1971" s="364" t="s">
        <v>1185</v>
      </c>
      <c r="H1971" s="364" t="s">
        <v>1204</v>
      </c>
    </row>
    <row r="1972" ht="15.75" customHeight="1">
      <c r="A1972" s="364" t="s">
        <v>69</v>
      </c>
      <c r="B1972" s="364" t="s">
        <v>22</v>
      </c>
      <c r="C1972" s="365" t="s">
        <v>480</v>
      </c>
      <c r="D1972" s="364" t="s">
        <v>481</v>
      </c>
      <c r="E1972" s="366">
        <v>1.0</v>
      </c>
      <c r="F1972" s="367">
        <v>45663.41666666667</v>
      </c>
      <c r="G1972" s="364" t="s">
        <v>1185</v>
      </c>
      <c r="H1972" s="364" t="s">
        <v>1204</v>
      </c>
    </row>
    <row r="1973" ht="15.75" customHeight="1">
      <c r="A1973" s="364" t="s">
        <v>69</v>
      </c>
      <c r="B1973" s="364" t="s">
        <v>22</v>
      </c>
      <c r="C1973" s="365" t="s">
        <v>480</v>
      </c>
      <c r="D1973" s="364" t="s">
        <v>481</v>
      </c>
      <c r="E1973" s="366">
        <v>2.0</v>
      </c>
      <c r="F1973" s="367">
        <v>45671.41666666667</v>
      </c>
      <c r="G1973" s="364" t="s">
        <v>1185</v>
      </c>
      <c r="H1973" s="364" t="s">
        <v>1204</v>
      </c>
    </row>
    <row r="1974" ht="15.75" customHeight="1">
      <c r="A1974" s="364" t="s">
        <v>69</v>
      </c>
      <c r="B1974" s="364" t="s">
        <v>22</v>
      </c>
      <c r="C1974" s="365" t="s">
        <v>480</v>
      </c>
      <c r="D1974" s="364" t="s">
        <v>481</v>
      </c>
      <c r="E1974" s="366">
        <v>3.0</v>
      </c>
      <c r="F1974" s="367">
        <v>45677.41666666667</v>
      </c>
      <c r="G1974" s="364" t="s">
        <v>1185</v>
      </c>
      <c r="H1974" s="364" t="s">
        <v>1204</v>
      </c>
    </row>
    <row r="1975" ht="15.75" customHeight="1">
      <c r="A1975" s="364" t="s">
        <v>69</v>
      </c>
      <c r="B1975" s="364" t="s">
        <v>22</v>
      </c>
      <c r="C1975" s="365" t="s">
        <v>480</v>
      </c>
      <c r="D1975" s="364" t="s">
        <v>481</v>
      </c>
      <c r="E1975" s="366">
        <v>4.0</v>
      </c>
      <c r="F1975" s="367">
        <v>45695.45833333333</v>
      </c>
      <c r="G1975" s="364" t="s">
        <v>1185</v>
      </c>
      <c r="H1975" s="364" t="s">
        <v>1204</v>
      </c>
    </row>
    <row r="1976" ht="15.75" customHeight="1">
      <c r="A1976" s="364" t="s">
        <v>69</v>
      </c>
      <c r="B1976" s="364" t="s">
        <v>22</v>
      </c>
      <c r="C1976" s="365" t="s">
        <v>480</v>
      </c>
      <c r="D1976" s="364" t="s">
        <v>481</v>
      </c>
      <c r="E1976" s="366">
        <v>5.0</v>
      </c>
      <c r="F1976" s="367">
        <v>45702.54166666667</v>
      </c>
      <c r="G1976" s="364" t="s">
        <v>1185</v>
      </c>
      <c r="H1976" s="364" t="s">
        <v>1204</v>
      </c>
    </row>
    <row r="1977" ht="15.75" customHeight="1">
      <c r="A1977" s="364" t="s">
        <v>69</v>
      </c>
      <c r="B1977" s="364" t="s">
        <v>22</v>
      </c>
      <c r="C1977" s="365" t="s">
        <v>480</v>
      </c>
      <c r="D1977" s="364" t="s">
        <v>481</v>
      </c>
      <c r="E1977" s="366">
        <v>6.0</v>
      </c>
      <c r="F1977" s="367">
        <v>45706.45833333333</v>
      </c>
      <c r="G1977" s="364" t="s">
        <v>1185</v>
      </c>
      <c r="H1977" s="364" t="s">
        <v>1204</v>
      </c>
    </row>
    <row r="1978" ht="15.75" customHeight="1">
      <c r="A1978" s="364" t="s">
        <v>69</v>
      </c>
      <c r="B1978" s="364" t="s">
        <v>22</v>
      </c>
      <c r="C1978" s="365" t="s">
        <v>480</v>
      </c>
      <c r="D1978" s="364" t="s">
        <v>481</v>
      </c>
      <c r="E1978" s="366">
        <v>7.0</v>
      </c>
      <c r="F1978" s="367">
        <v>45709.41666666667</v>
      </c>
      <c r="G1978" s="364" t="s">
        <v>1185</v>
      </c>
      <c r="H1978" s="364" t="s">
        <v>1204</v>
      </c>
    </row>
    <row r="1979" ht="15.75" customHeight="1">
      <c r="A1979" s="364" t="s">
        <v>69</v>
      </c>
      <c r="B1979" s="364" t="s">
        <v>22</v>
      </c>
      <c r="C1979" s="365" t="s">
        <v>480</v>
      </c>
      <c r="D1979" s="364" t="s">
        <v>481</v>
      </c>
      <c r="E1979" s="366">
        <v>8.0</v>
      </c>
      <c r="F1979" s="367">
        <v>45713.45833333333</v>
      </c>
      <c r="G1979" s="364" t="s">
        <v>1185</v>
      </c>
      <c r="H1979" s="364" t="s">
        <v>1204</v>
      </c>
    </row>
    <row r="1980" ht="15.75" customHeight="1">
      <c r="A1980" s="364" t="s">
        <v>69</v>
      </c>
      <c r="B1980" s="364" t="s">
        <v>22</v>
      </c>
      <c r="C1980" s="365" t="s">
        <v>480</v>
      </c>
      <c r="D1980" s="364" t="s">
        <v>481</v>
      </c>
      <c r="E1980" s="366">
        <v>9.0</v>
      </c>
      <c r="F1980" s="367">
        <v>45716.41666666667</v>
      </c>
      <c r="G1980" s="364" t="s">
        <v>1185</v>
      </c>
      <c r="H1980" s="364" t="s">
        <v>1204</v>
      </c>
    </row>
    <row r="1981" ht="15.75" customHeight="1">
      <c r="A1981" s="364" t="s">
        <v>69</v>
      </c>
      <c r="B1981" s="364" t="s">
        <v>22</v>
      </c>
      <c r="C1981" s="365" t="s">
        <v>480</v>
      </c>
      <c r="D1981" s="364" t="s">
        <v>481</v>
      </c>
      <c r="E1981" s="366">
        <v>10.0</v>
      </c>
      <c r="F1981" s="367">
        <v>45758.41666666667</v>
      </c>
      <c r="G1981" s="364" t="s">
        <v>1187</v>
      </c>
      <c r="H1981" s="364" t="s">
        <v>1204</v>
      </c>
    </row>
    <row r="1982" ht="15.75" customHeight="1">
      <c r="A1982" s="364" t="s">
        <v>69</v>
      </c>
      <c r="B1982" s="364" t="s">
        <v>22</v>
      </c>
      <c r="C1982" s="365" t="s">
        <v>480</v>
      </c>
      <c r="D1982" s="364" t="s">
        <v>481</v>
      </c>
      <c r="E1982" s="366">
        <v>11.0</v>
      </c>
      <c r="F1982" s="367">
        <v>45765.41666666667</v>
      </c>
      <c r="G1982" s="364" t="s">
        <v>1185</v>
      </c>
      <c r="H1982" s="364" t="s">
        <v>1204</v>
      </c>
    </row>
    <row r="1983" ht="15.75" customHeight="1">
      <c r="A1983" s="364" t="s">
        <v>69</v>
      </c>
      <c r="B1983" s="364" t="s">
        <v>22</v>
      </c>
      <c r="C1983" s="365" t="s">
        <v>480</v>
      </c>
      <c r="D1983" s="364" t="s">
        <v>481</v>
      </c>
      <c r="E1983" s="366">
        <v>12.0</v>
      </c>
      <c r="F1983" s="367">
        <v>45772.41666666667</v>
      </c>
      <c r="G1983" s="364" t="s">
        <v>1185</v>
      </c>
      <c r="H1983" s="364" t="s">
        <v>1204</v>
      </c>
    </row>
    <row r="1984" ht="15.75" customHeight="1">
      <c r="A1984" s="364" t="s">
        <v>69</v>
      </c>
      <c r="B1984" s="364" t="s">
        <v>22</v>
      </c>
      <c r="C1984" s="365" t="s">
        <v>496</v>
      </c>
      <c r="D1984" s="364" t="s">
        <v>497</v>
      </c>
      <c r="E1984" s="366">
        <v>1.0</v>
      </c>
      <c r="F1984" s="367">
        <v>45663.41666666667</v>
      </c>
      <c r="G1984" s="364" t="s">
        <v>1185</v>
      </c>
      <c r="H1984" s="364" t="s">
        <v>1204</v>
      </c>
    </row>
    <row r="1985" ht="15.75" customHeight="1">
      <c r="A1985" s="364" t="s">
        <v>69</v>
      </c>
      <c r="B1985" s="364" t="s">
        <v>22</v>
      </c>
      <c r="C1985" s="365" t="s">
        <v>496</v>
      </c>
      <c r="D1985" s="364" t="s">
        <v>497</v>
      </c>
      <c r="E1985" s="366">
        <v>2.0</v>
      </c>
      <c r="F1985" s="367">
        <v>45671.41666666667</v>
      </c>
      <c r="G1985" s="364" t="s">
        <v>1185</v>
      </c>
      <c r="H1985" s="364" t="s">
        <v>1204</v>
      </c>
    </row>
    <row r="1986" ht="15.75" customHeight="1">
      <c r="A1986" s="364" t="s">
        <v>69</v>
      </c>
      <c r="B1986" s="364" t="s">
        <v>22</v>
      </c>
      <c r="C1986" s="365" t="s">
        <v>496</v>
      </c>
      <c r="D1986" s="364" t="s">
        <v>497</v>
      </c>
      <c r="E1986" s="366">
        <v>3.0</v>
      </c>
      <c r="F1986" s="367">
        <v>45677.41666666667</v>
      </c>
      <c r="G1986" s="364" t="s">
        <v>1185</v>
      </c>
      <c r="H1986" s="364" t="s">
        <v>1204</v>
      </c>
    </row>
    <row r="1987" ht="15.75" customHeight="1">
      <c r="A1987" s="364" t="s">
        <v>69</v>
      </c>
      <c r="B1987" s="364" t="s">
        <v>22</v>
      </c>
      <c r="C1987" s="365" t="s">
        <v>496</v>
      </c>
      <c r="D1987" s="364" t="s">
        <v>497</v>
      </c>
      <c r="E1987" s="366">
        <v>4.0</v>
      </c>
      <c r="F1987" s="367">
        <v>45695.45833333333</v>
      </c>
      <c r="G1987" s="364" t="s">
        <v>1185</v>
      </c>
      <c r="H1987" s="364" t="s">
        <v>1204</v>
      </c>
    </row>
    <row r="1988" ht="15.75" customHeight="1">
      <c r="A1988" s="364" t="s">
        <v>69</v>
      </c>
      <c r="B1988" s="364" t="s">
        <v>22</v>
      </c>
      <c r="C1988" s="365" t="s">
        <v>496</v>
      </c>
      <c r="D1988" s="364" t="s">
        <v>497</v>
      </c>
      <c r="E1988" s="366">
        <v>5.0</v>
      </c>
      <c r="F1988" s="367">
        <v>45702.54166666667</v>
      </c>
      <c r="G1988" s="364" t="s">
        <v>1187</v>
      </c>
      <c r="H1988" s="364" t="s">
        <v>1204</v>
      </c>
    </row>
    <row r="1989" ht="15.75" customHeight="1">
      <c r="A1989" s="364" t="s">
        <v>69</v>
      </c>
      <c r="B1989" s="364" t="s">
        <v>22</v>
      </c>
      <c r="C1989" s="365" t="s">
        <v>496</v>
      </c>
      <c r="D1989" s="364" t="s">
        <v>497</v>
      </c>
      <c r="E1989" s="366">
        <v>6.0</v>
      </c>
      <c r="F1989" s="367">
        <v>45706.45833333333</v>
      </c>
      <c r="G1989" s="364" t="s">
        <v>1185</v>
      </c>
      <c r="H1989" s="364" t="s">
        <v>1204</v>
      </c>
    </row>
    <row r="1990" ht="15.75" customHeight="1">
      <c r="A1990" s="364" t="s">
        <v>69</v>
      </c>
      <c r="B1990" s="364" t="s">
        <v>22</v>
      </c>
      <c r="C1990" s="365" t="s">
        <v>496</v>
      </c>
      <c r="D1990" s="364" t="s">
        <v>497</v>
      </c>
      <c r="E1990" s="366">
        <v>7.0</v>
      </c>
      <c r="F1990" s="367">
        <v>45709.41666666667</v>
      </c>
      <c r="G1990" s="364" t="s">
        <v>1185</v>
      </c>
      <c r="H1990" s="364" t="s">
        <v>1204</v>
      </c>
    </row>
    <row r="1991" ht="15.75" customHeight="1">
      <c r="A1991" s="364" t="s">
        <v>69</v>
      </c>
      <c r="B1991" s="364" t="s">
        <v>22</v>
      </c>
      <c r="C1991" s="365" t="s">
        <v>496</v>
      </c>
      <c r="D1991" s="364" t="s">
        <v>497</v>
      </c>
      <c r="E1991" s="366">
        <v>8.0</v>
      </c>
      <c r="F1991" s="367">
        <v>45713.45833333333</v>
      </c>
      <c r="G1991" s="364" t="s">
        <v>1185</v>
      </c>
      <c r="H1991" s="364" t="s">
        <v>1204</v>
      </c>
    </row>
    <row r="1992" ht="15.75" customHeight="1">
      <c r="A1992" s="364" t="s">
        <v>69</v>
      </c>
      <c r="B1992" s="364" t="s">
        <v>22</v>
      </c>
      <c r="C1992" s="365" t="s">
        <v>496</v>
      </c>
      <c r="D1992" s="364" t="s">
        <v>497</v>
      </c>
      <c r="E1992" s="366">
        <v>9.0</v>
      </c>
      <c r="F1992" s="367">
        <v>45716.41666666667</v>
      </c>
      <c r="G1992" s="364" t="s">
        <v>1185</v>
      </c>
      <c r="H1992" s="364" t="s">
        <v>1204</v>
      </c>
    </row>
    <row r="1993" ht="15.75" customHeight="1">
      <c r="A1993" s="364" t="s">
        <v>69</v>
      </c>
      <c r="B1993" s="364" t="s">
        <v>22</v>
      </c>
      <c r="C1993" s="365" t="s">
        <v>496</v>
      </c>
      <c r="D1993" s="364" t="s">
        <v>497</v>
      </c>
      <c r="E1993" s="366">
        <v>10.0</v>
      </c>
      <c r="F1993" s="367">
        <v>45758.41666666667</v>
      </c>
      <c r="G1993" s="364" t="s">
        <v>1185</v>
      </c>
      <c r="H1993" s="364" t="s">
        <v>1204</v>
      </c>
    </row>
    <row r="1994" ht="15.75" customHeight="1">
      <c r="A1994" s="364" t="s">
        <v>69</v>
      </c>
      <c r="B1994" s="364" t="s">
        <v>22</v>
      </c>
      <c r="C1994" s="365" t="s">
        <v>496</v>
      </c>
      <c r="D1994" s="364" t="s">
        <v>497</v>
      </c>
      <c r="E1994" s="366">
        <v>11.0</v>
      </c>
      <c r="F1994" s="367">
        <v>45765.41666666667</v>
      </c>
      <c r="G1994" s="364" t="s">
        <v>1187</v>
      </c>
      <c r="H1994" s="364" t="s">
        <v>1204</v>
      </c>
    </row>
    <row r="1995" ht="15.75" customHeight="1">
      <c r="A1995" s="364" t="s">
        <v>69</v>
      </c>
      <c r="B1995" s="364" t="s">
        <v>22</v>
      </c>
      <c r="C1995" s="365" t="s">
        <v>496</v>
      </c>
      <c r="D1995" s="364" t="s">
        <v>497</v>
      </c>
      <c r="E1995" s="366">
        <v>12.0</v>
      </c>
      <c r="F1995" s="367">
        <v>45772.41666666667</v>
      </c>
      <c r="G1995" s="364" t="s">
        <v>1185</v>
      </c>
      <c r="H1995" s="364" t="s">
        <v>1204</v>
      </c>
    </row>
    <row r="1996" ht="15.75" customHeight="1">
      <c r="A1996" s="364" t="s">
        <v>69</v>
      </c>
      <c r="B1996" s="364" t="s">
        <v>22</v>
      </c>
      <c r="C1996" s="365" t="s">
        <v>486</v>
      </c>
      <c r="D1996" s="364" t="s">
        <v>487</v>
      </c>
      <c r="E1996" s="366">
        <v>1.0</v>
      </c>
      <c r="F1996" s="367">
        <v>45663.41666666667</v>
      </c>
      <c r="G1996" s="364" t="s">
        <v>1185</v>
      </c>
      <c r="H1996" s="364" t="s">
        <v>1204</v>
      </c>
    </row>
    <row r="1997" ht="15.75" customHeight="1">
      <c r="A1997" s="364" t="s">
        <v>69</v>
      </c>
      <c r="B1997" s="364" t="s">
        <v>22</v>
      </c>
      <c r="C1997" s="365" t="s">
        <v>486</v>
      </c>
      <c r="D1997" s="364" t="s">
        <v>487</v>
      </c>
      <c r="E1997" s="366">
        <v>2.0</v>
      </c>
      <c r="F1997" s="367">
        <v>45671.41666666667</v>
      </c>
      <c r="G1997" s="364" t="s">
        <v>1185</v>
      </c>
      <c r="H1997" s="364" t="s">
        <v>1204</v>
      </c>
    </row>
    <row r="1998" ht="15.75" customHeight="1">
      <c r="A1998" s="364" t="s">
        <v>69</v>
      </c>
      <c r="B1998" s="364" t="s">
        <v>22</v>
      </c>
      <c r="C1998" s="365" t="s">
        <v>486</v>
      </c>
      <c r="D1998" s="364" t="s">
        <v>487</v>
      </c>
      <c r="E1998" s="366">
        <v>3.0</v>
      </c>
      <c r="F1998" s="367">
        <v>45677.41666666667</v>
      </c>
      <c r="G1998" s="364" t="s">
        <v>1185</v>
      </c>
      <c r="H1998" s="364" t="s">
        <v>1204</v>
      </c>
    </row>
    <row r="1999" ht="15.75" customHeight="1">
      <c r="A1999" s="364" t="s">
        <v>69</v>
      </c>
      <c r="B1999" s="364" t="s">
        <v>22</v>
      </c>
      <c r="C1999" s="365" t="s">
        <v>486</v>
      </c>
      <c r="D1999" s="364" t="s">
        <v>487</v>
      </c>
      <c r="E1999" s="366">
        <v>4.0</v>
      </c>
      <c r="F1999" s="367">
        <v>45695.45833333333</v>
      </c>
      <c r="G1999" s="364" t="s">
        <v>1185</v>
      </c>
      <c r="H1999" s="364" t="s">
        <v>1204</v>
      </c>
    </row>
    <row r="2000" ht="15.75" customHeight="1">
      <c r="A2000" s="364" t="s">
        <v>69</v>
      </c>
      <c r="B2000" s="364" t="s">
        <v>22</v>
      </c>
      <c r="C2000" s="365" t="s">
        <v>486</v>
      </c>
      <c r="D2000" s="364" t="s">
        <v>487</v>
      </c>
      <c r="E2000" s="366">
        <v>5.0</v>
      </c>
      <c r="F2000" s="367">
        <v>45702.54166666667</v>
      </c>
      <c r="G2000" s="364" t="s">
        <v>1185</v>
      </c>
      <c r="H2000" s="364" t="s">
        <v>1204</v>
      </c>
    </row>
    <row r="2001" ht="15.75" customHeight="1">
      <c r="A2001" s="364" t="s">
        <v>69</v>
      </c>
      <c r="B2001" s="364" t="s">
        <v>22</v>
      </c>
      <c r="C2001" s="365" t="s">
        <v>486</v>
      </c>
      <c r="D2001" s="364" t="s">
        <v>487</v>
      </c>
      <c r="E2001" s="366">
        <v>6.0</v>
      </c>
      <c r="F2001" s="367">
        <v>45706.45833333333</v>
      </c>
      <c r="G2001" s="364" t="s">
        <v>1185</v>
      </c>
      <c r="H2001" s="364" t="s">
        <v>1204</v>
      </c>
    </row>
    <row r="2002" ht="15.75" customHeight="1">
      <c r="A2002" s="364" t="s">
        <v>69</v>
      </c>
      <c r="B2002" s="364" t="s">
        <v>22</v>
      </c>
      <c r="C2002" s="365" t="s">
        <v>486</v>
      </c>
      <c r="D2002" s="364" t="s">
        <v>487</v>
      </c>
      <c r="E2002" s="366">
        <v>7.0</v>
      </c>
      <c r="F2002" s="367">
        <v>45709.41666666667</v>
      </c>
      <c r="G2002" s="364" t="s">
        <v>1185</v>
      </c>
      <c r="H2002" s="364" t="s">
        <v>1204</v>
      </c>
    </row>
    <row r="2003" ht="15.75" customHeight="1">
      <c r="A2003" s="364" t="s">
        <v>69</v>
      </c>
      <c r="B2003" s="364" t="s">
        <v>22</v>
      </c>
      <c r="C2003" s="365" t="s">
        <v>486</v>
      </c>
      <c r="D2003" s="364" t="s">
        <v>487</v>
      </c>
      <c r="E2003" s="366">
        <v>8.0</v>
      </c>
      <c r="F2003" s="367">
        <v>45713.45833333333</v>
      </c>
      <c r="G2003" s="364" t="s">
        <v>1185</v>
      </c>
      <c r="H2003" s="364" t="s">
        <v>1204</v>
      </c>
    </row>
    <row r="2004" ht="15.75" customHeight="1">
      <c r="A2004" s="364" t="s">
        <v>69</v>
      </c>
      <c r="B2004" s="364" t="s">
        <v>22</v>
      </c>
      <c r="C2004" s="365" t="s">
        <v>486</v>
      </c>
      <c r="D2004" s="364" t="s">
        <v>487</v>
      </c>
      <c r="E2004" s="366">
        <v>9.0</v>
      </c>
      <c r="F2004" s="367">
        <v>45716.41666666667</v>
      </c>
      <c r="G2004" s="364" t="s">
        <v>1185</v>
      </c>
      <c r="H2004" s="364" t="s">
        <v>1204</v>
      </c>
    </row>
    <row r="2005" ht="15.75" customHeight="1">
      <c r="A2005" s="364" t="s">
        <v>69</v>
      </c>
      <c r="B2005" s="364" t="s">
        <v>22</v>
      </c>
      <c r="C2005" s="365" t="s">
        <v>486</v>
      </c>
      <c r="D2005" s="364" t="s">
        <v>487</v>
      </c>
      <c r="E2005" s="366">
        <v>10.0</v>
      </c>
      <c r="F2005" s="367">
        <v>45758.41666666667</v>
      </c>
      <c r="G2005" s="364" t="s">
        <v>1185</v>
      </c>
      <c r="H2005" s="364" t="s">
        <v>1204</v>
      </c>
    </row>
    <row r="2006" ht="15.75" customHeight="1">
      <c r="A2006" s="364" t="s">
        <v>69</v>
      </c>
      <c r="B2006" s="364" t="s">
        <v>22</v>
      </c>
      <c r="C2006" s="365" t="s">
        <v>486</v>
      </c>
      <c r="D2006" s="364" t="s">
        <v>487</v>
      </c>
      <c r="E2006" s="366">
        <v>11.0</v>
      </c>
      <c r="F2006" s="367">
        <v>45765.41666666667</v>
      </c>
      <c r="G2006" s="364" t="s">
        <v>1185</v>
      </c>
      <c r="H2006" s="364" t="s">
        <v>1204</v>
      </c>
    </row>
    <row r="2007" ht="15.75" customHeight="1">
      <c r="A2007" s="364" t="s">
        <v>69</v>
      </c>
      <c r="B2007" s="364" t="s">
        <v>22</v>
      </c>
      <c r="C2007" s="365" t="s">
        <v>486</v>
      </c>
      <c r="D2007" s="364" t="s">
        <v>487</v>
      </c>
      <c r="E2007" s="366">
        <v>12.0</v>
      </c>
      <c r="F2007" s="367">
        <v>45772.41666666667</v>
      </c>
      <c r="G2007" s="364" t="s">
        <v>1185</v>
      </c>
      <c r="H2007" s="364" t="s">
        <v>1204</v>
      </c>
    </row>
    <row r="2008" ht="15.75" customHeight="1">
      <c r="A2008" s="364" t="s">
        <v>69</v>
      </c>
      <c r="B2008" s="364" t="s">
        <v>22</v>
      </c>
      <c r="C2008" s="365" t="s">
        <v>490</v>
      </c>
      <c r="D2008" s="364" t="s">
        <v>491</v>
      </c>
      <c r="E2008" s="366">
        <v>1.0</v>
      </c>
      <c r="F2008" s="367">
        <v>45663.41666666667</v>
      </c>
      <c r="G2008" s="364" t="s">
        <v>1185</v>
      </c>
      <c r="H2008" s="364" t="s">
        <v>1204</v>
      </c>
    </row>
    <row r="2009" ht="15.75" customHeight="1">
      <c r="A2009" s="364" t="s">
        <v>69</v>
      </c>
      <c r="B2009" s="364" t="s">
        <v>22</v>
      </c>
      <c r="C2009" s="365" t="s">
        <v>490</v>
      </c>
      <c r="D2009" s="364" t="s">
        <v>491</v>
      </c>
      <c r="E2009" s="366">
        <v>2.0</v>
      </c>
      <c r="F2009" s="367">
        <v>45671.41666666667</v>
      </c>
      <c r="G2009" s="364" t="s">
        <v>1185</v>
      </c>
      <c r="H2009" s="364" t="s">
        <v>1204</v>
      </c>
    </row>
    <row r="2010" ht="15.75" customHeight="1">
      <c r="A2010" s="364" t="s">
        <v>69</v>
      </c>
      <c r="B2010" s="364" t="s">
        <v>22</v>
      </c>
      <c r="C2010" s="365" t="s">
        <v>490</v>
      </c>
      <c r="D2010" s="364" t="s">
        <v>491</v>
      </c>
      <c r="E2010" s="366">
        <v>3.0</v>
      </c>
      <c r="F2010" s="367">
        <v>45677.41666666667</v>
      </c>
      <c r="G2010" s="364" t="s">
        <v>1185</v>
      </c>
      <c r="H2010" s="364" t="s">
        <v>1204</v>
      </c>
    </row>
    <row r="2011" ht="15.75" customHeight="1">
      <c r="A2011" s="364" t="s">
        <v>69</v>
      </c>
      <c r="B2011" s="364" t="s">
        <v>22</v>
      </c>
      <c r="C2011" s="365" t="s">
        <v>490</v>
      </c>
      <c r="D2011" s="364" t="s">
        <v>491</v>
      </c>
      <c r="E2011" s="366">
        <v>4.0</v>
      </c>
      <c r="F2011" s="367">
        <v>45695.45833333333</v>
      </c>
      <c r="G2011" s="364" t="s">
        <v>1185</v>
      </c>
      <c r="H2011" s="364" t="s">
        <v>1204</v>
      </c>
    </row>
    <row r="2012" ht="15.75" customHeight="1">
      <c r="A2012" s="364" t="s">
        <v>69</v>
      </c>
      <c r="B2012" s="364" t="s">
        <v>22</v>
      </c>
      <c r="C2012" s="365" t="s">
        <v>490</v>
      </c>
      <c r="D2012" s="364" t="s">
        <v>491</v>
      </c>
      <c r="E2012" s="366">
        <v>5.0</v>
      </c>
      <c r="F2012" s="367">
        <v>45702.54166666667</v>
      </c>
      <c r="G2012" s="364" t="s">
        <v>1185</v>
      </c>
      <c r="H2012" s="364" t="s">
        <v>1204</v>
      </c>
    </row>
    <row r="2013" ht="15.75" customHeight="1">
      <c r="A2013" s="364" t="s">
        <v>69</v>
      </c>
      <c r="B2013" s="364" t="s">
        <v>22</v>
      </c>
      <c r="C2013" s="365" t="s">
        <v>490</v>
      </c>
      <c r="D2013" s="364" t="s">
        <v>491</v>
      </c>
      <c r="E2013" s="366">
        <v>6.0</v>
      </c>
      <c r="F2013" s="367">
        <v>45706.45833333333</v>
      </c>
      <c r="G2013" s="364" t="s">
        <v>1185</v>
      </c>
      <c r="H2013" s="364" t="s">
        <v>1204</v>
      </c>
    </row>
    <row r="2014" ht="15.75" customHeight="1">
      <c r="A2014" s="364" t="s">
        <v>69</v>
      </c>
      <c r="B2014" s="364" t="s">
        <v>22</v>
      </c>
      <c r="C2014" s="365" t="s">
        <v>490</v>
      </c>
      <c r="D2014" s="364" t="s">
        <v>491</v>
      </c>
      <c r="E2014" s="366">
        <v>7.0</v>
      </c>
      <c r="F2014" s="367">
        <v>45709.41666666667</v>
      </c>
      <c r="G2014" s="364" t="s">
        <v>1185</v>
      </c>
      <c r="H2014" s="364" t="s">
        <v>1204</v>
      </c>
    </row>
    <row r="2015" ht="15.75" customHeight="1">
      <c r="A2015" s="364" t="s">
        <v>69</v>
      </c>
      <c r="B2015" s="364" t="s">
        <v>22</v>
      </c>
      <c r="C2015" s="365" t="s">
        <v>490</v>
      </c>
      <c r="D2015" s="364" t="s">
        <v>491</v>
      </c>
      <c r="E2015" s="366">
        <v>8.0</v>
      </c>
      <c r="F2015" s="367">
        <v>45713.45833333333</v>
      </c>
      <c r="G2015" s="364" t="s">
        <v>1185</v>
      </c>
      <c r="H2015" s="364" t="s">
        <v>1204</v>
      </c>
    </row>
    <row r="2016" ht="15.75" customHeight="1">
      <c r="A2016" s="364" t="s">
        <v>69</v>
      </c>
      <c r="B2016" s="364" t="s">
        <v>22</v>
      </c>
      <c r="C2016" s="365" t="s">
        <v>490</v>
      </c>
      <c r="D2016" s="364" t="s">
        <v>491</v>
      </c>
      <c r="E2016" s="366">
        <v>9.0</v>
      </c>
      <c r="F2016" s="367">
        <v>45716.41666666667</v>
      </c>
      <c r="G2016" s="364" t="s">
        <v>1185</v>
      </c>
      <c r="H2016" s="364" t="s">
        <v>1204</v>
      </c>
    </row>
    <row r="2017" ht="15.75" customHeight="1">
      <c r="A2017" s="364" t="s">
        <v>69</v>
      </c>
      <c r="B2017" s="364" t="s">
        <v>22</v>
      </c>
      <c r="C2017" s="365" t="s">
        <v>490</v>
      </c>
      <c r="D2017" s="364" t="s">
        <v>491</v>
      </c>
      <c r="E2017" s="366">
        <v>10.0</v>
      </c>
      <c r="F2017" s="367">
        <v>45758.41666666667</v>
      </c>
      <c r="G2017" s="364" t="s">
        <v>1187</v>
      </c>
      <c r="H2017" s="364" t="s">
        <v>1204</v>
      </c>
    </row>
    <row r="2018" ht="15.75" customHeight="1">
      <c r="A2018" s="364" t="s">
        <v>69</v>
      </c>
      <c r="B2018" s="364" t="s">
        <v>22</v>
      </c>
      <c r="C2018" s="365" t="s">
        <v>490</v>
      </c>
      <c r="D2018" s="364" t="s">
        <v>491</v>
      </c>
      <c r="E2018" s="366">
        <v>11.0</v>
      </c>
      <c r="F2018" s="367">
        <v>45765.41666666667</v>
      </c>
      <c r="G2018" s="364" t="s">
        <v>1185</v>
      </c>
      <c r="H2018" s="364" t="s">
        <v>1204</v>
      </c>
    </row>
    <row r="2019" ht="15.75" customHeight="1">
      <c r="A2019" s="364" t="s">
        <v>69</v>
      </c>
      <c r="B2019" s="364" t="s">
        <v>22</v>
      </c>
      <c r="C2019" s="365" t="s">
        <v>490</v>
      </c>
      <c r="D2019" s="364" t="s">
        <v>491</v>
      </c>
      <c r="E2019" s="366">
        <v>12.0</v>
      </c>
      <c r="F2019" s="367">
        <v>45772.41666666667</v>
      </c>
      <c r="G2019" s="364" t="s">
        <v>1185</v>
      </c>
      <c r="H2019" s="364" t="s">
        <v>1204</v>
      </c>
    </row>
    <row r="2020" ht="15.75" customHeight="1">
      <c r="A2020" s="364" t="s">
        <v>70</v>
      </c>
      <c r="B2020" s="364" t="s">
        <v>22</v>
      </c>
      <c r="C2020" s="365" t="s">
        <v>461</v>
      </c>
      <c r="D2020" s="364" t="s">
        <v>462</v>
      </c>
      <c r="E2020" s="366">
        <v>1.0</v>
      </c>
      <c r="F2020" s="367">
        <v>45638.41666666667</v>
      </c>
      <c r="G2020" s="364" t="s">
        <v>1185</v>
      </c>
      <c r="H2020" s="364" t="s">
        <v>1205</v>
      </c>
    </row>
    <row r="2021" ht="15.75" customHeight="1">
      <c r="A2021" s="364" t="s">
        <v>70</v>
      </c>
      <c r="B2021" s="364" t="s">
        <v>22</v>
      </c>
      <c r="C2021" s="365" t="s">
        <v>461</v>
      </c>
      <c r="D2021" s="364" t="s">
        <v>462</v>
      </c>
      <c r="E2021" s="366">
        <v>2.0</v>
      </c>
      <c r="F2021" s="367">
        <v>45649.41666666667</v>
      </c>
      <c r="G2021" s="364" t="s">
        <v>1185</v>
      </c>
      <c r="H2021" s="364" t="s">
        <v>1205</v>
      </c>
    </row>
    <row r="2022" ht="15.75" customHeight="1">
      <c r="A2022" s="364" t="s">
        <v>70</v>
      </c>
      <c r="B2022" s="364" t="s">
        <v>22</v>
      </c>
      <c r="C2022" s="365" t="s">
        <v>461</v>
      </c>
      <c r="D2022" s="364" t="s">
        <v>462</v>
      </c>
      <c r="E2022" s="366">
        <v>3.0</v>
      </c>
      <c r="F2022" s="367">
        <v>45666.41666666667</v>
      </c>
      <c r="G2022" s="364" t="s">
        <v>1185</v>
      </c>
      <c r="H2022" s="364" t="s">
        <v>1205</v>
      </c>
    </row>
    <row r="2023" ht="15.75" customHeight="1">
      <c r="A2023" s="364" t="s">
        <v>70</v>
      </c>
      <c r="B2023" s="364" t="s">
        <v>22</v>
      </c>
      <c r="C2023" s="365" t="s">
        <v>461</v>
      </c>
      <c r="D2023" s="364" t="s">
        <v>462</v>
      </c>
      <c r="E2023" s="366">
        <v>4.0</v>
      </c>
      <c r="F2023" s="367">
        <v>45678.41666666667</v>
      </c>
      <c r="G2023" s="364" t="s">
        <v>1185</v>
      </c>
      <c r="H2023" s="364" t="s">
        <v>1205</v>
      </c>
    </row>
    <row r="2024" ht="15.75" customHeight="1">
      <c r="A2024" s="364" t="s">
        <v>70</v>
      </c>
      <c r="B2024" s="364" t="s">
        <v>22</v>
      </c>
      <c r="C2024" s="365" t="s">
        <v>461</v>
      </c>
      <c r="D2024" s="364" t="s">
        <v>462</v>
      </c>
      <c r="E2024" s="366">
        <v>5.0</v>
      </c>
      <c r="F2024" s="367">
        <v>45694.41666666667</v>
      </c>
      <c r="G2024" s="364" t="s">
        <v>1185</v>
      </c>
      <c r="H2024" s="364" t="s">
        <v>1205</v>
      </c>
    </row>
    <row r="2025" ht="15.75" customHeight="1">
      <c r="A2025" s="364" t="s">
        <v>70</v>
      </c>
      <c r="B2025" s="364" t="s">
        <v>22</v>
      </c>
      <c r="C2025" s="365" t="s">
        <v>461</v>
      </c>
      <c r="D2025" s="364" t="s">
        <v>462</v>
      </c>
      <c r="E2025" s="366">
        <v>6.0</v>
      </c>
      <c r="F2025" s="367">
        <v>45705.41666666667</v>
      </c>
      <c r="G2025" s="364" t="s">
        <v>1187</v>
      </c>
      <c r="H2025" s="364" t="s">
        <v>1205</v>
      </c>
    </row>
    <row r="2026" ht="15.75" customHeight="1">
      <c r="A2026" s="364" t="s">
        <v>70</v>
      </c>
      <c r="B2026" s="364" t="s">
        <v>22</v>
      </c>
      <c r="C2026" s="365" t="s">
        <v>461</v>
      </c>
      <c r="D2026" s="364" t="s">
        <v>462</v>
      </c>
      <c r="E2026" s="366">
        <v>7.0</v>
      </c>
      <c r="F2026" s="367">
        <v>45712.41666666667</v>
      </c>
      <c r="G2026" s="364" t="s">
        <v>1187</v>
      </c>
      <c r="H2026" s="364" t="s">
        <v>1205</v>
      </c>
    </row>
    <row r="2027" ht="15.75" customHeight="1">
      <c r="A2027" s="364" t="s">
        <v>70</v>
      </c>
      <c r="B2027" s="364" t="s">
        <v>22</v>
      </c>
      <c r="C2027" s="365" t="s">
        <v>461</v>
      </c>
      <c r="D2027" s="364" t="s">
        <v>462</v>
      </c>
      <c r="E2027" s="366">
        <v>8.0</v>
      </c>
      <c r="F2027" s="367">
        <v>45756.54166666667</v>
      </c>
      <c r="G2027" s="364" t="s">
        <v>1187</v>
      </c>
      <c r="H2027" s="364" t="s">
        <v>1205</v>
      </c>
    </row>
    <row r="2028" ht="15.75" customHeight="1">
      <c r="A2028" s="364" t="s">
        <v>70</v>
      </c>
      <c r="B2028" s="364" t="s">
        <v>22</v>
      </c>
      <c r="C2028" s="365" t="s">
        <v>461</v>
      </c>
      <c r="D2028" s="364" t="s">
        <v>462</v>
      </c>
      <c r="E2028" s="366">
        <v>9.0</v>
      </c>
      <c r="F2028" s="367">
        <v>45772.45833333333</v>
      </c>
      <c r="G2028" s="364" t="s">
        <v>1185</v>
      </c>
      <c r="H2028" s="364" t="s">
        <v>1205</v>
      </c>
    </row>
    <row r="2029" ht="15.75" customHeight="1">
      <c r="A2029" s="364" t="s">
        <v>70</v>
      </c>
      <c r="B2029" s="364" t="s">
        <v>22</v>
      </c>
      <c r="C2029" s="365" t="s">
        <v>461</v>
      </c>
      <c r="D2029" s="364" t="s">
        <v>462</v>
      </c>
      <c r="E2029" s="366">
        <v>10.0</v>
      </c>
      <c r="F2029" s="367">
        <v>45807.41666666667</v>
      </c>
      <c r="G2029" s="364" t="s">
        <v>1185</v>
      </c>
      <c r="H2029" s="364" t="s">
        <v>1205</v>
      </c>
    </row>
    <row r="2030" ht="15.75" customHeight="1">
      <c r="A2030" s="364" t="s">
        <v>70</v>
      </c>
      <c r="B2030" s="364" t="s">
        <v>22</v>
      </c>
      <c r="C2030" s="365" t="s">
        <v>474</v>
      </c>
      <c r="D2030" s="364" t="s">
        <v>475</v>
      </c>
      <c r="E2030" s="366">
        <v>2.0</v>
      </c>
      <c r="F2030" s="367">
        <v>45649.41666666667</v>
      </c>
      <c r="G2030" s="364" t="s">
        <v>1185</v>
      </c>
      <c r="H2030" s="364" t="s">
        <v>1205</v>
      </c>
    </row>
    <row r="2031" ht="15.75" customHeight="1">
      <c r="A2031" s="364" t="s">
        <v>70</v>
      </c>
      <c r="B2031" s="364" t="s">
        <v>22</v>
      </c>
      <c r="C2031" s="365" t="s">
        <v>474</v>
      </c>
      <c r="D2031" s="364" t="s">
        <v>475</v>
      </c>
      <c r="E2031" s="366">
        <v>3.0</v>
      </c>
      <c r="F2031" s="367">
        <v>45656.41666666667</v>
      </c>
      <c r="G2031" s="364" t="s">
        <v>1185</v>
      </c>
      <c r="H2031" s="364" t="s">
        <v>1205</v>
      </c>
    </row>
    <row r="2032" ht="15.75" customHeight="1">
      <c r="A2032" s="364" t="s">
        <v>70</v>
      </c>
      <c r="B2032" s="364" t="s">
        <v>22</v>
      </c>
      <c r="C2032" s="365" t="s">
        <v>474</v>
      </c>
      <c r="D2032" s="364" t="s">
        <v>475</v>
      </c>
      <c r="E2032" s="366">
        <v>4.0</v>
      </c>
      <c r="F2032" s="367">
        <v>45678.41666666667</v>
      </c>
      <c r="G2032" s="364" t="s">
        <v>1187</v>
      </c>
      <c r="H2032" s="364" t="s">
        <v>1205</v>
      </c>
    </row>
    <row r="2033" ht="15.75" customHeight="1">
      <c r="A2033" s="364" t="s">
        <v>70</v>
      </c>
      <c r="B2033" s="364" t="s">
        <v>22</v>
      </c>
      <c r="C2033" s="365" t="s">
        <v>474</v>
      </c>
      <c r="D2033" s="364" t="s">
        <v>475</v>
      </c>
      <c r="E2033" s="366">
        <v>5.0</v>
      </c>
      <c r="F2033" s="367">
        <v>45701.41666666667</v>
      </c>
      <c r="G2033" s="364" t="s">
        <v>1185</v>
      </c>
      <c r="H2033" s="364" t="s">
        <v>1205</v>
      </c>
    </row>
    <row r="2034" ht="15.75" customHeight="1">
      <c r="A2034" s="364" t="s">
        <v>70</v>
      </c>
      <c r="B2034" s="364" t="s">
        <v>22</v>
      </c>
      <c r="C2034" s="365" t="s">
        <v>474</v>
      </c>
      <c r="D2034" s="364" t="s">
        <v>475</v>
      </c>
      <c r="E2034" s="366">
        <v>6.0</v>
      </c>
      <c r="F2034" s="367">
        <v>45705.41666666667</v>
      </c>
      <c r="G2034" s="364" t="s">
        <v>1185</v>
      </c>
      <c r="H2034" s="364" t="s">
        <v>1205</v>
      </c>
    </row>
    <row r="2035" ht="15.75" customHeight="1">
      <c r="A2035" s="364" t="s">
        <v>70</v>
      </c>
      <c r="B2035" s="364" t="s">
        <v>22</v>
      </c>
      <c r="C2035" s="365" t="s">
        <v>474</v>
      </c>
      <c r="D2035" s="364" t="s">
        <v>475</v>
      </c>
      <c r="E2035" s="366">
        <v>7.0</v>
      </c>
      <c r="F2035" s="367">
        <v>45712.41666666667</v>
      </c>
      <c r="G2035" s="364" t="s">
        <v>1185</v>
      </c>
      <c r="H2035" s="364" t="s">
        <v>1205</v>
      </c>
    </row>
    <row r="2036" ht="15.75" customHeight="1">
      <c r="A2036" s="364" t="s">
        <v>70</v>
      </c>
      <c r="B2036" s="364" t="s">
        <v>22</v>
      </c>
      <c r="C2036" s="365" t="s">
        <v>474</v>
      </c>
      <c r="D2036" s="364" t="s">
        <v>475</v>
      </c>
      <c r="E2036" s="366">
        <v>8.0</v>
      </c>
      <c r="F2036" s="367">
        <v>45756.54166666667</v>
      </c>
      <c r="G2036" s="364" t="s">
        <v>1185</v>
      </c>
      <c r="H2036" s="364" t="s">
        <v>1205</v>
      </c>
    </row>
    <row r="2037" ht="15.75" customHeight="1">
      <c r="A2037" s="364" t="s">
        <v>70</v>
      </c>
      <c r="B2037" s="364" t="s">
        <v>22</v>
      </c>
      <c r="C2037" s="365" t="s">
        <v>474</v>
      </c>
      <c r="D2037" s="364" t="s">
        <v>475</v>
      </c>
      <c r="E2037" s="366">
        <v>9.0</v>
      </c>
      <c r="F2037" s="367">
        <v>45772.45833333333</v>
      </c>
      <c r="G2037" s="364" t="s">
        <v>1185</v>
      </c>
      <c r="H2037" s="364" t="s">
        <v>1205</v>
      </c>
    </row>
    <row r="2038" ht="15.75" customHeight="1">
      <c r="A2038" s="364" t="s">
        <v>70</v>
      </c>
      <c r="B2038" s="364" t="s">
        <v>22</v>
      </c>
      <c r="C2038" s="365" t="s">
        <v>474</v>
      </c>
      <c r="D2038" s="364" t="s">
        <v>475</v>
      </c>
      <c r="E2038" s="366">
        <v>10.0</v>
      </c>
      <c r="F2038" s="367">
        <v>45807.41666666667</v>
      </c>
      <c r="G2038" s="364" t="s">
        <v>1185</v>
      </c>
      <c r="H2038" s="364" t="s">
        <v>1205</v>
      </c>
    </row>
    <row r="2039" ht="15.75" customHeight="1">
      <c r="A2039" s="364" t="s">
        <v>70</v>
      </c>
      <c r="B2039" s="364" t="s">
        <v>22</v>
      </c>
      <c r="C2039" s="365" t="s">
        <v>464</v>
      </c>
      <c r="D2039" s="364" t="s">
        <v>465</v>
      </c>
      <c r="E2039" s="366">
        <v>1.0</v>
      </c>
      <c r="F2039" s="367">
        <v>45638.41666666667</v>
      </c>
      <c r="G2039" s="364" t="s">
        <v>1185</v>
      </c>
      <c r="H2039" s="364" t="s">
        <v>1205</v>
      </c>
    </row>
    <row r="2040" ht="15.75" customHeight="1">
      <c r="A2040" s="364" t="s">
        <v>70</v>
      </c>
      <c r="B2040" s="364" t="s">
        <v>22</v>
      </c>
      <c r="C2040" s="365" t="s">
        <v>464</v>
      </c>
      <c r="D2040" s="364" t="s">
        <v>465</v>
      </c>
      <c r="E2040" s="366">
        <v>2.0</v>
      </c>
      <c r="F2040" s="367">
        <v>45649.41666666667</v>
      </c>
      <c r="G2040" s="364" t="s">
        <v>1185</v>
      </c>
      <c r="H2040" s="364" t="s">
        <v>1205</v>
      </c>
    </row>
    <row r="2041" ht="15.75" customHeight="1">
      <c r="A2041" s="364" t="s">
        <v>70</v>
      </c>
      <c r="B2041" s="364" t="s">
        <v>22</v>
      </c>
      <c r="C2041" s="365" t="s">
        <v>464</v>
      </c>
      <c r="D2041" s="364" t="s">
        <v>465</v>
      </c>
      <c r="E2041" s="366">
        <v>3.0</v>
      </c>
      <c r="F2041" s="367">
        <v>45666.41666666667</v>
      </c>
      <c r="G2041" s="364" t="s">
        <v>1185</v>
      </c>
      <c r="H2041" s="364" t="s">
        <v>1205</v>
      </c>
    </row>
    <row r="2042" ht="15.75" customHeight="1">
      <c r="A2042" s="364" t="s">
        <v>70</v>
      </c>
      <c r="B2042" s="364" t="s">
        <v>22</v>
      </c>
      <c r="C2042" s="365" t="s">
        <v>464</v>
      </c>
      <c r="D2042" s="364" t="s">
        <v>465</v>
      </c>
      <c r="E2042" s="366">
        <v>4.0</v>
      </c>
      <c r="F2042" s="367">
        <v>45678.41666666667</v>
      </c>
      <c r="G2042" s="364" t="s">
        <v>1185</v>
      </c>
      <c r="H2042" s="364" t="s">
        <v>1205</v>
      </c>
    </row>
    <row r="2043" ht="15.75" customHeight="1">
      <c r="A2043" s="364" t="s">
        <v>70</v>
      </c>
      <c r="B2043" s="364" t="s">
        <v>22</v>
      </c>
      <c r="C2043" s="365" t="s">
        <v>464</v>
      </c>
      <c r="D2043" s="364" t="s">
        <v>465</v>
      </c>
      <c r="E2043" s="366">
        <v>5.0</v>
      </c>
      <c r="F2043" s="367">
        <v>45701.41666666667</v>
      </c>
      <c r="G2043" s="364" t="s">
        <v>1185</v>
      </c>
      <c r="H2043" s="364" t="s">
        <v>1205</v>
      </c>
    </row>
    <row r="2044" ht="15.75" customHeight="1">
      <c r="A2044" s="364" t="s">
        <v>70</v>
      </c>
      <c r="B2044" s="364" t="s">
        <v>22</v>
      </c>
      <c r="C2044" s="365" t="s">
        <v>464</v>
      </c>
      <c r="D2044" s="364" t="s">
        <v>465</v>
      </c>
      <c r="E2044" s="366">
        <v>6.0</v>
      </c>
      <c r="F2044" s="367">
        <v>45705.41666666667</v>
      </c>
      <c r="G2044" s="364" t="s">
        <v>1187</v>
      </c>
      <c r="H2044" s="364" t="s">
        <v>1205</v>
      </c>
    </row>
    <row r="2045" ht="15.75" customHeight="1">
      <c r="A2045" s="364" t="s">
        <v>70</v>
      </c>
      <c r="B2045" s="364" t="s">
        <v>22</v>
      </c>
      <c r="C2045" s="365" t="s">
        <v>464</v>
      </c>
      <c r="D2045" s="364" t="s">
        <v>465</v>
      </c>
      <c r="E2045" s="366">
        <v>7.0</v>
      </c>
      <c r="F2045" s="367">
        <v>45712.41666666667</v>
      </c>
      <c r="G2045" s="364" t="s">
        <v>1185</v>
      </c>
      <c r="H2045" s="364" t="s">
        <v>1205</v>
      </c>
    </row>
    <row r="2046" ht="15.75" customHeight="1">
      <c r="A2046" s="364" t="s">
        <v>70</v>
      </c>
      <c r="B2046" s="364" t="s">
        <v>22</v>
      </c>
      <c r="C2046" s="365" t="s">
        <v>464</v>
      </c>
      <c r="D2046" s="364" t="s">
        <v>465</v>
      </c>
      <c r="E2046" s="366">
        <v>8.0</v>
      </c>
      <c r="F2046" s="367">
        <v>45756.54166666667</v>
      </c>
      <c r="G2046" s="364" t="s">
        <v>1185</v>
      </c>
      <c r="H2046" s="364" t="s">
        <v>1205</v>
      </c>
    </row>
    <row r="2047" ht="15.75" customHeight="1">
      <c r="A2047" s="364" t="s">
        <v>70</v>
      </c>
      <c r="B2047" s="364" t="s">
        <v>22</v>
      </c>
      <c r="C2047" s="365" t="s">
        <v>464</v>
      </c>
      <c r="D2047" s="364" t="s">
        <v>465</v>
      </c>
      <c r="E2047" s="366">
        <v>9.0</v>
      </c>
      <c r="F2047" s="367">
        <v>45772.45833333333</v>
      </c>
      <c r="G2047" s="364" t="s">
        <v>1185</v>
      </c>
      <c r="H2047" s="364" t="s">
        <v>1205</v>
      </c>
    </row>
    <row r="2048" ht="15.75" customHeight="1">
      <c r="A2048" s="364" t="s">
        <v>70</v>
      </c>
      <c r="B2048" s="364" t="s">
        <v>22</v>
      </c>
      <c r="C2048" s="365" t="s">
        <v>464</v>
      </c>
      <c r="D2048" s="364" t="s">
        <v>465</v>
      </c>
      <c r="E2048" s="366">
        <v>10.0</v>
      </c>
      <c r="F2048" s="367">
        <v>45807.41666666667</v>
      </c>
      <c r="G2048" s="364" t="s">
        <v>1185</v>
      </c>
      <c r="H2048" s="364" t="s">
        <v>1205</v>
      </c>
    </row>
    <row r="2049" ht="15.75" customHeight="1">
      <c r="A2049" s="364" t="s">
        <v>70</v>
      </c>
      <c r="B2049" s="364" t="s">
        <v>22</v>
      </c>
      <c r="C2049" s="365" t="s">
        <v>561</v>
      </c>
      <c r="D2049" s="364" t="s">
        <v>562</v>
      </c>
      <c r="E2049" s="366">
        <v>1.0</v>
      </c>
      <c r="F2049" s="367">
        <v>45638.41666666667</v>
      </c>
      <c r="G2049" s="364" t="s">
        <v>1185</v>
      </c>
      <c r="H2049" s="364" t="s">
        <v>1205</v>
      </c>
    </row>
    <row r="2050" ht="15.75" customHeight="1">
      <c r="A2050" s="364" t="s">
        <v>70</v>
      </c>
      <c r="B2050" s="364" t="s">
        <v>22</v>
      </c>
      <c r="C2050" s="365" t="s">
        <v>561</v>
      </c>
      <c r="D2050" s="364" t="s">
        <v>562</v>
      </c>
      <c r="E2050" s="366">
        <v>2.0</v>
      </c>
      <c r="F2050" s="367">
        <v>45649.41666666667</v>
      </c>
      <c r="G2050" s="364" t="s">
        <v>1187</v>
      </c>
      <c r="H2050" s="364" t="s">
        <v>1205</v>
      </c>
    </row>
    <row r="2051" ht="15.75" customHeight="1">
      <c r="A2051" s="364" t="s">
        <v>70</v>
      </c>
      <c r="B2051" s="364" t="s">
        <v>22</v>
      </c>
      <c r="C2051" s="365" t="s">
        <v>561</v>
      </c>
      <c r="D2051" s="364" t="s">
        <v>562</v>
      </c>
      <c r="E2051" s="366">
        <v>3.0</v>
      </c>
      <c r="F2051" s="367">
        <v>45666.41666666667</v>
      </c>
      <c r="G2051" s="364" t="s">
        <v>1185</v>
      </c>
      <c r="H2051" s="364" t="s">
        <v>1205</v>
      </c>
    </row>
    <row r="2052" ht="15.75" customHeight="1">
      <c r="A2052" s="364" t="s">
        <v>70</v>
      </c>
      <c r="B2052" s="364" t="s">
        <v>22</v>
      </c>
      <c r="C2052" s="365" t="s">
        <v>561</v>
      </c>
      <c r="D2052" s="364" t="s">
        <v>562</v>
      </c>
      <c r="E2052" s="366">
        <v>4.0</v>
      </c>
      <c r="F2052" s="367">
        <v>45670.41666666667</v>
      </c>
      <c r="G2052" s="364" t="s">
        <v>1185</v>
      </c>
      <c r="H2052" s="364" t="s">
        <v>1205</v>
      </c>
    </row>
    <row r="2053" ht="15.75" customHeight="1">
      <c r="A2053" s="364" t="s">
        <v>70</v>
      </c>
      <c r="B2053" s="364" t="s">
        <v>22</v>
      </c>
      <c r="C2053" s="365" t="s">
        <v>561</v>
      </c>
      <c r="D2053" s="364" t="s">
        <v>562</v>
      </c>
      <c r="E2053" s="366">
        <v>5.0</v>
      </c>
      <c r="F2053" s="367">
        <v>45701.41666666667</v>
      </c>
      <c r="G2053" s="364" t="s">
        <v>1185</v>
      </c>
      <c r="H2053" s="364" t="s">
        <v>1205</v>
      </c>
    </row>
    <row r="2054" ht="15.75" customHeight="1">
      <c r="A2054" s="364" t="s">
        <v>70</v>
      </c>
      <c r="B2054" s="364" t="s">
        <v>22</v>
      </c>
      <c r="C2054" s="365" t="s">
        <v>561</v>
      </c>
      <c r="D2054" s="364" t="s">
        <v>562</v>
      </c>
      <c r="E2054" s="366">
        <v>6.0</v>
      </c>
      <c r="F2054" s="367">
        <v>45705.41666666667</v>
      </c>
      <c r="G2054" s="364" t="s">
        <v>1185</v>
      </c>
      <c r="H2054" s="364" t="s">
        <v>1205</v>
      </c>
    </row>
    <row r="2055" ht="15.75" customHeight="1">
      <c r="A2055" s="364" t="s">
        <v>70</v>
      </c>
      <c r="B2055" s="364" t="s">
        <v>22</v>
      </c>
      <c r="C2055" s="365" t="s">
        <v>561</v>
      </c>
      <c r="D2055" s="364" t="s">
        <v>562</v>
      </c>
      <c r="E2055" s="366">
        <v>7.0</v>
      </c>
      <c r="F2055" s="367">
        <v>45712.41666666667</v>
      </c>
      <c r="G2055" s="364" t="s">
        <v>1185</v>
      </c>
      <c r="H2055" s="364" t="s">
        <v>1205</v>
      </c>
    </row>
    <row r="2056" ht="15.75" customHeight="1">
      <c r="A2056" s="364" t="s">
        <v>70</v>
      </c>
      <c r="B2056" s="364" t="s">
        <v>22</v>
      </c>
      <c r="C2056" s="365" t="s">
        <v>561</v>
      </c>
      <c r="D2056" s="364" t="s">
        <v>562</v>
      </c>
      <c r="E2056" s="366">
        <v>8.0</v>
      </c>
      <c r="F2056" s="367">
        <v>45756.54166666667</v>
      </c>
      <c r="G2056" s="364" t="s">
        <v>1185</v>
      </c>
      <c r="H2056" s="364" t="s">
        <v>1205</v>
      </c>
    </row>
    <row r="2057" ht="15.75" customHeight="1">
      <c r="A2057" s="364" t="s">
        <v>70</v>
      </c>
      <c r="B2057" s="364" t="s">
        <v>22</v>
      </c>
      <c r="C2057" s="365" t="s">
        <v>561</v>
      </c>
      <c r="D2057" s="364" t="s">
        <v>562</v>
      </c>
      <c r="E2057" s="366">
        <v>9.0</v>
      </c>
      <c r="F2057" s="367">
        <v>45772.45833333333</v>
      </c>
      <c r="G2057" s="364" t="s">
        <v>1185</v>
      </c>
      <c r="H2057" s="364" t="s">
        <v>1205</v>
      </c>
    </row>
    <row r="2058" ht="15.75" customHeight="1">
      <c r="A2058" s="364" t="s">
        <v>70</v>
      </c>
      <c r="B2058" s="364" t="s">
        <v>22</v>
      </c>
      <c r="C2058" s="365" t="s">
        <v>561</v>
      </c>
      <c r="D2058" s="364" t="s">
        <v>562</v>
      </c>
      <c r="E2058" s="366">
        <v>10.0</v>
      </c>
      <c r="F2058" s="367">
        <v>45807.41666666667</v>
      </c>
      <c r="G2058" s="364" t="s">
        <v>1185</v>
      </c>
      <c r="H2058" s="364" t="s">
        <v>1205</v>
      </c>
    </row>
    <row r="2059" ht="15.75" customHeight="1">
      <c r="A2059" s="364" t="s">
        <v>70</v>
      </c>
      <c r="B2059" s="364" t="s">
        <v>22</v>
      </c>
      <c r="C2059" s="365" t="s">
        <v>563</v>
      </c>
      <c r="D2059" s="364" t="s">
        <v>564</v>
      </c>
      <c r="E2059" s="366">
        <v>1.0</v>
      </c>
      <c r="F2059" s="367">
        <v>45638.41666666667</v>
      </c>
      <c r="G2059" s="364" t="s">
        <v>1185</v>
      </c>
      <c r="H2059" s="364" t="s">
        <v>1205</v>
      </c>
    </row>
    <row r="2060" ht="15.75" customHeight="1">
      <c r="A2060" s="364" t="s">
        <v>70</v>
      </c>
      <c r="B2060" s="364" t="s">
        <v>22</v>
      </c>
      <c r="C2060" s="365" t="s">
        <v>563</v>
      </c>
      <c r="D2060" s="364" t="s">
        <v>564</v>
      </c>
      <c r="E2060" s="366">
        <v>2.0</v>
      </c>
      <c r="F2060" s="367">
        <v>45649.41666666667</v>
      </c>
      <c r="G2060" s="364" t="s">
        <v>1185</v>
      </c>
      <c r="H2060" s="364" t="s">
        <v>1205</v>
      </c>
    </row>
    <row r="2061" ht="15.75" customHeight="1">
      <c r="A2061" s="364" t="s">
        <v>70</v>
      </c>
      <c r="B2061" s="364" t="s">
        <v>22</v>
      </c>
      <c r="C2061" s="365" t="s">
        <v>563</v>
      </c>
      <c r="D2061" s="364" t="s">
        <v>564</v>
      </c>
      <c r="E2061" s="366">
        <v>3.0</v>
      </c>
      <c r="F2061" s="367">
        <v>45656.41666666667</v>
      </c>
      <c r="G2061" s="364" t="s">
        <v>1185</v>
      </c>
      <c r="H2061" s="364" t="s">
        <v>1205</v>
      </c>
    </row>
    <row r="2062" ht="15.75" customHeight="1">
      <c r="A2062" s="364" t="s">
        <v>70</v>
      </c>
      <c r="B2062" s="364" t="s">
        <v>22</v>
      </c>
      <c r="C2062" s="365" t="s">
        <v>563</v>
      </c>
      <c r="D2062" s="364" t="s">
        <v>564</v>
      </c>
      <c r="E2062" s="366">
        <v>4.0</v>
      </c>
      <c r="F2062" s="367">
        <v>45670.41666666667</v>
      </c>
      <c r="G2062" s="364" t="s">
        <v>1185</v>
      </c>
      <c r="H2062" s="364" t="s">
        <v>1205</v>
      </c>
    </row>
    <row r="2063" ht="15.75" customHeight="1">
      <c r="A2063" s="364" t="s">
        <v>70</v>
      </c>
      <c r="B2063" s="364" t="s">
        <v>22</v>
      </c>
      <c r="C2063" s="365" t="s">
        <v>563</v>
      </c>
      <c r="D2063" s="364" t="s">
        <v>564</v>
      </c>
      <c r="E2063" s="366">
        <v>5.0</v>
      </c>
      <c r="F2063" s="367">
        <v>45694.41666666667</v>
      </c>
      <c r="G2063" s="364" t="s">
        <v>1185</v>
      </c>
      <c r="H2063" s="364" t="s">
        <v>1205</v>
      </c>
    </row>
    <row r="2064" ht="15.75" customHeight="1">
      <c r="A2064" s="364" t="s">
        <v>70</v>
      </c>
      <c r="B2064" s="364" t="s">
        <v>22</v>
      </c>
      <c r="C2064" s="365" t="s">
        <v>563</v>
      </c>
      <c r="D2064" s="364" t="s">
        <v>564</v>
      </c>
      <c r="E2064" s="366">
        <v>6.0</v>
      </c>
      <c r="F2064" s="367">
        <v>45705.41666666667</v>
      </c>
      <c r="G2064" s="364" t="s">
        <v>1185</v>
      </c>
      <c r="H2064" s="364" t="s">
        <v>1205</v>
      </c>
    </row>
    <row r="2065" ht="15.75" customHeight="1">
      <c r="A2065" s="364" t="s">
        <v>70</v>
      </c>
      <c r="B2065" s="364" t="s">
        <v>22</v>
      </c>
      <c r="C2065" s="365" t="s">
        <v>563</v>
      </c>
      <c r="D2065" s="364" t="s">
        <v>564</v>
      </c>
      <c r="E2065" s="366">
        <v>7.0</v>
      </c>
      <c r="F2065" s="367">
        <v>45712.41666666667</v>
      </c>
      <c r="G2065" s="364" t="s">
        <v>1185</v>
      </c>
      <c r="H2065" s="364" t="s">
        <v>1205</v>
      </c>
    </row>
    <row r="2066" ht="15.75" customHeight="1">
      <c r="A2066" s="364" t="s">
        <v>70</v>
      </c>
      <c r="B2066" s="364" t="s">
        <v>22</v>
      </c>
      <c r="C2066" s="365" t="s">
        <v>563</v>
      </c>
      <c r="D2066" s="364" t="s">
        <v>564</v>
      </c>
      <c r="E2066" s="366">
        <v>8.0</v>
      </c>
      <c r="F2066" s="367">
        <v>45756.54166666667</v>
      </c>
      <c r="G2066" s="364" t="s">
        <v>1185</v>
      </c>
      <c r="H2066" s="364" t="s">
        <v>1205</v>
      </c>
    </row>
    <row r="2067" ht="15.75" customHeight="1">
      <c r="A2067" s="364" t="s">
        <v>70</v>
      </c>
      <c r="B2067" s="364" t="s">
        <v>22</v>
      </c>
      <c r="C2067" s="365" t="s">
        <v>563</v>
      </c>
      <c r="D2067" s="364" t="s">
        <v>564</v>
      </c>
      <c r="E2067" s="366">
        <v>9.0</v>
      </c>
      <c r="F2067" s="367">
        <v>45772.45833333333</v>
      </c>
      <c r="G2067" s="364" t="s">
        <v>1185</v>
      </c>
      <c r="H2067" s="364" t="s">
        <v>1205</v>
      </c>
    </row>
    <row r="2068" ht="15.75" customHeight="1">
      <c r="A2068" s="364" t="s">
        <v>70</v>
      </c>
      <c r="B2068" s="364" t="s">
        <v>22</v>
      </c>
      <c r="C2068" s="365" t="s">
        <v>563</v>
      </c>
      <c r="D2068" s="364" t="s">
        <v>564</v>
      </c>
      <c r="E2068" s="366">
        <v>10.0</v>
      </c>
      <c r="F2068" s="367">
        <v>45807.41666666667</v>
      </c>
      <c r="G2068" s="364" t="s">
        <v>1185</v>
      </c>
      <c r="H2068" s="364" t="s">
        <v>1205</v>
      </c>
    </row>
    <row r="2069" ht="15.75" customHeight="1">
      <c r="A2069" s="364" t="s">
        <v>70</v>
      </c>
      <c r="B2069" s="364" t="s">
        <v>22</v>
      </c>
      <c r="C2069" s="365" t="s">
        <v>565</v>
      </c>
      <c r="D2069" s="364" t="s">
        <v>566</v>
      </c>
      <c r="E2069" s="366">
        <v>1.0</v>
      </c>
      <c r="F2069" s="367">
        <v>45638.41666666667</v>
      </c>
      <c r="G2069" s="364" t="s">
        <v>1187</v>
      </c>
      <c r="H2069" s="364" t="s">
        <v>1205</v>
      </c>
    </row>
    <row r="2070" ht="15.75" customHeight="1">
      <c r="A2070" s="364" t="s">
        <v>70</v>
      </c>
      <c r="B2070" s="364" t="s">
        <v>22</v>
      </c>
      <c r="C2070" s="365" t="s">
        <v>565</v>
      </c>
      <c r="D2070" s="364" t="s">
        <v>566</v>
      </c>
      <c r="E2070" s="366">
        <v>2.0</v>
      </c>
      <c r="F2070" s="367">
        <v>45649.41666666667</v>
      </c>
      <c r="G2070" s="364" t="s">
        <v>1185</v>
      </c>
      <c r="H2070" s="364" t="s">
        <v>1205</v>
      </c>
    </row>
    <row r="2071" ht="15.75" customHeight="1">
      <c r="A2071" s="364" t="s">
        <v>70</v>
      </c>
      <c r="B2071" s="364" t="s">
        <v>22</v>
      </c>
      <c r="C2071" s="365" t="s">
        <v>565</v>
      </c>
      <c r="D2071" s="364" t="s">
        <v>566</v>
      </c>
      <c r="E2071" s="366">
        <v>3.0</v>
      </c>
      <c r="F2071" s="367">
        <v>45666.41666666667</v>
      </c>
      <c r="G2071" s="364" t="s">
        <v>1185</v>
      </c>
      <c r="H2071" s="364" t="s">
        <v>1205</v>
      </c>
    </row>
    <row r="2072" ht="15.75" customHeight="1">
      <c r="A2072" s="364" t="s">
        <v>70</v>
      </c>
      <c r="B2072" s="364" t="s">
        <v>22</v>
      </c>
      <c r="C2072" s="365" t="s">
        <v>565</v>
      </c>
      <c r="D2072" s="364" t="s">
        <v>566</v>
      </c>
      <c r="E2072" s="366">
        <v>4.0</v>
      </c>
      <c r="F2072" s="367">
        <v>45678.41666666667</v>
      </c>
      <c r="G2072" s="364" t="s">
        <v>1185</v>
      </c>
      <c r="H2072" s="364" t="s">
        <v>1205</v>
      </c>
    </row>
    <row r="2073" ht="15.75" customHeight="1">
      <c r="A2073" s="364" t="s">
        <v>70</v>
      </c>
      <c r="B2073" s="364" t="s">
        <v>22</v>
      </c>
      <c r="C2073" s="365" t="s">
        <v>565</v>
      </c>
      <c r="D2073" s="364" t="s">
        <v>566</v>
      </c>
      <c r="E2073" s="366">
        <v>5.0</v>
      </c>
      <c r="F2073" s="367">
        <v>45701.41666666667</v>
      </c>
      <c r="G2073" s="364" t="s">
        <v>1185</v>
      </c>
      <c r="H2073" s="364" t="s">
        <v>1205</v>
      </c>
    </row>
    <row r="2074" ht="15.75" customHeight="1">
      <c r="A2074" s="364" t="s">
        <v>70</v>
      </c>
      <c r="B2074" s="364" t="s">
        <v>22</v>
      </c>
      <c r="C2074" s="365" t="s">
        <v>565</v>
      </c>
      <c r="D2074" s="364" t="s">
        <v>566</v>
      </c>
      <c r="E2074" s="366">
        <v>6.0</v>
      </c>
      <c r="F2074" s="367">
        <v>45705.41666666667</v>
      </c>
      <c r="G2074" s="364" t="s">
        <v>1185</v>
      </c>
      <c r="H2074" s="364" t="s">
        <v>1205</v>
      </c>
    </row>
    <row r="2075" ht="15.75" customHeight="1">
      <c r="A2075" s="364" t="s">
        <v>70</v>
      </c>
      <c r="B2075" s="364" t="s">
        <v>22</v>
      </c>
      <c r="C2075" s="365" t="s">
        <v>565</v>
      </c>
      <c r="D2075" s="364" t="s">
        <v>566</v>
      </c>
      <c r="E2075" s="366">
        <v>7.0</v>
      </c>
      <c r="F2075" s="367">
        <v>45712.41666666667</v>
      </c>
      <c r="G2075" s="364" t="s">
        <v>1187</v>
      </c>
      <c r="H2075" s="364" t="s">
        <v>1205</v>
      </c>
    </row>
    <row r="2076" ht="15.75" customHeight="1">
      <c r="A2076" s="364" t="s">
        <v>70</v>
      </c>
      <c r="B2076" s="364" t="s">
        <v>22</v>
      </c>
      <c r="C2076" s="365" t="s">
        <v>565</v>
      </c>
      <c r="D2076" s="364" t="s">
        <v>566</v>
      </c>
      <c r="E2076" s="366">
        <v>8.0</v>
      </c>
      <c r="F2076" s="367">
        <v>45756.54166666667</v>
      </c>
      <c r="G2076" s="364" t="s">
        <v>1185</v>
      </c>
      <c r="H2076" s="364" t="s">
        <v>1205</v>
      </c>
    </row>
    <row r="2077" ht="15.75" customHeight="1">
      <c r="A2077" s="364" t="s">
        <v>70</v>
      </c>
      <c r="B2077" s="364" t="s">
        <v>22</v>
      </c>
      <c r="C2077" s="365" t="s">
        <v>565</v>
      </c>
      <c r="D2077" s="364" t="s">
        <v>566</v>
      </c>
      <c r="E2077" s="366">
        <v>9.0</v>
      </c>
      <c r="F2077" s="367">
        <v>45772.45833333333</v>
      </c>
      <c r="G2077" s="364" t="s">
        <v>1185</v>
      </c>
      <c r="H2077" s="364" t="s">
        <v>1205</v>
      </c>
    </row>
    <row r="2078" ht="15.75" customHeight="1">
      <c r="A2078" s="364" t="s">
        <v>70</v>
      </c>
      <c r="B2078" s="364" t="s">
        <v>22</v>
      </c>
      <c r="C2078" s="365" t="s">
        <v>565</v>
      </c>
      <c r="D2078" s="364" t="s">
        <v>566</v>
      </c>
      <c r="E2078" s="366">
        <v>10.0</v>
      </c>
      <c r="F2078" s="367">
        <v>45807.41666666667</v>
      </c>
      <c r="G2078" s="364" t="s">
        <v>1185</v>
      </c>
      <c r="H2078" s="364" t="s">
        <v>1205</v>
      </c>
    </row>
    <row r="2079" ht="15.75" customHeight="1">
      <c r="A2079" s="364" t="s">
        <v>70</v>
      </c>
      <c r="B2079" s="364" t="s">
        <v>22</v>
      </c>
      <c r="C2079" s="365" t="s">
        <v>567</v>
      </c>
      <c r="D2079" s="364" t="s">
        <v>568</v>
      </c>
      <c r="E2079" s="366">
        <v>1.0</v>
      </c>
      <c r="F2079" s="367">
        <v>45638.41666666667</v>
      </c>
      <c r="G2079" s="364" t="s">
        <v>1187</v>
      </c>
      <c r="H2079" s="364" t="s">
        <v>1205</v>
      </c>
    </row>
    <row r="2080" ht="15.75" customHeight="1">
      <c r="A2080" s="364" t="s">
        <v>70</v>
      </c>
      <c r="B2080" s="364" t="s">
        <v>22</v>
      </c>
      <c r="C2080" s="365" t="s">
        <v>567</v>
      </c>
      <c r="D2080" s="364" t="s">
        <v>568</v>
      </c>
      <c r="E2080" s="366">
        <v>2.0</v>
      </c>
      <c r="F2080" s="367">
        <v>45649.41666666667</v>
      </c>
      <c r="G2080" s="364" t="s">
        <v>1185</v>
      </c>
      <c r="H2080" s="364" t="s">
        <v>1205</v>
      </c>
    </row>
    <row r="2081" ht="15.75" customHeight="1">
      <c r="A2081" s="364" t="s">
        <v>70</v>
      </c>
      <c r="B2081" s="364" t="s">
        <v>22</v>
      </c>
      <c r="C2081" s="365" t="s">
        <v>567</v>
      </c>
      <c r="D2081" s="364" t="s">
        <v>568</v>
      </c>
      <c r="E2081" s="366">
        <v>3.0</v>
      </c>
      <c r="F2081" s="367">
        <v>45666.41666666667</v>
      </c>
      <c r="G2081" s="364" t="s">
        <v>1185</v>
      </c>
      <c r="H2081" s="364" t="s">
        <v>1205</v>
      </c>
    </row>
    <row r="2082" ht="15.75" customHeight="1">
      <c r="A2082" s="364" t="s">
        <v>70</v>
      </c>
      <c r="B2082" s="364" t="s">
        <v>22</v>
      </c>
      <c r="C2082" s="365" t="s">
        <v>567</v>
      </c>
      <c r="D2082" s="364" t="s">
        <v>568</v>
      </c>
      <c r="E2082" s="366">
        <v>4.0</v>
      </c>
      <c r="F2082" s="367">
        <v>45678.41666666667</v>
      </c>
      <c r="G2082" s="364" t="s">
        <v>1187</v>
      </c>
      <c r="H2082" s="364" t="s">
        <v>1205</v>
      </c>
    </row>
    <row r="2083" ht="15.75" customHeight="1">
      <c r="A2083" s="364" t="s">
        <v>70</v>
      </c>
      <c r="B2083" s="364" t="s">
        <v>22</v>
      </c>
      <c r="C2083" s="365" t="s">
        <v>567</v>
      </c>
      <c r="D2083" s="364" t="s">
        <v>568</v>
      </c>
      <c r="E2083" s="366">
        <v>5.0</v>
      </c>
      <c r="F2083" s="367">
        <v>45694.41666666667</v>
      </c>
      <c r="G2083" s="364" t="s">
        <v>1185</v>
      </c>
      <c r="H2083" s="364" t="s">
        <v>1205</v>
      </c>
    </row>
    <row r="2084" ht="15.75" customHeight="1">
      <c r="A2084" s="364" t="s">
        <v>70</v>
      </c>
      <c r="B2084" s="364" t="s">
        <v>22</v>
      </c>
      <c r="C2084" s="365" t="s">
        <v>567</v>
      </c>
      <c r="D2084" s="364" t="s">
        <v>568</v>
      </c>
      <c r="E2084" s="366">
        <v>6.0</v>
      </c>
      <c r="F2084" s="367">
        <v>45705.41666666667</v>
      </c>
      <c r="G2084" s="364" t="s">
        <v>1187</v>
      </c>
      <c r="H2084" s="364" t="s">
        <v>1205</v>
      </c>
    </row>
    <row r="2085" ht="15.75" customHeight="1">
      <c r="A2085" s="364" t="s">
        <v>70</v>
      </c>
      <c r="B2085" s="364" t="s">
        <v>22</v>
      </c>
      <c r="C2085" s="365" t="s">
        <v>567</v>
      </c>
      <c r="D2085" s="364" t="s">
        <v>568</v>
      </c>
      <c r="E2085" s="366">
        <v>7.0</v>
      </c>
      <c r="F2085" s="367">
        <v>45712.41666666667</v>
      </c>
      <c r="G2085" s="364" t="s">
        <v>1185</v>
      </c>
      <c r="H2085" s="364" t="s">
        <v>1205</v>
      </c>
    </row>
    <row r="2086" ht="15.75" customHeight="1">
      <c r="A2086" s="364" t="s">
        <v>70</v>
      </c>
      <c r="B2086" s="364" t="s">
        <v>22</v>
      </c>
      <c r="C2086" s="365" t="s">
        <v>567</v>
      </c>
      <c r="D2086" s="364" t="s">
        <v>568</v>
      </c>
      <c r="E2086" s="366">
        <v>8.0</v>
      </c>
      <c r="F2086" s="367">
        <v>45756.54166666667</v>
      </c>
      <c r="G2086" s="364" t="s">
        <v>1187</v>
      </c>
      <c r="H2086" s="364" t="s">
        <v>1205</v>
      </c>
    </row>
    <row r="2087" ht="15.75" customHeight="1">
      <c r="A2087" s="364" t="s">
        <v>70</v>
      </c>
      <c r="B2087" s="364" t="s">
        <v>22</v>
      </c>
      <c r="C2087" s="365" t="s">
        <v>567</v>
      </c>
      <c r="D2087" s="364" t="s">
        <v>568</v>
      </c>
      <c r="E2087" s="366">
        <v>9.0</v>
      </c>
      <c r="F2087" s="367">
        <v>45772.45833333333</v>
      </c>
      <c r="G2087" s="364" t="s">
        <v>1185</v>
      </c>
      <c r="H2087" s="364" t="s">
        <v>1205</v>
      </c>
    </row>
    <row r="2088" ht="15.75" customHeight="1">
      <c r="A2088" s="364" t="s">
        <v>70</v>
      </c>
      <c r="B2088" s="364" t="s">
        <v>22</v>
      </c>
      <c r="C2088" s="365" t="s">
        <v>567</v>
      </c>
      <c r="D2088" s="364" t="s">
        <v>568</v>
      </c>
      <c r="E2088" s="366">
        <v>10.0</v>
      </c>
      <c r="F2088" s="367">
        <v>45807.41666666667</v>
      </c>
      <c r="G2088" s="364" t="s">
        <v>1185</v>
      </c>
      <c r="H2088" s="364" t="s">
        <v>1205</v>
      </c>
    </row>
    <row r="2089" ht="15.75" customHeight="1">
      <c r="A2089" s="364" t="s">
        <v>70</v>
      </c>
      <c r="B2089" s="364" t="s">
        <v>22</v>
      </c>
      <c r="C2089" s="365" t="s">
        <v>472</v>
      </c>
      <c r="D2089" s="364" t="s">
        <v>473</v>
      </c>
      <c r="E2089" s="366">
        <v>1.0</v>
      </c>
      <c r="F2089" s="367">
        <v>45638.41666666667</v>
      </c>
      <c r="G2089" s="364" t="s">
        <v>1185</v>
      </c>
      <c r="H2089" s="364" t="s">
        <v>1205</v>
      </c>
    </row>
    <row r="2090" ht="15.75" customHeight="1">
      <c r="A2090" s="364" t="s">
        <v>70</v>
      </c>
      <c r="B2090" s="364" t="s">
        <v>22</v>
      </c>
      <c r="C2090" s="365" t="s">
        <v>472</v>
      </c>
      <c r="D2090" s="364" t="s">
        <v>473</v>
      </c>
      <c r="E2090" s="366">
        <v>2.0</v>
      </c>
      <c r="F2090" s="367">
        <v>45649.41666666667</v>
      </c>
      <c r="G2090" s="364" t="s">
        <v>1185</v>
      </c>
      <c r="H2090" s="364" t="s">
        <v>1205</v>
      </c>
    </row>
    <row r="2091" ht="15.75" customHeight="1">
      <c r="A2091" s="364" t="s">
        <v>70</v>
      </c>
      <c r="B2091" s="364" t="s">
        <v>22</v>
      </c>
      <c r="C2091" s="365" t="s">
        <v>472</v>
      </c>
      <c r="D2091" s="364" t="s">
        <v>473</v>
      </c>
      <c r="E2091" s="366">
        <v>3.0</v>
      </c>
      <c r="F2091" s="367">
        <v>45656.41666666667</v>
      </c>
      <c r="G2091" s="364" t="s">
        <v>1185</v>
      </c>
      <c r="H2091" s="364" t="s">
        <v>1205</v>
      </c>
    </row>
    <row r="2092" ht="15.75" customHeight="1">
      <c r="A2092" s="364" t="s">
        <v>70</v>
      </c>
      <c r="B2092" s="364" t="s">
        <v>22</v>
      </c>
      <c r="C2092" s="365" t="s">
        <v>472</v>
      </c>
      <c r="D2092" s="364" t="s">
        <v>473</v>
      </c>
      <c r="E2092" s="366">
        <v>4.0</v>
      </c>
      <c r="F2092" s="367">
        <v>45670.41666666667</v>
      </c>
      <c r="G2092" s="364" t="s">
        <v>1185</v>
      </c>
      <c r="H2092" s="364" t="s">
        <v>1205</v>
      </c>
    </row>
    <row r="2093" ht="15.75" customHeight="1">
      <c r="A2093" s="364" t="s">
        <v>70</v>
      </c>
      <c r="B2093" s="364" t="s">
        <v>22</v>
      </c>
      <c r="C2093" s="365" t="s">
        <v>472</v>
      </c>
      <c r="D2093" s="364" t="s">
        <v>473</v>
      </c>
      <c r="E2093" s="366">
        <v>5.0</v>
      </c>
      <c r="F2093" s="367">
        <v>45694.41666666667</v>
      </c>
      <c r="G2093" s="364" t="s">
        <v>1185</v>
      </c>
      <c r="H2093" s="364" t="s">
        <v>1205</v>
      </c>
    </row>
    <row r="2094" ht="15.75" customHeight="1">
      <c r="A2094" s="364" t="s">
        <v>70</v>
      </c>
      <c r="B2094" s="364" t="s">
        <v>22</v>
      </c>
      <c r="C2094" s="365" t="s">
        <v>472</v>
      </c>
      <c r="D2094" s="364" t="s">
        <v>473</v>
      </c>
      <c r="E2094" s="366">
        <v>6.0</v>
      </c>
      <c r="F2094" s="367">
        <v>45705.41666666667</v>
      </c>
      <c r="G2094" s="364" t="s">
        <v>1185</v>
      </c>
      <c r="H2094" s="364" t="s">
        <v>1205</v>
      </c>
    </row>
    <row r="2095" ht="15.75" customHeight="1">
      <c r="A2095" s="364" t="s">
        <v>70</v>
      </c>
      <c r="B2095" s="364" t="s">
        <v>22</v>
      </c>
      <c r="C2095" s="365" t="s">
        <v>472</v>
      </c>
      <c r="D2095" s="364" t="s">
        <v>473</v>
      </c>
      <c r="E2095" s="366">
        <v>7.0</v>
      </c>
      <c r="F2095" s="367">
        <v>45712.41666666667</v>
      </c>
      <c r="G2095" s="364" t="s">
        <v>1185</v>
      </c>
      <c r="H2095" s="364" t="s">
        <v>1205</v>
      </c>
    </row>
    <row r="2096" ht="15.75" customHeight="1">
      <c r="A2096" s="364" t="s">
        <v>70</v>
      </c>
      <c r="B2096" s="364" t="s">
        <v>22</v>
      </c>
      <c r="C2096" s="365" t="s">
        <v>472</v>
      </c>
      <c r="D2096" s="364" t="s">
        <v>473</v>
      </c>
      <c r="E2096" s="366">
        <v>8.0</v>
      </c>
      <c r="F2096" s="367">
        <v>45756.54166666667</v>
      </c>
      <c r="G2096" s="364" t="s">
        <v>1185</v>
      </c>
      <c r="H2096" s="364" t="s">
        <v>1205</v>
      </c>
    </row>
    <row r="2097" ht="15.75" customHeight="1">
      <c r="A2097" s="364" t="s">
        <v>70</v>
      </c>
      <c r="B2097" s="364" t="s">
        <v>22</v>
      </c>
      <c r="C2097" s="365" t="s">
        <v>472</v>
      </c>
      <c r="D2097" s="364" t="s">
        <v>473</v>
      </c>
      <c r="E2097" s="366">
        <v>9.0</v>
      </c>
      <c r="F2097" s="367">
        <v>45772.45833333333</v>
      </c>
      <c r="G2097" s="364" t="s">
        <v>1185</v>
      </c>
      <c r="H2097" s="364" t="s">
        <v>1205</v>
      </c>
    </row>
    <row r="2098" ht="15.75" customHeight="1">
      <c r="A2098" s="364" t="s">
        <v>70</v>
      </c>
      <c r="B2098" s="364" t="s">
        <v>22</v>
      </c>
      <c r="C2098" s="365" t="s">
        <v>472</v>
      </c>
      <c r="D2098" s="364" t="s">
        <v>473</v>
      </c>
      <c r="E2098" s="366">
        <v>10.0</v>
      </c>
      <c r="F2098" s="367">
        <v>45807.41666666667</v>
      </c>
      <c r="G2098" s="364" t="s">
        <v>1185</v>
      </c>
      <c r="H2098" s="364" t="s">
        <v>1205</v>
      </c>
    </row>
    <row r="2099" ht="15.75" customHeight="1">
      <c r="A2099" s="364" t="s">
        <v>70</v>
      </c>
      <c r="B2099" s="364" t="s">
        <v>23</v>
      </c>
      <c r="C2099" s="365" t="s">
        <v>461</v>
      </c>
      <c r="D2099" s="364" t="s">
        <v>462</v>
      </c>
      <c r="E2099" s="366">
        <v>1.0</v>
      </c>
      <c r="F2099" s="367">
        <v>45841.58333333333</v>
      </c>
      <c r="G2099" s="364" t="s">
        <v>1185</v>
      </c>
      <c r="H2099" s="364" t="s">
        <v>1205</v>
      </c>
    </row>
    <row r="2100" ht="15.75" customHeight="1">
      <c r="A2100" s="364" t="s">
        <v>70</v>
      </c>
      <c r="B2100" s="364" t="s">
        <v>23</v>
      </c>
      <c r="C2100" s="365" t="s">
        <v>461</v>
      </c>
      <c r="D2100" s="364" t="s">
        <v>462</v>
      </c>
      <c r="E2100" s="366">
        <v>2.0</v>
      </c>
      <c r="F2100" s="367">
        <v>45853.41666666667</v>
      </c>
      <c r="G2100" s="364" t="s">
        <v>1185</v>
      </c>
      <c r="H2100" s="364" t="s">
        <v>1205</v>
      </c>
    </row>
    <row r="2101" ht="15.75" customHeight="1">
      <c r="A2101" s="364" t="s">
        <v>70</v>
      </c>
      <c r="B2101" s="364" t="s">
        <v>23</v>
      </c>
      <c r="C2101" s="365" t="s">
        <v>461</v>
      </c>
      <c r="D2101" s="364" t="s">
        <v>462</v>
      </c>
      <c r="E2101" s="366">
        <v>3.0</v>
      </c>
      <c r="F2101" s="367">
        <v>45882.625</v>
      </c>
      <c r="G2101" s="364" t="s">
        <v>1187</v>
      </c>
      <c r="H2101" s="364" t="s">
        <v>1205</v>
      </c>
    </row>
    <row r="2102" ht="15.75" customHeight="1">
      <c r="A2102" s="364" t="s">
        <v>70</v>
      </c>
      <c r="B2102" s="364" t="s">
        <v>23</v>
      </c>
      <c r="C2102" s="365" t="s">
        <v>461</v>
      </c>
      <c r="D2102" s="364" t="s">
        <v>462</v>
      </c>
      <c r="E2102" s="366">
        <v>4.0</v>
      </c>
      <c r="F2102" s="367">
        <v>45889.625</v>
      </c>
      <c r="G2102" s="364" t="s">
        <v>1185</v>
      </c>
      <c r="H2102" s="364" t="s">
        <v>1205</v>
      </c>
    </row>
    <row r="2103" ht="15.75" customHeight="1">
      <c r="A2103" s="364" t="s">
        <v>70</v>
      </c>
      <c r="B2103" s="364" t="s">
        <v>23</v>
      </c>
      <c r="C2103" s="365" t="s">
        <v>461</v>
      </c>
      <c r="D2103" s="364" t="s">
        <v>462</v>
      </c>
      <c r="E2103" s="366">
        <v>5.0</v>
      </c>
      <c r="F2103" s="367">
        <v>45917.625</v>
      </c>
      <c r="G2103" s="364" t="s">
        <v>1187</v>
      </c>
      <c r="H2103" s="364" t="s">
        <v>1205</v>
      </c>
    </row>
    <row r="2104" ht="15.75" customHeight="1">
      <c r="A2104" s="364" t="s">
        <v>70</v>
      </c>
      <c r="B2104" s="364" t="s">
        <v>23</v>
      </c>
      <c r="C2104" s="365" t="s">
        <v>461</v>
      </c>
      <c r="D2104" s="364" t="s">
        <v>462</v>
      </c>
      <c r="E2104" s="366">
        <v>6.0</v>
      </c>
      <c r="F2104" s="367">
        <v>45924.625</v>
      </c>
      <c r="G2104" s="364" t="s">
        <v>1185</v>
      </c>
      <c r="H2104" s="364" t="s">
        <v>1205</v>
      </c>
    </row>
    <row r="2105" ht="15.75" customHeight="1">
      <c r="A2105" s="364" t="s">
        <v>70</v>
      </c>
      <c r="B2105" s="364" t="s">
        <v>23</v>
      </c>
      <c r="C2105" s="365" t="s">
        <v>461</v>
      </c>
      <c r="D2105" s="364" t="s">
        <v>462</v>
      </c>
      <c r="E2105" s="366">
        <v>7.0</v>
      </c>
      <c r="F2105" s="367">
        <v>45931.625</v>
      </c>
      <c r="G2105" s="364" t="s">
        <v>1185</v>
      </c>
      <c r="H2105" s="364" t="s">
        <v>1205</v>
      </c>
    </row>
    <row r="2106" ht="15.75" customHeight="1">
      <c r="A2106" s="364" t="s">
        <v>70</v>
      </c>
      <c r="B2106" s="364" t="s">
        <v>23</v>
      </c>
      <c r="C2106" s="365" t="s">
        <v>474</v>
      </c>
      <c r="D2106" s="364" t="s">
        <v>475</v>
      </c>
      <c r="E2106" s="366">
        <v>1.0</v>
      </c>
      <c r="F2106" s="367">
        <v>45841.58333333333</v>
      </c>
      <c r="G2106" s="364" t="s">
        <v>1185</v>
      </c>
      <c r="H2106" s="364" t="s">
        <v>1205</v>
      </c>
    </row>
    <row r="2107" ht="15.75" customHeight="1">
      <c r="A2107" s="364" t="s">
        <v>70</v>
      </c>
      <c r="B2107" s="364" t="s">
        <v>23</v>
      </c>
      <c r="C2107" s="365" t="s">
        <v>474</v>
      </c>
      <c r="D2107" s="364" t="s">
        <v>475</v>
      </c>
      <c r="E2107" s="366">
        <v>2.0</v>
      </c>
      <c r="F2107" s="367">
        <v>45853.41666666667</v>
      </c>
      <c r="G2107" s="364" t="s">
        <v>1185</v>
      </c>
      <c r="H2107" s="364" t="s">
        <v>1205</v>
      </c>
    </row>
    <row r="2108" ht="15.75" customHeight="1">
      <c r="A2108" s="364" t="s">
        <v>70</v>
      </c>
      <c r="B2108" s="364" t="s">
        <v>23</v>
      </c>
      <c r="C2108" s="365" t="s">
        <v>474</v>
      </c>
      <c r="D2108" s="364" t="s">
        <v>475</v>
      </c>
      <c r="E2108" s="366">
        <v>3.0</v>
      </c>
      <c r="F2108" s="367">
        <v>45882.625</v>
      </c>
      <c r="G2108" s="364" t="s">
        <v>1185</v>
      </c>
      <c r="H2108" s="364" t="s">
        <v>1205</v>
      </c>
    </row>
    <row r="2109" ht="15.75" customHeight="1">
      <c r="A2109" s="364" t="s">
        <v>70</v>
      </c>
      <c r="B2109" s="364" t="s">
        <v>23</v>
      </c>
      <c r="C2109" s="365" t="s">
        <v>474</v>
      </c>
      <c r="D2109" s="364" t="s">
        <v>475</v>
      </c>
      <c r="E2109" s="366">
        <v>4.0</v>
      </c>
      <c r="F2109" s="367">
        <v>45889.625</v>
      </c>
      <c r="G2109" s="364" t="s">
        <v>1185</v>
      </c>
      <c r="H2109" s="364" t="s">
        <v>1205</v>
      </c>
    </row>
    <row r="2110" ht="15.75" customHeight="1">
      <c r="A2110" s="364" t="s">
        <v>70</v>
      </c>
      <c r="B2110" s="364" t="s">
        <v>23</v>
      </c>
      <c r="C2110" s="365" t="s">
        <v>474</v>
      </c>
      <c r="D2110" s="364" t="s">
        <v>475</v>
      </c>
      <c r="E2110" s="366">
        <v>5.0</v>
      </c>
      <c r="F2110" s="367">
        <v>45917.625</v>
      </c>
      <c r="G2110" s="364" t="s">
        <v>1185</v>
      </c>
      <c r="H2110" s="364" t="s">
        <v>1205</v>
      </c>
    </row>
    <row r="2111" ht="15.75" customHeight="1">
      <c r="A2111" s="364" t="s">
        <v>70</v>
      </c>
      <c r="B2111" s="364" t="s">
        <v>23</v>
      </c>
      <c r="C2111" s="365" t="s">
        <v>474</v>
      </c>
      <c r="D2111" s="364" t="s">
        <v>475</v>
      </c>
      <c r="E2111" s="366">
        <v>6.0</v>
      </c>
      <c r="F2111" s="367">
        <v>45924.625</v>
      </c>
      <c r="G2111" s="364" t="s">
        <v>1185</v>
      </c>
      <c r="H2111" s="364" t="s">
        <v>1205</v>
      </c>
    </row>
    <row r="2112" ht="15.75" customHeight="1">
      <c r="A2112" s="364" t="s">
        <v>70</v>
      </c>
      <c r="B2112" s="364" t="s">
        <v>23</v>
      </c>
      <c r="C2112" s="365" t="s">
        <v>474</v>
      </c>
      <c r="D2112" s="364" t="s">
        <v>475</v>
      </c>
      <c r="E2112" s="366">
        <v>7.0</v>
      </c>
      <c r="F2112" s="367">
        <v>45931.625</v>
      </c>
      <c r="G2112" s="364" t="s">
        <v>1185</v>
      </c>
      <c r="H2112" s="364" t="s">
        <v>1205</v>
      </c>
    </row>
    <row r="2113" ht="15.75" customHeight="1">
      <c r="A2113" s="364" t="s">
        <v>70</v>
      </c>
      <c r="B2113" s="364" t="s">
        <v>23</v>
      </c>
      <c r="C2113" s="365" t="s">
        <v>464</v>
      </c>
      <c r="D2113" s="364" t="s">
        <v>465</v>
      </c>
      <c r="E2113" s="366">
        <v>1.0</v>
      </c>
      <c r="F2113" s="367">
        <v>45841.58333333333</v>
      </c>
      <c r="G2113" s="364" t="s">
        <v>1185</v>
      </c>
      <c r="H2113" s="364" t="s">
        <v>1205</v>
      </c>
    </row>
    <row r="2114" ht="15.75" customHeight="1">
      <c r="A2114" s="364" t="s">
        <v>70</v>
      </c>
      <c r="B2114" s="364" t="s">
        <v>23</v>
      </c>
      <c r="C2114" s="365" t="s">
        <v>464</v>
      </c>
      <c r="D2114" s="364" t="s">
        <v>465</v>
      </c>
      <c r="E2114" s="366">
        <v>2.0</v>
      </c>
      <c r="F2114" s="367">
        <v>45853.41666666667</v>
      </c>
      <c r="G2114" s="364" t="s">
        <v>1185</v>
      </c>
      <c r="H2114" s="364" t="s">
        <v>1205</v>
      </c>
    </row>
    <row r="2115" ht="15.75" customHeight="1">
      <c r="A2115" s="364" t="s">
        <v>70</v>
      </c>
      <c r="B2115" s="364" t="s">
        <v>23</v>
      </c>
      <c r="C2115" s="365" t="s">
        <v>464</v>
      </c>
      <c r="D2115" s="364" t="s">
        <v>465</v>
      </c>
      <c r="E2115" s="366">
        <v>3.0</v>
      </c>
      <c r="F2115" s="367">
        <v>45882.625</v>
      </c>
      <c r="G2115" s="364" t="s">
        <v>1185</v>
      </c>
      <c r="H2115" s="364" t="s">
        <v>1205</v>
      </c>
    </row>
    <row r="2116" ht="15.75" customHeight="1">
      <c r="A2116" s="364" t="s">
        <v>70</v>
      </c>
      <c r="B2116" s="364" t="s">
        <v>23</v>
      </c>
      <c r="C2116" s="365" t="s">
        <v>464</v>
      </c>
      <c r="D2116" s="364" t="s">
        <v>465</v>
      </c>
      <c r="E2116" s="366">
        <v>4.0</v>
      </c>
      <c r="F2116" s="367">
        <v>45889.625</v>
      </c>
      <c r="G2116" s="364" t="s">
        <v>1185</v>
      </c>
      <c r="H2116" s="364" t="s">
        <v>1205</v>
      </c>
    </row>
    <row r="2117" ht="15.75" customHeight="1">
      <c r="A2117" s="364" t="s">
        <v>70</v>
      </c>
      <c r="B2117" s="364" t="s">
        <v>23</v>
      </c>
      <c r="C2117" s="365" t="s">
        <v>464</v>
      </c>
      <c r="D2117" s="364" t="s">
        <v>465</v>
      </c>
      <c r="E2117" s="366">
        <v>5.0</v>
      </c>
      <c r="F2117" s="367">
        <v>45917.625</v>
      </c>
      <c r="G2117" s="364" t="s">
        <v>1185</v>
      </c>
      <c r="H2117" s="364" t="s">
        <v>1205</v>
      </c>
    </row>
    <row r="2118" ht="15.75" customHeight="1">
      <c r="A2118" s="364" t="s">
        <v>70</v>
      </c>
      <c r="B2118" s="364" t="s">
        <v>23</v>
      </c>
      <c r="C2118" s="365" t="s">
        <v>464</v>
      </c>
      <c r="D2118" s="364" t="s">
        <v>465</v>
      </c>
      <c r="E2118" s="366">
        <v>6.0</v>
      </c>
      <c r="F2118" s="367">
        <v>45924.625</v>
      </c>
      <c r="G2118" s="364" t="s">
        <v>1185</v>
      </c>
      <c r="H2118" s="364" t="s">
        <v>1205</v>
      </c>
    </row>
    <row r="2119" ht="15.75" customHeight="1">
      <c r="A2119" s="364" t="s">
        <v>70</v>
      </c>
      <c r="B2119" s="364" t="s">
        <v>23</v>
      </c>
      <c r="C2119" s="365" t="s">
        <v>464</v>
      </c>
      <c r="D2119" s="364" t="s">
        <v>465</v>
      </c>
      <c r="E2119" s="366">
        <v>7.0</v>
      </c>
      <c r="F2119" s="367">
        <v>45931.625</v>
      </c>
      <c r="G2119" s="364" t="s">
        <v>1185</v>
      </c>
      <c r="H2119" s="364" t="s">
        <v>1205</v>
      </c>
    </row>
    <row r="2120" ht="15.75" customHeight="1">
      <c r="A2120" s="364" t="s">
        <v>70</v>
      </c>
      <c r="B2120" s="364" t="s">
        <v>23</v>
      </c>
      <c r="C2120" s="365" t="s">
        <v>565</v>
      </c>
      <c r="D2120" s="364" t="s">
        <v>566</v>
      </c>
      <c r="E2120" s="366">
        <v>1.0</v>
      </c>
      <c r="F2120" s="367">
        <v>45841.58333333333</v>
      </c>
      <c r="G2120" s="364" t="s">
        <v>1185</v>
      </c>
      <c r="H2120" s="364" t="s">
        <v>1205</v>
      </c>
    </row>
    <row r="2121" ht="15.75" customHeight="1">
      <c r="A2121" s="364" t="s">
        <v>70</v>
      </c>
      <c r="B2121" s="364" t="s">
        <v>23</v>
      </c>
      <c r="C2121" s="365" t="s">
        <v>565</v>
      </c>
      <c r="D2121" s="364" t="s">
        <v>566</v>
      </c>
      <c r="E2121" s="366">
        <v>2.0</v>
      </c>
      <c r="F2121" s="367">
        <v>45853.41666666667</v>
      </c>
      <c r="G2121" s="364" t="s">
        <v>1185</v>
      </c>
      <c r="H2121" s="364" t="s">
        <v>1205</v>
      </c>
    </row>
    <row r="2122" ht="15.75" customHeight="1">
      <c r="A2122" s="364" t="s">
        <v>70</v>
      </c>
      <c r="B2122" s="364" t="s">
        <v>23</v>
      </c>
      <c r="C2122" s="365" t="s">
        <v>565</v>
      </c>
      <c r="D2122" s="364" t="s">
        <v>566</v>
      </c>
      <c r="E2122" s="366">
        <v>3.0</v>
      </c>
      <c r="F2122" s="367">
        <v>45882.625</v>
      </c>
      <c r="G2122" s="364" t="s">
        <v>1187</v>
      </c>
      <c r="H2122" s="364" t="s">
        <v>1205</v>
      </c>
    </row>
    <row r="2123" ht="15.75" customHeight="1">
      <c r="A2123" s="364" t="s">
        <v>70</v>
      </c>
      <c r="B2123" s="364" t="s">
        <v>23</v>
      </c>
      <c r="C2123" s="365" t="s">
        <v>565</v>
      </c>
      <c r="D2123" s="364" t="s">
        <v>566</v>
      </c>
      <c r="E2123" s="366">
        <v>4.0</v>
      </c>
      <c r="F2123" s="367">
        <v>45889.625</v>
      </c>
      <c r="G2123" s="364" t="s">
        <v>1185</v>
      </c>
      <c r="H2123" s="364" t="s">
        <v>1205</v>
      </c>
    </row>
    <row r="2124" ht="15.75" customHeight="1">
      <c r="A2124" s="364" t="s">
        <v>70</v>
      </c>
      <c r="B2124" s="364" t="s">
        <v>23</v>
      </c>
      <c r="C2124" s="365" t="s">
        <v>565</v>
      </c>
      <c r="D2124" s="364" t="s">
        <v>566</v>
      </c>
      <c r="E2124" s="366">
        <v>5.0</v>
      </c>
      <c r="F2124" s="367">
        <v>45917.625</v>
      </c>
      <c r="G2124" s="364" t="s">
        <v>1185</v>
      </c>
      <c r="H2124" s="364" t="s">
        <v>1205</v>
      </c>
    </row>
    <row r="2125" ht="15.75" customHeight="1">
      <c r="A2125" s="364" t="s">
        <v>70</v>
      </c>
      <c r="B2125" s="364" t="s">
        <v>23</v>
      </c>
      <c r="C2125" s="365" t="s">
        <v>565</v>
      </c>
      <c r="D2125" s="364" t="s">
        <v>566</v>
      </c>
      <c r="E2125" s="366">
        <v>6.0</v>
      </c>
      <c r="F2125" s="367">
        <v>45924.625</v>
      </c>
      <c r="G2125" s="364" t="s">
        <v>1185</v>
      </c>
      <c r="H2125" s="364" t="s">
        <v>1205</v>
      </c>
    </row>
    <row r="2126" ht="15.75" customHeight="1">
      <c r="A2126" s="364" t="s">
        <v>70</v>
      </c>
      <c r="B2126" s="364" t="s">
        <v>23</v>
      </c>
      <c r="C2126" s="365" t="s">
        <v>565</v>
      </c>
      <c r="D2126" s="364" t="s">
        <v>566</v>
      </c>
      <c r="E2126" s="366">
        <v>7.0</v>
      </c>
      <c r="F2126" s="367">
        <v>45931.625</v>
      </c>
      <c r="G2126" s="364" t="s">
        <v>1187</v>
      </c>
      <c r="H2126" s="364" t="s">
        <v>1205</v>
      </c>
    </row>
    <row r="2127" ht="15.75" customHeight="1">
      <c r="A2127" s="364" t="s">
        <v>70</v>
      </c>
      <c r="B2127" s="364" t="s">
        <v>23</v>
      </c>
      <c r="C2127" s="365" t="s">
        <v>472</v>
      </c>
      <c r="D2127" s="364" t="s">
        <v>473</v>
      </c>
      <c r="E2127" s="366">
        <v>1.0</v>
      </c>
      <c r="F2127" s="367">
        <v>45841.58333333333</v>
      </c>
      <c r="G2127" s="364" t="s">
        <v>1185</v>
      </c>
      <c r="H2127" s="364" t="s">
        <v>1205</v>
      </c>
    </row>
    <row r="2128" ht="15.75" customHeight="1">
      <c r="A2128" s="364" t="s">
        <v>70</v>
      </c>
      <c r="B2128" s="364" t="s">
        <v>23</v>
      </c>
      <c r="C2128" s="365" t="s">
        <v>472</v>
      </c>
      <c r="D2128" s="364" t="s">
        <v>473</v>
      </c>
      <c r="E2128" s="366">
        <v>2.0</v>
      </c>
      <c r="F2128" s="367">
        <v>45853.41666666667</v>
      </c>
      <c r="G2128" s="364" t="s">
        <v>1185</v>
      </c>
      <c r="H2128" s="364" t="s">
        <v>1205</v>
      </c>
    </row>
    <row r="2129" ht="15.75" customHeight="1">
      <c r="A2129" s="364" t="s">
        <v>70</v>
      </c>
      <c r="B2129" s="364" t="s">
        <v>23</v>
      </c>
      <c r="C2129" s="365" t="s">
        <v>472</v>
      </c>
      <c r="D2129" s="364" t="s">
        <v>473</v>
      </c>
      <c r="E2129" s="366">
        <v>3.0</v>
      </c>
      <c r="F2129" s="367">
        <v>45882.625</v>
      </c>
      <c r="G2129" s="364" t="s">
        <v>1185</v>
      </c>
      <c r="H2129" s="364" t="s">
        <v>1205</v>
      </c>
    </row>
    <row r="2130" ht="15.75" customHeight="1">
      <c r="A2130" s="364" t="s">
        <v>70</v>
      </c>
      <c r="B2130" s="364" t="s">
        <v>23</v>
      </c>
      <c r="C2130" s="365" t="s">
        <v>472</v>
      </c>
      <c r="D2130" s="364" t="s">
        <v>473</v>
      </c>
      <c r="E2130" s="366">
        <v>4.0</v>
      </c>
      <c r="F2130" s="367">
        <v>45889.625</v>
      </c>
      <c r="G2130" s="364" t="s">
        <v>1185</v>
      </c>
      <c r="H2130" s="364" t="s">
        <v>1205</v>
      </c>
    </row>
    <row r="2131" ht="15.75" customHeight="1">
      <c r="A2131" s="364" t="s">
        <v>70</v>
      </c>
      <c r="B2131" s="364" t="s">
        <v>23</v>
      </c>
      <c r="C2131" s="365" t="s">
        <v>472</v>
      </c>
      <c r="D2131" s="364" t="s">
        <v>473</v>
      </c>
      <c r="E2131" s="366">
        <v>5.0</v>
      </c>
      <c r="F2131" s="367">
        <v>45917.625</v>
      </c>
      <c r="G2131" s="364" t="s">
        <v>1185</v>
      </c>
      <c r="H2131" s="364" t="s">
        <v>1205</v>
      </c>
    </row>
    <row r="2132" ht="15.75" customHeight="1">
      <c r="A2132" s="364" t="s">
        <v>70</v>
      </c>
      <c r="B2132" s="364" t="s">
        <v>23</v>
      </c>
      <c r="C2132" s="365" t="s">
        <v>472</v>
      </c>
      <c r="D2132" s="364" t="s">
        <v>473</v>
      </c>
      <c r="E2132" s="366">
        <v>6.0</v>
      </c>
      <c r="F2132" s="367">
        <v>45924.625</v>
      </c>
      <c r="G2132" s="364" t="s">
        <v>1185</v>
      </c>
      <c r="H2132" s="364" t="s">
        <v>1205</v>
      </c>
    </row>
    <row r="2133" ht="15.75" customHeight="1">
      <c r="A2133" s="364" t="s">
        <v>70</v>
      </c>
      <c r="B2133" s="364" t="s">
        <v>23</v>
      </c>
      <c r="C2133" s="365" t="s">
        <v>472</v>
      </c>
      <c r="D2133" s="364" t="s">
        <v>473</v>
      </c>
      <c r="E2133" s="366">
        <v>7.0</v>
      </c>
      <c r="F2133" s="367">
        <v>45931.625</v>
      </c>
      <c r="G2133" s="364" t="s">
        <v>1185</v>
      </c>
      <c r="H2133" s="364" t="s">
        <v>1205</v>
      </c>
    </row>
    <row r="2134" ht="15.75" customHeight="1">
      <c r="A2134" s="364" t="s">
        <v>71</v>
      </c>
      <c r="B2134" s="364" t="s">
        <v>25</v>
      </c>
      <c r="C2134" s="365" t="s">
        <v>591</v>
      </c>
      <c r="D2134" s="364" t="s">
        <v>592</v>
      </c>
      <c r="E2134" s="366">
        <v>1.0</v>
      </c>
      <c r="F2134" s="367">
        <v>45713.58333333333</v>
      </c>
      <c r="G2134" s="364" t="s">
        <v>1185</v>
      </c>
      <c r="H2134" s="364" t="s">
        <v>1206</v>
      </c>
    </row>
    <row r="2135" ht="15.75" customHeight="1">
      <c r="A2135" s="364" t="s">
        <v>71</v>
      </c>
      <c r="B2135" s="364" t="s">
        <v>25</v>
      </c>
      <c r="C2135" s="365" t="s">
        <v>591</v>
      </c>
      <c r="D2135" s="364" t="s">
        <v>592</v>
      </c>
      <c r="E2135" s="366">
        <v>2.0</v>
      </c>
      <c r="F2135" s="367">
        <v>45827.45833333333</v>
      </c>
      <c r="G2135" s="364" t="s">
        <v>1185</v>
      </c>
      <c r="H2135" s="364" t="s">
        <v>1206</v>
      </c>
    </row>
    <row r="2136" ht="15.75" customHeight="1">
      <c r="A2136" s="364" t="s">
        <v>71</v>
      </c>
      <c r="B2136" s="364" t="s">
        <v>25</v>
      </c>
      <c r="C2136" s="365" t="s">
        <v>591</v>
      </c>
      <c r="D2136" s="364" t="s">
        <v>592</v>
      </c>
      <c r="E2136" s="366">
        <v>3.0</v>
      </c>
      <c r="F2136" s="367">
        <v>45833.625</v>
      </c>
      <c r="G2136" s="364" t="s">
        <v>1185</v>
      </c>
      <c r="H2136" s="364" t="s">
        <v>1206</v>
      </c>
    </row>
    <row r="2137" ht="15.75" customHeight="1">
      <c r="A2137" s="364" t="s">
        <v>71</v>
      </c>
      <c r="B2137" s="364" t="s">
        <v>25</v>
      </c>
      <c r="C2137" s="365" t="s">
        <v>591</v>
      </c>
      <c r="D2137" s="364" t="s">
        <v>592</v>
      </c>
      <c r="E2137" s="366">
        <v>4.0</v>
      </c>
      <c r="F2137" s="367">
        <v>45853.625</v>
      </c>
      <c r="G2137" s="364" t="s">
        <v>1185</v>
      </c>
      <c r="H2137" s="364" t="s">
        <v>1206</v>
      </c>
    </row>
    <row r="2138" ht="15.75" customHeight="1">
      <c r="A2138" s="364" t="s">
        <v>71</v>
      </c>
      <c r="B2138" s="364" t="s">
        <v>25</v>
      </c>
      <c r="C2138" s="365" t="s">
        <v>591</v>
      </c>
      <c r="D2138" s="364" t="s">
        <v>592</v>
      </c>
      <c r="E2138" s="366">
        <v>5.0</v>
      </c>
      <c r="F2138" s="367">
        <v>45869.375</v>
      </c>
      <c r="G2138" s="364" t="s">
        <v>1185</v>
      </c>
      <c r="H2138" s="364" t="s">
        <v>1206</v>
      </c>
    </row>
    <row r="2139" ht="15.75" customHeight="1">
      <c r="A2139" s="364" t="s">
        <v>71</v>
      </c>
      <c r="B2139" s="364" t="s">
        <v>25</v>
      </c>
      <c r="C2139" s="365" t="s">
        <v>591</v>
      </c>
      <c r="D2139" s="364" t="s">
        <v>592</v>
      </c>
      <c r="E2139" s="366">
        <v>6.0</v>
      </c>
      <c r="F2139" s="367">
        <v>45882.45833333333</v>
      </c>
      <c r="G2139" s="364" t="s">
        <v>1185</v>
      </c>
      <c r="H2139" s="364" t="s">
        <v>1206</v>
      </c>
    </row>
    <row r="2140" ht="15.75" customHeight="1">
      <c r="A2140" s="364" t="s">
        <v>71</v>
      </c>
      <c r="B2140" s="364" t="s">
        <v>25</v>
      </c>
      <c r="C2140" s="365" t="s">
        <v>591</v>
      </c>
      <c r="D2140" s="364" t="s">
        <v>592</v>
      </c>
      <c r="E2140" s="366">
        <v>7.0</v>
      </c>
      <c r="F2140" s="367">
        <v>45896.625</v>
      </c>
      <c r="G2140" s="364" t="s">
        <v>1187</v>
      </c>
      <c r="H2140" s="364" t="s">
        <v>1206</v>
      </c>
    </row>
    <row r="2141" ht="15.75" customHeight="1">
      <c r="A2141" s="364" t="s">
        <v>71</v>
      </c>
      <c r="B2141" s="364" t="s">
        <v>25</v>
      </c>
      <c r="C2141" s="365" t="s">
        <v>591</v>
      </c>
      <c r="D2141" s="364" t="s">
        <v>592</v>
      </c>
      <c r="E2141" s="366">
        <v>8.0</v>
      </c>
      <c r="F2141" s="367">
        <v>45917.375</v>
      </c>
      <c r="G2141" s="364" t="s">
        <v>1185</v>
      </c>
      <c r="H2141" s="364" t="s">
        <v>1206</v>
      </c>
    </row>
    <row r="2142" ht="15.75" customHeight="1">
      <c r="A2142" s="364" t="s">
        <v>71</v>
      </c>
      <c r="B2142" s="364" t="s">
        <v>25</v>
      </c>
      <c r="C2142" s="365" t="s">
        <v>591</v>
      </c>
      <c r="D2142" s="364" t="s">
        <v>592</v>
      </c>
      <c r="E2142" s="366">
        <v>9.0</v>
      </c>
      <c r="F2142" s="367">
        <v>45924.41666666667</v>
      </c>
      <c r="G2142" s="364" t="s">
        <v>1185</v>
      </c>
      <c r="H2142" s="364" t="s">
        <v>1206</v>
      </c>
    </row>
    <row r="2143" ht="15.75" customHeight="1">
      <c r="A2143" s="364" t="s">
        <v>71</v>
      </c>
      <c r="B2143" s="364" t="s">
        <v>25</v>
      </c>
      <c r="C2143" s="365" t="s">
        <v>591</v>
      </c>
      <c r="D2143" s="364" t="s">
        <v>592</v>
      </c>
      <c r="E2143" s="366">
        <v>10.0</v>
      </c>
      <c r="F2143" s="367">
        <v>45952.45833333333</v>
      </c>
      <c r="G2143" s="364" t="s">
        <v>1185</v>
      </c>
      <c r="H2143" s="364" t="s">
        <v>1206</v>
      </c>
    </row>
    <row r="2144" ht="15.75" customHeight="1">
      <c r="A2144" s="364" t="s">
        <v>71</v>
      </c>
      <c r="B2144" s="364" t="s">
        <v>25</v>
      </c>
      <c r="C2144" s="365" t="s">
        <v>591</v>
      </c>
      <c r="D2144" s="364" t="s">
        <v>592</v>
      </c>
      <c r="E2144" s="366">
        <v>11.0</v>
      </c>
      <c r="F2144" s="367">
        <v>45981.625</v>
      </c>
      <c r="G2144" s="364" t="s">
        <v>1185</v>
      </c>
      <c r="H2144" s="364" t="s">
        <v>1206</v>
      </c>
    </row>
    <row r="2145" ht="15.75" customHeight="1">
      <c r="A2145" s="364" t="s">
        <v>71</v>
      </c>
      <c r="B2145" s="364" t="s">
        <v>25</v>
      </c>
      <c r="C2145" s="365" t="s">
        <v>591</v>
      </c>
      <c r="D2145" s="364" t="s">
        <v>592</v>
      </c>
      <c r="E2145" s="366">
        <v>12.0</v>
      </c>
      <c r="F2145" s="367">
        <v>45987.45833333333</v>
      </c>
      <c r="G2145" s="364" t="s">
        <v>1187</v>
      </c>
      <c r="H2145" s="364" t="s">
        <v>1206</v>
      </c>
    </row>
    <row r="2146" ht="15.75" customHeight="1">
      <c r="A2146" s="364" t="s">
        <v>71</v>
      </c>
      <c r="B2146" s="364" t="s">
        <v>25</v>
      </c>
      <c r="C2146" s="365" t="s">
        <v>591</v>
      </c>
      <c r="D2146" s="364" t="s">
        <v>592</v>
      </c>
      <c r="E2146" s="366">
        <v>13.0</v>
      </c>
      <c r="F2146" s="367">
        <v>45994.45833333333</v>
      </c>
      <c r="G2146" s="364" t="s">
        <v>1185</v>
      </c>
      <c r="H2146" s="364" t="s">
        <v>1206</v>
      </c>
    </row>
    <row r="2147" ht="15.75" customHeight="1">
      <c r="A2147" s="364" t="s">
        <v>71</v>
      </c>
      <c r="B2147" s="364" t="s">
        <v>25</v>
      </c>
      <c r="C2147" s="365" t="s">
        <v>591</v>
      </c>
      <c r="D2147" s="364" t="s">
        <v>592</v>
      </c>
      <c r="E2147" s="366">
        <v>14.0</v>
      </c>
      <c r="F2147" s="367">
        <v>46008.45833333333</v>
      </c>
      <c r="G2147" s="364" t="s">
        <v>1185</v>
      </c>
      <c r="H2147" s="364" t="s">
        <v>1206</v>
      </c>
    </row>
    <row r="2148" ht="15.75" customHeight="1">
      <c r="A2148" s="364" t="s">
        <v>71</v>
      </c>
      <c r="B2148" s="364" t="s">
        <v>25</v>
      </c>
      <c r="C2148" s="365" t="s">
        <v>591</v>
      </c>
      <c r="D2148" s="364" t="s">
        <v>592</v>
      </c>
      <c r="E2148" s="366">
        <v>15.0</v>
      </c>
      <c r="F2148" s="367">
        <v>46050.54166666667</v>
      </c>
      <c r="G2148" s="364" t="s">
        <v>1185</v>
      </c>
      <c r="H2148" s="364" t="s">
        <v>1206</v>
      </c>
    </row>
    <row r="2149" ht="15.75" customHeight="1">
      <c r="A2149" s="364" t="s">
        <v>71</v>
      </c>
      <c r="B2149" s="364" t="s">
        <v>25</v>
      </c>
      <c r="C2149" s="365" t="s">
        <v>591</v>
      </c>
      <c r="D2149" s="364" t="s">
        <v>592</v>
      </c>
      <c r="E2149" s="366">
        <v>16.0</v>
      </c>
      <c r="F2149" s="367">
        <v>46057.54166666667</v>
      </c>
      <c r="G2149" s="364" t="s">
        <v>1185</v>
      </c>
      <c r="H2149" s="364" t="s">
        <v>1206</v>
      </c>
    </row>
    <row r="2150" ht="15.75" customHeight="1">
      <c r="A2150" s="364" t="s">
        <v>71</v>
      </c>
      <c r="B2150" s="364" t="s">
        <v>25</v>
      </c>
      <c r="C2150" s="365" t="s">
        <v>593</v>
      </c>
      <c r="D2150" s="364" t="s">
        <v>594</v>
      </c>
      <c r="E2150" s="366">
        <v>1.0</v>
      </c>
      <c r="F2150" s="367">
        <v>45713.58333333333</v>
      </c>
      <c r="G2150" s="364" t="s">
        <v>1187</v>
      </c>
      <c r="H2150" s="364" t="s">
        <v>1206</v>
      </c>
    </row>
    <row r="2151" ht="15.75" customHeight="1">
      <c r="A2151" s="364" t="s">
        <v>71</v>
      </c>
      <c r="B2151" s="364" t="s">
        <v>25</v>
      </c>
      <c r="C2151" s="365" t="s">
        <v>593</v>
      </c>
      <c r="D2151" s="364" t="s">
        <v>594</v>
      </c>
      <c r="E2151" s="366">
        <v>2.0</v>
      </c>
      <c r="F2151" s="367">
        <v>45827.45833333333</v>
      </c>
      <c r="G2151" s="364" t="s">
        <v>1187</v>
      </c>
      <c r="H2151" s="364" t="s">
        <v>1206</v>
      </c>
    </row>
    <row r="2152" ht="15.75" customHeight="1">
      <c r="A2152" s="364" t="s">
        <v>71</v>
      </c>
      <c r="B2152" s="364" t="s">
        <v>25</v>
      </c>
      <c r="C2152" s="365" t="s">
        <v>593</v>
      </c>
      <c r="D2152" s="364" t="s">
        <v>594</v>
      </c>
      <c r="E2152" s="366">
        <v>3.0</v>
      </c>
      <c r="F2152" s="367">
        <v>45833.625</v>
      </c>
      <c r="G2152" s="364" t="s">
        <v>1185</v>
      </c>
      <c r="H2152" s="364" t="s">
        <v>1206</v>
      </c>
    </row>
    <row r="2153" ht="15.75" customHeight="1">
      <c r="A2153" s="364" t="s">
        <v>71</v>
      </c>
      <c r="B2153" s="364" t="s">
        <v>25</v>
      </c>
      <c r="C2153" s="365" t="s">
        <v>593</v>
      </c>
      <c r="D2153" s="364" t="s">
        <v>594</v>
      </c>
      <c r="E2153" s="366">
        <v>4.0</v>
      </c>
      <c r="F2153" s="367">
        <v>45853.625</v>
      </c>
      <c r="G2153" s="364" t="s">
        <v>1185</v>
      </c>
      <c r="H2153" s="364" t="s">
        <v>1206</v>
      </c>
    </row>
    <row r="2154" ht="15.75" customHeight="1">
      <c r="A2154" s="364" t="s">
        <v>71</v>
      </c>
      <c r="B2154" s="364" t="s">
        <v>25</v>
      </c>
      <c r="C2154" s="365" t="s">
        <v>593</v>
      </c>
      <c r="D2154" s="364" t="s">
        <v>594</v>
      </c>
      <c r="E2154" s="366">
        <v>5.0</v>
      </c>
      <c r="F2154" s="367">
        <v>45869.375</v>
      </c>
      <c r="G2154" s="364" t="s">
        <v>1185</v>
      </c>
      <c r="H2154" s="364" t="s">
        <v>1206</v>
      </c>
    </row>
    <row r="2155" ht="15.75" customHeight="1">
      <c r="A2155" s="364" t="s">
        <v>71</v>
      </c>
      <c r="B2155" s="364" t="s">
        <v>25</v>
      </c>
      <c r="C2155" s="365" t="s">
        <v>593</v>
      </c>
      <c r="D2155" s="364" t="s">
        <v>594</v>
      </c>
      <c r="E2155" s="366">
        <v>6.0</v>
      </c>
      <c r="F2155" s="367">
        <v>45882.45833333333</v>
      </c>
      <c r="G2155" s="364" t="s">
        <v>1185</v>
      </c>
      <c r="H2155" s="364" t="s">
        <v>1206</v>
      </c>
    </row>
    <row r="2156" ht="15.75" customHeight="1">
      <c r="A2156" s="364" t="s">
        <v>71</v>
      </c>
      <c r="B2156" s="364" t="s">
        <v>25</v>
      </c>
      <c r="C2156" s="365" t="s">
        <v>593</v>
      </c>
      <c r="D2156" s="364" t="s">
        <v>594</v>
      </c>
      <c r="E2156" s="366">
        <v>7.0</v>
      </c>
      <c r="F2156" s="367">
        <v>45896.625</v>
      </c>
      <c r="G2156" s="364" t="s">
        <v>1185</v>
      </c>
      <c r="H2156" s="364" t="s">
        <v>1206</v>
      </c>
    </row>
    <row r="2157" ht="15.75" customHeight="1">
      <c r="A2157" s="364" t="s">
        <v>71</v>
      </c>
      <c r="B2157" s="364" t="s">
        <v>25</v>
      </c>
      <c r="C2157" s="365" t="s">
        <v>593</v>
      </c>
      <c r="D2157" s="364" t="s">
        <v>594</v>
      </c>
      <c r="E2157" s="366">
        <v>8.0</v>
      </c>
      <c r="F2157" s="367">
        <v>45917.375</v>
      </c>
      <c r="G2157" s="364" t="s">
        <v>1185</v>
      </c>
      <c r="H2157" s="364" t="s">
        <v>1206</v>
      </c>
    </row>
    <row r="2158" ht="15.75" customHeight="1">
      <c r="A2158" s="364" t="s">
        <v>71</v>
      </c>
      <c r="B2158" s="364" t="s">
        <v>25</v>
      </c>
      <c r="C2158" s="365" t="s">
        <v>593</v>
      </c>
      <c r="D2158" s="364" t="s">
        <v>594</v>
      </c>
      <c r="E2158" s="366">
        <v>9.0</v>
      </c>
      <c r="F2158" s="367">
        <v>45924.41666666667</v>
      </c>
      <c r="G2158" s="364" t="s">
        <v>1185</v>
      </c>
      <c r="H2158" s="364" t="s">
        <v>1206</v>
      </c>
    </row>
    <row r="2159" ht="15.75" customHeight="1">
      <c r="A2159" s="364" t="s">
        <v>71</v>
      </c>
      <c r="B2159" s="364" t="s">
        <v>25</v>
      </c>
      <c r="C2159" s="365" t="s">
        <v>593</v>
      </c>
      <c r="D2159" s="364" t="s">
        <v>594</v>
      </c>
      <c r="E2159" s="366">
        <v>10.0</v>
      </c>
      <c r="F2159" s="367">
        <v>45952.45833333333</v>
      </c>
      <c r="G2159" s="364" t="s">
        <v>1185</v>
      </c>
      <c r="H2159" s="364" t="s">
        <v>1206</v>
      </c>
    </row>
    <row r="2160" ht="15.75" customHeight="1">
      <c r="A2160" s="364" t="s">
        <v>71</v>
      </c>
      <c r="B2160" s="364" t="s">
        <v>25</v>
      </c>
      <c r="C2160" s="365" t="s">
        <v>593</v>
      </c>
      <c r="D2160" s="364" t="s">
        <v>594</v>
      </c>
      <c r="E2160" s="366">
        <v>11.0</v>
      </c>
      <c r="F2160" s="367">
        <v>45981.625</v>
      </c>
      <c r="G2160" s="364" t="s">
        <v>1185</v>
      </c>
      <c r="H2160" s="364" t="s">
        <v>1206</v>
      </c>
    </row>
    <row r="2161" ht="15.75" customHeight="1">
      <c r="A2161" s="364" t="s">
        <v>71</v>
      </c>
      <c r="B2161" s="364" t="s">
        <v>25</v>
      </c>
      <c r="C2161" s="365" t="s">
        <v>593</v>
      </c>
      <c r="D2161" s="364" t="s">
        <v>594</v>
      </c>
      <c r="E2161" s="366">
        <v>12.0</v>
      </c>
      <c r="F2161" s="367">
        <v>45987.45833333333</v>
      </c>
      <c r="G2161" s="364" t="s">
        <v>1187</v>
      </c>
      <c r="H2161" s="364" t="s">
        <v>1206</v>
      </c>
    </row>
    <row r="2162" ht="15.75" customHeight="1">
      <c r="A2162" s="364" t="s">
        <v>71</v>
      </c>
      <c r="B2162" s="364" t="s">
        <v>25</v>
      </c>
      <c r="C2162" s="365" t="s">
        <v>593</v>
      </c>
      <c r="D2162" s="364" t="s">
        <v>594</v>
      </c>
      <c r="E2162" s="366">
        <v>13.0</v>
      </c>
      <c r="F2162" s="367">
        <v>45994.45833333333</v>
      </c>
      <c r="G2162" s="364" t="s">
        <v>1185</v>
      </c>
      <c r="H2162" s="364" t="s">
        <v>1206</v>
      </c>
    </row>
    <row r="2163" ht="15.75" customHeight="1">
      <c r="A2163" s="364" t="s">
        <v>71</v>
      </c>
      <c r="B2163" s="364" t="s">
        <v>25</v>
      </c>
      <c r="C2163" s="365" t="s">
        <v>593</v>
      </c>
      <c r="D2163" s="364" t="s">
        <v>594</v>
      </c>
      <c r="E2163" s="366">
        <v>14.0</v>
      </c>
      <c r="F2163" s="367">
        <v>46008.45833333333</v>
      </c>
      <c r="G2163" s="364" t="s">
        <v>1185</v>
      </c>
      <c r="H2163" s="364" t="s">
        <v>1206</v>
      </c>
    </row>
    <row r="2164" ht="15.75" customHeight="1">
      <c r="A2164" s="364" t="s">
        <v>71</v>
      </c>
      <c r="B2164" s="364" t="s">
        <v>25</v>
      </c>
      <c r="C2164" s="365" t="s">
        <v>593</v>
      </c>
      <c r="D2164" s="364" t="s">
        <v>594</v>
      </c>
      <c r="E2164" s="366">
        <v>15.0</v>
      </c>
      <c r="F2164" s="367">
        <v>46050.54166666667</v>
      </c>
      <c r="G2164" s="364" t="s">
        <v>1187</v>
      </c>
      <c r="H2164" s="364" t="s">
        <v>1206</v>
      </c>
    </row>
    <row r="2165" ht="15.75" customHeight="1">
      <c r="A2165" s="364" t="s">
        <v>71</v>
      </c>
      <c r="B2165" s="364" t="s">
        <v>25</v>
      </c>
      <c r="C2165" s="365" t="s">
        <v>593</v>
      </c>
      <c r="D2165" s="364" t="s">
        <v>594</v>
      </c>
      <c r="E2165" s="366">
        <v>16.0</v>
      </c>
      <c r="F2165" s="367">
        <v>46057.54166666667</v>
      </c>
      <c r="G2165" s="364" t="s">
        <v>1185</v>
      </c>
      <c r="H2165" s="364" t="s">
        <v>1206</v>
      </c>
    </row>
    <row r="2166" ht="15.75" customHeight="1">
      <c r="A2166" s="364" t="s">
        <v>71</v>
      </c>
      <c r="B2166" s="364" t="s">
        <v>25</v>
      </c>
      <c r="C2166" s="365" t="s">
        <v>595</v>
      </c>
      <c r="D2166" s="364" t="s">
        <v>596</v>
      </c>
      <c r="E2166" s="366">
        <v>1.0</v>
      </c>
      <c r="F2166" s="367">
        <v>45713.58333333333</v>
      </c>
      <c r="G2166" s="364" t="s">
        <v>1187</v>
      </c>
      <c r="H2166" s="364" t="s">
        <v>1206</v>
      </c>
    </row>
    <row r="2167" ht="15.75" customHeight="1">
      <c r="A2167" s="364" t="s">
        <v>71</v>
      </c>
      <c r="B2167" s="364" t="s">
        <v>25</v>
      </c>
      <c r="C2167" s="365" t="s">
        <v>595</v>
      </c>
      <c r="D2167" s="364" t="s">
        <v>596</v>
      </c>
      <c r="E2167" s="366">
        <v>2.0</v>
      </c>
      <c r="F2167" s="367">
        <v>45827.45833333333</v>
      </c>
      <c r="G2167" s="364" t="s">
        <v>1187</v>
      </c>
      <c r="H2167" s="364" t="s">
        <v>1206</v>
      </c>
    </row>
    <row r="2168" ht="15.75" customHeight="1">
      <c r="A2168" s="364" t="s">
        <v>71</v>
      </c>
      <c r="B2168" s="364" t="s">
        <v>25</v>
      </c>
      <c r="C2168" s="365" t="s">
        <v>595</v>
      </c>
      <c r="D2168" s="364" t="s">
        <v>596</v>
      </c>
      <c r="E2168" s="366">
        <v>3.0</v>
      </c>
      <c r="F2168" s="367">
        <v>45833.625</v>
      </c>
      <c r="G2168" s="364" t="s">
        <v>1187</v>
      </c>
      <c r="H2168" s="364" t="s">
        <v>1206</v>
      </c>
    </row>
    <row r="2169" ht="15.75" customHeight="1">
      <c r="A2169" s="364" t="s">
        <v>71</v>
      </c>
      <c r="B2169" s="364" t="s">
        <v>25</v>
      </c>
      <c r="C2169" s="365" t="s">
        <v>595</v>
      </c>
      <c r="D2169" s="364" t="s">
        <v>596</v>
      </c>
      <c r="E2169" s="366">
        <v>4.0</v>
      </c>
      <c r="F2169" s="367">
        <v>45853.625</v>
      </c>
      <c r="G2169" s="364" t="s">
        <v>1187</v>
      </c>
      <c r="H2169" s="364" t="s">
        <v>1206</v>
      </c>
    </row>
    <row r="2170" ht="15.75" customHeight="1">
      <c r="A2170" s="364" t="s">
        <v>71</v>
      </c>
      <c r="B2170" s="364" t="s">
        <v>25</v>
      </c>
      <c r="C2170" s="365" t="s">
        <v>595</v>
      </c>
      <c r="D2170" s="364" t="s">
        <v>596</v>
      </c>
      <c r="E2170" s="366">
        <v>5.0</v>
      </c>
      <c r="F2170" s="367">
        <v>45869.375</v>
      </c>
      <c r="G2170" s="364" t="s">
        <v>1185</v>
      </c>
      <c r="H2170" s="364" t="s">
        <v>1206</v>
      </c>
    </row>
    <row r="2171" ht="15.75" customHeight="1">
      <c r="A2171" s="364" t="s">
        <v>71</v>
      </c>
      <c r="B2171" s="364" t="s">
        <v>25</v>
      </c>
      <c r="C2171" s="365" t="s">
        <v>595</v>
      </c>
      <c r="D2171" s="364" t="s">
        <v>596</v>
      </c>
      <c r="E2171" s="366">
        <v>6.0</v>
      </c>
      <c r="F2171" s="367">
        <v>45882.45833333333</v>
      </c>
      <c r="G2171" s="364" t="s">
        <v>1185</v>
      </c>
      <c r="H2171" s="364" t="s">
        <v>1206</v>
      </c>
    </row>
    <row r="2172" ht="15.75" customHeight="1">
      <c r="A2172" s="364" t="s">
        <v>71</v>
      </c>
      <c r="B2172" s="364" t="s">
        <v>25</v>
      </c>
      <c r="C2172" s="365" t="s">
        <v>595</v>
      </c>
      <c r="D2172" s="364" t="s">
        <v>596</v>
      </c>
      <c r="E2172" s="366">
        <v>7.0</v>
      </c>
      <c r="F2172" s="367">
        <v>45896.625</v>
      </c>
      <c r="G2172" s="364" t="s">
        <v>1187</v>
      </c>
      <c r="H2172" s="364" t="s">
        <v>1206</v>
      </c>
    </row>
    <row r="2173" ht="15.75" customHeight="1">
      <c r="A2173" s="364" t="s">
        <v>71</v>
      </c>
      <c r="B2173" s="364" t="s">
        <v>25</v>
      </c>
      <c r="C2173" s="365" t="s">
        <v>595</v>
      </c>
      <c r="D2173" s="364" t="s">
        <v>596</v>
      </c>
      <c r="E2173" s="366">
        <v>8.0</v>
      </c>
      <c r="F2173" s="367">
        <v>45917.375</v>
      </c>
      <c r="G2173" s="364" t="s">
        <v>1185</v>
      </c>
      <c r="H2173" s="364" t="s">
        <v>1206</v>
      </c>
    </row>
    <row r="2174" ht="15.75" customHeight="1">
      <c r="A2174" s="364" t="s">
        <v>71</v>
      </c>
      <c r="B2174" s="364" t="s">
        <v>25</v>
      </c>
      <c r="C2174" s="365" t="s">
        <v>595</v>
      </c>
      <c r="D2174" s="364" t="s">
        <v>596</v>
      </c>
      <c r="E2174" s="366">
        <v>9.0</v>
      </c>
      <c r="F2174" s="367">
        <v>45924.41666666667</v>
      </c>
      <c r="G2174" s="364" t="s">
        <v>1185</v>
      </c>
      <c r="H2174" s="364" t="s">
        <v>1206</v>
      </c>
    </row>
    <row r="2175" ht="15.75" customHeight="1">
      <c r="A2175" s="364" t="s">
        <v>71</v>
      </c>
      <c r="B2175" s="364" t="s">
        <v>25</v>
      </c>
      <c r="C2175" s="365" t="s">
        <v>595</v>
      </c>
      <c r="D2175" s="364" t="s">
        <v>596</v>
      </c>
      <c r="E2175" s="366">
        <v>10.0</v>
      </c>
      <c r="F2175" s="367">
        <v>45952.45833333333</v>
      </c>
      <c r="G2175" s="364" t="s">
        <v>1185</v>
      </c>
      <c r="H2175" s="364" t="s">
        <v>1206</v>
      </c>
    </row>
    <row r="2176" ht="15.75" customHeight="1">
      <c r="A2176" s="364" t="s">
        <v>71</v>
      </c>
      <c r="B2176" s="364" t="s">
        <v>25</v>
      </c>
      <c r="C2176" s="365" t="s">
        <v>595</v>
      </c>
      <c r="D2176" s="364" t="s">
        <v>596</v>
      </c>
      <c r="E2176" s="366">
        <v>11.0</v>
      </c>
      <c r="F2176" s="367">
        <v>45981.625</v>
      </c>
      <c r="G2176" s="364" t="s">
        <v>1187</v>
      </c>
      <c r="H2176" s="364" t="s">
        <v>1206</v>
      </c>
    </row>
    <row r="2177" ht="15.75" customHeight="1">
      <c r="A2177" s="364" t="s">
        <v>71</v>
      </c>
      <c r="B2177" s="364" t="s">
        <v>25</v>
      </c>
      <c r="C2177" s="365" t="s">
        <v>595</v>
      </c>
      <c r="D2177" s="364" t="s">
        <v>596</v>
      </c>
      <c r="E2177" s="366">
        <v>12.0</v>
      </c>
      <c r="F2177" s="367">
        <v>45987.45833333333</v>
      </c>
      <c r="G2177" s="364" t="s">
        <v>1185</v>
      </c>
      <c r="H2177" s="364" t="s">
        <v>1206</v>
      </c>
    </row>
    <row r="2178" ht="15.75" customHeight="1">
      <c r="A2178" s="364" t="s">
        <v>71</v>
      </c>
      <c r="B2178" s="364" t="s">
        <v>25</v>
      </c>
      <c r="C2178" s="365" t="s">
        <v>595</v>
      </c>
      <c r="D2178" s="364" t="s">
        <v>596</v>
      </c>
      <c r="E2178" s="366">
        <v>13.0</v>
      </c>
      <c r="F2178" s="367">
        <v>45994.45833333333</v>
      </c>
      <c r="G2178" s="364" t="s">
        <v>1185</v>
      </c>
      <c r="H2178" s="364" t="s">
        <v>1206</v>
      </c>
    </row>
    <row r="2179" ht="15.75" customHeight="1">
      <c r="A2179" s="364" t="s">
        <v>71</v>
      </c>
      <c r="B2179" s="364" t="s">
        <v>25</v>
      </c>
      <c r="C2179" s="365" t="s">
        <v>595</v>
      </c>
      <c r="D2179" s="364" t="s">
        <v>596</v>
      </c>
      <c r="E2179" s="366">
        <v>14.0</v>
      </c>
      <c r="F2179" s="367">
        <v>46008.45833333333</v>
      </c>
      <c r="G2179" s="364" t="s">
        <v>1185</v>
      </c>
      <c r="H2179" s="364" t="s">
        <v>1206</v>
      </c>
    </row>
    <row r="2180" ht="15.75" customHeight="1">
      <c r="A2180" s="364" t="s">
        <v>71</v>
      </c>
      <c r="B2180" s="364" t="s">
        <v>25</v>
      </c>
      <c r="C2180" s="365" t="s">
        <v>595</v>
      </c>
      <c r="D2180" s="364" t="s">
        <v>596</v>
      </c>
      <c r="E2180" s="366">
        <v>15.0</v>
      </c>
      <c r="F2180" s="367">
        <v>46050.54166666667</v>
      </c>
      <c r="G2180" s="364" t="s">
        <v>1185</v>
      </c>
      <c r="H2180" s="364" t="s">
        <v>1206</v>
      </c>
    </row>
    <row r="2181" ht="15.75" customHeight="1">
      <c r="A2181" s="364" t="s">
        <v>71</v>
      </c>
      <c r="B2181" s="364" t="s">
        <v>25</v>
      </c>
      <c r="C2181" s="365" t="s">
        <v>595</v>
      </c>
      <c r="D2181" s="364" t="s">
        <v>596</v>
      </c>
      <c r="E2181" s="366">
        <v>16.0</v>
      </c>
      <c r="F2181" s="367">
        <v>46057.54166666667</v>
      </c>
      <c r="G2181" s="364" t="s">
        <v>1185</v>
      </c>
      <c r="H2181" s="364" t="s">
        <v>1206</v>
      </c>
    </row>
    <row r="2182" ht="15.75" customHeight="1">
      <c r="A2182" s="364" t="s">
        <v>71</v>
      </c>
      <c r="B2182" s="364" t="s">
        <v>25</v>
      </c>
      <c r="C2182" s="365" t="s">
        <v>597</v>
      </c>
      <c r="D2182" s="364" t="s">
        <v>598</v>
      </c>
      <c r="E2182" s="366">
        <v>1.0</v>
      </c>
      <c r="F2182" s="367">
        <v>45713.58333333333</v>
      </c>
      <c r="G2182" s="364" t="s">
        <v>1185</v>
      </c>
      <c r="H2182" s="364" t="s">
        <v>1206</v>
      </c>
    </row>
    <row r="2183" ht="15.75" customHeight="1">
      <c r="A2183" s="364" t="s">
        <v>71</v>
      </c>
      <c r="B2183" s="364" t="s">
        <v>25</v>
      </c>
      <c r="C2183" s="365" t="s">
        <v>597</v>
      </c>
      <c r="D2183" s="364" t="s">
        <v>598</v>
      </c>
      <c r="E2183" s="366">
        <v>2.0</v>
      </c>
      <c r="F2183" s="367">
        <v>45827.45833333333</v>
      </c>
      <c r="G2183" s="364" t="s">
        <v>1185</v>
      </c>
      <c r="H2183" s="364" t="s">
        <v>1206</v>
      </c>
    </row>
    <row r="2184" ht="15.75" customHeight="1">
      <c r="A2184" s="364" t="s">
        <v>71</v>
      </c>
      <c r="B2184" s="364" t="s">
        <v>25</v>
      </c>
      <c r="C2184" s="365" t="s">
        <v>597</v>
      </c>
      <c r="D2184" s="364" t="s">
        <v>598</v>
      </c>
      <c r="E2184" s="366">
        <v>3.0</v>
      </c>
      <c r="F2184" s="367">
        <v>45833.625</v>
      </c>
      <c r="G2184" s="364" t="s">
        <v>1185</v>
      </c>
      <c r="H2184" s="364" t="s">
        <v>1206</v>
      </c>
    </row>
    <row r="2185" ht="15.75" customHeight="1">
      <c r="A2185" s="364" t="s">
        <v>71</v>
      </c>
      <c r="B2185" s="364" t="s">
        <v>25</v>
      </c>
      <c r="C2185" s="365" t="s">
        <v>597</v>
      </c>
      <c r="D2185" s="364" t="s">
        <v>598</v>
      </c>
      <c r="E2185" s="366">
        <v>4.0</v>
      </c>
      <c r="F2185" s="367">
        <v>45853.625</v>
      </c>
      <c r="G2185" s="364" t="s">
        <v>1185</v>
      </c>
      <c r="H2185" s="364" t="s">
        <v>1206</v>
      </c>
    </row>
    <row r="2186" ht="15.75" customHeight="1">
      <c r="A2186" s="364" t="s">
        <v>71</v>
      </c>
      <c r="B2186" s="364" t="s">
        <v>25</v>
      </c>
      <c r="C2186" s="365" t="s">
        <v>597</v>
      </c>
      <c r="D2186" s="364" t="s">
        <v>598</v>
      </c>
      <c r="E2186" s="366">
        <v>5.0</v>
      </c>
      <c r="F2186" s="367">
        <v>45869.375</v>
      </c>
      <c r="G2186" s="364" t="s">
        <v>1185</v>
      </c>
      <c r="H2186" s="364" t="s">
        <v>1206</v>
      </c>
    </row>
    <row r="2187" ht="15.75" customHeight="1">
      <c r="A2187" s="364" t="s">
        <v>71</v>
      </c>
      <c r="B2187" s="364" t="s">
        <v>25</v>
      </c>
      <c r="C2187" s="365" t="s">
        <v>597</v>
      </c>
      <c r="D2187" s="364" t="s">
        <v>598</v>
      </c>
      <c r="E2187" s="366">
        <v>6.0</v>
      </c>
      <c r="F2187" s="367">
        <v>45882.45833333333</v>
      </c>
      <c r="G2187" s="364" t="s">
        <v>1185</v>
      </c>
      <c r="H2187" s="364" t="s">
        <v>1206</v>
      </c>
    </row>
    <row r="2188" ht="15.75" customHeight="1">
      <c r="A2188" s="364" t="s">
        <v>71</v>
      </c>
      <c r="B2188" s="364" t="s">
        <v>25</v>
      </c>
      <c r="C2188" s="365" t="s">
        <v>597</v>
      </c>
      <c r="D2188" s="364" t="s">
        <v>598</v>
      </c>
      <c r="E2188" s="366">
        <v>7.0</v>
      </c>
      <c r="F2188" s="367">
        <v>45896.625</v>
      </c>
      <c r="G2188" s="364" t="s">
        <v>1185</v>
      </c>
      <c r="H2188" s="364" t="s">
        <v>1206</v>
      </c>
    </row>
    <row r="2189" ht="15.75" customHeight="1">
      <c r="A2189" s="364" t="s">
        <v>71</v>
      </c>
      <c r="B2189" s="364" t="s">
        <v>25</v>
      </c>
      <c r="C2189" s="365" t="s">
        <v>597</v>
      </c>
      <c r="D2189" s="364" t="s">
        <v>598</v>
      </c>
      <c r="E2189" s="366">
        <v>8.0</v>
      </c>
      <c r="F2189" s="367">
        <v>45917.375</v>
      </c>
      <c r="G2189" s="364" t="s">
        <v>1185</v>
      </c>
      <c r="H2189" s="364" t="s">
        <v>1206</v>
      </c>
    </row>
    <row r="2190" ht="15.75" customHeight="1">
      <c r="A2190" s="364" t="s">
        <v>71</v>
      </c>
      <c r="B2190" s="364" t="s">
        <v>25</v>
      </c>
      <c r="C2190" s="365" t="s">
        <v>597</v>
      </c>
      <c r="D2190" s="364" t="s">
        <v>598</v>
      </c>
      <c r="E2190" s="366">
        <v>9.0</v>
      </c>
      <c r="F2190" s="367">
        <v>45924.41666666667</v>
      </c>
      <c r="G2190" s="364" t="s">
        <v>1185</v>
      </c>
      <c r="H2190" s="364" t="s">
        <v>1206</v>
      </c>
    </row>
    <row r="2191" ht="15.75" customHeight="1">
      <c r="A2191" s="364" t="s">
        <v>71</v>
      </c>
      <c r="B2191" s="364" t="s">
        <v>25</v>
      </c>
      <c r="C2191" s="365" t="s">
        <v>597</v>
      </c>
      <c r="D2191" s="364" t="s">
        <v>598</v>
      </c>
      <c r="E2191" s="366">
        <v>10.0</v>
      </c>
      <c r="F2191" s="367">
        <v>45952.45833333333</v>
      </c>
      <c r="G2191" s="364" t="s">
        <v>1185</v>
      </c>
      <c r="H2191" s="364" t="s">
        <v>1206</v>
      </c>
    </row>
    <row r="2192" ht="15.75" customHeight="1">
      <c r="A2192" s="364" t="s">
        <v>71</v>
      </c>
      <c r="B2192" s="364" t="s">
        <v>25</v>
      </c>
      <c r="C2192" s="365" t="s">
        <v>597</v>
      </c>
      <c r="D2192" s="364" t="s">
        <v>598</v>
      </c>
      <c r="E2192" s="366">
        <v>11.0</v>
      </c>
      <c r="F2192" s="367">
        <v>45981.625</v>
      </c>
      <c r="G2192" s="364" t="s">
        <v>1187</v>
      </c>
      <c r="H2192" s="364" t="s">
        <v>1206</v>
      </c>
    </row>
    <row r="2193" ht="15.75" customHeight="1">
      <c r="A2193" s="364" t="s">
        <v>71</v>
      </c>
      <c r="B2193" s="364" t="s">
        <v>25</v>
      </c>
      <c r="C2193" s="365" t="s">
        <v>597</v>
      </c>
      <c r="D2193" s="364" t="s">
        <v>598</v>
      </c>
      <c r="E2193" s="366">
        <v>12.0</v>
      </c>
      <c r="F2193" s="367">
        <v>45987.45833333333</v>
      </c>
      <c r="G2193" s="364" t="s">
        <v>1185</v>
      </c>
      <c r="H2193" s="364" t="s">
        <v>1206</v>
      </c>
    </row>
    <row r="2194" ht="15.75" customHeight="1">
      <c r="A2194" s="364" t="s">
        <v>71</v>
      </c>
      <c r="B2194" s="364" t="s">
        <v>25</v>
      </c>
      <c r="C2194" s="365" t="s">
        <v>597</v>
      </c>
      <c r="D2194" s="364" t="s">
        <v>598</v>
      </c>
      <c r="E2194" s="366">
        <v>13.0</v>
      </c>
      <c r="F2194" s="367">
        <v>45994.45833333333</v>
      </c>
      <c r="G2194" s="364" t="s">
        <v>1185</v>
      </c>
      <c r="H2194" s="364" t="s">
        <v>1206</v>
      </c>
    </row>
    <row r="2195" ht="15.75" customHeight="1">
      <c r="A2195" s="364" t="s">
        <v>71</v>
      </c>
      <c r="B2195" s="364" t="s">
        <v>25</v>
      </c>
      <c r="C2195" s="365" t="s">
        <v>597</v>
      </c>
      <c r="D2195" s="364" t="s">
        <v>598</v>
      </c>
      <c r="E2195" s="366">
        <v>14.0</v>
      </c>
      <c r="F2195" s="367">
        <v>46008.45833333333</v>
      </c>
      <c r="G2195" s="364" t="s">
        <v>1185</v>
      </c>
      <c r="H2195" s="364" t="s">
        <v>1206</v>
      </c>
    </row>
    <row r="2196" ht="15.75" customHeight="1">
      <c r="A2196" s="364" t="s">
        <v>71</v>
      </c>
      <c r="B2196" s="364" t="s">
        <v>25</v>
      </c>
      <c r="C2196" s="365" t="s">
        <v>597</v>
      </c>
      <c r="D2196" s="364" t="s">
        <v>598</v>
      </c>
      <c r="E2196" s="366">
        <v>15.0</v>
      </c>
      <c r="F2196" s="367">
        <v>46050.54166666667</v>
      </c>
      <c r="G2196" s="364" t="s">
        <v>1185</v>
      </c>
      <c r="H2196" s="364" t="s">
        <v>1206</v>
      </c>
    </row>
    <row r="2197" ht="15.75" customHeight="1">
      <c r="A2197" s="364" t="s">
        <v>71</v>
      </c>
      <c r="B2197" s="364" t="s">
        <v>25</v>
      </c>
      <c r="C2197" s="365" t="s">
        <v>597</v>
      </c>
      <c r="D2197" s="364" t="s">
        <v>598</v>
      </c>
      <c r="E2197" s="366">
        <v>16.0</v>
      </c>
      <c r="F2197" s="367">
        <v>46057.54166666667</v>
      </c>
      <c r="G2197" s="364" t="s">
        <v>1185</v>
      </c>
      <c r="H2197" s="364" t="s">
        <v>1206</v>
      </c>
    </row>
    <row r="2198" ht="15.75" customHeight="1">
      <c r="A2198" s="364" t="s">
        <v>71</v>
      </c>
      <c r="B2198" s="364" t="s">
        <v>25</v>
      </c>
      <c r="C2198" s="365" t="s">
        <v>599</v>
      </c>
      <c r="D2198" s="364" t="s">
        <v>600</v>
      </c>
      <c r="E2198" s="366">
        <v>1.0</v>
      </c>
      <c r="F2198" s="367">
        <v>45713.58333333333</v>
      </c>
      <c r="G2198" s="364" t="s">
        <v>1185</v>
      </c>
      <c r="H2198" s="364" t="s">
        <v>1206</v>
      </c>
    </row>
    <row r="2199" ht="15.75" customHeight="1">
      <c r="A2199" s="364" t="s">
        <v>71</v>
      </c>
      <c r="B2199" s="364" t="s">
        <v>25</v>
      </c>
      <c r="C2199" s="365" t="s">
        <v>599</v>
      </c>
      <c r="D2199" s="364" t="s">
        <v>600</v>
      </c>
      <c r="E2199" s="366">
        <v>2.0</v>
      </c>
      <c r="F2199" s="367">
        <v>45827.45833333333</v>
      </c>
      <c r="G2199" s="364" t="s">
        <v>1185</v>
      </c>
      <c r="H2199" s="364" t="s">
        <v>1206</v>
      </c>
    </row>
    <row r="2200" ht="15.75" customHeight="1">
      <c r="A2200" s="364" t="s">
        <v>71</v>
      </c>
      <c r="B2200" s="364" t="s">
        <v>25</v>
      </c>
      <c r="C2200" s="365" t="s">
        <v>599</v>
      </c>
      <c r="D2200" s="364" t="s">
        <v>600</v>
      </c>
      <c r="E2200" s="366">
        <v>3.0</v>
      </c>
      <c r="F2200" s="367">
        <v>45833.625</v>
      </c>
      <c r="G2200" s="364" t="s">
        <v>1185</v>
      </c>
      <c r="H2200" s="364" t="s">
        <v>1206</v>
      </c>
    </row>
    <row r="2201" ht="15.75" customHeight="1">
      <c r="A2201" s="364" t="s">
        <v>71</v>
      </c>
      <c r="B2201" s="364" t="s">
        <v>25</v>
      </c>
      <c r="C2201" s="365" t="s">
        <v>599</v>
      </c>
      <c r="D2201" s="364" t="s">
        <v>600</v>
      </c>
      <c r="E2201" s="366">
        <v>4.0</v>
      </c>
      <c r="F2201" s="367">
        <v>45853.625</v>
      </c>
      <c r="G2201" s="364" t="s">
        <v>1185</v>
      </c>
      <c r="H2201" s="364" t="s">
        <v>1206</v>
      </c>
    </row>
    <row r="2202" ht="15.75" customHeight="1">
      <c r="A2202" s="364" t="s">
        <v>71</v>
      </c>
      <c r="B2202" s="364" t="s">
        <v>25</v>
      </c>
      <c r="C2202" s="365" t="s">
        <v>599</v>
      </c>
      <c r="D2202" s="364" t="s">
        <v>600</v>
      </c>
      <c r="E2202" s="366">
        <v>5.0</v>
      </c>
      <c r="F2202" s="367">
        <v>45869.375</v>
      </c>
      <c r="G2202" s="364" t="s">
        <v>1185</v>
      </c>
      <c r="H2202" s="364" t="s">
        <v>1206</v>
      </c>
    </row>
    <row r="2203" ht="15.75" customHeight="1">
      <c r="A2203" s="364" t="s">
        <v>71</v>
      </c>
      <c r="B2203" s="364" t="s">
        <v>25</v>
      </c>
      <c r="C2203" s="365" t="s">
        <v>599</v>
      </c>
      <c r="D2203" s="364" t="s">
        <v>600</v>
      </c>
      <c r="E2203" s="366">
        <v>6.0</v>
      </c>
      <c r="F2203" s="367">
        <v>45882.45833333333</v>
      </c>
      <c r="G2203" s="364" t="s">
        <v>1185</v>
      </c>
      <c r="H2203" s="364" t="s">
        <v>1206</v>
      </c>
    </row>
    <row r="2204" ht="15.75" customHeight="1">
      <c r="A2204" s="364" t="s">
        <v>71</v>
      </c>
      <c r="B2204" s="364" t="s">
        <v>25</v>
      </c>
      <c r="C2204" s="365" t="s">
        <v>599</v>
      </c>
      <c r="D2204" s="364" t="s">
        <v>600</v>
      </c>
      <c r="E2204" s="366">
        <v>7.0</v>
      </c>
      <c r="F2204" s="367">
        <v>45896.625</v>
      </c>
      <c r="G2204" s="364" t="s">
        <v>1187</v>
      </c>
      <c r="H2204" s="364" t="s">
        <v>1206</v>
      </c>
    </row>
    <row r="2205" ht="15.75" customHeight="1">
      <c r="A2205" s="364" t="s">
        <v>71</v>
      </c>
      <c r="B2205" s="364" t="s">
        <v>25</v>
      </c>
      <c r="C2205" s="365" t="s">
        <v>599</v>
      </c>
      <c r="D2205" s="364" t="s">
        <v>600</v>
      </c>
      <c r="E2205" s="366">
        <v>8.0</v>
      </c>
      <c r="F2205" s="367">
        <v>45917.375</v>
      </c>
      <c r="G2205" s="364" t="s">
        <v>1185</v>
      </c>
      <c r="H2205" s="364" t="s">
        <v>1206</v>
      </c>
    </row>
    <row r="2206" ht="15.75" customHeight="1">
      <c r="A2206" s="364" t="s">
        <v>71</v>
      </c>
      <c r="B2206" s="364" t="s">
        <v>25</v>
      </c>
      <c r="C2206" s="365" t="s">
        <v>599</v>
      </c>
      <c r="D2206" s="364" t="s">
        <v>600</v>
      </c>
      <c r="E2206" s="366">
        <v>9.0</v>
      </c>
      <c r="F2206" s="367">
        <v>45924.41666666667</v>
      </c>
      <c r="G2206" s="364" t="s">
        <v>1185</v>
      </c>
      <c r="H2206" s="364" t="s">
        <v>1206</v>
      </c>
    </row>
    <row r="2207" ht="15.75" customHeight="1">
      <c r="A2207" s="364" t="s">
        <v>71</v>
      </c>
      <c r="B2207" s="364" t="s">
        <v>25</v>
      </c>
      <c r="C2207" s="365" t="s">
        <v>599</v>
      </c>
      <c r="D2207" s="364" t="s">
        <v>600</v>
      </c>
      <c r="E2207" s="366">
        <v>10.0</v>
      </c>
      <c r="F2207" s="367">
        <v>45952.45833333333</v>
      </c>
      <c r="G2207" s="364" t="s">
        <v>1185</v>
      </c>
      <c r="H2207" s="364" t="s">
        <v>1206</v>
      </c>
    </row>
    <row r="2208" ht="15.75" customHeight="1">
      <c r="A2208" s="364" t="s">
        <v>71</v>
      </c>
      <c r="B2208" s="364" t="s">
        <v>25</v>
      </c>
      <c r="C2208" s="365" t="s">
        <v>599</v>
      </c>
      <c r="D2208" s="364" t="s">
        <v>600</v>
      </c>
      <c r="E2208" s="366">
        <v>11.0</v>
      </c>
      <c r="F2208" s="367">
        <v>45981.625</v>
      </c>
      <c r="G2208" s="364" t="s">
        <v>1185</v>
      </c>
      <c r="H2208" s="364" t="s">
        <v>1206</v>
      </c>
    </row>
    <row r="2209" ht="15.75" customHeight="1">
      <c r="A2209" s="364" t="s">
        <v>71</v>
      </c>
      <c r="B2209" s="364" t="s">
        <v>25</v>
      </c>
      <c r="C2209" s="365" t="s">
        <v>599</v>
      </c>
      <c r="D2209" s="364" t="s">
        <v>600</v>
      </c>
      <c r="E2209" s="366">
        <v>12.0</v>
      </c>
      <c r="F2209" s="367">
        <v>45987.45833333333</v>
      </c>
      <c r="G2209" s="364" t="s">
        <v>1185</v>
      </c>
      <c r="H2209" s="364" t="s">
        <v>1206</v>
      </c>
    </row>
    <row r="2210" ht="15.75" customHeight="1">
      <c r="A2210" s="364" t="s">
        <v>71</v>
      </c>
      <c r="B2210" s="364" t="s">
        <v>25</v>
      </c>
      <c r="C2210" s="365" t="s">
        <v>599</v>
      </c>
      <c r="D2210" s="364" t="s">
        <v>600</v>
      </c>
      <c r="E2210" s="366">
        <v>13.0</v>
      </c>
      <c r="F2210" s="367">
        <v>45994.45833333333</v>
      </c>
      <c r="G2210" s="364" t="s">
        <v>1185</v>
      </c>
      <c r="H2210" s="364" t="s">
        <v>1206</v>
      </c>
    </row>
    <row r="2211" ht="15.75" customHeight="1">
      <c r="A2211" s="364" t="s">
        <v>71</v>
      </c>
      <c r="B2211" s="364" t="s">
        <v>25</v>
      </c>
      <c r="C2211" s="365" t="s">
        <v>599</v>
      </c>
      <c r="D2211" s="364" t="s">
        <v>600</v>
      </c>
      <c r="E2211" s="366">
        <v>14.0</v>
      </c>
      <c r="F2211" s="367">
        <v>46008.45833333333</v>
      </c>
      <c r="G2211" s="364" t="s">
        <v>1185</v>
      </c>
      <c r="H2211" s="364" t="s">
        <v>1206</v>
      </c>
    </row>
    <row r="2212" ht="15.75" customHeight="1">
      <c r="A2212" s="364" t="s">
        <v>71</v>
      </c>
      <c r="B2212" s="364" t="s">
        <v>25</v>
      </c>
      <c r="C2212" s="365" t="s">
        <v>599</v>
      </c>
      <c r="D2212" s="364" t="s">
        <v>600</v>
      </c>
      <c r="E2212" s="366">
        <v>15.0</v>
      </c>
      <c r="F2212" s="367">
        <v>46050.54166666667</v>
      </c>
      <c r="G2212" s="364" t="s">
        <v>1185</v>
      </c>
      <c r="H2212" s="364" t="s">
        <v>1206</v>
      </c>
    </row>
    <row r="2213" ht="15.75" customHeight="1">
      <c r="A2213" s="364" t="s">
        <v>71</v>
      </c>
      <c r="B2213" s="364" t="s">
        <v>25</v>
      </c>
      <c r="C2213" s="365" t="s">
        <v>599</v>
      </c>
      <c r="D2213" s="364" t="s">
        <v>600</v>
      </c>
      <c r="E2213" s="366">
        <v>16.0</v>
      </c>
      <c r="F2213" s="367">
        <v>46057.54166666667</v>
      </c>
      <c r="G2213" s="364" t="s">
        <v>1185</v>
      </c>
      <c r="H2213" s="364" t="s">
        <v>1206</v>
      </c>
    </row>
    <row r="2214" ht="15.75" customHeight="1">
      <c r="A2214" s="364" t="s">
        <v>71</v>
      </c>
      <c r="B2214" s="364" t="s">
        <v>25</v>
      </c>
      <c r="C2214" s="365" t="s">
        <v>601</v>
      </c>
      <c r="D2214" s="364" t="s">
        <v>602</v>
      </c>
      <c r="E2214" s="366">
        <v>1.0</v>
      </c>
      <c r="F2214" s="367">
        <v>45713.58333333333</v>
      </c>
      <c r="G2214" s="364" t="s">
        <v>1185</v>
      </c>
      <c r="H2214" s="364" t="s">
        <v>1206</v>
      </c>
    </row>
    <row r="2215" ht="15.75" customHeight="1">
      <c r="A2215" s="364" t="s">
        <v>71</v>
      </c>
      <c r="B2215" s="364" t="s">
        <v>25</v>
      </c>
      <c r="C2215" s="365" t="s">
        <v>601</v>
      </c>
      <c r="D2215" s="364" t="s">
        <v>602</v>
      </c>
      <c r="E2215" s="366">
        <v>2.0</v>
      </c>
      <c r="F2215" s="367">
        <v>45827.45833333333</v>
      </c>
      <c r="G2215" s="364" t="s">
        <v>1185</v>
      </c>
      <c r="H2215" s="364" t="s">
        <v>1206</v>
      </c>
    </row>
    <row r="2216" ht="15.75" customHeight="1">
      <c r="A2216" s="364" t="s">
        <v>71</v>
      </c>
      <c r="B2216" s="364" t="s">
        <v>25</v>
      </c>
      <c r="C2216" s="365" t="s">
        <v>601</v>
      </c>
      <c r="D2216" s="364" t="s">
        <v>602</v>
      </c>
      <c r="E2216" s="366">
        <v>3.0</v>
      </c>
      <c r="F2216" s="367">
        <v>45833.625</v>
      </c>
      <c r="G2216" s="364" t="s">
        <v>1185</v>
      </c>
      <c r="H2216" s="364" t="s">
        <v>1206</v>
      </c>
    </row>
    <row r="2217" ht="15.75" customHeight="1">
      <c r="A2217" s="364" t="s">
        <v>71</v>
      </c>
      <c r="B2217" s="364" t="s">
        <v>25</v>
      </c>
      <c r="C2217" s="365" t="s">
        <v>601</v>
      </c>
      <c r="D2217" s="364" t="s">
        <v>602</v>
      </c>
      <c r="E2217" s="366">
        <v>4.0</v>
      </c>
      <c r="F2217" s="367">
        <v>45853.625</v>
      </c>
      <c r="G2217" s="364" t="s">
        <v>1185</v>
      </c>
      <c r="H2217" s="364" t="s">
        <v>1206</v>
      </c>
    </row>
    <row r="2218" ht="15.75" customHeight="1">
      <c r="A2218" s="364" t="s">
        <v>71</v>
      </c>
      <c r="B2218" s="364" t="s">
        <v>25</v>
      </c>
      <c r="C2218" s="365" t="s">
        <v>601</v>
      </c>
      <c r="D2218" s="364" t="s">
        <v>602</v>
      </c>
      <c r="E2218" s="366">
        <v>5.0</v>
      </c>
      <c r="F2218" s="367">
        <v>45869.375</v>
      </c>
      <c r="G2218" s="364" t="s">
        <v>1185</v>
      </c>
      <c r="H2218" s="364" t="s">
        <v>1206</v>
      </c>
    </row>
    <row r="2219" ht="15.75" customHeight="1">
      <c r="A2219" s="364" t="s">
        <v>71</v>
      </c>
      <c r="B2219" s="364" t="s">
        <v>25</v>
      </c>
      <c r="C2219" s="365" t="s">
        <v>601</v>
      </c>
      <c r="D2219" s="364" t="s">
        <v>602</v>
      </c>
      <c r="E2219" s="366">
        <v>6.0</v>
      </c>
      <c r="F2219" s="367">
        <v>45882.45833333333</v>
      </c>
      <c r="G2219" s="364" t="s">
        <v>1185</v>
      </c>
      <c r="H2219" s="364" t="s">
        <v>1206</v>
      </c>
    </row>
    <row r="2220" ht="15.75" customHeight="1">
      <c r="A2220" s="364" t="s">
        <v>71</v>
      </c>
      <c r="B2220" s="364" t="s">
        <v>25</v>
      </c>
      <c r="C2220" s="365" t="s">
        <v>601</v>
      </c>
      <c r="D2220" s="364" t="s">
        <v>602</v>
      </c>
      <c r="E2220" s="366">
        <v>7.0</v>
      </c>
      <c r="F2220" s="367">
        <v>45896.625</v>
      </c>
      <c r="G2220" s="364" t="s">
        <v>1185</v>
      </c>
      <c r="H2220" s="364" t="s">
        <v>1206</v>
      </c>
    </row>
    <row r="2221" ht="15.75" customHeight="1">
      <c r="A2221" s="364" t="s">
        <v>71</v>
      </c>
      <c r="B2221" s="364" t="s">
        <v>25</v>
      </c>
      <c r="C2221" s="365" t="s">
        <v>601</v>
      </c>
      <c r="D2221" s="364" t="s">
        <v>602</v>
      </c>
      <c r="E2221" s="366">
        <v>8.0</v>
      </c>
      <c r="F2221" s="367">
        <v>45917.375</v>
      </c>
      <c r="G2221" s="364" t="s">
        <v>1185</v>
      </c>
      <c r="H2221" s="364" t="s">
        <v>1206</v>
      </c>
    </row>
    <row r="2222" ht="15.75" customHeight="1">
      <c r="A2222" s="364" t="s">
        <v>71</v>
      </c>
      <c r="B2222" s="364" t="s">
        <v>25</v>
      </c>
      <c r="C2222" s="365" t="s">
        <v>601</v>
      </c>
      <c r="D2222" s="364" t="s">
        <v>602</v>
      </c>
      <c r="E2222" s="366">
        <v>9.0</v>
      </c>
      <c r="F2222" s="367">
        <v>45924.41666666667</v>
      </c>
      <c r="G2222" s="364" t="s">
        <v>1185</v>
      </c>
      <c r="H2222" s="364" t="s">
        <v>1206</v>
      </c>
    </row>
    <row r="2223" ht="15.75" customHeight="1">
      <c r="A2223" s="364" t="s">
        <v>71</v>
      </c>
      <c r="B2223" s="364" t="s">
        <v>25</v>
      </c>
      <c r="C2223" s="365" t="s">
        <v>601</v>
      </c>
      <c r="D2223" s="364" t="s">
        <v>602</v>
      </c>
      <c r="E2223" s="366">
        <v>10.0</v>
      </c>
      <c r="F2223" s="367">
        <v>45952.45833333333</v>
      </c>
      <c r="G2223" s="364" t="s">
        <v>1187</v>
      </c>
      <c r="H2223" s="364" t="s">
        <v>1206</v>
      </c>
    </row>
    <row r="2224" ht="15.75" customHeight="1">
      <c r="A2224" s="364" t="s">
        <v>71</v>
      </c>
      <c r="B2224" s="364" t="s">
        <v>25</v>
      </c>
      <c r="C2224" s="365" t="s">
        <v>601</v>
      </c>
      <c r="D2224" s="364" t="s">
        <v>602</v>
      </c>
      <c r="E2224" s="366">
        <v>11.0</v>
      </c>
      <c r="F2224" s="367">
        <v>45981.625</v>
      </c>
      <c r="G2224" s="364" t="s">
        <v>1185</v>
      </c>
      <c r="H2224" s="364" t="s">
        <v>1206</v>
      </c>
    </row>
    <row r="2225" ht="15.75" customHeight="1">
      <c r="A2225" s="364" t="s">
        <v>71</v>
      </c>
      <c r="B2225" s="364" t="s">
        <v>25</v>
      </c>
      <c r="C2225" s="365" t="s">
        <v>601</v>
      </c>
      <c r="D2225" s="364" t="s">
        <v>602</v>
      </c>
      <c r="E2225" s="366">
        <v>12.0</v>
      </c>
      <c r="F2225" s="367">
        <v>45987.45833333333</v>
      </c>
      <c r="G2225" s="364" t="s">
        <v>1185</v>
      </c>
      <c r="H2225" s="364" t="s">
        <v>1206</v>
      </c>
    </row>
    <row r="2226" ht="15.75" customHeight="1">
      <c r="A2226" s="364" t="s">
        <v>71</v>
      </c>
      <c r="B2226" s="364" t="s">
        <v>25</v>
      </c>
      <c r="C2226" s="365" t="s">
        <v>601</v>
      </c>
      <c r="D2226" s="364" t="s">
        <v>602</v>
      </c>
      <c r="E2226" s="366">
        <v>13.0</v>
      </c>
      <c r="F2226" s="367">
        <v>45994.45833333333</v>
      </c>
      <c r="G2226" s="364" t="s">
        <v>1185</v>
      </c>
      <c r="H2226" s="364" t="s">
        <v>1206</v>
      </c>
    </row>
    <row r="2227" ht="15.75" customHeight="1">
      <c r="A2227" s="364" t="s">
        <v>71</v>
      </c>
      <c r="B2227" s="364" t="s">
        <v>25</v>
      </c>
      <c r="C2227" s="365" t="s">
        <v>601</v>
      </c>
      <c r="D2227" s="364" t="s">
        <v>602</v>
      </c>
      <c r="E2227" s="366">
        <v>14.0</v>
      </c>
      <c r="F2227" s="367">
        <v>46008.45833333333</v>
      </c>
      <c r="G2227" s="364" t="s">
        <v>1185</v>
      </c>
      <c r="H2227" s="364" t="s">
        <v>1206</v>
      </c>
    </row>
    <row r="2228" ht="15.75" customHeight="1">
      <c r="A2228" s="364" t="s">
        <v>71</v>
      </c>
      <c r="B2228" s="364" t="s">
        <v>25</v>
      </c>
      <c r="C2228" s="365" t="s">
        <v>601</v>
      </c>
      <c r="D2228" s="364" t="s">
        <v>602</v>
      </c>
      <c r="E2228" s="366">
        <v>15.0</v>
      </c>
      <c r="F2228" s="367">
        <v>46050.54166666667</v>
      </c>
      <c r="G2228" s="364" t="s">
        <v>1185</v>
      </c>
      <c r="H2228" s="364" t="s">
        <v>1206</v>
      </c>
    </row>
    <row r="2229" ht="15.75" customHeight="1">
      <c r="A2229" s="364" t="s">
        <v>71</v>
      </c>
      <c r="B2229" s="364" t="s">
        <v>25</v>
      </c>
      <c r="C2229" s="365" t="s">
        <v>601</v>
      </c>
      <c r="D2229" s="364" t="s">
        <v>602</v>
      </c>
      <c r="E2229" s="366">
        <v>16.0</v>
      </c>
      <c r="F2229" s="367">
        <v>46057.54166666667</v>
      </c>
      <c r="G2229" s="364" t="s">
        <v>1185</v>
      </c>
      <c r="H2229" s="364" t="s">
        <v>1206</v>
      </c>
    </row>
    <row r="2230" ht="15.75" customHeight="1">
      <c r="A2230" s="364" t="s">
        <v>71</v>
      </c>
      <c r="B2230" s="364" t="s">
        <v>25</v>
      </c>
      <c r="C2230" s="365" t="s">
        <v>603</v>
      </c>
      <c r="D2230" s="364" t="s">
        <v>604</v>
      </c>
      <c r="E2230" s="366">
        <v>1.0</v>
      </c>
      <c r="F2230" s="367">
        <v>45713.58333333333</v>
      </c>
      <c r="G2230" s="364" t="s">
        <v>1185</v>
      </c>
      <c r="H2230" s="364" t="s">
        <v>1206</v>
      </c>
    </row>
    <row r="2231" ht="15.75" customHeight="1">
      <c r="A2231" s="364" t="s">
        <v>71</v>
      </c>
      <c r="B2231" s="364" t="s">
        <v>25</v>
      </c>
      <c r="C2231" s="365" t="s">
        <v>603</v>
      </c>
      <c r="D2231" s="364" t="s">
        <v>604</v>
      </c>
      <c r="E2231" s="366">
        <v>2.0</v>
      </c>
      <c r="F2231" s="367">
        <v>45827.45833333333</v>
      </c>
      <c r="G2231" s="364" t="s">
        <v>1185</v>
      </c>
      <c r="H2231" s="364" t="s">
        <v>1206</v>
      </c>
    </row>
    <row r="2232" ht="15.75" customHeight="1">
      <c r="A2232" s="364" t="s">
        <v>71</v>
      </c>
      <c r="B2232" s="364" t="s">
        <v>25</v>
      </c>
      <c r="C2232" s="365" t="s">
        <v>603</v>
      </c>
      <c r="D2232" s="364" t="s">
        <v>604</v>
      </c>
      <c r="E2232" s="366">
        <v>3.0</v>
      </c>
      <c r="F2232" s="367">
        <v>45833.625</v>
      </c>
      <c r="G2232" s="364" t="s">
        <v>1185</v>
      </c>
      <c r="H2232" s="364" t="s">
        <v>1206</v>
      </c>
    </row>
    <row r="2233" ht="15.75" customHeight="1">
      <c r="A2233" s="364" t="s">
        <v>71</v>
      </c>
      <c r="B2233" s="364" t="s">
        <v>25</v>
      </c>
      <c r="C2233" s="365" t="s">
        <v>603</v>
      </c>
      <c r="D2233" s="364" t="s">
        <v>604</v>
      </c>
      <c r="E2233" s="366">
        <v>4.0</v>
      </c>
      <c r="F2233" s="367">
        <v>45853.625</v>
      </c>
      <c r="G2233" s="364" t="s">
        <v>1185</v>
      </c>
      <c r="H2233" s="364" t="s">
        <v>1206</v>
      </c>
    </row>
    <row r="2234" ht="15.75" customHeight="1">
      <c r="A2234" s="364" t="s">
        <v>71</v>
      </c>
      <c r="B2234" s="364" t="s">
        <v>25</v>
      </c>
      <c r="C2234" s="365" t="s">
        <v>603</v>
      </c>
      <c r="D2234" s="364" t="s">
        <v>604</v>
      </c>
      <c r="E2234" s="366">
        <v>5.0</v>
      </c>
      <c r="F2234" s="367">
        <v>45869.375</v>
      </c>
      <c r="G2234" s="364" t="s">
        <v>1185</v>
      </c>
      <c r="H2234" s="364" t="s">
        <v>1206</v>
      </c>
    </row>
    <row r="2235" ht="15.75" customHeight="1">
      <c r="A2235" s="364" t="s">
        <v>71</v>
      </c>
      <c r="B2235" s="364" t="s">
        <v>25</v>
      </c>
      <c r="C2235" s="365" t="s">
        <v>603</v>
      </c>
      <c r="D2235" s="364" t="s">
        <v>604</v>
      </c>
      <c r="E2235" s="366">
        <v>6.0</v>
      </c>
      <c r="F2235" s="367">
        <v>45882.45833333333</v>
      </c>
      <c r="G2235" s="364" t="s">
        <v>1185</v>
      </c>
      <c r="H2235" s="364" t="s">
        <v>1206</v>
      </c>
    </row>
    <row r="2236" ht="15.75" customHeight="1">
      <c r="A2236" s="364" t="s">
        <v>71</v>
      </c>
      <c r="B2236" s="364" t="s">
        <v>25</v>
      </c>
      <c r="C2236" s="365" t="s">
        <v>603</v>
      </c>
      <c r="D2236" s="364" t="s">
        <v>604</v>
      </c>
      <c r="E2236" s="366">
        <v>7.0</v>
      </c>
      <c r="F2236" s="367">
        <v>45896.625</v>
      </c>
      <c r="G2236" s="364" t="s">
        <v>1185</v>
      </c>
      <c r="H2236" s="364" t="s">
        <v>1206</v>
      </c>
    </row>
    <row r="2237" ht="15.75" customHeight="1">
      <c r="A2237" s="364" t="s">
        <v>71</v>
      </c>
      <c r="B2237" s="364" t="s">
        <v>25</v>
      </c>
      <c r="C2237" s="365" t="s">
        <v>603</v>
      </c>
      <c r="D2237" s="364" t="s">
        <v>604</v>
      </c>
      <c r="E2237" s="366">
        <v>8.0</v>
      </c>
      <c r="F2237" s="367">
        <v>45917.375</v>
      </c>
      <c r="G2237" s="364" t="s">
        <v>1185</v>
      </c>
      <c r="H2237" s="364" t="s">
        <v>1206</v>
      </c>
    </row>
    <row r="2238" ht="15.75" customHeight="1">
      <c r="A2238" s="364" t="s">
        <v>71</v>
      </c>
      <c r="B2238" s="364" t="s">
        <v>25</v>
      </c>
      <c r="C2238" s="365" t="s">
        <v>603</v>
      </c>
      <c r="D2238" s="364" t="s">
        <v>604</v>
      </c>
      <c r="E2238" s="366">
        <v>9.0</v>
      </c>
      <c r="F2238" s="367">
        <v>45924.41666666667</v>
      </c>
      <c r="G2238" s="364" t="s">
        <v>1185</v>
      </c>
      <c r="H2238" s="364" t="s">
        <v>1206</v>
      </c>
    </row>
    <row r="2239" ht="15.75" customHeight="1">
      <c r="A2239" s="364" t="s">
        <v>71</v>
      </c>
      <c r="B2239" s="364" t="s">
        <v>25</v>
      </c>
      <c r="C2239" s="365" t="s">
        <v>603</v>
      </c>
      <c r="D2239" s="364" t="s">
        <v>604</v>
      </c>
      <c r="E2239" s="366">
        <v>10.0</v>
      </c>
      <c r="F2239" s="367">
        <v>45952.45833333333</v>
      </c>
      <c r="G2239" s="364" t="s">
        <v>1185</v>
      </c>
      <c r="H2239" s="364" t="s">
        <v>1206</v>
      </c>
    </row>
    <row r="2240" ht="15.75" customHeight="1">
      <c r="A2240" s="364" t="s">
        <v>71</v>
      </c>
      <c r="B2240" s="364" t="s">
        <v>25</v>
      </c>
      <c r="C2240" s="365" t="s">
        <v>603</v>
      </c>
      <c r="D2240" s="364" t="s">
        <v>604</v>
      </c>
      <c r="E2240" s="366">
        <v>11.0</v>
      </c>
      <c r="F2240" s="367">
        <v>45981.625</v>
      </c>
      <c r="G2240" s="364" t="s">
        <v>1185</v>
      </c>
      <c r="H2240" s="364" t="s">
        <v>1206</v>
      </c>
    </row>
    <row r="2241" ht="15.75" customHeight="1">
      <c r="A2241" s="364" t="s">
        <v>71</v>
      </c>
      <c r="B2241" s="364" t="s">
        <v>25</v>
      </c>
      <c r="C2241" s="365" t="s">
        <v>603</v>
      </c>
      <c r="D2241" s="364" t="s">
        <v>604</v>
      </c>
      <c r="E2241" s="366">
        <v>12.0</v>
      </c>
      <c r="F2241" s="367">
        <v>45987.45833333333</v>
      </c>
      <c r="G2241" s="364" t="s">
        <v>1185</v>
      </c>
      <c r="H2241" s="364" t="s">
        <v>1206</v>
      </c>
    </row>
    <row r="2242" ht="15.75" customHeight="1">
      <c r="A2242" s="364" t="s">
        <v>71</v>
      </c>
      <c r="B2242" s="364" t="s">
        <v>25</v>
      </c>
      <c r="C2242" s="365" t="s">
        <v>603</v>
      </c>
      <c r="D2242" s="364" t="s">
        <v>604</v>
      </c>
      <c r="E2242" s="366">
        <v>13.0</v>
      </c>
      <c r="F2242" s="367">
        <v>45994.45833333333</v>
      </c>
      <c r="G2242" s="364" t="s">
        <v>1185</v>
      </c>
      <c r="H2242" s="364" t="s">
        <v>1206</v>
      </c>
    </row>
    <row r="2243" ht="15.75" customHeight="1">
      <c r="A2243" s="364" t="s">
        <v>71</v>
      </c>
      <c r="B2243" s="364" t="s">
        <v>25</v>
      </c>
      <c r="C2243" s="365" t="s">
        <v>603</v>
      </c>
      <c r="D2243" s="364" t="s">
        <v>604</v>
      </c>
      <c r="E2243" s="366">
        <v>14.0</v>
      </c>
      <c r="F2243" s="367">
        <v>46008.45833333333</v>
      </c>
      <c r="G2243" s="364" t="s">
        <v>1185</v>
      </c>
      <c r="H2243" s="364" t="s">
        <v>1206</v>
      </c>
    </row>
    <row r="2244" ht="15.75" customHeight="1">
      <c r="A2244" s="364" t="s">
        <v>71</v>
      </c>
      <c r="B2244" s="364" t="s">
        <v>25</v>
      </c>
      <c r="C2244" s="365" t="s">
        <v>603</v>
      </c>
      <c r="D2244" s="364" t="s">
        <v>604</v>
      </c>
      <c r="E2244" s="366">
        <v>15.0</v>
      </c>
      <c r="F2244" s="367">
        <v>46050.54166666667</v>
      </c>
      <c r="G2244" s="364" t="s">
        <v>1185</v>
      </c>
      <c r="H2244" s="364" t="s">
        <v>1206</v>
      </c>
    </row>
    <row r="2245" ht="15.75" customHeight="1">
      <c r="A2245" s="364" t="s">
        <v>71</v>
      </c>
      <c r="B2245" s="364" t="s">
        <v>25</v>
      </c>
      <c r="C2245" s="365" t="s">
        <v>603</v>
      </c>
      <c r="D2245" s="364" t="s">
        <v>604</v>
      </c>
      <c r="E2245" s="366">
        <v>16.0</v>
      </c>
      <c r="F2245" s="367">
        <v>46057.54166666667</v>
      </c>
      <c r="G2245" s="364" t="s">
        <v>1185</v>
      </c>
      <c r="H2245" s="364" t="s">
        <v>1206</v>
      </c>
    </row>
    <row r="2246" ht="15.75" customHeight="1">
      <c r="A2246" s="364" t="s">
        <v>72</v>
      </c>
      <c r="B2246" s="364" t="s">
        <v>22</v>
      </c>
      <c r="C2246" s="365" t="s">
        <v>653</v>
      </c>
      <c r="D2246" s="364" t="s">
        <v>654</v>
      </c>
      <c r="E2246" s="366">
        <v>1.0</v>
      </c>
      <c r="F2246" s="367">
        <v>45670.54166666667</v>
      </c>
      <c r="G2246" s="364" t="s">
        <v>1185</v>
      </c>
      <c r="H2246" s="364" t="s">
        <v>1207</v>
      </c>
    </row>
    <row r="2247" ht="15.75" customHeight="1">
      <c r="A2247" s="364" t="s">
        <v>72</v>
      </c>
      <c r="B2247" s="364" t="s">
        <v>22</v>
      </c>
      <c r="C2247" s="365" t="s">
        <v>653</v>
      </c>
      <c r="D2247" s="364" t="s">
        <v>654</v>
      </c>
      <c r="E2247" s="366">
        <v>2.0</v>
      </c>
      <c r="F2247" s="367">
        <v>45679.375</v>
      </c>
      <c r="G2247" s="364" t="s">
        <v>1185</v>
      </c>
      <c r="H2247" s="364" t="s">
        <v>1207</v>
      </c>
    </row>
    <row r="2248" ht="15.75" customHeight="1">
      <c r="A2248" s="364" t="s">
        <v>72</v>
      </c>
      <c r="B2248" s="364" t="s">
        <v>22</v>
      </c>
      <c r="C2248" s="365" t="s">
        <v>653</v>
      </c>
      <c r="D2248" s="364" t="s">
        <v>654</v>
      </c>
      <c r="E2248" s="366">
        <v>3.0</v>
      </c>
      <c r="F2248" s="367">
        <v>45698.45833333333</v>
      </c>
      <c r="G2248" s="364" t="s">
        <v>1185</v>
      </c>
      <c r="H2248" s="364" t="s">
        <v>1207</v>
      </c>
    </row>
    <row r="2249" ht="15.75" customHeight="1">
      <c r="A2249" s="364" t="s">
        <v>72</v>
      </c>
      <c r="B2249" s="364" t="s">
        <v>22</v>
      </c>
      <c r="C2249" s="365" t="s">
        <v>653</v>
      </c>
      <c r="D2249" s="364" t="s">
        <v>654</v>
      </c>
      <c r="E2249" s="366">
        <v>4.0</v>
      </c>
      <c r="F2249" s="367">
        <v>45705.45833333333</v>
      </c>
      <c r="G2249" s="364" t="s">
        <v>1185</v>
      </c>
      <c r="H2249" s="364" t="s">
        <v>1207</v>
      </c>
    </row>
    <row r="2250" ht="15.75" customHeight="1">
      <c r="A2250" s="364" t="s">
        <v>72</v>
      </c>
      <c r="B2250" s="364" t="s">
        <v>22</v>
      </c>
      <c r="C2250" s="365" t="s">
        <v>653</v>
      </c>
      <c r="D2250" s="364" t="s">
        <v>654</v>
      </c>
      <c r="E2250" s="366">
        <v>5.0</v>
      </c>
      <c r="F2250" s="367">
        <v>45712.54166666667</v>
      </c>
      <c r="G2250" s="364" t="s">
        <v>1185</v>
      </c>
      <c r="H2250" s="364" t="s">
        <v>1207</v>
      </c>
    </row>
    <row r="2251" ht="15.75" customHeight="1">
      <c r="A2251" s="364" t="s">
        <v>72</v>
      </c>
      <c r="B2251" s="364" t="s">
        <v>22</v>
      </c>
      <c r="C2251" s="365" t="s">
        <v>653</v>
      </c>
      <c r="D2251" s="364" t="s">
        <v>654</v>
      </c>
      <c r="E2251" s="366">
        <v>6.0</v>
      </c>
      <c r="F2251" s="367">
        <v>45761.45833333333</v>
      </c>
      <c r="G2251" s="364" t="s">
        <v>1185</v>
      </c>
      <c r="H2251" s="364" t="s">
        <v>1207</v>
      </c>
    </row>
    <row r="2252" ht="15.75" customHeight="1">
      <c r="A2252" s="364" t="s">
        <v>72</v>
      </c>
      <c r="B2252" s="364" t="s">
        <v>22</v>
      </c>
      <c r="C2252" s="365" t="s">
        <v>653</v>
      </c>
      <c r="D2252" s="364" t="s">
        <v>654</v>
      </c>
      <c r="E2252" s="366">
        <v>7.0</v>
      </c>
      <c r="F2252" s="367">
        <v>45769.45833333333</v>
      </c>
      <c r="G2252" s="364" t="s">
        <v>1185</v>
      </c>
      <c r="H2252" s="364" t="s">
        <v>1207</v>
      </c>
    </row>
    <row r="2253" ht="15.75" customHeight="1">
      <c r="A2253" s="364" t="s">
        <v>72</v>
      </c>
      <c r="B2253" s="364" t="s">
        <v>22</v>
      </c>
      <c r="C2253" s="365" t="s">
        <v>653</v>
      </c>
      <c r="D2253" s="364" t="s">
        <v>654</v>
      </c>
      <c r="E2253" s="366">
        <v>8.0</v>
      </c>
      <c r="F2253" s="367">
        <v>45782.45833333333</v>
      </c>
      <c r="G2253" s="364" t="s">
        <v>1187</v>
      </c>
      <c r="H2253" s="364" t="s">
        <v>1207</v>
      </c>
    </row>
    <row r="2254" ht="15.75" customHeight="1">
      <c r="A2254" s="364" t="s">
        <v>72</v>
      </c>
      <c r="B2254" s="364" t="s">
        <v>22</v>
      </c>
      <c r="C2254" s="365" t="s">
        <v>653</v>
      </c>
      <c r="D2254" s="364" t="s">
        <v>654</v>
      </c>
      <c r="E2254" s="366">
        <v>9.0</v>
      </c>
      <c r="F2254" s="367">
        <v>45789.45833333333</v>
      </c>
      <c r="G2254" s="364" t="s">
        <v>1185</v>
      </c>
      <c r="H2254" s="364" t="s">
        <v>1207</v>
      </c>
    </row>
    <row r="2255" ht="15.75" customHeight="1">
      <c r="A2255" s="364" t="s">
        <v>72</v>
      </c>
      <c r="B2255" s="364" t="s">
        <v>22</v>
      </c>
      <c r="C2255" s="365" t="s">
        <v>653</v>
      </c>
      <c r="D2255" s="364" t="s">
        <v>654</v>
      </c>
      <c r="E2255" s="366">
        <v>10.0</v>
      </c>
      <c r="F2255" s="367">
        <v>45803.54166666667</v>
      </c>
      <c r="G2255" s="364" t="s">
        <v>1185</v>
      </c>
      <c r="H2255" s="364" t="s">
        <v>1207</v>
      </c>
    </row>
    <row r="2256" ht="15.75" customHeight="1">
      <c r="A2256" s="364" t="s">
        <v>72</v>
      </c>
      <c r="B2256" s="364" t="s">
        <v>22</v>
      </c>
      <c r="C2256" s="365" t="s">
        <v>653</v>
      </c>
      <c r="D2256" s="364" t="s">
        <v>654</v>
      </c>
      <c r="E2256" s="366">
        <v>11.0</v>
      </c>
      <c r="F2256" s="367">
        <v>45812.41666666667</v>
      </c>
      <c r="G2256" s="364" t="s">
        <v>1185</v>
      </c>
      <c r="H2256" s="364" t="s">
        <v>1207</v>
      </c>
    </row>
    <row r="2257" ht="15.75" customHeight="1">
      <c r="A2257" s="364" t="s">
        <v>72</v>
      </c>
      <c r="B2257" s="364" t="s">
        <v>22</v>
      </c>
      <c r="C2257" s="365" t="s">
        <v>653</v>
      </c>
      <c r="D2257" s="364" t="s">
        <v>654</v>
      </c>
      <c r="E2257" s="366">
        <v>12.0</v>
      </c>
      <c r="F2257" s="367">
        <v>45832.375</v>
      </c>
      <c r="G2257" s="364" t="s">
        <v>1185</v>
      </c>
      <c r="H2257" s="364" t="s">
        <v>1207</v>
      </c>
    </row>
    <row r="2258" ht="15.75" customHeight="1">
      <c r="A2258" s="364" t="s">
        <v>72</v>
      </c>
      <c r="B2258" s="364" t="s">
        <v>22</v>
      </c>
      <c r="C2258" s="365" t="s">
        <v>111</v>
      </c>
      <c r="D2258" s="364" t="s">
        <v>655</v>
      </c>
      <c r="E2258" s="366">
        <v>1.0</v>
      </c>
      <c r="F2258" s="367">
        <v>45670.54166666667</v>
      </c>
      <c r="G2258" s="364" t="s">
        <v>1185</v>
      </c>
      <c r="H2258" s="364" t="s">
        <v>1207</v>
      </c>
    </row>
    <row r="2259" ht="15.75" customHeight="1">
      <c r="A2259" s="364" t="s">
        <v>72</v>
      </c>
      <c r="B2259" s="364" t="s">
        <v>22</v>
      </c>
      <c r="C2259" s="365" t="s">
        <v>111</v>
      </c>
      <c r="D2259" s="364" t="s">
        <v>655</v>
      </c>
      <c r="E2259" s="366">
        <v>2.0</v>
      </c>
      <c r="F2259" s="367">
        <v>45679.375</v>
      </c>
      <c r="G2259" s="364" t="s">
        <v>1185</v>
      </c>
      <c r="H2259" s="364" t="s">
        <v>1207</v>
      </c>
    </row>
    <row r="2260" ht="15.75" customHeight="1">
      <c r="A2260" s="364" t="s">
        <v>72</v>
      </c>
      <c r="B2260" s="364" t="s">
        <v>22</v>
      </c>
      <c r="C2260" s="365" t="s">
        <v>111</v>
      </c>
      <c r="D2260" s="364" t="s">
        <v>655</v>
      </c>
      <c r="E2260" s="366">
        <v>3.0</v>
      </c>
      <c r="F2260" s="367">
        <v>45698.45833333333</v>
      </c>
      <c r="G2260" s="364" t="s">
        <v>1185</v>
      </c>
      <c r="H2260" s="364" t="s">
        <v>1207</v>
      </c>
    </row>
    <row r="2261" ht="15.75" customHeight="1">
      <c r="A2261" s="364" t="s">
        <v>72</v>
      </c>
      <c r="B2261" s="364" t="s">
        <v>22</v>
      </c>
      <c r="C2261" s="365" t="s">
        <v>111</v>
      </c>
      <c r="D2261" s="364" t="s">
        <v>655</v>
      </c>
      <c r="E2261" s="366">
        <v>4.0</v>
      </c>
      <c r="F2261" s="367">
        <v>45705.45833333333</v>
      </c>
      <c r="G2261" s="364" t="s">
        <v>1185</v>
      </c>
      <c r="H2261" s="364" t="s">
        <v>1207</v>
      </c>
    </row>
    <row r="2262" ht="15.75" customHeight="1">
      <c r="A2262" s="364" t="s">
        <v>72</v>
      </c>
      <c r="B2262" s="364" t="s">
        <v>22</v>
      </c>
      <c r="C2262" s="365" t="s">
        <v>111</v>
      </c>
      <c r="D2262" s="364" t="s">
        <v>655</v>
      </c>
      <c r="E2262" s="366">
        <v>5.0</v>
      </c>
      <c r="F2262" s="367">
        <v>45712.54166666667</v>
      </c>
      <c r="G2262" s="364" t="s">
        <v>1185</v>
      </c>
      <c r="H2262" s="364" t="s">
        <v>1207</v>
      </c>
    </row>
    <row r="2263" ht="15.75" customHeight="1">
      <c r="A2263" s="364" t="s">
        <v>72</v>
      </c>
      <c r="B2263" s="364" t="s">
        <v>22</v>
      </c>
      <c r="C2263" s="365" t="s">
        <v>111</v>
      </c>
      <c r="D2263" s="364" t="s">
        <v>655</v>
      </c>
      <c r="E2263" s="366">
        <v>6.0</v>
      </c>
      <c r="F2263" s="367">
        <v>45761.45833333333</v>
      </c>
      <c r="G2263" s="364" t="s">
        <v>1185</v>
      </c>
      <c r="H2263" s="364" t="s">
        <v>1207</v>
      </c>
    </row>
    <row r="2264" ht="15.75" customHeight="1">
      <c r="A2264" s="364" t="s">
        <v>72</v>
      </c>
      <c r="B2264" s="364" t="s">
        <v>22</v>
      </c>
      <c r="C2264" s="365" t="s">
        <v>111</v>
      </c>
      <c r="D2264" s="364" t="s">
        <v>655</v>
      </c>
      <c r="E2264" s="366">
        <v>7.0</v>
      </c>
      <c r="F2264" s="367">
        <v>45769.45833333333</v>
      </c>
      <c r="G2264" s="364" t="s">
        <v>1185</v>
      </c>
      <c r="H2264" s="364" t="s">
        <v>1207</v>
      </c>
    </row>
    <row r="2265" ht="15.75" customHeight="1">
      <c r="A2265" s="364" t="s">
        <v>72</v>
      </c>
      <c r="B2265" s="364" t="s">
        <v>22</v>
      </c>
      <c r="C2265" s="365" t="s">
        <v>111</v>
      </c>
      <c r="D2265" s="364" t="s">
        <v>655</v>
      </c>
      <c r="E2265" s="366">
        <v>8.0</v>
      </c>
      <c r="F2265" s="367">
        <v>45782.45833333333</v>
      </c>
      <c r="G2265" s="364" t="s">
        <v>1185</v>
      </c>
      <c r="H2265" s="364" t="s">
        <v>1207</v>
      </c>
    </row>
    <row r="2266" ht="15.75" customHeight="1">
      <c r="A2266" s="364" t="s">
        <v>72</v>
      </c>
      <c r="B2266" s="364" t="s">
        <v>22</v>
      </c>
      <c r="C2266" s="365" t="s">
        <v>111</v>
      </c>
      <c r="D2266" s="364" t="s">
        <v>655</v>
      </c>
      <c r="E2266" s="366">
        <v>9.0</v>
      </c>
      <c r="F2266" s="367">
        <v>45789.45833333333</v>
      </c>
      <c r="G2266" s="364" t="s">
        <v>1185</v>
      </c>
      <c r="H2266" s="364" t="s">
        <v>1207</v>
      </c>
    </row>
    <row r="2267" ht="15.75" customHeight="1">
      <c r="A2267" s="364" t="s">
        <v>72</v>
      </c>
      <c r="B2267" s="364" t="s">
        <v>22</v>
      </c>
      <c r="C2267" s="365" t="s">
        <v>111</v>
      </c>
      <c r="D2267" s="364" t="s">
        <v>655</v>
      </c>
      <c r="E2267" s="366">
        <v>10.0</v>
      </c>
      <c r="F2267" s="367">
        <v>45803.54166666667</v>
      </c>
      <c r="G2267" s="364" t="s">
        <v>1185</v>
      </c>
      <c r="H2267" s="364" t="s">
        <v>1207</v>
      </c>
    </row>
    <row r="2268" ht="15.75" customHeight="1">
      <c r="A2268" s="364" t="s">
        <v>72</v>
      </c>
      <c r="B2268" s="364" t="s">
        <v>22</v>
      </c>
      <c r="C2268" s="365" t="s">
        <v>111</v>
      </c>
      <c r="D2268" s="364" t="s">
        <v>655</v>
      </c>
      <c r="E2268" s="366">
        <v>11.0</v>
      </c>
      <c r="F2268" s="367">
        <v>45812.41666666667</v>
      </c>
      <c r="G2268" s="364" t="s">
        <v>1185</v>
      </c>
      <c r="H2268" s="364" t="s">
        <v>1207</v>
      </c>
    </row>
    <row r="2269" ht="15.75" customHeight="1">
      <c r="A2269" s="364" t="s">
        <v>72</v>
      </c>
      <c r="B2269" s="364" t="s">
        <v>22</v>
      </c>
      <c r="C2269" s="365" t="s">
        <v>111</v>
      </c>
      <c r="D2269" s="364" t="s">
        <v>655</v>
      </c>
      <c r="E2269" s="366">
        <v>12.0</v>
      </c>
      <c r="F2269" s="367">
        <v>45832.375</v>
      </c>
      <c r="G2269" s="364" t="s">
        <v>1185</v>
      </c>
      <c r="H2269" s="364" t="s">
        <v>1207</v>
      </c>
    </row>
    <row r="2270" ht="15.75" customHeight="1">
      <c r="A2270" s="364" t="s">
        <v>72</v>
      </c>
      <c r="B2270" s="364" t="s">
        <v>22</v>
      </c>
      <c r="C2270" s="365" t="s">
        <v>658</v>
      </c>
      <c r="D2270" s="364" t="s">
        <v>659</v>
      </c>
      <c r="E2270" s="366">
        <v>1.0</v>
      </c>
      <c r="F2270" s="367">
        <v>45670.54166666667</v>
      </c>
      <c r="G2270" s="364" t="s">
        <v>1185</v>
      </c>
      <c r="H2270" s="364" t="s">
        <v>1207</v>
      </c>
    </row>
    <row r="2271" ht="15.75" customHeight="1">
      <c r="A2271" s="364" t="s">
        <v>72</v>
      </c>
      <c r="B2271" s="364" t="s">
        <v>22</v>
      </c>
      <c r="C2271" s="365" t="s">
        <v>658</v>
      </c>
      <c r="D2271" s="364" t="s">
        <v>659</v>
      </c>
      <c r="E2271" s="366">
        <v>2.0</v>
      </c>
      <c r="F2271" s="367">
        <v>45679.375</v>
      </c>
      <c r="G2271" s="364" t="s">
        <v>1185</v>
      </c>
      <c r="H2271" s="364" t="s">
        <v>1207</v>
      </c>
    </row>
    <row r="2272" ht="15.75" customHeight="1">
      <c r="A2272" s="364" t="s">
        <v>72</v>
      </c>
      <c r="B2272" s="364" t="s">
        <v>22</v>
      </c>
      <c r="C2272" s="365" t="s">
        <v>658</v>
      </c>
      <c r="D2272" s="364" t="s">
        <v>659</v>
      </c>
      <c r="E2272" s="366">
        <v>3.0</v>
      </c>
      <c r="F2272" s="367">
        <v>45698.45833333333</v>
      </c>
      <c r="G2272" s="364" t="s">
        <v>1185</v>
      </c>
      <c r="H2272" s="364" t="s">
        <v>1207</v>
      </c>
    </row>
    <row r="2273" ht="15.75" customHeight="1">
      <c r="A2273" s="364" t="s">
        <v>72</v>
      </c>
      <c r="B2273" s="364" t="s">
        <v>22</v>
      </c>
      <c r="C2273" s="365" t="s">
        <v>658</v>
      </c>
      <c r="D2273" s="364" t="s">
        <v>659</v>
      </c>
      <c r="E2273" s="366">
        <v>4.0</v>
      </c>
      <c r="F2273" s="367">
        <v>45705.45833333333</v>
      </c>
      <c r="G2273" s="364" t="s">
        <v>1185</v>
      </c>
      <c r="H2273" s="364" t="s">
        <v>1207</v>
      </c>
    </row>
    <row r="2274" ht="15.75" customHeight="1">
      <c r="A2274" s="364" t="s">
        <v>72</v>
      </c>
      <c r="B2274" s="364" t="s">
        <v>22</v>
      </c>
      <c r="C2274" s="365" t="s">
        <v>658</v>
      </c>
      <c r="D2274" s="364" t="s">
        <v>659</v>
      </c>
      <c r="E2274" s="366">
        <v>5.0</v>
      </c>
      <c r="F2274" s="367">
        <v>45712.54166666667</v>
      </c>
      <c r="G2274" s="364" t="s">
        <v>1185</v>
      </c>
      <c r="H2274" s="364" t="s">
        <v>1207</v>
      </c>
    </row>
    <row r="2275" ht="15.75" customHeight="1">
      <c r="A2275" s="364" t="s">
        <v>72</v>
      </c>
      <c r="B2275" s="364" t="s">
        <v>22</v>
      </c>
      <c r="C2275" s="365" t="s">
        <v>658</v>
      </c>
      <c r="D2275" s="364" t="s">
        <v>659</v>
      </c>
      <c r="E2275" s="366">
        <v>6.0</v>
      </c>
      <c r="F2275" s="367">
        <v>45761.45833333333</v>
      </c>
      <c r="G2275" s="364" t="s">
        <v>1185</v>
      </c>
      <c r="H2275" s="364" t="s">
        <v>1207</v>
      </c>
    </row>
    <row r="2276" ht="15.75" customHeight="1">
      <c r="A2276" s="364" t="s">
        <v>72</v>
      </c>
      <c r="B2276" s="364" t="s">
        <v>22</v>
      </c>
      <c r="C2276" s="365" t="s">
        <v>658</v>
      </c>
      <c r="D2276" s="364" t="s">
        <v>659</v>
      </c>
      <c r="E2276" s="366">
        <v>7.0</v>
      </c>
      <c r="F2276" s="367">
        <v>45769.45833333333</v>
      </c>
      <c r="G2276" s="364" t="s">
        <v>1185</v>
      </c>
      <c r="H2276" s="364" t="s">
        <v>1207</v>
      </c>
    </row>
    <row r="2277" ht="15.75" customHeight="1">
      <c r="A2277" s="364" t="s">
        <v>72</v>
      </c>
      <c r="B2277" s="364" t="s">
        <v>22</v>
      </c>
      <c r="C2277" s="365" t="s">
        <v>658</v>
      </c>
      <c r="D2277" s="364" t="s">
        <v>659</v>
      </c>
      <c r="E2277" s="366">
        <v>8.0</v>
      </c>
      <c r="F2277" s="367">
        <v>45782.45833333333</v>
      </c>
      <c r="G2277" s="364" t="s">
        <v>1185</v>
      </c>
      <c r="H2277" s="364" t="s">
        <v>1207</v>
      </c>
    </row>
    <row r="2278" ht="15.75" customHeight="1">
      <c r="A2278" s="364" t="s">
        <v>72</v>
      </c>
      <c r="B2278" s="364" t="s">
        <v>22</v>
      </c>
      <c r="C2278" s="365" t="s">
        <v>658</v>
      </c>
      <c r="D2278" s="364" t="s">
        <v>659</v>
      </c>
      <c r="E2278" s="366">
        <v>9.0</v>
      </c>
      <c r="F2278" s="367">
        <v>45789.45833333333</v>
      </c>
      <c r="G2278" s="364" t="s">
        <v>1187</v>
      </c>
      <c r="H2278" s="364" t="s">
        <v>1207</v>
      </c>
    </row>
    <row r="2279" ht="15.75" customHeight="1">
      <c r="A2279" s="364" t="s">
        <v>72</v>
      </c>
      <c r="B2279" s="364" t="s">
        <v>22</v>
      </c>
      <c r="C2279" s="365" t="s">
        <v>658</v>
      </c>
      <c r="D2279" s="364" t="s">
        <v>659</v>
      </c>
      <c r="E2279" s="366">
        <v>10.0</v>
      </c>
      <c r="F2279" s="367">
        <v>45803.54166666667</v>
      </c>
      <c r="G2279" s="364" t="s">
        <v>1185</v>
      </c>
      <c r="H2279" s="364" t="s">
        <v>1207</v>
      </c>
    </row>
    <row r="2280" ht="15.75" customHeight="1">
      <c r="A2280" s="364" t="s">
        <v>72</v>
      </c>
      <c r="B2280" s="364" t="s">
        <v>22</v>
      </c>
      <c r="C2280" s="365" t="s">
        <v>658</v>
      </c>
      <c r="D2280" s="364" t="s">
        <v>659</v>
      </c>
      <c r="E2280" s="366">
        <v>11.0</v>
      </c>
      <c r="F2280" s="367">
        <v>45812.41666666667</v>
      </c>
      <c r="G2280" s="364" t="s">
        <v>1185</v>
      </c>
      <c r="H2280" s="364" t="s">
        <v>1207</v>
      </c>
    </row>
    <row r="2281" ht="15.75" customHeight="1">
      <c r="A2281" s="364" t="s">
        <v>72</v>
      </c>
      <c r="B2281" s="364" t="s">
        <v>22</v>
      </c>
      <c r="C2281" s="365" t="s">
        <v>658</v>
      </c>
      <c r="D2281" s="364" t="s">
        <v>659</v>
      </c>
      <c r="E2281" s="366">
        <v>12.0</v>
      </c>
      <c r="F2281" s="367">
        <v>45832.375</v>
      </c>
      <c r="G2281" s="364" t="s">
        <v>1185</v>
      </c>
      <c r="H2281" s="364" t="s">
        <v>1207</v>
      </c>
    </row>
    <row r="2282" ht="15.75" customHeight="1">
      <c r="A2282" s="364" t="s">
        <v>72</v>
      </c>
      <c r="B2282" s="364" t="s">
        <v>22</v>
      </c>
      <c r="C2282" s="365" t="s">
        <v>671</v>
      </c>
      <c r="D2282" s="364" t="s">
        <v>672</v>
      </c>
      <c r="E2282" s="366">
        <v>1.0</v>
      </c>
      <c r="F2282" s="367">
        <v>45670.54166666667</v>
      </c>
      <c r="G2282" s="364" t="s">
        <v>1185</v>
      </c>
      <c r="H2282" s="364" t="s">
        <v>1207</v>
      </c>
    </row>
    <row r="2283" ht="15.75" customHeight="1">
      <c r="A2283" s="364" t="s">
        <v>72</v>
      </c>
      <c r="B2283" s="364" t="s">
        <v>22</v>
      </c>
      <c r="C2283" s="365" t="s">
        <v>671</v>
      </c>
      <c r="D2283" s="364" t="s">
        <v>672</v>
      </c>
      <c r="E2283" s="366">
        <v>2.0</v>
      </c>
      <c r="F2283" s="367">
        <v>45679.375</v>
      </c>
      <c r="G2283" s="364" t="s">
        <v>1185</v>
      </c>
      <c r="H2283" s="364" t="s">
        <v>1207</v>
      </c>
    </row>
    <row r="2284" ht="15.75" customHeight="1">
      <c r="A2284" s="364" t="s">
        <v>72</v>
      </c>
      <c r="B2284" s="364" t="s">
        <v>22</v>
      </c>
      <c r="C2284" s="365" t="s">
        <v>671</v>
      </c>
      <c r="D2284" s="364" t="s">
        <v>672</v>
      </c>
      <c r="E2284" s="366">
        <v>3.0</v>
      </c>
      <c r="F2284" s="367">
        <v>45698.45833333333</v>
      </c>
      <c r="G2284" s="364" t="s">
        <v>1185</v>
      </c>
      <c r="H2284" s="364" t="s">
        <v>1207</v>
      </c>
    </row>
    <row r="2285" ht="15.75" customHeight="1">
      <c r="A2285" s="364" t="s">
        <v>72</v>
      </c>
      <c r="B2285" s="364" t="s">
        <v>22</v>
      </c>
      <c r="C2285" s="365" t="s">
        <v>671</v>
      </c>
      <c r="D2285" s="364" t="s">
        <v>672</v>
      </c>
      <c r="E2285" s="366">
        <v>4.0</v>
      </c>
      <c r="F2285" s="367">
        <v>45705.45833333333</v>
      </c>
      <c r="G2285" s="364" t="s">
        <v>1185</v>
      </c>
      <c r="H2285" s="364" t="s">
        <v>1207</v>
      </c>
    </row>
    <row r="2286" ht="15.75" customHeight="1">
      <c r="A2286" s="364" t="s">
        <v>72</v>
      </c>
      <c r="B2286" s="364" t="s">
        <v>22</v>
      </c>
      <c r="C2286" s="365" t="s">
        <v>671</v>
      </c>
      <c r="D2286" s="364" t="s">
        <v>672</v>
      </c>
      <c r="E2286" s="366">
        <v>5.0</v>
      </c>
      <c r="F2286" s="367">
        <v>45712.54166666667</v>
      </c>
      <c r="G2286" s="364" t="s">
        <v>1185</v>
      </c>
      <c r="H2286" s="364" t="s">
        <v>1207</v>
      </c>
    </row>
    <row r="2287" ht="15.75" customHeight="1">
      <c r="A2287" s="364" t="s">
        <v>72</v>
      </c>
      <c r="B2287" s="364" t="s">
        <v>22</v>
      </c>
      <c r="C2287" s="365" t="s">
        <v>671</v>
      </c>
      <c r="D2287" s="364" t="s">
        <v>672</v>
      </c>
      <c r="E2287" s="366">
        <v>6.0</v>
      </c>
      <c r="F2287" s="367">
        <v>45761.45833333333</v>
      </c>
      <c r="G2287" s="364" t="s">
        <v>1185</v>
      </c>
      <c r="H2287" s="364" t="s">
        <v>1207</v>
      </c>
    </row>
    <row r="2288" ht="15.75" customHeight="1">
      <c r="A2288" s="364" t="s">
        <v>72</v>
      </c>
      <c r="B2288" s="364" t="s">
        <v>22</v>
      </c>
      <c r="C2288" s="365" t="s">
        <v>671</v>
      </c>
      <c r="D2288" s="364" t="s">
        <v>672</v>
      </c>
      <c r="E2288" s="366">
        <v>7.0</v>
      </c>
      <c r="F2288" s="367">
        <v>45769.45833333333</v>
      </c>
      <c r="G2288" s="364" t="s">
        <v>1185</v>
      </c>
      <c r="H2288" s="364" t="s">
        <v>1207</v>
      </c>
    </row>
    <row r="2289" ht="15.75" customHeight="1">
      <c r="A2289" s="364" t="s">
        <v>72</v>
      </c>
      <c r="B2289" s="364" t="s">
        <v>22</v>
      </c>
      <c r="C2289" s="365" t="s">
        <v>671</v>
      </c>
      <c r="D2289" s="364" t="s">
        <v>672</v>
      </c>
      <c r="E2289" s="366">
        <v>8.0</v>
      </c>
      <c r="F2289" s="367">
        <v>45782.45833333333</v>
      </c>
      <c r="G2289" s="364" t="s">
        <v>1185</v>
      </c>
      <c r="H2289" s="364" t="s">
        <v>1207</v>
      </c>
    </row>
    <row r="2290" ht="15.75" customHeight="1">
      <c r="A2290" s="364" t="s">
        <v>72</v>
      </c>
      <c r="B2290" s="364" t="s">
        <v>22</v>
      </c>
      <c r="C2290" s="365" t="s">
        <v>671</v>
      </c>
      <c r="D2290" s="364" t="s">
        <v>672</v>
      </c>
      <c r="E2290" s="366">
        <v>9.0</v>
      </c>
      <c r="F2290" s="367">
        <v>45789.45833333333</v>
      </c>
      <c r="G2290" s="364" t="s">
        <v>1187</v>
      </c>
      <c r="H2290" s="364" t="s">
        <v>1207</v>
      </c>
    </row>
    <row r="2291" ht="15.75" customHeight="1">
      <c r="A2291" s="364" t="s">
        <v>72</v>
      </c>
      <c r="B2291" s="364" t="s">
        <v>22</v>
      </c>
      <c r="C2291" s="365" t="s">
        <v>671</v>
      </c>
      <c r="D2291" s="364" t="s">
        <v>672</v>
      </c>
      <c r="E2291" s="366">
        <v>10.0</v>
      </c>
      <c r="F2291" s="367">
        <v>45803.54166666667</v>
      </c>
      <c r="G2291" s="364" t="s">
        <v>1185</v>
      </c>
      <c r="H2291" s="364" t="s">
        <v>1207</v>
      </c>
    </row>
    <row r="2292" ht="15.75" customHeight="1">
      <c r="A2292" s="364" t="s">
        <v>72</v>
      </c>
      <c r="B2292" s="364" t="s">
        <v>22</v>
      </c>
      <c r="C2292" s="365" t="s">
        <v>671</v>
      </c>
      <c r="D2292" s="364" t="s">
        <v>672</v>
      </c>
      <c r="E2292" s="366">
        <v>11.0</v>
      </c>
      <c r="F2292" s="367">
        <v>45812.41666666667</v>
      </c>
      <c r="G2292" s="364" t="s">
        <v>1187</v>
      </c>
      <c r="H2292" s="364" t="s">
        <v>1207</v>
      </c>
    </row>
    <row r="2293" ht="15.75" customHeight="1">
      <c r="A2293" s="364" t="s">
        <v>72</v>
      </c>
      <c r="B2293" s="364" t="s">
        <v>22</v>
      </c>
      <c r="C2293" s="365" t="s">
        <v>671</v>
      </c>
      <c r="D2293" s="364" t="s">
        <v>672</v>
      </c>
      <c r="E2293" s="366">
        <v>12.0</v>
      </c>
      <c r="F2293" s="367">
        <v>45832.375</v>
      </c>
      <c r="G2293" s="364" t="s">
        <v>1185</v>
      </c>
      <c r="H2293" s="364" t="s">
        <v>1207</v>
      </c>
    </row>
    <row r="2294" ht="15.75" customHeight="1">
      <c r="A2294" s="364" t="s">
        <v>72</v>
      </c>
      <c r="B2294" s="364" t="s">
        <v>22</v>
      </c>
      <c r="C2294" s="365" t="s">
        <v>662</v>
      </c>
      <c r="D2294" s="364" t="s">
        <v>663</v>
      </c>
      <c r="E2294" s="366">
        <v>1.0</v>
      </c>
      <c r="F2294" s="367">
        <v>45670.54166666667</v>
      </c>
      <c r="G2294" s="364" t="s">
        <v>1185</v>
      </c>
      <c r="H2294" s="364" t="s">
        <v>1207</v>
      </c>
    </row>
    <row r="2295" ht="15.75" customHeight="1">
      <c r="A2295" s="364" t="s">
        <v>72</v>
      </c>
      <c r="B2295" s="364" t="s">
        <v>22</v>
      </c>
      <c r="C2295" s="365" t="s">
        <v>662</v>
      </c>
      <c r="D2295" s="364" t="s">
        <v>663</v>
      </c>
      <c r="E2295" s="366">
        <v>2.0</v>
      </c>
      <c r="F2295" s="367">
        <v>45679.375</v>
      </c>
      <c r="G2295" s="364" t="s">
        <v>1185</v>
      </c>
      <c r="H2295" s="364" t="s">
        <v>1207</v>
      </c>
    </row>
    <row r="2296" ht="15.75" customHeight="1">
      <c r="A2296" s="364" t="s">
        <v>72</v>
      </c>
      <c r="B2296" s="364" t="s">
        <v>22</v>
      </c>
      <c r="C2296" s="365" t="s">
        <v>662</v>
      </c>
      <c r="D2296" s="364" t="s">
        <v>663</v>
      </c>
      <c r="E2296" s="366">
        <v>3.0</v>
      </c>
      <c r="F2296" s="367">
        <v>45698.45833333333</v>
      </c>
      <c r="G2296" s="364" t="s">
        <v>1187</v>
      </c>
      <c r="H2296" s="364" t="s">
        <v>1207</v>
      </c>
    </row>
    <row r="2297" ht="15.75" customHeight="1">
      <c r="A2297" s="364" t="s">
        <v>72</v>
      </c>
      <c r="B2297" s="364" t="s">
        <v>22</v>
      </c>
      <c r="C2297" s="365" t="s">
        <v>662</v>
      </c>
      <c r="D2297" s="364" t="s">
        <v>663</v>
      </c>
      <c r="E2297" s="366">
        <v>4.0</v>
      </c>
      <c r="F2297" s="367">
        <v>45705.45833333333</v>
      </c>
      <c r="G2297" s="364" t="s">
        <v>1185</v>
      </c>
      <c r="H2297" s="364" t="s">
        <v>1207</v>
      </c>
    </row>
    <row r="2298" ht="15.75" customHeight="1">
      <c r="A2298" s="364" t="s">
        <v>72</v>
      </c>
      <c r="B2298" s="364" t="s">
        <v>22</v>
      </c>
      <c r="C2298" s="365" t="s">
        <v>662</v>
      </c>
      <c r="D2298" s="364" t="s">
        <v>663</v>
      </c>
      <c r="E2298" s="366">
        <v>5.0</v>
      </c>
      <c r="F2298" s="367">
        <v>45712.54166666667</v>
      </c>
      <c r="G2298" s="364" t="s">
        <v>1185</v>
      </c>
      <c r="H2298" s="364" t="s">
        <v>1207</v>
      </c>
    </row>
    <row r="2299" ht="15.75" customHeight="1">
      <c r="A2299" s="364" t="s">
        <v>72</v>
      </c>
      <c r="B2299" s="364" t="s">
        <v>22</v>
      </c>
      <c r="C2299" s="365" t="s">
        <v>662</v>
      </c>
      <c r="D2299" s="364" t="s">
        <v>663</v>
      </c>
      <c r="E2299" s="366">
        <v>6.0</v>
      </c>
      <c r="F2299" s="367">
        <v>45761.45833333333</v>
      </c>
      <c r="G2299" s="364" t="s">
        <v>1185</v>
      </c>
      <c r="H2299" s="364" t="s">
        <v>1207</v>
      </c>
    </row>
    <row r="2300" ht="15.75" customHeight="1">
      <c r="A2300" s="364" t="s">
        <v>72</v>
      </c>
      <c r="B2300" s="364" t="s">
        <v>22</v>
      </c>
      <c r="C2300" s="365" t="s">
        <v>662</v>
      </c>
      <c r="D2300" s="364" t="s">
        <v>663</v>
      </c>
      <c r="E2300" s="366">
        <v>7.0</v>
      </c>
      <c r="F2300" s="367">
        <v>45769.45833333333</v>
      </c>
      <c r="G2300" s="364" t="s">
        <v>1185</v>
      </c>
      <c r="H2300" s="364" t="s">
        <v>1207</v>
      </c>
    </row>
    <row r="2301" ht="15.75" customHeight="1">
      <c r="A2301" s="364" t="s">
        <v>72</v>
      </c>
      <c r="B2301" s="364" t="s">
        <v>22</v>
      </c>
      <c r="C2301" s="365" t="s">
        <v>662</v>
      </c>
      <c r="D2301" s="364" t="s">
        <v>663</v>
      </c>
      <c r="E2301" s="366">
        <v>8.0</v>
      </c>
      <c r="F2301" s="367">
        <v>45782.45833333333</v>
      </c>
      <c r="G2301" s="364" t="s">
        <v>1185</v>
      </c>
      <c r="H2301" s="364" t="s">
        <v>1207</v>
      </c>
    </row>
    <row r="2302" ht="15.75" customHeight="1">
      <c r="A2302" s="364" t="s">
        <v>72</v>
      </c>
      <c r="B2302" s="364" t="s">
        <v>22</v>
      </c>
      <c r="C2302" s="365" t="s">
        <v>662</v>
      </c>
      <c r="D2302" s="364" t="s">
        <v>663</v>
      </c>
      <c r="E2302" s="366">
        <v>9.0</v>
      </c>
      <c r="F2302" s="367">
        <v>45789.45833333333</v>
      </c>
      <c r="G2302" s="364" t="s">
        <v>1185</v>
      </c>
      <c r="H2302" s="364" t="s">
        <v>1207</v>
      </c>
    </row>
    <row r="2303" ht="15.75" customHeight="1">
      <c r="A2303" s="364" t="s">
        <v>72</v>
      </c>
      <c r="B2303" s="364" t="s">
        <v>22</v>
      </c>
      <c r="C2303" s="365" t="s">
        <v>662</v>
      </c>
      <c r="D2303" s="364" t="s">
        <v>663</v>
      </c>
      <c r="E2303" s="366">
        <v>10.0</v>
      </c>
      <c r="F2303" s="367">
        <v>45803.54166666667</v>
      </c>
      <c r="G2303" s="364" t="s">
        <v>1185</v>
      </c>
      <c r="H2303" s="364" t="s">
        <v>1207</v>
      </c>
    </row>
    <row r="2304" ht="15.75" customHeight="1">
      <c r="A2304" s="364" t="s">
        <v>72</v>
      </c>
      <c r="B2304" s="364" t="s">
        <v>22</v>
      </c>
      <c r="C2304" s="365" t="s">
        <v>662</v>
      </c>
      <c r="D2304" s="364" t="s">
        <v>663</v>
      </c>
      <c r="E2304" s="366">
        <v>11.0</v>
      </c>
      <c r="F2304" s="367">
        <v>45812.41666666667</v>
      </c>
      <c r="G2304" s="364" t="s">
        <v>1185</v>
      </c>
      <c r="H2304" s="364" t="s">
        <v>1207</v>
      </c>
    </row>
    <row r="2305" ht="15.75" customHeight="1">
      <c r="A2305" s="364" t="s">
        <v>72</v>
      </c>
      <c r="B2305" s="364" t="s">
        <v>22</v>
      </c>
      <c r="C2305" s="365" t="s">
        <v>662</v>
      </c>
      <c r="D2305" s="364" t="s">
        <v>663</v>
      </c>
      <c r="E2305" s="366">
        <v>12.0</v>
      </c>
      <c r="F2305" s="367">
        <v>45832.375</v>
      </c>
      <c r="G2305" s="364" t="s">
        <v>1185</v>
      </c>
      <c r="H2305" s="364" t="s">
        <v>1207</v>
      </c>
    </row>
    <row r="2306" ht="15.75" customHeight="1">
      <c r="A2306" s="364" t="s">
        <v>72</v>
      </c>
      <c r="B2306" s="364" t="s">
        <v>22</v>
      </c>
      <c r="C2306" s="365" t="s">
        <v>673</v>
      </c>
      <c r="D2306" s="364" t="s">
        <v>674</v>
      </c>
      <c r="E2306" s="366">
        <v>1.0</v>
      </c>
      <c r="F2306" s="367">
        <v>45670.54166666667</v>
      </c>
      <c r="G2306" s="364" t="s">
        <v>1185</v>
      </c>
      <c r="H2306" s="364" t="s">
        <v>1207</v>
      </c>
    </row>
    <row r="2307" ht="15.75" customHeight="1">
      <c r="A2307" s="364" t="s">
        <v>72</v>
      </c>
      <c r="B2307" s="364" t="s">
        <v>22</v>
      </c>
      <c r="C2307" s="365" t="s">
        <v>673</v>
      </c>
      <c r="D2307" s="364" t="s">
        <v>674</v>
      </c>
      <c r="E2307" s="366">
        <v>2.0</v>
      </c>
      <c r="F2307" s="367">
        <v>45679.375</v>
      </c>
      <c r="G2307" s="364" t="s">
        <v>1185</v>
      </c>
      <c r="H2307" s="364" t="s">
        <v>1207</v>
      </c>
    </row>
    <row r="2308" ht="15.75" customHeight="1">
      <c r="A2308" s="364" t="s">
        <v>72</v>
      </c>
      <c r="B2308" s="364" t="s">
        <v>22</v>
      </c>
      <c r="C2308" s="365" t="s">
        <v>673</v>
      </c>
      <c r="D2308" s="364" t="s">
        <v>674</v>
      </c>
      <c r="E2308" s="366">
        <v>3.0</v>
      </c>
      <c r="F2308" s="367">
        <v>45698.45833333333</v>
      </c>
      <c r="G2308" s="364" t="s">
        <v>1185</v>
      </c>
      <c r="H2308" s="364" t="s">
        <v>1207</v>
      </c>
    </row>
    <row r="2309" ht="15.75" customHeight="1">
      <c r="A2309" s="364" t="s">
        <v>72</v>
      </c>
      <c r="B2309" s="364" t="s">
        <v>22</v>
      </c>
      <c r="C2309" s="365" t="s">
        <v>673</v>
      </c>
      <c r="D2309" s="364" t="s">
        <v>674</v>
      </c>
      <c r="E2309" s="366">
        <v>4.0</v>
      </c>
      <c r="F2309" s="367">
        <v>45705.45833333333</v>
      </c>
      <c r="G2309" s="364" t="s">
        <v>1185</v>
      </c>
      <c r="H2309" s="364" t="s">
        <v>1207</v>
      </c>
    </row>
    <row r="2310" ht="15.75" customHeight="1">
      <c r="A2310" s="364" t="s">
        <v>72</v>
      </c>
      <c r="B2310" s="364" t="s">
        <v>22</v>
      </c>
      <c r="C2310" s="365" t="s">
        <v>673</v>
      </c>
      <c r="D2310" s="364" t="s">
        <v>674</v>
      </c>
      <c r="E2310" s="366">
        <v>5.0</v>
      </c>
      <c r="F2310" s="367">
        <v>45712.54166666667</v>
      </c>
      <c r="G2310" s="364" t="s">
        <v>1185</v>
      </c>
      <c r="H2310" s="364" t="s">
        <v>1207</v>
      </c>
    </row>
    <row r="2311" ht="15.75" customHeight="1">
      <c r="A2311" s="364" t="s">
        <v>72</v>
      </c>
      <c r="B2311" s="364" t="s">
        <v>22</v>
      </c>
      <c r="C2311" s="365" t="s">
        <v>673</v>
      </c>
      <c r="D2311" s="364" t="s">
        <v>674</v>
      </c>
      <c r="E2311" s="366">
        <v>6.0</v>
      </c>
      <c r="F2311" s="367">
        <v>45761.45833333333</v>
      </c>
      <c r="G2311" s="364" t="s">
        <v>1185</v>
      </c>
      <c r="H2311" s="364" t="s">
        <v>1207</v>
      </c>
    </row>
    <row r="2312" ht="15.75" customHeight="1">
      <c r="A2312" s="364" t="s">
        <v>72</v>
      </c>
      <c r="B2312" s="364" t="s">
        <v>22</v>
      </c>
      <c r="C2312" s="365" t="s">
        <v>673</v>
      </c>
      <c r="D2312" s="364" t="s">
        <v>674</v>
      </c>
      <c r="E2312" s="366">
        <v>7.0</v>
      </c>
      <c r="F2312" s="367">
        <v>45769.45833333333</v>
      </c>
      <c r="G2312" s="364" t="s">
        <v>1185</v>
      </c>
      <c r="H2312" s="364" t="s">
        <v>1207</v>
      </c>
    </row>
    <row r="2313" ht="15.75" customHeight="1">
      <c r="A2313" s="364" t="s">
        <v>72</v>
      </c>
      <c r="B2313" s="364" t="s">
        <v>22</v>
      </c>
      <c r="C2313" s="365" t="s">
        <v>673</v>
      </c>
      <c r="D2313" s="364" t="s">
        <v>674</v>
      </c>
      <c r="E2313" s="366">
        <v>8.0</v>
      </c>
      <c r="F2313" s="367">
        <v>45782.45833333333</v>
      </c>
      <c r="G2313" s="364" t="s">
        <v>1185</v>
      </c>
      <c r="H2313" s="364" t="s">
        <v>1207</v>
      </c>
    </row>
    <row r="2314" ht="15.75" customHeight="1">
      <c r="A2314" s="364" t="s">
        <v>72</v>
      </c>
      <c r="B2314" s="364" t="s">
        <v>22</v>
      </c>
      <c r="C2314" s="365" t="s">
        <v>673</v>
      </c>
      <c r="D2314" s="364" t="s">
        <v>674</v>
      </c>
      <c r="E2314" s="366">
        <v>9.0</v>
      </c>
      <c r="F2314" s="367">
        <v>45789.45833333333</v>
      </c>
      <c r="G2314" s="364" t="s">
        <v>1185</v>
      </c>
      <c r="H2314" s="364" t="s">
        <v>1207</v>
      </c>
    </row>
    <row r="2315" ht="15.75" customHeight="1">
      <c r="A2315" s="364" t="s">
        <v>72</v>
      </c>
      <c r="B2315" s="364" t="s">
        <v>22</v>
      </c>
      <c r="C2315" s="365" t="s">
        <v>673</v>
      </c>
      <c r="D2315" s="364" t="s">
        <v>674</v>
      </c>
      <c r="E2315" s="366">
        <v>10.0</v>
      </c>
      <c r="F2315" s="367">
        <v>45803.54166666667</v>
      </c>
      <c r="G2315" s="364" t="s">
        <v>1185</v>
      </c>
      <c r="H2315" s="364" t="s">
        <v>1207</v>
      </c>
    </row>
    <row r="2316" ht="15.75" customHeight="1">
      <c r="A2316" s="364" t="s">
        <v>72</v>
      </c>
      <c r="B2316" s="364" t="s">
        <v>22</v>
      </c>
      <c r="C2316" s="365" t="s">
        <v>673</v>
      </c>
      <c r="D2316" s="364" t="s">
        <v>674</v>
      </c>
      <c r="E2316" s="366">
        <v>11.0</v>
      </c>
      <c r="F2316" s="367">
        <v>45812.41666666667</v>
      </c>
      <c r="G2316" s="364" t="s">
        <v>1185</v>
      </c>
      <c r="H2316" s="364" t="s">
        <v>1207</v>
      </c>
    </row>
    <row r="2317" ht="15.75" customHeight="1">
      <c r="A2317" s="364" t="s">
        <v>72</v>
      </c>
      <c r="B2317" s="364" t="s">
        <v>22</v>
      </c>
      <c r="C2317" s="365" t="s">
        <v>673</v>
      </c>
      <c r="D2317" s="364" t="s">
        <v>674</v>
      </c>
      <c r="E2317" s="366">
        <v>12.0</v>
      </c>
      <c r="F2317" s="367">
        <v>45832.375</v>
      </c>
      <c r="G2317" s="364" t="s">
        <v>1185</v>
      </c>
      <c r="H2317" s="364" t="s">
        <v>1207</v>
      </c>
    </row>
    <row r="2318" ht="15.75" customHeight="1">
      <c r="A2318" s="364" t="s">
        <v>72</v>
      </c>
      <c r="B2318" s="364" t="s">
        <v>22</v>
      </c>
      <c r="C2318" s="365" t="s">
        <v>668</v>
      </c>
      <c r="D2318" s="364" t="s">
        <v>669</v>
      </c>
      <c r="E2318" s="366">
        <v>1.0</v>
      </c>
      <c r="F2318" s="367">
        <v>45670.54166666667</v>
      </c>
      <c r="G2318" s="364" t="s">
        <v>1185</v>
      </c>
      <c r="H2318" s="364" t="s">
        <v>1207</v>
      </c>
    </row>
    <row r="2319" ht="15.75" customHeight="1">
      <c r="A2319" s="364" t="s">
        <v>72</v>
      </c>
      <c r="B2319" s="364" t="s">
        <v>22</v>
      </c>
      <c r="C2319" s="365" t="s">
        <v>668</v>
      </c>
      <c r="D2319" s="364" t="s">
        <v>669</v>
      </c>
      <c r="E2319" s="366">
        <v>2.0</v>
      </c>
      <c r="F2319" s="367">
        <v>45679.375</v>
      </c>
      <c r="G2319" s="364" t="s">
        <v>1185</v>
      </c>
      <c r="H2319" s="364" t="s">
        <v>1207</v>
      </c>
    </row>
    <row r="2320" ht="15.75" customHeight="1">
      <c r="A2320" s="364" t="s">
        <v>72</v>
      </c>
      <c r="B2320" s="364" t="s">
        <v>22</v>
      </c>
      <c r="C2320" s="365" t="s">
        <v>668</v>
      </c>
      <c r="D2320" s="364" t="s">
        <v>669</v>
      </c>
      <c r="E2320" s="366">
        <v>3.0</v>
      </c>
      <c r="F2320" s="367">
        <v>45698.45833333333</v>
      </c>
      <c r="G2320" s="364" t="s">
        <v>1185</v>
      </c>
      <c r="H2320" s="364" t="s">
        <v>1207</v>
      </c>
    </row>
    <row r="2321" ht="15.75" customHeight="1">
      <c r="A2321" s="364" t="s">
        <v>72</v>
      </c>
      <c r="B2321" s="364" t="s">
        <v>22</v>
      </c>
      <c r="C2321" s="365" t="s">
        <v>668</v>
      </c>
      <c r="D2321" s="364" t="s">
        <v>669</v>
      </c>
      <c r="E2321" s="366">
        <v>4.0</v>
      </c>
      <c r="F2321" s="367">
        <v>45705.45833333333</v>
      </c>
      <c r="G2321" s="364" t="s">
        <v>1185</v>
      </c>
      <c r="H2321" s="364" t="s">
        <v>1207</v>
      </c>
    </row>
    <row r="2322" ht="15.75" customHeight="1">
      <c r="A2322" s="364" t="s">
        <v>72</v>
      </c>
      <c r="B2322" s="364" t="s">
        <v>22</v>
      </c>
      <c r="C2322" s="365" t="s">
        <v>668</v>
      </c>
      <c r="D2322" s="364" t="s">
        <v>669</v>
      </c>
      <c r="E2322" s="366">
        <v>5.0</v>
      </c>
      <c r="F2322" s="367">
        <v>45712.54166666667</v>
      </c>
      <c r="G2322" s="364" t="s">
        <v>1185</v>
      </c>
      <c r="H2322" s="364" t="s">
        <v>1207</v>
      </c>
    </row>
    <row r="2323" ht="15.75" customHeight="1">
      <c r="A2323" s="364" t="s">
        <v>72</v>
      </c>
      <c r="B2323" s="364" t="s">
        <v>22</v>
      </c>
      <c r="C2323" s="365" t="s">
        <v>668</v>
      </c>
      <c r="D2323" s="364" t="s">
        <v>669</v>
      </c>
      <c r="E2323" s="366">
        <v>6.0</v>
      </c>
      <c r="F2323" s="367">
        <v>45761.45833333333</v>
      </c>
      <c r="G2323" s="364" t="s">
        <v>1185</v>
      </c>
      <c r="H2323" s="364" t="s">
        <v>1207</v>
      </c>
    </row>
    <row r="2324" ht="15.75" customHeight="1">
      <c r="A2324" s="364" t="s">
        <v>72</v>
      </c>
      <c r="B2324" s="364" t="s">
        <v>22</v>
      </c>
      <c r="C2324" s="365" t="s">
        <v>668</v>
      </c>
      <c r="D2324" s="364" t="s">
        <v>669</v>
      </c>
      <c r="E2324" s="366">
        <v>7.0</v>
      </c>
      <c r="F2324" s="367">
        <v>45769.45833333333</v>
      </c>
      <c r="G2324" s="364" t="s">
        <v>1185</v>
      </c>
      <c r="H2324" s="364" t="s">
        <v>1207</v>
      </c>
    </row>
    <row r="2325" ht="15.75" customHeight="1">
      <c r="A2325" s="364" t="s">
        <v>72</v>
      </c>
      <c r="B2325" s="364" t="s">
        <v>22</v>
      </c>
      <c r="C2325" s="365" t="s">
        <v>668</v>
      </c>
      <c r="D2325" s="364" t="s">
        <v>669</v>
      </c>
      <c r="E2325" s="366">
        <v>8.0</v>
      </c>
      <c r="F2325" s="367">
        <v>45782.45833333333</v>
      </c>
      <c r="G2325" s="364" t="s">
        <v>1185</v>
      </c>
      <c r="H2325" s="364" t="s">
        <v>1207</v>
      </c>
    </row>
    <row r="2326" ht="15.75" customHeight="1">
      <c r="A2326" s="364" t="s">
        <v>72</v>
      </c>
      <c r="B2326" s="364" t="s">
        <v>22</v>
      </c>
      <c r="C2326" s="365" t="s">
        <v>668</v>
      </c>
      <c r="D2326" s="364" t="s">
        <v>669</v>
      </c>
      <c r="E2326" s="366">
        <v>9.0</v>
      </c>
      <c r="F2326" s="367">
        <v>45789.45833333333</v>
      </c>
      <c r="G2326" s="364" t="s">
        <v>1187</v>
      </c>
      <c r="H2326" s="364" t="s">
        <v>1207</v>
      </c>
    </row>
    <row r="2327" ht="15.75" customHeight="1">
      <c r="A2327" s="364" t="s">
        <v>72</v>
      </c>
      <c r="B2327" s="364" t="s">
        <v>22</v>
      </c>
      <c r="C2327" s="365" t="s">
        <v>668</v>
      </c>
      <c r="D2327" s="364" t="s">
        <v>669</v>
      </c>
      <c r="E2327" s="366">
        <v>10.0</v>
      </c>
      <c r="F2327" s="367">
        <v>45803.54166666667</v>
      </c>
      <c r="G2327" s="364" t="s">
        <v>1185</v>
      </c>
      <c r="H2327" s="364" t="s">
        <v>1207</v>
      </c>
    </row>
    <row r="2328" ht="15.75" customHeight="1">
      <c r="A2328" s="364" t="s">
        <v>72</v>
      </c>
      <c r="B2328" s="364" t="s">
        <v>22</v>
      </c>
      <c r="C2328" s="365" t="s">
        <v>668</v>
      </c>
      <c r="D2328" s="364" t="s">
        <v>669</v>
      </c>
      <c r="E2328" s="366">
        <v>11.0</v>
      </c>
      <c r="F2328" s="367">
        <v>45812.41666666667</v>
      </c>
      <c r="G2328" s="364" t="s">
        <v>1185</v>
      </c>
      <c r="H2328" s="364" t="s">
        <v>1207</v>
      </c>
    </row>
    <row r="2329" ht="15.75" customHeight="1">
      <c r="A2329" s="364" t="s">
        <v>72</v>
      </c>
      <c r="B2329" s="364" t="s">
        <v>22</v>
      </c>
      <c r="C2329" s="365" t="s">
        <v>668</v>
      </c>
      <c r="D2329" s="364" t="s">
        <v>669</v>
      </c>
      <c r="E2329" s="366">
        <v>12.0</v>
      </c>
      <c r="F2329" s="367">
        <v>45832.375</v>
      </c>
      <c r="G2329" s="364" t="s">
        <v>1185</v>
      </c>
      <c r="H2329" s="364" t="s">
        <v>1207</v>
      </c>
    </row>
    <row r="2330" ht="15.75" customHeight="1">
      <c r="A2330" s="364" t="s">
        <v>72</v>
      </c>
      <c r="B2330" s="364" t="s">
        <v>22</v>
      </c>
      <c r="C2330" s="365" t="s">
        <v>666</v>
      </c>
      <c r="D2330" s="364" t="s">
        <v>667</v>
      </c>
      <c r="E2330" s="366">
        <v>1.0</v>
      </c>
      <c r="F2330" s="367">
        <v>45670.54166666667</v>
      </c>
      <c r="G2330" s="364" t="s">
        <v>1185</v>
      </c>
      <c r="H2330" s="364" t="s">
        <v>1207</v>
      </c>
    </row>
    <row r="2331" ht="15.75" customHeight="1">
      <c r="A2331" s="364" t="s">
        <v>72</v>
      </c>
      <c r="B2331" s="364" t="s">
        <v>22</v>
      </c>
      <c r="C2331" s="365" t="s">
        <v>666</v>
      </c>
      <c r="D2331" s="364" t="s">
        <v>667</v>
      </c>
      <c r="E2331" s="366">
        <v>2.0</v>
      </c>
      <c r="F2331" s="367">
        <v>45679.375</v>
      </c>
      <c r="G2331" s="364" t="s">
        <v>1185</v>
      </c>
      <c r="H2331" s="364" t="s">
        <v>1207</v>
      </c>
    </row>
    <row r="2332" ht="15.75" customHeight="1">
      <c r="A2332" s="364" t="s">
        <v>72</v>
      </c>
      <c r="B2332" s="364" t="s">
        <v>22</v>
      </c>
      <c r="C2332" s="365" t="s">
        <v>666</v>
      </c>
      <c r="D2332" s="364" t="s">
        <v>667</v>
      </c>
      <c r="E2332" s="366">
        <v>3.0</v>
      </c>
      <c r="F2332" s="367">
        <v>45698.45833333333</v>
      </c>
      <c r="G2332" s="364" t="s">
        <v>1185</v>
      </c>
      <c r="H2332" s="364" t="s">
        <v>1207</v>
      </c>
    </row>
    <row r="2333" ht="15.75" customHeight="1">
      <c r="A2333" s="364" t="s">
        <v>72</v>
      </c>
      <c r="B2333" s="364" t="s">
        <v>22</v>
      </c>
      <c r="C2333" s="365" t="s">
        <v>666</v>
      </c>
      <c r="D2333" s="364" t="s">
        <v>667</v>
      </c>
      <c r="E2333" s="366">
        <v>4.0</v>
      </c>
      <c r="F2333" s="367">
        <v>45705.45833333333</v>
      </c>
      <c r="G2333" s="364" t="s">
        <v>1185</v>
      </c>
      <c r="H2333" s="364" t="s">
        <v>1207</v>
      </c>
    </row>
    <row r="2334" ht="15.75" customHeight="1">
      <c r="A2334" s="364" t="s">
        <v>72</v>
      </c>
      <c r="B2334" s="364" t="s">
        <v>22</v>
      </c>
      <c r="C2334" s="365" t="s">
        <v>666</v>
      </c>
      <c r="D2334" s="364" t="s">
        <v>667</v>
      </c>
      <c r="E2334" s="366">
        <v>5.0</v>
      </c>
      <c r="F2334" s="367">
        <v>45712.54166666667</v>
      </c>
      <c r="G2334" s="364" t="s">
        <v>1185</v>
      </c>
      <c r="H2334" s="364" t="s">
        <v>1207</v>
      </c>
    </row>
    <row r="2335" ht="15.75" customHeight="1">
      <c r="A2335" s="364" t="s">
        <v>72</v>
      </c>
      <c r="B2335" s="364" t="s">
        <v>22</v>
      </c>
      <c r="C2335" s="365" t="s">
        <v>666</v>
      </c>
      <c r="D2335" s="364" t="s">
        <v>667</v>
      </c>
      <c r="E2335" s="366">
        <v>6.0</v>
      </c>
      <c r="F2335" s="367">
        <v>45761.45833333333</v>
      </c>
      <c r="G2335" s="364" t="s">
        <v>1185</v>
      </c>
      <c r="H2335" s="364" t="s">
        <v>1207</v>
      </c>
    </row>
    <row r="2336" ht="15.75" customHeight="1">
      <c r="A2336" s="364" t="s">
        <v>72</v>
      </c>
      <c r="B2336" s="364" t="s">
        <v>22</v>
      </c>
      <c r="C2336" s="365" t="s">
        <v>666</v>
      </c>
      <c r="D2336" s="364" t="s">
        <v>667</v>
      </c>
      <c r="E2336" s="366">
        <v>7.0</v>
      </c>
      <c r="F2336" s="367">
        <v>45769.45833333333</v>
      </c>
      <c r="G2336" s="364" t="s">
        <v>1185</v>
      </c>
      <c r="H2336" s="364" t="s">
        <v>1207</v>
      </c>
    </row>
    <row r="2337" ht="15.75" customHeight="1">
      <c r="A2337" s="364" t="s">
        <v>72</v>
      </c>
      <c r="B2337" s="364" t="s">
        <v>22</v>
      </c>
      <c r="C2337" s="365" t="s">
        <v>666</v>
      </c>
      <c r="D2337" s="364" t="s">
        <v>667</v>
      </c>
      <c r="E2337" s="366">
        <v>8.0</v>
      </c>
      <c r="F2337" s="367">
        <v>45782.45833333333</v>
      </c>
      <c r="G2337" s="364" t="s">
        <v>1185</v>
      </c>
      <c r="H2337" s="364" t="s">
        <v>1207</v>
      </c>
    </row>
    <row r="2338" ht="15.75" customHeight="1">
      <c r="A2338" s="364" t="s">
        <v>72</v>
      </c>
      <c r="B2338" s="364" t="s">
        <v>22</v>
      </c>
      <c r="C2338" s="365" t="s">
        <v>666</v>
      </c>
      <c r="D2338" s="364" t="s">
        <v>667</v>
      </c>
      <c r="E2338" s="366">
        <v>9.0</v>
      </c>
      <c r="F2338" s="367">
        <v>45789.45833333333</v>
      </c>
      <c r="G2338" s="364" t="s">
        <v>1185</v>
      </c>
      <c r="H2338" s="364" t="s">
        <v>1207</v>
      </c>
    </row>
    <row r="2339" ht="15.75" customHeight="1">
      <c r="A2339" s="364" t="s">
        <v>72</v>
      </c>
      <c r="B2339" s="364" t="s">
        <v>22</v>
      </c>
      <c r="C2339" s="365" t="s">
        <v>666</v>
      </c>
      <c r="D2339" s="364" t="s">
        <v>667</v>
      </c>
      <c r="E2339" s="366">
        <v>10.0</v>
      </c>
      <c r="F2339" s="367">
        <v>45803.54166666667</v>
      </c>
      <c r="G2339" s="364" t="s">
        <v>1187</v>
      </c>
      <c r="H2339" s="364" t="s">
        <v>1207</v>
      </c>
    </row>
    <row r="2340" ht="15.75" customHeight="1">
      <c r="A2340" s="364" t="s">
        <v>72</v>
      </c>
      <c r="B2340" s="364" t="s">
        <v>22</v>
      </c>
      <c r="C2340" s="365" t="s">
        <v>666</v>
      </c>
      <c r="D2340" s="364" t="s">
        <v>667</v>
      </c>
      <c r="E2340" s="366">
        <v>11.0</v>
      </c>
      <c r="F2340" s="367">
        <v>45812.41666666667</v>
      </c>
      <c r="G2340" s="364" t="s">
        <v>1185</v>
      </c>
      <c r="H2340" s="364" t="s">
        <v>1207</v>
      </c>
    </row>
    <row r="2341" ht="15.75" customHeight="1">
      <c r="A2341" s="364" t="s">
        <v>72</v>
      </c>
      <c r="B2341" s="364" t="s">
        <v>22</v>
      </c>
      <c r="C2341" s="365" t="s">
        <v>666</v>
      </c>
      <c r="D2341" s="364" t="s">
        <v>667</v>
      </c>
      <c r="E2341" s="366">
        <v>12.0</v>
      </c>
      <c r="F2341" s="367">
        <v>45832.375</v>
      </c>
      <c r="G2341" s="364" t="s">
        <v>1185</v>
      </c>
      <c r="H2341" s="364" t="s">
        <v>1207</v>
      </c>
    </row>
    <row r="2342" ht="15.75" customHeight="1">
      <c r="A2342" s="364" t="s">
        <v>72</v>
      </c>
      <c r="B2342" s="364" t="s">
        <v>23</v>
      </c>
      <c r="C2342" s="365" t="s">
        <v>653</v>
      </c>
      <c r="D2342" s="364" t="s">
        <v>654</v>
      </c>
      <c r="E2342" s="366">
        <v>1.0</v>
      </c>
      <c r="F2342" s="367">
        <v>45866.54166666667</v>
      </c>
      <c r="G2342" s="364" t="s">
        <v>1185</v>
      </c>
      <c r="H2342" s="364" t="s">
        <v>1207</v>
      </c>
    </row>
    <row r="2343" ht="15.75" customHeight="1">
      <c r="A2343" s="364" t="s">
        <v>72</v>
      </c>
      <c r="B2343" s="364" t="s">
        <v>23</v>
      </c>
      <c r="C2343" s="365" t="s">
        <v>653</v>
      </c>
      <c r="D2343" s="364" t="s">
        <v>654</v>
      </c>
      <c r="E2343" s="366">
        <v>2.0</v>
      </c>
      <c r="F2343" s="367">
        <v>45910.45833333333</v>
      </c>
      <c r="G2343" s="364" t="s">
        <v>1185</v>
      </c>
      <c r="H2343" s="364" t="s">
        <v>1207</v>
      </c>
    </row>
    <row r="2344" ht="15.75" customHeight="1">
      <c r="A2344" s="364" t="s">
        <v>72</v>
      </c>
      <c r="B2344" s="364" t="s">
        <v>23</v>
      </c>
      <c r="C2344" s="365" t="s">
        <v>653</v>
      </c>
      <c r="D2344" s="364" t="s">
        <v>654</v>
      </c>
      <c r="E2344" s="366">
        <v>3.0</v>
      </c>
      <c r="F2344" s="367">
        <v>45915.45833333333</v>
      </c>
      <c r="G2344" s="364" t="s">
        <v>1185</v>
      </c>
      <c r="H2344" s="364" t="s">
        <v>1207</v>
      </c>
    </row>
    <row r="2345" ht="15.75" customHeight="1">
      <c r="A2345" s="364" t="s">
        <v>72</v>
      </c>
      <c r="B2345" s="364" t="s">
        <v>23</v>
      </c>
      <c r="C2345" s="365" t="s">
        <v>653</v>
      </c>
      <c r="D2345" s="364" t="s">
        <v>654</v>
      </c>
      <c r="E2345" s="366">
        <v>4.0</v>
      </c>
      <c r="F2345" s="367">
        <v>45922.45833333333</v>
      </c>
      <c r="G2345" s="364" t="s">
        <v>1185</v>
      </c>
      <c r="H2345" s="364" t="s">
        <v>1207</v>
      </c>
    </row>
    <row r="2346" ht="15.75" customHeight="1">
      <c r="A2346" s="364" t="s">
        <v>72</v>
      </c>
      <c r="B2346" s="364" t="s">
        <v>23</v>
      </c>
      <c r="C2346" s="365" t="s">
        <v>653</v>
      </c>
      <c r="D2346" s="364" t="s">
        <v>654</v>
      </c>
      <c r="E2346" s="366">
        <v>5.0</v>
      </c>
      <c r="F2346" s="367">
        <v>45929.45833333333</v>
      </c>
      <c r="G2346" s="364" t="s">
        <v>1185</v>
      </c>
      <c r="H2346" s="364" t="s">
        <v>1207</v>
      </c>
    </row>
    <row r="2347" ht="15.75" customHeight="1">
      <c r="A2347" s="364" t="s">
        <v>72</v>
      </c>
      <c r="B2347" s="364" t="s">
        <v>23</v>
      </c>
      <c r="C2347" s="365" t="s">
        <v>653</v>
      </c>
      <c r="D2347" s="364" t="s">
        <v>654</v>
      </c>
      <c r="E2347" s="366">
        <v>6.0</v>
      </c>
      <c r="F2347" s="367">
        <v>45943.41666666667</v>
      </c>
      <c r="G2347" s="364" t="s">
        <v>1185</v>
      </c>
      <c r="H2347" s="364" t="s">
        <v>1207</v>
      </c>
    </row>
    <row r="2348" ht="15.75" customHeight="1">
      <c r="A2348" s="364" t="s">
        <v>72</v>
      </c>
      <c r="B2348" s="364" t="s">
        <v>23</v>
      </c>
      <c r="C2348" s="365" t="s">
        <v>653</v>
      </c>
      <c r="D2348" s="364" t="s">
        <v>654</v>
      </c>
      <c r="E2348" s="366">
        <v>7.0</v>
      </c>
      <c r="F2348" s="367">
        <v>45944.58333333333</v>
      </c>
      <c r="G2348" s="364" t="s">
        <v>1185</v>
      </c>
      <c r="H2348" s="364" t="s">
        <v>1207</v>
      </c>
    </row>
    <row r="2349" ht="15.75" customHeight="1">
      <c r="A2349" s="364" t="s">
        <v>72</v>
      </c>
      <c r="B2349" s="364" t="s">
        <v>23</v>
      </c>
      <c r="C2349" s="365" t="s">
        <v>653</v>
      </c>
      <c r="D2349" s="364" t="s">
        <v>654</v>
      </c>
      <c r="E2349" s="366">
        <v>9.0</v>
      </c>
      <c r="F2349" s="367">
        <v>45957.41666666667</v>
      </c>
      <c r="G2349" s="364" t="s">
        <v>1185</v>
      </c>
      <c r="H2349" s="364" t="s">
        <v>1207</v>
      </c>
    </row>
    <row r="2350" ht="15.75" customHeight="1">
      <c r="A2350" s="364" t="s">
        <v>72</v>
      </c>
      <c r="B2350" s="364" t="s">
        <v>23</v>
      </c>
      <c r="C2350" s="365" t="s">
        <v>653</v>
      </c>
      <c r="D2350" s="364" t="s">
        <v>654</v>
      </c>
      <c r="E2350" s="366">
        <v>10.0</v>
      </c>
      <c r="F2350" s="367">
        <v>45964.58333333333</v>
      </c>
      <c r="G2350" s="364" t="s">
        <v>1185</v>
      </c>
      <c r="H2350" s="364" t="s">
        <v>1207</v>
      </c>
    </row>
    <row r="2351" ht="15.75" customHeight="1">
      <c r="A2351" s="364" t="s">
        <v>72</v>
      </c>
      <c r="B2351" s="364" t="s">
        <v>23</v>
      </c>
      <c r="C2351" s="365" t="s">
        <v>653</v>
      </c>
      <c r="D2351" s="364" t="s">
        <v>654</v>
      </c>
      <c r="E2351" s="366">
        <v>11.0</v>
      </c>
      <c r="F2351" s="367">
        <v>45971.54166666667</v>
      </c>
      <c r="G2351" s="364" t="s">
        <v>1185</v>
      </c>
      <c r="H2351" s="364" t="s">
        <v>1207</v>
      </c>
    </row>
    <row r="2352" ht="15.75" customHeight="1">
      <c r="A2352" s="364" t="s">
        <v>72</v>
      </c>
      <c r="B2352" s="364" t="s">
        <v>23</v>
      </c>
      <c r="C2352" s="365" t="s">
        <v>653</v>
      </c>
      <c r="D2352" s="364" t="s">
        <v>654</v>
      </c>
      <c r="E2352" s="366">
        <v>12.0</v>
      </c>
      <c r="F2352" s="367">
        <v>45985.58333333333</v>
      </c>
      <c r="G2352" s="364" t="s">
        <v>1185</v>
      </c>
      <c r="H2352" s="364" t="s">
        <v>1207</v>
      </c>
    </row>
    <row r="2353" ht="15.75" customHeight="1">
      <c r="A2353" s="364" t="s">
        <v>72</v>
      </c>
      <c r="B2353" s="364" t="s">
        <v>23</v>
      </c>
      <c r="C2353" s="365" t="s">
        <v>653</v>
      </c>
      <c r="D2353" s="364" t="s">
        <v>654</v>
      </c>
      <c r="E2353" s="366">
        <v>13.0</v>
      </c>
      <c r="F2353" s="367">
        <v>45992.54166666667</v>
      </c>
      <c r="G2353" s="364" t="s">
        <v>1185</v>
      </c>
      <c r="H2353" s="364" t="s">
        <v>1207</v>
      </c>
    </row>
    <row r="2354" ht="15.75" customHeight="1">
      <c r="A2354" s="364" t="s">
        <v>72</v>
      </c>
      <c r="B2354" s="364" t="s">
        <v>23</v>
      </c>
      <c r="C2354" s="365" t="s">
        <v>653</v>
      </c>
      <c r="D2354" s="364" t="s">
        <v>654</v>
      </c>
      <c r="E2354" s="366">
        <v>14.0</v>
      </c>
      <c r="F2354" s="367">
        <v>45999.41666666667</v>
      </c>
      <c r="G2354" s="364" t="s">
        <v>1187</v>
      </c>
      <c r="H2354" s="364" t="s">
        <v>1207</v>
      </c>
    </row>
    <row r="2355" ht="15.75" customHeight="1">
      <c r="A2355" s="364" t="s">
        <v>72</v>
      </c>
      <c r="B2355" s="364" t="s">
        <v>23</v>
      </c>
      <c r="C2355" s="365" t="s">
        <v>653</v>
      </c>
      <c r="D2355" s="364" t="s">
        <v>654</v>
      </c>
      <c r="E2355" s="366">
        <v>15.0</v>
      </c>
      <c r="F2355" s="367">
        <v>46006.45833333333</v>
      </c>
      <c r="G2355" s="364" t="s">
        <v>1185</v>
      </c>
      <c r="H2355" s="364" t="s">
        <v>1207</v>
      </c>
    </row>
    <row r="2356" ht="15.75" customHeight="1">
      <c r="A2356" s="364" t="s">
        <v>72</v>
      </c>
      <c r="B2356" s="364" t="s">
        <v>23</v>
      </c>
      <c r="C2356" s="365" t="s">
        <v>653</v>
      </c>
      <c r="D2356" s="364" t="s">
        <v>654</v>
      </c>
      <c r="E2356" s="366">
        <v>16.0</v>
      </c>
      <c r="F2356" s="367">
        <v>46048.41666666667</v>
      </c>
      <c r="G2356" s="364" t="s">
        <v>1185</v>
      </c>
      <c r="H2356" s="364" t="s">
        <v>1207</v>
      </c>
    </row>
    <row r="2357" ht="15.75" customHeight="1">
      <c r="A2357" s="364" t="s">
        <v>72</v>
      </c>
      <c r="B2357" s="364" t="s">
        <v>23</v>
      </c>
      <c r="C2357" s="365" t="s">
        <v>111</v>
      </c>
      <c r="D2357" s="364" t="s">
        <v>655</v>
      </c>
      <c r="E2357" s="366">
        <v>1.0</v>
      </c>
      <c r="F2357" s="367">
        <v>45866.54166666667</v>
      </c>
      <c r="G2357" s="364" t="s">
        <v>1185</v>
      </c>
      <c r="H2357" s="364" t="s">
        <v>1207</v>
      </c>
    </row>
    <row r="2358" ht="15.75" customHeight="1">
      <c r="A2358" s="364" t="s">
        <v>72</v>
      </c>
      <c r="B2358" s="364" t="s">
        <v>23</v>
      </c>
      <c r="C2358" s="365" t="s">
        <v>111</v>
      </c>
      <c r="D2358" s="364" t="s">
        <v>655</v>
      </c>
      <c r="E2358" s="366">
        <v>2.0</v>
      </c>
      <c r="F2358" s="367">
        <v>45910.45833333333</v>
      </c>
      <c r="G2358" s="364" t="s">
        <v>1185</v>
      </c>
      <c r="H2358" s="364" t="s">
        <v>1207</v>
      </c>
    </row>
    <row r="2359" ht="15.75" customHeight="1">
      <c r="A2359" s="364" t="s">
        <v>72</v>
      </c>
      <c r="B2359" s="364" t="s">
        <v>23</v>
      </c>
      <c r="C2359" s="365" t="s">
        <v>111</v>
      </c>
      <c r="D2359" s="364" t="s">
        <v>655</v>
      </c>
      <c r="E2359" s="366">
        <v>3.0</v>
      </c>
      <c r="F2359" s="367">
        <v>45915.45833333333</v>
      </c>
      <c r="G2359" s="364" t="s">
        <v>1185</v>
      </c>
      <c r="H2359" s="364" t="s">
        <v>1207</v>
      </c>
    </row>
    <row r="2360" ht="15.75" customHeight="1">
      <c r="A2360" s="364" t="s">
        <v>72</v>
      </c>
      <c r="B2360" s="364" t="s">
        <v>23</v>
      </c>
      <c r="C2360" s="365" t="s">
        <v>111</v>
      </c>
      <c r="D2360" s="364" t="s">
        <v>655</v>
      </c>
      <c r="E2360" s="366">
        <v>4.0</v>
      </c>
      <c r="F2360" s="367">
        <v>45922.45833333333</v>
      </c>
      <c r="G2360" s="364" t="s">
        <v>1185</v>
      </c>
      <c r="H2360" s="364" t="s">
        <v>1207</v>
      </c>
    </row>
    <row r="2361" ht="15.75" customHeight="1">
      <c r="A2361" s="364" t="s">
        <v>72</v>
      </c>
      <c r="B2361" s="364" t="s">
        <v>23</v>
      </c>
      <c r="C2361" s="365" t="s">
        <v>111</v>
      </c>
      <c r="D2361" s="364" t="s">
        <v>655</v>
      </c>
      <c r="E2361" s="366">
        <v>5.0</v>
      </c>
      <c r="F2361" s="367">
        <v>45929.45833333333</v>
      </c>
      <c r="G2361" s="364" t="s">
        <v>1185</v>
      </c>
      <c r="H2361" s="364" t="s">
        <v>1207</v>
      </c>
    </row>
    <row r="2362" ht="15.75" customHeight="1">
      <c r="A2362" s="364" t="s">
        <v>72</v>
      </c>
      <c r="B2362" s="364" t="s">
        <v>23</v>
      </c>
      <c r="C2362" s="365" t="s">
        <v>111</v>
      </c>
      <c r="D2362" s="364" t="s">
        <v>655</v>
      </c>
      <c r="E2362" s="366">
        <v>6.0</v>
      </c>
      <c r="F2362" s="367">
        <v>45943.41666666667</v>
      </c>
      <c r="G2362" s="364" t="s">
        <v>1185</v>
      </c>
      <c r="H2362" s="364" t="s">
        <v>1207</v>
      </c>
    </row>
    <row r="2363" ht="15.75" customHeight="1">
      <c r="A2363" s="364" t="s">
        <v>72</v>
      </c>
      <c r="B2363" s="364" t="s">
        <v>23</v>
      </c>
      <c r="C2363" s="365" t="s">
        <v>111</v>
      </c>
      <c r="D2363" s="364" t="s">
        <v>655</v>
      </c>
      <c r="E2363" s="366">
        <v>7.0</v>
      </c>
      <c r="F2363" s="367">
        <v>45944.58333333333</v>
      </c>
      <c r="G2363" s="364" t="s">
        <v>1185</v>
      </c>
      <c r="H2363" s="364" t="s">
        <v>1207</v>
      </c>
    </row>
    <row r="2364" ht="15.75" customHeight="1">
      <c r="A2364" s="364" t="s">
        <v>72</v>
      </c>
      <c r="B2364" s="364" t="s">
        <v>23</v>
      </c>
      <c r="C2364" s="365" t="s">
        <v>111</v>
      </c>
      <c r="D2364" s="364" t="s">
        <v>655</v>
      </c>
      <c r="E2364" s="366">
        <v>9.0</v>
      </c>
      <c r="F2364" s="367">
        <v>45957.41666666667</v>
      </c>
      <c r="G2364" s="364" t="s">
        <v>1185</v>
      </c>
      <c r="H2364" s="364" t="s">
        <v>1207</v>
      </c>
    </row>
    <row r="2365" ht="15.75" customHeight="1">
      <c r="A2365" s="364" t="s">
        <v>72</v>
      </c>
      <c r="B2365" s="364" t="s">
        <v>23</v>
      </c>
      <c r="C2365" s="365" t="s">
        <v>111</v>
      </c>
      <c r="D2365" s="364" t="s">
        <v>655</v>
      </c>
      <c r="E2365" s="366">
        <v>10.0</v>
      </c>
      <c r="F2365" s="367">
        <v>45964.58333333333</v>
      </c>
      <c r="G2365" s="364" t="s">
        <v>1185</v>
      </c>
      <c r="H2365" s="364" t="s">
        <v>1207</v>
      </c>
    </row>
    <row r="2366" ht="15.75" customHeight="1">
      <c r="A2366" s="364" t="s">
        <v>72</v>
      </c>
      <c r="B2366" s="364" t="s">
        <v>23</v>
      </c>
      <c r="C2366" s="365" t="s">
        <v>111</v>
      </c>
      <c r="D2366" s="364" t="s">
        <v>655</v>
      </c>
      <c r="E2366" s="366">
        <v>11.0</v>
      </c>
      <c r="F2366" s="367">
        <v>45971.54166666667</v>
      </c>
      <c r="G2366" s="364" t="s">
        <v>1185</v>
      </c>
      <c r="H2366" s="364" t="s">
        <v>1207</v>
      </c>
    </row>
    <row r="2367" ht="15.75" customHeight="1">
      <c r="A2367" s="364" t="s">
        <v>72</v>
      </c>
      <c r="B2367" s="364" t="s">
        <v>23</v>
      </c>
      <c r="C2367" s="365" t="s">
        <v>111</v>
      </c>
      <c r="D2367" s="364" t="s">
        <v>655</v>
      </c>
      <c r="E2367" s="366">
        <v>12.0</v>
      </c>
      <c r="F2367" s="367">
        <v>45985.58333333333</v>
      </c>
      <c r="G2367" s="364" t="s">
        <v>1185</v>
      </c>
      <c r="H2367" s="364" t="s">
        <v>1207</v>
      </c>
    </row>
    <row r="2368" ht="15.75" customHeight="1">
      <c r="A2368" s="364" t="s">
        <v>72</v>
      </c>
      <c r="B2368" s="364" t="s">
        <v>23</v>
      </c>
      <c r="C2368" s="365" t="s">
        <v>111</v>
      </c>
      <c r="D2368" s="364" t="s">
        <v>655</v>
      </c>
      <c r="E2368" s="366">
        <v>13.0</v>
      </c>
      <c r="F2368" s="367">
        <v>45992.54166666667</v>
      </c>
      <c r="G2368" s="364" t="s">
        <v>1185</v>
      </c>
      <c r="H2368" s="364" t="s">
        <v>1207</v>
      </c>
    </row>
    <row r="2369" ht="15.75" customHeight="1">
      <c r="A2369" s="364" t="s">
        <v>72</v>
      </c>
      <c r="B2369" s="364" t="s">
        <v>23</v>
      </c>
      <c r="C2369" s="365" t="s">
        <v>111</v>
      </c>
      <c r="D2369" s="364" t="s">
        <v>655</v>
      </c>
      <c r="E2369" s="366">
        <v>14.0</v>
      </c>
      <c r="F2369" s="367">
        <v>45999.41666666667</v>
      </c>
      <c r="G2369" s="364" t="s">
        <v>1185</v>
      </c>
      <c r="H2369" s="364" t="s">
        <v>1207</v>
      </c>
    </row>
    <row r="2370" ht="15.75" customHeight="1">
      <c r="A2370" s="364" t="s">
        <v>72</v>
      </c>
      <c r="B2370" s="364" t="s">
        <v>23</v>
      </c>
      <c r="C2370" s="365" t="s">
        <v>111</v>
      </c>
      <c r="D2370" s="364" t="s">
        <v>655</v>
      </c>
      <c r="E2370" s="366">
        <v>15.0</v>
      </c>
      <c r="F2370" s="367">
        <v>46006.45833333333</v>
      </c>
      <c r="G2370" s="364" t="s">
        <v>1185</v>
      </c>
      <c r="H2370" s="364" t="s">
        <v>1207</v>
      </c>
    </row>
    <row r="2371" ht="15.75" customHeight="1">
      <c r="A2371" s="364" t="s">
        <v>72</v>
      </c>
      <c r="B2371" s="364" t="s">
        <v>23</v>
      </c>
      <c r="C2371" s="365" t="s">
        <v>111</v>
      </c>
      <c r="D2371" s="364" t="s">
        <v>655</v>
      </c>
      <c r="E2371" s="366">
        <v>16.0</v>
      </c>
      <c r="F2371" s="367">
        <v>46048.41666666667</v>
      </c>
      <c r="G2371" s="364" t="s">
        <v>1185</v>
      </c>
      <c r="H2371" s="364" t="s">
        <v>1207</v>
      </c>
    </row>
    <row r="2372" ht="15.75" customHeight="1">
      <c r="A2372" s="364" t="s">
        <v>72</v>
      </c>
      <c r="B2372" s="364" t="s">
        <v>23</v>
      </c>
      <c r="C2372" s="365" t="s">
        <v>658</v>
      </c>
      <c r="D2372" s="364" t="s">
        <v>659</v>
      </c>
      <c r="E2372" s="366">
        <v>1.0</v>
      </c>
      <c r="F2372" s="367">
        <v>45866.54166666667</v>
      </c>
      <c r="G2372" s="364" t="s">
        <v>1187</v>
      </c>
      <c r="H2372" s="364" t="s">
        <v>1207</v>
      </c>
    </row>
    <row r="2373" ht="15.75" customHeight="1">
      <c r="A2373" s="364" t="s">
        <v>72</v>
      </c>
      <c r="B2373" s="364" t="s">
        <v>23</v>
      </c>
      <c r="C2373" s="365" t="s">
        <v>658</v>
      </c>
      <c r="D2373" s="364" t="s">
        <v>659</v>
      </c>
      <c r="E2373" s="366">
        <v>2.0</v>
      </c>
      <c r="F2373" s="367">
        <v>45910.45833333333</v>
      </c>
      <c r="G2373" s="364" t="s">
        <v>1185</v>
      </c>
      <c r="H2373" s="364" t="s">
        <v>1207</v>
      </c>
    </row>
    <row r="2374" ht="15.75" customHeight="1">
      <c r="A2374" s="364" t="s">
        <v>72</v>
      </c>
      <c r="B2374" s="364" t="s">
        <v>23</v>
      </c>
      <c r="C2374" s="365" t="s">
        <v>658</v>
      </c>
      <c r="D2374" s="364" t="s">
        <v>659</v>
      </c>
      <c r="E2374" s="366">
        <v>3.0</v>
      </c>
      <c r="F2374" s="367">
        <v>45915.45833333333</v>
      </c>
      <c r="G2374" s="364" t="s">
        <v>1185</v>
      </c>
      <c r="H2374" s="364" t="s">
        <v>1207</v>
      </c>
    </row>
    <row r="2375" ht="15.75" customHeight="1">
      <c r="A2375" s="364" t="s">
        <v>72</v>
      </c>
      <c r="B2375" s="364" t="s">
        <v>23</v>
      </c>
      <c r="C2375" s="365" t="s">
        <v>658</v>
      </c>
      <c r="D2375" s="364" t="s">
        <v>659</v>
      </c>
      <c r="E2375" s="366">
        <v>4.0</v>
      </c>
      <c r="F2375" s="367">
        <v>45922.45833333333</v>
      </c>
      <c r="G2375" s="364" t="s">
        <v>1185</v>
      </c>
      <c r="H2375" s="364" t="s">
        <v>1207</v>
      </c>
    </row>
    <row r="2376" ht="15.75" customHeight="1">
      <c r="A2376" s="364" t="s">
        <v>72</v>
      </c>
      <c r="B2376" s="364" t="s">
        <v>23</v>
      </c>
      <c r="C2376" s="365" t="s">
        <v>658</v>
      </c>
      <c r="D2376" s="364" t="s">
        <v>659</v>
      </c>
      <c r="E2376" s="366">
        <v>5.0</v>
      </c>
      <c r="F2376" s="367">
        <v>45929.45833333333</v>
      </c>
      <c r="G2376" s="364" t="s">
        <v>1185</v>
      </c>
      <c r="H2376" s="364" t="s">
        <v>1207</v>
      </c>
    </row>
    <row r="2377" ht="15.75" customHeight="1">
      <c r="A2377" s="364" t="s">
        <v>72</v>
      </c>
      <c r="B2377" s="364" t="s">
        <v>23</v>
      </c>
      <c r="C2377" s="365" t="s">
        <v>658</v>
      </c>
      <c r="D2377" s="364" t="s">
        <v>659</v>
      </c>
      <c r="E2377" s="366">
        <v>6.0</v>
      </c>
      <c r="F2377" s="367">
        <v>45943.41666666667</v>
      </c>
      <c r="G2377" s="364" t="s">
        <v>1185</v>
      </c>
      <c r="H2377" s="364" t="s">
        <v>1207</v>
      </c>
    </row>
    <row r="2378" ht="15.75" customHeight="1">
      <c r="A2378" s="364" t="s">
        <v>72</v>
      </c>
      <c r="B2378" s="364" t="s">
        <v>23</v>
      </c>
      <c r="C2378" s="365" t="s">
        <v>658</v>
      </c>
      <c r="D2378" s="364" t="s">
        <v>659</v>
      </c>
      <c r="E2378" s="366">
        <v>7.0</v>
      </c>
      <c r="F2378" s="367">
        <v>45944.58333333333</v>
      </c>
      <c r="G2378" s="364" t="s">
        <v>1185</v>
      </c>
      <c r="H2378" s="364" t="s">
        <v>1207</v>
      </c>
    </row>
    <row r="2379" ht="15.75" customHeight="1">
      <c r="A2379" s="364" t="s">
        <v>72</v>
      </c>
      <c r="B2379" s="364" t="s">
        <v>23</v>
      </c>
      <c r="C2379" s="365" t="s">
        <v>658</v>
      </c>
      <c r="D2379" s="364" t="s">
        <v>659</v>
      </c>
      <c r="E2379" s="366">
        <v>9.0</v>
      </c>
      <c r="F2379" s="367">
        <v>45957.41666666667</v>
      </c>
      <c r="G2379" s="364" t="s">
        <v>1185</v>
      </c>
      <c r="H2379" s="364" t="s">
        <v>1207</v>
      </c>
    </row>
    <row r="2380" ht="15.75" customHeight="1">
      <c r="A2380" s="364" t="s">
        <v>72</v>
      </c>
      <c r="B2380" s="364" t="s">
        <v>23</v>
      </c>
      <c r="C2380" s="365" t="s">
        <v>658</v>
      </c>
      <c r="D2380" s="364" t="s">
        <v>659</v>
      </c>
      <c r="E2380" s="366">
        <v>10.0</v>
      </c>
      <c r="F2380" s="367">
        <v>45964.58333333333</v>
      </c>
      <c r="G2380" s="364" t="s">
        <v>1185</v>
      </c>
      <c r="H2380" s="364" t="s">
        <v>1207</v>
      </c>
    </row>
    <row r="2381" ht="15.75" customHeight="1">
      <c r="A2381" s="364" t="s">
        <v>72</v>
      </c>
      <c r="B2381" s="364" t="s">
        <v>23</v>
      </c>
      <c r="C2381" s="365" t="s">
        <v>658</v>
      </c>
      <c r="D2381" s="364" t="s">
        <v>659</v>
      </c>
      <c r="E2381" s="366">
        <v>11.0</v>
      </c>
      <c r="F2381" s="367">
        <v>45971.54166666667</v>
      </c>
      <c r="G2381" s="364" t="s">
        <v>1185</v>
      </c>
      <c r="H2381" s="364" t="s">
        <v>1207</v>
      </c>
    </row>
    <row r="2382" ht="15.75" customHeight="1">
      <c r="A2382" s="364" t="s">
        <v>72</v>
      </c>
      <c r="B2382" s="364" t="s">
        <v>23</v>
      </c>
      <c r="C2382" s="365" t="s">
        <v>658</v>
      </c>
      <c r="D2382" s="364" t="s">
        <v>659</v>
      </c>
      <c r="E2382" s="366">
        <v>12.0</v>
      </c>
      <c r="F2382" s="367">
        <v>45985.58333333333</v>
      </c>
      <c r="G2382" s="364" t="s">
        <v>1185</v>
      </c>
      <c r="H2382" s="364" t="s">
        <v>1207</v>
      </c>
    </row>
    <row r="2383" ht="15.75" customHeight="1">
      <c r="A2383" s="364" t="s">
        <v>72</v>
      </c>
      <c r="B2383" s="364" t="s">
        <v>23</v>
      </c>
      <c r="C2383" s="365" t="s">
        <v>658</v>
      </c>
      <c r="D2383" s="364" t="s">
        <v>659</v>
      </c>
      <c r="E2383" s="366">
        <v>13.0</v>
      </c>
      <c r="F2383" s="367">
        <v>45992.54166666667</v>
      </c>
      <c r="G2383" s="364" t="s">
        <v>1185</v>
      </c>
      <c r="H2383" s="364" t="s">
        <v>1207</v>
      </c>
    </row>
    <row r="2384" ht="15.75" customHeight="1">
      <c r="A2384" s="364" t="s">
        <v>72</v>
      </c>
      <c r="B2384" s="364" t="s">
        <v>23</v>
      </c>
      <c r="C2384" s="365" t="s">
        <v>658</v>
      </c>
      <c r="D2384" s="364" t="s">
        <v>659</v>
      </c>
      <c r="E2384" s="366">
        <v>14.0</v>
      </c>
      <c r="F2384" s="367">
        <v>45999.41666666667</v>
      </c>
      <c r="G2384" s="364" t="s">
        <v>1185</v>
      </c>
      <c r="H2384" s="364" t="s">
        <v>1207</v>
      </c>
    </row>
    <row r="2385" ht="15.75" customHeight="1">
      <c r="A2385" s="364" t="s">
        <v>72</v>
      </c>
      <c r="B2385" s="364" t="s">
        <v>23</v>
      </c>
      <c r="C2385" s="365" t="s">
        <v>658</v>
      </c>
      <c r="D2385" s="364" t="s">
        <v>659</v>
      </c>
      <c r="E2385" s="366">
        <v>15.0</v>
      </c>
      <c r="F2385" s="367">
        <v>46006.45833333333</v>
      </c>
      <c r="G2385" s="364" t="s">
        <v>1185</v>
      </c>
      <c r="H2385" s="364" t="s">
        <v>1207</v>
      </c>
    </row>
    <row r="2386" ht="15.75" customHeight="1">
      <c r="A2386" s="364" t="s">
        <v>72</v>
      </c>
      <c r="B2386" s="364" t="s">
        <v>23</v>
      </c>
      <c r="C2386" s="365" t="s">
        <v>658</v>
      </c>
      <c r="D2386" s="364" t="s">
        <v>659</v>
      </c>
      <c r="E2386" s="366">
        <v>16.0</v>
      </c>
      <c r="F2386" s="367">
        <v>46048.41666666667</v>
      </c>
      <c r="G2386" s="364" t="s">
        <v>1185</v>
      </c>
      <c r="H2386" s="364" t="s">
        <v>1207</v>
      </c>
    </row>
    <row r="2387" ht="15.75" customHeight="1">
      <c r="A2387" s="364" t="s">
        <v>72</v>
      </c>
      <c r="B2387" s="364" t="s">
        <v>23</v>
      </c>
      <c r="C2387" s="365" t="s">
        <v>671</v>
      </c>
      <c r="D2387" s="364" t="s">
        <v>672</v>
      </c>
      <c r="E2387" s="366">
        <v>1.0</v>
      </c>
      <c r="F2387" s="367">
        <v>45866.54166666667</v>
      </c>
      <c r="G2387" s="364" t="s">
        <v>1185</v>
      </c>
      <c r="H2387" s="364" t="s">
        <v>1207</v>
      </c>
    </row>
    <row r="2388" ht="15.75" customHeight="1">
      <c r="A2388" s="364" t="s">
        <v>72</v>
      </c>
      <c r="B2388" s="364" t="s">
        <v>23</v>
      </c>
      <c r="C2388" s="365" t="s">
        <v>671</v>
      </c>
      <c r="D2388" s="364" t="s">
        <v>672</v>
      </c>
      <c r="E2388" s="366">
        <v>2.0</v>
      </c>
      <c r="F2388" s="367">
        <v>45910.45833333333</v>
      </c>
      <c r="G2388" s="364" t="s">
        <v>1185</v>
      </c>
      <c r="H2388" s="364" t="s">
        <v>1207</v>
      </c>
    </row>
    <row r="2389" ht="15.75" customHeight="1">
      <c r="A2389" s="364" t="s">
        <v>72</v>
      </c>
      <c r="B2389" s="364" t="s">
        <v>23</v>
      </c>
      <c r="C2389" s="365" t="s">
        <v>671</v>
      </c>
      <c r="D2389" s="364" t="s">
        <v>672</v>
      </c>
      <c r="E2389" s="366">
        <v>3.0</v>
      </c>
      <c r="F2389" s="367">
        <v>45915.45833333333</v>
      </c>
      <c r="G2389" s="364" t="s">
        <v>1185</v>
      </c>
      <c r="H2389" s="364" t="s">
        <v>1207</v>
      </c>
    </row>
    <row r="2390" ht="15.75" customHeight="1">
      <c r="A2390" s="364" t="s">
        <v>72</v>
      </c>
      <c r="B2390" s="364" t="s">
        <v>23</v>
      </c>
      <c r="C2390" s="365" t="s">
        <v>671</v>
      </c>
      <c r="D2390" s="364" t="s">
        <v>672</v>
      </c>
      <c r="E2390" s="366">
        <v>4.0</v>
      </c>
      <c r="F2390" s="367">
        <v>45922.45833333333</v>
      </c>
      <c r="G2390" s="364" t="s">
        <v>1185</v>
      </c>
      <c r="H2390" s="364" t="s">
        <v>1207</v>
      </c>
    </row>
    <row r="2391" ht="15.75" customHeight="1">
      <c r="A2391" s="364" t="s">
        <v>72</v>
      </c>
      <c r="B2391" s="364" t="s">
        <v>23</v>
      </c>
      <c r="C2391" s="365" t="s">
        <v>671</v>
      </c>
      <c r="D2391" s="364" t="s">
        <v>672</v>
      </c>
      <c r="E2391" s="366">
        <v>5.0</v>
      </c>
      <c r="F2391" s="367">
        <v>45929.45833333333</v>
      </c>
      <c r="G2391" s="364" t="s">
        <v>1187</v>
      </c>
      <c r="H2391" s="364" t="s">
        <v>1207</v>
      </c>
    </row>
    <row r="2392" ht="15.75" customHeight="1">
      <c r="A2392" s="364" t="s">
        <v>72</v>
      </c>
      <c r="B2392" s="364" t="s">
        <v>23</v>
      </c>
      <c r="C2392" s="365" t="s">
        <v>671</v>
      </c>
      <c r="D2392" s="364" t="s">
        <v>672</v>
      </c>
      <c r="E2392" s="366">
        <v>6.0</v>
      </c>
      <c r="F2392" s="367">
        <v>45943.41666666667</v>
      </c>
      <c r="G2392" s="364" t="s">
        <v>1185</v>
      </c>
      <c r="H2392" s="364" t="s">
        <v>1207</v>
      </c>
    </row>
    <row r="2393" ht="15.75" customHeight="1">
      <c r="A2393" s="364" t="s">
        <v>72</v>
      </c>
      <c r="B2393" s="364" t="s">
        <v>23</v>
      </c>
      <c r="C2393" s="365" t="s">
        <v>671</v>
      </c>
      <c r="D2393" s="364" t="s">
        <v>672</v>
      </c>
      <c r="E2393" s="366">
        <v>7.0</v>
      </c>
      <c r="F2393" s="367">
        <v>45944.58333333333</v>
      </c>
      <c r="G2393" s="364" t="s">
        <v>1185</v>
      </c>
      <c r="H2393" s="364" t="s">
        <v>1207</v>
      </c>
    </row>
    <row r="2394" ht="15.75" customHeight="1">
      <c r="A2394" s="364" t="s">
        <v>72</v>
      </c>
      <c r="B2394" s="364" t="s">
        <v>23</v>
      </c>
      <c r="C2394" s="365" t="s">
        <v>671</v>
      </c>
      <c r="D2394" s="364" t="s">
        <v>672</v>
      </c>
      <c r="E2394" s="366">
        <v>9.0</v>
      </c>
      <c r="F2394" s="367">
        <v>45957.41666666667</v>
      </c>
      <c r="G2394" s="364" t="s">
        <v>1185</v>
      </c>
      <c r="H2394" s="364" t="s">
        <v>1207</v>
      </c>
    </row>
    <row r="2395" ht="15.75" customHeight="1">
      <c r="A2395" s="364" t="s">
        <v>72</v>
      </c>
      <c r="B2395" s="364" t="s">
        <v>23</v>
      </c>
      <c r="C2395" s="365" t="s">
        <v>671</v>
      </c>
      <c r="D2395" s="364" t="s">
        <v>672</v>
      </c>
      <c r="E2395" s="366">
        <v>10.0</v>
      </c>
      <c r="F2395" s="367">
        <v>45964.58333333333</v>
      </c>
      <c r="G2395" s="364" t="s">
        <v>1185</v>
      </c>
      <c r="H2395" s="364" t="s">
        <v>1207</v>
      </c>
    </row>
    <row r="2396" ht="15.75" customHeight="1">
      <c r="A2396" s="364" t="s">
        <v>72</v>
      </c>
      <c r="B2396" s="364" t="s">
        <v>23</v>
      </c>
      <c r="C2396" s="365" t="s">
        <v>671</v>
      </c>
      <c r="D2396" s="364" t="s">
        <v>672</v>
      </c>
      <c r="E2396" s="366">
        <v>11.0</v>
      </c>
      <c r="F2396" s="367">
        <v>45971.54166666667</v>
      </c>
      <c r="G2396" s="364" t="s">
        <v>1185</v>
      </c>
      <c r="H2396" s="364" t="s">
        <v>1207</v>
      </c>
    </row>
    <row r="2397" ht="15.75" customHeight="1">
      <c r="A2397" s="364" t="s">
        <v>72</v>
      </c>
      <c r="B2397" s="364" t="s">
        <v>23</v>
      </c>
      <c r="C2397" s="365" t="s">
        <v>671</v>
      </c>
      <c r="D2397" s="364" t="s">
        <v>672</v>
      </c>
      <c r="E2397" s="366">
        <v>12.0</v>
      </c>
      <c r="F2397" s="367">
        <v>45985.58333333333</v>
      </c>
      <c r="G2397" s="364" t="s">
        <v>1185</v>
      </c>
      <c r="H2397" s="364" t="s">
        <v>1207</v>
      </c>
    </row>
    <row r="2398" ht="15.75" customHeight="1">
      <c r="A2398" s="364" t="s">
        <v>72</v>
      </c>
      <c r="B2398" s="364" t="s">
        <v>23</v>
      </c>
      <c r="C2398" s="365" t="s">
        <v>671</v>
      </c>
      <c r="D2398" s="364" t="s">
        <v>672</v>
      </c>
      <c r="E2398" s="366">
        <v>13.0</v>
      </c>
      <c r="F2398" s="367">
        <v>45992.54166666667</v>
      </c>
      <c r="G2398" s="364" t="s">
        <v>1185</v>
      </c>
      <c r="H2398" s="364" t="s">
        <v>1207</v>
      </c>
    </row>
    <row r="2399" ht="15.75" customHeight="1">
      <c r="A2399" s="364" t="s">
        <v>72</v>
      </c>
      <c r="B2399" s="364" t="s">
        <v>23</v>
      </c>
      <c r="C2399" s="365" t="s">
        <v>671</v>
      </c>
      <c r="D2399" s="364" t="s">
        <v>672</v>
      </c>
      <c r="E2399" s="366">
        <v>14.0</v>
      </c>
      <c r="F2399" s="367">
        <v>45999.41666666667</v>
      </c>
      <c r="G2399" s="364" t="s">
        <v>1187</v>
      </c>
      <c r="H2399" s="364" t="s">
        <v>1207</v>
      </c>
    </row>
    <row r="2400" ht="15.75" customHeight="1">
      <c r="A2400" s="364" t="s">
        <v>72</v>
      </c>
      <c r="B2400" s="364" t="s">
        <v>23</v>
      </c>
      <c r="C2400" s="365" t="s">
        <v>671</v>
      </c>
      <c r="D2400" s="364" t="s">
        <v>672</v>
      </c>
      <c r="E2400" s="366">
        <v>15.0</v>
      </c>
      <c r="F2400" s="367">
        <v>46006.45833333333</v>
      </c>
      <c r="G2400" s="364" t="s">
        <v>1185</v>
      </c>
      <c r="H2400" s="364" t="s">
        <v>1207</v>
      </c>
    </row>
    <row r="2401" ht="15.75" customHeight="1">
      <c r="A2401" s="364" t="s">
        <v>72</v>
      </c>
      <c r="B2401" s="364" t="s">
        <v>23</v>
      </c>
      <c r="C2401" s="365" t="s">
        <v>671</v>
      </c>
      <c r="D2401" s="364" t="s">
        <v>672</v>
      </c>
      <c r="E2401" s="366">
        <v>16.0</v>
      </c>
      <c r="F2401" s="367">
        <v>46048.41666666667</v>
      </c>
      <c r="G2401" s="364" t="s">
        <v>1187</v>
      </c>
      <c r="H2401" s="364" t="s">
        <v>1207</v>
      </c>
    </row>
    <row r="2402" ht="15.75" customHeight="1">
      <c r="A2402" s="364" t="s">
        <v>72</v>
      </c>
      <c r="B2402" s="364" t="s">
        <v>23</v>
      </c>
      <c r="C2402" s="365" t="s">
        <v>662</v>
      </c>
      <c r="D2402" s="364" t="s">
        <v>663</v>
      </c>
      <c r="E2402" s="366">
        <v>1.0</v>
      </c>
      <c r="F2402" s="367">
        <v>45866.54166666667</v>
      </c>
      <c r="G2402" s="364" t="s">
        <v>1187</v>
      </c>
      <c r="H2402" s="364" t="s">
        <v>1207</v>
      </c>
    </row>
    <row r="2403" ht="15.75" customHeight="1">
      <c r="A2403" s="364" t="s">
        <v>72</v>
      </c>
      <c r="B2403" s="364" t="s">
        <v>23</v>
      </c>
      <c r="C2403" s="365" t="s">
        <v>662</v>
      </c>
      <c r="D2403" s="364" t="s">
        <v>663</v>
      </c>
      <c r="E2403" s="366">
        <v>2.0</v>
      </c>
      <c r="F2403" s="367">
        <v>45910.45833333333</v>
      </c>
      <c r="G2403" s="364" t="s">
        <v>1185</v>
      </c>
      <c r="H2403" s="364" t="s">
        <v>1207</v>
      </c>
    </row>
    <row r="2404" ht="15.75" customHeight="1">
      <c r="A2404" s="364" t="s">
        <v>72</v>
      </c>
      <c r="B2404" s="364" t="s">
        <v>23</v>
      </c>
      <c r="C2404" s="365" t="s">
        <v>662</v>
      </c>
      <c r="D2404" s="364" t="s">
        <v>663</v>
      </c>
      <c r="E2404" s="366">
        <v>3.0</v>
      </c>
      <c r="F2404" s="367">
        <v>45915.45833333333</v>
      </c>
      <c r="G2404" s="364" t="s">
        <v>1185</v>
      </c>
      <c r="H2404" s="364" t="s">
        <v>1207</v>
      </c>
    </row>
    <row r="2405" ht="15.75" customHeight="1">
      <c r="A2405" s="364" t="s">
        <v>72</v>
      </c>
      <c r="B2405" s="364" t="s">
        <v>23</v>
      </c>
      <c r="C2405" s="365" t="s">
        <v>662</v>
      </c>
      <c r="D2405" s="364" t="s">
        <v>663</v>
      </c>
      <c r="E2405" s="366">
        <v>4.0</v>
      </c>
      <c r="F2405" s="367">
        <v>45922.45833333333</v>
      </c>
      <c r="G2405" s="364" t="s">
        <v>1185</v>
      </c>
      <c r="H2405" s="364" t="s">
        <v>1207</v>
      </c>
    </row>
    <row r="2406" ht="15.75" customHeight="1">
      <c r="A2406" s="364" t="s">
        <v>72</v>
      </c>
      <c r="B2406" s="364" t="s">
        <v>23</v>
      </c>
      <c r="C2406" s="365" t="s">
        <v>662</v>
      </c>
      <c r="D2406" s="364" t="s">
        <v>663</v>
      </c>
      <c r="E2406" s="366">
        <v>5.0</v>
      </c>
      <c r="F2406" s="367">
        <v>45929.45833333333</v>
      </c>
      <c r="G2406" s="364" t="s">
        <v>1185</v>
      </c>
      <c r="H2406" s="364" t="s">
        <v>1207</v>
      </c>
    </row>
    <row r="2407" ht="15.75" customHeight="1">
      <c r="A2407" s="364" t="s">
        <v>72</v>
      </c>
      <c r="B2407" s="364" t="s">
        <v>23</v>
      </c>
      <c r="C2407" s="365" t="s">
        <v>662</v>
      </c>
      <c r="D2407" s="364" t="s">
        <v>663</v>
      </c>
      <c r="E2407" s="366">
        <v>6.0</v>
      </c>
      <c r="F2407" s="367">
        <v>45943.41666666667</v>
      </c>
      <c r="G2407" s="364" t="s">
        <v>1187</v>
      </c>
      <c r="H2407" s="364" t="s">
        <v>1207</v>
      </c>
    </row>
    <row r="2408" ht="15.75" customHeight="1">
      <c r="A2408" s="364" t="s">
        <v>72</v>
      </c>
      <c r="B2408" s="364" t="s">
        <v>23</v>
      </c>
      <c r="C2408" s="365" t="s">
        <v>662</v>
      </c>
      <c r="D2408" s="364" t="s">
        <v>663</v>
      </c>
      <c r="E2408" s="366">
        <v>7.0</v>
      </c>
      <c r="F2408" s="367">
        <v>45944.58333333333</v>
      </c>
      <c r="G2408" s="364" t="s">
        <v>1185</v>
      </c>
      <c r="H2408" s="364" t="s">
        <v>1207</v>
      </c>
    </row>
    <row r="2409" ht="15.75" customHeight="1">
      <c r="A2409" s="364" t="s">
        <v>72</v>
      </c>
      <c r="B2409" s="364" t="s">
        <v>23</v>
      </c>
      <c r="C2409" s="365" t="s">
        <v>662</v>
      </c>
      <c r="D2409" s="364" t="s">
        <v>663</v>
      </c>
      <c r="E2409" s="366">
        <v>9.0</v>
      </c>
      <c r="F2409" s="367">
        <v>45957.41666666667</v>
      </c>
      <c r="G2409" s="364" t="s">
        <v>1185</v>
      </c>
      <c r="H2409" s="364" t="s">
        <v>1207</v>
      </c>
    </row>
    <row r="2410" ht="15.75" customHeight="1">
      <c r="A2410" s="364" t="s">
        <v>72</v>
      </c>
      <c r="B2410" s="364" t="s">
        <v>23</v>
      </c>
      <c r="C2410" s="365" t="s">
        <v>662</v>
      </c>
      <c r="D2410" s="364" t="s">
        <v>663</v>
      </c>
      <c r="E2410" s="366">
        <v>10.0</v>
      </c>
      <c r="F2410" s="367">
        <v>45964.58333333333</v>
      </c>
      <c r="G2410" s="364" t="s">
        <v>1185</v>
      </c>
      <c r="H2410" s="364" t="s">
        <v>1207</v>
      </c>
    </row>
    <row r="2411" ht="15.75" customHeight="1">
      <c r="A2411" s="364" t="s">
        <v>72</v>
      </c>
      <c r="B2411" s="364" t="s">
        <v>23</v>
      </c>
      <c r="C2411" s="365" t="s">
        <v>662</v>
      </c>
      <c r="D2411" s="364" t="s">
        <v>663</v>
      </c>
      <c r="E2411" s="366">
        <v>11.0</v>
      </c>
      <c r="F2411" s="367">
        <v>45971.54166666667</v>
      </c>
      <c r="G2411" s="364" t="s">
        <v>1185</v>
      </c>
      <c r="H2411" s="364" t="s">
        <v>1207</v>
      </c>
    </row>
    <row r="2412" ht="15.75" customHeight="1">
      <c r="A2412" s="364" t="s">
        <v>72</v>
      </c>
      <c r="B2412" s="364" t="s">
        <v>23</v>
      </c>
      <c r="C2412" s="365" t="s">
        <v>662</v>
      </c>
      <c r="D2412" s="364" t="s">
        <v>663</v>
      </c>
      <c r="E2412" s="366">
        <v>12.0</v>
      </c>
      <c r="F2412" s="367">
        <v>45985.58333333333</v>
      </c>
      <c r="G2412" s="364" t="s">
        <v>1185</v>
      </c>
      <c r="H2412" s="364" t="s">
        <v>1207</v>
      </c>
    </row>
    <row r="2413" ht="15.75" customHeight="1">
      <c r="A2413" s="364" t="s">
        <v>72</v>
      </c>
      <c r="B2413" s="364" t="s">
        <v>23</v>
      </c>
      <c r="C2413" s="365" t="s">
        <v>662</v>
      </c>
      <c r="D2413" s="364" t="s">
        <v>663</v>
      </c>
      <c r="E2413" s="366">
        <v>13.0</v>
      </c>
      <c r="F2413" s="367">
        <v>45992.54166666667</v>
      </c>
      <c r="G2413" s="364" t="s">
        <v>1185</v>
      </c>
      <c r="H2413" s="364" t="s">
        <v>1207</v>
      </c>
    </row>
    <row r="2414" ht="15.75" customHeight="1">
      <c r="A2414" s="364" t="s">
        <v>72</v>
      </c>
      <c r="B2414" s="364" t="s">
        <v>23</v>
      </c>
      <c r="C2414" s="365" t="s">
        <v>662</v>
      </c>
      <c r="D2414" s="364" t="s">
        <v>663</v>
      </c>
      <c r="E2414" s="366">
        <v>14.0</v>
      </c>
      <c r="F2414" s="367">
        <v>45999.41666666667</v>
      </c>
      <c r="G2414" s="364" t="s">
        <v>1185</v>
      </c>
      <c r="H2414" s="364" t="s">
        <v>1207</v>
      </c>
    </row>
    <row r="2415" ht="15.75" customHeight="1">
      <c r="A2415" s="364" t="s">
        <v>72</v>
      </c>
      <c r="B2415" s="364" t="s">
        <v>23</v>
      </c>
      <c r="C2415" s="365" t="s">
        <v>662</v>
      </c>
      <c r="D2415" s="364" t="s">
        <v>663</v>
      </c>
      <c r="E2415" s="366">
        <v>15.0</v>
      </c>
      <c r="F2415" s="367">
        <v>46006.45833333333</v>
      </c>
      <c r="G2415" s="364" t="s">
        <v>1185</v>
      </c>
      <c r="H2415" s="364" t="s">
        <v>1207</v>
      </c>
    </row>
    <row r="2416" ht="15.75" customHeight="1">
      <c r="A2416" s="364" t="s">
        <v>72</v>
      </c>
      <c r="B2416" s="364" t="s">
        <v>23</v>
      </c>
      <c r="C2416" s="365" t="s">
        <v>662</v>
      </c>
      <c r="D2416" s="364" t="s">
        <v>663</v>
      </c>
      <c r="E2416" s="366">
        <v>16.0</v>
      </c>
      <c r="F2416" s="367">
        <v>46048.41666666667</v>
      </c>
      <c r="G2416" s="364" t="s">
        <v>1185</v>
      </c>
      <c r="H2416" s="364" t="s">
        <v>1207</v>
      </c>
    </row>
    <row r="2417" ht="15.75" customHeight="1">
      <c r="A2417" s="364" t="s">
        <v>72</v>
      </c>
      <c r="B2417" s="364" t="s">
        <v>23</v>
      </c>
      <c r="C2417" s="365" t="s">
        <v>673</v>
      </c>
      <c r="D2417" s="364" t="s">
        <v>674</v>
      </c>
      <c r="E2417" s="366">
        <v>1.0</v>
      </c>
      <c r="F2417" s="367">
        <v>45866.54166666667</v>
      </c>
      <c r="G2417" s="364" t="s">
        <v>1185</v>
      </c>
      <c r="H2417" s="364" t="s">
        <v>1207</v>
      </c>
    </row>
    <row r="2418" ht="15.75" customHeight="1">
      <c r="A2418" s="364" t="s">
        <v>72</v>
      </c>
      <c r="B2418" s="364" t="s">
        <v>23</v>
      </c>
      <c r="C2418" s="365" t="s">
        <v>673</v>
      </c>
      <c r="D2418" s="364" t="s">
        <v>674</v>
      </c>
      <c r="E2418" s="366">
        <v>2.0</v>
      </c>
      <c r="F2418" s="367">
        <v>45910.45833333333</v>
      </c>
      <c r="G2418" s="364" t="s">
        <v>1185</v>
      </c>
      <c r="H2418" s="364" t="s">
        <v>1207</v>
      </c>
    </row>
    <row r="2419" ht="15.75" customHeight="1">
      <c r="A2419" s="364" t="s">
        <v>72</v>
      </c>
      <c r="B2419" s="364" t="s">
        <v>23</v>
      </c>
      <c r="C2419" s="365" t="s">
        <v>673</v>
      </c>
      <c r="D2419" s="364" t="s">
        <v>674</v>
      </c>
      <c r="E2419" s="366">
        <v>3.0</v>
      </c>
      <c r="F2419" s="367">
        <v>45915.45833333333</v>
      </c>
      <c r="G2419" s="364" t="s">
        <v>1185</v>
      </c>
      <c r="H2419" s="364" t="s">
        <v>1207</v>
      </c>
    </row>
    <row r="2420" ht="15.75" customHeight="1">
      <c r="A2420" s="364" t="s">
        <v>72</v>
      </c>
      <c r="B2420" s="364" t="s">
        <v>23</v>
      </c>
      <c r="C2420" s="365" t="s">
        <v>673</v>
      </c>
      <c r="D2420" s="364" t="s">
        <v>674</v>
      </c>
      <c r="E2420" s="366">
        <v>4.0</v>
      </c>
      <c r="F2420" s="367">
        <v>45922.45833333333</v>
      </c>
      <c r="G2420" s="364" t="s">
        <v>1185</v>
      </c>
      <c r="H2420" s="364" t="s">
        <v>1207</v>
      </c>
    </row>
    <row r="2421" ht="15.75" customHeight="1">
      <c r="A2421" s="364" t="s">
        <v>72</v>
      </c>
      <c r="B2421" s="364" t="s">
        <v>23</v>
      </c>
      <c r="C2421" s="365" t="s">
        <v>673</v>
      </c>
      <c r="D2421" s="364" t="s">
        <v>674</v>
      </c>
      <c r="E2421" s="366">
        <v>5.0</v>
      </c>
      <c r="F2421" s="367">
        <v>45929.45833333333</v>
      </c>
      <c r="G2421" s="364" t="s">
        <v>1185</v>
      </c>
      <c r="H2421" s="364" t="s">
        <v>1207</v>
      </c>
    </row>
    <row r="2422" ht="15.75" customHeight="1">
      <c r="A2422" s="364" t="s">
        <v>72</v>
      </c>
      <c r="B2422" s="364" t="s">
        <v>23</v>
      </c>
      <c r="C2422" s="365" t="s">
        <v>673</v>
      </c>
      <c r="D2422" s="364" t="s">
        <v>674</v>
      </c>
      <c r="E2422" s="366">
        <v>6.0</v>
      </c>
      <c r="F2422" s="367">
        <v>45943.41666666667</v>
      </c>
      <c r="G2422" s="364" t="s">
        <v>1185</v>
      </c>
      <c r="H2422" s="364" t="s">
        <v>1207</v>
      </c>
    </row>
    <row r="2423" ht="15.75" customHeight="1">
      <c r="A2423" s="364" t="s">
        <v>72</v>
      </c>
      <c r="B2423" s="364" t="s">
        <v>23</v>
      </c>
      <c r="C2423" s="365" t="s">
        <v>673</v>
      </c>
      <c r="D2423" s="364" t="s">
        <v>674</v>
      </c>
      <c r="E2423" s="366">
        <v>7.0</v>
      </c>
      <c r="F2423" s="367">
        <v>45944.58333333333</v>
      </c>
      <c r="G2423" s="364" t="s">
        <v>1185</v>
      </c>
      <c r="H2423" s="364" t="s">
        <v>1207</v>
      </c>
    </row>
    <row r="2424" ht="15.75" customHeight="1">
      <c r="A2424" s="364" t="s">
        <v>72</v>
      </c>
      <c r="B2424" s="364" t="s">
        <v>23</v>
      </c>
      <c r="C2424" s="365" t="s">
        <v>673</v>
      </c>
      <c r="D2424" s="364" t="s">
        <v>674</v>
      </c>
      <c r="E2424" s="366">
        <v>9.0</v>
      </c>
      <c r="F2424" s="367">
        <v>45957.41666666667</v>
      </c>
      <c r="G2424" s="364" t="s">
        <v>1185</v>
      </c>
      <c r="H2424" s="364" t="s">
        <v>1207</v>
      </c>
    </row>
    <row r="2425" ht="15.75" customHeight="1">
      <c r="A2425" s="364" t="s">
        <v>72</v>
      </c>
      <c r="B2425" s="364" t="s">
        <v>23</v>
      </c>
      <c r="C2425" s="365" t="s">
        <v>673</v>
      </c>
      <c r="D2425" s="364" t="s">
        <v>674</v>
      </c>
      <c r="E2425" s="366">
        <v>10.0</v>
      </c>
      <c r="F2425" s="367">
        <v>45964.58333333333</v>
      </c>
      <c r="G2425" s="364" t="s">
        <v>1185</v>
      </c>
      <c r="H2425" s="364" t="s">
        <v>1207</v>
      </c>
    </row>
    <row r="2426" ht="15.75" customHeight="1">
      <c r="A2426" s="364" t="s">
        <v>72</v>
      </c>
      <c r="B2426" s="364" t="s">
        <v>23</v>
      </c>
      <c r="C2426" s="365" t="s">
        <v>673</v>
      </c>
      <c r="D2426" s="364" t="s">
        <v>674</v>
      </c>
      <c r="E2426" s="366">
        <v>11.0</v>
      </c>
      <c r="F2426" s="367">
        <v>45971.54166666667</v>
      </c>
      <c r="G2426" s="364" t="s">
        <v>1185</v>
      </c>
      <c r="H2426" s="364" t="s">
        <v>1207</v>
      </c>
    </row>
    <row r="2427" ht="15.75" customHeight="1">
      <c r="A2427" s="364" t="s">
        <v>72</v>
      </c>
      <c r="B2427" s="364" t="s">
        <v>23</v>
      </c>
      <c r="C2427" s="365" t="s">
        <v>673</v>
      </c>
      <c r="D2427" s="364" t="s">
        <v>674</v>
      </c>
      <c r="E2427" s="366">
        <v>12.0</v>
      </c>
      <c r="F2427" s="367">
        <v>45985.58333333333</v>
      </c>
      <c r="G2427" s="364" t="s">
        <v>1185</v>
      </c>
      <c r="H2427" s="364" t="s">
        <v>1207</v>
      </c>
    </row>
    <row r="2428" ht="15.75" customHeight="1">
      <c r="A2428" s="364" t="s">
        <v>72</v>
      </c>
      <c r="B2428" s="364" t="s">
        <v>23</v>
      </c>
      <c r="C2428" s="365" t="s">
        <v>673</v>
      </c>
      <c r="D2428" s="364" t="s">
        <v>674</v>
      </c>
      <c r="E2428" s="366">
        <v>13.0</v>
      </c>
      <c r="F2428" s="367">
        <v>45992.54166666667</v>
      </c>
      <c r="G2428" s="364" t="s">
        <v>1185</v>
      </c>
      <c r="H2428" s="364" t="s">
        <v>1207</v>
      </c>
    </row>
    <row r="2429" ht="15.75" customHeight="1">
      <c r="A2429" s="364" t="s">
        <v>72</v>
      </c>
      <c r="B2429" s="364" t="s">
        <v>23</v>
      </c>
      <c r="C2429" s="365" t="s">
        <v>673</v>
      </c>
      <c r="D2429" s="364" t="s">
        <v>674</v>
      </c>
      <c r="E2429" s="366">
        <v>14.0</v>
      </c>
      <c r="F2429" s="367">
        <v>45999.41666666667</v>
      </c>
      <c r="G2429" s="364" t="s">
        <v>1185</v>
      </c>
      <c r="H2429" s="364" t="s">
        <v>1207</v>
      </c>
    </row>
    <row r="2430" ht="15.75" customHeight="1">
      <c r="A2430" s="364" t="s">
        <v>72</v>
      </c>
      <c r="B2430" s="364" t="s">
        <v>23</v>
      </c>
      <c r="C2430" s="365" t="s">
        <v>673</v>
      </c>
      <c r="D2430" s="364" t="s">
        <v>674</v>
      </c>
      <c r="E2430" s="366">
        <v>15.0</v>
      </c>
      <c r="F2430" s="367">
        <v>46006.45833333333</v>
      </c>
      <c r="G2430" s="364" t="s">
        <v>1187</v>
      </c>
      <c r="H2430" s="364" t="s">
        <v>1207</v>
      </c>
    </row>
    <row r="2431" ht="15.75" customHeight="1">
      <c r="A2431" s="364" t="s">
        <v>72</v>
      </c>
      <c r="B2431" s="364" t="s">
        <v>23</v>
      </c>
      <c r="C2431" s="365" t="s">
        <v>673</v>
      </c>
      <c r="D2431" s="364" t="s">
        <v>674</v>
      </c>
      <c r="E2431" s="366">
        <v>16.0</v>
      </c>
      <c r="F2431" s="367">
        <v>46048.41666666667</v>
      </c>
      <c r="G2431" s="364" t="s">
        <v>1185</v>
      </c>
      <c r="H2431" s="364" t="s">
        <v>1207</v>
      </c>
    </row>
    <row r="2432" ht="15.75" customHeight="1">
      <c r="A2432" s="364" t="s">
        <v>72</v>
      </c>
      <c r="B2432" s="364" t="s">
        <v>23</v>
      </c>
      <c r="C2432" s="365" t="s">
        <v>668</v>
      </c>
      <c r="D2432" s="364" t="s">
        <v>669</v>
      </c>
      <c r="E2432" s="366">
        <v>1.0</v>
      </c>
      <c r="F2432" s="367">
        <v>45866.54166666667</v>
      </c>
      <c r="G2432" s="364" t="s">
        <v>1185</v>
      </c>
      <c r="H2432" s="364" t="s">
        <v>1207</v>
      </c>
    </row>
    <row r="2433" ht="15.75" customHeight="1">
      <c r="A2433" s="364" t="s">
        <v>72</v>
      </c>
      <c r="B2433" s="364" t="s">
        <v>23</v>
      </c>
      <c r="C2433" s="365" t="s">
        <v>668</v>
      </c>
      <c r="D2433" s="364" t="s">
        <v>669</v>
      </c>
      <c r="E2433" s="366">
        <v>2.0</v>
      </c>
      <c r="F2433" s="367">
        <v>45910.45833333333</v>
      </c>
      <c r="G2433" s="364" t="s">
        <v>1187</v>
      </c>
      <c r="H2433" s="364" t="s">
        <v>1207</v>
      </c>
    </row>
    <row r="2434" ht="15.75" customHeight="1">
      <c r="A2434" s="364" t="s">
        <v>72</v>
      </c>
      <c r="B2434" s="364" t="s">
        <v>23</v>
      </c>
      <c r="C2434" s="365" t="s">
        <v>668</v>
      </c>
      <c r="D2434" s="364" t="s">
        <v>669</v>
      </c>
      <c r="E2434" s="366">
        <v>3.0</v>
      </c>
      <c r="F2434" s="367">
        <v>45915.45833333333</v>
      </c>
      <c r="G2434" s="364" t="s">
        <v>1185</v>
      </c>
      <c r="H2434" s="364" t="s">
        <v>1207</v>
      </c>
    </row>
    <row r="2435" ht="15.75" customHeight="1">
      <c r="A2435" s="364" t="s">
        <v>72</v>
      </c>
      <c r="B2435" s="364" t="s">
        <v>23</v>
      </c>
      <c r="C2435" s="365" t="s">
        <v>668</v>
      </c>
      <c r="D2435" s="364" t="s">
        <v>669</v>
      </c>
      <c r="E2435" s="366">
        <v>4.0</v>
      </c>
      <c r="F2435" s="367">
        <v>45922.45833333333</v>
      </c>
      <c r="G2435" s="364" t="s">
        <v>1185</v>
      </c>
      <c r="H2435" s="364" t="s">
        <v>1207</v>
      </c>
    </row>
    <row r="2436" ht="15.75" customHeight="1">
      <c r="A2436" s="364" t="s">
        <v>72</v>
      </c>
      <c r="B2436" s="364" t="s">
        <v>23</v>
      </c>
      <c r="C2436" s="365" t="s">
        <v>668</v>
      </c>
      <c r="D2436" s="364" t="s">
        <v>669</v>
      </c>
      <c r="E2436" s="366">
        <v>5.0</v>
      </c>
      <c r="F2436" s="367">
        <v>45929.45833333333</v>
      </c>
      <c r="G2436" s="364" t="s">
        <v>1185</v>
      </c>
      <c r="H2436" s="364" t="s">
        <v>1207</v>
      </c>
    </row>
    <row r="2437" ht="15.75" customHeight="1">
      <c r="A2437" s="364" t="s">
        <v>72</v>
      </c>
      <c r="B2437" s="364" t="s">
        <v>23</v>
      </c>
      <c r="C2437" s="365" t="s">
        <v>668</v>
      </c>
      <c r="D2437" s="364" t="s">
        <v>669</v>
      </c>
      <c r="E2437" s="366">
        <v>6.0</v>
      </c>
      <c r="F2437" s="367">
        <v>45943.41666666667</v>
      </c>
      <c r="G2437" s="364" t="s">
        <v>1185</v>
      </c>
      <c r="H2437" s="364" t="s">
        <v>1207</v>
      </c>
    </row>
    <row r="2438" ht="15.75" customHeight="1">
      <c r="A2438" s="364" t="s">
        <v>72</v>
      </c>
      <c r="B2438" s="364" t="s">
        <v>23</v>
      </c>
      <c r="C2438" s="365" t="s">
        <v>668</v>
      </c>
      <c r="D2438" s="364" t="s">
        <v>669</v>
      </c>
      <c r="E2438" s="366">
        <v>7.0</v>
      </c>
      <c r="F2438" s="367">
        <v>45944.58333333333</v>
      </c>
      <c r="G2438" s="364" t="s">
        <v>1185</v>
      </c>
      <c r="H2438" s="364" t="s">
        <v>1207</v>
      </c>
    </row>
    <row r="2439" ht="15.75" customHeight="1">
      <c r="A2439" s="364" t="s">
        <v>72</v>
      </c>
      <c r="B2439" s="364" t="s">
        <v>23</v>
      </c>
      <c r="C2439" s="365" t="s">
        <v>668</v>
      </c>
      <c r="D2439" s="364" t="s">
        <v>669</v>
      </c>
      <c r="E2439" s="366">
        <v>9.0</v>
      </c>
      <c r="F2439" s="367">
        <v>45957.41666666667</v>
      </c>
      <c r="G2439" s="364" t="s">
        <v>1185</v>
      </c>
      <c r="H2439" s="364" t="s">
        <v>1207</v>
      </c>
    </row>
    <row r="2440" ht="15.75" customHeight="1">
      <c r="A2440" s="364" t="s">
        <v>72</v>
      </c>
      <c r="B2440" s="364" t="s">
        <v>23</v>
      </c>
      <c r="C2440" s="365" t="s">
        <v>668</v>
      </c>
      <c r="D2440" s="364" t="s">
        <v>669</v>
      </c>
      <c r="E2440" s="366">
        <v>10.0</v>
      </c>
      <c r="F2440" s="367">
        <v>45964.58333333333</v>
      </c>
      <c r="G2440" s="364" t="s">
        <v>1185</v>
      </c>
      <c r="H2440" s="364" t="s">
        <v>1207</v>
      </c>
    </row>
    <row r="2441" ht="15.75" customHeight="1">
      <c r="A2441" s="364" t="s">
        <v>72</v>
      </c>
      <c r="B2441" s="364" t="s">
        <v>23</v>
      </c>
      <c r="C2441" s="365" t="s">
        <v>668</v>
      </c>
      <c r="D2441" s="364" t="s">
        <v>669</v>
      </c>
      <c r="E2441" s="366">
        <v>11.0</v>
      </c>
      <c r="F2441" s="367">
        <v>45971.54166666667</v>
      </c>
      <c r="G2441" s="364" t="s">
        <v>1185</v>
      </c>
      <c r="H2441" s="364" t="s">
        <v>1207</v>
      </c>
    </row>
    <row r="2442" ht="15.75" customHeight="1">
      <c r="A2442" s="364" t="s">
        <v>72</v>
      </c>
      <c r="B2442" s="364" t="s">
        <v>23</v>
      </c>
      <c r="C2442" s="365" t="s">
        <v>668</v>
      </c>
      <c r="D2442" s="364" t="s">
        <v>669</v>
      </c>
      <c r="E2442" s="366">
        <v>12.0</v>
      </c>
      <c r="F2442" s="367">
        <v>45985.58333333333</v>
      </c>
      <c r="G2442" s="364" t="s">
        <v>1185</v>
      </c>
      <c r="H2442" s="364" t="s">
        <v>1207</v>
      </c>
    </row>
    <row r="2443" ht="15.75" customHeight="1">
      <c r="A2443" s="364" t="s">
        <v>72</v>
      </c>
      <c r="B2443" s="364" t="s">
        <v>23</v>
      </c>
      <c r="C2443" s="365" t="s">
        <v>668</v>
      </c>
      <c r="D2443" s="364" t="s">
        <v>669</v>
      </c>
      <c r="E2443" s="366">
        <v>13.0</v>
      </c>
      <c r="F2443" s="367">
        <v>45992.54166666667</v>
      </c>
      <c r="G2443" s="364" t="s">
        <v>1185</v>
      </c>
      <c r="H2443" s="364" t="s">
        <v>1207</v>
      </c>
    </row>
    <row r="2444" ht="15.75" customHeight="1">
      <c r="A2444" s="364" t="s">
        <v>72</v>
      </c>
      <c r="B2444" s="364" t="s">
        <v>23</v>
      </c>
      <c r="C2444" s="365" t="s">
        <v>668</v>
      </c>
      <c r="D2444" s="364" t="s">
        <v>669</v>
      </c>
      <c r="E2444" s="366">
        <v>14.0</v>
      </c>
      <c r="F2444" s="367">
        <v>45999.41666666667</v>
      </c>
      <c r="G2444" s="364" t="s">
        <v>1185</v>
      </c>
      <c r="H2444" s="364" t="s">
        <v>1207</v>
      </c>
    </row>
    <row r="2445" ht="15.75" customHeight="1">
      <c r="A2445" s="364" t="s">
        <v>72</v>
      </c>
      <c r="B2445" s="364" t="s">
        <v>23</v>
      </c>
      <c r="C2445" s="365" t="s">
        <v>668</v>
      </c>
      <c r="D2445" s="364" t="s">
        <v>669</v>
      </c>
      <c r="E2445" s="366">
        <v>15.0</v>
      </c>
      <c r="F2445" s="367">
        <v>46006.45833333333</v>
      </c>
      <c r="G2445" s="364" t="s">
        <v>1185</v>
      </c>
      <c r="H2445" s="364" t="s">
        <v>1207</v>
      </c>
    </row>
    <row r="2446" ht="15.75" customHeight="1">
      <c r="A2446" s="364" t="s">
        <v>72</v>
      </c>
      <c r="B2446" s="364" t="s">
        <v>23</v>
      </c>
      <c r="C2446" s="365" t="s">
        <v>668</v>
      </c>
      <c r="D2446" s="364" t="s">
        <v>669</v>
      </c>
      <c r="E2446" s="366">
        <v>16.0</v>
      </c>
      <c r="F2446" s="367">
        <v>46048.41666666667</v>
      </c>
      <c r="G2446" s="364" t="s">
        <v>1185</v>
      </c>
      <c r="H2446" s="364" t="s">
        <v>1207</v>
      </c>
    </row>
    <row r="2447" ht="15.75" customHeight="1">
      <c r="A2447" s="364" t="s">
        <v>72</v>
      </c>
      <c r="B2447" s="364" t="s">
        <v>23</v>
      </c>
      <c r="C2447" s="365" t="s">
        <v>666</v>
      </c>
      <c r="D2447" s="364" t="s">
        <v>667</v>
      </c>
      <c r="E2447" s="366">
        <v>1.0</v>
      </c>
      <c r="F2447" s="367">
        <v>45866.54166666667</v>
      </c>
      <c r="G2447" s="364" t="s">
        <v>1185</v>
      </c>
      <c r="H2447" s="364" t="s">
        <v>1207</v>
      </c>
    </row>
    <row r="2448" ht="15.75" customHeight="1">
      <c r="A2448" s="364" t="s">
        <v>72</v>
      </c>
      <c r="B2448" s="364" t="s">
        <v>23</v>
      </c>
      <c r="C2448" s="365" t="s">
        <v>666</v>
      </c>
      <c r="D2448" s="364" t="s">
        <v>667</v>
      </c>
      <c r="E2448" s="366">
        <v>2.0</v>
      </c>
      <c r="F2448" s="367">
        <v>45910.45833333333</v>
      </c>
      <c r="G2448" s="364" t="s">
        <v>1187</v>
      </c>
      <c r="H2448" s="364" t="s">
        <v>1207</v>
      </c>
    </row>
    <row r="2449" ht="15.75" customHeight="1">
      <c r="A2449" s="364" t="s">
        <v>72</v>
      </c>
      <c r="B2449" s="364" t="s">
        <v>23</v>
      </c>
      <c r="C2449" s="365" t="s">
        <v>666</v>
      </c>
      <c r="D2449" s="364" t="s">
        <v>667</v>
      </c>
      <c r="E2449" s="366">
        <v>3.0</v>
      </c>
      <c r="F2449" s="367">
        <v>45915.45833333333</v>
      </c>
      <c r="G2449" s="364" t="s">
        <v>1185</v>
      </c>
      <c r="H2449" s="364" t="s">
        <v>1207</v>
      </c>
    </row>
    <row r="2450" ht="15.75" customHeight="1">
      <c r="A2450" s="364" t="s">
        <v>72</v>
      </c>
      <c r="B2450" s="364" t="s">
        <v>23</v>
      </c>
      <c r="C2450" s="365" t="s">
        <v>666</v>
      </c>
      <c r="D2450" s="364" t="s">
        <v>667</v>
      </c>
      <c r="E2450" s="366">
        <v>4.0</v>
      </c>
      <c r="F2450" s="367">
        <v>45922.45833333333</v>
      </c>
      <c r="G2450" s="364" t="s">
        <v>1185</v>
      </c>
      <c r="H2450" s="364" t="s">
        <v>1207</v>
      </c>
    </row>
    <row r="2451" ht="15.75" customHeight="1">
      <c r="A2451" s="364" t="s">
        <v>72</v>
      </c>
      <c r="B2451" s="364" t="s">
        <v>23</v>
      </c>
      <c r="C2451" s="365" t="s">
        <v>666</v>
      </c>
      <c r="D2451" s="364" t="s">
        <v>667</v>
      </c>
      <c r="E2451" s="366">
        <v>5.0</v>
      </c>
      <c r="F2451" s="367">
        <v>45929.45833333333</v>
      </c>
      <c r="G2451" s="364" t="s">
        <v>1185</v>
      </c>
      <c r="H2451" s="364" t="s">
        <v>1207</v>
      </c>
    </row>
    <row r="2452" ht="15.75" customHeight="1">
      <c r="A2452" s="364" t="s">
        <v>72</v>
      </c>
      <c r="B2452" s="364" t="s">
        <v>23</v>
      </c>
      <c r="C2452" s="365" t="s">
        <v>666</v>
      </c>
      <c r="D2452" s="364" t="s">
        <v>667</v>
      </c>
      <c r="E2452" s="366">
        <v>6.0</v>
      </c>
      <c r="F2452" s="367">
        <v>45943.41666666667</v>
      </c>
      <c r="G2452" s="364" t="s">
        <v>1185</v>
      </c>
      <c r="H2452" s="364" t="s">
        <v>1207</v>
      </c>
    </row>
    <row r="2453" ht="15.75" customHeight="1">
      <c r="A2453" s="364" t="s">
        <v>72</v>
      </c>
      <c r="B2453" s="364" t="s">
        <v>23</v>
      </c>
      <c r="C2453" s="365" t="s">
        <v>666</v>
      </c>
      <c r="D2453" s="364" t="s">
        <v>667</v>
      </c>
      <c r="E2453" s="366">
        <v>7.0</v>
      </c>
      <c r="F2453" s="367">
        <v>45944.58333333333</v>
      </c>
      <c r="G2453" s="364" t="s">
        <v>1185</v>
      </c>
      <c r="H2453" s="364" t="s">
        <v>1207</v>
      </c>
    </row>
    <row r="2454" ht="15.75" customHeight="1">
      <c r="A2454" s="364" t="s">
        <v>72</v>
      </c>
      <c r="B2454" s="364" t="s">
        <v>23</v>
      </c>
      <c r="C2454" s="365" t="s">
        <v>666</v>
      </c>
      <c r="D2454" s="364" t="s">
        <v>667</v>
      </c>
      <c r="E2454" s="366">
        <v>9.0</v>
      </c>
      <c r="F2454" s="367">
        <v>45957.41666666667</v>
      </c>
      <c r="G2454" s="364" t="s">
        <v>1185</v>
      </c>
      <c r="H2454" s="364" t="s">
        <v>1207</v>
      </c>
    </row>
    <row r="2455" ht="15.75" customHeight="1">
      <c r="A2455" s="364" t="s">
        <v>72</v>
      </c>
      <c r="B2455" s="364" t="s">
        <v>23</v>
      </c>
      <c r="C2455" s="365" t="s">
        <v>666</v>
      </c>
      <c r="D2455" s="364" t="s">
        <v>667</v>
      </c>
      <c r="E2455" s="366">
        <v>10.0</v>
      </c>
      <c r="F2455" s="367">
        <v>45964.58333333333</v>
      </c>
      <c r="G2455" s="364" t="s">
        <v>1185</v>
      </c>
      <c r="H2455" s="364" t="s">
        <v>1207</v>
      </c>
    </row>
    <row r="2456" ht="15.75" customHeight="1">
      <c r="A2456" s="364" t="s">
        <v>72</v>
      </c>
      <c r="B2456" s="364" t="s">
        <v>23</v>
      </c>
      <c r="C2456" s="365" t="s">
        <v>666</v>
      </c>
      <c r="D2456" s="364" t="s">
        <v>667</v>
      </c>
      <c r="E2456" s="366">
        <v>11.0</v>
      </c>
      <c r="F2456" s="367">
        <v>45971.54166666667</v>
      </c>
      <c r="G2456" s="364" t="s">
        <v>1187</v>
      </c>
      <c r="H2456" s="364" t="s">
        <v>1207</v>
      </c>
    </row>
    <row r="2457" ht="15.75" customHeight="1">
      <c r="A2457" s="364" t="s">
        <v>72</v>
      </c>
      <c r="B2457" s="364" t="s">
        <v>23</v>
      </c>
      <c r="C2457" s="365" t="s">
        <v>666</v>
      </c>
      <c r="D2457" s="364" t="s">
        <v>667</v>
      </c>
      <c r="E2457" s="366">
        <v>12.0</v>
      </c>
      <c r="F2457" s="367">
        <v>45985.58333333333</v>
      </c>
      <c r="G2457" s="364" t="s">
        <v>1185</v>
      </c>
      <c r="H2457" s="364" t="s">
        <v>1207</v>
      </c>
    </row>
    <row r="2458" ht="15.75" customHeight="1">
      <c r="A2458" s="364" t="s">
        <v>72</v>
      </c>
      <c r="B2458" s="364" t="s">
        <v>23</v>
      </c>
      <c r="C2458" s="365" t="s">
        <v>666</v>
      </c>
      <c r="D2458" s="364" t="s">
        <v>667</v>
      </c>
      <c r="E2458" s="366">
        <v>13.0</v>
      </c>
      <c r="F2458" s="367">
        <v>45992.54166666667</v>
      </c>
      <c r="G2458" s="364" t="s">
        <v>1185</v>
      </c>
      <c r="H2458" s="364" t="s">
        <v>1207</v>
      </c>
    </row>
    <row r="2459" ht="15.75" customHeight="1">
      <c r="A2459" s="364" t="s">
        <v>72</v>
      </c>
      <c r="B2459" s="364" t="s">
        <v>23</v>
      </c>
      <c r="C2459" s="365" t="s">
        <v>666</v>
      </c>
      <c r="D2459" s="364" t="s">
        <v>667</v>
      </c>
      <c r="E2459" s="366">
        <v>14.0</v>
      </c>
      <c r="F2459" s="367">
        <v>45999.41666666667</v>
      </c>
      <c r="G2459" s="364" t="s">
        <v>1185</v>
      </c>
      <c r="H2459" s="364" t="s">
        <v>1207</v>
      </c>
    </row>
    <row r="2460" ht="15.75" customHeight="1">
      <c r="A2460" s="364" t="s">
        <v>72</v>
      </c>
      <c r="B2460" s="364" t="s">
        <v>23</v>
      </c>
      <c r="C2460" s="365" t="s">
        <v>666</v>
      </c>
      <c r="D2460" s="364" t="s">
        <v>667</v>
      </c>
      <c r="E2460" s="366">
        <v>15.0</v>
      </c>
      <c r="F2460" s="367">
        <v>46006.45833333333</v>
      </c>
      <c r="G2460" s="364" t="s">
        <v>1185</v>
      </c>
      <c r="H2460" s="364" t="s">
        <v>1207</v>
      </c>
    </row>
    <row r="2461" ht="15.75" customHeight="1">
      <c r="A2461" s="364" t="s">
        <v>72</v>
      </c>
      <c r="B2461" s="364" t="s">
        <v>23</v>
      </c>
      <c r="C2461" s="365" t="s">
        <v>666</v>
      </c>
      <c r="D2461" s="364" t="s">
        <v>667</v>
      </c>
      <c r="E2461" s="366">
        <v>16.0</v>
      </c>
      <c r="F2461" s="367">
        <v>46048.41666666667</v>
      </c>
      <c r="G2461" s="364" t="s">
        <v>1185</v>
      </c>
      <c r="H2461" s="364" t="s">
        <v>1207</v>
      </c>
    </row>
    <row r="2462" ht="15.75" customHeight="1">
      <c r="A2462" s="364" t="s">
        <v>72</v>
      </c>
      <c r="B2462" s="364" t="s">
        <v>24</v>
      </c>
      <c r="C2462" s="365" t="s">
        <v>653</v>
      </c>
      <c r="D2462" s="364" t="s">
        <v>654</v>
      </c>
      <c r="E2462" s="366">
        <v>1.0</v>
      </c>
      <c r="F2462" s="367">
        <v>46084.58333333333</v>
      </c>
      <c r="G2462" s="364" t="s">
        <v>1185</v>
      </c>
      <c r="H2462" s="364" t="s">
        <v>1207</v>
      </c>
    </row>
    <row r="2463" ht="15.75" customHeight="1">
      <c r="A2463" s="364" t="s">
        <v>72</v>
      </c>
      <c r="B2463" s="364" t="s">
        <v>24</v>
      </c>
      <c r="C2463" s="365" t="s">
        <v>653</v>
      </c>
      <c r="D2463" s="364" t="s">
        <v>654</v>
      </c>
      <c r="E2463" s="366">
        <v>2.0</v>
      </c>
      <c r="F2463" s="367">
        <v>46099.45833333333</v>
      </c>
      <c r="G2463" s="364" t="s">
        <v>1187</v>
      </c>
      <c r="H2463" s="364" t="s">
        <v>1207</v>
      </c>
    </row>
    <row r="2464" ht="15.75" customHeight="1">
      <c r="A2464" s="364" t="s">
        <v>72</v>
      </c>
      <c r="B2464" s="364" t="s">
        <v>24</v>
      </c>
      <c r="C2464" s="365" t="s">
        <v>653</v>
      </c>
      <c r="D2464" s="364" t="s">
        <v>654</v>
      </c>
      <c r="E2464" s="366">
        <v>3.0</v>
      </c>
      <c r="F2464" s="367">
        <v>46106.45833333333</v>
      </c>
      <c r="G2464" s="364" t="s">
        <v>1185</v>
      </c>
      <c r="H2464" s="364" t="s">
        <v>1207</v>
      </c>
    </row>
    <row r="2465" ht="15.75" customHeight="1">
      <c r="A2465" s="364" t="s">
        <v>72</v>
      </c>
      <c r="B2465" s="364" t="s">
        <v>24</v>
      </c>
      <c r="C2465" s="365" t="s">
        <v>653</v>
      </c>
      <c r="D2465" s="364" t="s">
        <v>654</v>
      </c>
      <c r="E2465" s="366">
        <v>4.0</v>
      </c>
      <c r="F2465" s="367">
        <v>46119.45833333333</v>
      </c>
      <c r="G2465" s="364" t="s">
        <v>1185</v>
      </c>
      <c r="H2465" s="364" t="s">
        <v>1207</v>
      </c>
    </row>
    <row r="2466" ht="15.75" customHeight="1">
      <c r="A2466" s="364" t="s">
        <v>72</v>
      </c>
      <c r="B2466" s="364" t="s">
        <v>24</v>
      </c>
      <c r="C2466" s="365" t="s">
        <v>653</v>
      </c>
      <c r="D2466" s="364" t="s">
        <v>654</v>
      </c>
      <c r="E2466" s="366">
        <v>5.0</v>
      </c>
      <c r="F2466" s="367">
        <v>46127.54166666667</v>
      </c>
      <c r="G2466" s="364" t="s">
        <v>1185</v>
      </c>
      <c r="H2466" s="364" t="s">
        <v>1207</v>
      </c>
    </row>
    <row r="2467" ht="15.75" customHeight="1">
      <c r="A2467" s="364" t="s">
        <v>72</v>
      </c>
      <c r="B2467" s="364" t="s">
        <v>24</v>
      </c>
      <c r="C2467" s="365" t="s">
        <v>653</v>
      </c>
      <c r="D2467" s="364" t="s">
        <v>654</v>
      </c>
      <c r="E2467" s="366">
        <v>6.0</v>
      </c>
      <c r="F2467" s="367">
        <v>46134.58333333333</v>
      </c>
      <c r="G2467" s="364" t="s">
        <v>1185</v>
      </c>
      <c r="H2467" s="364" t="s">
        <v>1207</v>
      </c>
    </row>
    <row r="2468" ht="15.75" customHeight="1">
      <c r="A2468" s="364" t="s">
        <v>72</v>
      </c>
      <c r="B2468" s="364" t="s">
        <v>24</v>
      </c>
      <c r="C2468" s="365" t="s">
        <v>653</v>
      </c>
      <c r="D2468" s="364" t="s">
        <v>654</v>
      </c>
      <c r="E2468" s="366">
        <v>7.0</v>
      </c>
      <c r="F2468" s="367">
        <v>46169.45833333333</v>
      </c>
      <c r="G2468" s="364" t="s">
        <v>1185</v>
      </c>
      <c r="H2468" s="364" t="s">
        <v>1207</v>
      </c>
    </row>
    <row r="2469" ht="15.75" customHeight="1">
      <c r="A2469" s="364" t="s">
        <v>72</v>
      </c>
      <c r="B2469" s="364" t="s">
        <v>24</v>
      </c>
      <c r="C2469" s="365" t="s">
        <v>653</v>
      </c>
      <c r="D2469" s="364" t="s">
        <v>654</v>
      </c>
      <c r="E2469" s="366">
        <v>8.0</v>
      </c>
      <c r="F2469" s="367">
        <v>46189.41666666667</v>
      </c>
      <c r="G2469" s="364" t="s">
        <v>1187</v>
      </c>
      <c r="H2469" s="364" t="s">
        <v>1207</v>
      </c>
    </row>
    <row r="2470" ht="15.75" customHeight="1">
      <c r="A2470" s="364" t="s">
        <v>72</v>
      </c>
      <c r="B2470" s="364" t="s">
        <v>24</v>
      </c>
      <c r="C2470" s="365" t="s">
        <v>653</v>
      </c>
      <c r="D2470" s="364" t="s">
        <v>654</v>
      </c>
      <c r="E2470" s="366">
        <v>9.0</v>
      </c>
      <c r="F2470" s="367">
        <v>46211.54166666667</v>
      </c>
      <c r="G2470" s="364" t="s">
        <v>1187</v>
      </c>
      <c r="H2470" s="364" t="s">
        <v>1207</v>
      </c>
    </row>
    <row r="2471" ht="15.75" customHeight="1">
      <c r="A2471" s="364" t="s">
        <v>72</v>
      </c>
      <c r="B2471" s="364" t="s">
        <v>24</v>
      </c>
      <c r="C2471" s="365" t="s">
        <v>111</v>
      </c>
      <c r="D2471" s="364" t="s">
        <v>655</v>
      </c>
      <c r="E2471" s="366">
        <v>1.0</v>
      </c>
      <c r="F2471" s="367">
        <v>46084.58333333333</v>
      </c>
      <c r="G2471" s="364" t="s">
        <v>1185</v>
      </c>
      <c r="H2471" s="364" t="s">
        <v>1207</v>
      </c>
    </row>
    <row r="2472" ht="15.75" customHeight="1">
      <c r="A2472" s="364" t="s">
        <v>72</v>
      </c>
      <c r="B2472" s="364" t="s">
        <v>24</v>
      </c>
      <c r="C2472" s="365" t="s">
        <v>111</v>
      </c>
      <c r="D2472" s="364" t="s">
        <v>655</v>
      </c>
      <c r="E2472" s="366">
        <v>2.0</v>
      </c>
      <c r="F2472" s="367">
        <v>46099.45833333333</v>
      </c>
      <c r="G2472" s="364" t="s">
        <v>1185</v>
      </c>
      <c r="H2472" s="364" t="s">
        <v>1207</v>
      </c>
    </row>
    <row r="2473" ht="15.75" customHeight="1">
      <c r="A2473" s="364" t="s">
        <v>72</v>
      </c>
      <c r="B2473" s="364" t="s">
        <v>24</v>
      </c>
      <c r="C2473" s="365" t="s">
        <v>111</v>
      </c>
      <c r="D2473" s="364" t="s">
        <v>655</v>
      </c>
      <c r="E2473" s="366">
        <v>3.0</v>
      </c>
      <c r="F2473" s="367">
        <v>46106.45833333333</v>
      </c>
      <c r="G2473" s="364" t="s">
        <v>1185</v>
      </c>
      <c r="H2473" s="364" t="s">
        <v>1207</v>
      </c>
    </row>
    <row r="2474" ht="15.75" customHeight="1">
      <c r="A2474" s="364" t="s">
        <v>72</v>
      </c>
      <c r="B2474" s="364" t="s">
        <v>24</v>
      </c>
      <c r="C2474" s="365" t="s">
        <v>111</v>
      </c>
      <c r="D2474" s="364" t="s">
        <v>655</v>
      </c>
      <c r="E2474" s="366">
        <v>4.0</v>
      </c>
      <c r="F2474" s="367">
        <v>46119.45833333333</v>
      </c>
      <c r="G2474" s="364" t="s">
        <v>1185</v>
      </c>
      <c r="H2474" s="364" t="s">
        <v>1207</v>
      </c>
    </row>
    <row r="2475" ht="15.75" customHeight="1">
      <c r="A2475" s="364" t="s">
        <v>72</v>
      </c>
      <c r="B2475" s="364" t="s">
        <v>24</v>
      </c>
      <c r="C2475" s="365" t="s">
        <v>111</v>
      </c>
      <c r="D2475" s="364" t="s">
        <v>655</v>
      </c>
      <c r="E2475" s="366">
        <v>5.0</v>
      </c>
      <c r="F2475" s="367">
        <v>46127.54166666667</v>
      </c>
      <c r="G2475" s="364" t="s">
        <v>1185</v>
      </c>
      <c r="H2475" s="364" t="s">
        <v>1207</v>
      </c>
    </row>
    <row r="2476" ht="15.75" customHeight="1">
      <c r="A2476" s="364" t="s">
        <v>72</v>
      </c>
      <c r="B2476" s="364" t="s">
        <v>24</v>
      </c>
      <c r="C2476" s="365" t="s">
        <v>111</v>
      </c>
      <c r="D2476" s="364" t="s">
        <v>655</v>
      </c>
      <c r="E2476" s="366">
        <v>6.0</v>
      </c>
      <c r="F2476" s="367">
        <v>46134.58333333333</v>
      </c>
      <c r="G2476" s="364" t="s">
        <v>1185</v>
      </c>
      <c r="H2476" s="364" t="s">
        <v>1207</v>
      </c>
    </row>
    <row r="2477" ht="15.75" customHeight="1">
      <c r="A2477" s="364" t="s">
        <v>72</v>
      </c>
      <c r="B2477" s="364" t="s">
        <v>24</v>
      </c>
      <c r="C2477" s="365" t="s">
        <v>111</v>
      </c>
      <c r="D2477" s="364" t="s">
        <v>655</v>
      </c>
      <c r="E2477" s="366">
        <v>7.0</v>
      </c>
      <c r="F2477" s="367">
        <v>46169.45833333333</v>
      </c>
      <c r="G2477" s="364" t="s">
        <v>1185</v>
      </c>
      <c r="H2477" s="364" t="s">
        <v>1207</v>
      </c>
    </row>
    <row r="2478" ht="15.75" customHeight="1">
      <c r="A2478" s="364" t="s">
        <v>72</v>
      </c>
      <c r="B2478" s="364" t="s">
        <v>24</v>
      </c>
      <c r="C2478" s="365" t="s">
        <v>111</v>
      </c>
      <c r="D2478" s="364" t="s">
        <v>655</v>
      </c>
      <c r="E2478" s="366">
        <v>8.0</v>
      </c>
      <c r="F2478" s="367">
        <v>46189.41666666667</v>
      </c>
      <c r="G2478" s="364" t="s">
        <v>1187</v>
      </c>
      <c r="H2478" s="364" t="s">
        <v>1207</v>
      </c>
    </row>
    <row r="2479" ht="15.75" customHeight="1">
      <c r="A2479" s="364" t="s">
        <v>72</v>
      </c>
      <c r="B2479" s="364" t="s">
        <v>24</v>
      </c>
      <c r="C2479" s="365" t="s">
        <v>111</v>
      </c>
      <c r="D2479" s="364" t="s">
        <v>655</v>
      </c>
      <c r="E2479" s="366">
        <v>9.0</v>
      </c>
      <c r="F2479" s="367">
        <v>46211.54166666667</v>
      </c>
      <c r="G2479" s="364" t="s">
        <v>1187</v>
      </c>
      <c r="H2479" s="364" t="s">
        <v>1207</v>
      </c>
    </row>
    <row r="2480" ht="15.75" customHeight="1">
      <c r="A2480" s="364" t="s">
        <v>72</v>
      </c>
      <c r="B2480" s="364" t="s">
        <v>24</v>
      </c>
      <c r="C2480" s="365" t="s">
        <v>656</v>
      </c>
      <c r="D2480" s="364" t="s">
        <v>657</v>
      </c>
      <c r="E2480" s="366">
        <v>1.0</v>
      </c>
      <c r="F2480" s="367">
        <v>46084.58333333333</v>
      </c>
      <c r="G2480" s="364" t="s">
        <v>1185</v>
      </c>
      <c r="H2480" s="364" t="s">
        <v>1207</v>
      </c>
    </row>
    <row r="2481" ht="15.75" customHeight="1">
      <c r="A2481" s="364" t="s">
        <v>72</v>
      </c>
      <c r="B2481" s="364" t="s">
        <v>24</v>
      </c>
      <c r="C2481" s="365" t="s">
        <v>656</v>
      </c>
      <c r="D2481" s="364" t="s">
        <v>657</v>
      </c>
      <c r="E2481" s="366">
        <v>2.0</v>
      </c>
      <c r="F2481" s="367">
        <v>46099.45833333333</v>
      </c>
      <c r="G2481" s="364" t="s">
        <v>1185</v>
      </c>
      <c r="H2481" s="364" t="s">
        <v>1207</v>
      </c>
    </row>
    <row r="2482" ht="15.75" customHeight="1">
      <c r="A2482" s="364" t="s">
        <v>72</v>
      </c>
      <c r="B2482" s="364" t="s">
        <v>24</v>
      </c>
      <c r="C2482" s="365" t="s">
        <v>656</v>
      </c>
      <c r="D2482" s="364" t="s">
        <v>657</v>
      </c>
      <c r="E2482" s="366">
        <v>3.0</v>
      </c>
      <c r="F2482" s="367">
        <v>46106.45833333333</v>
      </c>
      <c r="G2482" s="364" t="s">
        <v>1185</v>
      </c>
      <c r="H2482" s="364" t="s">
        <v>1207</v>
      </c>
    </row>
    <row r="2483" ht="15.75" customHeight="1">
      <c r="A2483" s="364" t="s">
        <v>72</v>
      </c>
      <c r="B2483" s="364" t="s">
        <v>24</v>
      </c>
      <c r="C2483" s="365" t="s">
        <v>656</v>
      </c>
      <c r="D2483" s="364" t="s">
        <v>657</v>
      </c>
      <c r="E2483" s="366">
        <v>4.0</v>
      </c>
      <c r="F2483" s="367">
        <v>46119.45833333333</v>
      </c>
      <c r="G2483" s="364" t="s">
        <v>1187</v>
      </c>
      <c r="H2483" s="364" t="s">
        <v>1207</v>
      </c>
    </row>
    <row r="2484" ht="15.75" customHeight="1">
      <c r="A2484" s="364" t="s">
        <v>72</v>
      </c>
      <c r="B2484" s="364" t="s">
        <v>24</v>
      </c>
      <c r="C2484" s="365" t="s">
        <v>656</v>
      </c>
      <c r="D2484" s="364" t="s">
        <v>657</v>
      </c>
      <c r="E2484" s="366">
        <v>5.0</v>
      </c>
      <c r="F2484" s="367">
        <v>46127.54166666667</v>
      </c>
      <c r="G2484" s="364" t="s">
        <v>1185</v>
      </c>
      <c r="H2484" s="364" t="s">
        <v>1207</v>
      </c>
    </row>
    <row r="2485" ht="15.75" customHeight="1">
      <c r="A2485" s="364" t="s">
        <v>72</v>
      </c>
      <c r="B2485" s="364" t="s">
        <v>24</v>
      </c>
      <c r="C2485" s="365" t="s">
        <v>656</v>
      </c>
      <c r="D2485" s="364" t="s">
        <v>657</v>
      </c>
      <c r="E2485" s="366">
        <v>6.0</v>
      </c>
      <c r="F2485" s="367">
        <v>46134.58333333333</v>
      </c>
      <c r="G2485" s="364" t="s">
        <v>1185</v>
      </c>
      <c r="H2485" s="364" t="s">
        <v>1207</v>
      </c>
    </row>
    <row r="2486" ht="15.75" customHeight="1">
      <c r="A2486" s="364" t="s">
        <v>72</v>
      </c>
      <c r="B2486" s="364" t="s">
        <v>24</v>
      </c>
      <c r="C2486" s="365" t="s">
        <v>656</v>
      </c>
      <c r="D2486" s="364" t="s">
        <v>657</v>
      </c>
      <c r="E2486" s="366">
        <v>7.0</v>
      </c>
      <c r="F2486" s="367">
        <v>46169.45833333333</v>
      </c>
      <c r="G2486" s="364" t="s">
        <v>1185</v>
      </c>
      <c r="H2486" s="364" t="s">
        <v>1207</v>
      </c>
    </row>
    <row r="2487" ht="15.75" customHeight="1">
      <c r="A2487" s="364" t="s">
        <v>72</v>
      </c>
      <c r="B2487" s="364" t="s">
        <v>24</v>
      </c>
      <c r="C2487" s="365" t="s">
        <v>656</v>
      </c>
      <c r="D2487" s="364" t="s">
        <v>657</v>
      </c>
      <c r="E2487" s="366">
        <v>8.0</v>
      </c>
      <c r="F2487" s="367">
        <v>46189.41666666667</v>
      </c>
      <c r="G2487" s="364" t="s">
        <v>1187</v>
      </c>
      <c r="H2487" s="364" t="s">
        <v>1207</v>
      </c>
    </row>
    <row r="2488" ht="15.75" customHeight="1">
      <c r="A2488" s="364" t="s">
        <v>72</v>
      </c>
      <c r="B2488" s="364" t="s">
        <v>24</v>
      </c>
      <c r="C2488" s="365" t="s">
        <v>656</v>
      </c>
      <c r="D2488" s="364" t="s">
        <v>657</v>
      </c>
      <c r="E2488" s="366">
        <v>9.0</v>
      </c>
      <c r="F2488" s="367">
        <v>46211.54166666667</v>
      </c>
      <c r="G2488" s="364" t="s">
        <v>1185</v>
      </c>
      <c r="H2488" s="364" t="s">
        <v>1207</v>
      </c>
    </row>
    <row r="2489" ht="15.75" customHeight="1">
      <c r="A2489" s="364" t="s">
        <v>72</v>
      </c>
      <c r="B2489" s="364" t="s">
        <v>24</v>
      </c>
      <c r="C2489" s="365" t="s">
        <v>658</v>
      </c>
      <c r="D2489" s="364" t="s">
        <v>659</v>
      </c>
      <c r="E2489" s="366">
        <v>1.0</v>
      </c>
      <c r="F2489" s="367">
        <v>46084.58333333333</v>
      </c>
      <c r="G2489" s="364" t="s">
        <v>1185</v>
      </c>
      <c r="H2489" s="364" t="s">
        <v>1207</v>
      </c>
    </row>
    <row r="2490" ht="15.75" customHeight="1">
      <c r="A2490" s="364" t="s">
        <v>72</v>
      </c>
      <c r="B2490" s="364" t="s">
        <v>24</v>
      </c>
      <c r="C2490" s="365" t="s">
        <v>658</v>
      </c>
      <c r="D2490" s="364" t="s">
        <v>659</v>
      </c>
      <c r="E2490" s="366">
        <v>2.0</v>
      </c>
      <c r="F2490" s="367">
        <v>46099.45833333333</v>
      </c>
      <c r="G2490" s="364" t="s">
        <v>1185</v>
      </c>
      <c r="H2490" s="364" t="s">
        <v>1207</v>
      </c>
    </row>
    <row r="2491" ht="15.75" customHeight="1">
      <c r="A2491" s="364" t="s">
        <v>72</v>
      </c>
      <c r="B2491" s="364" t="s">
        <v>24</v>
      </c>
      <c r="C2491" s="365" t="s">
        <v>658</v>
      </c>
      <c r="D2491" s="364" t="s">
        <v>659</v>
      </c>
      <c r="E2491" s="366">
        <v>3.0</v>
      </c>
      <c r="F2491" s="367">
        <v>46106.45833333333</v>
      </c>
      <c r="G2491" s="364" t="s">
        <v>1185</v>
      </c>
      <c r="H2491" s="364" t="s">
        <v>1207</v>
      </c>
    </row>
    <row r="2492" ht="15.75" customHeight="1">
      <c r="A2492" s="364" t="s">
        <v>72</v>
      </c>
      <c r="B2492" s="364" t="s">
        <v>24</v>
      </c>
      <c r="C2492" s="365" t="s">
        <v>658</v>
      </c>
      <c r="D2492" s="364" t="s">
        <v>659</v>
      </c>
      <c r="E2492" s="366">
        <v>4.0</v>
      </c>
      <c r="F2492" s="367">
        <v>46119.45833333333</v>
      </c>
      <c r="G2492" s="364" t="s">
        <v>1185</v>
      </c>
      <c r="H2492" s="364" t="s">
        <v>1207</v>
      </c>
    </row>
    <row r="2493" ht="15.75" customHeight="1">
      <c r="A2493" s="364" t="s">
        <v>72</v>
      </c>
      <c r="B2493" s="364" t="s">
        <v>24</v>
      </c>
      <c r="C2493" s="365" t="s">
        <v>658</v>
      </c>
      <c r="D2493" s="364" t="s">
        <v>659</v>
      </c>
      <c r="E2493" s="366">
        <v>5.0</v>
      </c>
      <c r="F2493" s="367">
        <v>46127.54166666667</v>
      </c>
      <c r="G2493" s="364" t="s">
        <v>1185</v>
      </c>
      <c r="H2493" s="364" t="s">
        <v>1207</v>
      </c>
    </row>
    <row r="2494" ht="15.75" customHeight="1">
      <c r="A2494" s="364" t="s">
        <v>72</v>
      </c>
      <c r="B2494" s="364" t="s">
        <v>24</v>
      </c>
      <c r="C2494" s="365" t="s">
        <v>658</v>
      </c>
      <c r="D2494" s="364" t="s">
        <v>659</v>
      </c>
      <c r="E2494" s="366">
        <v>6.0</v>
      </c>
      <c r="F2494" s="367">
        <v>46134.58333333333</v>
      </c>
      <c r="G2494" s="364" t="s">
        <v>1185</v>
      </c>
      <c r="H2494" s="364" t="s">
        <v>1207</v>
      </c>
    </row>
    <row r="2495" ht="15.75" customHeight="1">
      <c r="A2495" s="364" t="s">
        <v>72</v>
      </c>
      <c r="B2495" s="364" t="s">
        <v>24</v>
      </c>
      <c r="C2495" s="365" t="s">
        <v>658</v>
      </c>
      <c r="D2495" s="364" t="s">
        <v>659</v>
      </c>
      <c r="E2495" s="366">
        <v>7.0</v>
      </c>
      <c r="F2495" s="367">
        <v>46169.45833333333</v>
      </c>
      <c r="G2495" s="364" t="s">
        <v>1185</v>
      </c>
      <c r="H2495" s="364" t="s">
        <v>1207</v>
      </c>
    </row>
    <row r="2496" ht="15.75" customHeight="1">
      <c r="A2496" s="364" t="s">
        <v>72</v>
      </c>
      <c r="B2496" s="364" t="s">
        <v>24</v>
      </c>
      <c r="C2496" s="365" t="s">
        <v>658</v>
      </c>
      <c r="D2496" s="364" t="s">
        <v>659</v>
      </c>
      <c r="E2496" s="366">
        <v>8.0</v>
      </c>
      <c r="F2496" s="367">
        <v>46189.41666666667</v>
      </c>
      <c r="G2496" s="364" t="s">
        <v>1185</v>
      </c>
      <c r="H2496" s="364" t="s">
        <v>1207</v>
      </c>
    </row>
    <row r="2497" ht="15.75" customHeight="1">
      <c r="A2497" s="364" t="s">
        <v>72</v>
      </c>
      <c r="B2497" s="364" t="s">
        <v>24</v>
      </c>
      <c r="C2497" s="365" t="s">
        <v>658</v>
      </c>
      <c r="D2497" s="364" t="s">
        <v>659</v>
      </c>
      <c r="E2497" s="366">
        <v>9.0</v>
      </c>
      <c r="F2497" s="367">
        <v>46211.54166666667</v>
      </c>
      <c r="G2497" s="364" t="s">
        <v>1187</v>
      </c>
      <c r="H2497" s="364" t="s">
        <v>1207</v>
      </c>
    </row>
    <row r="2498" ht="15.75" customHeight="1">
      <c r="A2498" s="364" t="s">
        <v>72</v>
      </c>
      <c r="B2498" s="364" t="s">
        <v>24</v>
      </c>
      <c r="C2498" s="365" t="s">
        <v>660</v>
      </c>
      <c r="D2498" s="364" t="s">
        <v>661</v>
      </c>
      <c r="E2498" s="366">
        <v>1.0</v>
      </c>
      <c r="F2498" s="367">
        <v>46084.58333333333</v>
      </c>
      <c r="G2498" s="364" t="s">
        <v>1185</v>
      </c>
      <c r="H2498" s="364" t="s">
        <v>1207</v>
      </c>
    </row>
    <row r="2499" ht="15.75" customHeight="1">
      <c r="A2499" s="364" t="s">
        <v>72</v>
      </c>
      <c r="B2499" s="364" t="s">
        <v>24</v>
      </c>
      <c r="C2499" s="365" t="s">
        <v>660</v>
      </c>
      <c r="D2499" s="364" t="s">
        <v>661</v>
      </c>
      <c r="E2499" s="366">
        <v>2.0</v>
      </c>
      <c r="F2499" s="367">
        <v>46099.45833333333</v>
      </c>
      <c r="G2499" s="364" t="s">
        <v>1185</v>
      </c>
      <c r="H2499" s="364" t="s">
        <v>1207</v>
      </c>
    </row>
    <row r="2500" ht="15.75" customHeight="1">
      <c r="A2500" s="364" t="s">
        <v>72</v>
      </c>
      <c r="B2500" s="364" t="s">
        <v>24</v>
      </c>
      <c r="C2500" s="365" t="s">
        <v>660</v>
      </c>
      <c r="D2500" s="364" t="s">
        <v>661</v>
      </c>
      <c r="E2500" s="366">
        <v>3.0</v>
      </c>
      <c r="F2500" s="367">
        <v>46106.45833333333</v>
      </c>
      <c r="G2500" s="364" t="s">
        <v>1185</v>
      </c>
      <c r="H2500" s="364" t="s">
        <v>1207</v>
      </c>
    </row>
    <row r="2501" ht="15.75" customHeight="1">
      <c r="A2501" s="364" t="s">
        <v>72</v>
      </c>
      <c r="B2501" s="364" t="s">
        <v>24</v>
      </c>
      <c r="C2501" s="365" t="s">
        <v>660</v>
      </c>
      <c r="D2501" s="364" t="s">
        <v>661</v>
      </c>
      <c r="E2501" s="366">
        <v>4.0</v>
      </c>
      <c r="F2501" s="367">
        <v>46119.45833333333</v>
      </c>
      <c r="G2501" s="364" t="s">
        <v>1187</v>
      </c>
      <c r="H2501" s="364" t="s">
        <v>1207</v>
      </c>
    </row>
    <row r="2502" ht="15.75" customHeight="1">
      <c r="A2502" s="364" t="s">
        <v>72</v>
      </c>
      <c r="B2502" s="364" t="s">
        <v>24</v>
      </c>
      <c r="C2502" s="365" t="s">
        <v>660</v>
      </c>
      <c r="D2502" s="364" t="s">
        <v>661</v>
      </c>
      <c r="E2502" s="366">
        <v>5.0</v>
      </c>
      <c r="F2502" s="367">
        <v>46127.54166666667</v>
      </c>
      <c r="G2502" s="364" t="s">
        <v>1185</v>
      </c>
      <c r="H2502" s="364" t="s">
        <v>1207</v>
      </c>
    </row>
    <row r="2503" ht="15.75" customHeight="1">
      <c r="A2503" s="364" t="s">
        <v>72</v>
      </c>
      <c r="B2503" s="364" t="s">
        <v>24</v>
      </c>
      <c r="C2503" s="365" t="s">
        <v>660</v>
      </c>
      <c r="D2503" s="364" t="s">
        <v>661</v>
      </c>
      <c r="E2503" s="366">
        <v>6.0</v>
      </c>
      <c r="F2503" s="367">
        <v>46134.58333333333</v>
      </c>
      <c r="G2503" s="364" t="s">
        <v>1185</v>
      </c>
      <c r="H2503" s="364" t="s">
        <v>1207</v>
      </c>
    </row>
    <row r="2504" ht="15.75" customHeight="1">
      <c r="A2504" s="364" t="s">
        <v>72</v>
      </c>
      <c r="B2504" s="364" t="s">
        <v>24</v>
      </c>
      <c r="C2504" s="365" t="s">
        <v>660</v>
      </c>
      <c r="D2504" s="364" t="s">
        <v>661</v>
      </c>
      <c r="E2504" s="366">
        <v>7.0</v>
      </c>
      <c r="F2504" s="367">
        <v>46169.45833333333</v>
      </c>
      <c r="G2504" s="364" t="s">
        <v>1185</v>
      </c>
      <c r="H2504" s="364" t="s">
        <v>1207</v>
      </c>
    </row>
    <row r="2505" ht="15.75" customHeight="1">
      <c r="A2505" s="364" t="s">
        <v>72</v>
      </c>
      <c r="B2505" s="364" t="s">
        <v>24</v>
      </c>
      <c r="C2505" s="365" t="s">
        <v>660</v>
      </c>
      <c r="D2505" s="364" t="s">
        <v>661</v>
      </c>
      <c r="E2505" s="366">
        <v>8.0</v>
      </c>
      <c r="F2505" s="367">
        <v>46189.41666666667</v>
      </c>
      <c r="G2505" s="364" t="s">
        <v>1185</v>
      </c>
      <c r="H2505" s="364" t="s">
        <v>1207</v>
      </c>
    </row>
    <row r="2506" ht="15.75" customHeight="1">
      <c r="A2506" s="364" t="s">
        <v>72</v>
      </c>
      <c r="B2506" s="364" t="s">
        <v>24</v>
      </c>
      <c r="C2506" s="365" t="s">
        <v>660</v>
      </c>
      <c r="D2506" s="364" t="s">
        <v>661</v>
      </c>
      <c r="E2506" s="366">
        <v>9.0</v>
      </c>
      <c r="F2506" s="367">
        <v>46211.54166666667</v>
      </c>
      <c r="G2506" s="364" t="s">
        <v>1185</v>
      </c>
      <c r="H2506" s="364" t="s">
        <v>1207</v>
      </c>
    </row>
    <row r="2507" ht="15.75" customHeight="1">
      <c r="A2507" s="364" t="s">
        <v>72</v>
      </c>
      <c r="B2507" s="364" t="s">
        <v>24</v>
      </c>
      <c r="C2507" s="365" t="s">
        <v>662</v>
      </c>
      <c r="D2507" s="364" t="s">
        <v>663</v>
      </c>
      <c r="E2507" s="366">
        <v>1.0</v>
      </c>
      <c r="F2507" s="367">
        <v>46084.58333333333</v>
      </c>
      <c r="G2507" s="364" t="s">
        <v>1185</v>
      </c>
      <c r="H2507" s="364" t="s">
        <v>1207</v>
      </c>
    </row>
    <row r="2508" ht="15.75" customHeight="1">
      <c r="A2508" s="364" t="s">
        <v>72</v>
      </c>
      <c r="B2508" s="364" t="s">
        <v>24</v>
      </c>
      <c r="C2508" s="365" t="s">
        <v>662</v>
      </c>
      <c r="D2508" s="364" t="s">
        <v>663</v>
      </c>
      <c r="E2508" s="366">
        <v>2.0</v>
      </c>
      <c r="F2508" s="367">
        <v>46099.45833333333</v>
      </c>
      <c r="G2508" s="364" t="s">
        <v>1185</v>
      </c>
      <c r="H2508" s="364" t="s">
        <v>1207</v>
      </c>
    </row>
    <row r="2509" ht="15.75" customHeight="1">
      <c r="A2509" s="364" t="s">
        <v>72</v>
      </c>
      <c r="B2509" s="364" t="s">
        <v>24</v>
      </c>
      <c r="C2509" s="365" t="s">
        <v>662</v>
      </c>
      <c r="D2509" s="364" t="s">
        <v>663</v>
      </c>
      <c r="E2509" s="366">
        <v>3.0</v>
      </c>
      <c r="F2509" s="367">
        <v>46106.45833333333</v>
      </c>
      <c r="G2509" s="364" t="s">
        <v>1187</v>
      </c>
      <c r="H2509" s="364" t="s">
        <v>1207</v>
      </c>
    </row>
    <row r="2510" ht="15.75" customHeight="1">
      <c r="A2510" s="364" t="s">
        <v>72</v>
      </c>
      <c r="B2510" s="364" t="s">
        <v>24</v>
      </c>
      <c r="C2510" s="365" t="s">
        <v>662</v>
      </c>
      <c r="D2510" s="364" t="s">
        <v>663</v>
      </c>
      <c r="E2510" s="366">
        <v>4.0</v>
      </c>
      <c r="F2510" s="367">
        <v>46119.45833333333</v>
      </c>
      <c r="G2510" s="364" t="s">
        <v>1185</v>
      </c>
      <c r="H2510" s="364" t="s">
        <v>1207</v>
      </c>
    </row>
    <row r="2511" ht="15.75" customHeight="1">
      <c r="A2511" s="364" t="s">
        <v>72</v>
      </c>
      <c r="B2511" s="364" t="s">
        <v>24</v>
      </c>
      <c r="C2511" s="365" t="s">
        <v>662</v>
      </c>
      <c r="D2511" s="364" t="s">
        <v>663</v>
      </c>
      <c r="E2511" s="366">
        <v>5.0</v>
      </c>
      <c r="F2511" s="367">
        <v>46127.54166666667</v>
      </c>
      <c r="G2511" s="364" t="s">
        <v>1185</v>
      </c>
      <c r="H2511" s="364" t="s">
        <v>1207</v>
      </c>
    </row>
    <row r="2512" ht="15.75" customHeight="1">
      <c r="A2512" s="364" t="s">
        <v>72</v>
      </c>
      <c r="B2512" s="364" t="s">
        <v>24</v>
      </c>
      <c r="C2512" s="365" t="s">
        <v>662</v>
      </c>
      <c r="D2512" s="364" t="s">
        <v>663</v>
      </c>
      <c r="E2512" s="366">
        <v>6.0</v>
      </c>
      <c r="F2512" s="367">
        <v>46134.58333333333</v>
      </c>
      <c r="G2512" s="364" t="s">
        <v>1185</v>
      </c>
      <c r="H2512" s="364" t="s">
        <v>1207</v>
      </c>
    </row>
    <row r="2513" ht="15.75" customHeight="1">
      <c r="A2513" s="364" t="s">
        <v>72</v>
      </c>
      <c r="B2513" s="364" t="s">
        <v>24</v>
      </c>
      <c r="C2513" s="365" t="s">
        <v>662</v>
      </c>
      <c r="D2513" s="364" t="s">
        <v>663</v>
      </c>
      <c r="E2513" s="366">
        <v>7.0</v>
      </c>
      <c r="F2513" s="367">
        <v>46169.45833333333</v>
      </c>
      <c r="G2513" s="364" t="s">
        <v>1185</v>
      </c>
      <c r="H2513" s="364" t="s">
        <v>1207</v>
      </c>
    </row>
    <row r="2514" ht="15.75" customHeight="1">
      <c r="A2514" s="364" t="s">
        <v>72</v>
      </c>
      <c r="B2514" s="364" t="s">
        <v>24</v>
      </c>
      <c r="C2514" s="365" t="s">
        <v>662</v>
      </c>
      <c r="D2514" s="364" t="s">
        <v>663</v>
      </c>
      <c r="E2514" s="366">
        <v>8.0</v>
      </c>
      <c r="F2514" s="367">
        <v>46189.41666666667</v>
      </c>
      <c r="G2514" s="364" t="s">
        <v>1187</v>
      </c>
      <c r="H2514" s="364" t="s">
        <v>1207</v>
      </c>
    </row>
    <row r="2515" ht="15.75" customHeight="1">
      <c r="A2515" s="364" t="s">
        <v>72</v>
      </c>
      <c r="B2515" s="364" t="s">
        <v>24</v>
      </c>
      <c r="C2515" s="365" t="s">
        <v>662</v>
      </c>
      <c r="D2515" s="364" t="s">
        <v>663</v>
      </c>
      <c r="E2515" s="366">
        <v>9.0</v>
      </c>
      <c r="F2515" s="367">
        <v>46211.54166666667</v>
      </c>
      <c r="G2515" s="364" t="s">
        <v>1187</v>
      </c>
      <c r="H2515" s="364" t="s">
        <v>1207</v>
      </c>
    </row>
    <row r="2516" ht="15.75" customHeight="1">
      <c r="A2516" s="364" t="s">
        <v>72</v>
      </c>
      <c r="B2516" s="364" t="s">
        <v>24</v>
      </c>
      <c r="C2516" s="365" t="s">
        <v>664</v>
      </c>
      <c r="D2516" s="364" t="s">
        <v>665</v>
      </c>
      <c r="E2516" s="366">
        <v>2.0</v>
      </c>
      <c r="F2516" s="367">
        <v>46099.45833333333</v>
      </c>
      <c r="G2516" s="364" t="s">
        <v>1185</v>
      </c>
      <c r="H2516" s="364" t="s">
        <v>1207</v>
      </c>
    </row>
    <row r="2517" ht="15.75" customHeight="1">
      <c r="A2517" s="364" t="s">
        <v>72</v>
      </c>
      <c r="B2517" s="364" t="s">
        <v>24</v>
      </c>
      <c r="C2517" s="365" t="s">
        <v>664</v>
      </c>
      <c r="D2517" s="364" t="s">
        <v>665</v>
      </c>
      <c r="E2517" s="366">
        <v>3.0</v>
      </c>
      <c r="F2517" s="367">
        <v>46106.45833333333</v>
      </c>
      <c r="G2517" s="364" t="s">
        <v>1185</v>
      </c>
      <c r="H2517" s="364" t="s">
        <v>1207</v>
      </c>
    </row>
    <row r="2518" ht="15.75" customHeight="1">
      <c r="A2518" s="364" t="s">
        <v>72</v>
      </c>
      <c r="B2518" s="364" t="s">
        <v>24</v>
      </c>
      <c r="C2518" s="365" t="s">
        <v>664</v>
      </c>
      <c r="D2518" s="364" t="s">
        <v>665</v>
      </c>
      <c r="E2518" s="366">
        <v>4.0</v>
      </c>
      <c r="F2518" s="367">
        <v>46119.45833333333</v>
      </c>
      <c r="G2518" s="364" t="s">
        <v>1187</v>
      </c>
      <c r="H2518" s="364" t="s">
        <v>1207</v>
      </c>
    </row>
    <row r="2519" ht="15.75" customHeight="1">
      <c r="A2519" s="364" t="s">
        <v>72</v>
      </c>
      <c r="B2519" s="364" t="s">
        <v>24</v>
      </c>
      <c r="C2519" s="365" t="s">
        <v>664</v>
      </c>
      <c r="D2519" s="364" t="s">
        <v>665</v>
      </c>
      <c r="E2519" s="366">
        <v>5.0</v>
      </c>
      <c r="F2519" s="367">
        <v>46127.54166666667</v>
      </c>
      <c r="G2519" s="364" t="s">
        <v>1185</v>
      </c>
      <c r="H2519" s="364" t="s">
        <v>1207</v>
      </c>
    </row>
    <row r="2520" ht="15.75" customHeight="1">
      <c r="A2520" s="364" t="s">
        <v>72</v>
      </c>
      <c r="B2520" s="364" t="s">
        <v>24</v>
      </c>
      <c r="C2520" s="365" t="s">
        <v>664</v>
      </c>
      <c r="D2520" s="364" t="s">
        <v>665</v>
      </c>
      <c r="E2520" s="366">
        <v>6.0</v>
      </c>
      <c r="F2520" s="367">
        <v>46134.58333333333</v>
      </c>
      <c r="G2520" s="364" t="s">
        <v>1185</v>
      </c>
      <c r="H2520" s="364" t="s">
        <v>1207</v>
      </c>
    </row>
    <row r="2521" ht="15.75" customHeight="1">
      <c r="A2521" s="364" t="s">
        <v>72</v>
      </c>
      <c r="B2521" s="364" t="s">
        <v>24</v>
      </c>
      <c r="C2521" s="365" t="s">
        <v>664</v>
      </c>
      <c r="D2521" s="364" t="s">
        <v>665</v>
      </c>
      <c r="E2521" s="366">
        <v>7.0</v>
      </c>
      <c r="F2521" s="367">
        <v>46169.45833333333</v>
      </c>
      <c r="G2521" s="364" t="s">
        <v>1187</v>
      </c>
      <c r="H2521" s="364" t="s">
        <v>1207</v>
      </c>
    </row>
    <row r="2522" ht="15.75" customHeight="1">
      <c r="A2522" s="364" t="s">
        <v>72</v>
      </c>
      <c r="B2522" s="364" t="s">
        <v>24</v>
      </c>
      <c r="C2522" s="365" t="s">
        <v>664</v>
      </c>
      <c r="D2522" s="364" t="s">
        <v>665</v>
      </c>
      <c r="E2522" s="366">
        <v>8.0</v>
      </c>
      <c r="F2522" s="367">
        <v>46189.41666666667</v>
      </c>
      <c r="G2522" s="364" t="s">
        <v>1185</v>
      </c>
      <c r="H2522" s="364" t="s">
        <v>1207</v>
      </c>
    </row>
    <row r="2523" ht="15.75" customHeight="1">
      <c r="A2523" s="364" t="s">
        <v>72</v>
      </c>
      <c r="B2523" s="364" t="s">
        <v>24</v>
      </c>
      <c r="C2523" s="365" t="s">
        <v>664</v>
      </c>
      <c r="D2523" s="364" t="s">
        <v>665</v>
      </c>
      <c r="E2523" s="366">
        <v>9.0</v>
      </c>
      <c r="F2523" s="367">
        <v>46211.54166666667</v>
      </c>
      <c r="G2523" s="364" t="s">
        <v>1185</v>
      </c>
      <c r="H2523" s="364" t="s">
        <v>1207</v>
      </c>
    </row>
    <row r="2524" ht="15.75" customHeight="1">
      <c r="A2524" s="364" t="s">
        <v>72</v>
      </c>
      <c r="B2524" s="364" t="s">
        <v>24</v>
      </c>
      <c r="C2524" s="365" t="s">
        <v>666</v>
      </c>
      <c r="D2524" s="364" t="s">
        <v>667</v>
      </c>
      <c r="E2524" s="366">
        <v>1.0</v>
      </c>
      <c r="F2524" s="367">
        <v>46084.58333333333</v>
      </c>
      <c r="G2524" s="364" t="s">
        <v>1185</v>
      </c>
      <c r="H2524" s="364" t="s">
        <v>1207</v>
      </c>
    </row>
    <row r="2525" ht="15.75" customHeight="1">
      <c r="A2525" s="364" t="s">
        <v>72</v>
      </c>
      <c r="B2525" s="364" t="s">
        <v>24</v>
      </c>
      <c r="C2525" s="365" t="s">
        <v>666</v>
      </c>
      <c r="D2525" s="364" t="s">
        <v>667</v>
      </c>
      <c r="E2525" s="366">
        <v>2.0</v>
      </c>
      <c r="F2525" s="367">
        <v>46099.45833333333</v>
      </c>
      <c r="G2525" s="364" t="s">
        <v>1185</v>
      </c>
      <c r="H2525" s="364" t="s">
        <v>1207</v>
      </c>
    </row>
    <row r="2526" ht="15.75" customHeight="1">
      <c r="A2526" s="364" t="s">
        <v>72</v>
      </c>
      <c r="B2526" s="364" t="s">
        <v>24</v>
      </c>
      <c r="C2526" s="365" t="s">
        <v>666</v>
      </c>
      <c r="D2526" s="364" t="s">
        <v>667</v>
      </c>
      <c r="E2526" s="366">
        <v>3.0</v>
      </c>
      <c r="F2526" s="367">
        <v>46106.45833333333</v>
      </c>
      <c r="G2526" s="364" t="s">
        <v>1187</v>
      </c>
      <c r="H2526" s="364" t="s">
        <v>1207</v>
      </c>
    </row>
    <row r="2527" ht="15.75" customHeight="1">
      <c r="A2527" s="364" t="s">
        <v>72</v>
      </c>
      <c r="B2527" s="364" t="s">
        <v>24</v>
      </c>
      <c r="C2527" s="365" t="s">
        <v>666</v>
      </c>
      <c r="D2527" s="364" t="s">
        <v>667</v>
      </c>
      <c r="E2527" s="366">
        <v>4.0</v>
      </c>
      <c r="F2527" s="367">
        <v>46119.45833333333</v>
      </c>
      <c r="G2527" s="364" t="s">
        <v>1185</v>
      </c>
      <c r="H2527" s="364" t="s">
        <v>1207</v>
      </c>
    </row>
    <row r="2528" ht="15.75" customHeight="1">
      <c r="A2528" s="364" t="s">
        <v>72</v>
      </c>
      <c r="B2528" s="364" t="s">
        <v>24</v>
      </c>
      <c r="C2528" s="365" t="s">
        <v>666</v>
      </c>
      <c r="D2528" s="364" t="s">
        <v>667</v>
      </c>
      <c r="E2528" s="366">
        <v>5.0</v>
      </c>
      <c r="F2528" s="367">
        <v>46127.54166666667</v>
      </c>
      <c r="G2528" s="364" t="s">
        <v>1185</v>
      </c>
      <c r="H2528" s="364" t="s">
        <v>1207</v>
      </c>
    </row>
    <row r="2529" ht="15.75" customHeight="1">
      <c r="A2529" s="364" t="s">
        <v>72</v>
      </c>
      <c r="B2529" s="364" t="s">
        <v>24</v>
      </c>
      <c r="C2529" s="365" t="s">
        <v>666</v>
      </c>
      <c r="D2529" s="364" t="s">
        <v>667</v>
      </c>
      <c r="E2529" s="366">
        <v>6.0</v>
      </c>
      <c r="F2529" s="367">
        <v>46134.58333333333</v>
      </c>
      <c r="G2529" s="364" t="s">
        <v>1185</v>
      </c>
      <c r="H2529" s="364" t="s">
        <v>1207</v>
      </c>
    </row>
    <row r="2530" ht="15.75" customHeight="1">
      <c r="A2530" s="364" t="s">
        <v>72</v>
      </c>
      <c r="B2530" s="364" t="s">
        <v>24</v>
      </c>
      <c r="C2530" s="365" t="s">
        <v>666</v>
      </c>
      <c r="D2530" s="364" t="s">
        <v>667</v>
      </c>
      <c r="E2530" s="366">
        <v>7.0</v>
      </c>
      <c r="F2530" s="367">
        <v>46169.45833333333</v>
      </c>
      <c r="G2530" s="364" t="s">
        <v>1185</v>
      </c>
      <c r="H2530" s="364" t="s">
        <v>1207</v>
      </c>
    </row>
    <row r="2531" ht="15.75" customHeight="1">
      <c r="A2531" s="364" t="s">
        <v>72</v>
      </c>
      <c r="B2531" s="364" t="s">
        <v>24</v>
      </c>
      <c r="C2531" s="365" t="s">
        <v>666</v>
      </c>
      <c r="D2531" s="364" t="s">
        <v>667</v>
      </c>
      <c r="E2531" s="366">
        <v>8.0</v>
      </c>
      <c r="F2531" s="367">
        <v>46189.41666666667</v>
      </c>
      <c r="G2531" s="364" t="s">
        <v>1187</v>
      </c>
      <c r="H2531" s="364" t="s">
        <v>1207</v>
      </c>
    </row>
    <row r="2532" ht="15.75" customHeight="1">
      <c r="A2532" s="364" t="s">
        <v>72</v>
      </c>
      <c r="B2532" s="364" t="s">
        <v>24</v>
      </c>
      <c r="C2532" s="365" t="s">
        <v>666</v>
      </c>
      <c r="D2532" s="364" t="s">
        <v>667</v>
      </c>
      <c r="E2532" s="366">
        <v>9.0</v>
      </c>
      <c r="F2532" s="367">
        <v>46211.54166666667</v>
      </c>
      <c r="G2532" s="364" t="s">
        <v>1187</v>
      </c>
      <c r="H2532" s="364" t="s">
        <v>1207</v>
      </c>
    </row>
    <row r="2533" ht="15.75" customHeight="1">
      <c r="A2533" s="364" t="s">
        <v>73</v>
      </c>
      <c r="B2533" s="364" t="s">
        <v>22</v>
      </c>
      <c r="C2533" s="365" t="s">
        <v>721</v>
      </c>
      <c r="D2533" s="364" t="s">
        <v>722</v>
      </c>
      <c r="E2533" s="366">
        <v>1.0</v>
      </c>
      <c r="F2533" s="367">
        <v>45765.375</v>
      </c>
      <c r="G2533" s="364" t="s">
        <v>1185</v>
      </c>
      <c r="H2533" s="364" t="s">
        <v>1208</v>
      </c>
    </row>
    <row r="2534" ht="15.75" customHeight="1">
      <c r="A2534" s="364" t="s">
        <v>73</v>
      </c>
      <c r="B2534" s="364" t="s">
        <v>22</v>
      </c>
      <c r="C2534" s="365" t="s">
        <v>721</v>
      </c>
      <c r="D2534" s="364" t="s">
        <v>722</v>
      </c>
      <c r="E2534" s="366">
        <v>2.0</v>
      </c>
      <c r="F2534" s="367">
        <v>45783.41666666667</v>
      </c>
      <c r="G2534" s="364" t="s">
        <v>1185</v>
      </c>
      <c r="H2534" s="364" t="s">
        <v>1208</v>
      </c>
    </row>
    <row r="2535" ht="15.75" customHeight="1">
      <c r="A2535" s="364" t="s">
        <v>73</v>
      </c>
      <c r="B2535" s="364" t="s">
        <v>22</v>
      </c>
      <c r="C2535" s="365" t="s">
        <v>721</v>
      </c>
      <c r="D2535" s="364" t="s">
        <v>722</v>
      </c>
      <c r="E2535" s="366">
        <v>3.0</v>
      </c>
      <c r="F2535" s="367">
        <v>45790.41666666667</v>
      </c>
      <c r="G2535" s="364" t="s">
        <v>1185</v>
      </c>
      <c r="H2535" s="364" t="s">
        <v>1208</v>
      </c>
    </row>
    <row r="2536" ht="15.75" customHeight="1">
      <c r="A2536" s="364" t="s">
        <v>73</v>
      </c>
      <c r="B2536" s="364" t="s">
        <v>22</v>
      </c>
      <c r="C2536" s="365" t="s">
        <v>721</v>
      </c>
      <c r="D2536" s="364" t="s">
        <v>722</v>
      </c>
      <c r="E2536" s="366">
        <v>4.0</v>
      </c>
      <c r="F2536" s="367">
        <v>45804.41666666667</v>
      </c>
      <c r="G2536" s="364" t="s">
        <v>1185</v>
      </c>
      <c r="H2536" s="364" t="s">
        <v>1208</v>
      </c>
    </row>
    <row r="2537" ht="15.75" customHeight="1">
      <c r="A2537" s="364" t="s">
        <v>73</v>
      </c>
      <c r="B2537" s="364" t="s">
        <v>22</v>
      </c>
      <c r="C2537" s="365" t="s">
        <v>721</v>
      </c>
      <c r="D2537" s="364" t="s">
        <v>722</v>
      </c>
      <c r="E2537" s="366">
        <v>5.0</v>
      </c>
      <c r="F2537" s="367">
        <v>45811.625</v>
      </c>
      <c r="G2537" s="364" t="s">
        <v>1185</v>
      </c>
      <c r="H2537" s="364" t="s">
        <v>1208</v>
      </c>
    </row>
    <row r="2538" ht="15.75" customHeight="1">
      <c r="A2538" s="364" t="s">
        <v>73</v>
      </c>
      <c r="B2538" s="364" t="s">
        <v>22</v>
      </c>
      <c r="C2538" s="365" t="s">
        <v>721</v>
      </c>
      <c r="D2538" s="364" t="s">
        <v>722</v>
      </c>
      <c r="E2538" s="366">
        <v>6.0</v>
      </c>
      <c r="F2538" s="367">
        <v>45818.625</v>
      </c>
      <c r="G2538" s="364" t="s">
        <v>1185</v>
      </c>
      <c r="H2538" s="364" t="s">
        <v>1208</v>
      </c>
    </row>
    <row r="2539" ht="15.75" customHeight="1">
      <c r="A2539" s="364" t="s">
        <v>73</v>
      </c>
      <c r="B2539" s="364" t="s">
        <v>22</v>
      </c>
      <c r="C2539" s="365" t="s">
        <v>721</v>
      </c>
      <c r="D2539" s="364" t="s">
        <v>722</v>
      </c>
      <c r="E2539" s="366">
        <v>7.0</v>
      </c>
      <c r="F2539" s="367">
        <v>45825.625</v>
      </c>
      <c r="G2539" s="364" t="s">
        <v>1185</v>
      </c>
      <c r="H2539" s="364" t="s">
        <v>1208</v>
      </c>
    </row>
    <row r="2540" ht="15.75" customHeight="1">
      <c r="A2540" s="364" t="s">
        <v>73</v>
      </c>
      <c r="B2540" s="364" t="s">
        <v>22</v>
      </c>
      <c r="C2540" s="365" t="s">
        <v>721</v>
      </c>
      <c r="D2540" s="364" t="s">
        <v>722</v>
      </c>
      <c r="E2540" s="366">
        <v>8.0</v>
      </c>
      <c r="F2540" s="367">
        <v>45832.625</v>
      </c>
      <c r="G2540" s="364" t="s">
        <v>1185</v>
      </c>
      <c r="H2540" s="364" t="s">
        <v>1208</v>
      </c>
    </row>
    <row r="2541" ht="15.75" customHeight="1">
      <c r="A2541" s="364" t="s">
        <v>73</v>
      </c>
      <c r="B2541" s="364" t="s">
        <v>22</v>
      </c>
      <c r="C2541" s="365" t="s">
        <v>721</v>
      </c>
      <c r="D2541" s="364" t="s">
        <v>722</v>
      </c>
      <c r="E2541" s="366">
        <v>9.0</v>
      </c>
      <c r="F2541" s="367">
        <v>45846.625</v>
      </c>
      <c r="G2541" s="364" t="s">
        <v>1185</v>
      </c>
      <c r="H2541" s="364" t="s">
        <v>1208</v>
      </c>
    </row>
    <row r="2542" ht="15.75" customHeight="1">
      <c r="A2542" s="364" t="s">
        <v>73</v>
      </c>
      <c r="B2542" s="364" t="s">
        <v>22</v>
      </c>
      <c r="C2542" s="365" t="s">
        <v>721</v>
      </c>
      <c r="D2542" s="364" t="s">
        <v>722</v>
      </c>
      <c r="E2542" s="366">
        <v>10.0</v>
      </c>
      <c r="F2542" s="367">
        <v>45867.58333333333</v>
      </c>
      <c r="G2542" s="364" t="s">
        <v>1185</v>
      </c>
      <c r="H2542" s="364" t="s">
        <v>1208</v>
      </c>
    </row>
    <row r="2543" ht="15.75" customHeight="1">
      <c r="A2543" s="364" t="s">
        <v>73</v>
      </c>
      <c r="B2543" s="364" t="s">
        <v>22</v>
      </c>
      <c r="C2543" s="365" t="s">
        <v>581</v>
      </c>
      <c r="D2543" s="364" t="s">
        <v>582</v>
      </c>
      <c r="E2543" s="366">
        <v>1.0</v>
      </c>
      <c r="F2543" s="367">
        <v>45765.375</v>
      </c>
      <c r="G2543" s="364" t="s">
        <v>1185</v>
      </c>
      <c r="H2543" s="364" t="s">
        <v>1208</v>
      </c>
    </row>
    <row r="2544" ht="15.75" customHeight="1">
      <c r="A2544" s="364" t="s">
        <v>73</v>
      </c>
      <c r="B2544" s="364" t="s">
        <v>22</v>
      </c>
      <c r="C2544" s="365" t="s">
        <v>581</v>
      </c>
      <c r="D2544" s="364" t="s">
        <v>582</v>
      </c>
      <c r="E2544" s="366">
        <v>2.0</v>
      </c>
      <c r="F2544" s="367">
        <v>45783.41666666667</v>
      </c>
      <c r="G2544" s="364" t="s">
        <v>1185</v>
      </c>
      <c r="H2544" s="364" t="s">
        <v>1208</v>
      </c>
    </row>
    <row r="2545" ht="15.75" customHeight="1">
      <c r="A2545" s="364" t="s">
        <v>73</v>
      </c>
      <c r="B2545" s="364" t="s">
        <v>22</v>
      </c>
      <c r="C2545" s="365" t="s">
        <v>581</v>
      </c>
      <c r="D2545" s="364" t="s">
        <v>582</v>
      </c>
      <c r="E2545" s="366">
        <v>3.0</v>
      </c>
      <c r="F2545" s="367">
        <v>45790.41666666667</v>
      </c>
      <c r="G2545" s="364" t="s">
        <v>1185</v>
      </c>
      <c r="H2545" s="364" t="s">
        <v>1208</v>
      </c>
    </row>
    <row r="2546" ht="15.75" customHeight="1">
      <c r="A2546" s="364" t="s">
        <v>73</v>
      </c>
      <c r="B2546" s="364" t="s">
        <v>22</v>
      </c>
      <c r="C2546" s="365" t="s">
        <v>581</v>
      </c>
      <c r="D2546" s="364" t="s">
        <v>582</v>
      </c>
      <c r="E2546" s="366">
        <v>4.0</v>
      </c>
      <c r="F2546" s="367">
        <v>45804.41666666667</v>
      </c>
      <c r="G2546" s="364" t="s">
        <v>1185</v>
      </c>
      <c r="H2546" s="364" t="s">
        <v>1208</v>
      </c>
    </row>
    <row r="2547" ht="15.75" customHeight="1">
      <c r="A2547" s="364" t="s">
        <v>73</v>
      </c>
      <c r="B2547" s="364" t="s">
        <v>22</v>
      </c>
      <c r="C2547" s="365" t="s">
        <v>581</v>
      </c>
      <c r="D2547" s="364" t="s">
        <v>582</v>
      </c>
      <c r="E2547" s="366">
        <v>5.0</v>
      </c>
      <c r="F2547" s="367">
        <v>45811.625</v>
      </c>
      <c r="G2547" s="364" t="s">
        <v>1185</v>
      </c>
      <c r="H2547" s="364" t="s">
        <v>1208</v>
      </c>
    </row>
    <row r="2548" ht="15.75" customHeight="1">
      <c r="A2548" s="364" t="s">
        <v>73</v>
      </c>
      <c r="B2548" s="364" t="s">
        <v>22</v>
      </c>
      <c r="C2548" s="365" t="s">
        <v>581</v>
      </c>
      <c r="D2548" s="364" t="s">
        <v>582</v>
      </c>
      <c r="E2548" s="366">
        <v>6.0</v>
      </c>
      <c r="F2548" s="367">
        <v>45818.625</v>
      </c>
      <c r="G2548" s="364" t="s">
        <v>1185</v>
      </c>
      <c r="H2548" s="364" t="s">
        <v>1208</v>
      </c>
    </row>
    <row r="2549" ht="15.75" customHeight="1">
      <c r="A2549" s="364" t="s">
        <v>73</v>
      </c>
      <c r="B2549" s="364" t="s">
        <v>22</v>
      </c>
      <c r="C2549" s="365" t="s">
        <v>581</v>
      </c>
      <c r="D2549" s="364" t="s">
        <v>582</v>
      </c>
      <c r="E2549" s="366">
        <v>7.0</v>
      </c>
      <c r="F2549" s="367">
        <v>45825.625</v>
      </c>
      <c r="G2549" s="364" t="s">
        <v>1185</v>
      </c>
      <c r="H2549" s="364" t="s">
        <v>1208</v>
      </c>
    </row>
    <row r="2550" ht="15.75" customHeight="1">
      <c r="A2550" s="364" t="s">
        <v>73</v>
      </c>
      <c r="B2550" s="364" t="s">
        <v>22</v>
      </c>
      <c r="C2550" s="365" t="s">
        <v>581</v>
      </c>
      <c r="D2550" s="364" t="s">
        <v>582</v>
      </c>
      <c r="E2550" s="366">
        <v>8.0</v>
      </c>
      <c r="F2550" s="367">
        <v>45832.625</v>
      </c>
      <c r="G2550" s="364" t="s">
        <v>1185</v>
      </c>
      <c r="H2550" s="364" t="s">
        <v>1208</v>
      </c>
    </row>
    <row r="2551" ht="15.75" customHeight="1">
      <c r="A2551" s="364" t="s">
        <v>73</v>
      </c>
      <c r="B2551" s="364" t="s">
        <v>22</v>
      </c>
      <c r="C2551" s="365" t="s">
        <v>581</v>
      </c>
      <c r="D2551" s="364" t="s">
        <v>582</v>
      </c>
      <c r="E2551" s="366">
        <v>9.0</v>
      </c>
      <c r="F2551" s="367">
        <v>45846.625</v>
      </c>
      <c r="G2551" s="364" t="s">
        <v>1185</v>
      </c>
      <c r="H2551" s="364" t="s">
        <v>1208</v>
      </c>
    </row>
    <row r="2552" ht="15.75" customHeight="1">
      <c r="A2552" s="364" t="s">
        <v>73</v>
      </c>
      <c r="B2552" s="364" t="s">
        <v>22</v>
      </c>
      <c r="C2552" s="365" t="s">
        <v>581</v>
      </c>
      <c r="D2552" s="364" t="s">
        <v>582</v>
      </c>
      <c r="E2552" s="366">
        <v>10.0</v>
      </c>
      <c r="F2552" s="367">
        <v>45867.58333333333</v>
      </c>
      <c r="G2552" s="364" t="s">
        <v>1185</v>
      </c>
      <c r="H2552" s="364" t="s">
        <v>1208</v>
      </c>
    </row>
    <row r="2553" ht="15.75" customHeight="1">
      <c r="A2553" s="364" t="s">
        <v>73</v>
      </c>
      <c r="B2553" s="364" t="s">
        <v>22</v>
      </c>
      <c r="C2553" s="365" t="s">
        <v>766</v>
      </c>
      <c r="D2553" s="364" t="s">
        <v>767</v>
      </c>
      <c r="E2553" s="366">
        <v>1.0</v>
      </c>
      <c r="F2553" s="367">
        <v>45765.375</v>
      </c>
      <c r="G2553" s="364" t="s">
        <v>1185</v>
      </c>
      <c r="H2553" s="364" t="s">
        <v>1208</v>
      </c>
    </row>
    <row r="2554" ht="15.75" customHeight="1">
      <c r="A2554" s="364" t="s">
        <v>73</v>
      </c>
      <c r="B2554" s="364" t="s">
        <v>22</v>
      </c>
      <c r="C2554" s="365" t="s">
        <v>766</v>
      </c>
      <c r="D2554" s="364" t="s">
        <v>767</v>
      </c>
      <c r="E2554" s="366">
        <v>2.0</v>
      </c>
      <c r="F2554" s="367">
        <v>45783.41666666667</v>
      </c>
      <c r="G2554" s="364" t="s">
        <v>1185</v>
      </c>
      <c r="H2554" s="364" t="s">
        <v>1208</v>
      </c>
    </row>
    <row r="2555" ht="15.75" customHeight="1">
      <c r="A2555" s="364" t="s">
        <v>73</v>
      </c>
      <c r="B2555" s="364" t="s">
        <v>22</v>
      </c>
      <c r="C2555" s="365" t="s">
        <v>766</v>
      </c>
      <c r="D2555" s="364" t="s">
        <v>767</v>
      </c>
      <c r="E2555" s="366">
        <v>3.0</v>
      </c>
      <c r="F2555" s="367">
        <v>45790.41666666667</v>
      </c>
      <c r="G2555" s="364" t="s">
        <v>1185</v>
      </c>
      <c r="H2555" s="364" t="s">
        <v>1208</v>
      </c>
    </row>
    <row r="2556" ht="15.75" customHeight="1">
      <c r="A2556" s="364" t="s">
        <v>73</v>
      </c>
      <c r="B2556" s="364" t="s">
        <v>22</v>
      </c>
      <c r="C2556" s="365" t="s">
        <v>766</v>
      </c>
      <c r="D2556" s="364" t="s">
        <v>767</v>
      </c>
      <c r="E2556" s="366">
        <v>4.0</v>
      </c>
      <c r="F2556" s="367">
        <v>45804.41666666667</v>
      </c>
      <c r="G2556" s="364" t="s">
        <v>1185</v>
      </c>
      <c r="H2556" s="364" t="s">
        <v>1208</v>
      </c>
    </row>
    <row r="2557" ht="15.75" customHeight="1">
      <c r="A2557" s="364" t="s">
        <v>73</v>
      </c>
      <c r="B2557" s="364" t="s">
        <v>22</v>
      </c>
      <c r="C2557" s="365" t="s">
        <v>766</v>
      </c>
      <c r="D2557" s="364" t="s">
        <v>767</v>
      </c>
      <c r="E2557" s="366">
        <v>5.0</v>
      </c>
      <c r="F2557" s="367">
        <v>45811.625</v>
      </c>
      <c r="G2557" s="364" t="s">
        <v>1185</v>
      </c>
      <c r="H2557" s="364" t="s">
        <v>1208</v>
      </c>
    </row>
    <row r="2558" ht="15.75" customHeight="1">
      <c r="A2558" s="364" t="s">
        <v>73</v>
      </c>
      <c r="B2558" s="364" t="s">
        <v>22</v>
      </c>
      <c r="C2558" s="365" t="s">
        <v>766</v>
      </c>
      <c r="D2558" s="364" t="s">
        <v>767</v>
      </c>
      <c r="E2558" s="366">
        <v>6.0</v>
      </c>
      <c r="F2558" s="367">
        <v>45818.625</v>
      </c>
      <c r="G2558" s="364" t="s">
        <v>1185</v>
      </c>
      <c r="H2558" s="364" t="s">
        <v>1208</v>
      </c>
    </row>
    <row r="2559" ht="15.75" customHeight="1">
      <c r="A2559" s="364" t="s">
        <v>73</v>
      </c>
      <c r="B2559" s="364" t="s">
        <v>22</v>
      </c>
      <c r="C2559" s="365" t="s">
        <v>766</v>
      </c>
      <c r="D2559" s="364" t="s">
        <v>767</v>
      </c>
      <c r="E2559" s="366">
        <v>7.0</v>
      </c>
      <c r="F2559" s="367">
        <v>45825.625</v>
      </c>
      <c r="G2559" s="364" t="s">
        <v>1185</v>
      </c>
      <c r="H2559" s="364" t="s">
        <v>1208</v>
      </c>
    </row>
    <row r="2560" ht="15.75" customHeight="1">
      <c r="A2560" s="364" t="s">
        <v>73</v>
      </c>
      <c r="B2560" s="364" t="s">
        <v>22</v>
      </c>
      <c r="C2560" s="365" t="s">
        <v>766</v>
      </c>
      <c r="D2560" s="364" t="s">
        <v>767</v>
      </c>
      <c r="E2560" s="366">
        <v>8.0</v>
      </c>
      <c r="F2560" s="367">
        <v>45832.625</v>
      </c>
      <c r="G2560" s="364" t="s">
        <v>1185</v>
      </c>
      <c r="H2560" s="364" t="s">
        <v>1208</v>
      </c>
    </row>
    <row r="2561" ht="15.75" customHeight="1">
      <c r="A2561" s="364" t="s">
        <v>73</v>
      </c>
      <c r="B2561" s="364" t="s">
        <v>22</v>
      </c>
      <c r="C2561" s="365" t="s">
        <v>766</v>
      </c>
      <c r="D2561" s="364" t="s">
        <v>767</v>
      </c>
      <c r="E2561" s="366">
        <v>9.0</v>
      </c>
      <c r="F2561" s="367">
        <v>45846.625</v>
      </c>
      <c r="G2561" s="364" t="s">
        <v>1185</v>
      </c>
      <c r="H2561" s="364" t="s">
        <v>1208</v>
      </c>
    </row>
    <row r="2562" ht="15.75" customHeight="1">
      <c r="A2562" s="364" t="s">
        <v>73</v>
      </c>
      <c r="B2562" s="364" t="s">
        <v>22</v>
      </c>
      <c r="C2562" s="365" t="s">
        <v>766</v>
      </c>
      <c r="D2562" s="364" t="s">
        <v>767</v>
      </c>
      <c r="E2562" s="366">
        <v>10.0</v>
      </c>
      <c r="F2562" s="367">
        <v>45867.58333333333</v>
      </c>
      <c r="G2562" s="364" t="s">
        <v>1185</v>
      </c>
      <c r="H2562" s="364" t="s">
        <v>1208</v>
      </c>
    </row>
    <row r="2563" ht="15.75" customHeight="1">
      <c r="A2563" s="364" t="s">
        <v>73</v>
      </c>
      <c r="B2563" s="364" t="s">
        <v>22</v>
      </c>
      <c r="C2563" s="365" t="s">
        <v>587</v>
      </c>
      <c r="D2563" s="364" t="s">
        <v>588</v>
      </c>
      <c r="E2563" s="366">
        <v>1.0</v>
      </c>
      <c r="F2563" s="367">
        <v>45765.375</v>
      </c>
      <c r="G2563" s="364" t="s">
        <v>1185</v>
      </c>
      <c r="H2563" s="364" t="s">
        <v>1208</v>
      </c>
    </row>
    <row r="2564" ht="15.75" customHeight="1">
      <c r="A2564" s="364" t="s">
        <v>73</v>
      </c>
      <c r="B2564" s="364" t="s">
        <v>22</v>
      </c>
      <c r="C2564" s="365" t="s">
        <v>587</v>
      </c>
      <c r="D2564" s="364" t="s">
        <v>588</v>
      </c>
      <c r="E2564" s="366">
        <v>2.0</v>
      </c>
      <c r="F2564" s="367">
        <v>45783.41666666667</v>
      </c>
      <c r="G2564" s="364" t="s">
        <v>1185</v>
      </c>
      <c r="H2564" s="364" t="s">
        <v>1208</v>
      </c>
    </row>
    <row r="2565" ht="15.75" customHeight="1">
      <c r="A2565" s="364" t="s">
        <v>73</v>
      </c>
      <c r="B2565" s="364" t="s">
        <v>22</v>
      </c>
      <c r="C2565" s="365" t="s">
        <v>587</v>
      </c>
      <c r="D2565" s="364" t="s">
        <v>588</v>
      </c>
      <c r="E2565" s="366">
        <v>3.0</v>
      </c>
      <c r="F2565" s="367">
        <v>45790.41666666667</v>
      </c>
      <c r="G2565" s="364" t="s">
        <v>1185</v>
      </c>
      <c r="H2565" s="364" t="s">
        <v>1208</v>
      </c>
    </row>
    <row r="2566" ht="15.75" customHeight="1">
      <c r="A2566" s="364" t="s">
        <v>73</v>
      </c>
      <c r="B2566" s="364" t="s">
        <v>22</v>
      </c>
      <c r="C2566" s="365" t="s">
        <v>587</v>
      </c>
      <c r="D2566" s="364" t="s">
        <v>588</v>
      </c>
      <c r="E2566" s="366">
        <v>4.0</v>
      </c>
      <c r="F2566" s="367">
        <v>45804.41666666667</v>
      </c>
      <c r="G2566" s="364" t="s">
        <v>1185</v>
      </c>
      <c r="H2566" s="364" t="s">
        <v>1208</v>
      </c>
    </row>
    <row r="2567" ht="15.75" customHeight="1">
      <c r="A2567" s="364" t="s">
        <v>73</v>
      </c>
      <c r="B2567" s="364" t="s">
        <v>22</v>
      </c>
      <c r="C2567" s="365" t="s">
        <v>587</v>
      </c>
      <c r="D2567" s="364" t="s">
        <v>588</v>
      </c>
      <c r="E2567" s="366">
        <v>5.0</v>
      </c>
      <c r="F2567" s="367">
        <v>45811.625</v>
      </c>
      <c r="G2567" s="364" t="s">
        <v>1185</v>
      </c>
      <c r="H2567" s="364" t="s">
        <v>1208</v>
      </c>
    </row>
    <row r="2568" ht="15.75" customHeight="1">
      <c r="A2568" s="364" t="s">
        <v>73</v>
      </c>
      <c r="B2568" s="364" t="s">
        <v>22</v>
      </c>
      <c r="C2568" s="365" t="s">
        <v>587</v>
      </c>
      <c r="D2568" s="364" t="s">
        <v>588</v>
      </c>
      <c r="E2568" s="366">
        <v>6.0</v>
      </c>
      <c r="F2568" s="367">
        <v>45818.625</v>
      </c>
      <c r="G2568" s="364" t="s">
        <v>1185</v>
      </c>
      <c r="H2568" s="364" t="s">
        <v>1208</v>
      </c>
    </row>
    <row r="2569" ht="15.75" customHeight="1">
      <c r="A2569" s="364" t="s">
        <v>73</v>
      </c>
      <c r="B2569" s="364" t="s">
        <v>22</v>
      </c>
      <c r="C2569" s="365" t="s">
        <v>587</v>
      </c>
      <c r="D2569" s="364" t="s">
        <v>588</v>
      </c>
      <c r="E2569" s="366">
        <v>7.0</v>
      </c>
      <c r="F2569" s="367">
        <v>45825.625</v>
      </c>
      <c r="G2569" s="364" t="s">
        <v>1185</v>
      </c>
      <c r="H2569" s="364" t="s">
        <v>1208</v>
      </c>
    </row>
    <row r="2570" ht="15.75" customHeight="1">
      <c r="A2570" s="364" t="s">
        <v>73</v>
      </c>
      <c r="B2570" s="364" t="s">
        <v>22</v>
      </c>
      <c r="C2570" s="365" t="s">
        <v>587</v>
      </c>
      <c r="D2570" s="364" t="s">
        <v>588</v>
      </c>
      <c r="E2570" s="366">
        <v>8.0</v>
      </c>
      <c r="F2570" s="367">
        <v>45832.625</v>
      </c>
      <c r="G2570" s="364" t="s">
        <v>1187</v>
      </c>
      <c r="H2570" s="364" t="s">
        <v>1208</v>
      </c>
    </row>
    <row r="2571" ht="15.75" customHeight="1">
      <c r="A2571" s="364" t="s">
        <v>73</v>
      </c>
      <c r="B2571" s="364" t="s">
        <v>22</v>
      </c>
      <c r="C2571" s="365" t="s">
        <v>587</v>
      </c>
      <c r="D2571" s="364" t="s">
        <v>588</v>
      </c>
      <c r="E2571" s="366">
        <v>9.0</v>
      </c>
      <c r="F2571" s="367">
        <v>45846.625</v>
      </c>
      <c r="G2571" s="364" t="s">
        <v>1185</v>
      </c>
      <c r="H2571" s="364" t="s">
        <v>1208</v>
      </c>
    </row>
    <row r="2572" ht="15.75" customHeight="1">
      <c r="A2572" s="364" t="s">
        <v>73</v>
      </c>
      <c r="B2572" s="364" t="s">
        <v>22</v>
      </c>
      <c r="C2572" s="365" t="s">
        <v>587</v>
      </c>
      <c r="D2572" s="364" t="s">
        <v>588</v>
      </c>
      <c r="E2572" s="366">
        <v>10.0</v>
      </c>
      <c r="F2572" s="367">
        <v>45867.58333333333</v>
      </c>
      <c r="G2572" s="364" t="s">
        <v>1185</v>
      </c>
      <c r="H2572" s="364" t="s">
        <v>1208</v>
      </c>
    </row>
    <row r="2573" ht="15.75" customHeight="1">
      <c r="A2573" s="364" t="s">
        <v>73</v>
      </c>
      <c r="B2573" s="364" t="s">
        <v>22</v>
      </c>
      <c r="C2573" s="365" t="s">
        <v>589</v>
      </c>
      <c r="D2573" s="364" t="s">
        <v>590</v>
      </c>
      <c r="E2573" s="366">
        <v>1.0</v>
      </c>
      <c r="F2573" s="367">
        <v>45765.375</v>
      </c>
      <c r="G2573" s="364" t="s">
        <v>1185</v>
      </c>
      <c r="H2573" s="364" t="s">
        <v>1208</v>
      </c>
    </row>
    <row r="2574" ht="15.75" customHeight="1">
      <c r="A2574" s="364" t="s">
        <v>73</v>
      </c>
      <c r="B2574" s="364" t="s">
        <v>22</v>
      </c>
      <c r="C2574" s="365" t="s">
        <v>589</v>
      </c>
      <c r="D2574" s="364" t="s">
        <v>590</v>
      </c>
      <c r="E2574" s="366">
        <v>2.0</v>
      </c>
      <c r="F2574" s="367">
        <v>45783.41666666667</v>
      </c>
      <c r="G2574" s="364" t="s">
        <v>1185</v>
      </c>
      <c r="H2574" s="364" t="s">
        <v>1208</v>
      </c>
    </row>
    <row r="2575" ht="15.75" customHeight="1">
      <c r="A2575" s="364" t="s">
        <v>73</v>
      </c>
      <c r="B2575" s="364" t="s">
        <v>22</v>
      </c>
      <c r="C2575" s="365" t="s">
        <v>589</v>
      </c>
      <c r="D2575" s="364" t="s">
        <v>590</v>
      </c>
      <c r="E2575" s="366">
        <v>3.0</v>
      </c>
      <c r="F2575" s="367">
        <v>45790.41666666667</v>
      </c>
      <c r="G2575" s="364" t="s">
        <v>1185</v>
      </c>
      <c r="H2575" s="364" t="s">
        <v>1208</v>
      </c>
    </row>
    <row r="2576" ht="15.75" customHeight="1">
      <c r="A2576" s="364" t="s">
        <v>73</v>
      </c>
      <c r="B2576" s="364" t="s">
        <v>22</v>
      </c>
      <c r="C2576" s="365" t="s">
        <v>589</v>
      </c>
      <c r="D2576" s="364" t="s">
        <v>590</v>
      </c>
      <c r="E2576" s="366">
        <v>4.0</v>
      </c>
      <c r="F2576" s="367">
        <v>45804.41666666667</v>
      </c>
      <c r="G2576" s="364" t="s">
        <v>1185</v>
      </c>
      <c r="H2576" s="364" t="s">
        <v>1208</v>
      </c>
    </row>
    <row r="2577" ht="15.75" customHeight="1">
      <c r="A2577" s="364" t="s">
        <v>73</v>
      </c>
      <c r="B2577" s="364" t="s">
        <v>22</v>
      </c>
      <c r="C2577" s="365" t="s">
        <v>589</v>
      </c>
      <c r="D2577" s="364" t="s">
        <v>590</v>
      </c>
      <c r="E2577" s="366">
        <v>5.0</v>
      </c>
      <c r="F2577" s="367">
        <v>45811.625</v>
      </c>
      <c r="G2577" s="364" t="s">
        <v>1185</v>
      </c>
      <c r="H2577" s="364" t="s">
        <v>1208</v>
      </c>
    </row>
    <row r="2578" ht="15.75" customHeight="1">
      <c r="A2578" s="364" t="s">
        <v>73</v>
      </c>
      <c r="B2578" s="364" t="s">
        <v>22</v>
      </c>
      <c r="C2578" s="365" t="s">
        <v>589</v>
      </c>
      <c r="D2578" s="364" t="s">
        <v>590</v>
      </c>
      <c r="E2578" s="366">
        <v>6.0</v>
      </c>
      <c r="F2578" s="367">
        <v>45818.625</v>
      </c>
      <c r="G2578" s="364" t="s">
        <v>1185</v>
      </c>
      <c r="H2578" s="364" t="s">
        <v>1208</v>
      </c>
    </row>
    <row r="2579" ht="15.75" customHeight="1">
      <c r="A2579" s="364" t="s">
        <v>73</v>
      </c>
      <c r="B2579" s="364" t="s">
        <v>22</v>
      </c>
      <c r="C2579" s="365" t="s">
        <v>589</v>
      </c>
      <c r="D2579" s="364" t="s">
        <v>590</v>
      </c>
      <c r="E2579" s="366">
        <v>7.0</v>
      </c>
      <c r="F2579" s="367">
        <v>45825.625</v>
      </c>
      <c r="G2579" s="364" t="s">
        <v>1185</v>
      </c>
      <c r="H2579" s="364" t="s">
        <v>1208</v>
      </c>
    </row>
    <row r="2580" ht="15.75" customHeight="1">
      <c r="A2580" s="364" t="s">
        <v>73</v>
      </c>
      <c r="B2580" s="364" t="s">
        <v>22</v>
      </c>
      <c r="C2580" s="365" t="s">
        <v>589</v>
      </c>
      <c r="D2580" s="364" t="s">
        <v>590</v>
      </c>
      <c r="E2580" s="366">
        <v>8.0</v>
      </c>
      <c r="F2580" s="367">
        <v>45832.625</v>
      </c>
      <c r="G2580" s="364" t="s">
        <v>1185</v>
      </c>
      <c r="H2580" s="364" t="s">
        <v>1208</v>
      </c>
    </row>
    <row r="2581" ht="15.75" customHeight="1">
      <c r="A2581" s="364" t="s">
        <v>73</v>
      </c>
      <c r="B2581" s="364" t="s">
        <v>22</v>
      </c>
      <c r="C2581" s="365" t="s">
        <v>589</v>
      </c>
      <c r="D2581" s="364" t="s">
        <v>590</v>
      </c>
      <c r="E2581" s="366">
        <v>9.0</v>
      </c>
      <c r="F2581" s="367">
        <v>45846.625</v>
      </c>
      <c r="G2581" s="364" t="s">
        <v>1185</v>
      </c>
      <c r="H2581" s="364" t="s">
        <v>1208</v>
      </c>
    </row>
    <row r="2582" ht="15.75" customHeight="1">
      <c r="A2582" s="364" t="s">
        <v>73</v>
      </c>
      <c r="B2582" s="364" t="s">
        <v>22</v>
      </c>
      <c r="C2582" s="365" t="s">
        <v>589</v>
      </c>
      <c r="D2582" s="364" t="s">
        <v>590</v>
      </c>
      <c r="E2582" s="366">
        <v>10.0</v>
      </c>
      <c r="F2582" s="367">
        <v>45867.58333333333</v>
      </c>
      <c r="G2582" s="364" t="s">
        <v>1185</v>
      </c>
      <c r="H2582" s="364" t="s">
        <v>1208</v>
      </c>
    </row>
    <row r="2583" ht="15.75" customHeight="1">
      <c r="A2583" s="364" t="s">
        <v>74</v>
      </c>
      <c r="B2583" s="364" t="s">
        <v>22</v>
      </c>
      <c r="C2583" s="365" t="s">
        <v>274</v>
      </c>
      <c r="D2583" s="364" t="s">
        <v>275</v>
      </c>
      <c r="E2583" s="366">
        <v>1.0</v>
      </c>
      <c r="F2583" s="367">
        <v>45813.375</v>
      </c>
      <c r="G2583" s="364" t="s">
        <v>1185</v>
      </c>
      <c r="H2583" s="364" t="s">
        <v>1209</v>
      </c>
    </row>
    <row r="2584" ht="15.75" customHeight="1">
      <c r="A2584" s="364" t="s">
        <v>74</v>
      </c>
      <c r="B2584" s="364" t="s">
        <v>22</v>
      </c>
      <c r="C2584" s="365" t="s">
        <v>274</v>
      </c>
      <c r="D2584" s="364" t="s">
        <v>275</v>
      </c>
      <c r="E2584" s="366">
        <v>2.0</v>
      </c>
      <c r="F2584" s="367">
        <v>45818.375</v>
      </c>
      <c r="G2584" s="364" t="s">
        <v>1185</v>
      </c>
      <c r="H2584" s="364" t="s">
        <v>1209</v>
      </c>
    </row>
    <row r="2585" ht="15.75" customHeight="1">
      <c r="A2585" s="364" t="s">
        <v>74</v>
      </c>
      <c r="B2585" s="364" t="s">
        <v>22</v>
      </c>
      <c r="C2585" s="365" t="s">
        <v>274</v>
      </c>
      <c r="D2585" s="364" t="s">
        <v>275</v>
      </c>
      <c r="E2585" s="366">
        <v>3.0</v>
      </c>
      <c r="F2585" s="367">
        <v>45827.375</v>
      </c>
      <c r="G2585" s="364" t="s">
        <v>1185</v>
      </c>
      <c r="H2585" s="364" t="s">
        <v>1209</v>
      </c>
    </row>
    <row r="2586" ht="15.75" customHeight="1">
      <c r="A2586" s="364" t="s">
        <v>74</v>
      </c>
      <c r="B2586" s="364" t="s">
        <v>22</v>
      </c>
      <c r="C2586" s="365" t="s">
        <v>274</v>
      </c>
      <c r="D2586" s="364" t="s">
        <v>275</v>
      </c>
      <c r="E2586" s="366">
        <v>4.0</v>
      </c>
      <c r="F2586" s="367">
        <v>45831.375</v>
      </c>
      <c r="G2586" s="364" t="s">
        <v>1185</v>
      </c>
      <c r="H2586" s="364" t="s">
        <v>1209</v>
      </c>
    </row>
    <row r="2587" ht="15.75" customHeight="1">
      <c r="A2587" s="364" t="s">
        <v>74</v>
      </c>
      <c r="B2587" s="364" t="s">
        <v>22</v>
      </c>
      <c r="C2587" s="365" t="s">
        <v>274</v>
      </c>
      <c r="D2587" s="364" t="s">
        <v>275</v>
      </c>
      <c r="E2587" s="366">
        <v>5.0</v>
      </c>
      <c r="F2587" s="367">
        <v>45917.45833333333</v>
      </c>
      <c r="G2587" s="364" t="s">
        <v>1185</v>
      </c>
      <c r="H2587" s="364" t="s">
        <v>1209</v>
      </c>
    </row>
    <row r="2588" ht="15.75" customHeight="1">
      <c r="A2588" s="364" t="s">
        <v>74</v>
      </c>
      <c r="B2588" s="364" t="s">
        <v>22</v>
      </c>
      <c r="C2588" s="365" t="s">
        <v>274</v>
      </c>
      <c r="D2588" s="364" t="s">
        <v>275</v>
      </c>
      <c r="E2588" s="366">
        <v>6.0</v>
      </c>
      <c r="F2588" s="367">
        <v>45923.45833333333</v>
      </c>
      <c r="G2588" s="364" t="s">
        <v>1185</v>
      </c>
      <c r="H2588" s="364" t="s">
        <v>1209</v>
      </c>
    </row>
    <row r="2589" ht="15.75" customHeight="1">
      <c r="A2589" s="364" t="s">
        <v>74</v>
      </c>
      <c r="B2589" s="364" t="s">
        <v>22</v>
      </c>
      <c r="C2589" s="365" t="s">
        <v>274</v>
      </c>
      <c r="D2589" s="364" t="s">
        <v>275</v>
      </c>
      <c r="E2589" s="366">
        <v>7.0</v>
      </c>
      <c r="F2589" s="367">
        <v>45926.625</v>
      </c>
      <c r="G2589" s="364" t="s">
        <v>1185</v>
      </c>
      <c r="H2589" s="364" t="s">
        <v>1209</v>
      </c>
    </row>
    <row r="2590" ht="15.75" customHeight="1">
      <c r="A2590" s="364" t="s">
        <v>74</v>
      </c>
      <c r="B2590" s="364" t="s">
        <v>22</v>
      </c>
      <c r="C2590" s="365" t="s">
        <v>274</v>
      </c>
      <c r="D2590" s="364" t="s">
        <v>275</v>
      </c>
      <c r="E2590" s="366">
        <v>8.0</v>
      </c>
      <c r="F2590" s="367">
        <v>45939.58333333333</v>
      </c>
      <c r="G2590" s="364" t="s">
        <v>1185</v>
      </c>
      <c r="H2590" s="364" t="s">
        <v>1209</v>
      </c>
    </row>
    <row r="2591" ht="15.75" customHeight="1">
      <c r="A2591" s="364" t="s">
        <v>74</v>
      </c>
      <c r="B2591" s="364" t="s">
        <v>22</v>
      </c>
      <c r="C2591" s="365" t="s">
        <v>274</v>
      </c>
      <c r="D2591" s="364" t="s">
        <v>275</v>
      </c>
      <c r="E2591" s="366">
        <v>9.0</v>
      </c>
      <c r="F2591" s="367">
        <v>45940.54166666667</v>
      </c>
      <c r="G2591" s="364" t="s">
        <v>1185</v>
      </c>
      <c r="H2591" s="364" t="s">
        <v>1209</v>
      </c>
    </row>
    <row r="2592" ht="15.75" customHeight="1">
      <c r="A2592" s="364" t="s">
        <v>74</v>
      </c>
      <c r="B2592" s="364" t="s">
        <v>22</v>
      </c>
      <c r="C2592" s="365" t="s">
        <v>274</v>
      </c>
      <c r="D2592" s="364" t="s">
        <v>275</v>
      </c>
      <c r="E2592" s="366">
        <v>10.0</v>
      </c>
      <c r="F2592" s="367">
        <v>45947.45833333333</v>
      </c>
      <c r="G2592" s="364" t="s">
        <v>1185</v>
      </c>
      <c r="H2592" s="364" t="s">
        <v>1209</v>
      </c>
    </row>
    <row r="2593" ht="15.75" customHeight="1">
      <c r="A2593" s="364" t="s">
        <v>74</v>
      </c>
      <c r="B2593" s="364" t="s">
        <v>22</v>
      </c>
      <c r="C2593" s="365" t="s">
        <v>274</v>
      </c>
      <c r="D2593" s="364" t="s">
        <v>275</v>
      </c>
      <c r="E2593" s="366">
        <v>11.0</v>
      </c>
      <c r="F2593" s="367">
        <v>45957.58333333333</v>
      </c>
      <c r="G2593" s="364" t="s">
        <v>1185</v>
      </c>
      <c r="H2593" s="364" t="s">
        <v>1209</v>
      </c>
    </row>
    <row r="2594" ht="15.75" customHeight="1">
      <c r="A2594" s="364" t="s">
        <v>74</v>
      </c>
      <c r="B2594" s="364" t="s">
        <v>22</v>
      </c>
      <c r="C2594" s="365" t="s">
        <v>274</v>
      </c>
      <c r="D2594" s="364" t="s">
        <v>275</v>
      </c>
      <c r="E2594" s="366">
        <v>12.0</v>
      </c>
      <c r="F2594" s="367">
        <v>45964.45833333333</v>
      </c>
      <c r="G2594" s="364" t="s">
        <v>1185</v>
      </c>
      <c r="H2594" s="364" t="s">
        <v>1209</v>
      </c>
    </row>
    <row r="2595" ht="15.75" customHeight="1">
      <c r="A2595" s="364" t="s">
        <v>74</v>
      </c>
      <c r="B2595" s="364" t="s">
        <v>22</v>
      </c>
      <c r="C2595" s="365" t="s">
        <v>274</v>
      </c>
      <c r="D2595" s="364" t="s">
        <v>275</v>
      </c>
      <c r="E2595" s="366">
        <v>13.0</v>
      </c>
      <c r="F2595" s="367">
        <v>45971.58333333333</v>
      </c>
      <c r="G2595" s="364" t="s">
        <v>1185</v>
      </c>
      <c r="H2595" s="364" t="s">
        <v>1209</v>
      </c>
    </row>
    <row r="2596" ht="15.75" customHeight="1">
      <c r="A2596" s="364" t="s">
        <v>74</v>
      </c>
      <c r="B2596" s="364" t="s">
        <v>22</v>
      </c>
      <c r="C2596" s="365" t="s">
        <v>274</v>
      </c>
      <c r="D2596" s="364" t="s">
        <v>275</v>
      </c>
      <c r="E2596" s="366">
        <v>14.0</v>
      </c>
      <c r="F2596" s="367">
        <v>45985.41666666667</v>
      </c>
      <c r="G2596" s="364" t="s">
        <v>1185</v>
      </c>
      <c r="H2596" s="364" t="s">
        <v>1209</v>
      </c>
    </row>
    <row r="2597" ht="15.75" customHeight="1">
      <c r="A2597" s="364" t="s">
        <v>74</v>
      </c>
      <c r="B2597" s="364" t="s">
        <v>22</v>
      </c>
      <c r="C2597" s="365" t="s">
        <v>276</v>
      </c>
      <c r="D2597" s="364" t="s">
        <v>277</v>
      </c>
      <c r="E2597" s="366">
        <v>1.0</v>
      </c>
      <c r="F2597" s="367">
        <v>45813.375</v>
      </c>
      <c r="G2597" s="364" t="s">
        <v>1185</v>
      </c>
      <c r="H2597" s="364" t="s">
        <v>1209</v>
      </c>
    </row>
    <row r="2598" ht="15.75" customHeight="1">
      <c r="A2598" s="364" t="s">
        <v>74</v>
      </c>
      <c r="B2598" s="364" t="s">
        <v>22</v>
      </c>
      <c r="C2598" s="365" t="s">
        <v>276</v>
      </c>
      <c r="D2598" s="364" t="s">
        <v>277</v>
      </c>
      <c r="E2598" s="366">
        <v>2.0</v>
      </c>
      <c r="F2598" s="367">
        <v>45818.375</v>
      </c>
      <c r="G2598" s="364" t="s">
        <v>1185</v>
      </c>
      <c r="H2598" s="364" t="s">
        <v>1209</v>
      </c>
    </row>
    <row r="2599" ht="15.75" customHeight="1">
      <c r="A2599" s="364" t="s">
        <v>74</v>
      </c>
      <c r="B2599" s="364" t="s">
        <v>22</v>
      </c>
      <c r="C2599" s="365" t="s">
        <v>276</v>
      </c>
      <c r="D2599" s="364" t="s">
        <v>277</v>
      </c>
      <c r="E2599" s="366">
        <v>3.0</v>
      </c>
      <c r="F2599" s="367">
        <v>45827.375</v>
      </c>
      <c r="G2599" s="364" t="s">
        <v>1185</v>
      </c>
      <c r="H2599" s="364" t="s">
        <v>1209</v>
      </c>
    </row>
    <row r="2600" ht="15.75" customHeight="1">
      <c r="A2600" s="364" t="s">
        <v>74</v>
      </c>
      <c r="B2600" s="364" t="s">
        <v>22</v>
      </c>
      <c r="C2600" s="365" t="s">
        <v>276</v>
      </c>
      <c r="D2600" s="364" t="s">
        <v>277</v>
      </c>
      <c r="E2600" s="366">
        <v>4.0</v>
      </c>
      <c r="F2600" s="367">
        <v>45831.375</v>
      </c>
      <c r="G2600" s="364" t="s">
        <v>1187</v>
      </c>
      <c r="H2600" s="364" t="s">
        <v>1209</v>
      </c>
    </row>
    <row r="2601" ht="15.75" customHeight="1">
      <c r="A2601" s="364" t="s">
        <v>74</v>
      </c>
      <c r="B2601" s="364" t="s">
        <v>22</v>
      </c>
      <c r="C2601" s="365" t="s">
        <v>276</v>
      </c>
      <c r="D2601" s="364" t="s">
        <v>277</v>
      </c>
      <c r="E2601" s="366">
        <v>5.0</v>
      </c>
      <c r="F2601" s="367">
        <v>45917.45833333333</v>
      </c>
      <c r="G2601" s="364" t="s">
        <v>1185</v>
      </c>
      <c r="H2601" s="364" t="s">
        <v>1209</v>
      </c>
    </row>
    <row r="2602" ht="15.75" customHeight="1">
      <c r="A2602" s="364" t="s">
        <v>74</v>
      </c>
      <c r="B2602" s="364" t="s">
        <v>22</v>
      </c>
      <c r="C2602" s="365" t="s">
        <v>276</v>
      </c>
      <c r="D2602" s="364" t="s">
        <v>277</v>
      </c>
      <c r="E2602" s="366">
        <v>6.0</v>
      </c>
      <c r="F2602" s="367">
        <v>45923.45833333333</v>
      </c>
      <c r="G2602" s="364" t="s">
        <v>1185</v>
      </c>
      <c r="H2602" s="364" t="s">
        <v>1209</v>
      </c>
    </row>
    <row r="2603" ht="15.75" customHeight="1">
      <c r="A2603" s="364" t="s">
        <v>74</v>
      </c>
      <c r="B2603" s="364" t="s">
        <v>22</v>
      </c>
      <c r="C2603" s="365" t="s">
        <v>276</v>
      </c>
      <c r="D2603" s="364" t="s">
        <v>277</v>
      </c>
      <c r="E2603" s="366">
        <v>7.0</v>
      </c>
      <c r="F2603" s="367">
        <v>45926.625</v>
      </c>
      <c r="G2603" s="364" t="s">
        <v>1185</v>
      </c>
      <c r="H2603" s="364" t="s">
        <v>1209</v>
      </c>
    </row>
    <row r="2604" ht="15.75" customHeight="1">
      <c r="A2604" s="364" t="s">
        <v>74</v>
      </c>
      <c r="B2604" s="364" t="s">
        <v>22</v>
      </c>
      <c r="C2604" s="365" t="s">
        <v>276</v>
      </c>
      <c r="D2604" s="364" t="s">
        <v>277</v>
      </c>
      <c r="E2604" s="366">
        <v>8.0</v>
      </c>
      <c r="F2604" s="367">
        <v>45939.58333333333</v>
      </c>
      <c r="G2604" s="364" t="s">
        <v>1185</v>
      </c>
      <c r="H2604" s="364" t="s">
        <v>1209</v>
      </c>
    </row>
    <row r="2605" ht="15.75" customHeight="1">
      <c r="A2605" s="364" t="s">
        <v>74</v>
      </c>
      <c r="B2605" s="364" t="s">
        <v>22</v>
      </c>
      <c r="C2605" s="365" t="s">
        <v>276</v>
      </c>
      <c r="D2605" s="364" t="s">
        <v>277</v>
      </c>
      <c r="E2605" s="366">
        <v>9.0</v>
      </c>
      <c r="F2605" s="367">
        <v>45940.54166666667</v>
      </c>
      <c r="G2605" s="364" t="s">
        <v>1185</v>
      </c>
      <c r="H2605" s="364" t="s">
        <v>1209</v>
      </c>
    </row>
    <row r="2606" ht="15.75" customHeight="1">
      <c r="A2606" s="364" t="s">
        <v>74</v>
      </c>
      <c r="B2606" s="364" t="s">
        <v>22</v>
      </c>
      <c r="C2606" s="365" t="s">
        <v>276</v>
      </c>
      <c r="D2606" s="364" t="s">
        <v>277</v>
      </c>
      <c r="E2606" s="366">
        <v>10.0</v>
      </c>
      <c r="F2606" s="367">
        <v>45947.45833333333</v>
      </c>
      <c r="G2606" s="364" t="s">
        <v>1185</v>
      </c>
      <c r="H2606" s="364" t="s">
        <v>1209</v>
      </c>
    </row>
    <row r="2607" ht="15.75" customHeight="1">
      <c r="A2607" s="364" t="s">
        <v>74</v>
      </c>
      <c r="B2607" s="364" t="s">
        <v>22</v>
      </c>
      <c r="C2607" s="365" t="s">
        <v>276</v>
      </c>
      <c r="D2607" s="364" t="s">
        <v>277</v>
      </c>
      <c r="E2607" s="366">
        <v>11.0</v>
      </c>
      <c r="F2607" s="367">
        <v>45957.58333333333</v>
      </c>
      <c r="G2607" s="364" t="s">
        <v>1185</v>
      </c>
      <c r="H2607" s="364" t="s">
        <v>1209</v>
      </c>
    </row>
    <row r="2608" ht="15.75" customHeight="1">
      <c r="A2608" s="364" t="s">
        <v>74</v>
      </c>
      <c r="B2608" s="364" t="s">
        <v>22</v>
      </c>
      <c r="C2608" s="365" t="s">
        <v>276</v>
      </c>
      <c r="D2608" s="364" t="s">
        <v>277</v>
      </c>
      <c r="E2608" s="366">
        <v>12.0</v>
      </c>
      <c r="F2608" s="367">
        <v>45964.45833333333</v>
      </c>
      <c r="G2608" s="364" t="s">
        <v>1185</v>
      </c>
      <c r="H2608" s="364" t="s">
        <v>1209</v>
      </c>
    </row>
    <row r="2609" ht="15.75" customHeight="1">
      <c r="A2609" s="364" t="s">
        <v>74</v>
      </c>
      <c r="B2609" s="364" t="s">
        <v>22</v>
      </c>
      <c r="C2609" s="365" t="s">
        <v>276</v>
      </c>
      <c r="D2609" s="364" t="s">
        <v>277</v>
      </c>
      <c r="E2609" s="366">
        <v>13.0</v>
      </c>
      <c r="F2609" s="367">
        <v>45971.58333333333</v>
      </c>
      <c r="G2609" s="364" t="s">
        <v>1185</v>
      </c>
      <c r="H2609" s="364" t="s">
        <v>1209</v>
      </c>
    </row>
    <row r="2610" ht="15.75" customHeight="1">
      <c r="A2610" s="364" t="s">
        <v>74</v>
      </c>
      <c r="B2610" s="364" t="s">
        <v>22</v>
      </c>
      <c r="C2610" s="365" t="s">
        <v>276</v>
      </c>
      <c r="D2610" s="364" t="s">
        <v>277</v>
      </c>
      <c r="E2610" s="366">
        <v>14.0</v>
      </c>
      <c r="F2610" s="367">
        <v>45985.41666666667</v>
      </c>
      <c r="G2610" s="364" t="s">
        <v>1185</v>
      </c>
      <c r="H2610" s="364" t="s">
        <v>1209</v>
      </c>
    </row>
    <row r="2611" ht="15.75" customHeight="1">
      <c r="A2611" s="364" t="s">
        <v>74</v>
      </c>
      <c r="B2611" s="364" t="s">
        <v>22</v>
      </c>
      <c r="C2611" s="365" t="s">
        <v>278</v>
      </c>
      <c r="D2611" s="364" t="s">
        <v>279</v>
      </c>
      <c r="E2611" s="366">
        <v>1.0</v>
      </c>
      <c r="F2611" s="367">
        <v>45813.375</v>
      </c>
      <c r="G2611" s="364" t="s">
        <v>1187</v>
      </c>
      <c r="H2611" s="364" t="s">
        <v>1209</v>
      </c>
    </row>
    <row r="2612" ht="15.75" customHeight="1">
      <c r="A2612" s="364" t="s">
        <v>74</v>
      </c>
      <c r="B2612" s="364" t="s">
        <v>22</v>
      </c>
      <c r="C2612" s="365" t="s">
        <v>278</v>
      </c>
      <c r="D2612" s="364" t="s">
        <v>279</v>
      </c>
      <c r="E2612" s="366">
        <v>2.0</v>
      </c>
      <c r="F2612" s="367">
        <v>45818.375</v>
      </c>
      <c r="G2612" s="364" t="s">
        <v>1185</v>
      </c>
      <c r="H2612" s="364" t="s">
        <v>1209</v>
      </c>
    </row>
    <row r="2613" ht="15.75" customHeight="1">
      <c r="A2613" s="364" t="s">
        <v>74</v>
      </c>
      <c r="B2613" s="364" t="s">
        <v>22</v>
      </c>
      <c r="C2613" s="365" t="s">
        <v>278</v>
      </c>
      <c r="D2613" s="364" t="s">
        <v>279</v>
      </c>
      <c r="E2613" s="366">
        <v>3.0</v>
      </c>
      <c r="F2613" s="367">
        <v>45827.375</v>
      </c>
      <c r="G2613" s="364" t="s">
        <v>1185</v>
      </c>
      <c r="H2613" s="364" t="s">
        <v>1209</v>
      </c>
    </row>
    <row r="2614" ht="15.75" customHeight="1">
      <c r="A2614" s="364" t="s">
        <v>74</v>
      </c>
      <c r="B2614" s="364" t="s">
        <v>22</v>
      </c>
      <c r="C2614" s="365" t="s">
        <v>278</v>
      </c>
      <c r="D2614" s="364" t="s">
        <v>279</v>
      </c>
      <c r="E2614" s="366">
        <v>4.0</v>
      </c>
      <c r="F2614" s="367">
        <v>45831.375</v>
      </c>
      <c r="G2614" s="364" t="s">
        <v>1187</v>
      </c>
      <c r="H2614" s="364" t="s">
        <v>1209</v>
      </c>
    </row>
    <row r="2615" ht="15.75" customHeight="1">
      <c r="A2615" s="364" t="s">
        <v>74</v>
      </c>
      <c r="B2615" s="364" t="s">
        <v>22</v>
      </c>
      <c r="C2615" s="365" t="s">
        <v>278</v>
      </c>
      <c r="D2615" s="364" t="s">
        <v>279</v>
      </c>
      <c r="E2615" s="366">
        <v>5.0</v>
      </c>
      <c r="F2615" s="367">
        <v>45917.45833333333</v>
      </c>
      <c r="G2615" s="364" t="s">
        <v>1185</v>
      </c>
      <c r="H2615" s="364" t="s">
        <v>1209</v>
      </c>
    </row>
    <row r="2616" ht="15.75" customHeight="1">
      <c r="A2616" s="364" t="s">
        <v>74</v>
      </c>
      <c r="B2616" s="364" t="s">
        <v>22</v>
      </c>
      <c r="C2616" s="365" t="s">
        <v>278</v>
      </c>
      <c r="D2616" s="364" t="s">
        <v>279</v>
      </c>
      <c r="E2616" s="366">
        <v>6.0</v>
      </c>
      <c r="F2616" s="367">
        <v>45923.45833333333</v>
      </c>
      <c r="G2616" s="364" t="s">
        <v>1185</v>
      </c>
      <c r="H2616" s="364" t="s">
        <v>1209</v>
      </c>
    </row>
    <row r="2617" ht="15.75" customHeight="1">
      <c r="A2617" s="364" t="s">
        <v>74</v>
      </c>
      <c r="B2617" s="364" t="s">
        <v>22</v>
      </c>
      <c r="C2617" s="365" t="s">
        <v>278</v>
      </c>
      <c r="D2617" s="364" t="s">
        <v>279</v>
      </c>
      <c r="E2617" s="366">
        <v>7.0</v>
      </c>
      <c r="F2617" s="367">
        <v>45926.625</v>
      </c>
      <c r="G2617" s="364" t="s">
        <v>1185</v>
      </c>
      <c r="H2617" s="364" t="s">
        <v>1209</v>
      </c>
    </row>
    <row r="2618" ht="15.75" customHeight="1">
      <c r="A2618" s="364" t="s">
        <v>74</v>
      </c>
      <c r="B2618" s="364" t="s">
        <v>22</v>
      </c>
      <c r="C2618" s="365" t="s">
        <v>278</v>
      </c>
      <c r="D2618" s="364" t="s">
        <v>279</v>
      </c>
      <c r="E2618" s="366">
        <v>8.0</v>
      </c>
      <c r="F2618" s="367">
        <v>45939.58333333333</v>
      </c>
      <c r="G2618" s="364" t="s">
        <v>1185</v>
      </c>
      <c r="H2618" s="364" t="s">
        <v>1209</v>
      </c>
    </row>
    <row r="2619" ht="15.75" customHeight="1">
      <c r="A2619" s="364" t="s">
        <v>74</v>
      </c>
      <c r="B2619" s="364" t="s">
        <v>22</v>
      </c>
      <c r="C2619" s="365" t="s">
        <v>278</v>
      </c>
      <c r="D2619" s="364" t="s">
        <v>279</v>
      </c>
      <c r="E2619" s="366">
        <v>9.0</v>
      </c>
      <c r="F2619" s="367">
        <v>45940.54166666667</v>
      </c>
      <c r="G2619" s="364" t="s">
        <v>1187</v>
      </c>
      <c r="H2619" s="364" t="s">
        <v>1209</v>
      </c>
    </row>
    <row r="2620" ht="15.75" customHeight="1">
      <c r="A2620" s="364" t="s">
        <v>74</v>
      </c>
      <c r="B2620" s="364" t="s">
        <v>22</v>
      </c>
      <c r="C2620" s="365" t="s">
        <v>278</v>
      </c>
      <c r="D2620" s="364" t="s">
        <v>279</v>
      </c>
      <c r="E2620" s="366">
        <v>10.0</v>
      </c>
      <c r="F2620" s="367">
        <v>45947.45833333333</v>
      </c>
      <c r="G2620" s="364" t="s">
        <v>1185</v>
      </c>
      <c r="H2620" s="364" t="s">
        <v>1209</v>
      </c>
    </row>
    <row r="2621" ht="15.75" customHeight="1">
      <c r="A2621" s="364" t="s">
        <v>74</v>
      </c>
      <c r="B2621" s="364" t="s">
        <v>22</v>
      </c>
      <c r="C2621" s="365" t="s">
        <v>278</v>
      </c>
      <c r="D2621" s="364" t="s">
        <v>279</v>
      </c>
      <c r="E2621" s="366">
        <v>11.0</v>
      </c>
      <c r="F2621" s="367">
        <v>45957.58333333333</v>
      </c>
      <c r="G2621" s="364" t="s">
        <v>1185</v>
      </c>
      <c r="H2621" s="364" t="s">
        <v>1209</v>
      </c>
    </row>
    <row r="2622" ht="15.75" customHeight="1">
      <c r="A2622" s="364" t="s">
        <v>74</v>
      </c>
      <c r="B2622" s="364" t="s">
        <v>22</v>
      </c>
      <c r="C2622" s="365" t="s">
        <v>278</v>
      </c>
      <c r="D2622" s="364" t="s">
        <v>279</v>
      </c>
      <c r="E2622" s="366">
        <v>12.0</v>
      </c>
      <c r="F2622" s="367">
        <v>45964.45833333333</v>
      </c>
      <c r="G2622" s="364" t="s">
        <v>1185</v>
      </c>
      <c r="H2622" s="364" t="s">
        <v>1209</v>
      </c>
    </row>
    <row r="2623" ht="15.75" customHeight="1">
      <c r="A2623" s="364" t="s">
        <v>74</v>
      </c>
      <c r="B2623" s="364" t="s">
        <v>22</v>
      </c>
      <c r="C2623" s="365" t="s">
        <v>278</v>
      </c>
      <c r="D2623" s="364" t="s">
        <v>279</v>
      </c>
      <c r="E2623" s="366">
        <v>13.0</v>
      </c>
      <c r="F2623" s="367">
        <v>45971.58333333333</v>
      </c>
      <c r="G2623" s="364" t="s">
        <v>1187</v>
      </c>
      <c r="H2623" s="364" t="s">
        <v>1209</v>
      </c>
    </row>
    <row r="2624" ht="15.75" customHeight="1">
      <c r="A2624" s="364" t="s">
        <v>74</v>
      </c>
      <c r="B2624" s="364" t="s">
        <v>22</v>
      </c>
      <c r="C2624" s="365" t="s">
        <v>278</v>
      </c>
      <c r="D2624" s="364" t="s">
        <v>279</v>
      </c>
      <c r="E2624" s="366">
        <v>14.0</v>
      </c>
      <c r="F2624" s="367">
        <v>45985.41666666667</v>
      </c>
      <c r="G2624" s="364" t="s">
        <v>1185</v>
      </c>
      <c r="H2624" s="364" t="s">
        <v>1209</v>
      </c>
    </row>
    <row r="2625" ht="15.75" customHeight="1">
      <c r="A2625" s="364" t="s">
        <v>74</v>
      </c>
      <c r="B2625" s="364" t="s">
        <v>22</v>
      </c>
      <c r="C2625" s="365" t="s">
        <v>280</v>
      </c>
      <c r="D2625" s="364" t="s">
        <v>281</v>
      </c>
      <c r="E2625" s="366">
        <v>1.0</v>
      </c>
      <c r="F2625" s="367">
        <v>45813.375</v>
      </c>
      <c r="G2625" s="364" t="s">
        <v>1185</v>
      </c>
      <c r="H2625" s="364" t="s">
        <v>1209</v>
      </c>
    </row>
    <row r="2626" ht="15.75" customHeight="1">
      <c r="A2626" s="364" t="s">
        <v>74</v>
      </c>
      <c r="B2626" s="364" t="s">
        <v>22</v>
      </c>
      <c r="C2626" s="365" t="s">
        <v>280</v>
      </c>
      <c r="D2626" s="364" t="s">
        <v>281</v>
      </c>
      <c r="E2626" s="366">
        <v>2.0</v>
      </c>
      <c r="F2626" s="367">
        <v>45818.375</v>
      </c>
      <c r="G2626" s="364" t="s">
        <v>1185</v>
      </c>
      <c r="H2626" s="364" t="s">
        <v>1209</v>
      </c>
    </row>
    <row r="2627" ht="15.75" customHeight="1">
      <c r="A2627" s="364" t="s">
        <v>74</v>
      </c>
      <c r="B2627" s="364" t="s">
        <v>22</v>
      </c>
      <c r="C2627" s="365" t="s">
        <v>280</v>
      </c>
      <c r="D2627" s="364" t="s">
        <v>281</v>
      </c>
      <c r="E2627" s="366">
        <v>3.0</v>
      </c>
      <c r="F2627" s="367">
        <v>45827.375</v>
      </c>
      <c r="G2627" s="364" t="s">
        <v>1185</v>
      </c>
      <c r="H2627" s="364" t="s">
        <v>1209</v>
      </c>
    </row>
    <row r="2628" ht="15.75" customHeight="1">
      <c r="A2628" s="364" t="s">
        <v>74</v>
      </c>
      <c r="B2628" s="364" t="s">
        <v>22</v>
      </c>
      <c r="C2628" s="365" t="s">
        <v>280</v>
      </c>
      <c r="D2628" s="364" t="s">
        <v>281</v>
      </c>
      <c r="E2628" s="366">
        <v>4.0</v>
      </c>
      <c r="F2628" s="367">
        <v>45831.375</v>
      </c>
      <c r="G2628" s="364" t="s">
        <v>1185</v>
      </c>
      <c r="H2628" s="364" t="s">
        <v>1209</v>
      </c>
    </row>
    <row r="2629" ht="15.75" customHeight="1">
      <c r="A2629" s="364" t="s">
        <v>74</v>
      </c>
      <c r="B2629" s="364" t="s">
        <v>22</v>
      </c>
      <c r="C2629" s="365" t="s">
        <v>280</v>
      </c>
      <c r="D2629" s="364" t="s">
        <v>281</v>
      </c>
      <c r="E2629" s="366">
        <v>5.0</v>
      </c>
      <c r="F2629" s="367">
        <v>45917.45833333333</v>
      </c>
      <c r="G2629" s="364" t="s">
        <v>1185</v>
      </c>
      <c r="H2629" s="364" t="s">
        <v>1209</v>
      </c>
    </row>
    <row r="2630" ht="15.75" customHeight="1">
      <c r="A2630" s="364" t="s">
        <v>74</v>
      </c>
      <c r="B2630" s="364" t="s">
        <v>22</v>
      </c>
      <c r="C2630" s="365" t="s">
        <v>280</v>
      </c>
      <c r="D2630" s="364" t="s">
        <v>281</v>
      </c>
      <c r="E2630" s="366">
        <v>6.0</v>
      </c>
      <c r="F2630" s="367">
        <v>45923.45833333333</v>
      </c>
      <c r="G2630" s="364" t="s">
        <v>1185</v>
      </c>
      <c r="H2630" s="364" t="s">
        <v>1209</v>
      </c>
    </row>
    <row r="2631" ht="15.75" customHeight="1">
      <c r="A2631" s="364" t="s">
        <v>74</v>
      </c>
      <c r="B2631" s="364" t="s">
        <v>22</v>
      </c>
      <c r="C2631" s="365" t="s">
        <v>280</v>
      </c>
      <c r="D2631" s="364" t="s">
        <v>281</v>
      </c>
      <c r="E2631" s="366">
        <v>7.0</v>
      </c>
      <c r="F2631" s="367">
        <v>45926.625</v>
      </c>
      <c r="G2631" s="364" t="s">
        <v>1185</v>
      </c>
      <c r="H2631" s="364" t="s">
        <v>1209</v>
      </c>
    </row>
    <row r="2632" ht="15.75" customHeight="1">
      <c r="A2632" s="364" t="s">
        <v>74</v>
      </c>
      <c r="B2632" s="364" t="s">
        <v>22</v>
      </c>
      <c r="C2632" s="365" t="s">
        <v>280</v>
      </c>
      <c r="D2632" s="364" t="s">
        <v>281</v>
      </c>
      <c r="E2632" s="366">
        <v>8.0</v>
      </c>
      <c r="F2632" s="367">
        <v>45939.58333333333</v>
      </c>
      <c r="G2632" s="364" t="s">
        <v>1185</v>
      </c>
      <c r="H2632" s="364" t="s">
        <v>1209</v>
      </c>
    </row>
    <row r="2633" ht="15.75" customHeight="1">
      <c r="A2633" s="364" t="s">
        <v>74</v>
      </c>
      <c r="B2633" s="364" t="s">
        <v>22</v>
      </c>
      <c r="C2633" s="365" t="s">
        <v>280</v>
      </c>
      <c r="D2633" s="364" t="s">
        <v>281</v>
      </c>
      <c r="E2633" s="366">
        <v>9.0</v>
      </c>
      <c r="F2633" s="367">
        <v>45940.54166666667</v>
      </c>
      <c r="G2633" s="364" t="s">
        <v>1185</v>
      </c>
      <c r="H2633" s="364" t="s">
        <v>1209</v>
      </c>
    </row>
    <row r="2634" ht="15.75" customHeight="1">
      <c r="A2634" s="364" t="s">
        <v>74</v>
      </c>
      <c r="B2634" s="364" t="s">
        <v>22</v>
      </c>
      <c r="C2634" s="365" t="s">
        <v>280</v>
      </c>
      <c r="D2634" s="364" t="s">
        <v>281</v>
      </c>
      <c r="E2634" s="366">
        <v>10.0</v>
      </c>
      <c r="F2634" s="367">
        <v>45947.45833333333</v>
      </c>
      <c r="G2634" s="364" t="s">
        <v>1185</v>
      </c>
      <c r="H2634" s="364" t="s">
        <v>1209</v>
      </c>
    </row>
    <row r="2635" ht="15.75" customHeight="1">
      <c r="A2635" s="364" t="s">
        <v>74</v>
      </c>
      <c r="B2635" s="364" t="s">
        <v>22</v>
      </c>
      <c r="C2635" s="365" t="s">
        <v>280</v>
      </c>
      <c r="D2635" s="364" t="s">
        <v>281</v>
      </c>
      <c r="E2635" s="366">
        <v>11.0</v>
      </c>
      <c r="F2635" s="367">
        <v>45957.58333333333</v>
      </c>
      <c r="G2635" s="364" t="s">
        <v>1185</v>
      </c>
      <c r="H2635" s="364" t="s">
        <v>1209</v>
      </c>
    </row>
    <row r="2636" ht="15.75" customHeight="1">
      <c r="A2636" s="364" t="s">
        <v>74</v>
      </c>
      <c r="B2636" s="364" t="s">
        <v>22</v>
      </c>
      <c r="C2636" s="365" t="s">
        <v>280</v>
      </c>
      <c r="D2636" s="364" t="s">
        <v>281</v>
      </c>
      <c r="E2636" s="366">
        <v>12.0</v>
      </c>
      <c r="F2636" s="367">
        <v>45964.45833333333</v>
      </c>
      <c r="G2636" s="364" t="s">
        <v>1185</v>
      </c>
      <c r="H2636" s="364" t="s">
        <v>1209</v>
      </c>
    </row>
    <row r="2637" ht="15.75" customHeight="1">
      <c r="A2637" s="364" t="s">
        <v>74</v>
      </c>
      <c r="B2637" s="364" t="s">
        <v>22</v>
      </c>
      <c r="C2637" s="365" t="s">
        <v>280</v>
      </c>
      <c r="D2637" s="364" t="s">
        <v>281</v>
      </c>
      <c r="E2637" s="366">
        <v>13.0</v>
      </c>
      <c r="F2637" s="367">
        <v>45971.58333333333</v>
      </c>
      <c r="G2637" s="364" t="s">
        <v>1185</v>
      </c>
      <c r="H2637" s="364" t="s">
        <v>1209</v>
      </c>
    </row>
    <row r="2638" ht="15.75" customHeight="1">
      <c r="A2638" s="364" t="s">
        <v>74</v>
      </c>
      <c r="B2638" s="364" t="s">
        <v>22</v>
      </c>
      <c r="C2638" s="365" t="s">
        <v>280</v>
      </c>
      <c r="D2638" s="364" t="s">
        <v>281</v>
      </c>
      <c r="E2638" s="366">
        <v>14.0</v>
      </c>
      <c r="F2638" s="367">
        <v>45985.41666666667</v>
      </c>
      <c r="G2638" s="364" t="s">
        <v>1185</v>
      </c>
      <c r="H2638" s="364" t="s">
        <v>1209</v>
      </c>
    </row>
    <row r="2639" ht="15.75" customHeight="1">
      <c r="A2639" s="364" t="s">
        <v>74</v>
      </c>
      <c r="B2639" s="364" t="s">
        <v>22</v>
      </c>
      <c r="C2639" s="365" t="s">
        <v>282</v>
      </c>
      <c r="D2639" s="364" t="s">
        <v>283</v>
      </c>
      <c r="E2639" s="366">
        <v>1.0</v>
      </c>
      <c r="F2639" s="367">
        <v>45813.375</v>
      </c>
      <c r="G2639" s="364" t="s">
        <v>1185</v>
      </c>
      <c r="H2639" s="364" t="s">
        <v>1209</v>
      </c>
    </row>
    <row r="2640" ht="15.75" customHeight="1">
      <c r="A2640" s="364" t="s">
        <v>74</v>
      </c>
      <c r="B2640" s="364" t="s">
        <v>22</v>
      </c>
      <c r="C2640" s="365" t="s">
        <v>282</v>
      </c>
      <c r="D2640" s="364" t="s">
        <v>283</v>
      </c>
      <c r="E2640" s="366">
        <v>2.0</v>
      </c>
      <c r="F2640" s="367">
        <v>45818.375</v>
      </c>
      <c r="G2640" s="364" t="s">
        <v>1185</v>
      </c>
      <c r="H2640" s="364" t="s">
        <v>1209</v>
      </c>
    </row>
    <row r="2641" ht="15.75" customHeight="1">
      <c r="A2641" s="364" t="s">
        <v>74</v>
      </c>
      <c r="B2641" s="364" t="s">
        <v>22</v>
      </c>
      <c r="C2641" s="365" t="s">
        <v>282</v>
      </c>
      <c r="D2641" s="364" t="s">
        <v>283</v>
      </c>
      <c r="E2641" s="366">
        <v>3.0</v>
      </c>
      <c r="F2641" s="367">
        <v>45827.375</v>
      </c>
      <c r="G2641" s="364" t="s">
        <v>1185</v>
      </c>
      <c r="H2641" s="364" t="s">
        <v>1209</v>
      </c>
    </row>
    <row r="2642" ht="15.75" customHeight="1">
      <c r="A2642" s="364" t="s">
        <v>74</v>
      </c>
      <c r="B2642" s="364" t="s">
        <v>22</v>
      </c>
      <c r="C2642" s="365" t="s">
        <v>282</v>
      </c>
      <c r="D2642" s="364" t="s">
        <v>283</v>
      </c>
      <c r="E2642" s="366">
        <v>4.0</v>
      </c>
      <c r="F2642" s="367">
        <v>45831.375</v>
      </c>
      <c r="G2642" s="364" t="s">
        <v>1185</v>
      </c>
      <c r="H2642" s="364" t="s">
        <v>1209</v>
      </c>
    </row>
    <row r="2643" ht="15.75" customHeight="1">
      <c r="A2643" s="364" t="s">
        <v>74</v>
      </c>
      <c r="B2643" s="364" t="s">
        <v>22</v>
      </c>
      <c r="C2643" s="365" t="s">
        <v>282</v>
      </c>
      <c r="D2643" s="364" t="s">
        <v>283</v>
      </c>
      <c r="E2643" s="366">
        <v>5.0</v>
      </c>
      <c r="F2643" s="367">
        <v>45917.45833333333</v>
      </c>
      <c r="G2643" s="364" t="s">
        <v>1185</v>
      </c>
      <c r="H2643" s="364" t="s">
        <v>1209</v>
      </c>
    </row>
    <row r="2644" ht="15.75" customHeight="1">
      <c r="A2644" s="364" t="s">
        <v>74</v>
      </c>
      <c r="B2644" s="364" t="s">
        <v>22</v>
      </c>
      <c r="C2644" s="365" t="s">
        <v>282</v>
      </c>
      <c r="D2644" s="364" t="s">
        <v>283</v>
      </c>
      <c r="E2644" s="366">
        <v>6.0</v>
      </c>
      <c r="F2644" s="367">
        <v>45923.45833333333</v>
      </c>
      <c r="G2644" s="364" t="s">
        <v>1185</v>
      </c>
      <c r="H2644" s="364" t="s">
        <v>1209</v>
      </c>
    </row>
    <row r="2645" ht="15.75" customHeight="1">
      <c r="A2645" s="364" t="s">
        <v>74</v>
      </c>
      <c r="B2645" s="364" t="s">
        <v>22</v>
      </c>
      <c r="C2645" s="365" t="s">
        <v>282</v>
      </c>
      <c r="D2645" s="364" t="s">
        <v>283</v>
      </c>
      <c r="E2645" s="366">
        <v>7.0</v>
      </c>
      <c r="F2645" s="367">
        <v>45926.625</v>
      </c>
      <c r="G2645" s="364" t="s">
        <v>1185</v>
      </c>
      <c r="H2645" s="364" t="s">
        <v>1209</v>
      </c>
    </row>
    <row r="2646" ht="15.75" customHeight="1">
      <c r="A2646" s="364" t="s">
        <v>74</v>
      </c>
      <c r="B2646" s="364" t="s">
        <v>22</v>
      </c>
      <c r="C2646" s="365" t="s">
        <v>282</v>
      </c>
      <c r="D2646" s="364" t="s">
        <v>283</v>
      </c>
      <c r="E2646" s="366">
        <v>8.0</v>
      </c>
      <c r="F2646" s="367">
        <v>45939.58333333333</v>
      </c>
      <c r="G2646" s="364" t="s">
        <v>1185</v>
      </c>
      <c r="H2646" s="364" t="s">
        <v>1209</v>
      </c>
    </row>
    <row r="2647" ht="15.75" customHeight="1">
      <c r="A2647" s="364" t="s">
        <v>74</v>
      </c>
      <c r="B2647" s="364" t="s">
        <v>22</v>
      </c>
      <c r="C2647" s="365" t="s">
        <v>282</v>
      </c>
      <c r="D2647" s="364" t="s">
        <v>283</v>
      </c>
      <c r="E2647" s="366">
        <v>9.0</v>
      </c>
      <c r="F2647" s="367">
        <v>45940.54166666667</v>
      </c>
      <c r="G2647" s="364" t="s">
        <v>1185</v>
      </c>
      <c r="H2647" s="364" t="s">
        <v>1209</v>
      </c>
    </row>
    <row r="2648" ht="15.75" customHeight="1">
      <c r="A2648" s="364" t="s">
        <v>74</v>
      </c>
      <c r="B2648" s="364" t="s">
        <v>22</v>
      </c>
      <c r="C2648" s="365" t="s">
        <v>282</v>
      </c>
      <c r="D2648" s="364" t="s">
        <v>283</v>
      </c>
      <c r="E2648" s="366">
        <v>10.0</v>
      </c>
      <c r="F2648" s="367">
        <v>45947.45833333333</v>
      </c>
      <c r="G2648" s="364" t="s">
        <v>1185</v>
      </c>
      <c r="H2648" s="364" t="s">
        <v>1209</v>
      </c>
    </row>
    <row r="2649" ht="15.75" customHeight="1">
      <c r="A2649" s="364" t="s">
        <v>74</v>
      </c>
      <c r="B2649" s="364" t="s">
        <v>22</v>
      </c>
      <c r="C2649" s="365" t="s">
        <v>282</v>
      </c>
      <c r="D2649" s="364" t="s">
        <v>283</v>
      </c>
      <c r="E2649" s="366">
        <v>11.0</v>
      </c>
      <c r="F2649" s="367">
        <v>45957.58333333333</v>
      </c>
      <c r="G2649" s="364" t="s">
        <v>1185</v>
      </c>
      <c r="H2649" s="364" t="s">
        <v>1209</v>
      </c>
    </row>
    <row r="2650" ht="15.75" customHeight="1">
      <c r="A2650" s="364" t="s">
        <v>74</v>
      </c>
      <c r="B2650" s="364" t="s">
        <v>22</v>
      </c>
      <c r="C2650" s="365" t="s">
        <v>282</v>
      </c>
      <c r="D2650" s="364" t="s">
        <v>283</v>
      </c>
      <c r="E2650" s="366">
        <v>12.0</v>
      </c>
      <c r="F2650" s="367">
        <v>45964.45833333333</v>
      </c>
      <c r="G2650" s="364" t="s">
        <v>1185</v>
      </c>
      <c r="H2650" s="364" t="s">
        <v>1209</v>
      </c>
    </row>
    <row r="2651" ht="15.75" customHeight="1">
      <c r="A2651" s="364" t="s">
        <v>74</v>
      </c>
      <c r="B2651" s="364" t="s">
        <v>22</v>
      </c>
      <c r="C2651" s="365" t="s">
        <v>282</v>
      </c>
      <c r="D2651" s="364" t="s">
        <v>283</v>
      </c>
      <c r="E2651" s="366">
        <v>13.0</v>
      </c>
      <c r="F2651" s="367">
        <v>45971.58333333333</v>
      </c>
      <c r="G2651" s="364" t="s">
        <v>1185</v>
      </c>
      <c r="H2651" s="364" t="s">
        <v>1209</v>
      </c>
    </row>
    <row r="2652" ht="15.75" customHeight="1">
      <c r="A2652" s="364" t="s">
        <v>74</v>
      </c>
      <c r="B2652" s="364" t="s">
        <v>22</v>
      </c>
      <c r="C2652" s="365" t="s">
        <v>282</v>
      </c>
      <c r="D2652" s="364" t="s">
        <v>283</v>
      </c>
      <c r="E2652" s="366">
        <v>14.0</v>
      </c>
      <c r="F2652" s="367">
        <v>45985.41666666667</v>
      </c>
      <c r="G2652" s="364" t="s">
        <v>1185</v>
      </c>
      <c r="H2652" s="364" t="s">
        <v>1209</v>
      </c>
    </row>
    <row r="2653" ht="15.75" customHeight="1">
      <c r="A2653" s="364" t="s">
        <v>74</v>
      </c>
      <c r="B2653" s="364" t="s">
        <v>22</v>
      </c>
      <c r="C2653" s="365" t="s">
        <v>284</v>
      </c>
      <c r="D2653" s="364" t="s">
        <v>285</v>
      </c>
      <c r="E2653" s="366">
        <v>1.0</v>
      </c>
      <c r="F2653" s="367">
        <v>45813.375</v>
      </c>
      <c r="G2653" s="364" t="s">
        <v>1187</v>
      </c>
      <c r="H2653" s="364" t="s">
        <v>1209</v>
      </c>
    </row>
    <row r="2654" ht="15.75" customHeight="1">
      <c r="A2654" s="364" t="s">
        <v>74</v>
      </c>
      <c r="B2654" s="364" t="s">
        <v>22</v>
      </c>
      <c r="C2654" s="365" t="s">
        <v>284</v>
      </c>
      <c r="D2654" s="364" t="s">
        <v>285</v>
      </c>
      <c r="E2654" s="366">
        <v>2.0</v>
      </c>
      <c r="F2654" s="367">
        <v>45818.375</v>
      </c>
      <c r="G2654" s="364" t="s">
        <v>1185</v>
      </c>
      <c r="H2654" s="364" t="s">
        <v>1209</v>
      </c>
    </row>
    <row r="2655" ht="15.75" customHeight="1">
      <c r="A2655" s="364" t="s">
        <v>74</v>
      </c>
      <c r="B2655" s="364" t="s">
        <v>22</v>
      </c>
      <c r="C2655" s="365" t="s">
        <v>284</v>
      </c>
      <c r="D2655" s="364" t="s">
        <v>285</v>
      </c>
      <c r="E2655" s="366">
        <v>3.0</v>
      </c>
      <c r="F2655" s="367">
        <v>45827.375</v>
      </c>
      <c r="G2655" s="364" t="s">
        <v>1185</v>
      </c>
      <c r="H2655" s="364" t="s">
        <v>1209</v>
      </c>
    </row>
    <row r="2656" ht="15.75" customHeight="1">
      <c r="A2656" s="364" t="s">
        <v>74</v>
      </c>
      <c r="B2656" s="364" t="s">
        <v>22</v>
      </c>
      <c r="C2656" s="365" t="s">
        <v>284</v>
      </c>
      <c r="D2656" s="364" t="s">
        <v>285</v>
      </c>
      <c r="E2656" s="366">
        <v>4.0</v>
      </c>
      <c r="F2656" s="367">
        <v>45831.375</v>
      </c>
      <c r="G2656" s="364" t="s">
        <v>1185</v>
      </c>
      <c r="H2656" s="364" t="s">
        <v>1209</v>
      </c>
    </row>
    <row r="2657" ht="15.75" customHeight="1">
      <c r="A2657" s="364" t="s">
        <v>74</v>
      </c>
      <c r="B2657" s="364" t="s">
        <v>22</v>
      </c>
      <c r="C2657" s="365" t="s">
        <v>284</v>
      </c>
      <c r="D2657" s="364" t="s">
        <v>285</v>
      </c>
      <c r="E2657" s="366">
        <v>5.0</v>
      </c>
      <c r="F2657" s="367">
        <v>45917.45833333333</v>
      </c>
      <c r="G2657" s="364" t="s">
        <v>1185</v>
      </c>
      <c r="H2657" s="364" t="s">
        <v>1209</v>
      </c>
    </row>
    <row r="2658" ht="15.75" customHeight="1">
      <c r="A2658" s="364" t="s">
        <v>74</v>
      </c>
      <c r="B2658" s="364" t="s">
        <v>22</v>
      </c>
      <c r="C2658" s="365" t="s">
        <v>284</v>
      </c>
      <c r="D2658" s="364" t="s">
        <v>285</v>
      </c>
      <c r="E2658" s="366">
        <v>6.0</v>
      </c>
      <c r="F2658" s="367">
        <v>45923.45833333333</v>
      </c>
      <c r="G2658" s="364" t="s">
        <v>1185</v>
      </c>
      <c r="H2658" s="364" t="s">
        <v>1209</v>
      </c>
    </row>
    <row r="2659" ht="15.75" customHeight="1">
      <c r="A2659" s="364" t="s">
        <v>74</v>
      </c>
      <c r="B2659" s="364" t="s">
        <v>22</v>
      </c>
      <c r="C2659" s="365" t="s">
        <v>284</v>
      </c>
      <c r="D2659" s="364" t="s">
        <v>285</v>
      </c>
      <c r="E2659" s="366">
        <v>7.0</v>
      </c>
      <c r="F2659" s="367">
        <v>45926.625</v>
      </c>
      <c r="G2659" s="364" t="s">
        <v>1185</v>
      </c>
      <c r="H2659" s="364" t="s">
        <v>1209</v>
      </c>
    </row>
    <row r="2660" ht="15.75" customHeight="1">
      <c r="A2660" s="364" t="s">
        <v>74</v>
      </c>
      <c r="B2660" s="364" t="s">
        <v>22</v>
      </c>
      <c r="C2660" s="365" t="s">
        <v>284</v>
      </c>
      <c r="D2660" s="364" t="s">
        <v>285</v>
      </c>
      <c r="E2660" s="366">
        <v>8.0</v>
      </c>
      <c r="F2660" s="367">
        <v>45939.58333333333</v>
      </c>
      <c r="G2660" s="364" t="s">
        <v>1185</v>
      </c>
      <c r="H2660" s="364" t="s">
        <v>1209</v>
      </c>
    </row>
    <row r="2661" ht="15.75" customHeight="1">
      <c r="A2661" s="364" t="s">
        <v>74</v>
      </c>
      <c r="B2661" s="364" t="s">
        <v>22</v>
      </c>
      <c r="C2661" s="365" t="s">
        <v>284</v>
      </c>
      <c r="D2661" s="364" t="s">
        <v>285</v>
      </c>
      <c r="E2661" s="366">
        <v>9.0</v>
      </c>
      <c r="F2661" s="367">
        <v>45940.54166666667</v>
      </c>
      <c r="G2661" s="364" t="s">
        <v>1185</v>
      </c>
      <c r="H2661" s="364" t="s">
        <v>1209</v>
      </c>
    </row>
    <row r="2662" ht="15.75" customHeight="1">
      <c r="A2662" s="364" t="s">
        <v>74</v>
      </c>
      <c r="B2662" s="364" t="s">
        <v>22</v>
      </c>
      <c r="C2662" s="365" t="s">
        <v>284</v>
      </c>
      <c r="D2662" s="364" t="s">
        <v>285</v>
      </c>
      <c r="E2662" s="366">
        <v>10.0</v>
      </c>
      <c r="F2662" s="367">
        <v>45947.45833333333</v>
      </c>
      <c r="G2662" s="364" t="s">
        <v>1185</v>
      </c>
      <c r="H2662" s="364" t="s">
        <v>1209</v>
      </c>
    </row>
    <row r="2663" ht="15.75" customHeight="1">
      <c r="A2663" s="364" t="s">
        <v>74</v>
      </c>
      <c r="B2663" s="364" t="s">
        <v>22</v>
      </c>
      <c r="C2663" s="365" t="s">
        <v>284</v>
      </c>
      <c r="D2663" s="364" t="s">
        <v>285</v>
      </c>
      <c r="E2663" s="366">
        <v>11.0</v>
      </c>
      <c r="F2663" s="367">
        <v>45957.58333333333</v>
      </c>
      <c r="G2663" s="364" t="s">
        <v>1185</v>
      </c>
      <c r="H2663" s="364" t="s">
        <v>1209</v>
      </c>
    </row>
    <row r="2664" ht="15.75" customHeight="1">
      <c r="A2664" s="364" t="s">
        <v>74</v>
      </c>
      <c r="B2664" s="364" t="s">
        <v>22</v>
      </c>
      <c r="C2664" s="365" t="s">
        <v>284</v>
      </c>
      <c r="D2664" s="364" t="s">
        <v>285</v>
      </c>
      <c r="E2664" s="366">
        <v>12.0</v>
      </c>
      <c r="F2664" s="367">
        <v>45964.45833333333</v>
      </c>
      <c r="G2664" s="364" t="s">
        <v>1185</v>
      </c>
      <c r="H2664" s="364" t="s">
        <v>1209</v>
      </c>
    </row>
    <row r="2665" ht="15.75" customHeight="1">
      <c r="A2665" s="364" t="s">
        <v>74</v>
      </c>
      <c r="B2665" s="364" t="s">
        <v>22</v>
      </c>
      <c r="C2665" s="365" t="s">
        <v>284</v>
      </c>
      <c r="D2665" s="364" t="s">
        <v>285</v>
      </c>
      <c r="E2665" s="366">
        <v>13.0</v>
      </c>
      <c r="F2665" s="367">
        <v>45971.58333333333</v>
      </c>
      <c r="G2665" s="364" t="s">
        <v>1185</v>
      </c>
      <c r="H2665" s="364" t="s">
        <v>1209</v>
      </c>
    </row>
    <row r="2666" ht="15.75" customHeight="1">
      <c r="A2666" s="364" t="s">
        <v>74</v>
      </c>
      <c r="B2666" s="364" t="s">
        <v>22</v>
      </c>
      <c r="C2666" s="365" t="s">
        <v>284</v>
      </c>
      <c r="D2666" s="364" t="s">
        <v>285</v>
      </c>
      <c r="E2666" s="366">
        <v>14.0</v>
      </c>
      <c r="F2666" s="367">
        <v>45985.41666666667</v>
      </c>
      <c r="G2666" s="364" t="s">
        <v>1185</v>
      </c>
      <c r="H2666" s="364" t="s">
        <v>1209</v>
      </c>
    </row>
    <row r="2667" ht="15.75" customHeight="1">
      <c r="A2667" s="364" t="s">
        <v>74</v>
      </c>
      <c r="B2667" s="364" t="s">
        <v>22</v>
      </c>
      <c r="C2667" s="365" t="s">
        <v>286</v>
      </c>
      <c r="D2667" s="364" t="s">
        <v>287</v>
      </c>
      <c r="E2667" s="366">
        <v>1.0</v>
      </c>
      <c r="F2667" s="367">
        <v>45813.375</v>
      </c>
      <c r="G2667" s="364" t="s">
        <v>1185</v>
      </c>
      <c r="H2667" s="364" t="s">
        <v>1209</v>
      </c>
    </row>
    <row r="2668" ht="15.75" customHeight="1">
      <c r="A2668" s="364" t="s">
        <v>74</v>
      </c>
      <c r="B2668" s="364" t="s">
        <v>22</v>
      </c>
      <c r="C2668" s="365" t="s">
        <v>286</v>
      </c>
      <c r="D2668" s="364" t="s">
        <v>287</v>
      </c>
      <c r="E2668" s="366">
        <v>2.0</v>
      </c>
      <c r="F2668" s="367">
        <v>45818.375</v>
      </c>
      <c r="G2668" s="364" t="s">
        <v>1185</v>
      </c>
      <c r="H2668" s="364" t="s">
        <v>1209</v>
      </c>
    </row>
    <row r="2669" ht="15.75" customHeight="1">
      <c r="A2669" s="364" t="s">
        <v>74</v>
      </c>
      <c r="B2669" s="364" t="s">
        <v>22</v>
      </c>
      <c r="C2669" s="365" t="s">
        <v>286</v>
      </c>
      <c r="D2669" s="364" t="s">
        <v>287</v>
      </c>
      <c r="E2669" s="366">
        <v>3.0</v>
      </c>
      <c r="F2669" s="367">
        <v>45827.375</v>
      </c>
      <c r="G2669" s="364" t="s">
        <v>1187</v>
      </c>
      <c r="H2669" s="364" t="s">
        <v>1209</v>
      </c>
    </row>
    <row r="2670" ht="15.75" customHeight="1">
      <c r="A2670" s="364" t="s">
        <v>74</v>
      </c>
      <c r="B2670" s="364" t="s">
        <v>22</v>
      </c>
      <c r="C2670" s="365" t="s">
        <v>286</v>
      </c>
      <c r="D2670" s="364" t="s">
        <v>287</v>
      </c>
      <c r="E2670" s="366">
        <v>4.0</v>
      </c>
      <c r="F2670" s="367">
        <v>45831.375</v>
      </c>
      <c r="G2670" s="364" t="s">
        <v>1187</v>
      </c>
      <c r="H2670" s="364" t="s">
        <v>1209</v>
      </c>
    </row>
    <row r="2671" ht="15.75" customHeight="1">
      <c r="A2671" s="364" t="s">
        <v>74</v>
      </c>
      <c r="B2671" s="364" t="s">
        <v>22</v>
      </c>
      <c r="C2671" s="365" t="s">
        <v>286</v>
      </c>
      <c r="D2671" s="364" t="s">
        <v>287</v>
      </c>
      <c r="E2671" s="366">
        <v>5.0</v>
      </c>
      <c r="F2671" s="367">
        <v>45917.45833333333</v>
      </c>
      <c r="G2671" s="364" t="s">
        <v>1187</v>
      </c>
      <c r="H2671" s="364" t="s">
        <v>1209</v>
      </c>
    </row>
    <row r="2672" ht="15.75" customHeight="1">
      <c r="A2672" s="364" t="s">
        <v>74</v>
      </c>
      <c r="B2672" s="364" t="s">
        <v>22</v>
      </c>
      <c r="C2672" s="365" t="s">
        <v>286</v>
      </c>
      <c r="D2672" s="364" t="s">
        <v>287</v>
      </c>
      <c r="E2672" s="366">
        <v>6.0</v>
      </c>
      <c r="F2672" s="367">
        <v>45923.45833333333</v>
      </c>
      <c r="G2672" s="364" t="s">
        <v>1187</v>
      </c>
      <c r="H2672" s="364" t="s">
        <v>1209</v>
      </c>
    </row>
    <row r="2673" ht="15.75" customHeight="1">
      <c r="A2673" s="364" t="s">
        <v>74</v>
      </c>
      <c r="B2673" s="364" t="s">
        <v>22</v>
      </c>
      <c r="C2673" s="365" t="s">
        <v>286</v>
      </c>
      <c r="D2673" s="364" t="s">
        <v>287</v>
      </c>
      <c r="E2673" s="366">
        <v>8.0</v>
      </c>
      <c r="F2673" s="367">
        <v>45939.58333333333</v>
      </c>
      <c r="G2673" s="364" t="s">
        <v>1187</v>
      </c>
      <c r="H2673" s="364" t="s">
        <v>1209</v>
      </c>
    </row>
    <row r="2674" ht="15.75" customHeight="1">
      <c r="A2674" s="364" t="s">
        <v>74</v>
      </c>
      <c r="B2674" s="364" t="s">
        <v>22</v>
      </c>
      <c r="C2674" s="365" t="s">
        <v>286</v>
      </c>
      <c r="D2674" s="364" t="s">
        <v>287</v>
      </c>
      <c r="E2674" s="366">
        <v>9.0</v>
      </c>
      <c r="F2674" s="367">
        <v>45940.54166666667</v>
      </c>
      <c r="G2674" s="364" t="s">
        <v>1187</v>
      </c>
      <c r="H2674" s="364" t="s">
        <v>1209</v>
      </c>
    </row>
    <row r="2675" ht="15.75" customHeight="1">
      <c r="A2675" s="364" t="s">
        <v>74</v>
      </c>
      <c r="B2675" s="364" t="s">
        <v>22</v>
      </c>
      <c r="C2675" s="365" t="s">
        <v>286</v>
      </c>
      <c r="D2675" s="364" t="s">
        <v>287</v>
      </c>
      <c r="E2675" s="366">
        <v>10.0</v>
      </c>
      <c r="F2675" s="367">
        <v>45947.45833333333</v>
      </c>
      <c r="G2675" s="364" t="s">
        <v>1187</v>
      </c>
      <c r="H2675" s="364" t="s">
        <v>1209</v>
      </c>
    </row>
    <row r="2676" ht="15.75" customHeight="1">
      <c r="A2676" s="364" t="s">
        <v>74</v>
      </c>
      <c r="B2676" s="364" t="s">
        <v>22</v>
      </c>
      <c r="C2676" s="365" t="s">
        <v>286</v>
      </c>
      <c r="D2676" s="364" t="s">
        <v>287</v>
      </c>
      <c r="E2676" s="366">
        <v>11.0</v>
      </c>
      <c r="F2676" s="367">
        <v>45957.58333333333</v>
      </c>
      <c r="G2676" s="364" t="s">
        <v>1187</v>
      </c>
      <c r="H2676" s="364" t="s">
        <v>1209</v>
      </c>
    </row>
    <row r="2677" ht="15.75" customHeight="1">
      <c r="A2677" s="364" t="s">
        <v>74</v>
      </c>
      <c r="B2677" s="364" t="s">
        <v>22</v>
      </c>
      <c r="C2677" s="365" t="s">
        <v>286</v>
      </c>
      <c r="D2677" s="364" t="s">
        <v>287</v>
      </c>
      <c r="E2677" s="366">
        <v>12.0</v>
      </c>
      <c r="F2677" s="367">
        <v>45964.45833333333</v>
      </c>
      <c r="G2677" s="364" t="s">
        <v>1187</v>
      </c>
      <c r="H2677" s="364" t="s">
        <v>1209</v>
      </c>
    </row>
    <row r="2678" ht="15.75" customHeight="1">
      <c r="A2678" s="364" t="s">
        <v>74</v>
      </c>
      <c r="B2678" s="364" t="s">
        <v>22</v>
      </c>
      <c r="C2678" s="365" t="s">
        <v>286</v>
      </c>
      <c r="D2678" s="364" t="s">
        <v>287</v>
      </c>
      <c r="E2678" s="366">
        <v>13.0</v>
      </c>
      <c r="F2678" s="367">
        <v>45971.58333333333</v>
      </c>
      <c r="G2678" s="364" t="s">
        <v>1187</v>
      </c>
      <c r="H2678" s="364" t="s">
        <v>1209</v>
      </c>
    </row>
    <row r="2679" ht="15.75" customHeight="1">
      <c r="A2679" s="364" t="s">
        <v>74</v>
      </c>
      <c r="B2679" s="364" t="s">
        <v>22</v>
      </c>
      <c r="C2679" s="365" t="s">
        <v>286</v>
      </c>
      <c r="D2679" s="364" t="s">
        <v>287</v>
      </c>
      <c r="E2679" s="366">
        <v>14.0</v>
      </c>
      <c r="F2679" s="367">
        <v>45985.41666666667</v>
      </c>
      <c r="G2679" s="364" t="s">
        <v>1187</v>
      </c>
      <c r="H2679" s="364" t="s">
        <v>1209</v>
      </c>
    </row>
    <row r="2680" ht="15.75" customHeight="1">
      <c r="A2680" s="364" t="s">
        <v>74</v>
      </c>
      <c r="B2680" s="364" t="s">
        <v>23</v>
      </c>
      <c r="C2680" s="365" t="s">
        <v>274</v>
      </c>
      <c r="D2680" s="364" t="s">
        <v>275</v>
      </c>
      <c r="E2680" s="366">
        <v>2.0</v>
      </c>
      <c r="F2680" s="367">
        <v>46106.41666666667</v>
      </c>
      <c r="G2680" s="364" t="s">
        <v>1185</v>
      </c>
      <c r="H2680" s="364" t="s">
        <v>1209</v>
      </c>
    </row>
    <row r="2681" ht="15.75" customHeight="1">
      <c r="A2681" s="364" t="s">
        <v>74</v>
      </c>
      <c r="B2681" s="364" t="s">
        <v>23</v>
      </c>
      <c r="C2681" s="365" t="s">
        <v>274</v>
      </c>
      <c r="D2681" s="364" t="s">
        <v>275</v>
      </c>
      <c r="E2681" s="366">
        <v>3.0</v>
      </c>
      <c r="F2681" s="367">
        <v>46114.45833333333</v>
      </c>
      <c r="G2681" s="364" t="s">
        <v>1187</v>
      </c>
      <c r="H2681" s="364" t="s">
        <v>1209</v>
      </c>
    </row>
    <row r="2682" ht="15.75" customHeight="1">
      <c r="A2682" s="364" t="s">
        <v>74</v>
      </c>
      <c r="B2682" s="364" t="s">
        <v>23</v>
      </c>
      <c r="C2682" s="365" t="s">
        <v>274</v>
      </c>
      <c r="D2682" s="364" t="s">
        <v>275</v>
      </c>
      <c r="E2682" s="366">
        <v>4.0</v>
      </c>
      <c r="F2682" s="367">
        <v>46119.58333333333</v>
      </c>
      <c r="G2682" s="364" t="s">
        <v>1185</v>
      </c>
      <c r="H2682" s="364" t="s">
        <v>1209</v>
      </c>
    </row>
    <row r="2683" ht="15.75" customHeight="1">
      <c r="A2683" s="364" t="s">
        <v>74</v>
      </c>
      <c r="B2683" s="364" t="s">
        <v>23</v>
      </c>
      <c r="C2683" s="365" t="s">
        <v>274</v>
      </c>
      <c r="D2683" s="364" t="s">
        <v>275</v>
      </c>
      <c r="E2683" s="366">
        <v>5.0</v>
      </c>
      <c r="F2683" s="367">
        <v>46126.41666666667</v>
      </c>
      <c r="G2683" s="364" t="s">
        <v>1185</v>
      </c>
      <c r="H2683" s="364" t="s">
        <v>1209</v>
      </c>
    </row>
    <row r="2684" ht="15.75" customHeight="1">
      <c r="A2684" s="364" t="s">
        <v>74</v>
      </c>
      <c r="B2684" s="364" t="s">
        <v>23</v>
      </c>
      <c r="C2684" s="365" t="s">
        <v>274</v>
      </c>
      <c r="D2684" s="364" t="s">
        <v>275</v>
      </c>
      <c r="E2684" s="366">
        <v>6.0</v>
      </c>
      <c r="F2684" s="367">
        <v>46135.41666666667</v>
      </c>
      <c r="G2684" s="364" t="s">
        <v>1185</v>
      </c>
      <c r="H2684" s="364" t="s">
        <v>1209</v>
      </c>
    </row>
    <row r="2685" ht="15.75" customHeight="1">
      <c r="A2685" s="364" t="s">
        <v>74</v>
      </c>
      <c r="B2685" s="364" t="s">
        <v>23</v>
      </c>
      <c r="C2685" s="365" t="s">
        <v>274</v>
      </c>
      <c r="D2685" s="364" t="s">
        <v>275</v>
      </c>
      <c r="E2685" s="366">
        <v>7.0</v>
      </c>
      <c r="F2685" s="367">
        <v>46157.625</v>
      </c>
      <c r="G2685" s="364" t="s">
        <v>1185</v>
      </c>
      <c r="H2685" s="364" t="s">
        <v>1209</v>
      </c>
    </row>
    <row r="2686" ht="15.75" customHeight="1">
      <c r="A2686" s="364" t="s">
        <v>74</v>
      </c>
      <c r="B2686" s="364" t="s">
        <v>23</v>
      </c>
      <c r="C2686" s="365" t="s">
        <v>274</v>
      </c>
      <c r="D2686" s="364" t="s">
        <v>275</v>
      </c>
      <c r="E2686" s="366">
        <v>8.0</v>
      </c>
      <c r="F2686" s="367">
        <v>46170.41666666667</v>
      </c>
      <c r="G2686" s="364" t="s">
        <v>1185</v>
      </c>
      <c r="H2686" s="364" t="s">
        <v>1209</v>
      </c>
    </row>
    <row r="2687" ht="15.75" customHeight="1">
      <c r="A2687" s="364" t="s">
        <v>74</v>
      </c>
      <c r="B2687" s="364" t="s">
        <v>23</v>
      </c>
      <c r="C2687" s="365" t="s">
        <v>274</v>
      </c>
      <c r="D2687" s="364" t="s">
        <v>275</v>
      </c>
      <c r="E2687" s="366">
        <v>9.0</v>
      </c>
      <c r="F2687" s="367">
        <v>46171.625</v>
      </c>
      <c r="G2687" s="364" t="s">
        <v>1185</v>
      </c>
      <c r="H2687" s="364" t="s">
        <v>1209</v>
      </c>
    </row>
    <row r="2688" ht="15.75" customHeight="1">
      <c r="A2688" s="364" t="s">
        <v>74</v>
      </c>
      <c r="B2688" s="364" t="s">
        <v>23</v>
      </c>
      <c r="C2688" s="365" t="s">
        <v>274</v>
      </c>
      <c r="D2688" s="364" t="s">
        <v>275</v>
      </c>
      <c r="E2688" s="366">
        <v>10.0</v>
      </c>
      <c r="F2688" s="367">
        <v>46185.58333333333</v>
      </c>
      <c r="G2688" s="364" t="s">
        <v>1185</v>
      </c>
      <c r="H2688" s="364" t="s">
        <v>1209</v>
      </c>
    </row>
    <row r="2689" ht="15.75" customHeight="1">
      <c r="A2689" s="364" t="s">
        <v>74</v>
      </c>
      <c r="B2689" s="364" t="s">
        <v>23</v>
      </c>
      <c r="C2689" s="365" t="s">
        <v>274</v>
      </c>
      <c r="D2689" s="364" t="s">
        <v>275</v>
      </c>
      <c r="E2689" s="366">
        <v>11.0</v>
      </c>
      <c r="F2689" s="367">
        <v>46189.45833333333</v>
      </c>
      <c r="G2689" s="364" t="s">
        <v>1185</v>
      </c>
      <c r="H2689" s="364" t="s">
        <v>1209</v>
      </c>
    </row>
    <row r="2690" ht="15.75" customHeight="1">
      <c r="A2690" s="364" t="s">
        <v>74</v>
      </c>
      <c r="B2690" s="364" t="s">
        <v>23</v>
      </c>
      <c r="C2690" s="365" t="s">
        <v>274</v>
      </c>
      <c r="D2690" s="364" t="s">
        <v>275</v>
      </c>
      <c r="E2690" s="366">
        <v>12.0</v>
      </c>
      <c r="F2690" s="367">
        <v>46204.45833333333</v>
      </c>
      <c r="G2690" s="364" t="s">
        <v>1185</v>
      </c>
      <c r="H2690" s="364" t="s">
        <v>1209</v>
      </c>
    </row>
    <row r="2691" ht="15.75" customHeight="1">
      <c r="A2691" s="364" t="s">
        <v>74</v>
      </c>
      <c r="B2691" s="364" t="s">
        <v>23</v>
      </c>
      <c r="C2691" s="365" t="s">
        <v>274</v>
      </c>
      <c r="D2691" s="364" t="s">
        <v>275</v>
      </c>
      <c r="E2691" s="366">
        <v>13.0</v>
      </c>
      <c r="F2691" s="367">
        <v>46210.41666666667</v>
      </c>
      <c r="G2691" s="364" t="s">
        <v>1185</v>
      </c>
      <c r="H2691" s="364" t="s">
        <v>1209</v>
      </c>
    </row>
    <row r="2692" ht="15.75" customHeight="1">
      <c r="A2692" s="364" t="s">
        <v>74</v>
      </c>
      <c r="B2692" s="364" t="s">
        <v>23</v>
      </c>
      <c r="C2692" s="365" t="s">
        <v>276</v>
      </c>
      <c r="D2692" s="364" t="s">
        <v>277</v>
      </c>
      <c r="E2692" s="366">
        <v>2.0</v>
      </c>
      <c r="F2692" s="367">
        <v>46106.41666666667</v>
      </c>
      <c r="G2692" s="364" t="s">
        <v>1185</v>
      </c>
      <c r="H2692" s="364" t="s">
        <v>1209</v>
      </c>
    </row>
    <row r="2693" ht="15.75" customHeight="1">
      <c r="A2693" s="364" t="s">
        <v>74</v>
      </c>
      <c r="B2693" s="364" t="s">
        <v>23</v>
      </c>
      <c r="C2693" s="365" t="s">
        <v>276</v>
      </c>
      <c r="D2693" s="364" t="s">
        <v>277</v>
      </c>
      <c r="E2693" s="366">
        <v>3.0</v>
      </c>
      <c r="F2693" s="367">
        <v>46114.45833333333</v>
      </c>
      <c r="G2693" s="364" t="s">
        <v>1185</v>
      </c>
      <c r="H2693" s="364" t="s">
        <v>1209</v>
      </c>
    </row>
    <row r="2694" ht="15.75" customHeight="1">
      <c r="A2694" s="364" t="s">
        <v>74</v>
      </c>
      <c r="B2694" s="364" t="s">
        <v>23</v>
      </c>
      <c r="C2694" s="365" t="s">
        <v>276</v>
      </c>
      <c r="D2694" s="364" t="s">
        <v>277</v>
      </c>
      <c r="E2694" s="366">
        <v>4.0</v>
      </c>
      <c r="F2694" s="367">
        <v>46119.58333333333</v>
      </c>
      <c r="G2694" s="364" t="s">
        <v>1185</v>
      </c>
      <c r="H2694" s="364" t="s">
        <v>1209</v>
      </c>
    </row>
    <row r="2695" ht="15.75" customHeight="1">
      <c r="A2695" s="364" t="s">
        <v>74</v>
      </c>
      <c r="B2695" s="364" t="s">
        <v>23</v>
      </c>
      <c r="C2695" s="365" t="s">
        <v>276</v>
      </c>
      <c r="D2695" s="364" t="s">
        <v>277</v>
      </c>
      <c r="E2695" s="366">
        <v>5.0</v>
      </c>
      <c r="F2695" s="367">
        <v>46126.41666666667</v>
      </c>
      <c r="G2695" s="364" t="s">
        <v>1185</v>
      </c>
      <c r="H2695" s="364" t="s">
        <v>1209</v>
      </c>
    </row>
    <row r="2696" ht="15.75" customHeight="1">
      <c r="A2696" s="364" t="s">
        <v>74</v>
      </c>
      <c r="B2696" s="364" t="s">
        <v>23</v>
      </c>
      <c r="C2696" s="365" t="s">
        <v>276</v>
      </c>
      <c r="D2696" s="364" t="s">
        <v>277</v>
      </c>
      <c r="E2696" s="366">
        <v>6.0</v>
      </c>
      <c r="F2696" s="367">
        <v>46135.41666666667</v>
      </c>
      <c r="G2696" s="364" t="s">
        <v>1185</v>
      </c>
      <c r="H2696" s="364" t="s">
        <v>1209</v>
      </c>
    </row>
    <row r="2697" ht="15.75" customHeight="1">
      <c r="A2697" s="364" t="s">
        <v>74</v>
      </c>
      <c r="B2697" s="364" t="s">
        <v>23</v>
      </c>
      <c r="C2697" s="365" t="s">
        <v>276</v>
      </c>
      <c r="D2697" s="364" t="s">
        <v>277</v>
      </c>
      <c r="E2697" s="366">
        <v>7.0</v>
      </c>
      <c r="F2697" s="367">
        <v>46157.625</v>
      </c>
      <c r="G2697" s="364" t="s">
        <v>1185</v>
      </c>
      <c r="H2697" s="364" t="s">
        <v>1209</v>
      </c>
    </row>
    <row r="2698" ht="15.75" customHeight="1">
      <c r="A2698" s="364" t="s">
        <v>74</v>
      </c>
      <c r="B2698" s="364" t="s">
        <v>23</v>
      </c>
      <c r="C2698" s="365" t="s">
        <v>276</v>
      </c>
      <c r="D2698" s="364" t="s">
        <v>277</v>
      </c>
      <c r="E2698" s="366">
        <v>8.0</v>
      </c>
      <c r="F2698" s="367">
        <v>46170.41666666667</v>
      </c>
      <c r="G2698" s="364" t="s">
        <v>1185</v>
      </c>
      <c r="H2698" s="364" t="s">
        <v>1209</v>
      </c>
    </row>
    <row r="2699" ht="15.75" customHeight="1">
      <c r="A2699" s="364" t="s">
        <v>74</v>
      </c>
      <c r="B2699" s="364" t="s">
        <v>23</v>
      </c>
      <c r="C2699" s="365" t="s">
        <v>276</v>
      </c>
      <c r="D2699" s="364" t="s">
        <v>277</v>
      </c>
      <c r="E2699" s="366">
        <v>9.0</v>
      </c>
      <c r="F2699" s="367">
        <v>46171.625</v>
      </c>
      <c r="G2699" s="364" t="s">
        <v>1185</v>
      </c>
      <c r="H2699" s="364" t="s">
        <v>1209</v>
      </c>
    </row>
    <row r="2700" ht="15.75" customHeight="1">
      <c r="A2700" s="364" t="s">
        <v>74</v>
      </c>
      <c r="B2700" s="364" t="s">
        <v>23</v>
      </c>
      <c r="C2700" s="365" t="s">
        <v>276</v>
      </c>
      <c r="D2700" s="364" t="s">
        <v>277</v>
      </c>
      <c r="E2700" s="366">
        <v>10.0</v>
      </c>
      <c r="F2700" s="367">
        <v>46185.58333333333</v>
      </c>
      <c r="G2700" s="364" t="s">
        <v>1185</v>
      </c>
      <c r="H2700" s="364" t="s">
        <v>1209</v>
      </c>
    </row>
    <row r="2701" ht="15.75" customHeight="1">
      <c r="A2701" s="364" t="s">
        <v>74</v>
      </c>
      <c r="B2701" s="364" t="s">
        <v>23</v>
      </c>
      <c r="C2701" s="365" t="s">
        <v>276</v>
      </c>
      <c r="D2701" s="364" t="s">
        <v>277</v>
      </c>
      <c r="E2701" s="366">
        <v>11.0</v>
      </c>
      <c r="F2701" s="367">
        <v>46189.45833333333</v>
      </c>
      <c r="G2701" s="364" t="s">
        <v>1185</v>
      </c>
      <c r="H2701" s="364" t="s">
        <v>1209</v>
      </c>
    </row>
    <row r="2702" ht="15.75" customHeight="1">
      <c r="A2702" s="364" t="s">
        <v>74</v>
      </c>
      <c r="B2702" s="364" t="s">
        <v>23</v>
      </c>
      <c r="C2702" s="365" t="s">
        <v>276</v>
      </c>
      <c r="D2702" s="364" t="s">
        <v>277</v>
      </c>
      <c r="E2702" s="366">
        <v>12.0</v>
      </c>
      <c r="F2702" s="367">
        <v>46204.45833333333</v>
      </c>
      <c r="G2702" s="364" t="s">
        <v>1185</v>
      </c>
      <c r="H2702" s="364" t="s">
        <v>1209</v>
      </c>
    </row>
    <row r="2703" ht="15.75" customHeight="1">
      <c r="A2703" s="364" t="s">
        <v>74</v>
      </c>
      <c r="B2703" s="364" t="s">
        <v>23</v>
      </c>
      <c r="C2703" s="365" t="s">
        <v>276</v>
      </c>
      <c r="D2703" s="364" t="s">
        <v>277</v>
      </c>
      <c r="E2703" s="366">
        <v>13.0</v>
      </c>
      <c r="F2703" s="367">
        <v>46210.41666666667</v>
      </c>
      <c r="G2703" s="364" t="s">
        <v>1185</v>
      </c>
      <c r="H2703" s="364" t="s">
        <v>1209</v>
      </c>
    </row>
    <row r="2704" ht="15.75" customHeight="1">
      <c r="A2704" s="364" t="s">
        <v>74</v>
      </c>
      <c r="B2704" s="364" t="s">
        <v>23</v>
      </c>
      <c r="C2704" s="365" t="s">
        <v>280</v>
      </c>
      <c r="D2704" s="364" t="s">
        <v>281</v>
      </c>
      <c r="E2704" s="366">
        <v>2.0</v>
      </c>
      <c r="F2704" s="367">
        <v>46106.41666666667</v>
      </c>
      <c r="G2704" s="364" t="s">
        <v>1185</v>
      </c>
      <c r="H2704" s="364" t="s">
        <v>1209</v>
      </c>
    </row>
    <row r="2705" ht="15.75" customHeight="1">
      <c r="A2705" s="364" t="s">
        <v>74</v>
      </c>
      <c r="B2705" s="364" t="s">
        <v>23</v>
      </c>
      <c r="C2705" s="365" t="s">
        <v>280</v>
      </c>
      <c r="D2705" s="364" t="s">
        <v>281</v>
      </c>
      <c r="E2705" s="366">
        <v>3.0</v>
      </c>
      <c r="F2705" s="367">
        <v>46114.45833333333</v>
      </c>
      <c r="G2705" s="364" t="s">
        <v>1185</v>
      </c>
      <c r="H2705" s="364" t="s">
        <v>1209</v>
      </c>
    </row>
    <row r="2706" ht="15.75" customHeight="1">
      <c r="A2706" s="364" t="s">
        <v>74</v>
      </c>
      <c r="B2706" s="364" t="s">
        <v>23</v>
      </c>
      <c r="C2706" s="365" t="s">
        <v>280</v>
      </c>
      <c r="D2706" s="364" t="s">
        <v>281</v>
      </c>
      <c r="E2706" s="366">
        <v>4.0</v>
      </c>
      <c r="F2706" s="367">
        <v>46119.58333333333</v>
      </c>
      <c r="G2706" s="364" t="s">
        <v>1185</v>
      </c>
      <c r="H2706" s="364" t="s">
        <v>1209</v>
      </c>
    </row>
    <row r="2707" ht="15.75" customHeight="1">
      <c r="A2707" s="364" t="s">
        <v>74</v>
      </c>
      <c r="B2707" s="364" t="s">
        <v>23</v>
      </c>
      <c r="C2707" s="365" t="s">
        <v>280</v>
      </c>
      <c r="D2707" s="364" t="s">
        <v>281</v>
      </c>
      <c r="E2707" s="366">
        <v>6.0</v>
      </c>
      <c r="F2707" s="367">
        <v>46135.41666666667</v>
      </c>
      <c r="G2707" s="364" t="s">
        <v>1185</v>
      </c>
      <c r="H2707" s="364" t="s">
        <v>1209</v>
      </c>
    </row>
    <row r="2708" ht="15.75" customHeight="1">
      <c r="A2708" s="364" t="s">
        <v>74</v>
      </c>
      <c r="B2708" s="364" t="s">
        <v>23</v>
      </c>
      <c r="C2708" s="365" t="s">
        <v>280</v>
      </c>
      <c r="D2708" s="364" t="s">
        <v>281</v>
      </c>
      <c r="E2708" s="366">
        <v>7.0</v>
      </c>
      <c r="F2708" s="367">
        <v>46157.625</v>
      </c>
      <c r="G2708" s="364" t="s">
        <v>1187</v>
      </c>
      <c r="H2708" s="364" t="s">
        <v>1209</v>
      </c>
    </row>
    <row r="2709" ht="15.75" customHeight="1">
      <c r="A2709" s="364" t="s">
        <v>74</v>
      </c>
      <c r="B2709" s="364" t="s">
        <v>23</v>
      </c>
      <c r="C2709" s="365" t="s">
        <v>280</v>
      </c>
      <c r="D2709" s="364" t="s">
        <v>281</v>
      </c>
      <c r="E2709" s="366">
        <v>8.0</v>
      </c>
      <c r="F2709" s="367">
        <v>46170.41666666667</v>
      </c>
      <c r="G2709" s="364" t="s">
        <v>1185</v>
      </c>
      <c r="H2709" s="364" t="s">
        <v>1209</v>
      </c>
    </row>
    <row r="2710" ht="15.75" customHeight="1">
      <c r="A2710" s="364" t="s">
        <v>74</v>
      </c>
      <c r="B2710" s="364" t="s">
        <v>23</v>
      </c>
      <c r="C2710" s="365" t="s">
        <v>280</v>
      </c>
      <c r="D2710" s="364" t="s">
        <v>281</v>
      </c>
      <c r="E2710" s="366">
        <v>9.0</v>
      </c>
      <c r="F2710" s="367">
        <v>46171.625</v>
      </c>
      <c r="G2710" s="364" t="s">
        <v>1185</v>
      </c>
      <c r="H2710" s="364" t="s">
        <v>1209</v>
      </c>
    </row>
    <row r="2711" ht="15.75" customHeight="1">
      <c r="A2711" s="364" t="s">
        <v>74</v>
      </c>
      <c r="B2711" s="364" t="s">
        <v>23</v>
      </c>
      <c r="C2711" s="365" t="s">
        <v>280</v>
      </c>
      <c r="D2711" s="364" t="s">
        <v>281</v>
      </c>
      <c r="E2711" s="366">
        <v>10.0</v>
      </c>
      <c r="F2711" s="367">
        <v>46185.58333333333</v>
      </c>
      <c r="G2711" s="364" t="s">
        <v>1185</v>
      </c>
      <c r="H2711" s="364" t="s">
        <v>1209</v>
      </c>
    </row>
    <row r="2712" ht="15.75" customHeight="1">
      <c r="A2712" s="364" t="s">
        <v>74</v>
      </c>
      <c r="B2712" s="364" t="s">
        <v>23</v>
      </c>
      <c r="C2712" s="365" t="s">
        <v>280</v>
      </c>
      <c r="D2712" s="364" t="s">
        <v>281</v>
      </c>
      <c r="E2712" s="366">
        <v>11.0</v>
      </c>
      <c r="F2712" s="367">
        <v>46189.45833333333</v>
      </c>
      <c r="G2712" s="364" t="s">
        <v>1185</v>
      </c>
      <c r="H2712" s="364" t="s">
        <v>1209</v>
      </c>
    </row>
    <row r="2713" ht="15.75" customHeight="1">
      <c r="A2713" s="364" t="s">
        <v>74</v>
      </c>
      <c r="B2713" s="364" t="s">
        <v>23</v>
      </c>
      <c r="C2713" s="365" t="s">
        <v>280</v>
      </c>
      <c r="D2713" s="364" t="s">
        <v>281</v>
      </c>
      <c r="E2713" s="366">
        <v>12.0</v>
      </c>
      <c r="F2713" s="367">
        <v>46204.45833333333</v>
      </c>
      <c r="G2713" s="364" t="s">
        <v>1185</v>
      </c>
      <c r="H2713" s="364" t="s">
        <v>1209</v>
      </c>
    </row>
    <row r="2714" ht="15.75" customHeight="1">
      <c r="A2714" s="364" t="s">
        <v>74</v>
      </c>
      <c r="B2714" s="364" t="s">
        <v>23</v>
      </c>
      <c r="C2714" s="365" t="s">
        <v>280</v>
      </c>
      <c r="D2714" s="364" t="s">
        <v>281</v>
      </c>
      <c r="E2714" s="366">
        <v>13.0</v>
      </c>
      <c r="F2714" s="367">
        <v>46210.41666666667</v>
      </c>
      <c r="G2714" s="364" t="s">
        <v>1185</v>
      </c>
      <c r="H2714" s="364" t="s">
        <v>1209</v>
      </c>
    </row>
    <row r="2715" ht="15.75" customHeight="1">
      <c r="A2715" s="364" t="s">
        <v>74</v>
      </c>
      <c r="B2715" s="364" t="s">
        <v>23</v>
      </c>
      <c r="C2715" s="365" t="s">
        <v>282</v>
      </c>
      <c r="D2715" s="364" t="s">
        <v>283</v>
      </c>
      <c r="E2715" s="366">
        <v>2.0</v>
      </c>
      <c r="F2715" s="367">
        <v>46106.41666666667</v>
      </c>
      <c r="G2715" s="364" t="s">
        <v>1185</v>
      </c>
      <c r="H2715" s="364" t="s">
        <v>1209</v>
      </c>
    </row>
    <row r="2716" ht="15.75" customHeight="1">
      <c r="A2716" s="364" t="s">
        <v>74</v>
      </c>
      <c r="B2716" s="364" t="s">
        <v>23</v>
      </c>
      <c r="C2716" s="365" t="s">
        <v>282</v>
      </c>
      <c r="D2716" s="364" t="s">
        <v>283</v>
      </c>
      <c r="E2716" s="366">
        <v>3.0</v>
      </c>
      <c r="F2716" s="367">
        <v>46114.45833333333</v>
      </c>
      <c r="G2716" s="364" t="s">
        <v>1185</v>
      </c>
      <c r="H2716" s="364" t="s">
        <v>1209</v>
      </c>
    </row>
    <row r="2717" ht="15.75" customHeight="1">
      <c r="A2717" s="364" t="s">
        <v>74</v>
      </c>
      <c r="B2717" s="364" t="s">
        <v>23</v>
      </c>
      <c r="C2717" s="365" t="s">
        <v>282</v>
      </c>
      <c r="D2717" s="364" t="s">
        <v>283</v>
      </c>
      <c r="E2717" s="366">
        <v>4.0</v>
      </c>
      <c r="F2717" s="367">
        <v>46119.58333333333</v>
      </c>
      <c r="G2717" s="364" t="s">
        <v>1185</v>
      </c>
      <c r="H2717" s="364" t="s">
        <v>1209</v>
      </c>
    </row>
    <row r="2718" ht="15.75" customHeight="1">
      <c r="A2718" s="364" t="s">
        <v>74</v>
      </c>
      <c r="B2718" s="364" t="s">
        <v>23</v>
      </c>
      <c r="C2718" s="365" t="s">
        <v>282</v>
      </c>
      <c r="D2718" s="364" t="s">
        <v>283</v>
      </c>
      <c r="E2718" s="366">
        <v>5.0</v>
      </c>
      <c r="F2718" s="367">
        <v>46126.41666666667</v>
      </c>
      <c r="G2718" s="364" t="s">
        <v>1185</v>
      </c>
      <c r="H2718" s="364" t="s">
        <v>1209</v>
      </c>
    </row>
    <row r="2719" ht="15.75" customHeight="1">
      <c r="A2719" s="364" t="s">
        <v>74</v>
      </c>
      <c r="B2719" s="364" t="s">
        <v>23</v>
      </c>
      <c r="C2719" s="365" t="s">
        <v>282</v>
      </c>
      <c r="D2719" s="364" t="s">
        <v>283</v>
      </c>
      <c r="E2719" s="366">
        <v>6.0</v>
      </c>
      <c r="F2719" s="367">
        <v>46135.41666666667</v>
      </c>
      <c r="G2719" s="364" t="s">
        <v>1185</v>
      </c>
      <c r="H2719" s="364" t="s">
        <v>1209</v>
      </c>
    </row>
    <row r="2720" ht="15.75" customHeight="1">
      <c r="A2720" s="364" t="s">
        <v>74</v>
      </c>
      <c r="B2720" s="364" t="s">
        <v>23</v>
      </c>
      <c r="C2720" s="365" t="s">
        <v>282</v>
      </c>
      <c r="D2720" s="364" t="s">
        <v>283</v>
      </c>
      <c r="E2720" s="366">
        <v>7.0</v>
      </c>
      <c r="F2720" s="367">
        <v>46157.625</v>
      </c>
      <c r="G2720" s="364" t="s">
        <v>1185</v>
      </c>
      <c r="H2720" s="364" t="s">
        <v>1209</v>
      </c>
    </row>
    <row r="2721" ht="15.75" customHeight="1">
      <c r="A2721" s="364" t="s">
        <v>74</v>
      </c>
      <c r="B2721" s="364" t="s">
        <v>23</v>
      </c>
      <c r="C2721" s="365" t="s">
        <v>282</v>
      </c>
      <c r="D2721" s="364" t="s">
        <v>283</v>
      </c>
      <c r="E2721" s="366">
        <v>8.0</v>
      </c>
      <c r="F2721" s="367">
        <v>46170.41666666667</v>
      </c>
      <c r="G2721" s="364" t="s">
        <v>1185</v>
      </c>
      <c r="H2721" s="364" t="s">
        <v>1209</v>
      </c>
    </row>
    <row r="2722" ht="15.75" customHeight="1">
      <c r="A2722" s="364" t="s">
        <v>74</v>
      </c>
      <c r="B2722" s="364" t="s">
        <v>23</v>
      </c>
      <c r="C2722" s="365" t="s">
        <v>282</v>
      </c>
      <c r="D2722" s="364" t="s">
        <v>283</v>
      </c>
      <c r="E2722" s="366">
        <v>9.0</v>
      </c>
      <c r="F2722" s="367">
        <v>46171.625</v>
      </c>
      <c r="G2722" s="364" t="s">
        <v>1185</v>
      </c>
      <c r="H2722" s="364" t="s">
        <v>1209</v>
      </c>
    </row>
    <row r="2723" ht="15.75" customHeight="1">
      <c r="A2723" s="364" t="s">
        <v>74</v>
      </c>
      <c r="B2723" s="364" t="s">
        <v>23</v>
      </c>
      <c r="C2723" s="365" t="s">
        <v>282</v>
      </c>
      <c r="D2723" s="364" t="s">
        <v>283</v>
      </c>
      <c r="E2723" s="366">
        <v>10.0</v>
      </c>
      <c r="F2723" s="367">
        <v>46185.58333333333</v>
      </c>
      <c r="G2723" s="364" t="s">
        <v>1185</v>
      </c>
      <c r="H2723" s="364" t="s">
        <v>1209</v>
      </c>
    </row>
    <row r="2724" ht="15.75" customHeight="1">
      <c r="A2724" s="364" t="s">
        <v>74</v>
      </c>
      <c r="B2724" s="364" t="s">
        <v>23</v>
      </c>
      <c r="C2724" s="365" t="s">
        <v>282</v>
      </c>
      <c r="D2724" s="364" t="s">
        <v>283</v>
      </c>
      <c r="E2724" s="366">
        <v>11.0</v>
      </c>
      <c r="F2724" s="367">
        <v>46189.45833333333</v>
      </c>
      <c r="G2724" s="364" t="s">
        <v>1185</v>
      </c>
      <c r="H2724" s="364" t="s">
        <v>1209</v>
      </c>
    </row>
    <row r="2725" ht="15.75" customHeight="1">
      <c r="A2725" s="364" t="s">
        <v>74</v>
      </c>
      <c r="B2725" s="364" t="s">
        <v>23</v>
      </c>
      <c r="C2725" s="365" t="s">
        <v>282</v>
      </c>
      <c r="D2725" s="364" t="s">
        <v>283</v>
      </c>
      <c r="E2725" s="366">
        <v>12.0</v>
      </c>
      <c r="F2725" s="367">
        <v>46204.45833333333</v>
      </c>
      <c r="G2725" s="364" t="s">
        <v>1185</v>
      </c>
      <c r="H2725" s="364" t="s">
        <v>1209</v>
      </c>
    </row>
    <row r="2726" ht="15.75" customHeight="1">
      <c r="A2726" s="364" t="s">
        <v>74</v>
      </c>
      <c r="B2726" s="364" t="s">
        <v>23</v>
      </c>
      <c r="C2726" s="365" t="s">
        <v>282</v>
      </c>
      <c r="D2726" s="364" t="s">
        <v>283</v>
      </c>
      <c r="E2726" s="366">
        <v>13.0</v>
      </c>
      <c r="F2726" s="367">
        <v>46210.41666666667</v>
      </c>
      <c r="G2726" s="364" t="s">
        <v>1185</v>
      </c>
      <c r="H2726" s="364" t="s">
        <v>1209</v>
      </c>
    </row>
    <row r="2727" ht="15.75" customHeight="1">
      <c r="A2727" s="364" t="s">
        <v>74</v>
      </c>
      <c r="B2727" s="364" t="s">
        <v>23</v>
      </c>
      <c r="C2727" s="365" t="s">
        <v>284</v>
      </c>
      <c r="D2727" s="364" t="s">
        <v>285</v>
      </c>
      <c r="E2727" s="366">
        <v>2.0</v>
      </c>
      <c r="F2727" s="367">
        <v>46106.41666666667</v>
      </c>
      <c r="G2727" s="364" t="s">
        <v>1185</v>
      </c>
      <c r="H2727" s="364" t="s">
        <v>1209</v>
      </c>
    </row>
    <row r="2728" ht="15.75" customHeight="1">
      <c r="A2728" s="364" t="s">
        <v>74</v>
      </c>
      <c r="B2728" s="364" t="s">
        <v>23</v>
      </c>
      <c r="C2728" s="365" t="s">
        <v>284</v>
      </c>
      <c r="D2728" s="364" t="s">
        <v>285</v>
      </c>
      <c r="E2728" s="366">
        <v>3.0</v>
      </c>
      <c r="F2728" s="367">
        <v>46114.45833333333</v>
      </c>
      <c r="G2728" s="364" t="s">
        <v>1185</v>
      </c>
      <c r="H2728" s="364" t="s">
        <v>1209</v>
      </c>
    </row>
    <row r="2729" ht="15.75" customHeight="1">
      <c r="A2729" s="364" t="s">
        <v>74</v>
      </c>
      <c r="B2729" s="364" t="s">
        <v>23</v>
      </c>
      <c r="C2729" s="365" t="s">
        <v>284</v>
      </c>
      <c r="D2729" s="364" t="s">
        <v>285</v>
      </c>
      <c r="E2729" s="366">
        <v>4.0</v>
      </c>
      <c r="F2729" s="367">
        <v>46119.58333333333</v>
      </c>
      <c r="G2729" s="364" t="s">
        <v>1185</v>
      </c>
      <c r="H2729" s="364" t="s">
        <v>1209</v>
      </c>
    </row>
    <row r="2730" ht="15.75" customHeight="1">
      <c r="A2730" s="364" t="s">
        <v>74</v>
      </c>
      <c r="B2730" s="364" t="s">
        <v>23</v>
      </c>
      <c r="C2730" s="365" t="s">
        <v>284</v>
      </c>
      <c r="D2730" s="364" t="s">
        <v>285</v>
      </c>
      <c r="E2730" s="366">
        <v>5.0</v>
      </c>
      <c r="F2730" s="367">
        <v>46126.41666666667</v>
      </c>
      <c r="G2730" s="364" t="s">
        <v>1185</v>
      </c>
      <c r="H2730" s="364" t="s">
        <v>1209</v>
      </c>
    </row>
    <row r="2731" ht="15.75" customHeight="1">
      <c r="A2731" s="364" t="s">
        <v>74</v>
      </c>
      <c r="B2731" s="364" t="s">
        <v>23</v>
      </c>
      <c r="C2731" s="365" t="s">
        <v>284</v>
      </c>
      <c r="D2731" s="364" t="s">
        <v>285</v>
      </c>
      <c r="E2731" s="366">
        <v>6.0</v>
      </c>
      <c r="F2731" s="367">
        <v>46135.41666666667</v>
      </c>
      <c r="G2731" s="364" t="s">
        <v>1185</v>
      </c>
      <c r="H2731" s="364" t="s">
        <v>1209</v>
      </c>
    </row>
    <row r="2732" ht="15.75" customHeight="1">
      <c r="A2732" s="364" t="s">
        <v>74</v>
      </c>
      <c r="B2732" s="364" t="s">
        <v>23</v>
      </c>
      <c r="C2732" s="365" t="s">
        <v>284</v>
      </c>
      <c r="D2732" s="364" t="s">
        <v>285</v>
      </c>
      <c r="E2732" s="366">
        <v>7.0</v>
      </c>
      <c r="F2732" s="367">
        <v>46157.625</v>
      </c>
      <c r="G2732" s="364" t="s">
        <v>1185</v>
      </c>
      <c r="H2732" s="364" t="s">
        <v>1209</v>
      </c>
    </row>
    <row r="2733" ht="15.75" customHeight="1">
      <c r="A2733" s="364" t="s">
        <v>74</v>
      </c>
      <c r="B2733" s="364" t="s">
        <v>23</v>
      </c>
      <c r="C2733" s="365" t="s">
        <v>284</v>
      </c>
      <c r="D2733" s="364" t="s">
        <v>285</v>
      </c>
      <c r="E2733" s="366">
        <v>8.0</v>
      </c>
      <c r="F2733" s="367">
        <v>46170.41666666667</v>
      </c>
      <c r="G2733" s="364" t="s">
        <v>1185</v>
      </c>
      <c r="H2733" s="364" t="s">
        <v>1209</v>
      </c>
    </row>
    <row r="2734" ht="15.75" customHeight="1">
      <c r="A2734" s="364" t="s">
        <v>74</v>
      </c>
      <c r="B2734" s="364" t="s">
        <v>23</v>
      </c>
      <c r="C2734" s="365" t="s">
        <v>284</v>
      </c>
      <c r="D2734" s="364" t="s">
        <v>285</v>
      </c>
      <c r="E2734" s="366">
        <v>9.0</v>
      </c>
      <c r="F2734" s="367">
        <v>46171.625</v>
      </c>
      <c r="G2734" s="364" t="s">
        <v>1185</v>
      </c>
      <c r="H2734" s="364" t="s">
        <v>1209</v>
      </c>
    </row>
    <row r="2735" ht="15.75" customHeight="1">
      <c r="A2735" s="364" t="s">
        <v>74</v>
      </c>
      <c r="B2735" s="364" t="s">
        <v>23</v>
      </c>
      <c r="C2735" s="365" t="s">
        <v>284</v>
      </c>
      <c r="D2735" s="364" t="s">
        <v>285</v>
      </c>
      <c r="E2735" s="366">
        <v>10.0</v>
      </c>
      <c r="F2735" s="367">
        <v>46185.58333333333</v>
      </c>
      <c r="G2735" s="364" t="s">
        <v>1185</v>
      </c>
      <c r="H2735" s="364" t="s">
        <v>1209</v>
      </c>
    </row>
    <row r="2736" ht="15.75" customHeight="1">
      <c r="A2736" s="364" t="s">
        <v>74</v>
      </c>
      <c r="B2736" s="364" t="s">
        <v>23</v>
      </c>
      <c r="C2736" s="365" t="s">
        <v>284</v>
      </c>
      <c r="D2736" s="364" t="s">
        <v>285</v>
      </c>
      <c r="E2736" s="366">
        <v>11.0</v>
      </c>
      <c r="F2736" s="367">
        <v>46189.45833333333</v>
      </c>
      <c r="G2736" s="364" t="s">
        <v>1185</v>
      </c>
      <c r="H2736" s="364" t="s">
        <v>1209</v>
      </c>
    </row>
    <row r="2737" ht="15.75" customHeight="1">
      <c r="A2737" s="364" t="s">
        <v>74</v>
      </c>
      <c r="B2737" s="364" t="s">
        <v>23</v>
      </c>
      <c r="C2737" s="365" t="s">
        <v>284</v>
      </c>
      <c r="D2737" s="364" t="s">
        <v>285</v>
      </c>
      <c r="E2737" s="366">
        <v>12.0</v>
      </c>
      <c r="F2737" s="367">
        <v>46204.45833333333</v>
      </c>
      <c r="G2737" s="364" t="s">
        <v>1185</v>
      </c>
      <c r="H2737" s="364" t="s">
        <v>1209</v>
      </c>
    </row>
    <row r="2738" ht="15.75" customHeight="1">
      <c r="A2738" s="364" t="s">
        <v>74</v>
      </c>
      <c r="B2738" s="364" t="s">
        <v>23</v>
      </c>
      <c r="C2738" s="365" t="s">
        <v>284</v>
      </c>
      <c r="D2738" s="364" t="s">
        <v>285</v>
      </c>
      <c r="E2738" s="366">
        <v>13.0</v>
      </c>
      <c r="F2738" s="367">
        <v>46210.41666666667</v>
      </c>
      <c r="G2738" s="364" t="s">
        <v>1185</v>
      </c>
      <c r="H2738" s="364" t="s">
        <v>1209</v>
      </c>
    </row>
    <row r="2739" ht="15.75" customHeight="1">
      <c r="A2739" s="364" t="s">
        <v>74</v>
      </c>
      <c r="B2739" s="364" t="s">
        <v>23</v>
      </c>
      <c r="C2739" s="365" t="s">
        <v>278</v>
      </c>
      <c r="D2739" s="364" t="s">
        <v>279</v>
      </c>
      <c r="E2739" s="366">
        <v>2.0</v>
      </c>
      <c r="F2739" s="367">
        <v>46106.41666666667</v>
      </c>
      <c r="G2739" s="364" t="s">
        <v>1185</v>
      </c>
      <c r="H2739" s="364" t="s">
        <v>1209</v>
      </c>
    </row>
    <row r="2740" ht="15.75" customHeight="1">
      <c r="A2740" s="364" t="s">
        <v>74</v>
      </c>
      <c r="B2740" s="364" t="s">
        <v>23</v>
      </c>
      <c r="C2740" s="365" t="s">
        <v>278</v>
      </c>
      <c r="D2740" s="364" t="s">
        <v>279</v>
      </c>
      <c r="E2740" s="366">
        <v>3.0</v>
      </c>
      <c r="F2740" s="367">
        <v>46114.45833333333</v>
      </c>
      <c r="G2740" s="364" t="s">
        <v>1185</v>
      </c>
      <c r="H2740" s="364" t="s">
        <v>1209</v>
      </c>
    </row>
    <row r="2741" ht="15.75" customHeight="1">
      <c r="A2741" s="364" t="s">
        <v>74</v>
      </c>
      <c r="B2741" s="364" t="s">
        <v>23</v>
      </c>
      <c r="C2741" s="365" t="s">
        <v>278</v>
      </c>
      <c r="D2741" s="364" t="s">
        <v>279</v>
      </c>
      <c r="E2741" s="366">
        <v>4.0</v>
      </c>
      <c r="F2741" s="367">
        <v>46119.58333333333</v>
      </c>
      <c r="G2741" s="364" t="s">
        <v>1185</v>
      </c>
      <c r="H2741" s="364" t="s">
        <v>1209</v>
      </c>
    </row>
    <row r="2742" ht="15.75" customHeight="1">
      <c r="A2742" s="364" t="s">
        <v>74</v>
      </c>
      <c r="B2742" s="364" t="s">
        <v>23</v>
      </c>
      <c r="C2742" s="365" t="s">
        <v>278</v>
      </c>
      <c r="D2742" s="364" t="s">
        <v>279</v>
      </c>
      <c r="E2742" s="366">
        <v>5.0</v>
      </c>
      <c r="F2742" s="367">
        <v>46126.41666666667</v>
      </c>
      <c r="G2742" s="364" t="s">
        <v>1185</v>
      </c>
      <c r="H2742" s="364" t="s">
        <v>1209</v>
      </c>
    </row>
    <row r="2743" ht="15.75" customHeight="1">
      <c r="A2743" s="364" t="s">
        <v>74</v>
      </c>
      <c r="B2743" s="364" t="s">
        <v>23</v>
      </c>
      <c r="C2743" s="365" t="s">
        <v>278</v>
      </c>
      <c r="D2743" s="364" t="s">
        <v>279</v>
      </c>
      <c r="E2743" s="366">
        <v>6.0</v>
      </c>
      <c r="F2743" s="367">
        <v>46135.41666666667</v>
      </c>
      <c r="G2743" s="364" t="s">
        <v>1185</v>
      </c>
      <c r="H2743" s="364" t="s">
        <v>1209</v>
      </c>
    </row>
    <row r="2744" ht="15.75" customHeight="1">
      <c r="A2744" s="364" t="s">
        <v>74</v>
      </c>
      <c r="B2744" s="364" t="s">
        <v>23</v>
      </c>
      <c r="C2744" s="365" t="s">
        <v>278</v>
      </c>
      <c r="D2744" s="364" t="s">
        <v>279</v>
      </c>
      <c r="E2744" s="366">
        <v>7.0</v>
      </c>
      <c r="F2744" s="367">
        <v>46157.625</v>
      </c>
      <c r="G2744" s="364" t="s">
        <v>1187</v>
      </c>
      <c r="H2744" s="364" t="s">
        <v>1209</v>
      </c>
    </row>
    <row r="2745" ht="15.75" customHeight="1">
      <c r="A2745" s="364" t="s">
        <v>74</v>
      </c>
      <c r="B2745" s="364" t="s">
        <v>23</v>
      </c>
      <c r="C2745" s="365" t="s">
        <v>278</v>
      </c>
      <c r="D2745" s="364" t="s">
        <v>279</v>
      </c>
      <c r="E2745" s="366">
        <v>8.0</v>
      </c>
      <c r="F2745" s="367">
        <v>46170.41666666667</v>
      </c>
      <c r="G2745" s="364" t="s">
        <v>1187</v>
      </c>
      <c r="H2745" s="364" t="s">
        <v>1209</v>
      </c>
    </row>
    <row r="2746" ht="15.75" customHeight="1">
      <c r="A2746" s="364" t="s">
        <v>74</v>
      </c>
      <c r="B2746" s="364" t="s">
        <v>23</v>
      </c>
      <c r="C2746" s="365" t="s">
        <v>278</v>
      </c>
      <c r="D2746" s="364" t="s">
        <v>279</v>
      </c>
      <c r="E2746" s="366">
        <v>9.0</v>
      </c>
      <c r="F2746" s="367">
        <v>46171.625</v>
      </c>
      <c r="G2746" s="364" t="s">
        <v>1187</v>
      </c>
      <c r="H2746" s="364" t="s">
        <v>1209</v>
      </c>
    </row>
    <row r="2747" ht="15.75" customHeight="1">
      <c r="A2747" s="364" t="s">
        <v>74</v>
      </c>
      <c r="B2747" s="364" t="s">
        <v>23</v>
      </c>
      <c r="C2747" s="365" t="s">
        <v>278</v>
      </c>
      <c r="D2747" s="364" t="s">
        <v>279</v>
      </c>
      <c r="E2747" s="366">
        <v>10.0</v>
      </c>
      <c r="F2747" s="367">
        <v>46185.58333333333</v>
      </c>
      <c r="G2747" s="364" t="s">
        <v>1187</v>
      </c>
      <c r="H2747" s="364" t="s">
        <v>1209</v>
      </c>
    </row>
    <row r="2748" ht="15.75" customHeight="1">
      <c r="A2748" s="364" t="s">
        <v>74</v>
      </c>
      <c r="B2748" s="364" t="s">
        <v>23</v>
      </c>
      <c r="C2748" s="365" t="s">
        <v>278</v>
      </c>
      <c r="D2748" s="364" t="s">
        <v>279</v>
      </c>
      <c r="E2748" s="366">
        <v>11.0</v>
      </c>
      <c r="F2748" s="367">
        <v>46189.45833333333</v>
      </c>
      <c r="G2748" s="364" t="s">
        <v>1187</v>
      </c>
      <c r="H2748" s="364" t="s">
        <v>1209</v>
      </c>
    </row>
    <row r="2749" ht="15.75" customHeight="1">
      <c r="A2749" s="364" t="s">
        <v>74</v>
      </c>
      <c r="B2749" s="364" t="s">
        <v>23</v>
      </c>
      <c r="C2749" s="365" t="s">
        <v>278</v>
      </c>
      <c r="D2749" s="364" t="s">
        <v>279</v>
      </c>
      <c r="E2749" s="366">
        <v>12.0</v>
      </c>
      <c r="F2749" s="367">
        <v>46204.45833333333</v>
      </c>
      <c r="G2749" s="364" t="s">
        <v>1187</v>
      </c>
      <c r="H2749" s="364" t="s">
        <v>1209</v>
      </c>
    </row>
    <row r="2750" ht="15.75" customHeight="1">
      <c r="A2750" s="364" t="s">
        <v>74</v>
      </c>
      <c r="B2750" s="364" t="s">
        <v>23</v>
      </c>
      <c r="C2750" s="365" t="s">
        <v>278</v>
      </c>
      <c r="D2750" s="364" t="s">
        <v>279</v>
      </c>
      <c r="E2750" s="366">
        <v>13.0</v>
      </c>
      <c r="F2750" s="367">
        <v>46210.41666666667</v>
      </c>
      <c r="G2750" s="364" t="s">
        <v>1187</v>
      </c>
      <c r="H2750" s="364" t="s">
        <v>1209</v>
      </c>
    </row>
    <row r="2751" ht="15.75" customHeight="1">
      <c r="A2751" s="364" t="s">
        <v>74</v>
      </c>
      <c r="B2751" s="364" t="s">
        <v>23</v>
      </c>
      <c r="C2751" s="365" t="s">
        <v>286</v>
      </c>
      <c r="D2751" s="364" t="s">
        <v>287</v>
      </c>
      <c r="E2751" s="366">
        <v>2.0</v>
      </c>
      <c r="F2751" s="367">
        <v>46106.41666666667</v>
      </c>
      <c r="G2751" s="364" t="s">
        <v>1187</v>
      </c>
      <c r="H2751" s="364" t="s">
        <v>1209</v>
      </c>
    </row>
    <row r="2752" ht="15.75" customHeight="1">
      <c r="A2752" s="364" t="s">
        <v>74</v>
      </c>
      <c r="B2752" s="364" t="s">
        <v>23</v>
      </c>
      <c r="C2752" s="365" t="s">
        <v>286</v>
      </c>
      <c r="D2752" s="364" t="s">
        <v>287</v>
      </c>
      <c r="E2752" s="366">
        <v>3.0</v>
      </c>
      <c r="F2752" s="367">
        <v>46114.45833333333</v>
      </c>
      <c r="G2752" s="364" t="s">
        <v>1187</v>
      </c>
      <c r="H2752" s="364" t="s">
        <v>1209</v>
      </c>
    </row>
    <row r="2753" ht="15.75" customHeight="1">
      <c r="A2753" s="364" t="s">
        <v>74</v>
      </c>
      <c r="B2753" s="364" t="s">
        <v>23</v>
      </c>
      <c r="C2753" s="365" t="s">
        <v>286</v>
      </c>
      <c r="D2753" s="364" t="s">
        <v>287</v>
      </c>
      <c r="E2753" s="366">
        <v>4.0</v>
      </c>
      <c r="F2753" s="367">
        <v>46119.58333333333</v>
      </c>
      <c r="G2753" s="364" t="s">
        <v>1187</v>
      </c>
      <c r="H2753" s="364" t="s">
        <v>1209</v>
      </c>
    </row>
    <row r="2754" ht="15.75" customHeight="1">
      <c r="A2754" s="364" t="s">
        <v>74</v>
      </c>
      <c r="B2754" s="364" t="s">
        <v>23</v>
      </c>
      <c r="C2754" s="365" t="s">
        <v>286</v>
      </c>
      <c r="D2754" s="364" t="s">
        <v>287</v>
      </c>
      <c r="E2754" s="366">
        <v>5.0</v>
      </c>
      <c r="F2754" s="367">
        <v>46126.41666666667</v>
      </c>
      <c r="G2754" s="364" t="s">
        <v>1187</v>
      </c>
      <c r="H2754" s="364" t="s">
        <v>1209</v>
      </c>
    </row>
    <row r="2755" ht="15.75" customHeight="1">
      <c r="A2755" s="364" t="s">
        <v>74</v>
      </c>
      <c r="B2755" s="364" t="s">
        <v>23</v>
      </c>
      <c r="C2755" s="365" t="s">
        <v>286</v>
      </c>
      <c r="D2755" s="364" t="s">
        <v>287</v>
      </c>
      <c r="E2755" s="366">
        <v>6.0</v>
      </c>
      <c r="F2755" s="367">
        <v>46135.41666666667</v>
      </c>
      <c r="G2755" s="364" t="s">
        <v>1187</v>
      </c>
      <c r="H2755" s="364" t="s">
        <v>1209</v>
      </c>
    </row>
    <row r="2756" ht="15.75" customHeight="1">
      <c r="A2756" s="364" t="s">
        <v>74</v>
      </c>
      <c r="B2756" s="364" t="s">
        <v>23</v>
      </c>
      <c r="C2756" s="365" t="s">
        <v>286</v>
      </c>
      <c r="D2756" s="364" t="s">
        <v>287</v>
      </c>
      <c r="E2756" s="366">
        <v>7.0</v>
      </c>
      <c r="F2756" s="367">
        <v>46157.625</v>
      </c>
      <c r="G2756" s="364" t="s">
        <v>1187</v>
      </c>
      <c r="H2756" s="364" t="s">
        <v>1209</v>
      </c>
    </row>
    <row r="2757" ht="15.75" customHeight="1">
      <c r="A2757" s="364" t="s">
        <v>74</v>
      </c>
      <c r="B2757" s="364" t="s">
        <v>23</v>
      </c>
      <c r="C2757" s="365" t="s">
        <v>286</v>
      </c>
      <c r="D2757" s="364" t="s">
        <v>287</v>
      </c>
      <c r="E2757" s="366">
        <v>8.0</v>
      </c>
      <c r="F2757" s="367">
        <v>46170.41666666667</v>
      </c>
      <c r="G2757" s="364" t="s">
        <v>1187</v>
      </c>
      <c r="H2757" s="364" t="s">
        <v>1209</v>
      </c>
    </row>
    <row r="2758" ht="15.75" customHeight="1">
      <c r="A2758" s="364" t="s">
        <v>74</v>
      </c>
      <c r="B2758" s="364" t="s">
        <v>23</v>
      </c>
      <c r="C2758" s="365" t="s">
        <v>286</v>
      </c>
      <c r="D2758" s="364" t="s">
        <v>287</v>
      </c>
      <c r="E2758" s="366">
        <v>9.0</v>
      </c>
      <c r="F2758" s="367">
        <v>46171.625</v>
      </c>
      <c r="G2758" s="364" t="s">
        <v>1187</v>
      </c>
      <c r="H2758" s="364" t="s">
        <v>1209</v>
      </c>
    </row>
    <row r="2759" ht="15.75" customHeight="1">
      <c r="A2759" s="364" t="s">
        <v>74</v>
      </c>
      <c r="B2759" s="364" t="s">
        <v>23</v>
      </c>
      <c r="C2759" s="365" t="s">
        <v>286</v>
      </c>
      <c r="D2759" s="364" t="s">
        <v>287</v>
      </c>
      <c r="E2759" s="366">
        <v>10.0</v>
      </c>
      <c r="F2759" s="367">
        <v>46185.58333333333</v>
      </c>
      <c r="G2759" s="364" t="s">
        <v>1187</v>
      </c>
      <c r="H2759" s="364" t="s">
        <v>1209</v>
      </c>
    </row>
    <row r="2760" ht="15.75" customHeight="1">
      <c r="A2760" s="364" t="s">
        <v>74</v>
      </c>
      <c r="B2760" s="364" t="s">
        <v>23</v>
      </c>
      <c r="C2760" s="365" t="s">
        <v>286</v>
      </c>
      <c r="D2760" s="364" t="s">
        <v>287</v>
      </c>
      <c r="E2760" s="366">
        <v>11.0</v>
      </c>
      <c r="F2760" s="367">
        <v>46189.45833333333</v>
      </c>
      <c r="G2760" s="364" t="s">
        <v>1187</v>
      </c>
      <c r="H2760" s="364" t="s">
        <v>1209</v>
      </c>
    </row>
    <row r="2761" ht="15.75" customHeight="1">
      <c r="A2761" s="364" t="s">
        <v>74</v>
      </c>
      <c r="B2761" s="364" t="s">
        <v>23</v>
      </c>
      <c r="C2761" s="365" t="s">
        <v>286</v>
      </c>
      <c r="D2761" s="364" t="s">
        <v>287</v>
      </c>
      <c r="E2761" s="366">
        <v>13.0</v>
      </c>
      <c r="F2761" s="367">
        <v>46210.41666666667</v>
      </c>
      <c r="G2761" s="364" t="s">
        <v>1187</v>
      </c>
      <c r="H2761" s="364" t="s">
        <v>1209</v>
      </c>
    </row>
    <row r="2762" ht="15.75" customHeight="1">
      <c r="A2762" s="364" t="s">
        <v>74</v>
      </c>
      <c r="B2762" s="364" t="s">
        <v>26</v>
      </c>
      <c r="C2762" s="365" t="s">
        <v>274</v>
      </c>
      <c r="D2762" s="364" t="s">
        <v>275</v>
      </c>
      <c r="E2762" s="366">
        <v>1.0</v>
      </c>
      <c r="F2762" s="367">
        <v>45818.375</v>
      </c>
      <c r="G2762" s="364" t="s">
        <v>1185</v>
      </c>
      <c r="H2762" s="364" t="s">
        <v>1209</v>
      </c>
    </row>
    <row r="2763" ht="15.75" customHeight="1">
      <c r="A2763" s="364" t="s">
        <v>74</v>
      </c>
      <c r="B2763" s="364" t="s">
        <v>26</v>
      </c>
      <c r="C2763" s="365" t="s">
        <v>274</v>
      </c>
      <c r="D2763" s="364" t="s">
        <v>275</v>
      </c>
      <c r="E2763" s="366">
        <v>2.0</v>
      </c>
      <c r="F2763" s="367">
        <v>45827.375</v>
      </c>
      <c r="G2763" s="364" t="s">
        <v>1185</v>
      </c>
      <c r="H2763" s="364" t="s">
        <v>1209</v>
      </c>
    </row>
    <row r="2764" ht="15.75" customHeight="1">
      <c r="A2764" s="364" t="s">
        <v>74</v>
      </c>
      <c r="B2764" s="364" t="s">
        <v>26</v>
      </c>
      <c r="C2764" s="365" t="s">
        <v>274</v>
      </c>
      <c r="D2764" s="364" t="s">
        <v>275</v>
      </c>
      <c r="E2764" s="366">
        <v>3.0</v>
      </c>
      <c r="F2764" s="367">
        <v>45831.375</v>
      </c>
      <c r="G2764" s="364" t="s">
        <v>1185</v>
      </c>
      <c r="H2764" s="364" t="s">
        <v>1209</v>
      </c>
    </row>
    <row r="2765" ht="15.75" customHeight="1">
      <c r="A2765" s="364" t="s">
        <v>74</v>
      </c>
      <c r="B2765" s="364" t="s">
        <v>26</v>
      </c>
      <c r="C2765" s="365" t="s">
        <v>274</v>
      </c>
      <c r="D2765" s="364" t="s">
        <v>275</v>
      </c>
      <c r="E2765" s="366">
        <v>4.0</v>
      </c>
      <c r="F2765" s="367">
        <v>45840.45833333333</v>
      </c>
      <c r="G2765" s="364" t="s">
        <v>1185</v>
      </c>
      <c r="H2765" s="364" t="s">
        <v>1209</v>
      </c>
    </row>
    <row r="2766" ht="15.75" customHeight="1">
      <c r="A2766" s="364" t="s">
        <v>74</v>
      </c>
      <c r="B2766" s="364" t="s">
        <v>26</v>
      </c>
      <c r="C2766" s="365" t="s">
        <v>274</v>
      </c>
      <c r="D2766" s="364" t="s">
        <v>275</v>
      </c>
      <c r="E2766" s="366">
        <v>5.0</v>
      </c>
      <c r="F2766" s="367">
        <v>45852.45833333333</v>
      </c>
      <c r="G2766" s="364" t="s">
        <v>1185</v>
      </c>
      <c r="H2766" s="364" t="s">
        <v>1209</v>
      </c>
    </row>
    <row r="2767" ht="15.75" customHeight="1">
      <c r="A2767" s="364" t="s">
        <v>74</v>
      </c>
      <c r="B2767" s="364" t="s">
        <v>26</v>
      </c>
      <c r="C2767" s="365" t="s">
        <v>274</v>
      </c>
      <c r="D2767" s="364" t="s">
        <v>275</v>
      </c>
      <c r="E2767" s="366">
        <v>6.0</v>
      </c>
      <c r="F2767" s="367">
        <v>45855.45833333333</v>
      </c>
      <c r="G2767" s="364" t="s">
        <v>1185</v>
      </c>
      <c r="H2767" s="364" t="s">
        <v>1209</v>
      </c>
    </row>
    <row r="2768" ht="15.75" customHeight="1">
      <c r="A2768" s="364" t="s">
        <v>74</v>
      </c>
      <c r="B2768" s="364" t="s">
        <v>26</v>
      </c>
      <c r="C2768" s="365" t="s">
        <v>274</v>
      </c>
      <c r="D2768" s="364" t="s">
        <v>275</v>
      </c>
      <c r="E2768" s="366">
        <v>7.0</v>
      </c>
      <c r="F2768" s="367">
        <v>45866.45833333333</v>
      </c>
      <c r="G2768" s="364" t="s">
        <v>1185</v>
      </c>
      <c r="H2768" s="364" t="s">
        <v>1209</v>
      </c>
    </row>
    <row r="2769" ht="15.75" customHeight="1">
      <c r="A2769" s="364" t="s">
        <v>74</v>
      </c>
      <c r="B2769" s="364" t="s">
        <v>26</v>
      </c>
      <c r="C2769" s="365" t="s">
        <v>274</v>
      </c>
      <c r="D2769" s="364" t="s">
        <v>275</v>
      </c>
      <c r="E2769" s="366">
        <v>8.0</v>
      </c>
      <c r="F2769" s="367">
        <v>45881.625</v>
      </c>
      <c r="G2769" s="364" t="s">
        <v>1185</v>
      </c>
      <c r="H2769" s="364" t="s">
        <v>1209</v>
      </c>
    </row>
    <row r="2770" ht="15.75" customHeight="1">
      <c r="A2770" s="364" t="s">
        <v>74</v>
      </c>
      <c r="B2770" s="364" t="s">
        <v>26</v>
      </c>
      <c r="C2770" s="365" t="s">
        <v>274</v>
      </c>
      <c r="D2770" s="364" t="s">
        <v>275</v>
      </c>
      <c r="E2770" s="366">
        <v>9.0</v>
      </c>
      <c r="F2770" s="367">
        <v>45884.58333333333</v>
      </c>
      <c r="G2770" s="364" t="s">
        <v>1185</v>
      </c>
      <c r="H2770" s="364" t="s">
        <v>1209</v>
      </c>
    </row>
    <row r="2771" ht="15.75" customHeight="1">
      <c r="A2771" s="364" t="s">
        <v>74</v>
      </c>
      <c r="B2771" s="364" t="s">
        <v>26</v>
      </c>
      <c r="C2771" s="365" t="s">
        <v>274</v>
      </c>
      <c r="D2771" s="364" t="s">
        <v>275</v>
      </c>
      <c r="E2771" s="366">
        <v>10.0</v>
      </c>
      <c r="F2771" s="367">
        <v>45884.625</v>
      </c>
      <c r="G2771" s="364" t="s">
        <v>1185</v>
      </c>
      <c r="H2771" s="364" t="s">
        <v>1209</v>
      </c>
    </row>
    <row r="2772" ht="15.75" customHeight="1">
      <c r="A2772" s="364" t="s">
        <v>74</v>
      </c>
      <c r="B2772" s="364" t="s">
        <v>26</v>
      </c>
      <c r="C2772" s="365" t="s">
        <v>274</v>
      </c>
      <c r="D2772" s="364" t="s">
        <v>275</v>
      </c>
      <c r="E2772" s="366">
        <v>11.0</v>
      </c>
      <c r="F2772" s="367">
        <v>45887.41666666667</v>
      </c>
      <c r="G2772" s="364" t="s">
        <v>1185</v>
      </c>
      <c r="H2772" s="364" t="s">
        <v>1209</v>
      </c>
    </row>
    <row r="2773" ht="15.75" customHeight="1">
      <c r="A2773" s="364" t="s">
        <v>74</v>
      </c>
      <c r="B2773" s="364" t="s">
        <v>26</v>
      </c>
      <c r="C2773" s="365" t="s">
        <v>274</v>
      </c>
      <c r="D2773" s="364" t="s">
        <v>275</v>
      </c>
      <c r="E2773" s="366">
        <v>12.0</v>
      </c>
      <c r="F2773" s="367">
        <v>45903.45833333333</v>
      </c>
      <c r="G2773" s="364" t="s">
        <v>1185</v>
      </c>
      <c r="H2773" s="364" t="s">
        <v>1209</v>
      </c>
    </row>
    <row r="2774" ht="15.75" customHeight="1">
      <c r="A2774" s="364" t="s">
        <v>74</v>
      </c>
      <c r="B2774" s="364" t="s">
        <v>26</v>
      </c>
      <c r="C2774" s="365" t="s">
        <v>274</v>
      </c>
      <c r="D2774" s="364" t="s">
        <v>275</v>
      </c>
      <c r="E2774" s="366">
        <v>13.0</v>
      </c>
      <c r="F2774" s="367">
        <v>45904.45833333333</v>
      </c>
      <c r="G2774" s="364" t="s">
        <v>1185</v>
      </c>
      <c r="H2774" s="364" t="s">
        <v>1209</v>
      </c>
    </row>
    <row r="2775" ht="15.75" customHeight="1">
      <c r="A2775" s="364" t="s">
        <v>74</v>
      </c>
      <c r="B2775" s="364" t="s">
        <v>26</v>
      </c>
      <c r="C2775" s="365" t="s">
        <v>274</v>
      </c>
      <c r="D2775" s="364" t="s">
        <v>275</v>
      </c>
      <c r="E2775" s="366">
        <v>14.0</v>
      </c>
      <c r="F2775" s="367">
        <v>45909.45833333333</v>
      </c>
      <c r="G2775" s="364" t="s">
        <v>1185</v>
      </c>
      <c r="H2775" s="364" t="s">
        <v>1209</v>
      </c>
    </row>
    <row r="2776" ht="15.75" customHeight="1">
      <c r="A2776" s="364" t="s">
        <v>74</v>
      </c>
      <c r="B2776" s="364" t="s">
        <v>26</v>
      </c>
      <c r="C2776" s="365" t="s">
        <v>274</v>
      </c>
      <c r="D2776" s="364" t="s">
        <v>275</v>
      </c>
      <c r="E2776" s="366">
        <v>15.0</v>
      </c>
      <c r="F2776" s="367">
        <v>45989.625</v>
      </c>
      <c r="G2776" s="364" t="s">
        <v>1185</v>
      </c>
      <c r="H2776" s="364" t="s">
        <v>1209</v>
      </c>
    </row>
    <row r="2777" ht="15.75" customHeight="1">
      <c r="A2777" s="364" t="s">
        <v>74</v>
      </c>
      <c r="B2777" s="364" t="s">
        <v>26</v>
      </c>
      <c r="C2777" s="365" t="s">
        <v>274</v>
      </c>
      <c r="D2777" s="364" t="s">
        <v>275</v>
      </c>
      <c r="E2777" s="366">
        <v>16.0</v>
      </c>
      <c r="F2777" s="367">
        <v>46041.41666666667</v>
      </c>
      <c r="G2777" s="364" t="s">
        <v>1185</v>
      </c>
      <c r="H2777" s="364" t="s">
        <v>1209</v>
      </c>
    </row>
    <row r="2778" ht="15.75" customHeight="1">
      <c r="A2778" s="364" t="s">
        <v>74</v>
      </c>
      <c r="B2778" s="364" t="s">
        <v>26</v>
      </c>
      <c r="C2778" s="365" t="s">
        <v>276</v>
      </c>
      <c r="D2778" s="364" t="s">
        <v>277</v>
      </c>
      <c r="E2778" s="366">
        <v>1.0</v>
      </c>
      <c r="F2778" s="367">
        <v>45818.375</v>
      </c>
      <c r="G2778" s="364" t="s">
        <v>1185</v>
      </c>
      <c r="H2778" s="364" t="s">
        <v>1209</v>
      </c>
    </row>
    <row r="2779" ht="15.75" customHeight="1">
      <c r="A2779" s="364" t="s">
        <v>74</v>
      </c>
      <c r="B2779" s="364" t="s">
        <v>26</v>
      </c>
      <c r="C2779" s="365" t="s">
        <v>276</v>
      </c>
      <c r="D2779" s="364" t="s">
        <v>277</v>
      </c>
      <c r="E2779" s="366">
        <v>2.0</v>
      </c>
      <c r="F2779" s="367">
        <v>45827.375</v>
      </c>
      <c r="G2779" s="364" t="s">
        <v>1185</v>
      </c>
      <c r="H2779" s="364" t="s">
        <v>1209</v>
      </c>
    </row>
    <row r="2780" ht="15.75" customHeight="1">
      <c r="A2780" s="364" t="s">
        <v>74</v>
      </c>
      <c r="B2780" s="364" t="s">
        <v>26</v>
      </c>
      <c r="C2780" s="365" t="s">
        <v>276</v>
      </c>
      <c r="D2780" s="364" t="s">
        <v>277</v>
      </c>
      <c r="E2780" s="366">
        <v>3.0</v>
      </c>
      <c r="F2780" s="367">
        <v>45831.375</v>
      </c>
      <c r="G2780" s="364" t="s">
        <v>1187</v>
      </c>
      <c r="H2780" s="364" t="s">
        <v>1209</v>
      </c>
    </row>
    <row r="2781" ht="15.75" customHeight="1">
      <c r="A2781" s="364" t="s">
        <v>74</v>
      </c>
      <c r="B2781" s="364" t="s">
        <v>26</v>
      </c>
      <c r="C2781" s="365" t="s">
        <v>276</v>
      </c>
      <c r="D2781" s="364" t="s">
        <v>277</v>
      </c>
      <c r="E2781" s="366">
        <v>4.0</v>
      </c>
      <c r="F2781" s="367">
        <v>45840.45833333333</v>
      </c>
      <c r="G2781" s="364" t="s">
        <v>1185</v>
      </c>
      <c r="H2781" s="364" t="s">
        <v>1209</v>
      </c>
    </row>
    <row r="2782" ht="15.75" customHeight="1">
      <c r="A2782" s="364" t="s">
        <v>74</v>
      </c>
      <c r="B2782" s="364" t="s">
        <v>26</v>
      </c>
      <c r="C2782" s="365" t="s">
        <v>276</v>
      </c>
      <c r="D2782" s="364" t="s">
        <v>277</v>
      </c>
      <c r="E2782" s="366">
        <v>5.0</v>
      </c>
      <c r="F2782" s="367">
        <v>45852.45833333333</v>
      </c>
      <c r="G2782" s="364" t="s">
        <v>1185</v>
      </c>
      <c r="H2782" s="364" t="s">
        <v>1209</v>
      </c>
    </row>
    <row r="2783" ht="15.75" customHeight="1">
      <c r="A2783" s="364" t="s">
        <v>74</v>
      </c>
      <c r="B2783" s="364" t="s">
        <v>26</v>
      </c>
      <c r="C2783" s="365" t="s">
        <v>276</v>
      </c>
      <c r="D2783" s="364" t="s">
        <v>277</v>
      </c>
      <c r="E2783" s="366">
        <v>6.0</v>
      </c>
      <c r="F2783" s="367">
        <v>45855.45833333333</v>
      </c>
      <c r="G2783" s="364" t="s">
        <v>1185</v>
      </c>
      <c r="H2783" s="364" t="s">
        <v>1209</v>
      </c>
    </row>
    <row r="2784" ht="15.75" customHeight="1">
      <c r="A2784" s="364" t="s">
        <v>74</v>
      </c>
      <c r="B2784" s="364" t="s">
        <v>26</v>
      </c>
      <c r="C2784" s="365" t="s">
        <v>276</v>
      </c>
      <c r="D2784" s="364" t="s">
        <v>277</v>
      </c>
      <c r="E2784" s="366">
        <v>7.0</v>
      </c>
      <c r="F2784" s="367">
        <v>45866.45833333333</v>
      </c>
      <c r="G2784" s="364" t="s">
        <v>1185</v>
      </c>
      <c r="H2784" s="364" t="s">
        <v>1209</v>
      </c>
    </row>
    <row r="2785" ht="15.75" customHeight="1">
      <c r="A2785" s="364" t="s">
        <v>74</v>
      </c>
      <c r="B2785" s="364" t="s">
        <v>26</v>
      </c>
      <c r="C2785" s="365" t="s">
        <v>276</v>
      </c>
      <c r="D2785" s="364" t="s">
        <v>277</v>
      </c>
      <c r="E2785" s="366">
        <v>8.0</v>
      </c>
      <c r="F2785" s="367">
        <v>45881.625</v>
      </c>
      <c r="G2785" s="364" t="s">
        <v>1185</v>
      </c>
      <c r="H2785" s="364" t="s">
        <v>1209</v>
      </c>
    </row>
    <row r="2786" ht="15.75" customHeight="1">
      <c r="A2786" s="364" t="s">
        <v>74</v>
      </c>
      <c r="B2786" s="364" t="s">
        <v>26</v>
      </c>
      <c r="C2786" s="365" t="s">
        <v>276</v>
      </c>
      <c r="D2786" s="364" t="s">
        <v>277</v>
      </c>
      <c r="E2786" s="366">
        <v>9.0</v>
      </c>
      <c r="F2786" s="367">
        <v>45884.58333333333</v>
      </c>
      <c r="G2786" s="364" t="s">
        <v>1185</v>
      </c>
      <c r="H2786" s="364" t="s">
        <v>1209</v>
      </c>
    </row>
    <row r="2787" ht="15.75" customHeight="1">
      <c r="A2787" s="364" t="s">
        <v>74</v>
      </c>
      <c r="B2787" s="364" t="s">
        <v>26</v>
      </c>
      <c r="C2787" s="365" t="s">
        <v>276</v>
      </c>
      <c r="D2787" s="364" t="s">
        <v>277</v>
      </c>
      <c r="E2787" s="366">
        <v>10.0</v>
      </c>
      <c r="F2787" s="367">
        <v>45884.625</v>
      </c>
      <c r="G2787" s="364" t="s">
        <v>1185</v>
      </c>
      <c r="H2787" s="364" t="s">
        <v>1209</v>
      </c>
    </row>
    <row r="2788" ht="15.75" customHeight="1">
      <c r="A2788" s="364" t="s">
        <v>74</v>
      </c>
      <c r="B2788" s="364" t="s">
        <v>26</v>
      </c>
      <c r="C2788" s="365" t="s">
        <v>276</v>
      </c>
      <c r="D2788" s="364" t="s">
        <v>277</v>
      </c>
      <c r="E2788" s="366">
        <v>11.0</v>
      </c>
      <c r="F2788" s="367">
        <v>45887.41666666667</v>
      </c>
      <c r="G2788" s="364" t="s">
        <v>1185</v>
      </c>
      <c r="H2788" s="364" t="s">
        <v>1209</v>
      </c>
    </row>
    <row r="2789" ht="15.75" customHeight="1">
      <c r="A2789" s="364" t="s">
        <v>74</v>
      </c>
      <c r="B2789" s="364" t="s">
        <v>26</v>
      </c>
      <c r="C2789" s="365" t="s">
        <v>276</v>
      </c>
      <c r="D2789" s="364" t="s">
        <v>277</v>
      </c>
      <c r="E2789" s="366">
        <v>12.0</v>
      </c>
      <c r="F2789" s="367">
        <v>45903.45833333333</v>
      </c>
      <c r="G2789" s="364" t="s">
        <v>1185</v>
      </c>
      <c r="H2789" s="364" t="s">
        <v>1209</v>
      </c>
    </row>
    <row r="2790" ht="15.75" customHeight="1">
      <c r="A2790" s="364" t="s">
        <v>74</v>
      </c>
      <c r="B2790" s="364" t="s">
        <v>26</v>
      </c>
      <c r="C2790" s="365" t="s">
        <v>276</v>
      </c>
      <c r="D2790" s="364" t="s">
        <v>277</v>
      </c>
      <c r="E2790" s="366">
        <v>13.0</v>
      </c>
      <c r="F2790" s="367">
        <v>45904.45833333333</v>
      </c>
      <c r="G2790" s="364" t="s">
        <v>1185</v>
      </c>
      <c r="H2790" s="364" t="s">
        <v>1209</v>
      </c>
    </row>
    <row r="2791" ht="15.75" customHeight="1">
      <c r="A2791" s="364" t="s">
        <v>74</v>
      </c>
      <c r="B2791" s="364" t="s">
        <v>26</v>
      </c>
      <c r="C2791" s="365" t="s">
        <v>276</v>
      </c>
      <c r="D2791" s="364" t="s">
        <v>277</v>
      </c>
      <c r="E2791" s="366">
        <v>14.0</v>
      </c>
      <c r="F2791" s="367">
        <v>45909.45833333333</v>
      </c>
      <c r="G2791" s="364" t="s">
        <v>1185</v>
      </c>
      <c r="H2791" s="364" t="s">
        <v>1209</v>
      </c>
    </row>
    <row r="2792" ht="15.75" customHeight="1">
      <c r="A2792" s="364" t="s">
        <v>74</v>
      </c>
      <c r="B2792" s="364" t="s">
        <v>26</v>
      </c>
      <c r="C2792" s="365" t="s">
        <v>276</v>
      </c>
      <c r="D2792" s="364" t="s">
        <v>277</v>
      </c>
      <c r="E2792" s="366">
        <v>15.0</v>
      </c>
      <c r="F2792" s="367">
        <v>45989.625</v>
      </c>
      <c r="G2792" s="364" t="s">
        <v>1185</v>
      </c>
      <c r="H2792" s="364" t="s">
        <v>1209</v>
      </c>
    </row>
    <row r="2793" ht="15.75" customHeight="1">
      <c r="A2793" s="364" t="s">
        <v>74</v>
      </c>
      <c r="B2793" s="364" t="s">
        <v>26</v>
      </c>
      <c r="C2793" s="365" t="s">
        <v>276</v>
      </c>
      <c r="D2793" s="364" t="s">
        <v>277</v>
      </c>
      <c r="E2793" s="366">
        <v>16.0</v>
      </c>
      <c r="F2793" s="367">
        <v>46041.41666666667</v>
      </c>
      <c r="G2793" s="364" t="s">
        <v>1185</v>
      </c>
      <c r="H2793" s="364" t="s">
        <v>1209</v>
      </c>
    </row>
    <row r="2794" ht="15.75" customHeight="1">
      <c r="A2794" s="364" t="s">
        <v>74</v>
      </c>
      <c r="B2794" s="364" t="s">
        <v>26</v>
      </c>
      <c r="C2794" s="365" t="s">
        <v>278</v>
      </c>
      <c r="D2794" s="364" t="s">
        <v>279</v>
      </c>
      <c r="E2794" s="366">
        <v>1.0</v>
      </c>
      <c r="F2794" s="367">
        <v>45818.375</v>
      </c>
      <c r="G2794" s="364" t="s">
        <v>1185</v>
      </c>
      <c r="H2794" s="364" t="s">
        <v>1209</v>
      </c>
    </row>
    <row r="2795" ht="15.75" customHeight="1">
      <c r="A2795" s="364" t="s">
        <v>74</v>
      </c>
      <c r="B2795" s="364" t="s">
        <v>26</v>
      </c>
      <c r="C2795" s="365" t="s">
        <v>278</v>
      </c>
      <c r="D2795" s="364" t="s">
        <v>279</v>
      </c>
      <c r="E2795" s="366">
        <v>2.0</v>
      </c>
      <c r="F2795" s="367">
        <v>45827.375</v>
      </c>
      <c r="G2795" s="364" t="s">
        <v>1185</v>
      </c>
      <c r="H2795" s="364" t="s">
        <v>1209</v>
      </c>
    </row>
    <row r="2796" ht="15.75" customHeight="1">
      <c r="A2796" s="364" t="s">
        <v>74</v>
      </c>
      <c r="B2796" s="364" t="s">
        <v>26</v>
      </c>
      <c r="C2796" s="365" t="s">
        <v>278</v>
      </c>
      <c r="D2796" s="364" t="s">
        <v>279</v>
      </c>
      <c r="E2796" s="366">
        <v>3.0</v>
      </c>
      <c r="F2796" s="367">
        <v>45831.375</v>
      </c>
      <c r="G2796" s="364" t="s">
        <v>1187</v>
      </c>
      <c r="H2796" s="364" t="s">
        <v>1209</v>
      </c>
    </row>
    <row r="2797" ht="15.75" customHeight="1">
      <c r="A2797" s="364" t="s">
        <v>74</v>
      </c>
      <c r="B2797" s="364" t="s">
        <v>26</v>
      </c>
      <c r="C2797" s="365" t="s">
        <v>278</v>
      </c>
      <c r="D2797" s="364" t="s">
        <v>279</v>
      </c>
      <c r="E2797" s="366">
        <v>4.0</v>
      </c>
      <c r="F2797" s="367">
        <v>45840.45833333333</v>
      </c>
      <c r="G2797" s="364" t="s">
        <v>1185</v>
      </c>
      <c r="H2797" s="364" t="s">
        <v>1209</v>
      </c>
    </row>
    <row r="2798" ht="15.75" customHeight="1">
      <c r="A2798" s="364" t="s">
        <v>74</v>
      </c>
      <c r="B2798" s="364" t="s">
        <v>26</v>
      </c>
      <c r="C2798" s="365" t="s">
        <v>278</v>
      </c>
      <c r="D2798" s="364" t="s">
        <v>279</v>
      </c>
      <c r="E2798" s="366">
        <v>5.0</v>
      </c>
      <c r="F2798" s="367">
        <v>45852.45833333333</v>
      </c>
      <c r="G2798" s="364" t="s">
        <v>1185</v>
      </c>
      <c r="H2798" s="364" t="s">
        <v>1209</v>
      </c>
    </row>
    <row r="2799" ht="15.75" customHeight="1">
      <c r="A2799" s="364" t="s">
        <v>74</v>
      </c>
      <c r="B2799" s="364" t="s">
        <v>26</v>
      </c>
      <c r="C2799" s="365" t="s">
        <v>278</v>
      </c>
      <c r="D2799" s="364" t="s">
        <v>279</v>
      </c>
      <c r="E2799" s="366">
        <v>6.0</v>
      </c>
      <c r="F2799" s="367">
        <v>45855.45833333333</v>
      </c>
      <c r="G2799" s="364" t="s">
        <v>1185</v>
      </c>
      <c r="H2799" s="364" t="s">
        <v>1209</v>
      </c>
    </row>
    <row r="2800" ht="15.75" customHeight="1">
      <c r="A2800" s="364" t="s">
        <v>74</v>
      </c>
      <c r="B2800" s="364" t="s">
        <v>26</v>
      </c>
      <c r="C2800" s="365" t="s">
        <v>278</v>
      </c>
      <c r="D2800" s="364" t="s">
        <v>279</v>
      </c>
      <c r="E2800" s="366">
        <v>7.0</v>
      </c>
      <c r="F2800" s="367">
        <v>45866.45833333333</v>
      </c>
      <c r="G2800" s="364" t="s">
        <v>1185</v>
      </c>
      <c r="H2800" s="364" t="s">
        <v>1209</v>
      </c>
    </row>
    <row r="2801" ht="15.75" customHeight="1">
      <c r="A2801" s="364" t="s">
        <v>74</v>
      </c>
      <c r="B2801" s="364" t="s">
        <v>26</v>
      </c>
      <c r="C2801" s="365" t="s">
        <v>278</v>
      </c>
      <c r="D2801" s="364" t="s">
        <v>279</v>
      </c>
      <c r="E2801" s="366">
        <v>8.0</v>
      </c>
      <c r="F2801" s="367">
        <v>45881.625</v>
      </c>
      <c r="G2801" s="364" t="s">
        <v>1185</v>
      </c>
      <c r="H2801" s="364" t="s">
        <v>1209</v>
      </c>
    </row>
    <row r="2802" ht="15.75" customHeight="1">
      <c r="A2802" s="364" t="s">
        <v>74</v>
      </c>
      <c r="B2802" s="364" t="s">
        <v>26</v>
      </c>
      <c r="C2802" s="365" t="s">
        <v>278</v>
      </c>
      <c r="D2802" s="364" t="s">
        <v>279</v>
      </c>
      <c r="E2802" s="366">
        <v>9.0</v>
      </c>
      <c r="F2802" s="367">
        <v>45884.58333333333</v>
      </c>
      <c r="G2802" s="364" t="s">
        <v>1185</v>
      </c>
      <c r="H2802" s="364" t="s">
        <v>1209</v>
      </c>
    </row>
    <row r="2803" ht="15.75" customHeight="1">
      <c r="A2803" s="364" t="s">
        <v>74</v>
      </c>
      <c r="B2803" s="364" t="s">
        <v>26</v>
      </c>
      <c r="C2803" s="365" t="s">
        <v>278</v>
      </c>
      <c r="D2803" s="364" t="s">
        <v>279</v>
      </c>
      <c r="E2803" s="366">
        <v>10.0</v>
      </c>
      <c r="F2803" s="367">
        <v>45884.625</v>
      </c>
      <c r="G2803" s="364" t="s">
        <v>1185</v>
      </c>
      <c r="H2803" s="364" t="s">
        <v>1209</v>
      </c>
    </row>
    <row r="2804" ht="15.75" customHeight="1">
      <c r="A2804" s="364" t="s">
        <v>74</v>
      </c>
      <c r="B2804" s="364" t="s">
        <v>26</v>
      </c>
      <c r="C2804" s="365" t="s">
        <v>278</v>
      </c>
      <c r="D2804" s="364" t="s">
        <v>279</v>
      </c>
      <c r="E2804" s="366">
        <v>11.0</v>
      </c>
      <c r="F2804" s="367">
        <v>45887.41666666667</v>
      </c>
      <c r="G2804" s="364" t="s">
        <v>1185</v>
      </c>
      <c r="H2804" s="364" t="s">
        <v>1209</v>
      </c>
    </row>
    <row r="2805" ht="15.75" customHeight="1">
      <c r="A2805" s="364" t="s">
        <v>74</v>
      </c>
      <c r="B2805" s="364" t="s">
        <v>26</v>
      </c>
      <c r="C2805" s="365" t="s">
        <v>278</v>
      </c>
      <c r="D2805" s="364" t="s">
        <v>279</v>
      </c>
      <c r="E2805" s="366">
        <v>12.0</v>
      </c>
      <c r="F2805" s="367">
        <v>45903.45833333333</v>
      </c>
      <c r="G2805" s="364" t="s">
        <v>1185</v>
      </c>
      <c r="H2805" s="364" t="s">
        <v>1209</v>
      </c>
    </row>
    <row r="2806" ht="15.75" customHeight="1">
      <c r="A2806" s="364" t="s">
        <v>74</v>
      </c>
      <c r="B2806" s="364" t="s">
        <v>26</v>
      </c>
      <c r="C2806" s="365" t="s">
        <v>278</v>
      </c>
      <c r="D2806" s="364" t="s">
        <v>279</v>
      </c>
      <c r="E2806" s="366">
        <v>13.0</v>
      </c>
      <c r="F2806" s="367">
        <v>45904.45833333333</v>
      </c>
      <c r="G2806" s="364" t="s">
        <v>1185</v>
      </c>
      <c r="H2806" s="364" t="s">
        <v>1209</v>
      </c>
    </row>
    <row r="2807" ht="15.75" customHeight="1">
      <c r="A2807" s="364" t="s">
        <v>74</v>
      </c>
      <c r="B2807" s="364" t="s">
        <v>26</v>
      </c>
      <c r="C2807" s="365" t="s">
        <v>278</v>
      </c>
      <c r="D2807" s="364" t="s">
        <v>279</v>
      </c>
      <c r="E2807" s="366">
        <v>14.0</v>
      </c>
      <c r="F2807" s="367">
        <v>45909.45833333333</v>
      </c>
      <c r="G2807" s="364" t="s">
        <v>1185</v>
      </c>
      <c r="H2807" s="364" t="s">
        <v>1209</v>
      </c>
    </row>
    <row r="2808" ht="15.75" customHeight="1">
      <c r="A2808" s="364" t="s">
        <v>74</v>
      </c>
      <c r="B2808" s="364" t="s">
        <v>26</v>
      </c>
      <c r="C2808" s="365" t="s">
        <v>278</v>
      </c>
      <c r="D2808" s="364" t="s">
        <v>279</v>
      </c>
      <c r="E2808" s="366">
        <v>15.0</v>
      </c>
      <c r="F2808" s="367">
        <v>45989.625</v>
      </c>
      <c r="G2808" s="364" t="s">
        <v>1185</v>
      </c>
      <c r="H2808" s="364" t="s">
        <v>1209</v>
      </c>
    </row>
    <row r="2809" ht="15.75" customHeight="1">
      <c r="A2809" s="364" t="s">
        <v>74</v>
      </c>
      <c r="B2809" s="364" t="s">
        <v>26</v>
      </c>
      <c r="C2809" s="365" t="s">
        <v>278</v>
      </c>
      <c r="D2809" s="364" t="s">
        <v>279</v>
      </c>
      <c r="E2809" s="366">
        <v>16.0</v>
      </c>
      <c r="F2809" s="367">
        <v>46041.41666666667</v>
      </c>
      <c r="G2809" s="364" t="s">
        <v>1185</v>
      </c>
      <c r="H2809" s="364" t="s">
        <v>1209</v>
      </c>
    </row>
    <row r="2810" ht="15.75" customHeight="1">
      <c r="A2810" s="364" t="s">
        <v>74</v>
      </c>
      <c r="B2810" s="364" t="s">
        <v>26</v>
      </c>
      <c r="C2810" s="365" t="s">
        <v>280</v>
      </c>
      <c r="D2810" s="364" t="s">
        <v>281</v>
      </c>
      <c r="E2810" s="366">
        <v>1.0</v>
      </c>
      <c r="F2810" s="367">
        <v>45818.375</v>
      </c>
      <c r="G2810" s="364" t="s">
        <v>1185</v>
      </c>
      <c r="H2810" s="364" t="s">
        <v>1209</v>
      </c>
    </row>
    <row r="2811" ht="15.75" customHeight="1">
      <c r="A2811" s="364" t="s">
        <v>74</v>
      </c>
      <c r="B2811" s="364" t="s">
        <v>26</v>
      </c>
      <c r="C2811" s="365" t="s">
        <v>280</v>
      </c>
      <c r="D2811" s="364" t="s">
        <v>281</v>
      </c>
      <c r="E2811" s="366">
        <v>2.0</v>
      </c>
      <c r="F2811" s="367">
        <v>45827.375</v>
      </c>
      <c r="G2811" s="364" t="s">
        <v>1185</v>
      </c>
      <c r="H2811" s="364" t="s">
        <v>1209</v>
      </c>
    </row>
    <row r="2812" ht="15.75" customHeight="1">
      <c r="A2812" s="364" t="s">
        <v>74</v>
      </c>
      <c r="B2812" s="364" t="s">
        <v>26</v>
      </c>
      <c r="C2812" s="365" t="s">
        <v>280</v>
      </c>
      <c r="D2812" s="364" t="s">
        <v>281</v>
      </c>
      <c r="E2812" s="366">
        <v>3.0</v>
      </c>
      <c r="F2812" s="367">
        <v>45831.375</v>
      </c>
      <c r="G2812" s="364" t="s">
        <v>1185</v>
      </c>
      <c r="H2812" s="364" t="s">
        <v>1209</v>
      </c>
    </row>
    <row r="2813" ht="15.75" customHeight="1">
      <c r="A2813" s="364" t="s">
        <v>74</v>
      </c>
      <c r="B2813" s="364" t="s">
        <v>26</v>
      </c>
      <c r="C2813" s="365" t="s">
        <v>280</v>
      </c>
      <c r="D2813" s="364" t="s">
        <v>281</v>
      </c>
      <c r="E2813" s="366">
        <v>4.0</v>
      </c>
      <c r="F2813" s="367">
        <v>45840.45833333333</v>
      </c>
      <c r="G2813" s="364" t="s">
        <v>1185</v>
      </c>
      <c r="H2813" s="364" t="s">
        <v>1209</v>
      </c>
    </row>
    <row r="2814" ht="15.75" customHeight="1">
      <c r="A2814" s="364" t="s">
        <v>74</v>
      </c>
      <c r="B2814" s="364" t="s">
        <v>26</v>
      </c>
      <c r="C2814" s="365" t="s">
        <v>280</v>
      </c>
      <c r="D2814" s="364" t="s">
        <v>281</v>
      </c>
      <c r="E2814" s="366">
        <v>5.0</v>
      </c>
      <c r="F2814" s="367">
        <v>45852.45833333333</v>
      </c>
      <c r="G2814" s="364" t="s">
        <v>1185</v>
      </c>
      <c r="H2814" s="364" t="s">
        <v>1209</v>
      </c>
    </row>
    <row r="2815" ht="15.75" customHeight="1">
      <c r="A2815" s="364" t="s">
        <v>74</v>
      </c>
      <c r="B2815" s="364" t="s">
        <v>26</v>
      </c>
      <c r="C2815" s="365" t="s">
        <v>280</v>
      </c>
      <c r="D2815" s="364" t="s">
        <v>281</v>
      </c>
      <c r="E2815" s="366">
        <v>6.0</v>
      </c>
      <c r="F2815" s="367">
        <v>45855.45833333333</v>
      </c>
      <c r="G2815" s="364" t="s">
        <v>1185</v>
      </c>
      <c r="H2815" s="364" t="s">
        <v>1209</v>
      </c>
    </row>
    <row r="2816" ht="15.75" customHeight="1">
      <c r="A2816" s="364" t="s">
        <v>74</v>
      </c>
      <c r="B2816" s="364" t="s">
        <v>26</v>
      </c>
      <c r="C2816" s="365" t="s">
        <v>280</v>
      </c>
      <c r="D2816" s="364" t="s">
        <v>281</v>
      </c>
      <c r="E2816" s="366">
        <v>7.0</v>
      </c>
      <c r="F2816" s="367">
        <v>45866.45833333333</v>
      </c>
      <c r="G2816" s="364" t="s">
        <v>1185</v>
      </c>
      <c r="H2816" s="364" t="s">
        <v>1209</v>
      </c>
    </row>
    <row r="2817" ht="15.75" customHeight="1">
      <c r="A2817" s="364" t="s">
        <v>74</v>
      </c>
      <c r="B2817" s="364" t="s">
        <v>26</v>
      </c>
      <c r="C2817" s="365" t="s">
        <v>280</v>
      </c>
      <c r="D2817" s="364" t="s">
        <v>281</v>
      </c>
      <c r="E2817" s="366">
        <v>8.0</v>
      </c>
      <c r="F2817" s="367">
        <v>45881.625</v>
      </c>
      <c r="G2817" s="364" t="s">
        <v>1187</v>
      </c>
      <c r="H2817" s="364" t="s">
        <v>1209</v>
      </c>
    </row>
    <row r="2818" ht="15.75" customHeight="1">
      <c r="A2818" s="364" t="s">
        <v>74</v>
      </c>
      <c r="B2818" s="364" t="s">
        <v>26</v>
      </c>
      <c r="C2818" s="365" t="s">
        <v>280</v>
      </c>
      <c r="D2818" s="364" t="s">
        <v>281</v>
      </c>
      <c r="E2818" s="366">
        <v>9.0</v>
      </c>
      <c r="F2818" s="367">
        <v>45884.58333333333</v>
      </c>
      <c r="G2818" s="364" t="s">
        <v>1185</v>
      </c>
      <c r="H2818" s="364" t="s">
        <v>1209</v>
      </c>
    </row>
    <row r="2819" ht="15.75" customHeight="1">
      <c r="A2819" s="364" t="s">
        <v>74</v>
      </c>
      <c r="B2819" s="364" t="s">
        <v>26</v>
      </c>
      <c r="C2819" s="365" t="s">
        <v>280</v>
      </c>
      <c r="D2819" s="364" t="s">
        <v>281</v>
      </c>
      <c r="E2819" s="366">
        <v>10.0</v>
      </c>
      <c r="F2819" s="367">
        <v>45884.625</v>
      </c>
      <c r="G2819" s="364" t="s">
        <v>1185</v>
      </c>
      <c r="H2819" s="364" t="s">
        <v>1209</v>
      </c>
    </row>
    <row r="2820" ht="15.75" customHeight="1">
      <c r="A2820" s="364" t="s">
        <v>74</v>
      </c>
      <c r="B2820" s="364" t="s">
        <v>26</v>
      </c>
      <c r="C2820" s="365" t="s">
        <v>280</v>
      </c>
      <c r="D2820" s="364" t="s">
        <v>281</v>
      </c>
      <c r="E2820" s="366">
        <v>11.0</v>
      </c>
      <c r="F2820" s="367">
        <v>45887.41666666667</v>
      </c>
      <c r="G2820" s="364" t="s">
        <v>1185</v>
      </c>
      <c r="H2820" s="364" t="s">
        <v>1209</v>
      </c>
    </row>
    <row r="2821" ht="15.75" customHeight="1">
      <c r="A2821" s="364" t="s">
        <v>74</v>
      </c>
      <c r="B2821" s="364" t="s">
        <v>26</v>
      </c>
      <c r="C2821" s="365" t="s">
        <v>280</v>
      </c>
      <c r="D2821" s="364" t="s">
        <v>281</v>
      </c>
      <c r="E2821" s="366">
        <v>12.0</v>
      </c>
      <c r="F2821" s="367">
        <v>45903.45833333333</v>
      </c>
      <c r="G2821" s="364" t="s">
        <v>1185</v>
      </c>
      <c r="H2821" s="364" t="s">
        <v>1209</v>
      </c>
    </row>
    <row r="2822" ht="15.75" customHeight="1">
      <c r="A2822" s="364" t="s">
        <v>74</v>
      </c>
      <c r="B2822" s="364" t="s">
        <v>26</v>
      </c>
      <c r="C2822" s="365" t="s">
        <v>280</v>
      </c>
      <c r="D2822" s="364" t="s">
        <v>281</v>
      </c>
      <c r="E2822" s="366">
        <v>13.0</v>
      </c>
      <c r="F2822" s="367">
        <v>45904.45833333333</v>
      </c>
      <c r="G2822" s="364" t="s">
        <v>1185</v>
      </c>
      <c r="H2822" s="364" t="s">
        <v>1209</v>
      </c>
    </row>
    <row r="2823" ht="15.75" customHeight="1">
      <c r="A2823" s="364" t="s">
        <v>74</v>
      </c>
      <c r="B2823" s="364" t="s">
        <v>26</v>
      </c>
      <c r="C2823" s="365" t="s">
        <v>280</v>
      </c>
      <c r="D2823" s="364" t="s">
        <v>281</v>
      </c>
      <c r="E2823" s="366">
        <v>14.0</v>
      </c>
      <c r="F2823" s="367">
        <v>45909.45833333333</v>
      </c>
      <c r="G2823" s="364" t="s">
        <v>1185</v>
      </c>
      <c r="H2823" s="364" t="s">
        <v>1209</v>
      </c>
    </row>
    <row r="2824" ht="15.75" customHeight="1">
      <c r="A2824" s="364" t="s">
        <v>74</v>
      </c>
      <c r="B2824" s="364" t="s">
        <v>26</v>
      </c>
      <c r="C2824" s="365" t="s">
        <v>280</v>
      </c>
      <c r="D2824" s="364" t="s">
        <v>281</v>
      </c>
      <c r="E2824" s="366">
        <v>15.0</v>
      </c>
      <c r="F2824" s="367">
        <v>45989.625</v>
      </c>
      <c r="G2824" s="364" t="s">
        <v>1185</v>
      </c>
      <c r="H2824" s="364" t="s">
        <v>1209</v>
      </c>
    </row>
    <row r="2825" ht="15.75" customHeight="1">
      <c r="A2825" s="364" t="s">
        <v>74</v>
      </c>
      <c r="B2825" s="364" t="s">
        <v>26</v>
      </c>
      <c r="C2825" s="365" t="s">
        <v>280</v>
      </c>
      <c r="D2825" s="364" t="s">
        <v>281</v>
      </c>
      <c r="E2825" s="366">
        <v>16.0</v>
      </c>
      <c r="F2825" s="367">
        <v>46041.41666666667</v>
      </c>
      <c r="G2825" s="364" t="s">
        <v>1185</v>
      </c>
      <c r="H2825" s="364" t="s">
        <v>1209</v>
      </c>
    </row>
    <row r="2826" ht="15.75" customHeight="1">
      <c r="A2826" s="364" t="s">
        <v>74</v>
      </c>
      <c r="B2826" s="364" t="s">
        <v>26</v>
      </c>
      <c r="C2826" s="365" t="s">
        <v>282</v>
      </c>
      <c r="D2826" s="364" t="s">
        <v>283</v>
      </c>
      <c r="E2826" s="366">
        <v>1.0</v>
      </c>
      <c r="F2826" s="367">
        <v>45818.375</v>
      </c>
      <c r="G2826" s="364" t="s">
        <v>1185</v>
      </c>
      <c r="H2826" s="364" t="s">
        <v>1209</v>
      </c>
    </row>
    <row r="2827" ht="15.75" customHeight="1">
      <c r="A2827" s="364" t="s">
        <v>74</v>
      </c>
      <c r="B2827" s="364" t="s">
        <v>26</v>
      </c>
      <c r="C2827" s="365" t="s">
        <v>282</v>
      </c>
      <c r="D2827" s="364" t="s">
        <v>283</v>
      </c>
      <c r="E2827" s="366">
        <v>2.0</v>
      </c>
      <c r="F2827" s="367">
        <v>45827.375</v>
      </c>
      <c r="G2827" s="364" t="s">
        <v>1185</v>
      </c>
      <c r="H2827" s="364" t="s">
        <v>1209</v>
      </c>
    </row>
    <row r="2828" ht="15.75" customHeight="1">
      <c r="A2828" s="364" t="s">
        <v>74</v>
      </c>
      <c r="B2828" s="364" t="s">
        <v>26</v>
      </c>
      <c r="C2828" s="365" t="s">
        <v>282</v>
      </c>
      <c r="D2828" s="364" t="s">
        <v>283</v>
      </c>
      <c r="E2828" s="366">
        <v>3.0</v>
      </c>
      <c r="F2828" s="367">
        <v>45831.375</v>
      </c>
      <c r="G2828" s="364" t="s">
        <v>1185</v>
      </c>
      <c r="H2828" s="364" t="s">
        <v>1209</v>
      </c>
    </row>
    <row r="2829" ht="15.75" customHeight="1">
      <c r="A2829" s="364" t="s">
        <v>74</v>
      </c>
      <c r="B2829" s="364" t="s">
        <v>26</v>
      </c>
      <c r="C2829" s="365" t="s">
        <v>282</v>
      </c>
      <c r="D2829" s="364" t="s">
        <v>283</v>
      </c>
      <c r="E2829" s="366">
        <v>4.0</v>
      </c>
      <c r="F2829" s="367">
        <v>45840.45833333333</v>
      </c>
      <c r="G2829" s="364" t="s">
        <v>1185</v>
      </c>
      <c r="H2829" s="364" t="s">
        <v>1209</v>
      </c>
    </row>
    <row r="2830" ht="15.75" customHeight="1">
      <c r="A2830" s="364" t="s">
        <v>74</v>
      </c>
      <c r="B2830" s="364" t="s">
        <v>26</v>
      </c>
      <c r="C2830" s="365" t="s">
        <v>282</v>
      </c>
      <c r="D2830" s="364" t="s">
        <v>283</v>
      </c>
      <c r="E2830" s="366">
        <v>5.0</v>
      </c>
      <c r="F2830" s="367">
        <v>45852.45833333333</v>
      </c>
      <c r="G2830" s="364" t="s">
        <v>1185</v>
      </c>
      <c r="H2830" s="364" t="s">
        <v>1209</v>
      </c>
    </row>
    <row r="2831" ht="15.75" customHeight="1">
      <c r="A2831" s="364" t="s">
        <v>74</v>
      </c>
      <c r="B2831" s="364" t="s">
        <v>26</v>
      </c>
      <c r="C2831" s="365" t="s">
        <v>282</v>
      </c>
      <c r="D2831" s="364" t="s">
        <v>283</v>
      </c>
      <c r="E2831" s="366">
        <v>6.0</v>
      </c>
      <c r="F2831" s="367">
        <v>45855.45833333333</v>
      </c>
      <c r="G2831" s="364" t="s">
        <v>1185</v>
      </c>
      <c r="H2831" s="364" t="s">
        <v>1209</v>
      </c>
    </row>
    <row r="2832" ht="15.75" customHeight="1">
      <c r="A2832" s="364" t="s">
        <v>74</v>
      </c>
      <c r="B2832" s="364" t="s">
        <v>26</v>
      </c>
      <c r="C2832" s="365" t="s">
        <v>282</v>
      </c>
      <c r="D2832" s="364" t="s">
        <v>283</v>
      </c>
      <c r="E2832" s="366">
        <v>7.0</v>
      </c>
      <c r="F2832" s="367">
        <v>45866.45833333333</v>
      </c>
      <c r="G2832" s="364" t="s">
        <v>1185</v>
      </c>
      <c r="H2832" s="364" t="s">
        <v>1209</v>
      </c>
    </row>
    <row r="2833" ht="15.75" customHeight="1">
      <c r="A2833" s="364" t="s">
        <v>74</v>
      </c>
      <c r="B2833" s="364" t="s">
        <v>26</v>
      </c>
      <c r="C2833" s="365" t="s">
        <v>282</v>
      </c>
      <c r="D2833" s="364" t="s">
        <v>283</v>
      </c>
      <c r="E2833" s="366">
        <v>8.0</v>
      </c>
      <c r="F2833" s="367">
        <v>45881.625</v>
      </c>
      <c r="G2833" s="364" t="s">
        <v>1185</v>
      </c>
      <c r="H2833" s="364" t="s">
        <v>1209</v>
      </c>
    </row>
    <row r="2834" ht="15.75" customHeight="1">
      <c r="A2834" s="364" t="s">
        <v>74</v>
      </c>
      <c r="B2834" s="364" t="s">
        <v>26</v>
      </c>
      <c r="C2834" s="365" t="s">
        <v>282</v>
      </c>
      <c r="D2834" s="364" t="s">
        <v>283</v>
      </c>
      <c r="E2834" s="366">
        <v>9.0</v>
      </c>
      <c r="F2834" s="367">
        <v>45884.58333333333</v>
      </c>
      <c r="G2834" s="364" t="s">
        <v>1185</v>
      </c>
      <c r="H2834" s="364" t="s">
        <v>1209</v>
      </c>
    </row>
    <row r="2835" ht="15.75" customHeight="1">
      <c r="A2835" s="364" t="s">
        <v>74</v>
      </c>
      <c r="B2835" s="364" t="s">
        <v>26</v>
      </c>
      <c r="C2835" s="365" t="s">
        <v>282</v>
      </c>
      <c r="D2835" s="364" t="s">
        <v>283</v>
      </c>
      <c r="E2835" s="366">
        <v>10.0</v>
      </c>
      <c r="F2835" s="367">
        <v>45884.625</v>
      </c>
      <c r="G2835" s="364" t="s">
        <v>1185</v>
      </c>
      <c r="H2835" s="364" t="s">
        <v>1209</v>
      </c>
    </row>
    <row r="2836" ht="15.75" customHeight="1">
      <c r="A2836" s="364" t="s">
        <v>74</v>
      </c>
      <c r="B2836" s="364" t="s">
        <v>26</v>
      </c>
      <c r="C2836" s="365" t="s">
        <v>282</v>
      </c>
      <c r="D2836" s="364" t="s">
        <v>283</v>
      </c>
      <c r="E2836" s="366">
        <v>11.0</v>
      </c>
      <c r="F2836" s="367">
        <v>45887.41666666667</v>
      </c>
      <c r="G2836" s="364" t="s">
        <v>1185</v>
      </c>
      <c r="H2836" s="364" t="s">
        <v>1209</v>
      </c>
    </row>
    <row r="2837" ht="15.75" customHeight="1">
      <c r="A2837" s="364" t="s">
        <v>74</v>
      </c>
      <c r="B2837" s="364" t="s">
        <v>26</v>
      </c>
      <c r="C2837" s="365" t="s">
        <v>282</v>
      </c>
      <c r="D2837" s="364" t="s">
        <v>283</v>
      </c>
      <c r="E2837" s="366">
        <v>12.0</v>
      </c>
      <c r="F2837" s="367">
        <v>45903.45833333333</v>
      </c>
      <c r="G2837" s="364" t="s">
        <v>1185</v>
      </c>
      <c r="H2837" s="364" t="s">
        <v>1209</v>
      </c>
    </row>
    <row r="2838" ht="15.75" customHeight="1">
      <c r="A2838" s="364" t="s">
        <v>74</v>
      </c>
      <c r="B2838" s="364" t="s">
        <v>26</v>
      </c>
      <c r="C2838" s="365" t="s">
        <v>282</v>
      </c>
      <c r="D2838" s="364" t="s">
        <v>283</v>
      </c>
      <c r="E2838" s="366">
        <v>13.0</v>
      </c>
      <c r="F2838" s="367">
        <v>45904.45833333333</v>
      </c>
      <c r="G2838" s="364" t="s">
        <v>1185</v>
      </c>
      <c r="H2838" s="364" t="s">
        <v>1209</v>
      </c>
    </row>
    <row r="2839" ht="15.75" customHeight="1">
      <c r="A2839" s="364" t="s">
        <v>74</v>
      </c>
      <c r="B2839" s="364" t="s">
        <v>26</v>
      </c>
      <c r="C2839" s="365" t="s">
        <v>282</v>
      </c>
      <c r="D2839" s="364" t="s">
        <v>283</v>
      </c>
      <c r="E2839" s="366">
        <v>14.0</v>
      </c>
      <c r="F2839" s="367">
        <v>45909.45833333333</v>
      </c>
      <c r="G2839" s="364" t="s">
        <v>1185</v>
      </c>
      <c r="H2839" s="364" t="s">
        <v>1209</v>
      </c>
    </row>
    <row r="2840" ht="15.75" customHeight="1">
      <c r="A2840" s="364" t="s">
        <v>74</v>
      </c>
      <c r="B2840" s="364" t="s">
        <v>26</v>
      </c>
      <c r="C2840" s="365" t="s">
        <v>282</v>
      </c>
      <c r="D2840" s="364" t="s">
        <v>283</v>
      </c>
      <c r="E2840" s="366">
        <v>15.0</v>
      </c>
      <c r="F2840" s="367">
        <v>45989.625</v>
      </c>
      <c r="G2840" s="364" t="s">
        <v>1185</v>
      </c>
      <c r="H2840" s="364" t="s">
        <v>1209</v>
      </c>
    </row>
    <row r="2841" ht="15.75" customHeight="1">
      <c r="A2841" s="364" t="s">
        <v>74</v>
      </c>
      <c r="B2841" s="364" t="s">
        <v>26</v>
      </c>
      <c r="C2841" s="365" t="s">
        <v>282</v>
      </c>
      <c r="D2841" s="364" t="s">
        <v>283</v>
      </c>
      <c r="E2841" s="366">
        <v>16.0</v>
      </c>
      <c r="F2841" s="367">
        <v>46041.41666666667</v>
      </c>
      <c r="G2841" s="364" t="s">
        <v>1185</v>
      </c>
      <c r="H2841" s="364" t="s">
        <v>1209</v>
      </c>
    </row>
    <row r="2842" ht="15.75" customHeight="1">
      <c r="A2842" s="364" t="s">
        <v>74</v>
      </c>
      <c r="B2842" s="364" t="s">
        <v>26</v>
      </c>
      <c r="C2842" s="365" t="s">
        <v>284</v>
      </c>
      <c r="D2842" s="364" t="s">
        <v>285</v>
      </c>
      <c r="E2842" s="366">
        <v>1.0</v>
      </c>
      <c r="F2842" s="367">
        <v>45818.375</v>
      </c>
      <c r="G2842" s="364" t="s">
        <v>1185</v>
      </c>
      <c r="H2842" s="364" t="s">
        <v>1209</v>
      </c>
    </row>
    <row r="2843" ht="15.75" customHeight="1">
      <c r="A2843" s="364" t="s">
        <v>74</v>
      </c>
      <c r="B2843" s="364" t="s">
        <v>26</v>
      </c>
      <c r="C2843" s="365" t="s">
        <v>284</v>
      </c>
      <c r="D2843" s="364" t="s">
        <v>285</v>
      </c>
      <c r="E2843" s="366">
        <v>2.0</v>
      </c>
      <c r="F2843" s="367">
        <v>45827.375</v>
      </c>
      <c r="G2843" s="364" t="s">
        <v>1185</v>
      </c>
      <c r="H2843" s="364" t="s">
        <v>1209</v>
      </c>
    </row>
    <row r="2844" ht="15.75" customHeight="1">
      <c r="A2844" s="364" t="s">
        <v>74</v>
      </c>
      <c r="B2844" s="364" t="s">
        <v>26</v>
      </c>
      <c r="C2844" s="365" t="s">
        <v>284</v>
      </c>
      <c r="D2844" s="364" t="s">
        <v>285</v>
      </c>
      <c r="E2844" s="366">
        <v>3.0</v>
      </c>
      <c r="F2844" s="367">
        <v>45831.375</v>
      </c>
      <c r="G2844" s="364" t="s">
        <v>1185</v>
      </c>
      <c r="H2844" s="364" t="s">
        <v>1209</v>
      </c>
    </row>
    <row r="2845" ht="15.75" customHeight="1">
      <c r="A2845" s="364" t="s">
        <v>74</v>
      </c>
      <c r="B2845" s="364" t="s">
        <v>26</v>
      </c>
      <c r="C2845" s="365" t="s">
        <v>284</v>
      </c>
      <c r="D2845" s="364" t="s">
        <v>285</v>
      </c>
      <c r="E2845" s="366">
        <v>4.0</v>
      </c>
      <c r="F2845" s="367">
        <v>45840.45833333333</v>
      </c>
      <c r="G2845" s="364" t="s">
        <v>1185</v>
      </c>
      <c r="H2845" s="364" t="s">
        <v>1209</v>
      </c>
    </row>
    <row r="2846" ht="15.75" customHeight="1">
      <c r="A2846" s="364" t="s">
        <v>74</v>
      </c>
      <c r="B2846" s="364" t="s">
        <v>26</v>
      </c>
      <c r="C2846" s="365" t="s">
        <v>284</v>
      </c>
      <c r="D2846" s="364" t="s">
        <v>285</v>
      </c>
      <c r="E2846" s="366">
        <v>5.0</v>
      </c>
      <c r="F2846" s="367">
        <v>45852.45833333333</v>
      </c>
      <c r="G2846" s="364" t="s">
        <v>1185</v>
      </c>
      <c r="H2846" s="364" t="s">
        <v>1209</v>
      </c>
    </row>
    <row r="2847" ht="15.75" customHeight="1">
      <c r="A2847" s="364" t="s">
        <v>74</v>
      </c>
      <c r="B2847" s="364" t="s">
        <v>26</v>
      </c>
      <c r="C2847" s="365" t="s">
        <v>284</v>
      </c>
      <c r="D2847" s="364" t="s">
        <v>285</v>
      </c>
      <c r="E2847" s="366">
        <v>6.0</v>
      </c>
      <c r="F2847" s="367">
        <v>45855.45833333333</v>
      </c>
      <c r="G2847" s="364" t="s">
        <v>1185</v>
      </c>
      <c r="H2847" s="364" t="s">
        <v>1209</v>
      </c>
    </row>
    <row r="2848" ht="15.75" customHeight="1">
      <c r="A2848" s="364" t="s">
        <v>74</v>
      </c>
      <c r="B2848" s="364" t="s">
        <v>26</v>
      </c>
      <c r="C2848" s="365" t="s">
        <v>284</v>
      </c>
      <c r="D2848" s="364" t="s">
        <v>285</v>
      </c>
      <c r="E2848" s="366">
        <v>7.0</v>
      </c>
      <c r="F2848" s="367">
        <v>45866.45833333333</v>
      </c>
      <c r="G2848" s="364" t="s">
        <v>1185</v>
      </c>
      <c r="H2848" s="364" t="s">
        <v>1209</v>
      </c>
    </row>
    <row r="2849" ht="15.75" customHeight="1">
      <c r="A2849" s="364" t="s">
        <v>74</v>
      </c>
      <c r="B2849" s="364" t="s">
        <v>26</v>
      </c>
      <c r="C2849" s="365" t="s">
        <v>284</v>
      </c>
      <c r="D2849" s="364" t="s">
        <v>285</v>
      </c>
      <c r="E2849" s="366">
        <v>8.0</v>
      </c>
      <c r="F2849" s="367">
        <v>45881.625</v>
      </c>
      <c r="G2849" s="364" t="s">
        <v>1185</v>
      </c>
      <c r="H2849" s="364" t="s">
        <v>1209</v>
      </c>
    </row>
    <row r="2850" ht="15.75" customHeight="1">
      <c r="A2850" s="364" t="s">
        <v>74</v>
      </c>
      <c r="B2850" s="364" t="s">
        <v>26</v>
      </c>
      <c r="C2850" s="365" t="s">
        <v>284</v>
      </c>
      <c r="D2850" s="364" t="s">
        <v>285</v>
      </c>
      <c r="E2850" s="366">
        <v>9.0</v>
      </c>
      <c r="F2850" s="367">
        <v>45884.58333333333</v>
      </c>
      <c r="G2850" s="364" t="s">
        <v>1185</v>
      </c>
      <c r="H2850" s="364" t="s">
        <v>1209</v>
      </c>
    </row>
    <row r="2851" ht="15.75" customHeight="1">
      <c r="A2851" s="364" t="s">
        <v>74</v>
      </c>
      <c r="B2851" s="364" t="s">
        <v>26</v>
      </c>
      <c r="C2851" s="365" t="s">
        <v>284</v>
      </c>
      <c r="D2851" s="364" t="s">
        <v>285</v>
      </c>
      <c r="E2851" s="366">
        <v>10.0</v>
      </c>
      <c r="F2851" s="367">
        <v>45884.625</v>
      </c>
      <c r="G2851" s="364" t="s">
        <v>1185</v>
      </c>
      <c r="H2851" s="364" t="s">
        <v>1209</v>
      </c>
    </row>
    <row r="2852" ht="15.75" customHeight="1">
      <c r="A2852" s="364" t="s">
        <v>74</v>
      </c>
      <c r="B2852" s="364" t="s">
        <v>26</v>
      </c>
      <c r="C2852" s="365" t="s">
        <v>284</v>
      </c>
      <c r="D2852" s="364" t="s">
        <v>285</v>
      </c>
      <c r="E2852" s="366">
        <v>11.0</v>
      </c>
      <c r="F2852" s="367">
        <v>45887.41666666667</v>
      </c>
      <c r="G2852" s="364" t="s">
        <v>1185</v>
      </c>
      <c r="H2852" s="364" t="s">
        <v>1209</v>
      </c>
    </row>
    <row r="2853" ht="15.75" customHeight="1">
      <c r="A2853" s="364" t="s">
        <v>74</v>
      </c>
      <c r="B2853" s="364" t="s">
        <v>26</v>
      </c>
      <c r="C2853" s="365" t="s">
        <v>284</v>
      </c>
      <c r="D2853" s="364" t="s">
        <v>285</v>
      </c>
      <c r="E2853" s="366">
        <v>12.0</v>
      </c>
      <c r="F2853" s="367">
        <v>45903.45833333333</v>
      </c>
      <c r="G2853" s="364" t="s">
        <v>1185</v>
      </c>
      <c r="H2853" s="364" t="s">
        <v>1209</v>
      </c>
    </row>
    <row r="2854" ht="15.75" customHeight="1">
      <c r="A2854" s="364" t="s">
        <v>74</v>
      </c>
      <c r="B2854" s="364" t="s">
        <v>26</v>
      </c>
      <c r="C2854" s="365" t="s">
        <v>284</v>
      </c>
      <c r="D2854" s="364" t="s">
        <v>285</v>
      </c>
      <c r="E2854" s="366">
        <v>13.0</v>
      </c>
      <c r="F2854" s="367">
        <v>45904.45833333333</v>
      </c>
      <c r="G2854" s="364" t="s">
        <v>1185</v>
      </c>
      <c r="H2854" s="364" t="s">
        <v>1209</v>
      </c>
    </row>
    <row r="2855" ht="15.75" customHeight="1">
      <c r="A2855" s="364" t="s">
        <v>74</v>
      </c>
      <c r="B2855" s="364" t="s">
        <v>26</v>
      </c>
      <c r="C2855" s="365" t="s">
        <v>284</v>
      </c>
      <c r="D2855" s="364" t="s">
        <v>285</v>
      </c>
      <c r="E2855" s="366">
        <v>14.0</v>
      </c>
      <c r="F2855" s="367">
        <v>45909.45833333333</v>
      </c>
      <c r="G2855" s="364" t="s">
        <v>1187</v>
      </c>
      <c r="H2855" s="364" t="s">
        <v>1209</v>
      </c>
    </row>
    <row r="2856" ht="15.75" customHeight="1">
      <c r="A2856" s="364" t="s">
        <v>74</v>
      </c>
      <c r="B2856" s="364" t="s">
        <v>26</v>
      </c>
      <c r="C2856" s="365" t="s">
        <v>284</v>
      </c>
      <c r="D2856" s="364" t="s">
        <v>285</v>
      </c>
      <c r="E2856" s="366">
        <v>15.0</v>
      </c>
      <c r="F2856" s="367">
        <v>45989.625</v>
      </c>
      <c r="G2856" s="364" t="s">
        <v>1185</v>
      </c>
      <c r="H2856" s="364" t="s">
        <v>1209</v>
      </c>
    </row>
    <row r="2857" ht="15.75" customHeight="1">
      <c r="A2857" s="364" t="s">
        <v>74</v>
      </c>
      <c r="B2857" s="364" t="s">
        <v>26</v>
      </c>
      <c r="C2857" s="365" t="s">
        <v>284</v>
      </c>
      <c r="D2857" s="364" t="s">
        <v>285</v>
      </c>
      <c r="E2857" s="366">
        <v>16.0</v>
      </c>
      <c r="F2857" s="367">
        <v>46041.41666666667</v>
      </c>
      <c r="G2857" s="364" t="s">
        <v>1185</v>
      </c>
      <c r="H2857" s="364" t="s">
        <v>1209</v>
      </c>
    </row>
    <row r="2858" ht="15.75" customHeight="1">
      <c r="A2858" s="364" t="s">
        <v>75</v>
      </c>
      <c r="B2858" s="364" t="s">
        <v>22</v>
      </c>
      <c r="C2858" s="365" t="s">
        <v>210</v>
      </c>
      <c r="D2858" s="364" t="s">
        <v>211</v>
      </c>
      <c r="E2858" s="366">
        <v>1.0</v>
      </c>
      <c r="F2858" s="367">
        <v>45761.41666666667</v>
      </c>
      <c r="G2858" s="364" t="s">
        <v>1185</v>
      </c>
      <c r="H2858" s="364" t="s">
        <v>1210</v>
      </c>
    </row>
    <row r="2859" ht="15.75" customHeight="1">
      <c r="A2859" s="364" t="s">
        <v>75</v>
      </c>
      <c r="B2859" s="364" t="s">
        <v>22</v>
      </c>
      <c r="C2859" s="365" t="s">
        <v>210</v>
      </c>
      <c r="D2859" s="364" t="s">
        <v>211</v>
      </c>
      <c r="E2859" s="366">
        <v>2.0</v>
      </c>
      <c r="F2859" s="367">
        <v>45786.45833333333</v>
      </c>
      <c r="G2859" s="364" t="s">
        <v>1185</v>
      </c>
      <c r="H2859" s="364" t="s">
        <v>1210</v>
      </c>
    </row>
    <row r="2860" ht="15.75" customHeight="1">
      <c r="A2860" s="364" t="s">
        <v>75</v>
      </c>
      <c r="B2860" s="364" t="s">
        <v>22</v>
      </c>
      <c r="C2860" s="365" t="s">
        <v>210</v>
      </c>
      <c r="D2860" s="364" t="s">
        <v>211</v>
      </c>
      <c r="E2860" s="366">
        <v>3.0</v>
      </c>
      <c r="F2860" s="367">
        <v>45793.45833333333</v>
      </c>
      <c r="G2860" s="364" t="s">
        <v>1185</v>
      </c>
      <c r="H2860" s="364" t="s">
        <v>1210</v>
      </c>
    </row>
    <row r="2861" ht="15.75" customHeight="1">
      <c r="A2861" s="364" t="s">
        <v>75</v>
      </c>
      <c r="B2861" s="364" t="s">
        <v>22</v>
      </c>
      <c r="C2861" s="365" t="s">
        <v>210</v>
      </c>
      <c r="D2861" s="364" t="s">
        <v>211</v>
      </c>
      <c r="E2861" s="366">
        <v>4.0</v>
      </c>
      <c r="F2861" s="367">
        <v>45803.45833333333</v>
      </c>
      <c r="G2861" s="364" t="s">
        <v>1185</v>
      </c>
      <c r="H2861" s="364" t="s">
        <v>1210</v>
      </c>
    </row>
    <row r="2862" ht="15.75" customHeight="1">
      <c r="A2862" s="364" t="s">
        <v>75</v>
      </c>
      <c r="B2862" s="364" t="s">
        <v>22</v>
      </c>
      <c r="C2862" s="365" t="s">
        <v>210</v>
      </c>
      <c r="D2862" s="364" t="s">
        <v>211</v>
      </c>
      <c r="E2862" s="366">
        <v>5.0</v>
      </c>
      <c r="F2862" s="367">
        <v>45817.45833333333</v>
      </c>
      <c r="G2862" s="364" t="s">
        <v>1185</v>
      </c>
      <c r="H2862" s="364" t="s">
        <v>1210</v>
      </c>
    </row>
    <row r="2863" ht="15.75" customHeight="1">
      <c r="A2863" s="364" t="s">
        <v>75</v>
      </c>
      <c r="B2863" s="364" t="s">
        <v>22</v>
      </c>
      <c r="C2863" s="365" t="s">
        <v>210</v>
      </c>
      <c r="D2863" s="364" t="s">
        <v>211</v>
      </c>
      <c r="E2863" s="366">
        <v>6.0</v>
      </c>
      <c r="F2863" s="367">
        <v>45824.45833333333</v>
      </c>
      <c r="G2863" s="364" t="s">
        <v>1185</v>
      </c>
      <c r="H2863" s="364" t="s">
        <v>1210</v>
      </c>
    </row>
    <row r="2864" ht="15.75" customHeight="1">
      <c r="A2864" s="364" t="s">
        <v>75</v>
      </c>
      <c r="B2864" s="364" t="s">
        <v>22</v>
      </c>
      <c r="C2864" s="365" t="s">
        <v>210</v>
      </c>
      <c r="D2864" s="364" t="s">
        <v>211</v>
      </c>
      <c r="E2864" s="366">
        <v>7.0</v>
      </c>
      <c r="F2864" s="367">
        <v>45852.625</v>
      </c>
      <c r="G2864" s="364" t="s">
        <v>1185</v>
      </c>
      <c r="H2864" s="364" t="s">
        <v>1210</v>
      </c>
    </row>
    <row r="2865" ht="15.75" customHeight="1">
      <c r="A2865" s="364" t="s">
        <v>75</v>
      </c>
      <c r="B2865" s="364" t="s">
        <v>22</v>
      </c>
      <c r="C2865" s="365" t="s">
        <v>210</v>
      </c>
      <c r="D2865" s="364" t="s">
        <v>211</v>
      </c>
      <c r="E2865" s="366">
        <v>8.0</v>
      </c>
      <c r="F2865" s="367">
        <v>45859.375</v>
      </c>
      <c r="G2865" s="364" t="s">
        <v>1185</v>
      </c>
      <c r="H2865" s="364" t="s">
        <v>1210</v>
      </c>
    </row>
    <row r="2866" ht="15.75" customHeight="1">
      <c r="A2866" s="364" t="s">
        <v>75</v>
      </c>
      <c r="B2866" s="364" t="s">
        <v>22</v>
      </c>
      <c r="C2866" s="365" t="s">
        <v>210</v>
      </c>
      <c r="D2866" s="364" t="s">
        <v>211</v>
      </c>
      <c r="E2866" s="366">
        <v>9.0</v>
      </c>
      <c r="F2866" s="367">
        <v>45866.41666666667</v>
      </c>
      <c r="G2866" s="364" t="s">
        <v>1185</v>
      </c>
      <c r="H2866" s="364" t="s">
        <v>1210</v>
      </c>
    </row>
    <row r="2867" ht="15.75" customHeight="1">
      <c r="A2867" s="364" t="s">
        <v>75</v>
      </c>
      <c r="B2867" s="364" t="s">
        <v>22</v>
      </c>
      <c r="C2867" s="365" t="s">
        <v>210</v>
      </c>
      <c r="D2867" s="364" t="s">
        <v>211</v>
      </c>
      <c r="E2867" s="366">
        <v>10.0</v>
      </c>
      <c r="F2867" s="367">
        <v>45894.54166666667</v>
      </c>
      <c r="G2867" s="364" t="s">
        <v>1185</v>
      </c>
      <c r="H2867" s="364" t="s">
        <v>1210</v>
      </c>
    </row>
    <row r="2868" ht="15.75" customHeight="1">
      <c r="A2868" s="364" t="s">
        <v>75</v>
      </c>
      <c r="B2868" s="364" t="s">
        <v>22</v>
      </c>
      <c r="C2868" s="365" t="s">
        <v>212</v>
      </c>
      <c r="D2868" s="364" t="s">
        <v>213</v>
      </c>
      <c r="E2868" s="366">
        <v>1.0</v>
      </c>
      <c r="F2868" s="367">
        <v>45761.41666666667</v>
      </c>
      <c r="G2868" s="364" t="s">
        <v>1185</v>
      </c>
      <c r="H2868" s="364" t="s">
        <v>1210</v>
      </c>
    </row>
    <row r="2869" ht="15.75" customHeight="1">
      <c r="A2869" s="364" t="s">
        <v>75</v>
      </c>
      <c r="B2869" s="364" t="s">
        <v>22</v>
      </c>
      <c r="C2869" s="365" t="s">
        <v>212</v>
      </c>
      <c r="D2869" s="364" t="s">
        <v>213</v>
      </c>
      <c r="E2869" s="366">
        <v>2.0</v>
      </c>
      <c r="F2869" s="367">
        <v>45786.45833333333</v>
      </c>
      <c r="G2869" s="364" t="s">
        <v>1185</v>
      </c>
      <c r="H2869" s="364" t="s">
        <v>1210</v>
      </c>
    </row>
    <row r="2870" ht="15.75" customHeight="1">
      <c r="A2870" s="364" t="s">
        <v>75</v>
      </c>
      <c r="B2870" s="364" t="s">
        <v>22</v>
      </c>
      <c r="C2870" s="365" t="s">
        <v>212</v>
      </c>
      <c r="D2870" s="364" t="s">
        <v>213</v>
      </c>
      <c r="E2870" s="366">
        <v>3.0</v>
      </c>
      <c r="F2870" s="367">
        <v>45793.45833333333</v>
      </c>
      <c r="G2870" s="364" t="s">
        <v>1185</v>
      </c>
      <c r="H2870" s="364" t="s">
        <v>1210</v>
      </c>
    </row>
    <row r="2871" ht="15.75" customHeight="1">
      <c r="A2871" s="364" t="s">
        <v>75</v>
      </c>
      <c r="B2871" s="364" t="s">
        <v>22</v>
      </c>
      <c r="C2871" s="365" t="s">
        <v>212</v>
      </c>
      <c r="D2871" s="364" t="s">
        <v>213</v>
      </c>
      <c r="E2871" s="366">
        <v>4.0</v>
      </c>
      <c r="F2871" s="367">
        <v>45803.45833333333</v>
      </c>
      <c r="G2871" s="364" t="s">
        <v>1185</v>
      </c>
      <c r="H2871" s="364" t="s">
        <v>1210</v>
      </c>
    </row>
    <row r="2872" ht="15.75" customHeight="1">
      <c r="A2872" s="364" t="s">
        <v>75</v>
      </c>
      <c r="B2872" s="364" t="s">
        <v>22</v>
      </c>
      <c r="C2872" s="365" t="s">
        <v>212</v>
      </c>
      <c r="D2872" s="364" t="s">
        <v>213</v>
      </c>
      <c r="E2872" s="366">
        <v>5.0</v>
      </c>
      <c r="F2872" s="367">
        <v>45817.45833333333</v>
      </c>
      <c r="G2872" s="364" t="s">
        <v>1185</v>
      </c>
      <c r="H2872" s="364" t="s">
        <v>1210</v>
      </c>
    </row>
    <row r="2873" ht="15.75" customHeight="1">
      <c r="A2873" s="364" t="s">
        <v>75</v>
      </c>
      <c r="B2873" s="364" t="s">
        <v>22</v>
      </c>
      <c r="C2873" s="365" t="s">
        <v>212</v>
      </c>
      <c r="D2873" s="364" t="s">
        <v>213</v>
      </c>
      <c r="E2873" s="366">
        <v>6.0</v>
      </c>
      <c r="F2873" s="367">
        <v>45824.45833333333</v>
      </c>
      <c r="G2873" s="364" t="s">
        <v>1185</v>
      </c>
      <c r="H2873" s="364" t="s">
        <v>1210</v>
      </c>
    </row>
    <row r="2874" ht="15.75" customHeight="1">
      <c r="A2874" s="364" t="s">
        <v>75</v>
      </c>
      <c r="B2874" s="364" t="s">
        <v>22</v>
      </c>
      <c r="C2874" s="365" t="s">
        <v>212</v>
      </c>
      <c r="D2874" s="364" t="s">
        <v>213</v>
      </c>
      <c r="E2874" s="366">
        <v>7.0</v>
      </c>
      <c r="F2874" s="367">
        <v>45852.625</v>
      </c>
      <c r="G2874" s="364" t="s">
        <v>1185</v>
      </c>
      <c r="H2874" s="364" t="s">
        <v>1210</v>
      </c>
    </row>
    <row r="2875" ht="15.75" customHeight="1">
      <c r="A2875" s="364" t="s">
        <v>75</v>
      </c>
      <c r="B2875" s="364" t="s">
        <v>22</v>
      </c>
      <c r="C2875" s="365" t="s">
        <v>212</v>
      </c>
      <c r="D2875" s="364" t="s">
        <v>213</v>
      </c>
      <c r="E2875" s="366">
        <v>8.0</v>
      </c>
      <c r="F2875" s="367">
        <v>45859.375</v>
      </c>
      <c r="G2875" s="364" t="s">
        <v>1185</v>
      </c>
      <c r="H2875" s="364" t="s">
        <v>1210</v>
      </c>
    </row>
    <row r="2876" ht="15.75" customHeight="1">
      <c r="A2876" s="364" t="s">
        <v>75</v>
      </c>
      <c r="B2876" s="364" t="s">
        <v>22</v>
      </c>
      <c r="C2876" s="365" t="s">
        <v>212</v>
      </c>
      <c r="D2876" s="364" t="s">
        <v>213</v>
      </c>
      <c r="E2876" s="366">
        <v>9.0</v>
      </c>
      <c r="F2876" s="367">
        <v>45866.41666666667</v>
      </c>
      <c r="G2876" s="364" t="s">
        <v>1187</v>
      </c>
      <c r="H2876" s="364" t="s">
        <v>1210</v>
      </c>
    </row>
    <row r="2877" ht="15.75" customHeight="1">
      <c r="A2877" s="364" t="s">
        <v>75</v>
      </c>
      <c r="B2877" s="364" t="s">
        <v>22</v>
      </c>
      <c r="C2877" s="365" t="s">
        <v>212</v>
      </c>
      <c r="D2877" s="364" t="s">
        <v>213</v>
      </c>
      <c r="E2877" s="366">
        <v>10.0</v>
      </c>
      <c r="F2877" s="367">
        <v>45894.54166666667</v>
      </c>
      <c r="G2877" s="364" t="s">
        <v>1185</v>
      </c>
      <c r="H2877" s="364" t="s">
        <v>1210</v>
      </c>
    </row>
    <row r="2878" ht="15.75" customHeight="1">
      <c r="A2878" s="364" t="s">
        <v>75</v>
      </c>
      <c r="B2878" s="364" t="s">
        <v>22</v>
      </c>
      <c r="C2878" s="365" t="s">
        <v>206</v>
      </c>
      <c r="D2878" s="364" t="s">
        <v>207</v>
      </c>
      <c r="E2878" s="366">
        <v>1.0</v>
      </c>
      <c r="F2878" s="367">
        <v>45761.41666666667</v>
      </c>
      <c r="G2878" s="364" t="s">
        <v>1185</v>
      </c>
      <c r="H2878" s="364" t="s">
        <v>1210</v>
      </c>
    </row>
    <row r="2879" ht="15.75" customHeight="1">
      <c r="A2879" s="364" t="s">
        <v>75</v>
      </c>
      <c r="B2879" s="364" t="s">
        <v>22</v>
      </c>
      <c r="C2879" s="365" t="s">
        <v>206</v>
      </c>
      <c r="D2879" s="364" t="s">
        <v>207</v>
      </c>
      <c r="E2879" s="366">
        <v>2.0</v>
      </c>
      <c r="F2879" s="367">
        <v>45786.45833333333</v>
      </c>
      <c r="G2879" s="364" t="s">
        <v>1185</v>
      </c>
      <c r="H2879" s="364" t="s">
        <v>1210</v>
      </c>
    </row>
    <row r="2880" ht="15.75" customHeight="1">
      <c r="A2880" s="364" t="s">
        <v>75</v>
      </c>
      <c r="B2880" s="364" t="s">
        <v>22</v>
      </c>
      <c r="C2880" s="365" t="s">
        <v>206</v>
      </c>
      <c r="D2880" s="364" t="s">
        <v>207</v>
      </c>
      <c r="E2880" s="366">
        <v>3.0</v>
      </c>
      <c r="F2880" s="367">
        <v>45793.45833333333</v>
      </c>
      <c r="G2880" s="364" t="s">
        <v>1185</v>
      </c>
      <c r="H2880" s="364" t="s">
        <v>1210</v>
      </c>
    </row>
    <row r="2881" ht="15.75" customHeight="1">
      <c r="A2881" s="364" t="s">
        <v>75</v>
      </c>
      <c r="B2881" s="364" t="s">
        <v>22</v>
      </c>
      <c r="C2881" s="365" t="s">
        <v>206</v>
      </c>
      <c r="D2881" s="364" t="s">
        <v>207</v>
      </c>
      <c r="E2881" s="366">
        <v>4.0</v>
      </c>
      <c r="F2881" s="367">
        <v>45803.45833333333</v>
      </c>
      <c r="G2881" s="364" t="s">
        <v>1185</v>
      </c>
      <c r="H2881" s="364" t="s">
        <v>1210</v>
      </c>
    </row>
    <row r="2882" ht="15.75" customHeight="1">
      <c r="A2882" s="364" t="s">
        <v>75</v>
      </c>
      <c r="B2882" s="364" t="s">
        <v>22</v>
      </c>
      <c r="C2882" s="365" t="s">
        <v>206</v>
      </c>
      <c r="D2882" s="364" t="s">
        <v>207</v>
      </c>
      <c r="E2882" s="366">
        <v>5.0</v>
      </c>
      <c r="F2882" s="367">
        <v>45817.45833333333</v>
      </c>
      <c r="G2882" s="364" t="s">
        <v>1185</v>
      </c>
      <c r="H2882" s="364" t="s">
        <v>1210</v>
      </c>
    </row>
    <row r="2883" ht="15.75" customHeight="1">
      <c r="A2883" s="364" t="s">
        <v>75</v>
      </c>
      <c r="B2883" s="364" t="s">
        <v>22</v>
      </c>
      <c r="C2883" s="365" t="s">
        <v>206</v>
      </c>
      <c r="D2883" s="364" t="s">
        <v>207</v>
      </c>
      <c r="E2883" s="366">
        <v>6.0</v>
      </c>
      <c r="F2883" s="367">
        <v>45824.45833333333</v>
      </c>
      <c r="G2883" s="364" t="s">
        <v>1185</v>
      </c>
      <c r="H2883" s="364" t="s">
        <v>1210</v>
      </c>
    </row>
    <row r="2884" ht="15.75" customHeight="1">
      <c r="A2884" s="364" t="s">
        <v>75</v>
      </c>
      <c r="B2884" s="364" t="s">
        <v>22</v>
      </c>
      <c r="C2884" s="365" t="s">
        <v>206</v>
      </c>
      <c r="D2884" s="364" t="s">
        <v>207</v>
      </c>
      <c r="E2884" s="366">
        <v>7.0</v>
      </c>
      <c r="F2884" s="367">
        <v>45852.625</v>
      </c>
      <c r="G2884" s="364" t="s">
        <v>1185</v>
      </c>
      <c r="H2884" s="364" t="s">
        <v>1210</v>
      </c>
    </row>
    <row r="2885" ht="15.75" customHeight="1">
      <c r="A2885" s="364" t="s">
        <v>75</v>
      </c>
      <c r="B2885" s="364" t="s">
        <v>22</v>
      </c>
      <c r="C2885" s="365" t="s">
        <v>206</v>
      </c>
      <c r="D2885" s="364" t="s">
        <v>207</v>
      </c>
      <c r="E2885" s="366">
        <v>8.0</v>
      </c>
      <c r="F2885" s="367">
        <v>45859.375</v>
      </c>
      <c r="G2885" s="364" t="s">
        <v>1185</v>
      </c>
      <c r="H2885" s="364" t="s">
        <v>1210</v>
      </c>
    </row>
    <row r="2886" ht="15.75" customHeight="1">
      <c r="A2886" s="364" t="s">
        <v>75</v>
      </c>
      <c r="B2886" s="364" t="s">
        <v>22</v>
      </c>
      <c r="C2886" s="365" t="s">
        <v>206</v>
      </c>
      <c r="D2886" s="364" t="s">
        <v>207</v>
      </c>
      <c r="E2886" s="366">
        <v>9.0</v>
      </c>
      <c r="F2886" s="367">
        <v>45866.41666666667</v>
      </c>
      <c r="G2886" s="364" t="s">
        <v>1185</v>
      </c>
      <c r="H2886" s="364" t="s">
        <v>1210</v>
      </c>
    </row>
    <row r="2887" ht="15.75" customHeight="1">
      <c r="A2887" s="364" t="s">
        <v>75</v>
      </c>
      <c r="B2887" s="364" t="s">
        <v>22</v>
      </c>
      <c r="C2887" s="365" t="s">
        <v>206</v>
      </c>
      <c r="D2887" s="364" t="s">
        <v>207</v>
      </c>
      <c r="E2887" s="366">
        <v>10.0</v>
      </c>
      <c r="F2887" s="367">
        <v>45894.54166666667</v>
      </c>
      <c r="G2887" s="364" t="s">
        <v>1185</v>
      </c>
      <c r="H2887" s="364" t="s">
        <v>1210</v>
      </c>
    </row>
    <row r="2888" ht="15.75" customHeight="1">
      <c r="A2888" s="364" t="s">
        <v>75</v>
      </c>
      <c r="B2888" s="364" t="s">
        <v>22</v>
      </c>
      <c r="C2888" s="365" t="s">
        <v>214</v>
      </c>
      <c r="D2888" s="364" t="s">
        <v>215</v>
      </c>
      <c r="E2888" s="366">
        <v>1.0</v>
      </c>
      <c r="F2888" s="367">
        <v>45761.41666666667</v>
      </c>
      <c r="G2888" s="364" t="s">
        <v>1185</v>
      </c>
      <c r="H2888" s="364" t="s">
        <v>1210</v>
      </c>
    </row>
    <row r="2889" ht="15.75" customHeight="1">
      <c r="A2889" s="364" t="s">
        <v>75</v>
      </c>
      <c r="B2889" s="364" t="s">
        <v>22</v>
      </c>
      <c r="C2889" s="365" t="s">
        <v>214</v>
      </c>
      <c r="D2889" s="364" t="s">
        <v>215</v>
      </c>
      <c r="E2889" s="366">
        <v>2.0</v>
      </c>
      <c r="F2889" s="367">
        <v>45786.45833333333</v>
      </c>
      <c r="G2889" s="364" t="s">
        <v>1187</v>
      </c>
      <c r="H2889" s="364" t="s">
        <v>1210</v>
      </c>
    </row>
    <row r="2890" ht="15.75" customHeight="1">
      <c r="A2890" s="364" t="s">
        <v>75</v>
      </c>
      <c r="B2890" s="364" t="s">
        <v>22</v>
      </c>
      <c r="C2890" s="365" t="s">
        <v>214</v>
      </c>
      <c r="D2890" s="364" t="s">
        <v>215</v>
      </c>
      <c r="E2890" s="366">
        <v>3.0</v>
      </c>
      <c r="F2890" s="367">
        <v>45793.45833333333</v>
      </c>
      <c r="G2890" s="364" t="s">
        <v>1185</v>
      </c>
      <c r="H2890" s="364" t="s">
        <v>1210</v>
      </c>
    </row>
    <row r="2891" ht="15.75" customHeight="1">
      <c r="A2891" s="364" t="s">
        <v>75</v>
      </c>
      <c r="B2891" s="364" t="s">
        <v>22</v>
      </c>
      <c r="C2891" s="365" t="s">
        <v>214</v>
      </c>
      <c r="D2891" s="364" t="s">
        <v>215</v>
      </c>
      <c r="E2891" s="366">
        <v>4.0</v>
      </c>
      <c r="F2891" s="367">
        <v>45803.45833333333</v>
      </c>
      <c r="G2891" s="364" t="s">
        <v>1185</v>
      </c>
      <c r="H2891" s="364" t="s">
        <v>1210</v>
      </c>
    </row>
    <row r="2892" ht="15.75" customHeight="1">
      <c r="A2892" s="364" t="s">
        <v>75</v>
      </c>
      <c r="B2892" s="364" t="s">
        <v>22</v>
      </c>
      <c r="C2892" s="365" t="s">
        <v>214</v>
      </c>
      <c r="D2892" s="364" t="s">
        <v>215</v>
      </c>
      <c r="E2892" s="366">
        <v>5.0</v>
      </c>
      <c r="F2892" s="367">
        <v>45817.45833333333</v>
      </c>
      <c r="G2892" s="364" t="s">
        <v>1185</v>
      </c>
      <c r="H2892" s="364" t="s">
        <v>1210</v>
      </c>
    </row>
    <row r="2893" ht="15.75" customHeight="1">
      <c r="A2893" s="364" t="s">
        <v>75</v>
      </c>
      <c r="B2893" s="364" t="s">
        <v>22</v>
      </c>
      <c r="C2893" s="365" t="s">
        <v>214</v>
      </c>
      <c r="D2893" s="364" t="s">
        <v>215</v>
      </c>
      <c r="E2893" s="366">
        <v>6.0</v>
      </c>
      <c r="F2893" s="367">
        <v>45824.45833333333</v>
      </c>
      <c r="G2893" s="364" t="s">
        <v>1185</v>
      </c>
      <c r="H2893" s="364" t="s">
        <v>1210</v>
      </c>
    </row>
    <row r="2894" ht="15.75" customHeight="1">
      <c r="A2894" s="364" t="s">
        <v>75</v>
      </c>
      <c r="B2894" s="364" t="s">
        <v>22</v>
      </c>
      <c r="C2894" s="365" t="s">
        <v>214</v>
      </c>
      <c r="D2894" s="364" t="s">
        <v>215</v>
      </c>
      <c r="E2894" s="366">
        <v>7.0</v>
      </c>
      <c r="F2894" s="367">
        <v>45852.625</v>
      </c>
      <c r="G2894" s="364" t="s">
        <v>1185</v>
      </c>
      <c r="H2894" s="364" t="s">
        <v>1210</v>
      </c>
    </row>
    <row r="2895" ht="15.75" customHeight="1">
      <c r="A2895" s="364" t="s">
        <v>75</v>
      </c>
      <c r="B2895" s="364" t="s">
        <v>22</v>
      </c>
      <c r="C2895" s="365" t="s">
        <v>214</v>
      </c>
      <c r="D2895" s="364" t="s">
        <v>215</v>
      </c>
      <c r="E2895" s="366">
        <v>8.0</v>
      </c>
      <c r="F2895" s="367">
        <v>45859.375</v>
      </c>
      <c r="G2895" s="364" t="s">
        <v>1185</v>
      </c>
      <c r="H2895" s="364" t="s">
        <v>1210</v>
      </c>
    </row>
    <row r="2896" ht="15.75" customHeight="1">
      <c r="A2896" s="364" t="s">
        <v>75</v>
      </c>
      <c r="B2896" s="364" t="s">
        <v>22</v>
      </c>
      <c r="C2896" s="365" t="s">
        <v>214</v>
      </c>
      <c r="D2896" s="364" t="s">
        <v>215</v>
      </c>
      <c r="E2896" s="366">
        <v>9.0</v>
      </c>
      <c r="F2896" s="367">
        <v>45866.41666666667</v>
      </c>
      <c r="G2896" s="364" t="s">
        <v>1185</v>
      </c>
      <c r="H2896" s="364" t="s">
        <v>1210</v>
      </c>
    </row>
    <row r="2897" ht="15.75" customHeight="1">
      <c r="A2897" s="364" t="s">
        <v>75</v>
      </c>
      <c r="B2897" s="364" t="s">
        <v>22</v>
      </c>
      <c r="C2897" s="365" t="s">
        <v>214</v>
      </c>
      <c r="D2897" s="364" t="s">
        <v>215</v>
      </c>
      <c r="E2897" s="366">
        <v>10.0</v>
      </c>
      <c r="F2897" s="367">
        <v>45894.54166666667</v>
      </c>
      <c r="G2897" s="364" t="s">
        <v>1185</v>
      </c>
      <c r="H2897" s="364" t="s">
        <v>1210</v>
      </c>
    </row>
    <row r="2898" ht="15.75" customHeight="1">
      <c r="A2898" s="364" t="s">
        <v>75</v>
      </c>
      <c r="B2898" s="364" t="s">
        <v>22</v>
      </c>
      <c r="C2898" s="365" t="s">
        <v>218</v>
      </c>
      <c r="D2898" s="364" t="s">
        <v>219</v>
      </c>
      <c r="E2898" s="366">
        <v>1.0</v>
      </c>
      <c r="F2898" s="367">
        <v>45761.41666666667</v>
      </c>
      <c r="G2898" s="364" t="s">
        <v>1185</v>
      </c>
      <c r="H2898" s="364" t="s">
        <v>1210</v>
      </c>
    </row>
    <row r="2899" ht="15.75" customHeight="1">
      <c r="A2899" s="364" t="s">
        <v>75</v>
      </c>
      <c r="B2899" s="364" t="s">
        <v>22</v>
      </c>
      <c r="C2899" s="365" t="s">
        <v>218</v>
      </c>
      <c r="D2899" s="364" t="s">
        <v>219</v>
      </c>
      <c r="E2899" s="366">
        <v>2.0</v>
      </c>
      <c r="F2899" s="367">
        <v>45786.45833333333</v>
      </c>
      <c r="G2899" s="364" t="s">
        <v>1185</v>
      </c>
      <c r="H2899" s="364" t="s">
        <v>1210</v>
      </c>
    </row>
    <row r="2900" ht="15.75" customHeight="1">
      <c r="A2900" s="364" t="s">
        <v>75</v>
      </c>
      <c r="B2900" s="364" t="s">
        <v>22</v>
      </c>
      <c r="C2900" s="365" t="s">
        <v>218</v>
      </c>
      <c r="D2900" s="364" t="s">
        <v>219</v>
      </c>
      <c r="E2900" s="366">
        <v>3.0</v>
      </c>
      <c r="F2900" s="367">
        <v>45793.45833333333</v>
      </c>
      <c r="G2900" s="364" t="s">
        <v>1185</v>
      </c>
      <c r="H2900" s="364" t="s">
        <v>1210</v>
      </c>
    </row>
    <row r="2901" ht="15.75" customHeight="1">
      <c r="A2901" s="364" t="s">
        <v>75</v>
      </c>
      <c r="B2901" s="364" t="s">
        <v>22</v>
      </c>
      <c r="C2901" s="365" t="s">
        <v>218</v>
      </c>
      <c r="D2901" s="364" t="s">
        <v>219</v>
      </c>
      <c r="E2901" s="366">
        <v>4.0</v>
      </c>
      <c r="F2901" s="367">
        <v>45803.45833333333</v>
      </c>
      <c r="G2901" s="364" t="s">
        <v>1187</v>
      </c>
      <c r="H2901" s="364" t="s">
        <v>1210</v>
      </c>
    </row>
    <row r="2902" ht="15.75" customHeight="1">
      <c r="A2902" s="364" t="s">
        <v>75</v>
      </c>
      <c r="B2902" s="364" t="s">
        <v>22</v>
      </c>
      <c r="C2902" s="365" t="s">
        <v>218</v>
      </c>
      <c r="D2902" s="364" t="s">
        <v>219</v>
      </c>
      <c r="E2902" s="366">
        <v>5.0</v>
      </c>
      <c r="F2902" s="367">
        <v>45817.45833333333</v>
      </c>
      <c r="G2902" s="364" t="s">
        <v>1185</v>
      </c>
      <c r="H2902" s="364" t="s">
        <v>1210</v>
      </c>
    </row>
    <row r="2903" ht="15.75" customHeight="1">
      <c r="A2903" s="364" t="s">
        <v>75</v>
      </c>
      <c r="B2903" s="364" t="s">
        <v>22</v>
      </c>
      <c r="C2903" s="365" t="s">
        <v>218</v>
      </c>
      <c r="D2903" s="364" t="s">
        <v>219</v>
      </c>
      <c r="E2903" s="366">
        <v>6.0</v>
      </c>
      <c r="F2903" s="367">
        <v>45824.45833333333</v>
      </c>
      <c r="G2903" s="364" t="s">
        <v>1185</v>
      </c>
      <c r="H2903" s="364" t="s">
        <v>1210</v>
      </c>
    </row>
    <row r="2904" ht="15.75" customHeight="1">
      <c r="A2904" s="364" t="s">
        <v>75</v>
      </c>
      <c r="B2904" s="364" t="s">
        <v>22</v>
      </c>
      <c r="C2904" s="365" t="s">
        <v>218</v>
      </c>
      <c r="D2904" s="364" t="s">
        <v>219</v>
      </c>
      <c r="E2904" s="366">
        <v>7.0</v>
      </c>
      <c r="F2904" s="367">
        <v>45852.625</v>
      </c>
      <c r="G2904" s="364" t="s">
        <v>1185</v>
      </c>
      <c r="H2904" s="364" t="s">
        <v>1210</v>
      </c>
    </row>
    <row r="2905" ht="15.75" customHeight="1">
      <c r="A2905" s="364" t="s">
        <v>75</v>
      </c>
      <c r="B2905" s="364" t="s">
        <v>22</v>
      </c>
      <c r="C2905" s="365" t="s">
        <v>218</v>
      </c>
      <c r="D2905" s="364" t="s">
        <v>219</v>
      </c>
      <c r="E2905" s="366">
        <v>8.0</v>
      </c>
      <c r="F2905" s="367">
        <v>45859.375</v>
      </c>
      <c r="G2905" s="364" t="s">
        <v>1185</v>
      </c>
      <c r="H2905" s="364" t="s">
        <v>1210</v>
      </c>
    </row>
    <row r="2906" ht="15.75" customHeight="1">
      <c r="A2906" s="364" t="s">
        <v>75</v>
      </c>
      <c r="B2906" s="364" t="s">
        <v>22</v>
      </c>
      <c r="C2906" s="365" t="s">
        <v>218</v>
      </c>
      <c r="D2906" s="364" t="s">
        <v>219</v>
      </c>
      <c r="E2906" s="366">
        <v>9.0</v>
      </c>
      <c r="F2906" s="367">
        <v>45866.41666666667</v>
      </c>
      <c r="G2906" s="364" t="s">
        <v>1187</v>
      </c>
      <c r="H2906" s="364" t="s">
        <v>1210</v>
      </c>
    </row>
    <row r="2907" ht="15.75" customHeight="1">
      <c r="A2907" s="364" t="s">
        <v>75</v>
      </c>
      <c r="B2907" s="364" t="s">
        <v>22</v>
      </c>
      <c r="C2907" s="365" t="s">
        <v>218</v>
      </c>
      <c r="D2907" s="364" t="s">
        <v>219</v>
      </c>
      <c r="E2907" s="366">
        <v>10.0</v>
      </c>
      <c r="F2907" s="367">
        <v>45894.54166666667</v>
      </c>
      <c r="G2907" s="364" t="s">
        <v>1185</v>
      </c>
      <c r="H2907" s="364" t="s">
        <v>1210</v>
      </c>
    </row>
    <row r="2908" ht="15.75" customHeight="1">
      <c r="A2908" s="364" t="s">
        <v>75</v>
      </c>
      <c r="B2908" s="364" t="s">
        <v>22</v>
      </c>
      <c r="C2908" s="365" t="s">
        <v>216</v>
      </c>
      <c r="D2908" s="364" t="s">
        <v>217</v>
      </c>
      <c r="E2908" s="366">
        <v>1.0</v>
      </c>
      <c r="F2908" s="367">
        <v>45761.41666666667</v>
      </c>
      <c r="G2908" s="364" t="s">
        <v>1185</v>
      </c>
      <c r="H2908" s="364" t="s">
        <v>1210</v>
      </c>
    </row>
    <row r="2909" ht="15.75" customHeight="1">
      <c r="A2909" s="364" t="s">
        <v>75</v>
      </c>
      <c r="B2909" s="364" t="s">
        <v>22</v>
      </c>
      <c r="C2909" s="365" t="s">
        <v>216</v>
      </c>
      <c r="D2909" s="364" t="s">
        <v>217</v>
      </c>
      <c r="E2909" s="366">
        <v>2.0</v>
      </c>
      <c r="F2909" s="367">
        <v>45786.45833333333</v>
      </c>
      <c r="G2909" s="364" t="s">
        <v>1185</v>
      </c>
      <c r="H2909" s="364" t="s">
        <v>1210</v>
      </c>
    </row>
    <row r="2910" ht="15.75" customHeight="1">
      <c r="A2910" s="364" t="s">
        <v>75</v>
      </c>
      <c r="B2910" s="364" t="s">
        <v>22</v>
      </c>
      <c r="C2910" s="365" t="s">
        <v>216</v>
      </c>
      <c r="D2910" s="364" t="s">
        <v>217</v>
      </c>
      <c r="E2910" s="366">
        <v>3.0</v>
      </c>
      <c r="F2910" s="367">
        <v>45793.45833333333</v>
      </c>
      <c r="G2910" s="364" t="s">
        <v>1187</v>
      </c>
      <c r="H2910" s="364" t="s">
        <v>1210</v>
      </c>
    </row>
    <row r="2911" ht="15.75" customHeight="1">
      <c r="A2911" s="364" t="s">
        <v>75</v>
      </c>
      <c r="B2911" s="364" t="s">
        <v>22</v>
      </c>
      <c r="C2911" s="365" t="s">
        <v>216</v>
      </c>
      <c r="D2911" s="364" t="s">
        <v>217</v>
      </c>
      <c r="E2911" s="366">
        <v>4.0</v>
      </c>
      <c r="F2911" s="367">
        <v>45803.45833333333</v>
      </c>
      <c r="G2911" s="364" t="s">
        <v>1185</v>
      </c>
      <c r="H2911" s="364" t="s">
        <v>1210</v>
      </c>
    </row>
    <row r="2912" ht="15.75" customHeight="1">
      <c r="A2912" s="364" t="s">
        <v>75</v>
      </c>
      <c r="B2912" s="364" t="s">
        <v>22</v>
      </c>
      <c r="C2912" s="365" t="s">
        <v>216</v>
      </c>
      <c r="D2912" s="364" t="s">
        <v>217</v>
      </c>
      <c r="E2912" s="366">
        <v>5.0</v>
      </c>
      <c r="F2912" s="367">
        <v>45817.45833333333</v>
      </c>
      <c r="G2912" s="364" t="s">
        <v>1185</v>
      </c>
      <c r="H2912" s="364" t="s">
        <v>1210</v>
      </c>
    </row>
    <row r="2913" ht="15.75" customHeight="1">
      <c r="A2913" s="364" t="s">
        <v>75</v>
      </c>
      <c r="B2913" s="364" t="s">
        <v>22</v>
      </c>
      <c r="C2913" s="365" t="s">
        <v>216</v>
      </c>
      <c r="D2913" s="364" t="s">
        <v>217</v>
      </c>
      <c r="E2913" s="366">
        <v>6.0</v>
      </c>
      <c r="F2913" s="367">
        <v>45824.45833333333</v>
      </c>
      <c r="G2913" s="364" t="s">
        <v>1185</v>
      </c>
      <c r="H2913" s="364" t="s">
        <v>1210</v>
      </c>
    </row>
    <row r="2914" ht="15.75" customHeight="1">
      <c r="A2914" s="364" t="s">
        <v>75</v>
      </c>
      <c r="B2914" s="364" t="s">
        <v>22</v>
      </c>
      <c r="C2914" s="365" t="s">
        <v>216</v>
      </c>
      <c r="D2914" s="364" t="s">
        <v>217</v>
      </c>
      <c r="E2914" s="366">
        <v>7.0</v>
      </c>
      <c r="F2914" s="367">
        <v>45852.625</v>
      </c>
      <c r="G2914" s="364" t="s">
        <v>1185</v>
      </c>
      <c r="H2914" s="364" t="s">
        <v>1210</v>
      </c>
    </row>
    <row r="2915" ht="15.75" customHeight="1">
      <c r="A2915" s="364" t="s">
        <v>75</v>
      </c>
      <c r="B2915" s="364" t="s">
        <v>22</v>
      </c>
      <c r="C2915" s="365" t="s">
        <v>216</v>
      </c>
      <c r="D2915" s="364" t="s">
        <v>217</v>
      </c>
      <c r="E2915" s="366">
        <v>8.0</v>
      </c>
      <c r="F2915" s="367">
        <v>45859.375</v>
      </c>
      <c r="G2915" s="364" t="s">
        <v>1185</v>
      </c>
      <c r="H2915" s="364" t="s">
        <v>1210</v>
      </c>
    </row>
    <row r="2916" ht="15.75" customHeight="1">
      <c r="A2916" s="364" t="s">
        <v>75</v>
      </c>
      <c r="B2916" s="364" t="s">
        <v>22</v>
      </c>
      <c r="C2916" s="365" t="s">
        <v>216</v>
      </c>
      <c r="D2916" s="364" t="s">
        <v>217</v>
      </c>
      <c r="E2916" s="366">
        <v>9.0</v>
      </c>
      <c r="F2916" s="367">
        <v>45866.41666666667</v>
      </c>
      <c r="G2916" s="364" t="s">
        <v>1185</v>
      </c>
      <c r="H2916" s="364" t="s">
        <v>1210</v>
      </c>
    </row>
    <row r="2917" ht="15.75" customHeight="1">
      <c r="A2917" s="364" t="s">
        <v>75</v>
      </c>
      <c r="B2917" s="364" t="s">
        <v>22</v>
      </c>
      <c r="C2917" s="365" t="s">
        <v>216</v>
      </c>
      <c r="D2917" s="364" t="s">
        <v>217</v>
      </c>
      <c r="E2917" s="366">
        <v>10.0</v>
      </c>
      <c r="F2917" s="367">
        <v>45894.54166666667</v>
      </c>
      <c r="G2917" s="364" t="s">
        <v>1185</v>
      </c>
      <c r="H2917" s="364" t="s">
        <v>1210</v>
      </c>
    </row>
    <row r="2918" ht="15.75" customHeight="1">
      <c r="A2918" s="364" t="s">
        <v>75</v>
      </c>
      <c r="B2918" s="364" t="s">
        <v>23</v>
      </c>
      <c r="C2918" s="365" t="s">
        <v>210</v>
      </c>
      <c r="D2918" s="364" t="s">
        <v>211</v>
      </c>
      <c r="E2918" s="366">
        <v>1.0</v>
      </c>
      <c r="F2918" s="367">
        <v>45922.41666666667</v>
      </c>
      <c r="G2918" s="364" t="s">
        <v>1185</v>
      </c>
      <c r="H2918" s="364" t="s">
        <v>1210</v>
      </c>
    </row>
    <row r="2919" ht="15.75" customHeight="1">
      <c r="A2919" s="364" t="s">
        <v>75</v>
      </c>
      <c r="B2919" s="364" t="s">
        <v>23</v>
      </c>
      <c r="C2919" s="365" t="s">
        <v>210</v>
      </c>
      <c r="D2919" s="364" t="s">
        <v>211</v>
      </c>
      <c r="E2919" s="366">
        <v>2.0</v>
      </c>
      <c r="F2919" s="367">
        <v>45926.54166666667</v>
      </c>
      <c r="G2919" s="364" t="s">
        <v>1185</v>
      </c>
      <c r="H2919" s="364" t="s">
        <v>1210</v>
      </c>
    </row>
    <row r="2920" ht="15.75" customHeight="1">
      <c r="A2920" s="364" t="s">
        <v>75</v>
      </c>
      <c r="B2920" s="364" t="s">
        <v>23</v>
      </c>
      <c r="C2920" s="365" t="s">
        <v>210</v>
      </c>
      <c r="D2920" s="364" t="s">
        <v>211</v>
      </c>
      <c r="E2920" s="366">
        <v>3.0</v>
      </c>
      <c r="F2920" s="367">
        <v>45929.41666666667</v>
      </c>
      <c r="G2920" s="364" t="s">
        <v>1185</v>
      </c>
      <c r="H2920" s="364" t="s">
        <v>1210</v>
      </c>
    </row>
    <row r="2921" ht="15.75" customHeight="1">
      <c r="A2921" s="364" t="s">
        <v>75</v>
      </c>
      <c r="B2921" s="364" t="s">
        <v>23</v>
      </c>
      <c r="C2921" s="365" t="s">
        <v>210</v>
      </c>
      <c r="D2921" s="364" t="s">
        <v>211</v>
      </c>
      <c r="E2921" s="366">
        <v>5.0</v>
      </c>
      <c r="F2921" s="367">
        <v>45947.41666666667</v>
      </c>
      <c r="G2921" s="364" t="s">
        <v>1185</v>
      </c>
      <c r="H2921" s="364" t="s">
        <v>1210</v>
      </c>
    </row>
    <row r="2922" ht="15.75" customHeight="1">
      <c r="A2922" s="364" t="s">
        <v>75</v>
      </c>
      <c r="B2922" s="364" t="s">
        <v>23</v>
      </c>
      <c r="C2922" s="365" t="s">
        <v>210</v>
      </c>
      <c r="D2922" s="364" t="s">
        <v>211</v>
      </c>
      <c r="E2922" s="366">
        <v>6.0</v>
      </c>
      <c r="F2922" s="367">
        <v>45950.41666666667</v>
      </c>
      <c r="G2922" s="364" t="s">
        <v>1185</v>
      </c>
      <c r="H2922" s="364" t="s">
        <v>1210</v>
      </c>
    </row>
    <row r="2923" ht="15.75" customHeight="1">
      <c r="A2923" s="364" t="s">
        <v>75</v>
      </c>
      <c r="B2923" s="364" t="s">
        <v>23</v>
      </c>
      <c r="C2923" s="365" t="s">
        <v>210</v>
      </c>
      <c r="D2923" s="364" t="s">
        <v>211</v>
      </c>
      <c r="E2923" s="366">
        <v>7.0</v>
      </c>
      <c r="F2923" s="367">
        <v>45971.625</v>
      </c>
      <c r="G2923" s="364" t="s">
        <v>1185</v>
      </c>
      <c r="H2923" s="364" t="s">
        <v>1210</v>
      </c>
    </row>
    <row r="2924" ht="15.75" customHeight="1">
      <c r="A2924" s="364" t="s">
        <v>75</v>
      </c>
      <c r="B2924" s="364" t="s">
        <v>23</v>
      </c>
      <c r="C2924" s="365" t="s">
        <v>210</v>
      </c>
      <c r="D2924" s="364" t="s">
        <v>211</v>
      </c>
      <c r="E2924" s="366">
        <v>8.0</v>
      </c>
      <c r="F2924" s="367">
        <v>45980.625</v>
      </c>
      <c r="G2924" s="364" t="s">
        <v>1185</v>
      </c>
      <c r="H2924" s="364" t="s">
        <v>1210</v>
      </c>
    </row>
    <row r="2925" ht="15.75" customHeight="1">
      <c r="A2925" s="364" t="s">
        <v>75</v>
      </c>
      <c r="B2925" s="364" t="s">
        <v>23</v>
      </c>
      <c r="C2925" s="365" t="s">
        <v>210</v>
      </c>
      <c r="D2925" s="364" t="s">
        <v>211</v>
      </c>
      <c r="E2925" s="366">
        <v>9.0</v>
      </c>
      <c r="F2925" s="367">
        <v>46008.625</v>
      </c>
      <c r="G2925" s="364" t="s">
        <v>1185</v>
      </c>
      <c r="H2925" s="364" t="s">
        <v>1210</v>
      </c>
    </row>
    <row r="2926" ht="15.75" customHeight="1">
      <c r="A2926" s="364" t="s">
        <v>75</v>
      </c>
      <c r="B2926" s="364" t="s">
        <v>23</v>
      </c>
      <c r="C2926" s="365" t="s">
        <v>210</v>
      </c>
      <c r="D2926" s="364" t="s">
        <v>211</v>
      </c>
      <c r="E2926" s="366">
        <v>10.0</v>
      </c>
      <c r="F2926" s="367">
        <v>46017.625</v>
      </c>
      <c r="G2926" s="364" t="s">
        <v>1185</v>
      </c>
      <c r="H2926" s="364" t="s">
        <v>1210</v>
      </c>
    </row>
    <row r="2927" ht="15.75" customHeight="1">
      <c r="A2927" s="364" t="s">
        <v>75</v>
      </c>
      <c r="B2927" s="364" t="s">
        <v>23</v>
      </c>
      <c r="C2927" s="365" t="s">
        <v>210</v>
      </c>
      <c r="D2927" s="364" t="s">
        <v>211</v>
      </c>
      <c r="E2927" s="366">
        <v>11.0</v>
      </c>
      <c r="F2927" s="367">
        <v>46041.625</v>
      </c>
      <c r="G2927" s="364" t="s">
        <v>1185</v>
      </c>
      <c r="H2927" s="364" t="s">
        <v>1210</v>
      </c>
    </row>
    <row r="2928" ht="15.75" customHeight="1">
      <c r="A2928" s="364" t="s">
        <v>75</v>
      </c>
      <c r="B2928" s="364" t="s">
        <v>23</v>
      </c>
      <c r="C2928" s="365" t="s">
        <v>210</v>
      </c>
      <c r="D2928" s="364" t="s">
        <v>211</v>
      </c>
      <c r="E2928" s="366">
        <v>12.0</v>
      </c>
      <c r="F2928" s="367">
        <v>46048.54166666667</v>
      </c>
      <c r="G2928" s="364" t="s">
        <v>1185</v>
      </c>
      <c r="H2928" s="364" t="s">
        <v>1210</v>
      </c>
    </row>
    <row r="2929" ht="15.75" customHeight="1">
      <c r="A2929" s="364" t="s">
        <v>75</v>
      </c>
      <c r="B2929" s="364" t="s">
        <v>23</v>
      </c>
      <c r="C2929" s="365" t="s">
        <v>210</v>
      </c>
      <c r="D2929" s="364" t="s">
        <v>211</v>
      </c>
      <c r="E2929" s="366">
        <v>13.0</v>
      </c>
      <c r="F2929" s="367">
        <v>46086.41666666667</v>
      </c>
      <c r="G2929" s="364" t="s">
        <v>1185</v>
      </c>
      <c r="H2929" s="364" t="s">
        <v>1210</v>
      </c>
    </row>
    <row r="2930" ht="15.75" customHeight="1">
      <c r="A2930" s="364" t="s">
        <v>75</v>
      </c>
      <c r="B2930" s="364" t="s">
        <v>23</v>
      </c>
      <c r="C2930" s="365" t="s">
        <v>210</v>
      </c>
      <c r="D2930" s="364" t="s">
        <v>211</v>
      </c>
      <c r="E2930" s="366">
        <v>14.0</v>
      </c>
      <c r="F2930" s="367">
        <v>46087.41666666667</v>
      </c>
      <c r="G2930" s="364" t="s">
        <v>1185</v>
      </c>
      <c r="H2930" s="364" t="s">
        <v>1210</v>
      </c>
    </row>
    <row r="2931" ht="15.75" customHeight="1">
      <c r="A2931" s="364" t="s">
        <v>75</v>
      </c>
      <c r="B2931" s="364" t="s">
        <v>23</v>
      </c>
      <c r="C2931" s="365" t="s">
        <v>210</v>
      </c>
      <c r="D2931" s="364" t="s">
        <v>211</v>
      </c>
      <c r="E2931" s="366">
        <v>15.0</v>
      </c>
      <c r="F2931" s="367">
        <v>46094.41666666667</v>
      </c>
      <c r="G2931" s="364" t="s">
        <v>1185</v>
      </c>
      <c r="H2931" s="364" t="s">
        <v>1210</v>
      </c>
    </row>
    <row r="2932" ht="15.75" customHeight="1">
      <c r="A2932" s="364" t="s">
        <v>75</v>
      </c>
      <c r="B2932" s="364" t="s">
        <v>23</v>
      </c>
      <c r="C2932" s="365" t="s">
        <v>210</v>
      </c>
      <c r="D2932" s="364" t="s">
        <v>211</v>
      </c>
      <c r="E2932" s="366">
        <v>16.0</v>
      </c>
      <c r="F2932" s="367">
        <v>46136.41666666667</v>
      </c>
      <c r="G2932" s="364" t="s">
        <v>1185</v>
      </c>
      <c r="H2932" s="364" t="s">
        <v>1210</v>
      </c>
    </row>
    <row r="2933" ht="15.75" customHeight="1">
      <c r="A2933" s="364" t="s">
        <v>75</v>
      </c>
      <c r="B2933" s="364" t="s">
        <v>23</v>
      </c>
      <c r="C2933" s="365" t="s">
        <v>212</v>
      </c>
      <c r="D2933" s="364" t="s">
        <v>213</v>
      </c>
      <c r="E2933" s="366">
        <v>1.0</v>
      </c>
      <c r="F2933" s="367">
        <v>45922.41666666667</v>
      </c>
      <c r="G2933" s="364" t="s">
        <v>1185</v>
      </c>
      <c r="H2933" s="364" t="s">
        <v>1210</v>
      </c>
    </row>
    <row r="2934" ht="15.75" customHeight="1">
      <c r="A2934" s="364" t="s">
        <v>75</v>
      </c>
      <c r="B2934" s="364" t="s">
        <v>23</v>
      </c>
      <c r="C2934" s="365" t="s">
        <v>212</v>
      </c>
      <c r="D2934" s="364" t="s">
        <v>213</v>
      </c>
      <c r="E2934" s="366">
        <v>2.0</v>
      </c>
      <c r="F2934" s="367">
        <v>45926.54166666667</v>
      </c>
      <c r="G2934" s="364" t="s">
        <v>1185</v>
      </c>
      <c r="H2934" s="364" t="s">
        <v>1210</v>
      </c>
    </row>
    <row r="2935" ht="15.75" customHeight="1">
      <c r="A2935" s="364" t="s">
        <v>75</v>
      </c>
      <c r="B2935" s="364" t="s">
        <v>23</v>
      </c>
      <c r="C2935" s="365" t="s">
        <v>212</v>
      </c>
      <c r="D2935" s="364" t="s">
        <v>213</v>
      </c>
      <c r="E2935" s="366">
        <v>3.0</v>
      </c>
      <c r="F2935" s="367">
        <v>45929.41666666667</v>
      </c>
      <c r="G2935" s="364" t="s">
        <v>1185</v>
      </c>
      <c r="H2935" s="364" t="s">
        <v>1210</v>
      </c>
    </row>
    <row r="2936" ht="15.75" customHeight="1">
      <c r="A2936" s="364" t="s">
        <v>75</v>
      </c>
      <c r="B2936" s="364" t="s">
        <v>23</v>
      </c>
      <c r="C2936" s="365" t="s">
        <v>212</v>
      </c>
      <c r="D2936" s="364" t="s">
        <v>213</v>
      </c>
      <c r="E2936" s="366">
        <v>5.0</v>
      </c>
      <c r="F2936" s="367">
        <v>45947.41666666667</v>
      </c>
      <c r="G2936" s="364" t="s">
        <v>1187</v>
      </c>
      <c r="H2936" s="364" t="s">
        <v>1210</v>
      </c>
    </row>
    <row r="2937" ht="15.75" customHeight="1">
      <c r="A2937" s="364" t="s">
        <v>75</v>
      </c>
      <c r="B2937" s="364" t="s">
        <v>23</v>
      </c>
      <c r="C2937" s="365" t="s">
        <v>212</v>
      </c>
      <c r="D2937" s="364" t="s">
        <v>213</v>
      </c>
      <c r="E2937" s="366">
        <v>6.0</v>
      </c>
      <c r="F2937" s="367">
        <v>45950.41666666667</v>
      </c>
      <c r="G2937" s="364" t="s">
        <v>1185</v>
      </c>
      <c r="H2937" s="364" t="s">
        <v>1210</v>
      </c>
    </row>
    <row r="2938" ht="15.75" customHeight="1">
      <c r="A2938" s="364" t="s">
        <v>75</v>
      </c>
      <c r="B2938" s="364" t="s">
        <v>23</v>
      </c>
      <c r="C2938" s="365" t="s">
        <v>212</v>
      </c>
      <c r="D2938" s="364" t="s">
        <v>213</v>
      </c>
      <c r="E2938" s="366">
        <v>7.0</v>
      </c>
      <c r="F2938" s="367">
        <v>45971.625</v>
      </c>
      <c r="G2938" s="364" t="s">
        <v>1185</v>
      </c>
      <c r="H2938" s="364" t="s">
        <v>1210</v>
      </c>
    </row>
    <row r="2939" ht="15.75" customHeight="1">
      <c r="A2939" s="364" t="s">
        <v>75</v>
      </c>
      <c r="B2939" s="364" t="s">
        <v>23</v>
      </c>
      <c r="C2939" s="365" t="s">
        <v>212</v>
      </c>
      <c r="D2939" s="364" t="s">
        <v>213</v>
      </c>
      <c r="E2939" s="366">
        <v>8.0</v>
      </c>
      <c r="F2939" s="367">
        <v>45980.625</v>
      </c>
      <c r="G2939" s="364" t="s">
        <v>1185</v>
      </c>
      <c r="H2939" s="364" t="s">
        <v>1210</v>
      </c>
    </row>
    <row r="2940" ht="15.75" customHeight="1">
      <c r="A2940" s="364" t="s">
        <v>75</v>
      </c>
      <c r="B2940" s="364" t="s">
        <v>23</v>
      </c>
      <c r="C2940" s="365" t="s">
        <v>212</v>
      </c>
      <c r="D2940" s="364" t="s">
        <v>213</v>
      </c>
      <c r="E2940" s="366">
        <v>9.0</v>
      </c>
      <c r="F2940" s="367">
        <v>46008.625</v>
      </c>
      <c r="G2940" s="364" t="s">
        <v>1185</v>
      </c>
      <c r="H2940" s="364" t="s">
        <v>1210</v>
      </c>
    </row>
    <row r="2941" ht="15.75" customHeight="1">
      <c r="A2941" s="364" t="s">
        <v>75</v>
      </c>
      <c r="B2941" s="364" t="s">
        <v>23</v>
      </c>
      <c r="C2941" s="365" t="s">
        <v>212</v>
      </c>
      <c r="D2941" s="364" t="s">
        <v>213</v>
      </c>
      <c r="E2941" s="366">
        <v>10.0</v>
      </c>
      <c r="F2941" s="367">
        <v>46017.625</v>
      </c>
      <c r="G2941" s="364" t="s">
        <v>1187</v>
      </c>
      <c r="H2941" s="364" t="s">
        <v>1210</v>
      </c>
    </row>
    <row r="2942" ht="15.75" customHeight="1">
      <c r="A2942" s="364" t="s">
        <v>75</v>
      </c>
      <c r="B2942" s="364" t="s">
        <v>23</v>
      </c>
      <c r="C2942" s="365" t="s">
        <v>212</v>
      </c>
      <c r="D2942" s="364" t="s">
        <v>213</v>
      </c>
      <c r="E2942" s="366">
        <v>11.0</v>
      </c>
      <c r="F2942" s="367">
        <v>46041.625</v>
      </c>
      <c r="G2942" s="364" t="s">
        <v>1185</v>
      </c>
      <c r="H2942" s="364" t="s">
        <v>1210</v>
      </c>
    </row>
    <row r="2943" ht="15.75" customHeight="1">
      <c r="A2943" s="364" t="s">
        <v>75</v>
      </c>
      <c r="B2943" s="364" t="s">
        <v>23</v>
      </c>
      <c r="C2943" s="365" t="s">
        <v>212</v>
      </c>
      <c r="D2943" s="364" t="s">
        <v>213</v>
      </c>
      <c r="E2943" s="366">
        <v>12.0</v>
      </c>
      <c r="F2943" s="367">
        <v>46048.54166666667</v>
      </c>
      <c r="G2943" s="364" t="s">
        <v>1185</v>
      </c>
      <c r="H2943" s="364" t="s">
        <v>1210</v>
      </c>
    </row>
    <row r="2944" ht="15.75" customHeight="1">
      <c r="A2944" s="364" t="s">
        <v>75</v>
      </c>
      <c r="B2944" s="364" t="s">
        <v>23</v>
      </c>
      <c r="C2944" s="365" t="s">
        <v>212</v>
      </c>
      <c r="D2944" s="364" t="s">
        <v>213</v>
      </c>
      <c r="E2944" s="366">
        <v>13.0</v>
      </c>
      <c r="F2944" s="367">
        <v>46086.41666666667</v>
      </c>
      <c r="G2944" s="364" t="s">
        <v>1185</v>
      </c>
      <c r="H2944" s="364" t="s">
        <v>1210</v>
      </c>
    </row>
    <row r="2945" ht="15.75" customHeight="1">
      <c r="A2945" s="364" t="s">
        <v>75</v>
      </c>
      <c r="B2945" s="364" t="s">
        <v>23</v>
      </c>
      <c r="C2945" s="365" t="s">
        <v>212</v>
      </c>
      <c r="D2945" s="364" t="s">
        <v>213</v>
      </c>
      <c r="E2945" s="366">
        <v>14.0</v>
      </c>
      <c r="F2945" s="367">
        <v>46087.41666666667</v>
      </c>
      <c r="G2945" s="364" t="s">
        <v>1187</v>
      </c>
      <c r="H2945" s="364" t="s">
        <v>1210</v>
      </c>
    </row>
    <row r="2946" ht="15.75" customHeight="1">
      <c r="A2946" s="364" t="s">
        <v>75</v>
      </c>
      <c r="B2946" s="364" t="s">
        <v>23</v>
      </c>
      <c r="C2946" s="365" t="s">
        <v>212</v>
      </c>
      <c r="D2946" s="364" t="s">
        <v>213</v>
      </c>
      <c r="E2946" s="366">
        <v>15.0</v>
      </c>
      <c r="F2946" s="367">
        <v>46094.41666666667</v>
      </c>
      <c r="G2946" s="364" t="s">
        <v>1187</v>
      </c>
      <c r="H2946" s="364" t="s">
        <v>1210</v>
      </c>
    </row>
    <row r="2947" ht="15.75" customHeight="1">
      <c r="A2947" s="364" t="s">
        <v>75</v>
      </c>
      <c r="B2947" s="364" t="s">
        <v>23</v>
      </c>
      <c r="C2947" s="365" t="s">
        <v>212</v>
      </c>
      <c r="D2947" s="364" t="s">
        <v>213</v>
      </c>
      <c r="E2947" s="366">
        <v>16.0</v>
      </c>
      <c r="F2947" s="367">
        <v>46136.41666666667</v>
      </c>
      <c r="G2947" s="364" t="s">
        <v>1185</v>
      </c>
      <c r="H2947" s="364" t="s">
        <v>1210</v>
      </c>
    </row>
    <row r="2948" ht="15.75" customHeight="1">
      <c r="A2948" s="364" t="s">
        <v>75</v>
      </c>
      <c r="B2948" s="364" t="s">
        <v>23</v>
      </c>
      <c r="C2948" s="365" t="s">
        <v>206</v>
      </c>
      <c r="D2948" s="364" t="s">
        <v>207</v>
      </c>
      <c r="E2948" s="366">
        <v>1.0</v>
      </c>
      <c r="F2948" s="367">
        <v>45922.41666666667</v>
      </c>
      <c r="G2948" s="364" t="s">
        <v>1185</v>
      </c>
      <c r="H2948" s="364" t="s">
        <v>1210</v>
      </c>
    </row>
    <row r="2949" ht="15.75" customHeight="1">
      <c r="A2949" s="364" t="s">
        <v>75</v>
      </c>
      <c r="B2949" s="364" t="s">
        <v>23</v>
      </c>
      <c r="C2949" s="365" t="s">
        <v>206</v>
      </c>
      <c r="D2949" s="364" t="s">
        <v>207</v>
      </c>
      <c r="E2949" s="366">
        <v>2.0</v>
      </c>
      <c r="F2949" s="367">
        <v>45926.54166666667</v>
      </c>
      <c r="G2949" s="364" t="s">
        <v>1185</v>
      </c>
      <c r="H2949" s="364" t="s">
        <v>1210</v>
      </c>
    </row>
    <row r="2950" ht="15.75" customHeight="1">
      <c r="A2950" s="364" t="s">
        <v>75</v>
      </c>
      <c r="B2950" s="364" t="s">
        <v>23</v>
      </c>
      <c r="C2950" s="365" t="s">
        <v>206</v>
      </c>
      <c r="D2950" s="364" t="s">
        <v>207</v>
      </c>
      <c r="E2950" s="366">
        <v>3.0</v>
      </c>
      <c r="F2950" s="367">
        <v>45929.41666666667</v>
      </c>
      <c r="G2950" s="364" t="s">
        <v>1187</v>
      </c>
      <c r="H2950" s="364" t="s">
        <v>1210</v>
      </c>
    </row>
    <row r="2951" ht="15.75" customHeight="1">
      <c r="A2951" s="364" t="s">
        <v>75</v>
      </c>
      <c r="B2951" s="364" t="s">
        <v>23</v>
      </c>
      <c r="C2951" s="365" t="s">
        <v>206</v>
      </c>
      <c r="D2951" s="364" t="s">
        <v>207</v>
      </c>
      <c r="E2951" s="366">
        <v>5.0</v>
      </c>
      <c r="F2951" s="367">
        <v>45947.41666666667</v>
      </c>
      <c r="G2951" s="364" t="s">
        <v>1185</v>
      </c>
      <c r="H2951" s="364" t="s">
        <v>1210</v>
      </c>
    </row>
    <row r="2952" ht="15.75" customHeight="1">
      <c r="A2952" s="364" t="s">
        <v>75</v>
      </c>
      <c r="B2952" s="364" t="s">
        <v>23</v>
      </c>
      <c r="C2952" s="365" t="s">
        <v>206</v>
      </c>
      <c r="D2952" s="364" t="s">
        <v>207</v>
      </c>
      <c r="E2952" s="366">
        <v>6.0</v>
      </c>
      <c r="F2952" s="367">
        <v>45950.41666666667</v>
      </c>
      <c r="G2952" s="364" t="s">
        <v>1185</v>
      </c>
      <c r="H2952" s="364" t="s">
        <v>1210</v>
      </c>
    </row>
    <row r="2953" ht="15.75" customHeight="1">
      <c r="A2953" s="364" t="s">
        <v>75</v>
      </c>
      <c r="B2953" s="364" t="s">
        <v>23</v>
      </c>
      <c r="C2953" s="365" t="s">
        <v>206</v>
      </c>
      <c r="D2953" s="364" t="s">
        <v>207</v>
      </c>
      <c r="E2953" s="366">
        <v>7.0</v>
      </c>
      <c r="F2953" s="367">
        <v>45971.625</v>
      </c>
      <c r="G2953" s="364" t="s">
        <v>1185</v>
      </c>
      <c r="H2953" s="364" t="s">
        <v>1210</v>
      </c>
    </row>
    <row r="2954" ht="15.75" customHeight="1">
      <c r="A2954" s="364" t="s">
        <v>75</v>
      </c>
      <c r="B2954" s="364" t="s">
        <v>23</v>
      </c>
      <c r="C2954" s="365" t="s">
        <v>206</v>
      </c>
      <c r="D2954" s="364" t="s">
        <v>207</v>
      </c>
      <c r="E2954" s="366">
        <v>8.0</v>
      </c>
      <c r="F2954" s="367">
        <v>45980.625</v>
      </c>
      <c r="G2954" s="364" t="s">
        <v>1185</v>
      </c>
      <c r="H2954" s="364" t="s">
        <v>1210</v>
      </c>
    </row>
    <row r="2955" ht="15.75" customHeight="1">
      <c r="A2955" s="364" t="s">
        <v>75</v>
      </c>
      <c r="B2955" s="364" t="s">
        <v>23</v>
      </c>
      <c r="C2955" s="365" t="s">
        <v>206</v>
      </c>
      <c r="D2955" s="364" t="s">
        <v>207</v>
      </c>
      <c r="E2955" s="366">
        <v>9.0</v>
      </c>
      <c r="F2955" s="367">
        <v>46008.625</v>
      </c>
      <c r="G2955" s="364" t="s">
        <v>1187</v>
      </c>
      <c r="H2955" s="364" t="s">
        <v>1210</v>
      </c>
    </row>
    <row r="2956" ht="15.75" customHeight="1">
      <c r="A2956" s="364" t="s">
        <v>75</v>
      </c>
      <c r="B2956" s="364" t="s">
        <v>23</v>
      </c>
      <c r="C2956" s="365" t="s">
        <v>206</v>
      </c>
      <c r="D2956" s="364" t="s">
        <v>207</v>
      </c>
      <c r="E2956" s="366">
        <v>10.0</v>
      </c>
      <c r="F2956" s="367">
        <v>46017.625</v>
      </c>
      <c r="G2956" s="364" t="s">
        <v>1185</v>
      </c>
      <c r="H2956" s="364" t="s">
        <v>1210</v>
      </c>
    </row>
    <row r="2957" ht="15.75" customHeight="1">
      <c r="A2957" s="364" t="s">
        <v>75</v>
      </c>
      <c r="B2957" s="364" t="s">
        <v>23</v>
      </c>
      <c r="C2957" s="365" t="s">
        <v>206</v>
      </c>
      <c r="D2957" s="364" t="s">
        <v>207</v>
      </c>
      <c r="E2957" s="366">
        <v>11.0</v>
      </c>
      <c r="F2957" s="367">
        <v>46041.625</v>
      </c>
      <c r="G2957" s="364" t="s">
        <v>1185</v>
      </c>
      <c r="H2957" s="364" t="s">
        <v>1210</v>
      </c>
    </row>
    <row r="2958" ht="15.75" customHeight="1">
      <c r="A2958" s="364" t="s">
        <v>75</v>
      </c>
      <c r="B2958" s="364" t="s">
        <v>23</v>
      </c>
      <c r="C2958" s="365" t="s">
        <v>206</v>
      </c>
      <c r="D2958" s="364" t="s">
        <v>207</v>
      </c>
      <c r="E2958" s="366">
        <v>12.0</v>
      </c>
      <c r="F2958" s="367">
        <v>46048.54166666667</v>
      </c>
      <c r="G2958" s="364" t="s">
        <v>1185</v>
      </c>
      <c r="H2958" s="364" t="s">
        <v>1210</v>
      </c>
    </row>
    <row r="2959" ht="15.75" customHeight="1">
      <c r="A2959" s="364" t="s">
        <v>75</v>
      </c>
      <c r="B2959" s="364" t="s">
        <v>23</v>
      </c>
      <c r="C2959" s="365" t="s">
        <v>206</v>
      </c>
      <c r="D2959" s="364" t="s">
        <v>207</v>
      </c>
      <c r="E2959" s="366">
        <v>13.0</v>
      </c>
      <c r="F2959" s="367">
        <v>46086.41666666667</v>
      </c>
      <c r="G2959" s="364" t="s">
        <v>1185</v>
      </c>
      <c r="H2959" s="364" t="s">
        <v>1210</v>
      </c>
    </row>
    <row r="2960" ht="15.75" customHeight="1">
      <c r="A2960" s="364" t="s">
        <v>75</v>
      </c>
      <c r="B2960" s="364" t="s">
        <v>23</v>
      </c>
      <c r="C2960" s="365" t="s">
        <v>206</v>
      </c>
      <c r="D2960" s="364" t="s">
        <v>207</v>
      </c>
      <c r="E2960" s="366">
        <v>14.0</v>
      </c>
      <c r="F2960" s="367">
        <v>46087.41666666667</v>
      </c>
      <c r="G2960" s="364" t="s">
        <v>1185</v>
      </c>
      <c r="H2960" s="364" t="s">
        <v>1210</v>
      </c>
    </row>
    <row r="2961" ht="15.75" customHeight="1">
      <c r="A2961" s="364" t="s">
        <v>75</v>
      </c>
      <c r="B2961" s="364" t="s">
        <v>23</v>
      </c>
      <c r="C2961" s="365" t="s">
        <v>206</v>
      </c>
      <c r="D2961" s="364" t="s">
        <v>207</v>
      </c>
      <c r="E2961" s="366">
        <v>15.0</v>
      </c>
      <c r="F2961" s="367">
        <v>46094.41666666667</v>
      </c>
      <c r="G2961" s="364" t="s">
        <v>1185</v>
      </c>
      <c r="H2961" s="364" t="s">
        <v>1210</v>
      </c>
    </row>
    <row r="2962" ht="15.75" customHeight="1">
      <c r="A2962" s="364" t="s">
        <v>75</v>
      </c>
      <c r="B2962" s="364" t="s">
        <v>23</v>
      </c>
      <c r="C2962" s="365" t="s">
        <v>206</v>
      </c>
      <c r="D2962" s="364" t="s">
        <v>207</v>
      </c>
      <c r="E2962" s="366">
        <v>16.0</v>
      </c>
      <c r="F2962" s="367">
        <v>46136.41666666667</v>
      </c>
      <c r="G2962" s="364" t="s">
        <v>1185</v>
      </c>
      <c r="H2962" s="364" t="s">
        <v>1210</v>
      </c>
    </row>
    <row r="2963" ht="15.75" customHeight="1">
      <c r="A2963" s="364" t="s">
        <v>75</v>
      </c>
      <c r="B2963" s="364" t="s">
        <v>23</v>
      </c>
      <c r="C2963" s="365" t="s">
        <v>214</v>
      </c>
      <c r="D2963" s="364" t="s">
        <v>215</v>
      </c>
      <c r="E2963" s="366">
        <v>1.0</v>
      </c>
      <c r="F2963" s="367">
        <v>45922.41666666667</v>
      </c>
      <c r="G2963" s="364" t="s">
        <v>1185</v>
      </c>
      <c r="H2963" s="364" t="s">
        <v>1210</v>
      </c>
    </row>
    <row r="2964" ht="15.75" customHeight="1">
      <c r="A2964" s="364" t="s">
        <v>75</v>
      </c>
      <c r="B2964" s="364" t="s">
        <v>23</v>
      </c>
      <c r="C2964" s="365" t="s">
        <v>214</v>
      </c>
      <c r="D2964" s="364" t="s">
        <v>215</v>
      </c>
      <c r="E2964" s="366">
        <v>2.0</v>
      </c>
      <c r="F2964" s="367">
        <v>45926.54166666667</v>
      </c>
      <c r="G2964" s="364" t="s">
        <v>1185</v>
      </c>
      <c r="H2964" s="364" t="s">
        <v>1210</v>
      </c>
    </row>
    <row r="2965" ht="15.75" customHeight="1">
      <c r="A2965" s="364" t="s">
        <v>75</v>
      </c>
      <c r="B2965" s="364" t="s">
        <v>23</v>
      </c>
      <c r="C2965" s="365" t="s">
        <v>214</v>
      </c>
      <c r="D2965" s="364" t="s">
        <v>215</v>
      </c>
      <c r="E2965" s="366">
        <v>3.0</v>
      </c>
      <c r="F2965" s="367">
        <v>45929.41666666667</v>
      </c>
      <c r="G2965" s="364" t="s">
        <v>1185</v>
      </c>
      <c r="H2965" s="364" t="s">
        <v>1210</v>
      </c>
    </row>
    <row r="2966" ht="15.75" customHeight="1">
      <c r="A2966" s="364" t="s">
        <v>75</v>
      </c>
      <c r="B2966" s="364" t="s">
        <v>23</v>
      </c>
      <c r="C2966" s="365" t="s">
        <v>214</v>
      </c>
      <c r="D2966" s="364" t="s">
        <v>215</v>
      </c>
      <c r="E2966" s="366">
        <v>5.0</v>
      </c>
      <c r="F2966" s="367">
        <v>45947.41666666667</v>
      </c>
      <c r="G2966" s="364" t="s">
        <v>1185</v>
      </c>
      <c r="H2966" s="364" t="s">
        <v>1210</v>
      </c>
    </row>
    <row r="2967" ht="15.75" customHeight="1">
      <c r="A2967" s="364" t="s">
        <v>75</v>
      </c>
      <c r="B2967" s="364" t="s">
        <v>23</v>
      </c>
      <c r="C2967" s="365" t="s">
        <v>214</v>
      </c>
      <c r="D2967" s="364" t="s">
        <v>215</v>
      </c>
      <c r="E2967" s="366">
        <v>6.0</v>
      </c>
      <c r="F2967" s="367">
        <v>45950.41666666667</v>
      </c>
      <c r="G2967" s="364" t="s">
        <v>1185</v>
      </c>
      <c r="H2967" s="364" t="s">
        <v>1210</v>
      </c>
    </row>
    <row r="2968" ht="15.75" customHeight="1">
      <c r="A2968" s="364" t="s">
        <v>75</v>
      </c>
      <c r="B2968" s="364" t="s">
        <v>23</v>
      </c>
      <c r="C2968" s="365" t="s">
        <v>214</v>
      </c>
      <c r="D2968" s="364" t="s">
        <v>215</v>
      </c>
      <c r="E2968" s="366">
        <v>7.0</v>
      </c>
      <c r="F2968" s="367">
        <v>45971.625</v>
      </c>
      <c r="G2968" s="364" t="s">
        <v>1185</v>
      </c>
      <c r="H2968" s="364" t="s">
        <v>1210</v>
      </c>
    </row>
    <row r="2969" ht="15.75" customHeight="1">
      <c r="A2969" s="364" t="s">
        <v>75</v>
      </c>
      <c r="B2969" s="364" t="s">
        <v>23</v>
      </c>
      <c r="C2969" s="365" t="s">
        <v>214</v>
      </c>
      <c r="D2969" s="364" t="s">
        <v>215</v>
      </c>
      <c r="E2969" s="366">
        <v>8.0</v>
      </c>
      <c r="F2969" s="367">
        <v>45980.625</v>
      </c>
      <c r="G2969" s="364" t="s">
        <v>1185</v>
      </c>
      <c r="H2969" s="364" t="s">
        <v>1210</v>
      </c>
    </row>
    <row r="2970" ht="15.75" customHeight="1">
      <c r="A2970" s="364" t="s">
        <v>75</v>
      </c>
      <c r="B2970" s="364" t="s">
        <v>23</v>
      </c>
      <c r="C2970" s="365" t="s">
        <v>214</v>
      </c>
      <c r="D2970" s="364" t="s">
        <v>215</v>
      </c>
      <c r="E2970" s="366">
        <v>9.0</v>
      </c>
      <c r="F2970" s="367">
        <v>46008.625</v>
      </c>
      <c r="G2970" s="364" t="s">
        <v>1185</v>
      </c>
      <c r="H2970" s="364" t="s">
        <v>1210</v>
      </c>
    </row>
    <row r="2971" ht="15.75" customHeight="1">
      <c r="A2971" s="364" t="s">
        <v>75</v>
      </c>
      <c r="B2971" s="364" t="s">
        <v>23</v>
      </c>
      <c r="C2971" s="365" t="s">
        <v>214</v>
      </c>
      <c r="D2971" s="364" t="s">
        <v>215</v>
      </c>
      <c r="E2971" s="366">
        <v>10.0</v>
      </c>
      <c r="F2971" s="367">
        <v>46017.625</v>
      </c>
      <c r="G2971" s="364" t="s">
        <v>1187</v>
      </c>
      <c r="H2971" s="364" t="s">
        <v>1210</v>
      </c>
    </row>
    <row r="2972" ht="15.75" customHeight="1">
      <c r="A2972" s="364" t="s">
        <v>75</v>
      </c>
      <c r="B2972" s="364" t="s">
        <v>23</v>
      </c>
      <c r="C2972" s="365" t="s">
        <v>214</v>
      </c>
      <c r="D2972" s="364" t="s">
        <v>215</v>
      </c>
      <c r="E2972" s="366">
        <v>11.0</v>
      </c>
      <c r="F2972" s="367">
        <v>46041.625</v>
      </c>
      <c r="G2972" s="364" t="s">
        <v>1185</v>
      </c>
      <c r="H2972" s="364" t="s">
        <v>1210</v>
      </c>
    </row>
    <row r="2973" ht="15.75" customHeight="1">
      <c r="A2973" s="364" t="s">
        <v>75</v>
      </c>
      <c r="B2973" s="364" t="s">
        <v>23</v>
      </c>
      <c r="C2973" s="365" t="s">
        <v>214</v>
      </c>
      <c r="D2973" s="364" t="s">
        <v>215</v>
      </c>
      <c r="E2973" s="366">
        <v>12.0</v>
      </c>
      <c r="F2973" s="367">
        <v>46048.54166666667</v>
      </c>
      <c r="G2973" s="364" t="s">
        <v>1185</v>
      </c>
      <c r="H2973" s="364" t="s">
        <v>1210</v>
      </c>
    </row>
    <row r="2974" ht="15.75" customHeight="1">
      <c r="A2974" s="364" t="s">
        <v>75</v>
      </c>
      <c r="B2974" s="364" t="s">
        <v>23</v>
      </c>
      <c r="C2974" s="365" t="s">
        <v>214</v>
      </c>
      <c r="D2974" s="364" t="s">
        <v>215</v>
      </c>
      <c r="E2974" s="366">
        <v>13.0</v>
      </c>
      <c r="F2974" s="367">
        <v>46086.41666666667</v>
      </c>
      <c r="G2974" s="364" t="s">
        <v>1185</v>
      </c>
      <c r="H2974" s="364" t="s">
        <v>1210</v>
      </c>
    </row>
    <row r="2975" ht="15.75" customHeight="1">
      <c r="A2975" s="364" t="s">
        <v>75</v>
      </c>
      <c r="B2975" s="364" t="s">
        <v>23</v>
      </c>
      <c r="C2975" s="365" t="s">
        <v>214</v>
      </c>
      <c r="D2975" s="364" t="s">
        <v>215</v>
      </c>
      <c r="E2975" s="366">
        <v>14.0</v>
      </c>
      <c r="F2975" s="367">
        <v>46087.41666666667</v>
      </c>
      <c r="G2975" s="364" t="s">
        <v>1185</v>
      </c>
      <c r="H2975" s="364" t="s">
        <v>1210</v>
      </c>
    </row>
    <row r="2976" ht="15.75" customHeight="1">
      <c r="A2976" s="364" t="s">
        <v>75</v>
      </c>
      <c r="B2976" s="364" t="s">
        <v>23</v>
      </c>
      <c r="C2976" s="365" t="s">
        <v>214</v>
      </c>
      <c r="D2976" s="364" t="s">
        <v>215</v>
      </c>
      <c r="E2976" s="366">
        <v>15.0</v>
      </c>
      <c r="F2976" s="367">
        <v>46094.41666666667</v>
      </c>
      <c r="G2976" s="364" t="s">
        <v>1185</v>
      </c>
      <c r="H2976" s="364" t="s">
        <v>1210</v>
      </c>
    </row>
    <row r="2977" ht="15.75" customHeight="1">
      <c r="A2977" s="364" t="s">
        <v>75</v>
      </c>
      <c r="B2977" s="364" t="s">
        <v>23</v>
      </c>
      <c r="C2977" s="365" t="s">
        <v>214</v>
      </c>
      <c r="D2977" s="364" t="s">
        <v>215</v>
      </c>
      <c r="E2977" s="366">
        <v>16.0</v>
      </c>
      <c r="F2977" s="367">
        <v>46136.41666666667</v>
      </c>
      <c r="G2977" s="364" t="s">
        <v>1185</v>
      </c>
      <c r="H2977" s="364" t="s">
        <v>1210</v>
      </c>
    </row>
    <row r="2978" ht="15.75" customHeight="1">
      <c r="A2978" s="364" t="s">
        <v>75</v>
      </c>
      <c r="B2978" s="364" t="s">
        <v>23</v>
      </c>
      <c r="C2978" s="365" t="s">
        <v>216</v>
      </c>
      <c r="D2978" s="364" t="s">
        <v>217</v>
      </c>
      <c r="E2978" s="366">
        <v>1.0</v>
      </c>
      <c r="F2978" s="367">
        <v>45922.41666666667</v>
      </c>
      <c r="G2978" s="364" t="s">
        <v>1185</v>
      </c>
      <c r="H2978" s="364" t="s">
        <v>1210</v>
      </c>
    </row>
    <row r="2979" ht="15.75" customHeight="1">
      <c r="A2979" s="364" t="s">
        <v>75</v>
      </c>
      <c r="B2979" s="364" t="s">
        <v>23</v>
      </c>
      <c r="C2979" s="365" t="s">
        <v>216</v>
      </c>
      <c r="D2979" s="364" t="s">
        <v>217</v>
      </c>
      <c r="E2979" s="366">
        <v>2.0</v>
      </c>
      <c r="F2979" s="367">
        <v>45926.54166666667</v>
      </c>
      <c r="G2979" s="364" t="s">
        <v>1185</v>
      </c>
      <c r="H2979" s="364" t="s">
        <v>1210</v>
      </c>
    </row>
    <row r="2980" ht="15.75" customHeight="1">
      <c r="A2980" s="364" t="s">
        <v>75</v>
      </c>
      <c r="B2980" s="364" t="s">
        <v>23</v>
      </c>
      <c r="C2980" s="365" t="s">
        <v>216</v>
      </c>
      <c r="D2980" s="364" t="s">
        <v>217</v>
      </c>
      <c r="E2980" s="366">
        <v>3.0</v>
      </c>
      <c r="F2980" s="367">
        <v>45929.41666666667</v>
      </c>
      <c r="G2980" s="364" t="s">
        <v>1185</v>
      </c>
      <c r="H2980" s="364" t="s">
        <v>1210</v>
      </c>
    </row>
    <row r="2981" ht="15.75" customHeight="1">
      <c r="A2981" s="364" t="s">
        <v>75</v>
      </c>
      <c r="B2981" s="364" t="s">
        <v>23</v>
      </c>
      <c r="C2981" s="365" t="s">
        <v>216</v>
      </c>
      <c r="D2981" s="364" t="s">
        <v>217</v>
      </c>
      <c r="E2981" s="366">
        <v>5.0</v>
      </c>
      <c r="F2981" s="367">
        <v>45947.41666666667</v>
      </c>
      <c r="G2981" s="364" t="s">
        <v>1185</v>
      </c>
      <c r="H2981" s="364" t="s">
        <v>1210</v>
      </c>
    </row>
    <row r="2982" ht="15.75" customHeight="1">
      <c r="A2982" s="364" t="s">
        <v>75</v>
      </c>
      <c r="B2982" s="364" t="s">
        <v>23</v>
      </c>
      <c r="C2982" s="365" t="s">
        <v>216</v>
      </c>
      <c r="D2982" s="364" t="s">
        <v>217</v>
      </c>
      <c r="E2982" s="366">
        <v>6.0</v>
      </c>
      <c r="F2982" s="367">
        <v>45950.41666666667</v>
      </c>
      <c r="G2982" s="364" t="s">
        <v>1187</v>
      </c>
      <c r="H2982" s="364" t="s">
        <v>1210</v>
      </c>
    </row>
    <row r="2983" ht="15.75" customHeight="1">
      <c r="A2983" s="364" t="s">
        <v>75</v>
      </c>
      <c r="B2983" s="364" t="s">
        <v>23</v>
      </c>
      <c r="C2983" s="365" t="s">
        <v>216</v>
      </c>
      <c r="D2983" s="364" t="s">
        <v>217</v>
      </c>
      <c r="E2983" s="366">
        <v>7.0</v>
      </c>
      <c r="F2983" s="367">
        <v>45971.625</v>
      </c>
      <c r="G2983" s="364" t="s">
        <v>1185</v>
      </c>
      <c r="H2983" s="364" t="s">
        <v>1210</v>
      </c>
    </row>
    <row r="2984" ht="15.75" customHeight="1">
      <c r="A2984" s="364" t="s">
        <v>75</v>
      </c>
      <c r="B2984" s="364" t="s">
        <v>23</v>
      </c>
      <c r="C2984" s="365" t="s">
        <v>216</v>
      </c>
      <c r="D2984" s="364" t="s">
        <v>217</v>
      </c>
      <c r="E2984" s="366">
        <v>8.0</v>
      </c>
      <c r="F2984" s="367">
        <v>45980.625</v>
      </c>
      <c r="G2984" s="364" t="s">
        <v>1185</v>
      </c>
      <c r="H2984" s="364" t="s">
        <v>1210</v>
      </c>
    </row>
    <row r="2985" ht="15.75" customHeight="1">
      <c r="A2985" s="364" t="s">
        <v>75</v>
      </c>
      <c r="B2985" s="364" t="s">
        <v>23</v>
      </c>
      <c r="C2985" s="365" t="s">
        <v>216</v>
      </c>
      <c r="D2985" s="364" t="s">
        <v>217</v>
      </c>
      <c r="E2985" s="366">
        <v>9.0</v>
      </c>
      <c r="F2985" s="367">
        <v>46008.625</v>
      </c>
      <c r="G2985" s="364" t="s">
        <v>1185</v>
      </c>
      <c r="H2985" s="364" t="s">
        <v>1210</v>
      </c>
    </row>
    <row r="2986" ht="15.75" customHeight="1">
      <c r="A2986" s="364" t="s">
        <v>75</v>
      </c>
      <c r="B2986" s="364" t="s">
        <v>23</v>
      </c>
      <c r="C2986" s="365" t="s">
        <v>216</v>
      </c>
      <c r="D2986" s="364" t="s">
        <v>217</v>
      </c>
      <c r="E2986" s="366">
        <v>10.0</v>
      </c>
      <c r="F2986" s="367">
        <v>46017.625</v>
      </c>
      <c r="G2986" s="364" t="s">
        <v>1185</v>
      </c>
      <c r="H2986" s="364" t="s">
        <v>1210</v>
      </c>
    </row>
    <row r="2987" ht="15.75" customHeight="1">
      <c r="A2987" s="364" t="s">
        <v>75</v>
      </c>
      <c r="B2987" s="364" t="s">
        <v>23</v>
      </c>
      <c r="C2987" s="365" t="s">
        <v>216</v>
      </c>
      <c r="D2987" s="364" t="s">
        <v>217</v>
      </c>
      <c r="E2987" s="366">
        <v>11.0</v>
      </c>
      <c r="F2987" s="367">
        <v>46041.625</v>
      </c>
      <c r="G2987" s="364" t="s">
        <v>1185</v>
      </c>
      <c r="H2987" s="364" t="s">
        <v>1210</v>
      </c>
    </row>
    <row r="2988" ht="15.75" customHeight="1">
      <c r="A2988" s="364" t="s">
        <v>75</v>
      </c>
      <c r="B2988" s="364" t="s">
        <v>23</v>
      </c>
      <c r="C2988" s="365" t="s">
        <v>216</v>
      </c>
      <c r="D2988" s="364" t="s">
        <v>217</v>
      </c>
      <c r="E2988" s="366">
        <v>12.0</v>
      </c>
      <c r="F2988" s="367">
        <v>46048.54166666667</v>
      </c>
      <c r="G2988" s="364" t="s">
        <v>1185</v>
      </c>
      <c r="H2988" s="364" t="s">
        <v>1210</v>
      </c>
    </row>
    <row r="2989" ht="15.75" customHeight="1">
      <c r="A2989" s="364" t="s">
        <v>75</v>
      </c>
      <c r="B2989" s="364" t="s">
        <v>23</v>
      </c>
      <c r="C2989" s="365" t="s">
        <v>216</v>
      </c>
      <c r="D2989" s="364" t="s">
        <v>217</v>
      </c>
      <c r="E2989" s="366">
        <v>13.0</v>
      </c>
      <c r="F2989" s="367">
        <v>46086.41666666667</v>
      </c>
      <c r="G2989" s="364" t="s">
        <v>1185</v>
      </c>
      <c r="H2989" s="364" t="s">
        <v>1210</v>
      </c>
    </row>
    <row r="2990" ht="15.75" customHeight="1">
      <c r="A2990" s="364" t="s">
        <v>75</v>
      </c>
      <c r="B2990" s="364" t="s">
        <v>23</v>
      </c>
      <c r="C2990" s="365" t="s">
        <v>216</v>
      </c>
      <c r="D2990" s="364" t="s">
        <v>217</v>
      </c>
      <c r="E2990" s="366">
        <v>14.0</v>
      </c>
      <c r="F2990" s="367">
        <v>46087.41666666667</v>
      </c>
      <c r="G2990" s="364" t="s">
        <v>1185</v>
      </c>
      <c r="H2990" s="364" t="s">
        <v>1210</v>
      </c>
    </row>
    <row r="2991" ht="15.75" customHeight="1">
      <c r="A2991" s="364" t="s">
        <v>75</v>
      </c>
      <c r="B2991" s="364" t="s">
        <v>23</v>
      </c>
      <c r="C2991" s="365" t="s">
        <v>216</v>
      </c>
      <c r="D2991" s="364" t="s">
        <v>217</v>
      </c>
      <c r="E2991" s="366">
        <v>15.0</v>
      </c>
      <c r="F2991" s="367">
        <v>46094.41666666667</v>
      </c>
      <c r="G2991" s="364" t="s">
        <v>1185</v>
      </c>
      <c r="H2991" s="364" t="s">
        <v>1210</v>
      </c>
    </row>
    <row r="2992" ht="15.75" customHeight="1">
      <c r="A2992" s="364" t="s">
        <v>75</v>
      </c>
      <c r="B2992" s="364" t="s">
        <v>23</v>
      </c>
      <c r="C2992" s="365" t="s">
        <v>216</v>
      </c>
      <c r="D2992" s="364" t="s">
        <v>217</v>
      </c>
      <c r="E2992" s="366">
        <v>16.0</v>
      </c>
      <c r="F2992" s="367">
        <v>46136.41666666667</v>
      </c>
      <c r="G2992" s="364" t="s">
        <v>1185</v>
      </c>
      <c r="H2992" s="364" t="s">
        <v>1210</v>
      </c>
    </row>
    <row r="2993" ht="15.75" customHeight="1">
      <c r="A2993" s="364" t="s">
        <v>76</v>
      </c>
      <c r="B2993" s="364" t="s">
        <v>22</v>
      </c>
      <c r="C2993" s="365" t="s">
        <v>419</v>
      </c>
      <c r="D2993" s="364" t="s">
        <v>420</v>
      </c>
      <c r="E2993" s="366">
        <v>1.0</v>
      </c>
      <c r="F2993" s="367">
        <v>45763.54166666667</v>
      </c>
      <c r="G2993" s="364" t="s">
        <v>1185</v>
      </c>
      <c r="H2993" s="364" t="s">
        <v>1211</v>
      </c>
    </row>
    <row r="2994" ht="15.75" customHeight="1">
      <c r="A2994" s="364" t="s">
        <v>76</v>
      </c>
      <c r="B2994" s="364" t="s">
        <v>22</v>
      </c>
      <c r="C2994" s="365" t="s">
        <v>419</v>
      </c>
      <c r="D2994" s="364" t="s">
        <v>420</v>
      </c>
      <c r="E2994" s="366">
        <v>2.0</v>
      </c>
      <c r="F2994" s="367">
        <v>45769.54166666667</v>
      </c>
      <c r="G2994" s="364" t="s">
        <v>1185</v>
      </c>
      <c r="H2994" s="364" t="s">
        <v>1211</v>
      </c>
    </row>
    <row r="2995" ht="15.75" customHeight="1">
      <c r="A2995" s="364" t="s">
        <v>76</v>
      </c>
      <c r="B2995" s="364" t="s">
        <v>22</v>
      </c>
      <c r="C2995" s="365" t="s">
        <v>419</v>
      </c>
      <c r="D2995" s="364" t="s">
        <v>420</v>
      </c>
      <c r="E2995" s="366">
        <v>3.0</v>
      </c>
      <c r="F2995" s="367">
        <v>45786.41666666667</v>
      </c>
      <c r="G2995" s="364" t="s">
        <v>1185</v>
      </c>
      <c r="H2995" s="364" t="s">
        <v>1211</v>
      </c>
    </row>
    <row r="2996" ht="15.75" customHeight="1">
      <c r="A2996" s="364" t="s">
        <v>76</v>
      </c>
      <c r="B2996" s="364" t="s">
        <v>22</v>
      </c>
      <c r="C2996" s="365" t="s">
        <v>419</v>
      </c>
      <c r="D2996" s="364" t="s">
        <v>420</v>
      </c>
      <c r="E2996" s="366">
        <v>4.0</v>
      </c>
      <c r="F2996" s="367">
        <v>45804.54166666667</v>
      </c>
      <c r="G2996" s="364" t="s">
        <v>1185</v>
      </c>
      <c r="H2996" s="364" t="s">
        <v>1211</v>
      </c>
    </row>
    <row r="2997" ht="15.75" customHeight="1">
      <c r="A2997" s="364" t="s">
        <v>76</v>
      </c>
      <c r="B2997" s="364" t="s">
        <v>22</v>
      </c>
      <c r="C2997" s="365" t="s">
        <v>419</v>
      </c>
      <c r="D2997" s="364" t="s">
        <v>420</v>
      </c>
      <c r="E2997" s="366">
        <v>5.0</v>
      </c>
      <c r="F2997" s="367">
        <v>45811.58333333333</v>
      </c>
      <c r="G2997" s="364" t="s">
        <v>1185</v>
      </c>
      <c r="H2997" s="364" t="s">
        <v>1211</v>
      </c>
    </row>
    <row r="2998" ht="15.75" customHeight="1">
      <c r="A2998" s="364" t="s">
        <v>76</v>
      </c>
      <c r="B2998" s="364" t="s">
        <v>22</v>
      </c>
      <c r="C2998" s="365" t="s">
        <v>419</v>
      </c>
      <c r="D2998" s="364" t="s">
        <v>420</v>
      </c>
      <c r="E2998" s="366">
        <v>6.0</v>
      </c>
      <c r="F2998" s="367">
        <v>45818.58333333333</v>
      </c>
      <c r="G2998" s="364" t="s">
        <v>1185</v>
      </c>
      <c r="H2998" s="364" t="s">
        <v>1211</v>
      </c>
    </row>
    <row r="2999" ht="15.75" customHeight="1">
      <c r="A2999" s="364" t="s">
        <v>76</v>
      </c>
      <c r="B2999" s="364" t="s">
        <v>22</v>
      </c>
      <c r="C2999" s="365" t="s">
        <v>419</v>
      </c>
      <c r="D2999" s="364" t="s">
        <v>420</v>
      </c>
      <c r="E2999" s="366">
        <v>7.0</v>
      </c>
      <c r="F2999" s="367">
        <v>45825.58333333333</v>
      </c>
      <c r="G2999" s="364" t="s">
        <v>1185</v>
      </c>
      <c r="H2999" s="364" t="s">
        <v>1211</v>
      </c>
    </row>
    <row r="3000" ht="15.75" customHeight="1">
      <c r="A3000" s="364" t="s">
        <v>76</v>
      </c>
      <c r="B3000" s="364" t="s">
        <v>22</v>
      </c>
      <c r="C3000" s="365" t="s">
        <v>419</v>
      </c>
      <c r="D3000" s="364" t="s">
        <v>420</v>
      </c>
      <c r="E3000" s="366">
        <v>8.0</v>
      </c>
      <c r="F3000" s="367">
        <v>45832.58333333333</v>
      </c>
      <c r="G3000" s="364" t="s">
        <v>1185</v>
      </c>
      <c r="H3000" s="364" t="s">
        <v>1211</v>
      </c>
    </row>
    <row r="3001" ht="15.75" customHeight="1">
      <c r="A3001" s="364" t="s">
        <v>76</v>
      </c>
      <c r="B3001" s="364" t="s">
        <v>22</v>
      </c>
      <c r="C3001" s="365" t="s">
        <v>419</v>
      </c>
      <c r="D3001" s="364" t="s">
        <v>420</v>
      </c>
      <c r="E3001" s="366">
        <v>9.0</v>
      </c>
      <c r="F3001" s="367">
        <v>45846.58333333333</v>
      </c>
      <c r="G3001" s="364" t="s">
        <v>1185</v>
      </c>
      <c r="H3001" s="364" t="s">
        <v>1211</v>
      </c>
    </row>
    <row r="3002" ht="15.75" customHeight="1">
      <c r="A3002" s="364" t="s">
        <v>76</v>
      </c>
      <c r="B3002" s="364" t="s">
        <v>22</v>
      </c>
      <c r="C3002" s="365" t="s">
        <v>419</v>
      </c>
      <c r="D3002" s="364" t="s">
        <v>420</v>
      </c>
      <c r="E3002" s="366">
        <v>10.0</v>
      </c>
      <c r="F3002" s="367">
        <v>45868.375</v>
      </c>
      <c r="G3002" s="364" t="s">
        <v>1185</v>
      </c>
      <c r="H3002" s="364" t="s">
        <v>1211</v>
      </c>
    </row>
    <row r="3003" ht="15.75" customHeight="1">
      <c r="A3003" s="364" t="s">
        <v>76</v>
      </c>
      <c r="B3003" s="364" t="s">
        <v>22</v>
      </c>
      <c r="C3003" s="365" t="s">
        <v>322</v>
      </c>
      <c r="D3003" s="364" t="s">
        <v>323</v>
      </c>
      <c r="E3003" s="366">
        <v>1.0</v>
      </c>
      <c r="F3003" s="367">
        <v>45763.54166666667</v>
      </c>
      <c r="G3003" s="364" t="s">
        <v>1185</v>
      </c>
      <c r="H3003" s="364" t="s">
        <v>1211</v>
      </c>
    </row>
    <row r="3004" ht="15.75" customHeight="1">
      <c r="A3004" s="364" t="s">
        <v>76</v>
      </c>
      <c r="B3004" s="364" t="s">
        <v>22</v>
      </c>
      <c r="C3004" s="365" t="s">
        <v>322</v>
      </c>
      <c r="D3004" s="364" t="s">
        <v>323</v>
      </c>
      <c r="E3004" s="366">
        <v>2.0</v>
      </c>
      <c r="F3004" s="367">
        <v>45769.54166666667</v>
      </c>
      <c r="G3004" s="364" t="s">
        <v>1185</v>
      </c>
      <c r="H3004" s="364" t="s">
        <v>1211</v>
      </c>
    </row>
    <row r="3005" ht="15.75" customHeight="1">
      <c r="A3005" s="364" t="s">
        <v>76</v>
      </c>
      <c r="B3005" s="364" t="s">
        <v>22</v>
      </c>
      <c r="C3005" s="365" t="s">
        <v>322</v>
      </c>
      <c r="D3005" s="364" t="s">
        <v>323</v>
      </c>
      <c r="E3005" s="366">
        <v>3.0</v>
      </c>
      <c r="F3005" s="367">
        <v>45786.41666666667</v>
      </c>
      <c r="G3005" s="364" t="s">
        <v>1185</v>
      </c>
      <c r="H3005" s="364" t="s">
        <v>1211</v>
      </c>
    </row>
    <row r="3006" ht="15.75" customHeight="1">
      <c r="A3006" s="364" t="s">
        <v>76</v>
      </c>
      <c r="B3006" s="364" t="s">
        <v>22</v>
      </c>
      <c r="C3006" s="365" t="s">
        <v>322</v>
      </c>
      <c r="D3006" s="364" t="s">
        <v>323</v>
      </c>
      <c r="E3006" s="366">
        <v>4.0</v>
      </c>
      <c r="F3006" s="367">
        <v>45804.54166666667</v>
      </c>
      <c r="G3006" s="364" t="s">
        <v>1185</v>
      </c>
      <c r="H3006" s="364" t="s">
        <v>1211</v>
      </c>
    </row>
    <row r="3007" ht="15.75" customHeight="1">
      <c r="A3007" s="364" t="s">
        <v>76</v>
      </c>
      <c r="B3007" s="364" t="s">
        <v>22</v>
      </c>
      <c r="C3007" s="365" t="s">
        <v>322</v>
      </c>
      <c r="D3007" s="364" t="s">
        <v>323</v>
      </c>
      <c r="E3007" s="366">
        <v>5.0</v>
      </c>
      <c r="F3007" s="367">
        <v>45811.58333333333</v>
      </c>
      <c r="G3007" s="364" t="s">
        <v>1185</v>
      </c>
      <c r="H3007" s="364" t="s">
        <v>1211</v>
      </c>
    </row>
    <row r="3008" ht="15.75" customHeight="1">
      <c r="A3008" s="364" t="s">
        <v>76</v>
      </c>
      <c r="B3008" s="364" t="s">
        <v>22</v>
      </c>
      <c r="C3008" s="365" t="s">
        <v>322</v>
      </c>
      <c r="D3008" s="364" t="s">
        <v>323</v>
      </c>
      <c r="E3008" s="366">
        <v>6.0</v>
      </c>
      <c r="F3008" s="367">
        <v>45818.58333333333</v>
      </c>
      <c r="G3008" s="364" t="s">
        <v>1185</v>
      </c>
      <c r="H3008" s="364" t="s">
        <v>1211</v>
      </c>
    </row>
    <row r="3009" ht="15.75" customHeight="1">
      <c r="A3009" s="364" t="s">
        <v>76</v>
      </c>
      <c r="B3009" s="364" t="s">
        <v>22</v>
      </c>
      <c r="C3009" s="365" t="s">
        <v>322</v>
      </c>
      <c r="D3009" s="364" t="s">
        <v>323</v>
      </c>
      <c r="E3009" s="366">
        <v>7.0</v>
      </c>
      <c r="F3009" s="367">
        <v>45825.58333333333</v>
      </c>
      <c r="G3009" s="364" t="s">
        <v>1185</v>
      </c>
      <c r="H3009" s="364" t="s">
        <v>1211</v>
      </c>
    </row>
    <row r="3010" ht="15.75" customHeight="1">
      <c r="A3010" s="364" t="s">
        <v>76</v>
      </c>
      <c r="B3010" s="364" t="s">
        <v>22</v>
      </c>
      <c r="C3010" s="365" t="s">
        <v>322</v>
      </c>
      <c r="D3010" s="364" t="s">
        <v>323</v>
      </c>
      <c r="E3010" s="366">
        <v>8.0</v>
      </c>
      <c r="F3010" s="367">
        <v>45832.58333333333</v>
      </c>
      <c r="G3010" s="364" t="s">
        <v>1185</v>
      </c>
      <c r="H3010" s="364" t="s">
        <v>1211</v>
      </c>
    </row>
    <row r="3011" ht="15.75" customHeight="1">
      <c r="A3011" s="364" t="s">
        <v>76</v>
      </c>
      <c r="B3011" s="364" t="s">
        <v>22</v>
      </c>
      <c r="C3011" s="365" t="s">
        <v>322</v>
      </c>
      <c r="D3011" s="364" t="s">
        <v>323</v>
      </c>
      <c r="E3011" s="366">
        <v>9.0</v>
      </c>
      <c r="F3011" s="367">
        <v>45846.58333333333</v>
      </c>
      <c r="G3011" s="364" t="s">
        <v>1185</v>
      </c>
      <c r="H3011" s="364" t="s">
        <v>1211</v>
      </c>
    </row>
    <row r="3012" ht="15.75" customHeight="1">
      <c r="A3012" s="364" t="s">
        <v>76</v>
      </c>
      <c r="B3012" s="364" t="s">
        <v>22</v>
      </c>
      <c r="C3012" s="365" t="s">
        <v>322</v>
      </c>
      <c r="D3012" s="364" t="s">
        <v>323</v>
      </c>
      <c r="E3012" s="366">
        <v>10.0</v>
      </c>
      <c r="F3012" s="367">
        <v>45868.375</v>
      </c>
      <c r="G3012" s="364" t="s">
        <v>1185</v>
      </c>
      <c r="H3012" s="364" t="s">
        <v>1211</v>
      </c>
    </row>
    <row r="3013" ht="15.75" customHeight="1">
      <c r="A3013" s="364" t="s">
        <v>76</v>
      </c>
      <c r="B3013" s="364" t="s">
        <v>22</v>
      </c>
      <c r="C3013" s="365" t="s">
        <v>425</v>
      </c>
      <c r="D3013" s="364" t="s">
        <v>426</v>
      </c>
      <c r="E3013" s="366">
        <v>1.0</v>
      </c>
      <c r="F3013" s="367">
        <v>45763.54166666667</v>
      </c>
      <c r="G3013" s="364" t="s">
        <v>1185</v>
      </c>
      <c r="H3013" s="364" t="s">
        <v>1211</v>
      </c>
    </row>
    <row r="3014" ht="15.75" customHeight="1">
      <c r="A3014" s="364" t="s">
        <v>76</v>
      </c>
      <c r="B3014" s="364" t="s">
        <v>22</v>
      </c>
      <c r="C3014" s="365" t="s">
        <v>425</v>
      </c>
      <c r="D3014" s="364" t="s">
        <v>426</v>
      </c>
      <c r="E3014" s="366">
        <v>2.0</v>
      </c>
      <c r="F3014" s="367">
        <v>45769.54166666667</v>
      </c>
      <c r="G3014" s="364" t="s">
        <v>1185</v>
      </c>
      <c r="H3014" s="364" t="s">
        <v>1211</v>
      </c>
    </row>
    <row r="3015" ht="15.75" customHeight="1">
      <c r="A3015" s="364" t="s">
        <v>76</v>
      </c>
      <c r="B3015" s="364" t="s">
        <v>22</v>
      </c>
      <c r="C3015" s="365" t="s">
        <v>425</v>
      </c>
      <c r="D3015" s="364" t="s">
        <v>426</v>
      </c>
      <c r="E3015" s="366">
        <v>3.0</v>
      </c>
      <c r="F3015" s="367">
        <v>45786.41666666667</v>
      </c>
      <c r="G3015" s="364" t="s">
        <v>1185</v>
      </c>
      <c r="H3015" s="364" t="s">
        <v>1211</v>
      </c>
    </row>
    <row r="3016" ht="15.75" customHeight="1">
      <c r="A3016" s="364" t="s">
        <v>76</v>
      </c>
      <c r="B3016" s="364" t="s">
        <v>22</v>
      </c>
      <c r="C3016" s="365" t="s">
        <v>425</v>
      </c>
      <c r="D3016" s="364" t="s">
        <v>426</v>
      </c>
      <c r="E3016" s="366">
        <v>4.0</v>
      </c>
      <c r="F3016" s="367">
        <v>45804.54166666667</v>
      </c>
      <c r="G3016" s="364" t="s">
        <v>1185</v>
      </c>
      <c r="H3016" s="364" t="s">
        <v>1211</v>
      </c>
    </row>
    <row r="3017" ht="15.75" customHeight="1">
      <c r="A3017" s="364" t="s">
        <v>76</v>
      </c>
      <c r="B3017" s="364" t="s">
        <v>22</v>
      </c>
      <c r="C3017" s="365" t="s">
        <v>425</v>
      </c>
      <c r="D3017" s="364" t="s">
        <v>426</v>
      </c>
      <c r="E3017" s="366">
        <v>5.0</v>
      </c>
      <c r="F3017" s="367">
        <v>45811.58333333333</v>
      </c>
      <c r="G3017" s="364" t="s">
        <v>1185</v>
      </c>
      <c r="H3017" s="364" t="s">
        <v>1211</v>
      </c>
    </row>
    <row r="3018" ht="15.75" customHeight="1">
      <c r="A3018" s="364" t="s">
        <v>76</v>
      </c>
      <c r="B3018" s="364" t="s">
        <v>22</v>
      </c>
      <c r="C3018" s="365" t="s">
        <v>425</v>
      </c>
      <c r="D3018" s="364" t="s">
        <v>426</v>
      </c>
      <c r="E3018" s="366">
        <v>6.0</v>
      </c>
      <c r="F3018" s="367">
        <v>45818.58333333333</v>
      </c>
      <c r="G3018" s="364" t="s">
        <v>1185</v>
      </c>
      <c r="H3018" s="364" t="s">
        <v>1211</v>
      </c>
    </row>
    <row r="3019" ht="15.75" customHeight="1">
      <c r="A3019" s="364" t="s">
        <v>76</v>
      </c>
      <c r="B3019" s="364" t="s">
        <v>22</v>
      </c>
      <c r="C3019" s="365" t="s">
        <v>425</v>
      </c>
      <c r="D3019" s="364" t="s">
        <v>426</v>
      </c>
      <c r="E3019" s="366">
        <v>7.0</v>
      </c>
      <c r="F3019" s="367">
        <v>45825.58333333333</v>
      </c>
      <c r="G3019" s="364" t="s">
        <v>1185</v>
      </c>
      <c r="H3019" s="364" t="s">
        <v>1211</v>
      </c>
    </row>
    <row r="3020" ht="15.75" customHeight="1">
      <c r="A3020" s="364" t="s">
        <v>76</v>
      </c>
      <c r="B3020" s="364" t="s">
        <v>22</v>
      </c>
      <c r="C3020" s="365" t="s">
        <v>425</v>
      </c>
      <c r="D3020" s="364" t="s">
        <v>426</v>
      </c>
      <c r="E3020" s="366">
        <v>8.0</v>
      </c>
      <c r="F3020" s="367">
        <v>45832.58333333333</v>
      </c>
      <c r="G3020" s="364" t="s">
        <v>1185</v>
      </c>
      <c r="H3020" s="364" t="s">
        <v>1211</v>
      </c>
    </row>
    <row r="3021" ht="15.75" customHeight="1">
      <c r="A3021" s="364" t="s">
        <v>76</v>
      </c>
      <c r="B3021" s="364" t="s">
        <v>22</v>
      </c>
      <c r="C3021" s="365" t="s">
        <v>425</v>
      </c>
      <c r="D3021" s="364" t="s">
        <v>426</v>
      </c>
      <c r="E3021" s="366">
        <v>9.0</v>
      </c>
      <c r="F3021" s="367">
        <v>45846.58333333333</v>
      </c>
      <c r="G3021" s="364" t="s">
        <v>1185</v>
      </c>
      <c r="H3021" s="364" t="s">
        <v>1211</v>
      </c>
    </row>
    <row r="3022" ht="15.75" customHeight="1">
      <c r="A3022" s="364" t="s">
        <v>76</v>
      </c>
      <c r="B3022" s="364" t="s">
        <v>22</v>
      </c>
      <c r="C3022" s="365" t="s">
        <v>425</v>
      </c>
      <c r="D3022" s="364" t="s">
        <v>426</v>
      </c>
      <c r="E3022" s="366">
        <v>10.0</v>
      </c>
      <c r="F3022" s="367">
        <v>45868.375</v>
      </c>
      <c r="G3022" s="364" t="s">
        <v>1185</v>
      </c>
      <c r="H3022" s="364" t="s">
        <v>1211</v>
      </c>
    </row>
    <row r="3023" ht="15.75" customHeight="1">
      <c r="A3023" s="364" t="s">
        <v>76</v>
      </c>
      <c r="B3023" s="364" t="s">
        <v>22</v>
      </c>
      <c r="C3023" s="365" t="s">
        <v>427</v>
      </c>
      <c r="D3023" s="364" t="s">
        <v>428</v>
      </c>
      <c r="E3023" s="366">
        <v>1.0</v>
      </c>
      <c r="F3023" s="367">
        <v>45763.54166666667</v>
      </c>
      <c r="G3023" s="364" t="s">
        <v>1185</v>
      </c>
      <c r="H3023" s="364" t="s">
        <v>1211</v>
      </c>
    </row>
    <row r="3024" ht="15.75" customHeight="1">
      <c r="A3024" s="364" t="s">
        <v>76</v>
      </c>
      <c r="B3024" s="364" t="s">
        <v>22</v>
      </c>
      <c r="C3024" s="365" t="s">
        <v>427</v>
      </c>
      <c r="D3024" s="364" t="s">
        <v>428</v>
      </c>
      <c r="E3024" s="366">
        <v>2.0</v>
      </c>
      <c r="F3024" s="367">
        <v>45769.54166666667</v>
      </c>
      <c r="G3024" s="364" t="s">
        <v>1185</v>
      </c>
      <c r="H3024" s="364" t="s">
        <v>1211</v>
      </c>
    </row>
    <row r="3025" ht="15.75" customHeight="1">
      <c r="A3025" s="364" t="s">
        <v>76</v>
      </c>
      <c r="B3025" s="364" t="s">
        <v>22</v>
      </c>
      <c r="C3025" s="365" t="s">
        <v>427</v>
      </c>
      <c r="D3025" s="364" t="s">
        <v>428</v>
      </c>
      <c r="E3025" s="366">
        <v>3.0</v>
      </c>
      <c r="F3025" s="367">
        <v>45786.41666666667</v>
      </c>
      <c r="G3025" s="364" t="s">
        <v>1187</v>
      </c>
      <c r="H3025" s="364" t="s">
        <v>1211</v>
      </c>
    </row>
    <row r="3026" ht="15.75" customHeight="1">
      <c r="A3026" s="364" t="s">
        <v>76</v>
      </c>
      <c r="B3026" s="364" t="s">
        <v>22</v>
      </c>
      <c r="C3026" s="365" t="s">
        <v>427</v>
      </c>
      <c r="D3026" s="364" t="s">
        <v>428</v>
      </c>
      <c r="E3026" s="366">
        <v>4.0</v>
      </c>
      <c r="F3026" s="367">
        <v>45804.54166666667</v>
      </c>
      <c r="G3026" s="364" t="s">
        <v>1185</v>
      </c>
      <c r="H3026" s="364" t="s">
        <v>1211</v>
      </c>
    </row>
    <row r="3027" ht="15.75" customHeight="1">
      <c r="A3027" s="364" t="s">
        <v>76</v>
      </c>
      <c r="B3027" s="364" t="s">
        <v>22</v>
      </c>
      <c r="C3027" s="365" t="s">
        <v>427</v>
      </c>
      <c r="D3027" s="364" t="s">
        <v>428</v>
      </c>
      <c r="E3027" s="366">
        <v>5.0</v>
      </c>
      <c r="F3027" s="367">
        <v>45811.58333333333</v>
      </c>
      <c r="G3027" s="364" t="s">
        <v>1185</v>
      </c>
      <c r="H3027" s="364" t="s">
        <v>1211</v>
      </c>
    </row>
    <row r="3028" ht="15.75" customHeight="1">
      <c r="A3028" s="364" t="s">
        <v>76</v>
      </c>
      <c r="B3028" s="364" t="s">
        <v>22</v>
      </c>
      <c r="C3028" s="365" t="s">
        <v>427</v>
      </c>
      <c r="D3028" s="364" t="s">
        <v>428</v>
      </c>
      <c r="E3028" s="366">
        <v>6.0</v>
      </c>
      <c r="F3028" s="367">
        <v>45818.58333333333</v>
      </c>
      <c r="G3028" s="364" t="s">
        <v>1185</v>
      </c>
      <c r="H3028" s="364" t="s">
        <v>1211</v>
      </c>
    </row>
    <row r="3029" ht="15.75" customHeight="1">
      <c r="A3029" s="364" t="s">
        <v>76</v>
      </c>
      <c r="B3029" s="364" t="s">
        <v>22</v>
      </c>
      <c r="C3029" s="365" t="s">
        <v>427</v>
      </c>
      <c r="D3029" s="364" t="s">
        <v>428</v>
      </c>
      <c r="E3029" s="366">
        <v>7.0</v>
      </c>
      <c r="F3029" s="367">
        <v>45825.58333333333</v>
      </c>
      <c r="G3029" s="364" t="s">
        <v>1185</v>
      </c>
      <c r="H3029" s="364" t="s">
        <v>1211</v>
      </c>
    </row>
    <row r="3030" ht="15.75" customHeight="1">
      <c r="A3030" s="364" t="s">
        <v>76</v>
      </c>
      <c r="B3030" s="364" t="s">
        <v>22</v>
      </c>
      <c r="C3030" s="365" t="s">
        <v>427</v>
      </c>
      <c r="D3030" s="364" t="s">
        <v>428</v>
      </c>
      <c r="E3030" s="366">
        <v>8.0</v>
      </c>
      <c r="F3030" s="367">
        <v>45832.58333333333</v>
      </c>
      <c r="G3030" s="364" t="s">
        <v>1185</v>
      </c>
      <c r="H3030" s="364" t="s">
        <v>1211</v>
      </c>
    </row>
    <row r="3031" ht="15.75" customHeight="1">
      <c r="A3031" s="364" t="s">
        <v>76</v>
      </c>
      <c r="B3031" s="364" t="s">
        <v>22</v>
      </c>
      <c r="C3031" s="365" t="s">
        <v>427</v>
      </c>
      <c r="D3031" s="364" t="s">
        <v>428</v>
      </c>
      <c r="E3031" s="366">
        <v>9.0</v>
      </c>
      <c r="F3031" s="367">
        <v>45846.58333333333</v>
      </c>
      <c r="G3031" s="364" t="s">
        <v>1187</v>
      </c>
      <c r="H3031" s="364" t="s">
        <v>1211</v>
      </c>
    </row>
    <row r="3032" ht="15.75" customHeight="1">
      <c r="A3032" s="364" t="s">
        <v>76</v>
      </c>
      <c r="B3032" s="364" t="s">
        <v>22</v>
      </c>
      <c r="C3032" s="365" t="s">
        <v>427</v>
      </c>
      <c r="D3032" s="364" t="s">
        <v>428</v>
      </c>
      <c r="E3032" s="366">
        <v>10.0</v>
      </c>
      <c r="F3032" s="367">
        <v>45868.375</v>
      </c>
      <c r="G3032" s="364" t="s">
        <v>1185</v>
      </c>
      <c r="H3032" s="364" t="s">
        <v>1211</v>
      </c>
    </row>
    <row r="3033" ht="15.75" customHeight="1">
      <c r="A3033" s="364" t="s">
        <v>76</v>
      </c>
      <c r="B3033" s="364" t="s">
        <v>22</v>
      </c>
      <c r="C3033" s="365" t="s">
        <v>429</v>
      </c>
      <c r="D3033" s="364" t="s">
        <v>430</v>
      </c>
      <c r="E3033" s="366">
        <v>1.0</v>
      </c>
      <c r="F3033" s="367">
        <v>45763.54166666667</v>
      </c>
      <c r="G3033" s="364" t="s">
        <v>1185</v>
      </c>
      <c r="H3033" s="364" t="s">
        <v>1211</v>
      </c>
    </row>
    <row r="3034" ht="15.75" customHeight="1">
      <c r="A3034" s="364" t="s">
        <v>76</v>
      </c>
      <c r="B3034" s="364" t="s">
        <v>22</v>
      </c>
      <c r="C3034" s="365" t="s">
        <v>429</v>
      </c>
      <c r="D3034" s="364" t="s">
        <v>430</v>
      </c>
      <c r="E3034" s="366">
        <v>2.0</v>
      </c>
      <c r="F3034" s="367">
        <v>45769.54166666667</v>
      </c>
      <c r="G3034" s="364" t="s">
        <v>1185</v>
      </c>
      <c r="H3034" s="364" t="s">
        <v>1211</v>
      </c>
    </row>
    <row r="3035" ht="15.75" customHeight="1">
      <c r="A3035" s="364" t="s">
        <v>76</v>
      </c>
      <c r="B3035" s="364" t="s">
        <v>22</v>
      </c>
      <c r="C3035" s="365" t="s">
        <v>429</v>
      </c>
      <c r="D3035" s="364" t="s">
        <v>430</v>
      </c>
      <c r="E3035" s="366">
        <v>3.0</v>
      </c>
      <c r="F3035" s="367">
        <v>45786.41666666667</v>
      </c>
      <c r="G3035" s="364" t="s">
        <v>1185</v>
      </c>
      <c r="H3035" s="364" t="s">
        <v>1211</v>
      </c>
    </row>
    <row r="3036" ht="15.75" customHeight="1">
      <c r="A3036" s="364" t="s">
        <v>76</v>
      </c>
      <c r="B3036" s="364" t="s">
        <v>22</v>
      </c>
      <c r="C3036" s="365" t="s">
        <v>429</v>
      </c>
      <c r="D3036" s="364" t="s">
        <v>430</v>
      </c>
      <c r="E3036" s="366">
        <v>4.0</v>
      </c>
      <c r="F3036" s="367">
        <v>45804.54166666667</v>
      </c>
      <c r="G3036" s="364" t="s">
        <v>1185</v>
      </c>
      <c r="H3036" s="364" t="s">
        <v>1211</v>
      </c>
    </row>
    <row r="3037" ht="15.75" customHeight="1">
      <c r="A3037" s="364" t="s">
        <v>76</v>
      </c>
      <c r="B3037" s="364" t="s">
        <v>22</v>
      </c>
      <c r="C3037" s="365" t="s">
        <v>429</v>
      </c>
      <c r="D3037" s="364" t="s">
        <v>430</v>
      </c>
      <c r="E3037" s="366">
        <v>5.0</v>
      </c>
      <c r="F3037" s="367">
        <v>45811.58333333333</v>
      </c>
      <c r="G3037" s="364" t="s">
        <v>1185</v>
      </c>
      <c r="H3037" s="364" t="s">
        <v>1211</v>
      </c>
    </row>
    <row r="3038" ht="15.75" customHeight="1">
      <c r="A3038" s="364" t="s">
        <v>76</v>
      </c>
      <c r="B3038" s="364" t="s">
        <v>22</v>
      </c>
      <c r="C3038" s="365" t="s">
        <v>429</v>
      </c>
      <c r="D3038" s="364" t="s">
        <v>430</v>
      </c>
      <c r="E3038" s="366">
        <v>6.0</v>
      </c>
      <c r="F3038" s="367">
        <v>45818.58333333333</v>
      </c>
      <c r="G3038" s="364" t="s">
        <v>1185</v>
      </c>
      <c r="H3038" s="364" t="s">
        <v>1211</v>
      </c>
    </row>
    <row r="3039" ht="15.75" customHeight="1">
      <c r="A3039" s="364" t="s">
        <v>76</v>
      </c>
      <c r="B3039" s="364" t="s">
        <v>22</v>
      </c>
      <c r="C3039" s="365" t="s">
        <v>429</v>
      </c>
      <c r="D3039" s="364" t="s">
        <v>430</v>
      </c>
      <c r="E3039" s="366">
        <v>7.0</v>
      </c>
      <c r="F3039" s="367">
        <v>45825.58333333333</v>
      </c>
      <c r="G3039" s="364" t="s">
        <v>1185</v>
      </c>
      <c r="H3039" s="364" t="s">
        <v>1211</v>
      </c>
    </row>
    <row r="3040" ht="15.75" customHeight="1">
      <c r="A3040" s="364" t="s">
        <v>76</v>
      </c>
      <c r="B3040" s="364" t="s">
        <v>22</v>
      </c>
      <c r="C3040" s="365" t="s">
        <v>429</v>
      </c>
      <c r="D3040" s="364" t="s">
        <v>430</v>
      </c>
      <c r="E3040" s="366">
        <v>8.0</v>
      </c>
      <c r="F3040" s="367">
        <v>45832.58333333333</v>
      </c>
      <c r="G3040" s="364" t="s">
        <v>1187</v>
      </c>
      <c r="H3040" s="364" t="s">
        <v>1211</v>
      </c>
    </row>
    <row r="3041" ht="15.75" customHeight="1">
      <c r="A3041" s="364" t="s">
        <v>76</v>
      </c>
      <c r="B3041" s="364" t="s">
        <v>22</v>
      </c>
      <c r="C3041" s="365" t="s">
        <v>429</v>
      </c>
      <c r="D3041" s="364" t="s">
        <v>430</v>
      </c>
      <c r="E3041" s="366">
        <v>9.0</v>
      </c>
      <c r="F3041" s="367">
        <v>45846.58333333333</v>
      </c>
      <c r="G3041" s="364" t="s">
        <v>1185</v>
      </c>
      <c r="H3041" s="364" t="s">
        <v>1211</v>
      </c>
    </row>
    <row r="3042" ht="15.75" customHeight="1">
      <c r="A3042" s="364" t="s">
        <v>76</v>
      </c>
      <c r="B3042" s="364" t="s">
        <v>22</v>
      </c>
      <c r="C3042" s="365" t="s">
        <v>429</v>
      </c>
      <c r="D3042" s="364" t="s">
        <v>430</v>
      </c>
      <c r="E3042" s="366">
        <v>10.0</v>
      </c>
      <c r="F3042" s="367">
        <v>45868.375</v>
      </c>
      <c r="G3042" s="364" t="s">
        <v>1185</v>
      </c>
      <c r="H3042" s="364" t="s">
        <v>1211</v>
      </c>
    </row>
    <row r="3043" ht="15.75" customHeight="1">
      <c r="A3043" s="364" t="s">
        <v>76</v>
      </c>
      <c r="B3043" s="364" t="s">
        <v>22</v>
      </c>
      <c r="C3043" s="365" t="s">
        <v>431</v>
      </c>
      <c r="D3043" s="364" t="s">
        <v>432</v>
      </c>
      <c r="E3043" s="366">
        <v>1.0</v>
      </c>
      <c r="F3043" s="367">
        <v>45763.54166666667</v>
      </c>
      <c r="G3043" s="364" t="s">
        <v>1185</v>
      </c>
      <c r="H3043" s="364" t="s">
        <v>1211</v>
      </c>
    </row>
    <row r="3044" ht="15.75" customHeight="1">
      <c r="A3044" s="364" t="s">
        <v>76</v>
      </c>
      <c r="B3044" s="364" t="s">
        <v>22</v>
      </c>
      <c r="C3044" s="365" t="s">
        <v>431</v>
      </c>
      <c r="D3044" s="364" t="s">
        <v>432</v>
      </c>
      <c r="E3044" s="366">
        <v>2.0</v>
      </c>
      <c r="F3044" s="367">
        <v>45769.54166666667</v>
      </c>
      <c r="G3044" s="364" t="s">
        <v>1185</v>
      </c>
      <c r="H3044" s="364" t="s">
        <v>1211</v>
      </c>
    </row>
    <row r="3045" ht="15.75" customHeight="1">
      <c r="A3045" s="364" t="s">
        <v>76</v>
      </c>
      <c r="B3045" s="364" t="s">
        <v>22</v>
      </c>
      <c r="C3045" s="365" t="s">
        <v>431</v>
      </c>
      <c r="D3045" s="364" t="s">
        <v>432</v>
      </c>
      <c r="E3045" s="366">
        <v>3.0</v>
      </c>
      <c r="F3045" s="367">
        <v>45786.41666666667</v>
      </c>
      <c r="G3045" s="364" t="s">
        <v>1185</v>
      </c>
      <c r="H3045" s="364" t="s">
        <v>1211</v>
      </c>
    </row>
    <row r="3046" ht="15.75" customHeight="1">
      <c r="A3046" s="364" t="s">
        <v>76</v>
      </c>
      <c r="B3046" s="364" t="s">
        <v>22</v>
      </c>
      <c r="C3046" s="365" t="s">
        <v>431</v>
      </c>
      <c r="D3046" s="364" t="s">
        <v>432</v>
      </c>
      <c r="E3046" s="366">
        <v>4.0</v>
      </c>
      <c r="F3046" s="367">
        <v>45804.54166666667</v>
      </c>
      <c r="G3046" s="364" t="s">
        <v>1185</v>
      </c>
      <c r="H3046" s="364" t="s">
        <v>1211</v>
      </c>
    </row>
    <row r="3047" ht="15.75" customHeight="1">
      <c r="A3047" s="364" t="s">
        <v>76</v>
      </c>
      <c r="B3047" s="364" t="s">
        <v>22</v>
      </c>
      <c r="C3047" s="365" t="s">
        <v>431</v>
      </c>
      <c r="D3047" s="364" t="s">
        <v>432</v>
      </c>
      <c r="E3047" s="366">
        <v>5.0</v>
      </c>
      <c r="F3047" s="367">
        <v>45811.58333333333</v>
      </c>
      <c r="G3047" s="364" t="s">
        <v>1185</v>
      </c>
      <c r="H3047" s="364" t="s">
        <v>1211</v>
      </c>
    </row>
    <row r="3048" ht="15.75" customHeight="1">
      <c r="A3048" s="364" t="s">
        <v>76</v>
      </c>
      <c r="B3048" s="364" t="s">
        <v>22</v>
      </c>
      <c r="C3048" s="365" t="s">
        <v>431</v>
      </c>
      <c r="D3048" s="364" t="s">
        <v>432</v>
      </c>
      <c r="E3048" s="366">
        <v>6.0</v>
      </c>
      <c r="F3048" s="367">
        <v>45818.58333333333</v>
      </c>
      <c r="G3048" s="364" t="s">
        <v>1185</v>
      </c>
      <c r="H3048" s="364" t="s">
        <v>1211</v>
      </c>
    </row>
    <row r="3049" ht="15.75" customHeight="1">
      <c r="A3049" s="364" t="s">
        <v>76</v>
      </c>
      <c r="B3049" s="364" t="s">
        <v>22</v>
      </c>
      <c r="C3049" s="365" t="s">
        <v>431</v>
      </c>
      <c r="D3049" s="364" t="s">
        <v>432</v>
      </c>
      <c r="E3049" s="366">
        <v>7.0</v>
      </c>
      <c r="F3049" s="367">
        <v>45825.58333333333</v>
      </c>
      <c r="G3049" s="364" t="s">
        <v>1185</v>
      </c>
      <c r="H3049" s="364" t="s">
        <v>1211</v>
      </c>
    </row>
    <row r="3050" ht="15.75" customHeight="1">
      <c r="A3050" s="364" t="s">
        <v>76</v>
      </c>
      <c r="B3050" s="364" t="s">
        <v>22</v>
      </c>
      <c r="C3050" s="365" t="s">
        <v>431</v>
      </c>
      <c r="D3050" s="364" t="s">
        <v>432</v>
      </c>
      <c r="E3050" s="366">
        <v>8.0</v>
      </c>
      <c r="F3050" s="367">
        <v>45832.58333333333</v>
      </c>
      <c r="G3050" s="364" t="s">
        <v>1185</v>
      </c>
      <c r="H3050" s="364" t="s">
        <v>1211</v>
      </c>
    </row>
    <row r="3051" ht="15.75" customHeight="1">
      <c r="A3051" s="364" t="s">
        <v>76</v>
      </c>
      <c r="B3051" s="364" t="s">
        <v>22</v>
      </c>
      <c r="C3051" s="365" t="s">
        <v>431</v>
      </c>
      <c r="D3051" s="364" t="s">
        <v>432</v>
      </c>
      <c r="E3051" s="366">
        <v>9.0</v>
      </c>
      <c r="F3051" s="367">
        <v>45846.58333333333</v>
      </c>
      <c r="G3051" s="364" t="s">
        <v>1185</v>
      </c>
      <c r="H3051" s="364" t="s">
        <v>1211</v>
      </c>
    </row>
    <row r="3052" ht="15.75" customHeight="1">
      <c r="A3052" s="364" t="s">
        <v>76</v>
      </c>
      <c r="B3052" s="364" t="s">
        <v>22</v>
      </c>
      <c r="C3052" s="365" t="s">
        <v>431</v>
      </c>
      <c r="D3052" s="364" t="s">
        <v>432</v>
      </c>
      <c r="E3052" s="366">
        <v>10.0</v>
      </c>
      <c r="F3052" s="367">
        <v>45868.375</v>
      </c>
      <c r="G3052" s="364" t="s">
        <v>1185</v>
      </c>
      <c r="H3052" s="364" t="s">
        <v>1211</v>
      </c>
    </row>
    <row r="3053" ht="15.75" customHeight="1">
      <c r="A3053" s="364" t="s">
        <v>76</v>
      </c>
      <c r="B3053" s="364" t="s">
        <v>22</v>
      </c>
      <c r="C3053" s="365" t="s">
        <v>326</v>
      </c>
      <c r="D3053" s="364" t="s">
        <v>327</v>
      </c>
      <c r="E3053" s="366">
        <v>1.0</v>
      </c>
      <c r="F3053" s="367">
        <v>45763.54166666667</v>
      </c>
      <c r="G3053" s="364" t="s">
        <v>1185</v>
      </c>
      <c r="H3053" s="364" t="s">
        <v>1211</v>
      </c>
    </row>
    <row r="3054" ht="15.75" customHeight="1">
      <c r="A3054" s="364" t="s">
        <v>76</v>
      </c>
      <c r="B3054" s="364" t="s">
        <v>22</v>
      </c>
      <c r="C3054" s="365" t="s">
        <v>326</v>
      </c>
      <c r="D3054" s="364" t="s">
        <v>327</v>
      </c>
      <c r="E3054" s="366">
        <v>2.0</v>
      </c>
      <c r="F3054" s="367">
        <v>45769.54166666667</v>
      </c>
      <c r="G3054" s="364" t="s">
        <v>1185</v>
      </c>
      <c r="H3054" s="364" t="s">
        <v>1211</v>
      </c>
    </row>
    <row r="3055" ht="15.75" customHeight="1">
      <c r="A3055" s="364" t="s">
        <v>76</v>
      </c>
      <c r="B3055" s="364" t="s">
        <v>22</v>
      </c>
      <c r="C3055" s="365" t="s">
        <v>326</v>
      </c>
      <c r="D3055" s="364" t="s">
        <v>327</v>
      </c>
      <c r="E3055" s="366">
        <v>3.0</v>
      </c>
      <c r="F3055" s="367">
        <v>45786.41666666667</v>
      </c>
      <c r="G3055" s="364" t="s">
        <v>1185</v>
      </c>
      <c r="H3055" s="364" t="s">
        <v>1211</v>
      </c>
    </row>
    <row r="3056" ht="15.75" customHeight="1">
      <c r="A3056" s="364" t="s">
        <v>76</v>
      </c>
      <c r="B3056" s="364" t="s">
        <v>22</v>
      </c>
      <c r="C3056" s="365" t="s">
        <v>326</v>
      </c>
      <c r="D3056" s="364" t="s">
        <v>327</v>
      </c>
      <c r="E3056" s="366">
        <v>4.0</v>
      </c>
      <c r="F3056" s="367">
        <v>45804.54166666667</v>
      </c>
      <c r="G3056" s="364" t="s">
        <v>1185</v>
      </c>
      <c r="H3056" s="364" t="s">
        <v>1211</v>
      </c>
    </row>
    <row r="3057" ht="15.75" customHeight="1">
      <c r="A3057" s="364" t="s">
        <v>76</v>
      </c>
      <c r="B3057" s="364" t="s">
        <v>22</v>
      </c>
      <c r="C3057" s="365" t="s">
        <v>326</v>
      </c>
      <c r="D3057" s="364" t="s">
        <v>327</v>
      </c>
      <c r="E3057" s="366">
        <v>5.0</v>
      </c>
      <c r="F3057" s="367">
        <v>45811.58333333333</v>
      </c>
      <c r="G3057" s="364" t="s">
        <v>1185</v>
      </c>
      <c r="H3057" s="364" t="s">
        <v>1211</v>
      </c>
    </row>
    <row r="3058" ht="15.75" customHeight="1">
      <c r="A3058" s="364" t="s">
        <v>76</v>
      </c>
      <c r="B3058" s="364" t="s">
        <v>22</v>
      </c>
      <c r="C3058" s="365" t="s">
        <v>326</v>
      </c>
      <c r="D3058" s="364" t="s">
        <v>327</v>
      </c>
      <c r="E3058" s="366">
        <v>6.0</v>
      </c>
      <c r="F3058" s="367">
        <v>45818.58333333333</v>
      </c>
      <c r="G3058" s="364" t="s">
        <v>1185</v>
      </c>
      <c r="H3058" s="364" t="s">
        <v>1211</v>
      </c>
    </row>
    <row r="3059" ht="15.75" customHeight="1">
      <c r="A3059" s="364" t="s">
        <v>76</v>
      </c>
      <c r="B3059" s="364" t="s">
        <v>22</v>
      </c>
      <c r="C3059" s="365" t="s">
        <v>326</v>
      </c>
      <c r="D3059" s="364" t="s">
        <v>327</v>
      </c>
      <c r="E3059" s="366">
        <v>7.0</v>
      </c>
      <c r="F3059" s="367">
        <v>45825.58333333333</v>
      </c>
      <c r="G3059" s="364" t="s">
        <v>1185</v>
      </c>
      <c r="H3059" s="364" t="s">
        <v>1211</v>
      </c>
    </row>
    <row r="3060" ht="15.75" customHeight="1">
      <c r="A3060" s="364" t="s">
        <v>76</v>
      </c>
      <c r="B3060" s="364" t="s">
        <v>22</v>
      </c>
      <c r="C3060" s="365" t="s">
        <v>326</v>
      </c>
      <c r="D3060" s="364" t="s">
        <v>327</v>
      </c>
      <c r="E3060" s="366">
        <v>8.0</v>
      </c>
      <c r="F3060" s="367">
        <v>45832.58333333333</v>
      </c>
      <c r="G3060" s="364" t="s">
        <v>1185</v>
      </c>
      <c r="H3060" s="364" t="s">
        <v>1211</v>
      </c>
    </row>
    <row r="3061" ht="15.75" customHeight="1">
      <c r="A3061" s="364" t="s">
        <v>76</v>
      </c>
      <c r="B3061" s="364" t="s">
        <v>22</v>
      </c>
      <c r="C3061" s="365" t="s">
        <v>326</v>
      </c>
      <c r="D3061" s="364" t="s">
        <v>327</v>
      </c>
      <c r="E3061" s="366">
        <v>9.0</v>
      </c>
      <c r="F3061" s="367">
        <v>45846.58333333333</v>
      </c>
      <c r="G3061" s="364" t="s">
        <v>1185</v>
      </c>
      <c r="H3061" s="364" t="s">
        <v>1211</v>
      </c>
    </row>
    <row r="3062" ht="15.75" customHeight="1">
      <c r="A3062" s="364" t="s">
        <v>76</v>
      </c>
      <c r="B3062" s="364" t="s">
        <v>22</v>
      </c>
      <c r="C3062" s="365" t="s">
        <v>326</v>
      </c>
      <c r="D3062" s="364" t="s">
        <v>327</v>
      </c>
      <c r="E3062" s="366">
        <v>10.0</v>
      </c>
      <c r="F3062" s="367">
        <v>45868.375</v>
      </c>
      <c r="G3062" s="364" t="s">
        <v>1185</v>
      </c>
      <c r="H3062" s="364" t="s">
        <v>1211</v>
      </c>
    </row>
    <row r="3063" ht="15.75" customHeight="1">
      <c r="A3063" s="364" t="s">
        <v>76</v>
      </c>
      <c r="B3063" s="364" t="s">
        <v>22</v>
      </c>
      <c r="C3063" s="365" t="s">
        <v>329</v>
      </c>
      <c r="D3063" s="364" t="s">
        <v>330</v>
      </c>
      <c r="E3063" s="366">
        <v>1.0</v>
      </c>
      <c r="F3063" s="367">
        <v>45763.54166666667</v>
      </c>
      <c r="G3063" s="364" t="s">
        <v>1185</v>
      </c>
      <c r="H3063" s="364" t="s">
        <v>1211</v>
      </c>
    </row>
    <row r="3064" ht="15.75" customHeight="1">
      <c r="A3064" s="364" t="s">
        <v>76</v>
      </c>
      <c r="B3064" s="364" t="s">
        <v>22</v>
      </c>
      <c r="C3064" s="365" t="s">
        <v>329</v>
      </c>
      <c r="D3064" s="364" t="s">
        <v>330</v>
      </c>
      <c r="E3064" s="366">
        <v>2.0</v>
      </c>
      <c r="F3064" s="367">
        <v>45769.54166666667</v>
      </c>
      <c r="G3064" s="364" t="s">
        <v>1185</v>
      </c>
      <c r="H3064" s="364" t="s">
        <v>1211</v>
      </c>
    </row>
    <row r="3065" ht="15.75" customHeight="1">
      <c r="A3065" s="364" t="s">
        <v>76</v>
      </c>
      <c r="B3065" s="364" t="s">
        <v>22</v>
      </c>
      <c r="C3065" s="365" t="s">
        <v>329</v>
      </c>
      <c r="D3065" s="364" t="s">
        <v>330</v>
      </c>
      <c r="E3065" s="366">
        <v>3.0</v>
      </c>
      <c r="F3065" s="367">
        <v>45786.41666666667</v>
      </c>
      <c r="G3065" s="364" t="s">
        <v>1185</v>
      </c>
      <c r="H3065" s="364" t="s">
        <v>1211</v>
      </c>
    </row>
    <row r="3066" ht="15.75" customHeight="1">
      <c r="A3066" s="364" t="s">
        <v>76</v>
      </c>
      <c r="B3066" s="364" t="s">
        <v>22</v>
      </c>
      <c r="C3066" s="365" t="s">
        <v>329</v>
      </c>
      <c r="D3066" s="364" t="s">
        <v>330</v>
      </c>
      <c r="E3066" s="366">
        <v>4.0</v>
      </c>
      <c r="F3066" s="367">
        <v>45804.54166666667</v>
      </c>
      <c r="G3066" s="364" t="s">
        <v>1185</v>
      </c>
      <c r="H3066" s="364" t="s">
        <v>1211</v>
      </c>
    </row>
    <row r="3067" ht="15.75" customHeight="1">
      <c r="A3067" s="364" t="s">
        <v>76</v>
      </c>
      <c r="B3067" s="364" t="s">
        <v>22</v>
      </c>
      <c r="C3067" s="365" t="s">
        <v>329</v>
      </c>
      <c r="D3067" s="364" t="s">
        <v>330</v>
      </c>
      <c r="E3067" s="366">
        <v>5.0</v>
      </c>
      <c r="F3067" s="367">
        <v>45811.58333333333</v>
      </c>
      <c r="G3067" s="364" t="s">
        <v>1185</v>
      </c>
      <c r="H3067" s="364" t="s">
        <v>1211</v>
      </c>
    </row>
    <row r="3068" ht="15.75" customHeight="1">
      <c r="A3068" s="364" t="s">
        <v>76</v>
      </c>
      <c r="B3068" s="364" t="s">
        <v>22</v>
      </c>
      <c r="C3068" s="365" t="s">
        <v>329</v>
      </c>
      <c r="D3068" s="364" t="s">
        <v>330</v>
      </c>
      <c r="E3068" s="366">
        <v>6.0</v>
      </c>
      <c r="F3068" s="367">
        <v>45818.58333333333</v>
      </c>
      <c r="G3068" s="364" t="s">
        <v>1185</v>
      </c>
      <c r="H3068" s="364" t="s">
        <v>1211</v>
      </c>
    </row>
    <row r="3069" ht="15.75" customHeight="1">
      <c r="A3069" s="364" t="s">
        <v>76</v>
      </c>
      <c r="B3069" s="364" t="s">
        <v>22</v>
      </c>
      <c r="C3069" s="365" t="s">
        <v>329</v>
      </c>
      <c r="D3069" s="364" t="s">
        <v>330</v>
      </c>
      <c r="E3069" s="366">
        <v>7.0</v>
      </c>
      <c r="F3069" s="367">
        <v>45825.58333333333</v>
      </c>
      <c r="G3069" s="364" t="s">
        <v>1185</v>
      </c>
      <c r="H3069" s="364" t="s">
        <v>1211</v>
      </c>
    </row>
    <row r="3070" ht="15.75" customHeight="1">
      <c r="A3070" s="364" t="s">
        <v>76</v>
      </c>
      <c r="B3070" s="364" t="s">
        <v>22</v>
      </c>
      <c r="C3070" s="365" t="s">
        <v>329</v>
      </c>
      <c r="D3070" s="364" t="s">
        <v>330</v>
      </c>
      <c r="E3070" s="366">
        <v>8.0</v>
      </c>
      <c r="F3070" s="367">
        <v>45832.58333333333</v>
      </c>
      <c r="G3070" s="364" t="s">
        <v>1185</v>
      </c>
      <c r="H3070" s="364" t="s">
        <v>1211</v>
      </c>
    </row>
    <row r="3071" ht="15.75" customHeight="1">
      <c r="A3071" s="364" t="s">
        <v>76</v>
      </c>
      <c r="B3071" s="364" t="s">
        <v>22</v>
      </c>
      <c r="C3071" s="365" t="s">
        <v>329</v>
      </c>
      <c r="D3071" s="364" t="s">
        <v>330</v>
      </c>
      <c r="E3071" s="366">
        <v>9.0</v>
      </c>
      <c r="F3071" s="367">
        <v>45846.58333333333</v>
      </c>
      <c r="G3071" s="364" t="s">
        <v>1185</v>
      </c>
      <c r="H3071" s="364" t="s">
        <v>1211</v>
      </c>
    </row>
    <row r="3072" ht="15.75" customHeight="1">
      <c r="A3072" s="364" t="s">
        <v>76</v>
      </c>
      <c r="B3072" s="364" t="s">
        <v>22</v>
      </c>
      <c r="C3072" s="365" t="s">
        <v>329</v>
      </c>
      <c r="D3072" s="364" t="s">
        <v>330</v>
      </c>
      <c r="E3072" s="366">
        <v>10.0</v>
      </c>
      <c r="F3072" s="367">
        <v>45868.375</v>
      </c>
      <c r="G3072" s="364" t="s">
        <v>1185</v>
      </c>
      <c r="H3072" s="364" t="s">
        <v>1211</v>
      </c>
    </row>
    <row r="3073" ht="15.75" customHeight="1">
      <c r="A3073" s="364" t="s">
        <v>76</v>
      </c>
      <c r="B3073" s="364" t="s">
        <v>23</v>
      </c>
      <c r="C3073" s="365" t="s">
        <v>419</v>
      </c>
      <c r="D3073" s="364" t="s">
        <v>420</v>
      </c>
      <c r="E3073" s="366">
        <v>1.0</v>
      </c>
      <c r="F3073" s="367">
        <v>45895.58333333333</v>
      </c>
      <c r="G3073" s="364" t="s">
        <v>1185</v>
      </c>
      <c r="H3073" s="364" t="s">
        <v>1211</v>
      </c>
    </row>
    <row r="3074" ht="15.75" customHeight="1">
      <c r="A3074" s="364" t="s">
        <v>76</v>
      </c>
      <c r="B3074" s="364" t="s">
        <v>23</v>
      </c>
      <c r="C3074" s="365" t="s">
        <v>419</v>
      </c>
      <c r="D3074" s="364" t="s">
        <v>420</v>
      </c>
      <c r="E3074" s="366">
        <v>2.0</v>
      </c>
      <c r="F3074" s="367">
        <v>45895.58333333333</v>
      </c>
      <c r="G3074" s="364" t="s">
        <v>1185</v>
      </c>
      <c r="H3074" s="364" t="s">
        <v>1211</v>
      </c>
    </row>
    <row r="3075" ht="15.75" customHeight="1">
      <c r="A3075" s="364" t="s">
        <v>76</v>
      </c>
      <c r="B3075" s="364" t="s">
        <v>23</v>
      </c>
      <c r="C3075" s="365" t="s">
        <v>419</v>
      </c>
      <c r="D3075" s="364" t="s">
        <v>420</v>
      </c>
      <c r="E3075" s="366">
        <v>3.0</v>
      </c>
      <c r="F3075" s="367">
        <v>45916.625</v>
      </c>
      <c r="G3075" s="364" t="s">
        <v>1187</v>
      </c>
      <c r="H3075" s="364" t="s">
        <v>1211</v>
      </c>
    </row>
    <row r="3076" ht="15.75" customHeight="1">
      <c r="A3076" s="364" t="s">
        <v>76</v>
      </c>
      <c r="B3076" s="364" t="s">
        <v>23</v>
      </c>
      <c r="C3076" s="365" t="s">
        <v>419</v>
      </c>
      <c r="D3076" s="364" t="s">
        <v>420</v>
      </c>
      <c r="E3076" s="366">
        <v>4.0</v>
      </c>
      <c r="F3076" s="367">
        <v>45953.625</v>
      </c>
      <c r="G3076" s="364" t="s">
        <v>1185</v>
      </c>
      <c r="H3076" s="364" t="s">
        <v>1211</v>
      </c>
    </row>
    <row r="3077" ht="15.75" customHeight="1">
      <c r="A3077" s="364" t="s">
        <v>76</v>
      </c>
      <c r="B3077" s="364" t="s">
        <v>23</v>
      </c>
      <c r="C3077" s="365" t="s">
        <v>419</v>
      </c>
      <c r="D3077" s="364" t="s">
        <v>420</v>
      </c>
      <c r="E3077" s="366">
        <v>5.0</v>
      </c>
      <c r="F3077" s="367">
        <v>45930.625</v>
      </c>
      <c r="G3077" s="364" t="s">
        <v>1187</v>
      </c>
      <c r="H3077" s="364" t="s">
        <v>1211</v>
      </c>
    </row>
    <row r="3078" ht="15.75" customHeight="1">
      <c r="A3078" s="364" t="s">
        <v>76</v>
      </c>
      <c r="B3078" s="364" t="s">
        <v>23</v>
      </c>
      <c r="C3078" s="365" t="s">
        <v>419</v>
      </c>
      <c r="D3078" s="364" t="s">
        <v>420</v>
      </c>
      <c r="E3078" s="366">
        <v>6.0</v>
      </c>
      <c r="F3078" s="367">
        <v>45964.625</v>
      </c>
      <c r="G3078" s="364" t="s">
        <v>1185</v>
      </c>
      <c r="H3078" s="364" t="s">
        <v>1211</v>
      </c>
    </row>
    <row r="3079" ht="15.75" customHeight="1">
      <c r="A3079" s="364" t="s">
        <v>76</v>
      </c>
      <c r="B3079" s="364" t="s">
        <v>23</v>
      </c>
      <c r="C3079" s="365" t="s">
        <v>419</v>
      </c>
      <c r="D3079" s="364" t="s">
        <v>420</v>
      </c>
      <c r="E3079" s="366">
        <v>7.0</v>
      </c>
      <c r="F3079" s="367">
        <v>45979.625</v>
      </c>
      <c r="G3079" s="364" t="s">
        <v>1187</v>
      </c>
      <c r="H3079" s="364" t="s">
        <v>1211</v>
      </c>
    </row>
    <row r="3080" ht="15.75" customHeight="1">
      <c r="A3080" s="364" t="s">
        <v>76</v>
      </c>
      <c r="B3080" s="364" t="s">
        <v>23</v>
      </c>
      <c r="C3080" s="365" t="s">
        <v>419</v>
      </c>
      <c r="D3080" s="364" t="s">
        <v>420</v>
      </c>
      <c r="E3080" s="366">
        <v>8.0</v>
      </c>
      <c r="F3080" s="367">
        <v>45993.58333333333</v>
      </c>
      <c r="G3080" s="364" t="s">
        <v>1185</v>
      </c>
      <c r="H3080" s="364" t="s">
        <v>1211</v>
      </c>
    </row>
    <row r="3081" ht="15.75" customHeight="1">
      <c r="A3081" s="364" t="s">
        <v>76</v>
      </c>
      <c r="B3081" s="364" t="s">
        <v>23</v>
      </c>
      <c r="C3081" s="365" t="s">
        <v>419</v>
      </c>
      <c r="D3081" s="364" t="s">
        <v>420</v>
      </c>
      <c r="E3081" s="366">
        <v>9.0</v>
      </c>
      <c r="F3081" s="367">
        <v>46000.58333333333</v>
      </c>
      <c r="G3081" s="364" t="s">
        <v>1185</v>
      </c>
      <c r="H3081" s="364" t="s">
        <v>1211</v>
      </c>
    </row>
    <row r="3082" ht="15.75" customHeight="1">
      <c r="A3082" s="364" t="s">
        <v>76</v>
      </c>
      <c r="B3082" s="364" t="s">
        <v>23</v>
      </c>
      <c r="C3082" s="365" t="s">
        <v>419</v>
      </c>
      <c r="D3082" s="364" t="s">
        <v>420</v>
      </c>
      <c r="E3082" s="366">
        <v>10.0</v>
      </c>
      <c r="F3082" s="367">
        <v>46007.58333333333</v>
      </c>
      <c r="G3082" s="364" t="s">
        <v>1185</v>
      </c>
      <c r="H3082" s="364" t="s">
        <v>1211</v>
      </c>
    </row>
    <row r="3083" ht="15.75" customHeight="1">
      <c r="A3083" s="364" t="s">
        <v>76</v>
      </c>
      <c r="B3083" s="364" t="s">
        <v>23</v>
      </c>
      <c r="C3083" s="365" t="s">
        <v>419</v>
      </c>
      <c r="D3083" s="364" t="s">
        <v>420</v>
      </c>
      <c r="E3083" s="366">
        <v>11.0</v>
      </c>
      <c r="F3083" s="367">
        <v>46013.58333333333</v>
      </c>
      <c r="G3083" s="364" t="s">
        <v>1185</v>
      </c>
      <c r="H3083" s="364" t="s">
        <v>1211</v>
      </c>
    </row>
    <row r="3084" ht="15.75" customHeight="1">
      <c r="A3084" s="364" t="s">
        <v>76</v>
      </c>
      <c r="B3084" s="364" t="s">
        <v>23</v>
      </c>
      <c r="C3084" s="365" t="s">
        <v>421</v>
      </c>
      <c r="D3084" s="364" t="s">
        <v>422</v>
      </c>
      <c r="E3084" s="366">
        <v>1.0</v>
      </c>
      <c r="F3084" s="367">
        <v>45895.58333333333</v>
      </c>
      <c r="G3084" s="364" t="s">
        <v>1185</v>
      </c>
      <c r="H3084" s="364" t="s">
        <v>1211</v>
      </c>
    </row>
    <row r="3085" ht="15.75" customHeight="1">
      <c r="A3085" s="364" t="s">
        <v>76</v>
      </c>
      <c r="B3085" s="364" t="s">
        <v>23</v>
      </c>
      <c r="C3085" s="365" t="s">
        <v>421</v>
      </c>
      <c r="D3085" s="364" t="s">
        <v>422</v>
      </c>
      <c r="E3085" s="366">
        <v>2.0</v>
      </c>
      <c r="F3085" s="367">
        <v>45895.58333333333</v>
      </c>
      <c r="G3085" s="364" t="s">
        <v>1187</v>
      </c>
      <c r="H3085" s="364" t="s">
        <v>1211</v>
      </c>
    </row>
    <row r="3086" ht="15.75" customHeight="1">
      <c r="A3086" s="364" t="s">
        <v>76</v>
      </c>
      <c r="B3086" s="364" t="s">
        <v>23</v>
      </c>
      <c r="C3086" s="365" t="s">
        <v>421</v>
      </c>
      <c r="D3086" s="364" t="s">
        <v>422</v>
      </c>
      <c r="E3086" s="366">
        <v>3.0</v>
      </c>
      <c r="F3086" s="367">
        <v>45916.625</v>
      </c>
      <c r="G3086" s="364" t="s">
        <v>1187</v>
      </c>
      <c r="H3086" s="364" t="s">
        <v>1211</v>
      </c>
    </row>
    <row r="3087" ht="15.75" customHeight="1">
      <c r="A3087" s="364" t="s">
        <v>76</v>
      </c>
      <c r="B3087" s="364" t="s">
        <v>23</v>
      </c>
      <c r="C3087" s="365" t="s">
        <v>421</v>
      </c>
      <c r="D3087" s="364" t="s">
        <v>422</v>
      </c>
      <c r="E3087" s="366">
        <v>4.0</v>
      </c>
      <c r="F3087" s="367">
        <v>45923.625</v>
      </c>
      <c r="G3087" s="364" t="s">
        <v>1185</v>
      </c>
      <c r="H3087" s="364" t="s">
        <v>1211</v>
      </c>
    </row>
    <row r="3088" ht="15.75" customHeight="1">
      <c r="A3088" s="364" t="s">
        <v>76</v>
      </c>
      <c r="B3088" s="364" t="s">
        <v>23</v>
      </c>
      <c r="C3088" s="365" t="s">
        <v>421</v>
      </c>
      <c r="D3088" s="364" t="s">
        <v>422</v>
      </c>
      <c r="E3088" s="366">
        <v>5.0</v>
      </c>
      <c r="F3088" s="367">
        <v>45930.625</v>
      </c>
      <c r="G3088" s="364" t="s">
        <v>1185</v>
      </c>
      <c r="H3088" s="364" t="s">
        <v>1211</v>
      </c>
    </row>
    <row r="3089" ht="15.75" customHeight="1">
      <c r="A3089" s="364" t="s">
        <v>76</v>
      </c>
      <c r="B3089" s="364" t="s">
        <v>23</v>
      </c>
      <c r="C3089" s="365" t="s">
        <v>421</v>
      </c>
      <c r="D3089" s="364" t="s">
        <v>422</v>
      </c>
      <c r="E3089" s="366">
        <v>6.0</v>
      </c>
      <c r="F3089" s="367">
        <v>45964.625</v>
      </c>
      <c r="G3089" s="364" t="s">
        <v>1185</v>
      </c>
      <c r="H3089" s="364" t="s">
        <v>1211</v>
      </c>
    </row>
    <row r="3090" ht="15.75" customHeight="1">
      <c r="A3090" s="364" t="s">
        <v>76</v>
      </c>
      <c r="B3090" s="364" t="s">
        <v>23</v>
      </c>
      <c r="C3090" s="365" t="s">
        <v>421</v>
      </c>
      <c r="D3090" s="364" t="s">
        <v>422</v>
      </c>
      <c r="E3090" s="366">
        <v>7.0</v>
      </c>
      <c r="F3090" s="367">
        <v>45979.625</v>
      </c>
      <c r="G3090" s="364" t="s">
        <v>1185</v>
      </c>
      <c r="H3090" s="364" t="s">
        <v>1211</v>
      </c>
    </row>
    <row r="3091" ht="15.75" customHeight="1">
      <c r="A3091" s="364" t="s">
        <v>76</v>
      </c>
      <c r="B3091" s="364" t="s">
        <v>23</v>
      </c>
      <c r="C3091" s="365" t="s">
        <v>421</v>
      </c>
      <c r="D3091" s="364" t="s">
        <v>422</v>
      </c>
      <c r="E3091" s="366">
        <v>8.0</v>
      </c>
      <c r="F3091" s="367">
        <v>45993.58333333333</v>
      </c>
      <c r="G3091" s="364" t="s">
        <v>1185</v>
      </c>
      <c r="H3091" s="364" t="s">
        <v>1211</v>
      </c>
    </row>
    <row r="3092" ht="15.75" customHeight="1">
      <c r="A3092" s="364" t="s">
        <v>76</v>
      </c>
      <c r="B3092" s="364" t="s">
        <v>23</v>
      </c>
      <c r="C3092" s="365" t="s">
        <v>421</v>
      </c>
      <c r="D3092" s="364" t="s">
        <v>422</v>
      </c>
      <c r="E3092" s="366">
        <v>9.0</v>
      </c>
      <c r="F3092" s="367">
        <v>46000.58333333333</v>
      </c>
      <c r="G3092" s="364" t="s">
        <v>1185</v>
      </c>
      <c r="H3092" s="364" t="s">
        <v>1211</v>
      </c>
    </row>
    <row r="3093" ht="15.75" customHeight="1">
      <c r="A3093" s="364" t="s">
        <v>76</v>
      </c>
      <c r="B3093" s="364" t="s">
        <v>23</v>
      </c>
      <c r="C3093" s="365" t="s">
        <v>421</v>
      </c>
      <c r="D3093" s="364" t="s">
        <v>422</v>
      </c>
      <c r="E3093" s="366">
        <v>10.0</v>
      </c>
      <c r="F3093" s="367">
        <v>46007.58333333333</v>
      </c>
      <c r="G3093" s="364" t="s">
        <v>1185</v>
      </c>
      <c r="H3093" s="364" t="s">
        <v>1211</v>
      </c>
    </row>
    <row r="3094" ht="15.75" customHeight="1">
      <c r="A3094" s="364" t="s">
        <v>76</v>
      </c>
      <c r="B3094" s="364" t="s">
        <v>23</v>
      </c>
      <c r="C3094" s="365" t="s">
        <v>421</v>
      </c>
      <c r="D3094" s="364" t="s">
        <v>422</v>
      </c>
      <c r="E3094" s="366">
        <v>11.0</v>
      </c>
      <c r="F3094" s="367">
        <v>46013.58333333333</v>
      </c>
      <c r="G3094" s="364" t="s">
        <v>1185</v>
      </c>
      <c r="H3094" s="364" t="s">
        <v>1211</v>
      </c>
    </row>
    <row r="3095" ht="15.75" customHeight="1">
      <c r="A3095" s="364" t="s">
        <v>76</v>
      </c>
      <c r="B3095" s="364" t="s">
        <v>23</v>
      </c>
      <c r="C3095" s="365" t="s">
        <v>423</v>
      </c>
      <c r="D3095" s="364" t="s">
        <v>424</v>
      </c>
      <c r="E3095" s="366">
        <v>1.0</v>
      </c>
      <c r="F3095" s="367">
        <v>45895.58333333333</v>
      </c>
      <c r="G3095" s="364" t="s">
        <v>1185</v>
      </c>
      <c r="H3095" s="364" t="s">
        <v>1211</v>
      </c>
    </row>
    <row r="3096" ht="15.75" customHeight="1">
      <c r="A3096" s="364" t="s">
        <v>76</v>
      </c>
      <c r="B3096" s="364" t="s">
        <v>23</v>
      </c>
      <c r="C3096" s="365" t="s">
        <v>423</v>
      </c>
      <c r="D3096" s="364" t="s">
        <v>424</v>
      </c>
      <c r="E3096" s="366">
        <v>2.0</v>
      </c>
      <c r="F3096" s="367">
        <v>45895.58333333333</v>
      </c>
      <c r="G3096" s="364" t="s">
        <v>1185</v>
      </c>
      <c r="H3096" s="364" t="s">
        <v>1211</v>
      </c>
    </row>
    <row r="3097" ht="15.75" customHeight="1">
      <c r="A3097" s="364" t="s">
        <v>76</v>
      </c>
      <c r="B3097" s="364" t="s">
        <v>23</v>
      </c>
      <c r="C3097" s="365" t="s">
        <v>423</v>
      </c>
      <c r="D3097" s="364" t="s">
        <v>424</v>
      </c>
      <c r="E3097" s="366">
        <v>3.0</v>
      </c>
      <c r="F3097" s="367">
        <v>45916.625</v>
      </c>
      <c r="G3097" s="364" t="s">
        <v>1185</v>
      </c>
      <c r="H3097" s="364" t="s">
        <v>1211</v>
      </c>
    </row>
    <row r="3098" ht="15.75" customHeight="1">
      <c r="A3098" s="364" t="s">
        <v>76</v>
      </c>
      <c r="B3098" s="364" t="s">
        <v>23</v>
      </c>
      <c r="C3098" s="365" t="s">
        <v>423</v>
      </c>
      <c r="D3098" s="364" t="s">
        <v>424</v>
      </c>
      <c r="E3098" s="366">
        <v>4.0</v>
      </c>
      <c r="F3098" s="367">
        <v>45923.625</v>
      </c>
      <c r="G3098" s="364" t="s">
        <v>1185</v>
      </c>
      <c r="H3098" s="364" t="s">
        <v>1211</v>
      </c>
    </row>
    <row r="3099" ht="15.75" customHeight="1">
      <c r="A3099" s="364" t="s">
        <v>76</v>
      </c>
      <c r="B3099" s="364" t="s">
        <v>23</v>
      </c>
      <c r="C3099" s="365" t="s">
        <v>423</v>
      </c>
      <c r="D3099" s="364" t="s">
        <v>424</v>
      </c>
      <c r="E3099" s="366">
        <v>5.0</v>
      </c>
      <c r="F3099" s="367">
        <v>45930.625</v>
      </c>
      <c r="G3099" s="364" t="s">
        <v>1185</v>
      </c>
      <c r="H3099" s="364" t="s">
        <v>1211</v>
      </c>
    </row>
    <row r="3100" ht="15.75" customHeight="1">
      <c r="A3100" s="364" t="s">
        <v>76</v>
      </c>
      <c r="B3100" s="364" t="s">
        <v>23</v>
      </c>
      <c r="C3100" s="365" t="s">
        <v>423</v>
      </c>
      <c r="D3100" s="364" t="s">
        <v>424</v>
      </c>
      <c r="E3100" s="366">
        <v>6.0</v>
      </c>
      <c r="F3100" s="367">
        <v>45964.625</v>
      </c>
      <c r="G3100" s="364" t="s">
        <v>1185</v>
      </c>
      <c r="H3100" s="364" t="s">
        <v>1211</v>
      </c>
    </row>
    <row r="3101" ht="15.75" customHeight="1">
      <c r="A3101" s="364" t="s">
        <v>76</v>
      </c>
      <c r="B3101" s="364" t="s">
        <v>23</v>
      </c>
      <c r="C3101" s="365" t="s">
        <v>423</v>
      </c>
      <c r="D3101" s="364" t="s">
        <v>424</v>
      </c>
      <c r="E3101" s="366">
        <v>7.0</v>
      </c>
      <c r="F3101" s="367">
        <v>45979.625</v>
      </c>
      <c r="G3101" s="364" t="s">
        <v>1185</v>
      </c>
      <c r="H3101" s="364" t="s">
        <v>1211</v>
      </c>
    </row>
    <row r="3102" ht="15.75" customHeight="1">
      <c r="A3102" s="364" t="s">
        <v>76</v>
      </c>
      <c r="B3102" s="364" t="s">
        <v>23</v>
      </c>
      <c r="C3102" s="365" t="s">
        <v>423</v>
      </c>
      <c r="D3102" s="364" t="s">
        <v>424</v>
      </c>
      <c r="E3102" s="366">
        <v>8.0</v>
      </c>
      <c r="F3102" s="367">
        <v>45993.58333333333</v>
      </c>
      <c r="G3102" s="364" t="s">
        <v>1185</v>
      </c>
      <c r="H3102" s="364" t="s">
        <v>1211</v>
      </c>
    </row>
    <row r="3103" ht="15.75" customHeight="1">
      <c r="A3103" s="364" t="s">
        <v>76</v>
      </c>
      <c r="B3103" s="364" t="s">
        <v>23</v>
      </c>
      <c r="C3103" s="365" t="s">
        <v>423</v>
      </c>
      <c r="D3103" s="364" t="s">
        <v>424</v>
      </c>
      <c r="E3103" s="366">
        <v>9.0</v>
      </c>
      <c r="F3103" s="367">
        <v>46000.58333333333</v>
      </c>
      <c r="G3103" s="364" t="s">
        <v>1185</v>
      </c>
      <c r="H3103" s="364" t="s">
        <v>1211</v>
      </c>
    </row>
    <row r="3104" ht="15.75" customHeight="1">
      <c r="A3104" s="364" t="s">
        <v>76</v>
      </c>
      <c r="B3104" s="364" t="s">
        <v>23</v>
      </c>
      <c r="C3104" s="365" t="s">
        <v>423</v>
      </c>
      <c r="D3104" s="364" t="s">
        <v>424</v>
      </c>
      <c r="E3104" s="366">
        <v>10.0</v>
      </c>
      <c r="F3104" s="367">
        <v>46007.58333333333</v>
      </c>
      <c r="G3104" s="364" t="s">
        <v>1187</v>
      </c>
      <c r="H3104" s="364" t="s">
        <v>1211</v>
      </c>
    </row>
    <row r="3105" ht="15.75" customHeight="1">
      <c r="A3105" s="364" t="s">
        <v>76</v>
      </c>
      <c r="B3105" s="364" t="s">
        <v>23</v>
      </c>
      <c r="C3105" s="365" t="s">
        <v>423</v>
      </c>
      <c r="D3105" s="364" t="s">
        <v>424</v>
      </c>
      <c r="E3105" s="366">
        <v>11.0</v>
      </c>
      <c r="F3105" s="367">
        <v>46013.58333333333</v>
      </c>
      <c r="G3105" s="364" t="s">
        <v>1185</v>
      </c>
      <c r="H3105" s="364" t="s">
        <v>1211</v>
      </c>
    </row>
    <row r="3106" ht="15.75" customHeight="1">
      <c r="A3106" s="364" t="s">
        <v>76</v>
      </c>
      <c r="B3106" s="364" t="s">
        <v>23</v>
      </c>
      <c r="C3106" s="365" t="s">
        <v>417</v>
      </c>
      <c r="D3106" s="364" t="s">
        <v>418</v>
      </c>
      <c r="E3106" s="366">
        <v>1.0</v>
      </c>
      <c r="F3106" s="367">
        <v>45895.58333333333</v>
      </c>
      <c r="G3106" s="364" t="s">
        <v>1185</v>
      </c>
      <c r="H3106" s="364" t="s">
        <v>1211</v>
      </c>
    </row>
    <row r="3107" ht="15.75" customHeight="1">
      <c r="A3107" s="364" t="s">
        <v>76</v>
      </c>
      <c r="B3107" s="364" t="s">
        <v>23</v>
      </c>
      <c r="C3107" s="365" t="s">
        <v>417</v>
      </c>
      <c r="D3107" s="364" t="s">
        <v>418</v>
      </c>
      <c r="E3107" s="366">
        <v>2.0</v>
      </c>
      <c r="F3107" s="367">
        <v>45895.58333333333</v>
      </c>
      <c r="G3107" s="364" t="s">
        <v>1185</v>
      </c>
      <c r="H3107" s="364" t="s">
        <v>1211</v>
      </c>
    </row>
    <row r="3108" ht="15.75" customHeight="1">
      <c r="A3108" s="364" t="s">
        <v>76</v>
      </c>
      <c r="B3108" s="364" t="s">
        <v>23</v>
      </c>
      <c r="C3108" s="365" t="s">
        <v>417</v>
      </c>
      <c r="D3108" s="364" t="s">
        <v>418</v>
      </c>
      <c r="E3108" s="366">
        <v>3.0</v>
      </c>
      <c r="F3108" s="367">
        <v>45916.625</v>
      </c>
      <c r="G3108" s="364" t="s">
        <v>1185</v>
      </c>
      <c r="H3108" s="364" t="s">
        <v>1211</v>
      </c>
    </row>
    <row r="3109" ht="15.75" customHeight="1">
      <c r="A3109" s="364" t="s">
        <v>76</v>
      </c>
      <c r="B3109" s="364" t="s">
        <v>23</v>
      </c>
      <c r="C3109" s="365" t="s">
        <v>417</v>
      </c>
      <c r="D3109" s="364" t="s">
        <v>418</v>
      </c>
      <c r="E3109" s="366">
        <v>4.0</v>
      </c>
      <c r="F3109" s="367">
        <v>45923.625</v>
      </c>
      <c r="G3109" s="364" t="s">
        <v>1185</v>
      </c>
      <c r="H3109" s="364" t="s">
        <v>1211</v>
      </c>
    </row>
    <row r="3110" ht="15.75" customHeight="1">
      <c r="A3110" s="364" t="s">
        <v>76</v>
      </c>
      <c r="B3110" s="364" t="s">
        <v>23</v>
      </c>
      <c r="C3110" s="365" t="s">
        <v>417</v>
      </c>
      <c r="D3110" s="364" t="s">
        <v>418</v>
      </c>
      <c r="E3110" s="366">
        <v>5.0</v>
      </c>
      <c r="F3110" s="367">
        <v>45930.625</v>
      </c>
      <c r="G3110" s="364" t="s">
        <v>1185</v>
      </c>
      <c r="H3110" s="364" t="s">
        <v>1211</v>
      </c>
    </row>
    <row r="3111" ht="15.75" customHeight="1">
      <c r="A3111" s="364" t="s">
        <v>76</v>
      </c>
      <c r="B3111" s="364" t="s">
        <v>23</v>
      </c>
      <c r="C3111" s="365" t="s">
        <v>417</v>
      </c>
      <c r="D3111" s="364" t="s">
        <v>418</v>
      </c>
      <c r="E3111" s="366">
        <v>6.0</v>
      </c>
      <c r="F3111" s="367">
        <v>45964.625</v>
      </c>
      <c r="G3111" s="364" t="s">
        <v>1185</v>
      </c>
      <c r="H3111" s="364" t="s">
        <v>1211</v>
      </c>
    </row>
    <row r="3112" ht="15.75" customHeight="1">
      <c r="A3112" s="364" t="s">
        <v>76</v>
      </c>
      <c r="B3112" s="364" t="s">
        <v>23</v>
      </c>
      <c r="C3112" s="365" t="s">
        <v>417</v>
      </c>
      <c r="D3112" s="364" t="s">
        <v>418</v>
      </c>
      <c r="E3112" s="366">
        <v>7.0</v>
      </c>
      <c r="F3112" s="367">
        <v>45979.625</v>
      </c>
      <c r="G3112" s="364" t="s">
        <v>1185</v>
      </c>
      <c r="H3112" s="364" t="s">
        <v>1211</v>
      </c>
    </row>
    <row r="3113" ht="15.75" customHeight="1">
      <c r="A3113" s="364" t="s">
        <v>76</v>
      </c>
      <c r="B3113" s="364" t="s">
        <v>23</v>
      </c>
      <c r="C3113" s="365" t="s">
        <v>417</v>
      </c>
      <c r="D3113" s="364" t="s">
        <v>418</v>
      </c>
      <c r="E3113" s="366">
        <v>8.0</v>
      </c>
      <c r="F3113" s="367">
        <v>45993.58333333333</v>
      </c>
      <c r="G3113" s="364" t="s">
        <v>1185</v>
      </c>
      <c r="H3113" s="364" t="s">
        <v>1211</v>
      </c>
    </row>
    <row r="3114" ht="15.75" customHeight="1">
      <c r="A3114" s="364" t="s">
        <v>76</v>
      </c>
      <c r="B3114" s="364" t="s">
        <v>23</v>
      </c>
      <c r="C3114" s="365" t="s">
        <v>417</v>
      </c>
      <c r="D3114" s="364" t="s">
        <v>418</v>
      </c>
      <c r="E3114" s="366">
        <v>9.0</v>
      </c>
      <c r="F3114" s="367">
        <v>46000.58333333333</v>
      </c>
      <c r="G3114" s="364" t="s">
        <v>1185</v>
      </c>
      <c r="H3114" s="364" t="s">
        <v>1211</v>
      </c>
    </row>
    <row r="3115" ht="15.75" customHeight="1">
      <c r="A3115" s="364" t="s">
        <v>76</v>
      </c>
      <c r="B3115" s="364" t="s">
        <v>23</v>
      </c>
      <c r="C3115" s="365" t="s">
        <v>417</v>
      </c>
      <c r="D3115" s="364" t="s">
        <v>418</v>
      </c>
      <c r="E3115" s="366">
        <v>10.0</v>
      </c>
      <c r="F3115" s="367">
        <v>46007.58333333333</v>
      </c>
      <c r="G3115" s="364" t="s">
        <v>1185</v>
      </c>
      <c r="H3115" s="364" t="s">
        <v>1211</v>
      </c>
    </row>
    <row r="3116" ht="15.75" customHeight="1">
      <c r="A3116" s="364" t="s">
        <v>76</v>
      </c>
      <c r="B3116" s="364" t="s">
        <v>23</v>
      </c>
      <c r="C3116" s="365" t="s">
        <v>417</v>
      </c>
      <c r="D3116" s="364" t="s">
        <v>418</v>
      </c>
      <c r="E3116" s="366">
        <v>11.0</v>
      </c>
      <c r="F3116" s="367">
        <v>46013.58333333333</v>
      </c>
      <c r="G3116" s="364" t="s">
        <v>1185</v>
      </c>
      <c r="H3116" s="364" t="s">
        <v>1211</v>
      </c>
    </row>
    <row r="3117" ht="15.75" customHeight="1">
      <c r="A3117" s="364" t="s">
        <v>76</v>
      </c>
      <c r="B3117" s="364" t="s">
        <v>23</v>
      </c>
      <c r="C3117" s="365" t="s">
        <v>427</v>
      </c>
      <c r="D3117" s="364" t="s">
        <v>428</v>
      </c>
      <c r="E3117" s="366">
        <v>1.0</v>
      </c>
      <c r="F3117" s="367">
        <v>45895.58333333333</v>
      </c>
      <c r="G3117" s="364" t="s">
        <v>1185</v>
      </c>
      <c r="H3117" s="364" t="s">
        <v>1211</v>
      </c>
    </row>
    <row r="3118" ht="15.75" customHeight="1">
      <c r="A3118" s="364" t="s">
        <v>76</v>
      </c>
      <c r="B3118" s="364" t="s">
        <v>23</v>
      </c>
      <c r="C3118" s="365" t="s">
        <v>427</v>
      </c>
      <c r="D3118" s="364" t="s">
        <v>428</v>
      </c>
      <c r="E3118" s="366">
        <v>2.0</v>
      </c>
      <c r="F3118" s="367">
        <v>45895.58333333333</v>
      </c>
      <c r="G3118" s="364" t="s">
        <v>1185</v>
      </c>
      <c r="H3118" s="364" t="s">
        <v>1211</v>
      </c>
    </row>
    <row r="3119" ht="15.75" customHeight="1">
      <c r="A3119" s="364" t="s">
        <v>76</v>
      </c>
      <c r="B3119" s="364" t="s">
        <v>23</v>
      </c>
      <c r="C3119" s="365" t="s">
        <v>427</v>
      </c>
      <c r="D3119" s="364" t="s">
        <v>428</v>
      </c>
      <c r="E3119" s="366">
        <v>3.0</v>
      </c>
      <c r="F3119" s="367">
        <v>45916.625</v>
      </c>
      <c r="G3119" s="364" t="s">
        <v>1185</v>
      </c>
      <c r="H3119" s="364" t="s">
        <v>1211</v>
      </c>
    </row>
    <row r="3120" ht="15.75" customHeight="1">
      <c r="A3120" s="364" t="s">
        <v>76</v>
      </c>
      <c r="B3120" s="364" t="s">
        <v>23</v>
      </c>
      <c r="C3120" s="365" t="s">
        <v>427</v>
      </c>
      <c r="D3120" s="364" t="s">
        <v>428</v>
      </c>
      <c r="E3120" s="366">
        <v>4.0</v>
      </c>
      <c r="F3120" s="367">
        <v>45923.625</v>
      </c>
      <c r="G3120" s="364" t="s">
        <v>1185</v>
      </c>
      <c r="H3120" s="364" t="s">
        <v>1211</v>
      </c>
    </row>
    <row r="3121" ht="15.75" customHeight="1">
      <c r="A3121" s="364" t="s">
        <v>76</v>
      </c>
      <c r="B3121" s="364" t="s">
        <v>23</v>
      </c>
      <c r="C3121" s="365" t="s">
        <v>427</v>
      </c>
      <c r="D3121" s="364" t="s">
        <v>428</v>
      </c>
      <c r="E3121" s="366">
        <v>5.0</v>
      </c>
      <c r="F3121" s="367">
        <v>45930.625</v>
      </c>
      <c r="G3121" s="364" t="s">
        <v>1185</v>
      </c>
      <c r="H3121" s="364" t="s">
        <v>1211</v>
      </c>
    </row>
    <row r="3122" ht="15.75" customHeight="1">
      <c r="A3122" s="364" t="s">
        <v>76</v>
      </c>
      <c r="B3122" s="364" t="s">
        <v>23</v>
      </c>
      <c r="C3122" s="365" t="s">
        <v>427</v>
      </c>
      <c r="D3122" s="364" t="s">
        <v>428</v>
      </c>
      <c r="E3122" s="366">
        <v>6.0</v>
      </c>
      <c r="F3122" s="367">
        <v>45964.625</v>
      </c>
      <c r="G3122" s="364" t="s">
        <v>1187</v>
      </c>
      <c r="H3122" s="364" t="s">
        <v>1211</v>
      </c>
    </row>
    <row r="3123" ht="15.75" customHeight="1">
      <c r="A3123" s="364" t="s">
        <v>76</v>
      </c>
      <c r="B3123" s="364" t="s">
        <v>23</v>
      </c>
      <c r="C3123" s="365" t="s">
        <v>427</v>
      </c>
      <c r="D3123" s="364" t="s">
        <v>428</v>
      </c>
      <c r="E3123" s="366">
        <v>7.0</v>
      </c>
      <c r="F3123" s="367">
        <v>45979.625</v>
      </c>
      <c r="G3123" s="364" t="s">
        <v>1185</v>
      </c>
      <c r="H3123" s="364" t="s">
        <v>1211</v>
      </c>
    </row>
    <row r="3124" ht="15.75" customHeight="1">
      <c r="A3124" s="364" t="s">
        <v>76</v>
      </c>
      <c r="B3124" s="364" t="s">
        <v>23</v>
      </c>
      <c r="C3124" s="365" t="s">
        <v>427</v>
      </c>
      <c r="D3124" s="364" t="s">
        <v>428</v>
      </c>
      <c r="E3124" s="366">
        <v>8.0</v>
      </c>
      <c r="F3124" s="367">
        <v>45993.58333333333</v>
      </c>
      <c r="G3124" s="364" t="s">
        <v>1185</v>
      </c>
      <c r="H3124" s="364" t="s">
        <v>1211</v>
      </c>
    </row>
    <row r="3125" ht="15.75" customHeight="1">
      <c r="A3125" s="364" t="s">
        <v>76</v>
      </c>
      <c r="B3125" s="364" t="s">
        <v>23</v>
      </c>
      <c r="C3125" s="365" t="s">
        <v>427</v>
      </c>
      <c r="D3125" s="364" t="s">
        <v>428</v>
      </c>
      <c r="E3125" s="366">
        <v>9.0</v>
      </c>
      <c r="F3125" s="367">
        <v>46000.58333333333</v>
      </c>
      <c r="G3125" s="364" t="s">
        <v>1185</v>
      </c>
      <c r="H3125" s="364" t="s">
        <v>1211</v>
      </c>
    </row>
    <row r="3126" ht="15.75" customHeight="1">
      <c r="A3126" s="364" t="s">
        <v>76</v>
      </c>
      <c r="B3126" s="364" t="s">
        <v>23</v>
      </c>
      <c r="C3126" s="365" t="s">
        <v>427</v>
      </c>
      <c r="D3126" s="364" t="s">
        <v>428</v>
      </c>
      <c r="E3126" s="366">
        <v>10.0</v>
      </c>
      <c r="F3126" s="367">
        <v>46007.58333333333</v>
      </c>
      <c r="G3126" s="364" t="s">
        <v>1185</v>
      </c>
      <c r="H3126" s="364" t="s">
        <v>1211</v>
      </c>
    </row>
    <row r="3127" ht="15.75" customHeight="1">
      <c r="A3127" s="364" t="s">
        <v>76</v>
      </c>
      <c r="B3127" s="364" t="s">
        <v>23</v>
      </c>
      <c r="C3127" s="365" t="s">
        <v>427</v>
      </c>
      <c r="D3127" s="364" t="s">
        <v>428</v>
      </c>
      <c r="E3127" s="366">
        <v>11.0</v>
      </c>
      <c r="F3127" s="367">
        <v>46013.58333333333</v>
      </c>
      <c r="G3127" s="364" t="s">
        <v>1185</v>
      </c>
      <c r="H3127" s="364" t="s">
        <v>1211</v>
      </c>
    </row>
    <row r="3128" ht="15.75" customHeight="1">
      <c r="A3128" s="364" t="s">
        <v>76</v>
      </c>
      <c r="B3128" s="364" t="s">
        <v>23</v>
      </c>
      <c r="C3128" s="365" t="s">
        <v>429</v>
      </c>
      <c r="D3128" s="364" t="s">
        <v>430</v>
      </c>
      <c r="E3128" s="366">
        <v>1.0</v>
      </c>
      <c r="F3128" s="367">
        <v>45895.58333333333</v>
      </c>
      <c r="G3128" s="364" t="s">
        <v>1185</v>
      </c>
      <c r="H3128" s="364" t="s">
        <v>1211</v>
      </c>
    </row>
    <row r="3129" ht="15.75" customHeight="1">
      <c r="A3129" s="364" t="s">
        <v>76</v>
      </c>
      <c r="B3129" s="364" t="s">
        <v>23</v>
      </c>
      <c r="C3129" s="365" t="s">
        <v>429</v>
      </c>
      <c r="D3129" s="364" t="s">
        <v>430</v>
      </c>
      <c r="E3129" s="366">
        <v>2.0</v>
      </c>
      <c r="F3129" s="367">
        <v>45895.58333333333</v>
      </c>
      <c r="G3129" s="364" t="s">
        <v>1185</v>
      </c>
      <c r="H3129" s="364" t="s">
        <v>1211</v>
      </c>
    </row>
    <row r="3130" ht="15.75" customHeight="1">
      <c r="A3130" s="364" t="s">
        <v>76</v>
      </c>
      <c r="B3130" s="364" t="s">
        <v>23</v>
      </c>
      <c r="C3130" s="365" t="s">
        <v>429</v>
      </c>
      <c r="D3130" s="364" t="s">
        <v>430</v>
      </c>
      <c r="E3130" s="366">
        <v>3.0</v>
      </c>
      <c r="F3130" s="367">
        <v>45916.625</v>
      </c>
      <c r="G3130" s="364" t="s">
        <v>1185</v>
      </c>
      <c r="H3130" s="364" t="s">
        <v>1211</v>
      </c>
    </row>
    <row r="3131" ht="15.75" customHeight="1">
      <c r="A3131" s="364" t="s">
        <v>76</v>
      </c>
      <c r="B3131" s="364" t="s">
        <v>23</v>
      </c>
      <c r="C3131" s="365" t="s">
        <v>429</v>
      </c>
      <c r="D3131" s="364" t="s">
        <v>430</v>
      </c>
      <c r="E3131" s="366">
        <v>4.0</v>
      </c>
      <c r="F3131" s="367">
        <v>45923.625</v>
      </c>
      <c r="G3131" s="364" t="s">
        <v>1185</v>
      </c>
      <c r="H3131" s="364" t="s">
        <v>1211</v>
      </c>
    </row>
    <row r="3132" ht="15.75" customHeight="1">
      <c r="A3132" s="364" t="s">
        <v>76</v>
      </c>
      <c r="B3132" s="364" t="s">
        <v>23</v>
      </c>
      <c r="C3132" s="365" t="s">
        <v>429</v>
      </c>
      <c r="D3132" s="364" t="s">
        <v>430</v>
      </c>
      <c r="E3132" s="366">
        <v>5.0</v>
      </c>
      <c r="F3132" s="367">
        <v>45930.625</v>
      </c>
      <c r="G3132" s="364" t="s">
        <v>1185</v>
      </c>
      <c r="H3132" s="364" t="s">
        <v>1211</v>
      </c>
    </row>
    <row r="3133" ht="15.75" customHeight="1">
      <c r="A3133" s="364" t="s">
        <v>76</v>
      </c>
      <c r="B3133" s="364" t="s">
        <v>23</v>
      </c>
      <c r="C3133" s="365" t="s">
        <v>429</v>
      </c>
      <c r="D3133" s="364" t="s">
        <v>430</v>
      </c>
      <c r="E3133" s="366">
        <v>6.0</v>
      </c>
      <c r="F3133" s="367">
        <v>45964.625</v>
      </c>
      <c r="G3133" s="364" t="s">
        <v>1185</v>
      </c>
      <c r="H3133" s="364" t="s">
        <v>1211</v>
      </c>
    </row>
    <row r="3134" ht="15.75" customHeight="1">
      <c r="A3134" s="364" t="s">
        <v>76</v>
      </c>
      <c r="B3134" s="364" t="s">
        <v>23</v>
      </c>
      <c r="C3134" s="365" t="s">
        <v>429</v>
      </c>
      <c r="D3134" s="364" t="s">
        <v>430</v>
      </c>
      <c r="E3134" s="366">
        <v>7.0</v>
      </c>
      <c r="F3134" s="367">
        <v>45979.625</v>
      </c>
      <c r="G3134" s="364" t="s">
        <v>1185</v>
      </c>
      <c r="H3134" s="364" t="s">
        <v>1211</v>
      </c>
    </row>
    <row r="3135" ht="15.75" customHeight="1">
      <c r="A3135" s="364" t="s">
        <v>76</v>
      </c>
      <c r="B3135" s="364" t="s">
        <v>23</v>
      </c>
      <c r="C3135" s="365" t="s">
        <v>429</v>
      </c>
      <c r="D3135" s="364" t="s">
        <v>430</v>
      </c>
      <c r="E3135" s="366">
        <v>8.0</v>
      </c>
      <c r="F3135" s="367">
        <v>45993.58333333333</v>
      </c>
      <c r="G3135" s="364" t="s">
        <v>1185</v>
      </c>
      <c r="H3135" s="364" t="s">
        <v>1211</v>
      </c>
    </row>
    <row r="3136" ht="15.75" customHeight="1">
      <c r="A3136" s="364" t="s">
        <v>76</v>
      </c>
      <c r="B3136" s="364" t="s">
        <v>23</v>
      </c>
      <c r="C3136" s="365" t="s">
        <v>429</v>
      </c>
      <c r="D3136" s="364" t="s">
        <v>430</v>
      </c>
      <c r="E3136" s="366">
        <v>9.0</v>
      </c>
      <c r="F3136" s="367">
        <v>46000.58333333333</v>
      </c>
      <c r="G3136" s="364" t="s">
        <v>1185</v>
      </c>
      <c r="H3136" s="364" t="s">
        <v>1211</v>
      </c>
    </row>
    <row r="3137" ht="15.75" customHeight="1">
      <c r="A3137" s="364" t="s">
        <v>76</v>
      </c>
      <c r="B3137" s="364" t="s">
        <v>23</v>
      </c>
      <c r="C3137" s="365" t="s">
        <v>429</v>
      </c>
      <c r="D3137" s="364" t="s">
        <v>430</v>
      </c>
      <c r="E3137" s="366">
        <v>10.0</v>
      </c>
      <c r="F3137" s="367">
        <v>46007.58333333333</v>
      </c>
      <c r="G3137" s="364" t="s">
        <v>1187</v>
      </c>
      <c r="H3137" s="364" t="s">
        <v>1211</v>
      </c>
    </row>
    <row r="3138" ht="15.75" customHeight="1">
      <c r="A3138" s="364" t="s">
        <v>76</v>
      </c>
      <c r="B3138" s="364" t="s">
        <v>23</v>
      </c>
      <c r="C3138" s="365" t="s">
        <v>429</v>
      </c>
      <c r="D3138" s="364" t="s">
        <v>430</v>
      </c>
      <c r="E3138" s="366">
        <v>11.0</v>
      </c>
      <c r="F3138" s="367">
        <v>46013.58333333333</v>
      </c>
      <c r="G3138" s="364" t="s">
        <v>1185</v>
      </c>
      <c r="H3138" s="364" t="s">
        <v>1211</v>
      </c>
    </row>
    <row r="3139" ht="15.75" customHeight="1">
      <c r="A3139" s="364" t="s">
        <v>76</v>
      </c>
      <c r="B3139" s="364" t="s">
        <v>23</v>
      </c>
      <c r="C3139" s="365" t="s">
        <v>431</v>
      </c>
      <c r="D3139" s="364" t="s">
        <v>432</v>
      </c>
      <c r="E3139" s="366">
        <v>1.0</v>
      </c>
      <c r="F3139" s="367">
        <v>45895.58333333333</v>
      </c>
      <c r="G3139" s="364" t="s">
        <v>1185</v>
      </c>
      <c r="H3139" s="364" t="s">
        <v>1211</v>
      </c>
    </row>
    <row r="3140" ht="15.75" customHeight="1">
      <c r="A3140" s="364" t="s">
        <v>76</v>
      </c>
      <c r="B3140" s="364" t="s">
        <v>23</v>
      </c>
      <c r="C3140" s="365" t="s">
        <v>431</v>
      </c>
      <c r="D3140" s="364" t="s">
        <v>432</v>
      </c>
      <c r="E3140" s="366">
        <v>2.0</v>
      </c>
      <c r="F3140" s="367">
        <v>45895.58333333333</v>
      </c>
      <c r="G3140" s="364" t="s">
        <v>1185</v>
      </c>
      <c r="H3140" s="364" t="s">
        <v>1211</v>
      </c>
    </row>
    <row r="3141" ht="15.75" customHeight="1">
      <c r="A3141" s="364" t="s">
        <v>76</v>
      </c>
      <c r="B3141" s="364" t="s">
        <v>23</v>
      </c>
      <c r="C3141" s="365" t="s">
        <v>431</v>
      </c>
      <c r="D3141" s="364" t="s">
        <v>432</v>
      </c>
      <c r="E3141" s="366">
        <v>3.0</v>
      </c>
      <c r="F3141" s="367">
        <v>45916.625</v>
      </c>
      <c r="G3141" s="364" t="s">
        <v>1185</v>
      </c>
      <c r="H3141" s="364" t="s">
        <v>1211</v>
      </c>
    </row>
    <row r="3142" ht="15.75" customHeight="1">
      <c r="A3142" s="364" t="s">
        <v>76</v>
      </c>
      <c r="B3142" s="364" t="s">
        <v>23</v>
      </c>
      <c r="C3142" s="365" t="s">
        <v>431</v>
      </c>
      <c r="D3142" s="364" t="s">
        <v>432</v>
      </c>
      <c r="E3142" s="366">
        <v>4.0</v>
      </c>
      <c r="F3142" s="367">
        <v>45953.625</v>
      </c>
      <c r="G3142" s="364" t="s">
        <v>1185</v>
      </c>
      <c r="H3142" s="364" t="s">
        <v>1211</v>
      </c>
    </row>
    <row r="3143" ht="15.75" customHeight="1">
      <c r="A3143" s="364" t="s">
        <v>76</v>
      </c>
      <c r="B3143" s="364" t="s">
        <v>23</v>
      </c>
      <c r="C3143" s="365" t="s">
        <v>431</v>
      </c>
      <c r="D3143" s="364" t="s">
        <v>432</v>
      </c>
      <c r="E3143" s="366">
        <v>5.0</v>
      </c>
      <c r="F3143" s="367">
        <v>45930.625</v>
      </c>
      <c r="G3143" s="364" t="s">
        <v>1187</v>
      </c>
      <c r="H3143" s="364" t="s">
        <v>1211</v>
      </c>
    </row>
    <row r="3144" ht="15.75" customHeight="1">
      <c r="A3144" s="364" t="s">
        <v>76</v>
      </c>
      <c r="B3144" s="364" t="s">
        <v>23</v>
      </c>
      <c r="C3144" s="365" t="s">
        <v>431</v>
      </c>
      <c r="D3144" s="364" t="s">
        <v>432</v>
      </c>
      <c r="E3144" s="366">
        <v>6.0</v>
      </c>
      <c r="F3144" s="367">
        <v>45964.625</v>
      </c>
      <c r="G3144" s="364" t="s">
        <v>1185</v>
      </c>
      <c r="H3144" s="364" t="s">
        <v>1211</v>
      </c>
    </row>
    <row r="3145" ht="15.75" customHeight="1">
      <c r="A3145" s="364" t="s">
        <v>76</v>
      </c>
      <c r="B3145" s="364" t="s">
        <v>23</v>
      </c>
      <c r="C3145" s="365" t="s">
        <v>431</v>
      </c>
      <c r="D3145" s="364" t="s">
        <v>432</v>
      </c>
      <c r="E3145" s="366">
        <v>7.0</v>
      </c>
      <c r="F3145" s="367">
        <v>45979.625</v>
      </c>
      <c r="G3145" s="364" t="s">
        <v>1185</v>
      </c>
      <c r="H3145" s="364" t="s">
        <v>1211</v>
      </c>
    </row>
    <row r="3146" ht="15.75" customHeight="1">
      <c r="A3146" s="364" t="s">
        <v>76</v>
      </c>
      <c r="B3146" s="364" t="s">
        <v>23</v>
      </c>
      <c r="C3146" s="365" t="s">
        <v>431</v>
      </c>
      <c r="D3146" s="364" t="s">
        <v>432</v>
      </c>
      <c r="E3146" s="366">
        <v>8.0</v>
      </c>
      <c r="F3146" s="367">
        <v>45993.58333333333</v>
      </c>
      <c r="G3146" s="364" t="s">
        <v>1185</v>
      </c>
      <c r="H3146" s="364" t="s">
        <v>1211</v>
      </c>
    </row>
    <row r="3147" ht="15.75" customHeight="1">
      <c r="A3147" s="364" t="s">
        <v>76</v>
      </c>
      <c r="B3147" s="364" t="s">
        <v>23</v>
      </c>
      <c r="C3147" s="365" t="s">
        <v>431</v>
      </c>
      <c r="D3147" s="364" t="s">
        <v>432</v>
      </c>
      <c r="E3147" s="366">
        <v>9.0</v>
      </c>
      <c r="F3147" s="367">
        <v>46000.58333333333</v>
      </c>
      <c r="G3147" s="364" t="s">
        <v>1185</v>
      </c>
      <c r="H3147" s="364" t="s">
        <v>1211</v>
      </c>
    </row>
    <row r="3148" ht="15.75" customHeight="1">
      <c r="A3148" s="364" t="s">
        <v>76</v>
      </c>
      <c r="B3148" s="364" t="s">
        <v>23</v>
      </c>
      <c r="C3148" s="365" t="s">
        <v>431</v>
      </c>
      <c r="D3148" s="364" t="s">
        <v>432</v>
      </c>
      <c r="E3148" s="366">
        <v>10.0</v>
      </c>
      <c r="F3148" s="367">
        <v>46007.58333333333</v>
      </c>
      <c r="G3148" s="364" t="s">
        <v>1185</v>
      </c>
      <c r="H3148" s="364" t="s">
        <v>1211</v>
      </c>
    </row>
    <row r="3149" ht="15.75" customHeight="1">
      <c r="A3149" s="364" t="s">
        <v>76</v>
      </c>
      <c r="B3149" s="364" t="s">
        <v>23</v>
      </c>
      <c r="C3149" s="365" t="s">
        <v>431</v>
      </c>
      <c r="D3149" s="364" t="s">
        <v>432</v>
      </c>
      <c r="E3149" s="366">
        <v>11.0</v>
      </c>
      <c r="F3149" s="367">
        <v>46013.58333333333</v>
      </c>
      <c r="G3149" s="364" t="s">
        <v>1185</v>
      </c>
      <c r="H3149" s="364" t="s">
        <v>1211</v>
      </c>
    </row>
    <row r="3150" ht="15.75" customHeight="1">
      <c r="A3150" s="364" t="s">
        <v>77</v>
      </c>
      <c r="B3150" s="364" t="s">
        <v>22</v>
      </c>
      <c r="C3150" s="365" t="s">
        <v>741</v>
      </c>
      <c r="D3150" s="364" t="s">
        <v>742</v>
      </c>
      <c r="E3150" s="366">
        <v>1.0</v>
      </c>
      <c r="F3150" s="367">
        <v>45715.58333333333</v>
      </c>
      <c r="G3150" s="364" t="s">
        <v>1185</v>
      </c>
      <c r="H3150" s="364" t="s">
        <v>1212</v>
      </c>
    </row>
    <row r="3151" ht="15.75" customHeight="1">
      <c r="A3151" s="364" t="s">
        <v>77</v>
      </c>
      <c r="B3151" s="364" t="s">
        <v>22</v>
      </c>
      <c r="C3151" s="365" t="s">
        <v>741</v>
      </c>
      <c r="D3151" s="364" t="s">
        <v>742</v>
      </c>
      <c r="E3151" s="366">
        <v>2.0</v>
      </c>
      <c r="F3151" s="367">
        <v>45756.58333333333</v>
      </c>
      <c r="G3151" s="364" t="s">
        <v>1185</v>
      </c>
      <c r="H3151" s="364" t="s">
        <v>1212</v>
      </c>
    </row>
    <row r="3152" ht="15.75" customHeight="1">
      <c r="A3152" s="364" t="s">
        <v>77</v>
      </c>
      <c r="B3152" s="364" t="s">
        <v>22</v>
      </c>
      <c r="C3152" s="365" t="s">
        <v>741</v>
      </c>
      <c r="D3152" s="364" t="s">
        <v>742</v>
      </c>
      <c r="E3152" s="366">
        <v>3.0</v>
      </c>
      <c r="F3152" s="367">
        <v>45771.54166666667</v>
      </c>
      <c r="G3152" s="364" t="s">
        <v>1185</v>
      </c>
      <c r="H3152" s="364" t="s">
        <v>1212</v>
      </c>
    </row>
    <row r="3153" ht="15.75" customHeight="1">
      <c r="A3153" s="364" t="s">
        <v>77</v>
      </c>
      <c r="B3153" s="364" t="s">
        <v>22</v>
      </c>
      <c r="C3153" s="365" t="s">
        <v>741</v>
      </c>
      <c r="D3153" s="364" t="s">
        <v>742</v>
      </c>
      <c r="E3153" s="366">
        <v>4.0</v>
      </c>
      <c r="F3153" s="367">
        <v>45786.54166666667</v>
      </c>
      <c r="G3153" s="364" t="s">
        <v>1185</v>
      </c>
      <c r="H3153" s="364" t="s">
        <v>1212</v>
      </c>
    </row>
    <row r="3154" ht="15.75" customHeight="1">
      <c r="A3154" s="364" t="s">
        <v>77</v>
      </c>
      <c r="B3154" s="364" t="s">
        <v>22</v>
      </c>
      <c r="C3154" s="365" t="s">
        <v>741</v>
      </c>
      <c r="D3154" s="364" t="s">
        <v>742</v>
      </c>
      <c r="E3154" s="366">
        <v>5.0</v>
      </c>
      <c r="F3154" s="367">
        <v>45790.54166666667</v>
      </c>
      <c r="G3154" s="364" t="s">
        <v>1185</v>
      </c>
      <c r="H3154" s="364" t="s">
        <v>1212</v>
      </c>
    </row>
    <row r="3155" ht="15.75" customHeight="1">
      <c r="A3155" s="364" t="s">
        <v>77</v>
      </c>
      <c r="B3155" s="364" t="s">
        <v>22</v>
      </c>
      <c r="C3155" s="365" t="s">
        <v>741</v>
      </c>
      <c r="D3155" s="364" t="s">
        <v>742</v>
      </c>
      <c r="E3155" s="366">
        <v>6.0</v>
      </c>
      <c r="F3155" s="367">
        <v>45799.54166666667</v>
      </c>
      <c r="G3155" s="364" t="s">
        <v>1185</v>
      </c>
      <c r="H3155" s="364" t="s">
        <v>1212</v>
      </c>
    </row>
    <row r="3156" ht="15.75" customHeight="1">
      <c r="A3156" s="364" t="s">
        <v>77</v>
      </c>
      <c r="B3156" s="364" t="s">
        <v>22</v>
      </c>
      <c r="C3156" s="365" t="s">
        <v>741</v>
      </c>
      <c r="D3156" s="364" t="s">
        <v>742</v>
      </c>
      <c r="E3156" s="366">
        <v>7.0</v>
      </c>
      <c r="F3156" s="367">
        <v>45805.54166666667</v>
      </c>
      <c r="G3156" s="364" t="s">
        <v>1185</v>
      </c>
      <c r="H3156" s="364" t="s">
        <v>1212</v>
      </c>
    </row>
    <row r="3157" ht="15.75" customHeight="1">
      <c r="A3157" s="364" t="s">
        <v>77</v>
      </c>
      <c r="B3157" s="364" t="s">
        <v>22</v>
      </c>
      <c r="C3157" s="365" t="s">
        <v>741</v>
      </c>
      <c r="D3157" s="364" t="s">
        <v>742</v>
      </c>
      <c r="E3157" s="366">
        <v>8.0</v>
      </c>
      <c r="F3157" s="367">
        <v>45813.58333333333</v>
      </c>
      <c r="G3157" s="364" t="s">
        <v>1185</v>
      </c>
      <c r="H3157" s="364" t="s">
        <v>1212</v>
      </c>
    </row>
    <row r="3158" ht="15.75" customHeight="1">
      <c r="A3158" s="364" t="s">
        <v>77</v>
      </c>
      <c r="B3158" s="364" t="s">
        <v>22</v>
      </c>
      <c r="C3158" s="365" t="s">
        <v>741</v>
      </c>
      <c r="D3158" s="364" t="s">
        <v>742</v>
      </c>
      <c r="E3158" s="366">
        <v>9.0</v>
      </c>
      <c r="F3158" s="367">
        <v>45820.58333333333</v>
      </c>
      <c r="G3158" s="364" t="s">
        <v>1185</v>
      </c>
      <c r="H3158" s="364" t="s">
        <v>1212</v>
      </c>
    </row>
    <row r="3159" ht="15.75" customHeight="1">
      <c r="A3159" s="364" t="s">
        <v>77</v>
      </c>
      <c r="B3159" s="364" t="s">
        <v>22</v>
      </c>
      <c r="C3159" s="365" t="s">
        <v>741</v>
      </c>
      <c r="D3159" s="364" t="s">
        <v>742</v>
      </c>
      <c r="E3159" s="366">
        <v>10.0</v>
      </c>
      <c r="F3159" s="367">
        <v>45849.54166666667</v>
      </c>
      <c r="G3159" s="364" t="s">
        <v>1185</v>
      </c>
      <c r="H3159" s="364" t="s">
        <v>1212</v>
      </c>
    </row>
    <row r="3160" ht="15.75" customHeight="1">
      <c r="A3160" s="364" t="s">
        <v>77</v>
      </c>
      <c r="B3160" s="364" t="s">
        <v>22</v>
      </c>
      <c r="C3160" s="365" t="s">
        <v>298</v>
      </c>
      <c r="D3160" s="364" t="s">
        <v>299</v>
      </c>
      <c r="E3160" s="366">
        <v>1.0</v>
      </c>
      <c r="F3160" s="367">
        <v>45715.58333333333</v>
      </c>
      <c r="G3160" s="364" t="s">
        <v>1185</v>
      </c>
      <c r="H3160" s="364" t="s">
        <v>1212</v>
      </c>
    </row>
    <row r="3161" ht="15.75" customHeight="1">
      <c r="A3161" s="364" t="s">
        <v>77</v>
      </c>
      <c r="B3161" s="364" t="s">
        <v>22</v>
      </c>
      <c r="C3161" s="365" t="s">
        <v>298</v>
      </c>
      <c r="D3161" s="364" t="s">
        <v>299</v>
      </c>
      <c r="E3161" s="366">
        <v>2.0</v>
      </c>
      <c r="F3161" s="367">
        <v>45756.58333333333</v>
      </c>
      <c r="G3161" s="364" t="s">
        <v>1185</v>
      </c>
      <c r="H3161" s="364" t="s">
        <v>1212</v>
      </c>
    </row>
    <row r="3162" ht="15.75" customHeight="1">
      <c r="A3162" s="364" t="s">
        <v>77</v>
      </c>
      <c r="B3162" s="364" t="s">
        <v>22</v>
      </c>
      <c r="C3162" s="365" t="s">
        <v>298</v>
      </c>
      <c r="D3162" s="364" t="s">
        <v>299</v>
      </c>
      <c r="E3162" s="366">
        <v>3.0</v>
      </c>
      <c r="F3162" s="367">
        <v>45771.54166666667</v>
      </c>
      <c r="G3162" s="364" t="s">
        <v>1185</v>
      </c>
      <c r="H3162" s="364" t="s">
        <v>1212</v>
      </c>
    </row>
    <row r="3163" ht="15.75" customHeight="1">
      <c r="A3163" s="364" t="s">
        <v>77</v>
      </c>
      <c r="B3163" s="364" t="s">
        <v>22</v>
      </c>
      <c r="C3163" s="365" t="s">
        <v>298</v>
      </c>
      <c r="D3163" s="364" t="s">
        <v>299</v>
      </c>
      <c r="E3163" s="366">
        <v>4.0</v>
      </c>
      <c r="F3163" s="367">
        <v>45786.54166666667</v>
      </c>
      <c r="G3163" s="364" t="s">
        <v>1185</v>
      </c>
      <c r="H3163" s="364" t="s">
        <v>1212</v>
      </c>
    </row>
    <row r="3164" ht="15.75" customHeight="1">
      <c r="A3164" s="364" t="s">
        <v>77</v>
      </c>
      <c r="B3164" s="364" t="s">
        <v>22</v>
      </c>
      <c r="C3164" s="365" t="s">
        <v>298</v>
      </c>
      <c r="D3164" s="364" t="s">
        <v>299</v>
      </c>
      <c r="E3164" s="366">
        <v>5.0</v>
      </c>
      <c r="F3164" s="367">
        <v>45790.54166666667</v>
      </c>
      <c r="G3164" s="364" t="s">
        <v>1185</v>
      </c>
      <c r="H3164" s="364" t="s">
        <v>1212</v>
      </c>
    </row>
    <row r="3165" ht="15.75" customHeight="1">
      <c r="A3165" s="364" t="s">
        <v>77</v>
      </c>
      <c r="B3165" s="364" t="s">
        <v>22</v>
      </c>
      <c r="C3165" s="365" t="s">
        <v>298</v>
      </c>
      <c r="D3165" s="364" t="s">
        <v>299</v>
      </c>
      <c r="E3165" s="366">
        <v>6.0</v>
      </c>
      <c r="F3165" s="367">
        <v>45799.54166666667</v>
      </c>
      <c r="G3165" s="364" t="s">
        <v>1185</v>
      </c>
      <c r="H3165" s="364" t="s">
        <v>1212</v>
      </c>
    </row>
    <row r="3166" ht="15.75" customHeight="1">
      <c r="A3166" s="364" t="s">
        <v>77</v>
      </c>
      <c r="B3166" s="364" t="s">
        <v>22</v>
      </c>
      <c r="C3166" s="365" t="s">
        <v>298</v>
      </c>
      <c r="D3166" s="364" t="s">
        <v>299</v>
      </c>
      <c r="E3166" s="366">
        <v>7.0</v>
      </c>
      <c r="F3166" s="367">
        <v>45805.54166666667</v>
      </c>
      <c r="G3166" s="364" t="s">
        <v>1185</v>
      </c>
      <c r="H3166" s="364" t="s">
        <v>1212</v>
      </c>
    </row>
    <row r="3167" ht="15.75" customHeight="1">
      <c r="A3167" s="364" t="s">
        <v>77</v>
      </c>
      <c r="B3167" s="364" t="s">
        <v>22</v>
      </c>
      <c r="C3167" s="365" t="s">
        <v>298</v>
      </c>
      <c r="D3167" s="364" t="s">
        <v>299</v>
      </c>
      <c r="E3167" s="366">
        <v>8.0</v>
      </c>
      <c r="F3167" s="367">
        <v>45813.58333333333</v>
      </c>
      <c r="G3167" s="364" t="s">
        <v>1185</v>
      </c>
      <c r="H3167" s="364" t="s">
        <v>1212</v>
      </c>
    </row>
    <row r="3168" ht="15.75" customHeight="1">
      <c r="A3168" s="364" t="s">
        <v>77</v>
      </c>
      <c r="B3168" s="364" t="s">
        <v>22</v>
      </c>
      <c r="C3168" s="365" t="s">
        <v>298</v>
      </c>
      <c r="D3168" s="364" t="s">
        <v>299</v>
      </c>
      <c r="E3168" s="366">
        <v>9.0</v>
      </c>
      <c r="F3168" s="367">
        <v>45820.58333333333</v>
      </c>
      <c r="G3168" s="364" t="s">
        <v>1185</v>
      </c>
      <c r="H3168" s="364" t="s">
        <v>1212</v>
      </c>
    </row>
    <row r="3169" ht="15.75" customHeight="1">
      <c r="A3169" s="364" t="s">
        <v>77</v>
      </c>
      <c r="B3169" s="364" t="s">
        <v>22</v>
      </c>
      <c r="C3169" s="365" t="s">
        <v>298</v>
      </c>
      <c r="D3169" s="364" t="s">
        <v>299</v>
      </c>
      <c r="E3169" s="366">
        <v>10.0</v>
      </c>
      <c r="F3169" s="367">
        <v>45849.54166666667</v>
      </c>
      <c r="G3169" s="364" t="s">
        <v>1185</v>
      </c>
      <c r="H3169" s="364" t="s">
        <v>1212</v>
      </c>
    </row>
    <row r="3170" ht="15.75" customHeight="1">
      <c r="A3170" s="364" t="s">
        <v>77</v>
      </c>
      <c r="B3170" s="364" t="s">
        <v>22</v>
      </c>
      <c r="C3170" s="365" t="s">
        <v>743</v>
      </c>
      <c r="D3170" s="364" t="s">
        <v>744</v>
      </c>
      <c r="E3170" s="366">
        <v>1.0</v>
      </c>
      <c r="F3170" s="367">
        <v>45715.58333333333</v>
      </c>
      <c r="G3170" s="364" t="s">
        <v>1185</v>
      </c>
      <c r="H3170" s="364" t="s">
        <v>1212</v>
      </c>
    </row>
    <row r="3171" ht="15.75" customHeight="1">
      <c r="A3171" s="364" t="s">
        <v>77</v>
      </c>
      <c r="B3171" s="364" t="s">
        <v>22</v>
      </c>
      <c r="C3171" s="365" t="s">
        <v>743</v>
      </c>
      <c r="D3171" s="364" t="s">
        <v>744</v>
      </c>
      <c r="E3171" s="366">
        <v>2.0</v>
      </c>
      <c r="F3171" s="367">
        <v>45756.58333333333</v>
      </c>
      <c r="G3171" s="364" t="s">
        <v>1185</v>
      </c>
      <c r="H3171" s="364" t="s">
        <v>1212</v>
      </c>
    </row>
    <row r="3172" ht="15.75" customHeight="1">
      <c r="A3172" s="364" t="s">
        <v>77</v>
      </c>
      <c r="B3172" s="364" t="s">
        <v>22</v>
      </c>
      <c r="C3172" s="365" t="s">
        <v>743</v>
      </c>
      <c r="D3172" s="364" t="s">
        <v>744</v>
      </c>
      <c r="E3172" s="366">
        <v>3.0</v>
      </c>
      <c r="F3172" s="367">
        <v>45771.54166666667</v>
      </c>
      <c r="G3172" s="364" t="s">
        <v>1185</v>
      </c>
      <c r="H3172" s="364" t="s">
        <v>1212</v>
      </c>
    </row>
    <row r="3173" ht="15.75" customHeight="1">
      <c r="A3173" s="364" t="s">
        <v>77</v>
      </c>
      <c r="B3173" s="364" t="s">
        <v>22</v>
      </c>
      <c r="C3173" s="365" t="s">
        <v>743</v>
      </c>
      <c r="D3173" s="364" t="s">
        <v>744</v>
      </c>
      <c r="E3173" s="366">
        <v>4.0</v>
      </c>
      <c r="F3173" s="367">
        <v>45786.54166666667</v>
      </c>
      <c r="G3173" s="364" t="s">
        <v>1185</v>
      </c>
      <c r="H3173" s="364" t="s">
        <v>1212</v>
      </c>
    </row>
    <row r="3174" ht="15.75" customHeight="1">
      <c r="A3174" s="364" t="s">
        <v>77</v>
      </c>
      <c r="B3174" s="364" t="s">
        <v>22</v>
      </c>
      <c r="C3174" s="365" t="s">
        <v>743</v>
      </c>
      <c r="D3174" s="364" t="s">
        <v>744</v>
      </c>
      <c r="E3174" s="366">
        <v>5.0</v>
      </c>
      <c r="F3174" s="367">
        <v>45790.54166666667</v>
      </c>
      <c r="G3174" s="364" t="s">
        <v>1185</v>
      </c>
      <c r="H3174" s="364" t="s">
        <v>1212</v>
      </c>
    </row>
    <row r="3175" ht="15.75" customHeight="1">
      <c r="A3175" s="364" t="s">
        <v>77</v>
      </c>
      <c r="B3175" s="364" t="s">
        <v>22</v>
      </c>
      <c r="C3175" s="365" t="s">
        <v>743</v>
      </c>
      <c r="D3175" s="364" t="s">
        <v>744</v>
      </c>
      <c r="E3175" s="366">
        <v>6.0</v>
      </c>
      <c r="F3175" s="367">
        <v>45799.54166666667</v>
      </c>
      <c r="G3175" s="364" t="s">
        <v>1185</v>
      </c>
      <c r="H3175" s="364" t="s">
        <v>1212</v>
      </c>
    </row>
    <row r="3176" ht="15.75" customHeight="1">
      <c r="A3176" s="364" t="s">
        <v>77</v>
      </c>
      <c r="B3176" s="364" t="s">
        <v>22</v>
      </c>
      <c r="C3176" s="365" t="s">
        <v>743</v>
      </c>
      <c r="D3176" s="364" t="s">
        <v>744</v>
      </c>
      <c r="E3176" s="366">
        <v>7.0</v>
      </c>
      <c r="F3176" s="367">
        <v>45805.54166666667</v>
      </c>
      <c r="G3176" s="364" t="s">
        <v>1185</v>
      </c>
      <c r="H3176" s="364" t="s">
        <v>1212</v>
      </c>
    </row>
    <row r="3177" ht="15.75" customHeight="1">
      <c r="A3177" s="364" t="s">
        <v>77</v>
      </c>
      <c r="B3177" s="364" t="s">
        <v>22</v>
      </c>
      <c r="C3177" s="365" t="s">
        <v>743</v>
      </c>
      <c r="D3177" s="364" t="s">
        <v>744</v>
      </c>
      <c r="E3177" s="366">
        <v>8.0</v>
      </c>
      <c r="F3177" s="367">
        <v>45813.58333333333</v>
      </c>
      <c r="G3177" s="364" t="s">
        <v>1185</v>
      </c>
      <c r="H3177" s="364" t="s">
        <v>1212</v>
      </c>
    </row>
    <row r="3178" ht="15.75" customHeight="1">
      <c r="A3178" s="364" t="s">
        <v>77</v>
      </c>
      <c r="B3178" s="364" t="s">
        <v>22</v>
      </c>
      <c r="C3178" s="365" t="s">
        <v>743</v>
      </c>
      <c r="D3178" s="364" t="s">
        <v>744</v>
      </c>
      <c r="E3178" s="366">
        <v>9.0</v>
      </c>
      <c r="F3178" s="367">
        <v>45820.58333333333</v>
      </c>
      <c r="G3178" s="364" t="s">
        <v>1185</v>
      </c>
      <c r="H3178" s="364" t="s">
        <v>1212</v>
      </c>
    </row>
    <row r="3179" ht="15.75" customHeight="1">
      <c r="A3179" s="364" t="s">
        <v>77</v>
      </c>
      <c r="B3179" s="364" t="s">
        <v>22</v>
      </c>
      <c r="C3179" s="365" t="s">
        <v>743</v>
      </c>
      <c r="D3179" s="364" t="s">
        <v>744</v>
      </c>
      <c r="E3179" s="366">
        <v>10.0</v>
      </c>
      <c r="F3179" s="367">
        <v>45849.54166666667</v>
      </c>
      <c r="G3179" s="364" t="s">
        <v>1185</v>
      </c>
      <c r="H3179" s="364" t="s">
        <v>1212</v>
      </c>
    </row>
    <row r="3180" ht="15.75" customHeight="1">
      <c r="A3180" s="364" t="s">
        <v>77</v>
      </c>
      <c r="B3180" s="364" t="s">
        <v>22</v>
      </c>
      <c r="C3180" s="365" t="s">
        <v>391</v>
      </c>
      <c r="D3180" s="364" t="s">
        <v>392</v>
      </c>
      <c r="E3180" s="366">
        <v>1.0</v>
      </c>
      <c r="F3180" s="367">
        <v>45715.58333333333</v>
      </c>
      <c r="G3180" s="364" t="s">
        <v>1187</v>
      </c>
      <c r="H3180" s="364" t="s">
        <v>1212</v>
      </c>
    </row>
    <row r="3181" ht="15.75" customHeight="1">
      <c r="A3181" s="364" t="s">
        <v>77</v>
      </c>
      <c r="B3181" s="364" t="s">
        <v>22</v>
      </c>
      <c r="C3181" s="365" t="s">
        <v>391</v>
      </c>
      <c r="D3181" s="364" t="s">
        <v>392</v>
      </c>
      <c r="E3181" s="366">
        <v>2.0</v>
      </c>
      <c r="F3181" s="367">
        <v>45756.58333333333</v>
      </c>
      <c r="G3181" s="364" t="s">
        <v>1185</v>
      </c>
      <c r="H3181" s="364" t="s">
        <v>1212</v>
      </c>
    </row>
    <row r="3182" ht="15.75" customHeight="1">
      <c r="A3182" s="364" t="s">
        <v>77</v>
      </c>
      <c r="B3182" s="364" t="s">
        <v>22</v>
      </c>
      <c r="C3182" s="365" t="s">
        <v>391</v>
      </c>
      <c r="D3182" s="364" t="s">
        <v>392</v>
      </c>
      <c r="E3182" s="366">
        <v>3.0</v>
      </c>
      <c r="F3182" s="367">
        <v>45771.54166666667</v>
      </c>
      <c r="G3182" s="364" t="s">
        <v>1187</v>
      </c>
      <c r="H3182" s="364" t="s">
        <v>1212</v>
      </c>
    </row>
    <row r="3183" ht="15.75" customHeight="1">
      <c r="A3183" s="364" t="s">
        <v>77</v>
      </c>
      <c r="B3183" s="364" t="s">
        <v>22</v>
      </c>
      <c r="C3183" s="365" t="s">
        <v>391</v>
      </c>
      <c r="D3183" s="364" t="s">
        <v>392</v>
      </c>
      <c r="E3183" s="366">
        <v>4.0</v>
      </c>
      <c r="F3183" s="367">
        <v>45786.54166666667</v>
      </c>
      <c r="G3183" s="364" t="s">
        <v>1187</v>
      </c>
      <c r="H3183" s="364" t="s">
        <v>1212</v>
      </c>
    </row>
    <row r="3184" ht="15.75" customHeight="1">
      <c r="A3184" s="364" t="s">
        <v>77</v>
      </c>
      <c r="B3184" s="364" t="s">
        <v>22</v>
      </c>
      <c r="C3184" s="365" t="s">
        <v>391</v>
      </c>
      <c r="D3184" s="364" t="s">
        <v>392</v>
      </c>
      <c r="E3184" s="366">
        <v>5.0</v>
      </c>
      <c r="F3184" s="367">
        <v>45790.54166666667</v>
      </c>
      <c r="G3184" s="364" t="s">
        <v>1187</v>
      </c>
      <c r="H3184" s="364" t="s">
        <v>1212</v>
      </c>
    </row>
    <row r="3185" ht="15.75" customHeight="1">
      <c r="A3185" s="364" t="s">
        <v>77</v>
      </c>
      <c r="B3185" s="364" t="s">
        <v>22</v>
      </c>
      <c r="C3185" s="365" t="s">
        <v>391</v>
      </c>
      <c r="D3185" s="364" t="s">
        <v>392</v>
      </c>
      <c r="E3185" s="366">
        <v>6.0</v>
      </c>
      <c r="F3185" s="367">
        <v>45799.54166666667</v>
      </c>
      <c r="G3185" s="364" t="s">
        <v>1187</v>
      </c>
      <c r="H3185" s="364" t="s">
        <v>1212</v>
      </c>
    </row>
    <row r="3186" ht="15.75" customHeight="1">
      <c r="A3186" s="364" t="s">
        <v>77</v>
      </c>
      <c r="B3186" s="364" t="s">
        <v>22</v>
      </c>
      <c r="C3186" s="365" t="s">
        <v>391</v>
      </c>
      <c r="D3186" s="364" t="s">
        <v>392</v>
      </c>
      <c r="E3186" s="366">
        <v>7.0</v>
      </c>
      <c r="F3186" s="367">
        <v>45805.54166666667</v>
      </c>
      <c r="G3186" s="364" t="s">
        <v>1185</v>
      </c>
      <c r="H3186" s="364" t="s">
        <v>1212</v>
      </c>
    </row>
    <row r="3187" ht="15.75" customHeight="1">
      <c r="A3187" s="364" t="s">
        <v>77</v>
      </c>
      <c r="B3187" s="364" t="s">
        <v>22</v>
      </c>
      <c r="C3187" s="365" t="s">
        <v>391</v>
      </c>
      <c r="D3187" s="364" t="s">
        <v>392</v>
      </c>
      <c r="E3187" s="366">
        <v>8.0</v>
      </c>
      <c r="F3187" s="367">
        <v>45813.58333333333</v>
      </c>
      <c r="G3187" s="364" t="s">
        <v>1185</v>
      </c>
      <c r="H3187" s="364" t="s">
        <v>1212</v>
      </c>
    </row>
    <row r="3188" ht="15.75" customHeight="1">
      <c r="A3188" s="364" t="s">
        <v>77</v>
      </c>
      <c r="B3188" s="364" t="s">
        <v>22</v>
      </c>
      <c r="C3188" s="365" t="s">
        <v>391</v>
      </c>
      <c r="D3188" s="364" t="s">
        <v>392</v>
      </c>
      <c r="E3188" s="366">
        <v>9.0</v>
      </c>
      <c r="F3188" s="367">
        <v>45820.58333333333</v>
      </c>
      <c r="G3188" s="364" t="s">
        <v>1185</v>
      </c>
      <c r="H3188" s="364" t="s">
        <v>1212</v>
      </c>
    </row>
    <row r="3189" ht="15.75" customHeight="1">
      <c r="A3189" s="364" t="s">
        <v>77</v>
      </c>
      <c r="B3189" s="364" t="s">
        <v>22</v>
      </c>
      <c r="C3189" s="365" t="s">
        <v>391</v>
      </c>
      <c r="D3189" s="364" t="s">
        <v>392</v>
      </c>
      <c r="E3189" s="366">
        <v>10.0</v>
      </c>
      <c r="F3189" s="367">
        <v>45849.54166666667</v>
      </c>
      <c r="G3189" s="364" t="s">
        <v>1185</v>
      </c>
      <c r="H3189" s="364" t="s">
        <v>1212</v>
      </c>
    </row>
    <row r="3190" ht="15.75" customHeight="1">
      <c r="A3190" s="364" t="s">
        <v>77</v>
      </c>
      <c r="B3190" s="364" t="s">
        <v>22</v>
      </c>
      <c r="C3190" s="365" t="s">
        <v>384</v>
      </c>
      <c r="D3190" s="364" t="s">
        <v>385</v>
      </c>
      <c r="E3190" s="366">
        <v>1.0</v>
      </c>
      <c r="F3190" s="367">
        <v>45715.58333333333</v>
      </c>
      <c r="G3190" s="364" t="s">
        <v>1185</v>
      </c>
      <c r="H3190" s="364" t="s">
        <v>1212</v>
      </c>
    </row>
    <row r="3191" ht="15.75" customHeight="1">
      <c r="A3191" s="364" t="s">
        <v>77</v>
      </c>
      <c r="B3191" s="364" t="s">
        <v>22</v>
      </c>
      <c r="C3191" s="365" t="s">
        <v>384</v>
      </c>
      <c r="D3191" s="364" t="s">
        <v>385</v>
      </c>
      <c r="E3191" s="366">
        <v>2.0</v>
      </c>
      <c r="F3191" s="367">
        <v>45756.58333333333</v>
      </c>
      <c r="G3191" s="364" t="s">
        <v>1185</v>
      </c>
      <c r="H3191" s="364" t="s">
        <v>1212</v>
      </c>
    </row>
    <row r="3192" ht="15.75" customHeight="1">
      <c r="A3192" s="364" t="s">
        <v>77</v>
      </c>
      <c r="B3192" s="364" t="s">
        <v>22</v>
      </c>
      <c r="C3192" s="365" t="s">
        <v>384</v>
      </c>
      <c r="D3192" s="364" t="s">
        <v>385</v>
      </c>
      <c r="E3192" s="366">
        <v>3.0</v>
      </c>
      <c r="F3192" s="367">
        <v>45771.54166666667</v>
      </c>
      <c r="G3192" s="364" t="s">
        <v>1185</v>
      </c>
      <c r="H3192" s="364" t="s">
        <v>1212</v>
      </c>
    </row>
    <row r="3193" ht="15.75" customHeight="1">
      <c r="A3193" s="364" t="s">
        <v>77</v>
      </c>
      <c r="B3193" s="364" t="s">
        <v>22</v>
      </c>
      <c r="C3193" s="365" t="s">
        <v>384</v>
      </c>
      <c r="D3193" s="364" t="s">
        <v>385</v>
      </c>
      <c r="E3193" s="366">
        <v>4.0</v>
      </c>
      <c r="F3193" s="367">
        <v>45786.54166666667</v>
      </c>
      <c r="G3193" s="364" t="s">
        <v>1187</v>
      </c>
      <c r="H3193" s="364" t="s">
        <v>1212</v>
      </c>
    </row>
    <row r="3194" ht="15.75" customHeight="1">
      <c r="A3194" s="364" t="s">
        <v>77</v>
      </c>
      <c r="B3194" s="364" t="s">
        <v>22</v>
      </c>
      <c r="C3194" s="365" t="s">
        <v>384</v>
      </c>
      <c r="D3194" s="364" t="s">
        <v>385</v>
      </c>
      <c r="E3194" s="366">
        <v>5.0</v>
      </c>
      <c r="F3194" s="367">
        <v>45790.54166666667</v>
      </c>
      <c r="G3194" s="364" t="s">
        <v>1185</v>
      </c>
      <c r="H3194" s="364" t="s">
        <v>1212</v>
      </c>
    </row>
    <row r="3195" ht="15.75" customHeight="1">
      <c r="A3195" s="364" t="s">
        <v>77</v>
      </c>
      <c r="B3195" s="364" t="s">
        <v>22</v>
      </c>
      <c r="C3195" s="365" t="s">
        <v>384</v>
      </c>
      <c r="D3195" s="364" t="s">
        <v>385</v>
      </c>
      <c r="E3195" s="366">
        <v>6.0</v>
      </c>
      <c r="F3195" s="367">
        <v>45799.54166666667</v>
      </c>
      <c r="G3195" s="364" t="s">
        <v>1187</v>
      </c>
      <c r="H3195" s="364" t="s">
        <v>1212</v>
      </c>
    </row>
    <row r="3196" ht="15.75" customHeight="1">
      <c r="A3196" s="364" t="s">
        <v>77</v>
      </c>
      <c r="B3196" s="364" t="s">
        <v>22</v>
      </c>
      <c r="C3196" s="365" t="s">
        <v>384</v>
      </c>
      <c r="D3196" s="364" t="s">
        <v>385</v>
      </c>
      <c r="E3196" s="366">
        <v>7.0</v>
      </c>
      <c r="F3196" s="367">
        <v>45805.54166666667</v>
      </c>
      <c r="G3196" s="364" t="s">
        <v>1185</v>
      </c>
      <c r="H3196" s="364" t="s">
        <v>1212</v>
      </c>
    </row>
    <row r="3197" ht="15.75" customHeight="1">
      <c r="A3197" s="364" t="s">
        <v>77</v>
      </c>
      <c r="B3197" s="364" t="s">
        <v>22</v>
      </c>
      <c r="C3197" s="365" t="s">
        <v>384</v>
      </c>
      <c r="D3197" s="364" t="s">
        <v>385</v>
      </c>
      <c r="E3197" s="366">
        <v>8.0</v>
      </c>
      <c r="F3197" s="367">
        <v>45813.58333333333</v>
      </c>
      <c r="G3197" s="364" t="s">
        <v>1185</v>
      </c>
      <c r="H3197" s="364" t="s">
        <v>1212</v>
      </c>
    </row>
    <row r="3198" ht="15.75" customHeight="1">
      <c r="A3198" s="364" t="s">
        <v>77</v>
      </c>
      <c r="B3198" s="364" t="s">
        <v>22</v>
      </c>
      <c r="C3198" s="365" t="s">
        <v>384</v>
      </c>
      <c r="D3198" s="364" t="s">
        <v>385</v>
      </c>
      <c r="E3198" s="366">
        <v>9.0</v>
      </c>
      <c r="F3198" s="367">
        <v>45820.58333333333</v>
      </c>
      <c r="G3198" s="364" t="s">
        <v>1185</v>
      </c>
      <c r="H3198" s="364" t="s">
        <v>1212</v>
      </c>
    </row>
    <row r="3199" ht="15.75" customHeight="1">
      <c r="A3199" s="364" t="s">
        <v>77</v>
      </c>
      <c r="B3199" s="364" t="s">
        <v>22</v>
      </c>
      <c r="C3199" s="365" t="s">
        <v>384</v>
      </c>
      <c r="D3199" s="364" t="s">
        <v>385</v>
      </c>
      <c r="E3199" s="366">
        <v>10.0</v>
      </c>
      <c r="F3199" s="367">
        <v>45849.54166666667</v>
      </c>
      <c r="G3199" s="364" t="s">
        <v>1185</v>
      </c>
      <c r="H3199" s="364" t="s">
        <v>1212</v>
      </c>
    </row>
    <row r="3200" ht="15.75" customHeight="1">
      <c r="A3200" s="364" t="s">
        <v>77</v>
      </c>
      <c r="B3200" s="364" t="s">
        <v>22</v>
      </c>
      <c r="C3200" s="365" t="s">
        <v>745</v>
      </c>
      <c r="D3200" s="364" t="s">
        <v>746</v>
      </c>
      <c r="E3200" s="366">
        <v>1.0</v>
      </c>
      <c r="F3200" s="367">
        <v>45715.58333333333</v>
      </c>
      <c r="G3200" s="364" t="s">
        <v>1185</v>
      </c>
      <c r="H3200" s="364" t="s">
        <v>1212</v>
      </c>
    </row>
    <row r="3201" ht="15.75" customHeight="1">
      <c r="A3201" s="364" t="s">
        <v>77</v>
      </c>
      <c r="B3201" s="364" t="s">
        <v>22</v>
      </c>
      <c r="C3201" s="365" t="s">
        <v>745</v>
      </c>
      <c r="D3201" s="364" t="s">
        <v>746</v>
      </c>
      <c r="E3201" s="366">
        <v>2.0</v>
      </c>
      <c r="F3201" s="367">
        <v>45756.58333333333</v>
      </c>
      <c r="G3201" s="364" t="s">
        <v>1185</v>
      </c>
      <c r="H3201" s="364" t="s">
        <v>1212</v>
      </c>
    </row>
    <row r="3202" ht="15.75" customHeight="1">
      <c r="A3202" s="364" t="s">
        <v>77</v>
      </c>
      <c r="B3202" s="364" t="s">
        <v>22</v>
      </c>
      <c r="C3202" s="365" t="s">
        <v>745</v>
      </c>
      <c r="D3202" s="364" t="s">
        <v>746</v>
      </c>
      <c r="E3202" s="366">
        <v>3.0</v>
      </c>
      <c r="F3202" s="367">
        <v>45771.54166666667</v>
      </c>
      <c r="G3202" s="364" t="s">
        <v>1185</v>
      </c>
      <c r="H3202" s="364" t="s">
        <v>1212</v>
      </c>
    </row>
    <row r="3203" ht="15.75" customHeight="1">
      <c r="A3203" s="364" t="s">
        <v>77</v>
      </c>
      <c r="B3203" s="364" t="s">
        <v>22</v>
      </c>
      <c r="C3203" s="365" t="s">
        <v>745</v>
      </c>
      <c r="D3203" s="364" t="s">
        <v>746</v>
      </c>
      <c r="E3203" s="366">
        <v>4.0</v>
      </c>
      <c r="F3203" s="367">
        <v>45786.54166666667</v>
      </c>
      <c r="G3203" s="364" t="s">
        <v>1185</v>
      </c>
      <c r="H3203" s="364" t="s">
        <v>1212</v>
      </c>
    </row>
    <row r="3204" ht="15.75" customHeight="1">
      <c r="A3204" s="364" t="s">
        <v>77</v>
      </c>
      <c r="B3204" s="364" t="s">
        <v>22</v>
      </c>
      <c r="C3204" s="365" t="s">
        <v>745</v>
      </c>
      <c r="D3204" s="364" t="s">
        <v>746</v>
      </c>
      <c r="E3204" s="366">
        <v>5.0</v>
      </c>
      <c r="F3204" s="367">
        <v>45790.54166666667</v>
      </c>
      <c r="G3204" s="364" t="s">
        <v>1185</v>
      </c>
      <c r="H3204" s="364" t="s">
        <v>1212</v>
      </c>
    </row>
    <row r="3205" ht="15.75" customHeight="1">
      <c r="A3205" s="364" t="s">
        <v>77</v>
      </c>
      <c r="B3205" s="364" t="s">
        <v>22</v>
      </c>
      <c r="C3205" s="365" t="s">
        <v>745</v>
      </c>
      <c r="D3205" s="364" t="s">
        <v>746</v>
      </c>
      <c r="E3205" s="366">
        <v>6.0</v>
      </c>
      <c r="F3205" s="367">
        <v>45799.54166666667</v>
      </c>
      <c r="G3205" s="364" t="s">
        <v>1185</v>
      </c>
      <c r="H3205" s="364" t="s">
        <v>1212</v>
      </c>
    </row>
    <row r="3206" ht="15.75" customHeight="1">
      <c r="A3206" s="364" t="s">
        <v>77</v>
      </c>
      <c r="B3206" s="364" t="s">
        <v>22</v>
      </c>
      <c r="C3206" s="365" t="s">
        <v>745</v>
      </c>
      <c r="D3206" s="364" t="s">
        <v>746</v>
      </c>
      <c r="E3206" s="366">
        <v>7.0</v>
      </c>
      <c r="F3206" s="367">
        <v>45805.54166666667</v>
      </c>
      <c r="G3206" s="364" t="s">
        <v>1185</v>
      </c>
      <c r="H3206" s="364" t="s">
        <v>1212</v>
      </c>
    </row>
    <row r="3207" ht="15.75" customHeight="1">
      <c r="A3207" s="364" t="s">
        <v>77</v>
      </c>
      <c r="B3207" s="364" t="s">
        <v>22</v>
      </c>
      <c r="C3207" s="365" t="s">
        <v>745</v>
      </c>
      <c r="D3207" s="364" t="s">
        <v>746</v>
      </c>
      <c r="E3207" s="366">
        <v>8.0</v>
      </c>
      <c r="F3207" s="367">
        <v>45813.58333333333</v>
      </c>
      <c r="G3207" s="364" t="s">
        <v>1185</v>
      </c>
      <c r="H3207" s="364" t="s">
        <v>1212</v>
      </c>
    </row>
    <row r="3208" ht="15.75" customHeight="1">
      <c r="A3208" s="364" t="s">
        <v>77</v>
      </c>
      <c r="B3208" s="364" t="s">
        <v>22</v>
      </c>
      <c r="C3208" s="365" t="s">
        <v>745</v>
      </c>
      <c r="D3208" s="364" t="s">
        <v>746</v>
      </c>
      <c r="E3208" s="366">
        <v>9.0</v>
      </c>
      <c r="F3208" s="367">
        <v>45820.58333333333</v>
      </c>
      <c r="G3208" s="364" t="s">
        <v>1185</v>
      </c>
      <c r="H3208" s="364" t="s">
        <v>1212</v>
      </c>
    </row>
    <row r="3209" ht="15.75" customHeight="1">
      <c r="A3209" s="364" t="s">
        <v>77</v>
      </c>
      <c r="B3209" s="364" t="s">
        <v>22</v>
      </c>
      <c r="C3209" s="365" t="s">
        <v>745</v>
      </c>
      <c r="D3209" s="364" t="s">
        <v>746</v>
      </c>
      <c r="E3209" s="366">
        <v>10.0</v>
      </c>
      <c r="F3209" s="367">
        <v>45849.54166666667</v>
      </c>
      <c r="G3209" s="364" t="s">
        <v>1185</v>
      </c>
      <c r="H3209" s="364" t="s">
        <v>1212</v>
      </c>
    </row>
    <row r="3210" ht="15.75" customHeight="1">
      <c r="A3210" s="364" t="s">
        <v>77</v>
      </c>
      <c r="B3210" s="364" t="s">
        <v>22</v>
      </c>
      <c r="C3210" s="365" t="s">
        <v>748</v>
      </c>
      <c r="D3210" s="364" t="s">
        <v>749</v>
      </c>
      <c r="E3210" s="366">
        <v>1.0</v>
      </c>
      <c r="F3210" s="367">
        <v>45715.58333333333</v>
      </c>
      <c r="G3210" s="364" t="s">
        <v>1185</v>
      </c>
      <c r="H3210" s="364" t="s">
        <v>1212</v>
      </c>
    </row>
    <row r="3211" ht="15.75" customHeight="1">
      <c r="A3211" s="364" t="s">
        <v>77</v>
      </c>
      <c r="B3211" s="364" t="s">
        <v>22</v>
      </c>
      <c r="C3211" s="365" t="s">
        <v>748</v>
      </c>
      <c r="D3211" s="364" t="s">
        <v>749</v>
      </c>
      <c r="E3211" s="366">
        <v>2.0</v>
      </c>
      <c r="F3211" s="367">
        <v>45756.58333333333</v>
      </c>
      <c r="G3211" s="364" t="s">
        <v>1185</v>
      </c>
      <c r="H3211" s="364" t="s">
        <v>1212</v>
      </c>
    </row>
    <row r="3212" ht="15.75" customHeight="1">
      <c r="A3212" s="364" t="s">
        <v>77</v>
      </c>
      <c r="B3212" s="364" t="s">
        <v>22</v>
      </c>
      <c r="C3212" s="365" t="s">
        <v>748</v>
      </c>
      <c r="D3212" s="364" t="s">
        <v>749</v>
      </c>
      <c r="E3212" s="366">
        <v>3.0</v>
      </c>
      <c r="F3212" s="367">
        <v>45771.54166666667</v>
      </c>
      <c r="G3212" s="364" t="s">
        <v>1185</v>
      </c>
      <c r="H3212" s="364" t="s">
        <v>1212</v>
      </c>
    </row>
    <row r="3213" ht="15.75" customHeight="1">
      <c r="A3213" s="364" t="s">
        <v>77</v>
      </c>
      <c r="B3213" s="364" t="s">
        <v>22</v>
      </c>
      <c r="C3213" s="365" t="s">
        <v>748</v>
      </c>
      <c r="D3213" s="364" t="s">
        <v>749</v>
      </c>
      <c r="E3213" s="366">
        <v>4.0</v>
      </c>
      <c r="F3213" s="367">
        <v>45786.54166666667</v>
      </c>
      <c r="G3213" s="364" t="s">
        <v>1185</v>
      </c>
      <c r="H3213" s="364" t="s">
        <v>1212</v>
      </c>
    </row>
    <row r="3214" ht="15.75" customHeight="1">
      <c r="A3214" s="364" t="s">
        <v>77</v>
      </c>
      <c r="B3214" s="364" t="s">
        <v>22</v>
      </c>
      <c r="C3214" s="365" t="s">
        <v>748</v>
      </c>
      <c r="D3214" s="364" t="s">
        <v>749</v>
      </c>
      <c r="E3214" s="366">
        <v>5.0</v>
      </c>
      <c r="F3214" s="367">
        <v>45790.54166666667</v>
      </c>
      <c r="G3214" s="364" t="s">
        <v>1185</v>
      </c>
      <c r="H3214" s="364" t="s">
        <v>1212</v>
      </c>
    </row>
    <row r="3215" ht="15.75" customHeight="1">
      <c r="A3215" s="364" t="s">
        <v>77</v>
      </c>
      <c r="B3215" s="364" t="s">
        <v>22</v>
      </c>
      <c r="C3215" s="365" t="s">
        <v>748</v>
      </c>
      <c r="D3215" s="364" t="s">
        <v>749</v>
      </c>
      <c r="E3215" s="366">
        <v>6.0</v>
      </c>
      <c r="F3215" s="367">
        <v>45799.54166666667</v>
      </c>
      <c r="G3215" s="364" t="s">
        <v>1185</v>
      </c>
      <c r="H3215" s="364" t="s">
        <v>1212</v>
      </c>
    </row>
    <row r="3216" ht="15.75" customHeight="1">
      <c r="A3216" s="364" t="s">
        <v>77</v>
      </c>
      <c r="B3216" s="364" t="s">
        <v>22</v>
      </c>
      <c r="C3216" s="365" t="s">
        <v>748</v>
      </c>
      <c r="D3216" s="364" t="s">
        <v>749</v>
      </c>
      <c r="E3216" s="366">
        <v>7.0</v>
      </c>
      <c r="F3216" s="367">
        <v>45805.54166666667</v>
      </c>
      <c r="G3216" s="364" t="s">
        <v>1185</v>
      </c>
      <c r="H3216" s="364" t="s">
        <v>1212</v>
      </c>
    </row>
    <row r="3217" ht="15.75" customHeight="1">
      <c r="A3217" s="364" t="s">
        <v>77</v>
      </c>
      <c r="B3217" s="364" t="s">
        <v>22</v>
      </c>
      <c r="C3217" s="365" t="s">
        <v>748</v>
      </c>
      <c r="D3217" s="364" t="s">
        <v>749</v>
      </c>
      <c r="E3217" s="366">
        <v>8.0</v>
      </c>
      <c r="F3217" s="367">
        <v>45813.58333333333</v>
      </c>
      <c r="G3217" s="364" t="s">
        <v>1187</v>
      </c>
      <c r="H3217" s="364" t="s">
        <v>1212</v>
      </c>
    </row>
    <row r="3218" ht="15.75" customHeight="1">
      <c r="A3218" s="364" t="s">
        <v>77</v>
      </c>
      <c r="B3218" s="364" t="s">
        <v>22</v>
      </c>
      <c r="C3218" s="365" t="s">
        <v>748</v>
      </c>
      <c r="D3218" s="364" t="s">
        <v>749</v>
      </c>
      <c r="E3218" s="366">
        <v>9.0</v>
      </c>
      <c r="F3218" s="367">
        <v>45820.58333333333</v>
      </c>
      <c r="G3218" s="364" t="s">
        <v>1185</v>
      </c>
      <c r="H3218" s="364" t="s">
        <v>1212</v>
      </c>
    </row>
    <row r="3219" ht="15.75" customHeight="1">
      <c r="A3219" s="364" t="s">
        <v>77</v>
      </c>
      <c r="B3219" s="364" t="s">
        <v>22</v>
      </c>
      <c r="C3219" s="365" t="s">
        <v>748</v>
      </c>
      <c r="D3219" s="364" t="s">
        <v>749</v>
      </c>
      <c r="E3219" s="366">
        <v>10.0</v>
      </c>
      <c r="F3219" s="367">
        <v>45849.54166666667</v>
      </c>
      <c r="G3219" s="364" t="s">
        <v>1185</v>
      </c>
      <c r="H3219" s="364" t="s">
        <v>1212</v>
      </c>
    </row>
    <row r="3220" ht="15.75" customHeight="1">
      <c r="A3220" s="364" t="s">
        <v>77</v>
      </c>
      <c r="B3220" s="364" t="s">
        <v>22</v>
      </c>
      <c r="C3220" s="365" t="s">
        <v>750</v>
      </c>
      <c r="D3220" s="364" t="s">
        <v>751</v>
      </c>
      <c r="E3220" s="366">
        <v>1.0</v>
      </c>
      <c r="F3220" s="367">
        <v>45715.58333333333</v>
      </c>
      <c r="G3220" s="364" t="s">
        <v>1185</v>
      </c>
      <c r="H3220" s="364" t="s">
        <v>1212</v>
      </c>
    </row>
    <row r="3221" ht="15.75" customHeight="1">
      <c r="A3221" s="364" t="s">
        <v>77</v>
      </c>
      <c r="B3221" s="364" t="s">
        <v>22</v>
      </c>
      <c r="C3221" s="365" t="s">
        <v>750</v>
      </c>
      <c r="D3221" s="364" t="s">
        <v>751</v>
      </c>
      <c r="E3221" s="366">
        <v>2.0</v>
      </c>
      <c r="F3221" s="367">
        <v>45756.58333333333</v>
      </c>
      <c r="G3221" s="364" t="s">
        <v>1187</v>
      </c>
      <c r="H3221" s="364" t="s">
        <v>1212</v>
      </c>
    </row>
    <row r="3222" ht="15.75" customHeight="1">
      <c r="A3222" s="364" t="s">
        <v>77</v>
      </c>
      <c r="B3222" s="364" t="s">
        <v>22</v>
      </c>
      <c r="C3222" s="365" t="s">
        <v>750</v>
      </c>
      <c r="D3222" s="364" t="s">
        <v>751</v>
      </c>
      <c r="E3222" s="366">
        <v>3.0</v>
      </c>
      <c r="F3222" s="367">
        <v>45771.54166666667</v>
      </c>
      <c r="G3222" s="364" t="s">
        <v>1185</v>
      </c>
      <c r="H3222" s="364" t="s">
        <v>1212</v>
      </c>
    </row>
    <row r="3223" ht="15.75" customHeight="1">
      <c r="A3223" s="364" t="s">
        <v>77</v>
      </c>
      <c r="B3223" s="364" t="s">
        <v>22</v>
      </c>
      <c r="C3223" s="365" t="s">
        <v>750</v>
      </c>
      <c r="D3223" s="364" t="s">
        <v>751</v>
      </c>
      <c r="E3223" s="366">
        <v>4.0</v>
      </c>
      <c r="F3223" s="367">
        <v>45786.54166666667</v>
      </c>
      <c r="G3223" s="364" t="s">
        <v>1185</v>
      </c>
      <c r="H3223" s="364" t="s">
        <v>1212</v>
      </c>
    </row>
    <row r="3224" ht="15.75" customHeight="1">
      <c r="A3224" s="364" t="s">
        <v>77</v>
      </c>
      <c r="B3224" s="364" t="s">
        <v>22</v>
      </c>
      <c r="C3224" s="365" t="s">
        <v>750</v>
      </c>
      <c r="D3224" s="364" t="s">
        <v>751</v>
      </c>
      <c r="E3224" s="366">
        <v>5.0</v>
      </c>
      <c r="F3224" s="367">
        <v>45790.54166666667</v>
      </c>
      <c r="G3224" s="364" t="s">
        <v>1185</v>
      </c>
      <c r="H3224" s="364" t="s">
        <v>1212</v>
      </c>
    </row>
    <row r="3225" ht="15.75" customHeight="1">
      <c r="A3225" s="364" t="s">
        <v>77</v>
      </c>
      <c r="B3225" s="364" t="s">
        <v>22</v>
      </c>
      <c r="C3225" s="365" t="s">
        <v>750</v>
      </c>
      <c r="D3225" s="364" t="s">
        <v>751</v>
      </c>
      <c r="E3225" s="366">
        <v>6.0</v>
      </c>
      <c r="F3225" s="367">
        <v>45799.54166666667</v>
      </c>
      <c r="G3225" s="364" t="s">
        <v>1187</v>
      </c>
      <c r="H3225" s="364" t="s">
        <v>1212</v>
      </c>
    </row>
    <row r="3226" ht="15.75" customHeight="1">
      <c r="A3226" s="364" t="s">
        <v>77</v>
      </c>
      <c r="B3226" s="364" t="s">
        <v>22</v>
      </c>
      <c r="C3226" s="365" t="s">
        <v>750</v>
      </c>
      <c r="D3226" s="364" t="s">
        <v>751</v>
      </c>
      <c r="E3226" s="366">
        <v>7.0</v>
      </c>
      <c r="F3226" s="367">
        <v>45805.54166666667</v>
      </c>
      <c r="G3226" s="364" t="s">
        <v>1185</v>
      </c>
      <c r="H3226" s="364" t="s">
        <v>1212</v>
      </c>
    </row>
    <row r="3227" ht="15.75" customHeight="1">
      <c r="A3227" s="364" t="s">
        <v>77</v>
      </c>
      <c r="B3227" s="364" t="s">
        <v>22</v>
      </c>
      <c r="C3227" s="365" t="s">
        <v>750</v>
      </c>
      <c r="D3227" s="364" t="s">
        <v>751</v>
      </c>
      <c r="E3227" s="366">
        <v>8.0</v>
      </c>
      <c r="F3227" s="367">
        <v>45813.58333333333</v>
      </c>
      <c r="G3227" s="364" t="s">
        <v>1185</v>
      </c>
      <c r="H3227" s="364" t="s">
        <v>1212</v>
      </c>
    </row>
    <row r="3228" ht="15.75" customHeight="1">
      <c r="A3228" s="364" t="s">
        <v>77</v>
      </c>
      <c r="B3228" s="364" t="s">
        <v>22</v>
      </c>
      <c r="C3228" s="365" t="s">
        <v>750</v>
      </c>
      <c r="D3228" s="364" t="s">
        <v>751</v>
      </c>
      <c r="E3228" s="366">
        <v>9.0</v>
      </c>
      <c r="F3228" s="367">
        <v>45820.58333333333</v>
      </c>
      <c r="G3228" s="364" t="s">
        <v>1185</v>
      </c>
      <c r="H3228" s="364" t="s">
        <v>1212</v>
      </c>
    </row>
    <row r="3229" ht="15.75" customHeight="1">
      <c r="A3229" s="364" t="s">
        <v>77</v>
      </c>
      <c r="B3229" s="364" t="s">
        <v>22</v>
      </c>
      <c r="C3229" s="365" t="s">
        <v>750</v>
      </c>
      <c r="D3229" s="364" t="s">
        <v>751</v>
      </c>
      <c r="E3229" s="366">
        <v>10.0</v>
      </c>
      <c r="F3229" s="367">
        <v>45849.54166666667</v>
      </c>
      <c r="G3229" s="364" t="s">
        <v>1185</v>
      </c>
      <c r="H3229" s="364" t="s">
        <v>1212</v>
      </c>
    </row>
    <row r="3230" ht="15.75" customHeight="1">
      <c r="A3230" s="364" t="s">
        <v>77</v>
      </c>
      <c r="B3230" s="364" t="s">
        <v>22</v>
      </c>
      <c r="C3230" s="365" t="s">
        <v>754</v>
      </c>
      <c r="D3230" s="364" t="s">
        <v>755</v>
      </c>
      <c r="E3230" s="366">
        <v>1.0</v>
      </c>
      <c r="F3230" s="367">
        <v>45715.58333333333</v>
      </c>
      <c r="G3230" s="364" t="s">
        <v>1185</v>
      </c>
      <c r="H3230" s="364" t="s">
        <v>1212</v>
      </c>
    </row>
    <row r="3231" ht="15.75" customHeight="1">
      <c r="A3231" s="364" t="s">
        <v>77</v>
      </c>
      <c r="B3231" s="364" t="s">
        <v>22</v>
      </c>
      <c r="C3231" s="365" t="s">
        <v>754</v>
      </c>
      <c r="D3231" s="364" t="s">
        <v>755</v>
      </c>
      <c r="E3231" s="366">
        <v>2.0</v>
      </c>
      <c r="F3231" s="367">
        <v>45756.58333333333</v>
      </c>
      <c r="G3231" s="364" t="s">
        <v>1185</v>
      </c>
      <c r="H3231" s="364" t="s">
        <v>1212</v>
      </c>
    </row>
    <row r="3232" ht="15.75" customHeight="1">
      <c r="A3232" s="364" t="s">
        <v>77</v>
      </c>
      <c r="B3232" s="364" t="s">
        <v>22</v>
      </c>
      <c r="C3232" s="365" t="s">
        <v>754</v>
      </c>
      <c r="D3232" s="364" t="s">
        <v>755</v>
      </c>
      <c r="E3232" s="366">
        <v>3.0</v>
      </c>
      <c r="F3232" s="367">
        <v>45771.54166666667</v>
      </c>
      <c r="G3232" s="364" t="s">
        <v>1185</v>
      </c>
      <c r="H3232" s="364" t="s">
        <v>1212</v>
      </c>
    </row>
    <row r="3233" ht="15.75" customHeight="1">
      <c r="A3233" s="364" t="s">
        <v>77</v>
      </c>
      <c r="B3233" s="364" t="s">
        <v>22</v>
      </c>
      <c r="C3233" s="365" t="s">
        <v>754</v>
      </c>
      <c r="D3233" s="364" t="s">
        <v>755</v>
      </c>
      <c r="E3233" s="366">
        <v>4.0</v>
      </c>
      <c r="F3233" s="367">
        <v>45786.54166666667</v>
      </c>
      <c r="G3233" s="364" t="s">
        <v>1185</v>
      </c>
      <c r="H3233" s="364" t="s">
        <v>1212</v>
      </c>
    </row>
    <row r="3234" ht="15.75" customHeight="1">
      <c r="A3234" s="364" t="s">
        <v>77</v>
      </c>
      <c r="B3234" s="364" t="s">
        <v>22</v>
      </c>
      <c r="C3234" s="365" t="s">
        <v>754</v>
      </c>
      <c r="D3234" s="364" t="s">
        <v>755</v>
      </c>
      <c r="E3234" s="366">
        <v>5.0</v>
      </c>
      <c r="F3234" s="367">
        <v>45790.54166666667</v>
      </c>
      <c r="G3234" s="364" t="s">
        <v>1185</v>
      </c>
      <c r="H3234" s="364" t="s">
        <v>1212</v>
      </c>
    </row>
    <row r="3235" ht="15.75" customHeight="1">
      <c r="A3235" s="364" t="s">
        <v>77</v>
      </c>
      <c r="B3235" s="364" t="s">
        <v>22</v>
      </c>
      <c r="C3235" s="365" t="s">
        <v>754</v>
      </c>
      <c r="D3235" s="364" t="s">
        <v>755</v>
      </c>
      <c r="E3235" s="366">
        <v>6.0</v>
      </c>
      <c r="F3235" s="367">
        <v>45799.54166666667</v>
      </c>
      <c r="G3235" s="364" t="s">
        <v>1185</v>
      </c>
      <c r="H3235" s="364" t="s">
        <v>1212</v>
      </c>
    </row>
    <row r="3236" ht="15.75" customHeight="1">
      <c r="A3236" s="364" t="s">
        <v>77</v>
      </c>
      <c r="B3236" s="364" t="s">
        <v>22</v>
      </c>
      <c r="C3236" s="365" t="s">
        <v>754</v>
      </c>
      <c r="D3236" s="364" t="s">
        <v>755</v>
      </c>
      <c r="E3236" s="366">
        <v>7.0</v>
      </c>
      <c r="F3236" s="367">
        <v>45805.54166666667</v>
      </c>
      <c r="G3236" s="364" t="s">
        <v>1185</v>
      </c>
      <c r="H3236" s="364" t="s">
        <v>1212</v>
      </c>
    </row>
    <row r="3237" ht="15.75" customHeight="1">
      <c r="A3237" s="364" t="s">
        <v>77</v>
      </c>
      <c r="B3237" s="364" t="s">
        <v>22</v>
      </c>
      <c r="C3237" s="365" t="s">
        <v>754</v>
      </c>
      <c r="D3237" s="364" t="s">
        <v>755</v>
      </c>
      <c r="E3237" s="366">
        <v>8.0</v>
      </c>
      <c r="F3237" s="367">
        <v>45813.58333333333</v>
      </c>
      <c r="G3237" s="364" t="s">
        <v>1185</v>
      </c>
      <c r="H3237" s="364" t="s">
        <v>1212</v>
      </c>
    </row>
    <row r="3238" ht="15.75" customHeight="1">
      <c r="A3238" s="364" t="s">
        <v>77</v>
      </c>
      <c r="B3238" s="364" t="s">
        <v>22</v>
      </c>
      <c r="C3238" s="365" t="s">
        <v>754</v>
      </c>
      <c r="D3238" s="364" t="s">
        <v>755</v>
      </c>
      <c r="E3238" s="366">
        <v>9.0</v>
      </c>
      <c r="F3238" s="367">
        <v>45820.58333333333</v>
      </c>
      <c r="G3238" s="364" t="s">
        <v>1185</v>
      </c>
      <c r="H3238" s="364" t="s">
        <v>1212</v>
      </c>
    </row>
    <row r="3239" ht="15.75" customHeight="1">
      <c r="A3239" s="364" t="s">
        <v>77</v>
      </c>
      <c r="B3239" s="364" t="s">
        <v>22</v>
      </c>
      <c r="C3239" s="365" t="s">
        <v>754</v>
      </c>
      <c r="D3239" s="364" t="s">
        <v>755</v>
      </c>
      <c r="E3239" s="366">
        <v>10.0</v>
      </c>
      <c r="F3239" s="367">
        <v>45849.54166666667</v>
      </c>
      <c r="G3239" s="364" t="s">
        <v>1185</v>
      </c>
      <c r="H3239" s="364" t="s">
        <v>1212</v>
      </c>
    </row>
    <row r="3240" ht="15.75" customHeight="1">
      <c r="A3240" s="364" t="s">
        <v>77</v>
      </c>
      <c r="B3240" s="364" t="s">
        <v>23</v>
      </c>
      <c r="C3240" s="365" t="s">
        <v>741</v>
      </c>
      <c r="D3240" s="364" t="s">
        <v>742</v>
      </c>
      <c r="E3240" s="366">
        <v>1.0</v>
      </c>
      <c r="F3240" s="367">
        <v>45890.54166666667</v>
      </c>
      <c r="G3240" s="364" t="s">
        <v>1185</v>
      </c>
      <c r="H3240" s="364" t="s">
        <v>1212</v>
      </c>
    </row>
    <row r="3241" ht="15.75" customHeight="1">
      <c r="A3241" s="364" t="s">
        <v>77</v>
      </c>
      <c r="B3241" s="364" t="s">
        <v>23</v>
      </c>
      <c r="C3241" s="365" t="s">
        <v>741</v>
      </c>
      <c r="D3241" s="364" t="s">
        <v>742</v>
      </c>
      <c r="E3241" s="366">
        <v>2.0</v>
      </c>
      <c r="F3241" s="367">
        <v>45897.58333333333</v>
      </c>
      <c r="G3241" s="364" t="s">
        <v>1185</v>
      </c>
      <c r="H3241" s="364" t="s">
        <v>1212</v>
      </c>
    </row>
    <row r="3242" ht="15.75" customHeight="1">
      <c r="A3242" s="364" t="s">
        <v>77</v>
      </c>
      <c r="B3242" s="364" t="s">
        <v>23</v>
      </c>
      <c r="C3242" s="365" t="s">
        <v>741</v>
      </c>
      <c r="D3242" s="364" t="s">
        <v>742</v>
      </c>
      <c r="E3242" s="366">
        <v>3.0</v>
      </c>
      <c r="F3242" s="367">
        <v>45911.58333333333</v>
      </c>
      <c r="G3242" s="364" t="s">
        <v>1185</v>
      </c>
      <c r="H3242" s="364" t="s">
        <v>1212</v>
      </c>
    </row>
    <row r="3243" ht="15.75" customHeight="1">
      <c r="A3243" s="364" t="s">
        <v>77</v>
      </c>
      <c r="B3243" s="364" t="s">
        <v>23</v>
      </c>
      <c r="C3243" s="365" t="s">
        <v>741</v>
      </c>
      <c r="D3243" s="364" t="s">
        <v>742</v>
      </c>
      <c r="E3243" s="366">
        <v>4.0</v>
      </c>
      <c r="F3243" s="367">
        <v>45918.58333333333</v>
      </c>
      <c r="G3243" s="364" t="s">
        <v>1185</v>
      </c>
      <c r="H3243" s="364" t="s">
        <v>1212</v>
      </c>
    </row>
    <row r="3244" ht="15.75" customHeight="1">
      <c r="A3244" s="364" t="s">
        <v>77</v>
      </c>
      <c r="B3244" s="364" t="s">
        <v>23</v>
      </c>
      <c r="C3244" s="365" t="s">
        <v>741</v>
      </c>
      <c r="D3244" s="364" t="s">
        <v>742</v>
      </c>
      <c r="E3244" s="366">
        <v>5.0</v>
      </c>
      <c r="F3244" s="367">
        <v>45925.58333333333</v>
      </c>
      <c r="G3244" s="364" t="s">
        <v>1185</v>
      </c>
      <c r="H3244" s="364" t="s">
        <v>1212</v>
      </c>
    </row>
    <row r="3245" ht="15.75" customHeight="1">
      <c r="A3245" s="364" t="s">
        <v>77</v>
      </c>
      <c r="B3245" s="364" t="s">
        <v>23</v>
      </c>
      <c r="C3245" s="365" t="s">
        <v>741</v>
      </c>
      <c r="D3245" s="364" t="s">
        <v>742</v>
      </c>
      <c r="E3245" s="366">
        <v>6.0</v>
      </c>
      <c r="F3245" s="367">
        <v>45932.58333333333</v>
      </c>
      <c r="G3245" s="364" t="s">
        <v>1185</v>
      </c>
      <c r="H3245" s="364" t="s">
        <v>1212</v>
      </c>
    </row>
    <row r="3246" ht="15.75" customHeight="1">
      <c r="A3246" s="364" t="s">
        <v>77</v>
      </c>
      <c r="B3246" s="364" t="s">
        <v>23</v>
      </c>
      <c r="C3246" s="365" t="s">
        <v>741</v>
      </c>
      <c r="D3246" s="364" t="s">
        <v>742</v>
      </c>
      <c r="E3246" s="366">
        <v>7.0</v>
      </c>
      <c r="F3246" s="367">
        <v>45946.58333333333</v>
      </c>
      <c r="G3246" s="364" t="s">
        <v>1185</v>
      </c>
      <c r="H3246" s="364" t="s">
        <v>1212</v>
      </c>
    </row>
    <row r="3247" ht="15.75" customHeight="1">
      <c r="A3247" s="364" t="s">
        <v>77</v>
      </c>
      <c r="B3247" s="364" t="s">
        <v>23</v>
      </c>
      <c r="C3247" s="365" t="s">
        <v>741</v>
      </c>
      <c r="D3247" s="364" t="s">
        <v>742</v>
      </c>
      <c r="E3247" s="366">
        <v>8.0</v>
      </c>
      <c r="F3247" s="367">
        <v>45953.58333333333</v>
      </c>
      <c r="G3247" s="364" t="s">
        <v>1185</v>
      </c>
      <c r="H3247" s="364" t="s">
        <v>1212</v>
      </c>
    </row>
    <row r="3248" ht="15.75" customHeight="1">
      <c r="A3248" s="364" t="s">
        <v>77</v>
      </c>
      <c r="B3248" s="364" t="s">
        <v>23</v>
      </c>
      <c r="C3248" s="365" t="s">
        <v>741</v>
      </c>
      <c r="D3248" s="364" t="s">
        <v>742</v>
      </c>
      <c r="E3248" s="366">
        <v>9.0</v>
      </c>
      <c r="F3248" s="367">
        <v>45960.58333333333</v>
      </c>
      <c r="G3248" s="364" t="s">
        <v>1185</v>
      </c>
      <c r="H3248" s="364" t="s">
        <v>1212</v>
      </c>
    </row>
    <row r="3249" ht="15.75" customHeight="1">
      <c r="A3249" s="364" t="s">
        <v>77</v>
      </c>
      <c r="B3249" s="364" t="s">
        <v>23</v>
      </c>
      <c r="C3249" s="365" t="s">
        <v>741</v>
      </c>
      <c r="D3249" s="364" t="s">
        <v>742</v>
      </c>
      <c r="E3249" s="366">
        <v>10.0</v>
      </c>
      <c r="F3249" s="367">
        <v>45966.58333333333</v>
      </c>
      <c r="G3249" s="364" t="s">
        <v>1185</v>
      </c>
      <c r="H3249" s="364" t="s">
        <v>1212</v>
      </c>
    </row>
    <row r="3250" ht="15.75" customHeight="1">
      <c r="A3250" s="364" t="s">
        <v>77</v>
      </c>
      <c r="B3250" s="364" t="s">
        <v>23</v>
      </c>
      <c r="C3250" s="365" t="s">
        <v>741</v>
      </c>
      <c r="D3250" s="364" t="s">
        <v>742</v>
      </c>
      <c r="E3250" s="366">
        <v>11.0</v>
      </c>
      <c r="F3250" s="367">
        <v>45982.58333333333</v>
      </c>
      <c r="G3250" s="364" t="s">
        <v>1185</v>
      </c>
      <c r="H3250" s="364" t="s">
        <v>1212</v>
      </c>
    </row>
    <row r="3251" ht="15.75" customHeight="1">
      <c r="A3251" s="364" t="s">
        <v>77</v>
      </c>
      <c r="B3251" s="364" t="s">
        <v>23</v>
      </c>
      <c r="C3251" s="365" t="s">
        <v>741</v>
      </c>
      <c r="D3251" s="364" t="s">
        <v>742</v>
      </c>
      <c r="E3251" s="366">
        <v>12.0</v>
      </c>
      <c r="F3251" s="367">
        <v>45988.58333333333</v>
      </c>
      <c r="G3251" s="364" t="s">
        <v>1185</v>
      </c>
      <c r="H3251" s="364" t="s">
        <v>1212</v>
      </c>
    </row>
    <row r="3252" ht="15.75" customHeight="1">
      <c r="A3252" s="364" t="s">
        <v>77</v>
      </c>
      <c r="B3252" s="364" t="s">
        <v>23</v>
      </c>
      <c r="C3252" s="365" t="s">
        <v>741</v>
      </c>
      <c r="D3252" s="364" t="s">
        <v>742</v>
      </c>
      <c r="E3252" s="366">
        <v>13.0</v>
      </c>
      <c r="F3252" s="367">
        <v>45995.58333333333</v>
      </c>
      <c r="G3252" s="364" t="s">
        <v>1185</v>
      </c>
      <c r="H3252" s="364" t="s">
        <v>1212</v>
      </c>
    </row>
    <row r="3253" ht="15.75" customHeight="1">
      <c r="A3253" s="364" t="s">
        <v>77</v>
      </c>
      <c r="B3253" s="364" t="s">
        <v>23</v>
      </c>
      <c r="C3253" s="365" t="s">
        <v>741</v>
      </c>
      <c r="D3253" s="364" t="s">
        <v>742</v>
      </c>
      <c r="E3253" s="366">
        <v>14.0</v>
      </c>
      <c r="F3253" s="367">
        <v>45999.45833333333</v>
      </c>
      <c r="G3253" s="364" t="s">
        <v>1185</v>
      </c>
      <c r="H3253" s="364" t="s">
        <v>1212</v>
      </c>
    </row>
    <row r="3254" ht="15.75" customHeight="1">
      <c r="A3254" s="364" t="s">
        <v>77</v>
      </c>
      <c r="B3254" s="364" t="s">
        <v>23</v>
      </c>
      <c r="C3254" s="365" t="s">
        <v>741</v>
      </c>
      <c r="D3254" s="364" t="s">
        <v>742</v>
      </c>
      <c r="E3254" s="366">
        <v>15.0</v>
      </c>
      <c r="F3254" s="367">
        <v>46014.625</v>
      </c>
      <c r="G3254" s="364" t="s">
        <v>1185</v>
      </c>
      <c r="H3254" s="364" t="s">
        <v>1212</v>
      </c>
    </row>
    <row r="3255" ht="15.75" customHeight="1">
      <c r="A3255" s="364" t="s">
        <v>77</v>
      </c>
      <c r="B3255" s="364" t="s">
        <v>23</v>
      </c>
      <c r="C3255" s="365" t="s">
        <v>741</v>
      </c>
      <c r="D3255" s="364" t="s">
        <v>742</v>
      </c>
      <c r="E3255" s="366">
        <v>16.0</v>
      </c>
      <c r="F3255" s="367">
        <v>46044.54166666667</v>
      </c>
      <c r="G3255" s="364" t="s">
        <v>1185</v>
      </c>
      <c r="H3255" s="364" t="s">
        <v>1212</v>
      </c>
    </row>
    <row r="3256" ht="15.75" customHeight="1">
      <c r="A3256" s="364" t="s">
        <v>77</v>
      </c>
      <c r="B3256" s="364" t="s">
        <v>23</v>
      </c>
      <c r="C3256" s="365" t="s">
        <v>752</v>
      </c>
      <c r="D3256" s="364" t="s">
        <v>753</v>
      </c>
      <c r="E3256" s="366">
        <v>1.0</v>
      </c>
      <c r="F3256" s="367">
        <v>45890.54166666667</v>
      </c>
      <c r="G3256" s="364" t="s">
        <v>1185</v>
      </c>
      <c r="H3256" s="364" t="s">
        <v>1212</v>
      </c>
    </row>
    <row r="3257" ht="15.75" customHeight="1">
      <c r="A3257" s="364" t="s">
        <v>77</v>
      </c>
      <c r="B3257" s="364" t="s">
        <v>23</v>
      </c>
      <c r="C3257" s="365" t="s">
        <v>752</v>
      </c>
      <c r="D3257" s="364" t="s">
        <v>753</v>
      </c>
      <c r="E3257" s="366">
        <v>2.0</v>
      </c>
      <c r="F3257" s="367">
        <v>45897.58333333333</v>
      </c>
      <c r="G3257" s="364" t="s">
        <v>1185</v>
      </c>
      <c r="H3257" s="364" t="s">
        <v>1212</v>
      </c>
    </row>
    <row r="3258" ht="15.75" customHeight="1">
      <c r="A3258" s="364" t="s">
        <v>77</v>
      </c>
      <c r="B3258" s="364" t="s">
        <v>23</v>
      </c>
      <c r="C3258" s="365" t="s">
        <v>752</v>
      </c>
      <c r="D3258" s="364" t="s">
        <v>753</v>
      </c>
      <c r="E3258" s="366">
        <v>3.0</v>
      </c>
      <c r="F3258" s="367">
        <v>45911.58333333333</v>
      </c>
      <c r="G3258" s="364" t="s">
        <v>1185</v>
      </c>
      <c r="H3258" s="364" t="s">
        <v>1212</v>
      </c>
    </row>
    <row r="3259" ht="15.75" customHeight="1">
      <c r="A3259" s="364" t="s">
        <v>77</v>
      </c>
      <c r="B3259" s="364" t="s">
        <v>23</v>
      </c>
      <c r="C3259" s="365" t="s">
        <v>752</v>
      </c>
      <c r="D3259" s="364" t="s">
        <v>753</v>
      </c>
      <c r="E3259" s="366">
        <v>4.0</v>
      </c>
      <c r="F3259" s="367">
        <v>45918.58333333333</v>
      </c>
      <c r="G3259" s="364" t="s">
        <v>1185</v>
      </c>
      <c r="H3259" s="364" t="s">
        <v>1212</v>
      </c>
    </row>
    <row r="3260" ht="15.75" customHeight="1">
      <c r="A3260" s="364" t="s">
        <v>77</v>
      </c>
      <c r="B3260" s="364" t="s">
        <v>23</v>
      </c>
      <c r="C3260" s="365" t="s">
        <v>752</v>
      </c>
      <c r="D3260" s="364" t="s">
        <v>753</v>
      </c>
      <c r="E3260" s="366">
        <v>5.0</v>
      </c>
      <c r="F3260" s="367">
        <v>45925.58333333333</v>
      </c>
      <c r="G3260" s="364" t="s">
        <v>1185</v>
      </c>
      <c r="H3260" s="364" t="s">
        <v>1212</v>
      </c>
    </row>
    <row r="3261" ht="15.75" customHeight="1">
      <c r="A3261" s="364" t="s">
        <v>77</v>
      </c>
      <c r="B3261" s="364" t="s">
        <v>23</v>
      </c>
      <c r="C3261" s="365" t="s">
        <v>752</v>
      </c>
      <c r="D3261" s="364" t="s">
        <v>753</v>
      </c>
      <c r="E3261" s="366">
        <v>6.0</v>
      </c>
      <c r="F3261" s="367">
        <v>45932.58333333333</v>
      </c>
      <c r="G3261" s="364" t="s">
        <v>1185</v>
      </c>
      <c r="H3261" s="364" t="s">
        <v>1212</v>
      </c>
    </row>
    <row r="3262" ht="15.75" customHeight="1">
      <c r="A3262" s="364" t="s">
        <v>77</v>
      </c>
      <c r="B3262" s="364" t="s">
        <v>23</v>
      </c>
      <c r="C3262" s="365" t="s">
        <v>752</v>
      </c>
      <c r="D3262" s="364" t="s">
        <v>753</v>
      </c>
      <c r="E3262" s="366">
        <v>7.0</v>
      </c>
      <c r="F3262" s="367">
        <v>45946.58333333333</v>
      </c>
      <c r="G3262" s="364" t="s">
        <v>1185</v>
      </c>
      <c r="H3262" s="364" t="s">
        <v>1212</v>
      </c>
    </row>
    <row r="3263" ht="15.75" customHeight="1">
      <c r="A3263" s="364" t="s">
        <v>77</v>
      </c>
      <c r="B3263" s="364" t="s">
        <v>23</v>
      </c>
      <c r="C3263" s="365" t="s">
        <v>752</v>
      </c>
      <c r="D3263" s="364" t="s">
        <v>753</v>
      </c>
      <c r="E3263" s="366">
        <v>8.0</v>
      </c>
      <c r="F3263" s="367">
        <v>45953.58333333333</v>
      </c>
      <c r="G3263" s="364" t="s">
        <v>1185</v>
      </c>
      <c r="H3263" s="364" t="s">
        <v>1212</v>
      </c>
    </row>
    <row r="3264" ht="15.75" customHeight="1">
      <c r="A3264" s="364" t="s">
        <v>77</v>
      </c>
      <c r="B3264" s="364" t="s">
        <v>23</v>
      </c>
      <c r="C3264" s="365" t="s">
        <v>752</v>
      </c>
      <c r="D3264" s="364" t="s">
        <v>753</v>
      </c>
      <c r="E3264" s="366">
        <v>9.0</v>
      </c>
      <c r="F3264" s="367">
        <v>45960.58333333333</v>
      </c>
      <c r="G3264" s="364" t="s">
        <v>1185</v>
      </c>
      <c r="H3264" s="364" t="s">
        <v>1212</v>
      </c>
    </row>
    <row r="3265" ht="15.75" customHeight="1">
      <c r="A3265" s="364" t="s">
        <v>77</v>
      </c>
      <c r="B3265" s="364" t="s">
        <v>23</v>
      </c>
      <c r="C3265" s="365" t="s">
        <v>752</v>
      </c>
      <c r="D3265" s="364" t="s">
        <v>753</v>
      </c>
      <c r="E3265" s="366">
        <v>10.0</v>
      </c>
      <c r="F3265" s="367">
        <v>45966.58333333333</v>
      </c>
      <c r="G3265" s="364" t="s">
        <v>1185</v>
      </c>
      <c r="H3265" s="364" t="s">
        <v>1212</v>
      </c>
    </row>
    <row r="3266" ht="15.75" customHeight="1">
      <c r="A3266" s="364" t="s">
        <v>77</v>
      </c>
      <c r="B3266" s="364" t="s">
        <v>23</v>
      </c>
      <c r="C3266" s="365" t="s">
        <v>752</v>
      </c>
      <c r="D3266" s="364" t="s">
        <v>753</v>
      </c>
      <c r="E3266" s="366">
        <v>11.0</v>
      </c>
      <c r="F3266" s="367">
        <v>45982.58333333333</v>
      </c>
      <c r="G3266" s="364" t="s">
        <v>1185</v>
      </c>
      <c r="H3266" s="364" t="s">
        <v>1212</v>
      </c>
    </row>
    <row r="3267" ht="15.75" customHeight="1">
      <c r="A3267" s="364" t="s">
        <v>77</v>
      </c>
      <c r="B3267" s="364" t="s">
        <v>23</v>
      </c>
      <c r="C3267" s="365" t="s">
        <v>752</v>
      </c>
      <c r="D3267" s="364" t="s">
        <v>753</v>
      </c>
      <c r="E3267" s="366">
        <v>12.0</v>
      </c>
      <c r="F3267" s="367">
        <v>45988.58333333333</v>
      </c>
      <c r="G3267" s="364" t="s">
        <v>1185</v>
      </c>
      <c r="H3267" s="364" t="s">
        <v>1212</v>
      </c>
    </row>
    <row r="3268" ht="15.75" customHeight="1">
      <c r="A3268" s="364" t="s">
        <v>77</v>
      </c>
      <c r="B3268" s="364" t="s">
        <v>23</v>
      </c>
      <c r="C3268" s="365" t="s">
        <v>752</v>
      </c>
      <c r="D3268" s="364" t="s">
        <v>753</v>
      </c>
      <c r="E3268" s="366">
        <v>13.0</v>
      </c>
      <c r="F3268" s="367">
        <v>45995.58333333333</v>
      </c>
      <c r="G3268" s="364" t="s">
        <v>1185</v>
      </c>
      <c r="H3268" s="364" t="s">
        <v>1212</v>
      </c>
    </row>
    <row r="3269" ht="15.75" customHeight="1">
      <c r="A3269" s="364" t="s">
        <v>77</v>
      </c>
      <c r="B3269" s="364" t="s">
        <v>23</v>
      </c>
      <c r="C3269" s="365" t="s">
        <v>752</v>
      </c>
      <c r="D3269" s="364" t="s">
        <v>753</v>
      </c>
      <c r="E3269" s="366">
        <v>14.0</v>
      </c>
      <c r="F3269" s="367">
        <v>45999.45833333333</v>
      </c>
      <c r="G3269" s="364" t="s">
        <v>1187</v>
      </c>
      <c r="H3269" s="364" t="s">
        <v>1212</v>
      </c>
    </row>
    <row r="3270" ht="15.75" customHeight="1">
      <c r="A3270" s="364" t="s">
        <v>77</v>
      </c>
      <c r="B3270" s="364" t="s">
        <v>23</v>
      </c>
      <c r="C3270" s="365" t="s">
        <v>752</v>
      </c>
      <c r="D3270" s="364" t="s">
        <v>753</v>
      </c>
      <c r="E3270" s="366">
        <v>15.0</v>
      </c>
      <c r="F3270" s="367">
        <v>46014.625</v>
      </c>
      <c r="G3270" s="364" t="s">
        <v>1185</v>
      </c>
      <c r="H3270" s="364" t="s">
        <v>1212</v>
      </c>
    </row>
    <row r="3271" ht="15.75" customHeight="1">
      <c r="A3271" s="364" t="s">
        <v>77</v>
      </c>
      <c r="B3271" s="364" t="s">
        <v>23</v>
      </c>
      <c r="C3271" s="365" t="s">
        <v>752</v>
      </c>
      <c r="D3271" s="364" t="s">
        <v>753</v>
      </c>
      <c r="E3271" s="366">
        <v>16.0</v>
      </c>
      <c r="F3271" s="367">
        <v>46044.54166666667</v>
      </c>
      <c r="G3271" s="364" t="s">
        <v>1185</v>
      </c>
      <c r="H3271" s="364" t="s">
        <v>1212</v>
      </c>
    </row>
    <row r="3272" ht="15.75" customHeight="1">
      <c r="A3272" s="364" t="s">
        <v>77</v>
      </c>
      <c r="B3272" s="364" t="s">
        <v>23</v>
      </c>
      <c r="C3272" s="365" t="s">
        <v>743</v>
      </c>
      <c r="D3272" s="364" t="s">
        <v>744</v>
      </c>
      <c r="E3272" s="366">
        <v>1.0</v>
      </c>
      <c r="F3272" s="367">
        <v>45890.54166666667</v>
      </c>
      <c r="G3272" s="364" t="s">
        <v>1185</v>
      </c>
      <c r="H3272" s="364" t="s">
        <v>1212</v>
      </c>
    </row>
    <row r="3273" ht="15.75" customHeight="1">
      <c r="A3273" s="364" t="s">
        <v>77</v>
      </c>
      <c r="B3273" s="364" t="s">
        <v>23</v>
      </c>
      <c r="C3273" s="365" t="s">
        <v>743</v>
      </c>
      <c r="D3273" s="364" t="s">
        <v>744</v>
      </c>
      <c r="E3273" s="366">
        <v>2.0</v>
      </c>
      <c r="F3273" s="367">
        <v>45897.58333333333</v>
      </c>
      <c r="G3273" s="364" t="s">
        <v>1185</v>
      </c>
      <c r="H3273" s="364" t="s">
        <v>1212</v>
      </c>
    </row>
    <row r="3274" ht="15.75" customHeight="1">
      <c r="A3274" s="364" t="s">
        <v>77</v>
      </c>
      <c r="B3274" s="364" t="s">
        <v>23</v>
      </c>
      <c r="C3274" s="365" t="s">
        <v>743</v>
      </c>
      <c r="D3274" s="364" t="s">
        <v>744</v>
      </c>
      <c r="E3274" s="366">
        <v>3.0</v>
      </c>
      <c r="F3274" s="367">
        <v>45911.58333333333</v>
      </c>
      <c r="G3274" s="364" t="s">
        <v>1185</v>
      </c>
      <c r="H3274" s="364" t="s">
        <v>1212</v>
      </c>
    </row>
    <row r="3275" ht="15.75" customHeight="1">
      <c r="A3275" s="364" t="s">
        <v>77</v>
      </c>
      <c r="B3275" s="364" t="s">
        <v>23</v>
      </c>
      <c r="C3275" s="365" t="s">
        <v>743</v>
      </c>
      <c r="D3275" s="364" t="s">
        <v>744</v>
      </c>
      <c r="E3275" s="366">
        <v>4.0</v>
      </c>
      <c r="F3275" s="367">
        <v>45918.58333333333</v>
      </c>
      <c r="G3275" s="364" t="s">
        <v>1185</v>
      </c>
      <c r="H3275" s="364" t="s">
        <v>1212</v>
      </c>
    </row>
    <row r="3276" ht="15.75" customHeight="1">
      <c r="A3276" s="364" t="s">
        <v>77</v>
      </c>
      <c r="B3276" s="364" t="s">
        <v>23</v>
      </c>
      <c r="C3276" s="365" t="s">
        <v>743</v>
      </c>
      <c r="D3276" s="364" t="s">
        <v>744</v>
      </c>
      <c r="E3276" s="366">
        <v>5.0</v>
      </c>
      <c r="F3276" s="367">
        <v>45925.58333333333</v>
      </c>
      <c r="G3276" s="364" t="s">
        <v>1185</v>
      </c>
      <c r="H3276" s="364" t="s">
        <v>1212</v>
      </c>
    </row>
    <row r="3277" ht="15.75" customHeight="1">
      <c r="A3277" s="364" t="s">
        <v>77</v>
      </c>
      <c r="B3277" s="364" t="s">
        <v>23</v>
      </c>
      <c r="C3277" s="365" t="s">
        <v>743</v>
      </c>
      <c r="D3277" s="364" t="s">
        <v>744</v>
      </c>
      <c r="E3277" s="366">
        <v>6.0</v>
      </c>
      <c r="F3277" s="367">
        <v>45932.58333333333</v>
      </c>
      <c r="G3277" s="364" t="s">
        <v>1185</v>
      </c>
      <c r="H3277" s="364" t="s">
        <v>1212</v>
      </c>
    </row>
    <row r="3278" ht="15.75" customHeight="1">
      <c r="A3278" s="364" t="s">
        <v>77</v>
      </c>
      <c r="B3278" s="364" t="s">
        <v>23</v>
      </c>
      <c r="C3278" s="365" t="s">
        <v>743</v>
      </c>
      <c r="D3278" s="364" t="s">
        <v>744</v>
      </c>
      <c r="E3278" s="366">
        <v>7.0</v>
      </c>
      <c r="F3278" s="367">
        <v>45946.58333333333</v>
      </c>
      <c r="G3278" s="364" t="s">
        <v>1185</v>
      </c>
      <c r="H3278" s="364" t="s">
        <v>1212</v>
      </c>
    </row>
    <row r="3279" ht="15.75" customHeight="1">
      <c r="A3279" s="364" t="s">
        <v>77</v>
      </c>
      <c r="B3279" s="364" t="s">
        <v>23</v>
      </c>
      <c r="C3279" s="365" t="s">
        <v>743</v>
      </c>
      <c r="D3279" s="364" t="s">
        <v>744</v>
      </c>
      <c r="E3279" s="366">
        <v>8.0</v>
      </c>
      <c r="F3279" s="367">
        <v>45953.58333333333</v>
      </c>
      <c r="G3279" s="364" t="s">
        <v>1185</v>
      </c>
      <c r="H3279" s="364" t="s">
        <v>1212</v>
      </c>
    </row>
    <row r="3280" ht="15.75" customHeight="1">
      <c r="A3280" s="364" t="s">
        <v>77</v>
      </c>
      <c r="B3280" s="364" t="s">
        <v>23</v>
      </c>
      <c r="C3280" s="365" t="s">
        <v>743</v>
      </c>
      <c r="D3280" s="364" t="s">
        <v>744</v>
      </c>
      <c r="E3280" s="366">
        <v>9.0</v>
      </c>
      <c r="F3280" s="367">
        <v>45960.58333333333</v>
      </c>
      <c r="G3280" s="364" t="s">
        <v>1185</v>
      </c>
      <c r="H3280" s="364" t="s">
        <v>1212</v>
      </c>
    </row>
    <row r="3281" ht="15.75" customHeight="1">
      <c r="A3281" s="364" t="s">
        <v>77</v>
      </c>
      <c r="B3281" s="364" t="s">
        <v>23</v>
      </c>
      <c r="C3281" s="365" t="s">
        <v>743</v>
      </c>
      <c r="D3281" s="364" t="s">
        <v>744</v>
      </c>
      <c r="E3281" s="366">
        <v>10.0</v>
      </c>
      <c r="F3281" s="367">
        <v>45966.58333333333</v>
      </c>
      <c r="G3281" s="364" t="s">
        <v>1185</v>
      </c>
      <c r="H3281" s="364" t="s">
        <v>1212</v>
      </c>
    </row>
    <row r="3282" ht="15.75" customHeight="1">
      <c r="A3282" s="364" t="s">
        <v>77</v>
      </c>
      <c r="B3282" s="364" t="s">
        <v>23</v>
      </c>
      <c r="C3282" s="365" t="s">
        <v>743</v>
      </c>
      <c r="D3282" s="364" t="s">
        <v>744</v>
      </c>
      <c r="E3282" s="366">
        <v>11.0</v>
      </c>
      <c r="F3282" s="367">
        <v>45982.58333333333</v>
      </c>
      <c r="G3282" s="364" t="s">
        <v>1185</v>
      </c>
      <c r="H3282" s="364" t="s">
        <v>1212</v>
      </c>
    </row>
    <row r="3283" ht="15.75" customHeight="1">
      <c r="A3283" s="364" t="s">
        <v>77</v>
      </c>
      <c r="B3283" s="364" t="s">
        <v>23</v>
      </c>
      <c r="C3283" s="365" t="s">
        <v>743</v>
      </c>
      <c r="D3283" s="364" t="s">
        <v>744</v>
      </c>
      <c r="E3283" s="366">
        <v>12.0</v>
      </c>
      <c r="F3283" s="367">
        <v>45988.58333333333</v>
      </c>
      <c r="G3283" s="364" t="s">
        <v>1185</v>
      </c>
      <c r="H3283" s="364" t="s">
        <v>1212</v>
      </c>
    </row>
    <row r="3284" ht="15.75" customHeight="1">
      <c r="A3284" s="364" t="s">
        <v>77</v>
      </c>
      <c r="B3284" s="364" t="s">
        <v>23</v>
      </c>
      <c r="C3284" s="365" t="s">
        <v>743</v>
      </c>
      <c r="D3284" s="364" t="s">
        <v>744</v>
      </c>
      <c r="E3284" s="366">
        <v>13.0</v>
      </c>
      <c r="F3284" s="367">
        <v>45995.58333333333</v>
      </c>
      <c r="G3284" s="364" t="s">
        <v>1185</v>
      </c>
      <c r="H3284" s="364" t="s">
        <v>1212</v>
      </c>
    </row>
    <row r="3285" ht="15.75" customHeight="1">
      <c r="A3285" s="364" t="s">
        <v>77</v>
      </c>
      <c r="B3285" s="364" t="s">
        <v>23</v>
      </c>
      <c r="C3285" s="365" t="s">
        <v>743</v>
      </c>
      <c r="D3285" s="364" t="s">
        <v>744</v>
      </c>
      <c r="E3285" s="366">
        <v>14.0</v>
      </c>
      <c r="F3285" s="367">
        <v>45999.45833333333</v>
      </c>
      <c r="G3285" s="364" t="s">
        <v>1187</v>
      </c>
      <c r="H3285" s="364" t="s">
        <v>1212</v>
      </c>
    </row>
    <row r="3286" ht="15.75" customHeight="1">
      <c r="A3286" s="364" t="s">
        <v>77</v>
      </c>
      <c r="B3286" s="364" t="s">
        <v>23</v>
      </c>
      <c r="C3286" s="365" t="s">
        <v>743</v>
      </c>
      <c r="D3286" s="364" t="s">
        <v>744</v>
      </c>
      <c r="E3286" s="366">
        <v>15.0</v>
      </c>
      <c r="F3286" s="367">
        <v>46014.625</v>
      </c>
      <c r="G3286" s="364" t="s">
        <v>1185</v>
      </c>
      <c r="H3286" s="364" t="s">
        <v>1212</v>
      </c>
    </row>
    <row r="3287" ht="15.75" customHeight="1">
      <c r="A3287" s="364" t="s">
        <v>77</v>
      </c>
      <c r="B3287" s="364" t="s">
        <v>23</v>
      </c>
      <c r="C3287" s="365" t="s">
        <v>743</v>
      </c>
      <c r="D3287" s="364" t="s">
        <v>744</v>
      </c>
      <c r="E3287" s="366">
        <v>16.0</v>
      </c>
      <c r="F3287" s="367">
        <v>46044.54166666667</v>
      </c>
      <c r="G3287" s="364" t="s">
        <v>1185</v>
      </c>
      <c r="H3287" s="364" t="s">
        <v>1212</v>
      </c>
    </row>
    <row r="3288" ht="15.75" customHeight="1">
      <c r="A3288" s="364" t="s">
        <v>77</v>
      </c>
      <c r="B3288" s="364" t="s">
        <v>23</v>
      </c>
      <c r="C3288" s="365" t="s">
        <v>745</v>
      </c>
      <c r="D3288" s="364" t="s">
        <v>746</v>
      </c>
      <c r="E3288" s="366">
        <v>1.0</v>
      </c>
      <c r="F3288" s="367">
        <v>45890.54166666667</v>
      </c>
      <c r="G3288" s="364" t="s">
        <v>1185</v>
      </c>
      <c r="H3288" s="364" t="s">
        <v>1212</v>
      </c>
    </row>
    <row r="3289" ht="15.75" customHeight="1">
      <c r="A3289" s="364" t="s">
        <v>77</v>
      </c>
      <c r="B3289" s="364" t="s">
        <v>23</v>
      </c>
      <c r="C3289" s="365" t="s">
        <v>745</v>
      </c>
      <c r="D3289" s="364" t="s">
        <v>746</v>
      </c>
      <c r="E3289" s="366">
        <v>2.0</v>
      </c>
      <c r="F3289" s="367">
        <v>45897.58333333333</v>
      </c>
      <c r="G3289" s="364" t="s">
        <v>1185</v>
      </c>
      <c r="H3289" s="364" t="s">
        <v>1212</v>
      </c>
    </row>
    <row r="3290" ht="15.75" customHeight="1">
      <c r="A3290" s="364" t="s">
        <v>77</v>
      </c>
      <c r="B3290" s="364" t="s">
        <v>23</v>
      </c>
      <c r="C3290" s="365" t="s">
        <v>745</v>
      </c>
      <c r="D3290" s="364" t="s">
        <v>746</v>
      </c>
      <c r="E3290" s="366">
        <v>3.0</v>
      </c>
      <c r="F3290" s="367">
        <v>45911.58333333333</v>
      </c>
      <c r="G3290" s="364" t="s">
        <v>1187</v>
      </c>
      <c r="H3290" s="364" t="s">
        <v>1212</v>
      </c>
    </row>
    <row r="3291" ht="15.75" customHeight="1">
      <c r="A3291" s="364" t="s">
        <v>77</v>
      </c>
      <c r="B3291" s="364" t="s">
        <v>23</v>
      </c>
      <c r="C3291" s="365" t="s">
        <v>745</v>
      </c>
      <c r="D3291" s="364" t="s">
        <v>746</v>
      </c>
      <c r="E3291" s="366">
        <v>4.0</v>
      </c>
      <c r="F3291" s="367">
        <v>45918.58333333333</v>
      </c>
      <c r="G3291" s="364" t="s">
        <v>1185</v>
      </c>
      <c r="H3291" s="364" t="s">
        <v>1212</v>
      </c>
    </row>
    <row r="3292" ht="15.75" customHeight="1">
      <c r="A3292" s="364" t="s">
        <v>77</v>
      </c>
      <c r="B3292" s="364" t="s">
        <v>23</v>
      </c>
      <c r="C3292" s="365" t="s">
        <v>745</v>
      </c>
      <c r="D3292" s="364" t="s">
        <v>746</v>
      </c>
      <c r="E3292" s="366">
        <v>5.0</v>
      </c>
      <c r="F3292" s="367">
        <v>45925.58333333333</v>
      </c>
      <c r="G3292" s="364" t="s">
        <v>1185</v>
      </c>
      <c r="H3292" s="364" t="s">
        <v>1212</v>
      </c>
    </row>
    <row r="3293" ht="15.75" customHeight="1">
      <c r="A3293" s="364" t="s">
        <v>77</v>
      </c>
      <c r="B3293" s="364" t="s">
        <v>23</v>
      </c>
      <c r="C3293" s="365" t="s">
        <v>745</v>
      </c>
      <c r="D3293" s="364" t="s">
        <v>746</v>
      </c>
      <c r="E3293" s="366">
        <v>6.0</v>
      </c>
      <c r="F3293" s="367">
        <v>45932.58333333333</v>
      </c>
      <c r="G3293" s="364" t="s">
        <v>1185</v>
      </c>
      <c r="H3293" s="364" t="s">
        <v>1212</v>
      </c>
    </row>
    <row r="3294" ht="15.75" customHeight="1">
      <c r="A3294" s="364" t="s">
        <v>77</v>
      </c>
      <c r="B3294" s="364" t="s">
        <v>23</v>
      </c>
      <c r="C3294" s="365" t="s">
        <v>745</v>
      </c>
      <c r="D3294" s="364" t="s">
        <v>746</v>
      </c>
      <c r="E3294" s="366">
        <v>7.0</v>
      </c>
      <c r="F3294" s="367">
        <v>45946.58333333333</v>
      </c>
      <c r="G3294" s="364" t="s">
        <v>1185</v>
      </c>
      <c r="H3294" s="364" t="s">
        <v>1212</v>
      </c>
    </row>
    <row r="3295" ht="15.75" customHeight="1">
      <c r="A3295" s="364" t="s">
        <v>77</v>
      </c>
      <c r="B3295" s="364" t="s">
        <v>23</v>
      </c>
      <c r="C3295" s="365" t="s">
        <v>745</v>
      </c>
      <c r="D3295" s="364" t="s">
        <v>746</v>
      </c>
      <c r="E3295" s="366">
        <v>8.0</v>
      </c>
      <c r="F3295" s="367">
        <v>45953.58333333333</v>
      </c>
      <c r="G3295" s="364" t="s">
        <v>1185</v>
      </c>
      <c r="H3295" s="364" t="s">
        <v>1212</v>
      </c>
    </row>
    <row r="3296" ht="15.75" customHeight="1">
      <c r="A3296" s="364" t="s">
        <v>77</v>
      </c>
      <c r="B3296" s="364" t="s">
        <v>23</v>
      </c>
      <c r="C3296" s="365" t="s">
        <v>745</v>
      </c>
      <c r="D3296" s="364" t="s">
        <v>746</v>
      </c>
      <c r="E3296" s="366">
        <v>9.0</v>
      </c>
      <c r="F3296" s="367">
        <v>45960.58333333333</v>
      </c>
      <c r="G3296" s="364" t="s">
        <v>1185</v>
      </c>
      <c r="H3296" s="364" t="s">
        <v>1212</v>
      </c>
    </row>
    <row r="3297" ht="15.75" customHeight="1">
      <c r="A3297" s="364" t="s">
        <v>77</v>
      </c>
      <c r="B3297" s="364" t="s">
        <v>23</v>
      </c>
      <c r="C3297" s="365" t="s">
        <v>745</v>
      </c>
      <c r="D3297" s="364" t="s">
        <v>746</v>
      </c>
      <c r="E3297" s="366">
        <v>10.0</v>
      </c>
      <c r="F3297" s="367">
        <v>45966.58333333333</v>
      </c>
      <c r="G3297" s="364" t="s">
        <v>1185</v>
      </c>
      <c r="H3297" s="364" t="s">
        <v>1212</v>
      </c>
    </row>
    <row r="3298" ht="15.75" customHeight="1">
      <c r="A3298" s="364" t="s">
        <v>77</v>
      </c>
      <c r="B3298" s="364" t="s">
        <v>23</v>
      </c>
      <c r="C3298" s="365" t="s">
        <v>745</v>
      </c>
      <c r="D3298" s="364" t="s">
        <v>746</v>
      </c>
      <c r="E3298" s="366">
        <v>11.0</v>
      </c>
      <c r="F3298" s="367">
        <v>45982.58333333333</v>
      </c>
      <c r="G3298" s="364" t="s">
        <v>1185</v>
      </c>
      <c r="H3298" s="364" t="s">
        <v>1212</v>
      </c>
    </row>
    <row r="3299" ht="15.75" customHeight="1">
      <c r="A3299" s="364" t="s">
        <v>77</v>
      </c>
      <c r="B3299" s="364" t="s">
        <v>23</v>
      </c>
      <c r="C3299" s="365" t="s">
        <v>745</v>
      </c>
      <c r="D3299" s="364" t="s">
        <v>746</v>
      </c>
      <c r="E3299" s="366">
        <v>12.0</v>
      </c>
      <c r="F3299" s="367">
        <v>45988.58333333333</v>
      </c>
      <c r="G3299" s="364" t="s">
        <v>1185</v>
      </c>
      <c r="H3299" s="364" t="s">
        <v>1212</v>
      </c>
    </row>
    <row r="3300" ht="15.75" customHeight="1">
      <c r="A3300" s="364" t="s">
        <v>77</v>
      </c>
      <c r="B3300" s="364" t="s">
        <v>23</v>
      </c>
      <c r="C3300" s="365" t="s">
        <v>745</v>
      </c>
      <c r="D3300" s="364" t="s">
        <v>746</v>
      </c>
      <c r="E3300" s="366">
        <v>13.0</v>
      </c>
      <c r="F3300" s="367">
        <v>45995.58333333333</v>
      </c>
      <c r="G3300" s="364" t="s">
        <v>1185</v>
      </c>
      <c r="H3300" s="364" t="s">
        <v>1212</v>
      </c>
    </row>
    <row r="3301" ht="15.75" customHeight="1">
      <c r="A3301" s="364" t="s">
        <v>77</v>
      </c>
      <c r="B3301" s="364" t="s">
        <v>23</v>
      </c>
      <c r="C3301" s="365" t="s">
        <v>745</v>
      </c>
      <c r="D3301" s="364" t="s">
        <v>746</v>
      </c>
      <c r="E3301" s="366">
        <v>14.0</v>
      </c>
      <c r="F3301" s="367">
        <v>45999.45833333333</v>
      </c>
      <c r="G3301" s="364" t="s">
        <v>1185</v>
      </c>
      <c r="H3301" s="364" t="s">
        <v>1212</v>
      </c>
    </row>
    <row r="3302" ht="15.75" customHeight="1">
      <c r="A3302" s="364" t="s">
        <v>77</v>
      </c>
      <c r="B3302" s="364" t="s">
        <v>23</v>
      </c>
      <c r="C3302" s="365" t="s">
        <v>745</v>
      </c>
      <c r="D3302" s="364" t="s">
        <v>746</v>
      </c>
      <c r="E3302" s="366">
        <v>15.0</v>
      </c>
      <c r="F3302" s="367">
        <v>46014.625</v>
      </c>
      <c r="G3302" s="364" t="s">
        <v>1185</v>
      </c>
      <c r="H3302" s="364" t="s">
        <v>1212</v>
      </c>
    </row>
    <row r="3303" ht="15.75" customHeight="1">
      <c r="A3303" s="364" t="s">
        <v>77</v>
      </c>
      <c r="B3303" s="364" t="s">
        <v>23</v>
      </c>
      <c r="C3303" s="365" t="s">
        <v>745</v>
      </c>
      <c r="D3303" s="364" t="s">
        <v>746</v>
      </c>
      <c r="E3303" s="366">
        <v>16.0</v>
      </c>
      <c r="F3303" s="367">
        <v>46044.54166666667</v>
      </c>
      <c r="G3303" s="364" t="s">
        <v>1185</v>
      </c>
      <c r="H3303" s="364" t="s">
        <v>1212</v>
      </c>
    </row>
    <row r="3304" ht="15.75" customHeight="1">
      <c r="A3304" s="364" t="s">
        <v>77</v>
      </c>
      <c r="B3304" s="364" t="s">
        <v>23</v>
      </c>
      <c r="C3304" s="365" t="s">
        <v>747</v>
      </c>
      <c r="D3304" s="364" t="s">
        <v>283</v>
      </c>
      <c r="E3304" s="366">
        <v>1.0</v>
      </c>
      <c r="F3304" s="367">
        <v>45890.54166666667</v>
      </c>
      <c r="G3304" s="364" t="s">
        <v>1185</v>
      </c>
      <c r="H3304" s="364" t="s">
        <v>1212</v>
      </c>
    </row>
    <row r="3305" ht="15.75" customHeight="1">
      <c r="A3305" s="364" t="s">
        <v>77</v>
      </c>
      <c r="B3305" s="364" t="s">
        <v>23</v>
      </c>
      <c r="C3305" s="365" t="s">
        <v>747</v>
      </c>
      <c r="D3305" s="364" t="s">
        <v>283</v>
      </c>
      <c r="E3305" s="366">
        <v>2.0</v>
      </c>
      <c r="F3305" s="367">
        <v>45897.58333333333</v>
      </c>
      <c r="G3305" s="364" t="s">
        <v>1185</v>
      </c>
      <c r="H3305" s="364" t="s">
        <v>1212</v>
      </c>
    </row>
    <row r="3306" ht="15.75" customHeight="1">
      <c r="A3306" s="364" t="s">
        <v>77</v>
      </c>
      <c r="B3306" s="364" t="s">
        <v>23</v>
      </c>
      <c r="C3306" s="365" t="s">
        <v>747</v>
      </c>
      <c r="D3306" s="364" t="s">
        <v>283</v>
      </c>
      <c r="E3306" s="366">
        <v>3.0</v>
      </c>
      <c r="F3306" s="367">
        <v>45911.58333333333</v>
      </c>
      <c r="G3306" s="364" t="s">
        <v>1185</v>
      </c>
      <c r="H3306" s="364" t="s">
        <v>1212</v>
      </c>
    </row>
    <row r="3307" ht="15.75" customHeight="1">
      <c r="A3307" s="364" t="s">
        <v>77</v>
      </c>
      <c r="B3307" s="364" t="s">
        <v>23</v>
      </c>
      <c r="C3307" s="365" t="s">
        <v>747</v>
      </c>
      <c r="D3307" s="364" t="s">
        <v>283</v>
      </c>
      <c r="E3307" s="366">
        <v>4.0</v>
      </c>
      <c r="F3307" s="367">
        <v>45918.58333333333</v>
      </c>
      <c r="G3307" s="364" t="s">
        <v>1185</v>
      </c>
      <c r="H3307" s="364" t="s">
        <v>1212</v>
      </c>
    </row>
    <row r="3308" ht="15.75" customHeight="1">
      <c r="A3308" s="364" t="s">
        <v>77</v>
      </c>
      <c r="B3308" s="364" t="s">
        <v>23</v>
      </c>
      <c r="C3308" s="365" t="s">
        <v>747</v>
      </c>
      <c r="D3308" s="364" t="s">
        <v>283</v>
      </c>
      <c r="E3308" s="366">
        <v>5.0</v>
      </c>
      <c r="F3308" s="367">
        <v>45925.58333333333</v>
      </c>
      <c r="G3308" s="364" t="s">
        <v>1185</v>
      </c>
      <c r="H3308" s="364" t="s">
        <v>1212</v>
      </c>
    </row>
    <row r="3309" ht="15.75" customHeight="1">
      <c r="A3309" s="364" t="s">
        <v>77</v>
      </c>
      <c r="B3309" s="364" t="s">
        <v>23</v>
      </c>
      <c r="C3309" s="365" t="s">
        <v>747</v>
      </c>
      <c r="D3309" s="364" t="s">
        <v>283</v>
      </c>
      <c r="E3309" s="366">
        <v>6.0</v>
      </c>
      <c r="F3309" s="367">
        <v>45932.58333333333</v>
      </c>
      <c r="G3309" s="364" t="s">
        <v>1185</v>
      </c>
      <c r="H3309" s="364" t="s">
        <v>1212</v>
      </c>
    </row>
    <row r="3310" ht="15.75" customHeight="1">
      <c r="A3310" s="364" t="s">
        <v>77</v>
      </c>
      <c r="B3310" s="364" t="s">
        <v>23</v>
      </c>
      <c r="C3310" s="365" t="s">
        <v>747</v>
      </c>
      <c r="D3310" s="364" t="s">
        <v>283</v>
      </c>
      <c r="E3310" s="366">
        <v>7.0</v>
      </c>
      <c r="F3310" s="367">
        <v>45946.58333333333</v>
      </c>
      <c r="G3310" s="364" t="s">
        <v>1185</v>
      </c>
      <c r="H3310" s="364" t="s">
        <v>1212</v>
      </c>
    </row>
    <row r="3311" ht="15.75" customHeight="1">
      <c r="A3311" s="364" t="s">
        <v>77</v>
      </c>
      <c r="B3311" s="364" t="s">
        <v>23</v>
      </c>
      <c r="C3311" s="365" t="s">
        <v>747</v>
      </c>
      <c r="D3311" s="364" t="s">
        <v>283</v>
      </c>
      <c r="E3311" s="366">
        <v>8.0</v>
      </c>
      <c r="F3311" s="367">
        <v>45953.58333333333</v>
      </c>
      <c r="G3311" s="364" t="s">
        <v>1187</v>
      </c>
      <c r="H3311" s="364" t="s">
        <v>1212</v>
      </c>
    </row>
    <row r="3312" ht="15.75" customHeight="1">
      <c r="A3312" s="364" t="s">
        <v>77</v>
      </c>
      <c r="B3312" s="364" t="s">
        <v>23</v>
      </c>
      <c r="C3312" s="365" t="s">
        <v>747</v>
      </c>
      <c r="D3312" s="364" t="s">
        <v>283</v>
      </c>
      <c r="E3312" s="366">
        <v>9.0</v>
      </c>
      <c r="F3312" s="367">
        <v>45960.58333333333</v>
      </c>
      <c r="G3312" s="364" t="s">
        <v>1187</v>
      </c>
      <c r="H3312" s="364" t="s">
        <v>1212</v>
      </c>
    </row>
    <row r="3313" ht="15.75" customHeight="1">
      <c r="A3313" s="364" t="s">
        <v>77</v>
      </c>
      <c r="B3313" s="364" t="s">
        <v>23</v>
      </c>
      <c r="C3313" s="365" t="s">
        <v>747</v>
      </c>
      <c r="D3313" s="364" t="s">
        <v>283</v>
      </c>
      <c r="E3313" s="366">
        <v>10.0</v>
      </c>
      <c r="F3313" s="367">
        <v>45966.58333333333</v>
      </c>
      <c r="G3313" s="364" t="s">
        <v>1185</v>
      </c>
      <c r="H3313" s="364" t="s">
        <v>1212</v>
      </c>
    </row>
    <row r="3314" ht="15.75" customHeight="1">
      <c r="A3314" s="364" t="s">
        <v>77</v>
      </c>
      <c r="B3314" s="364" t="s">
        <v>23</v>
      </c>
      <c r="C3314" s="365" t="s">
        <v>747</v>
      </c>
      <c r="D3314" s="364" t="s">
        <v>283</v>
      </c>
      <c r="E3314" s="366">
        <v>11.0</v>
      </c>
      <c r="F3314" s="367">
        <v>45982.58333333333</v>
      </c>
      <c r="G3314" s="364" t="s">
        <v>1185</v>
      </c>
      <c r="H3314" s="364" t="s">
        <v>1212</v>
      </c>
    </row>
    <row r="3315" ht="15.75" customHeight="1">
      <c r="A3315" s="364" t="s">
        <v>77</v>
      </c>
      <c r="B3315" s="364" t="s">
        <v>23</v>
      </c>
      <c r="C3315" s="365" t="s">
        <v>747</v>
      </c>
      <c r="D3315" s="364" t="s">
        <v>283</v>
      </c>
      <c r="E3315" s="366">
        <v>12.0</v>
      </c>
      <c r="F3315" s="367">
        <v>45988.58333333333</v>
      </c>
      <c r="G3315" s="364" t="s">
        <v>1187</v>
      </c>
      <c r="H3315" s="364" t="s">
        <v>1212</v>
      </c>
    </row>
    <row r="3316" ht="15.75" customHeight="1">
      <c r="A3316" s="364" t="s">
        <v>77</v>
      </c>
      <c r="B3316" s="364" t="s">
        <v>23</v>
      </c>
      <c r="C3316" s="365" t="s">
        <v>747</v>
      </c>
      <c r="D3316" s="364" t="s">
        <v>283</v>
      </c>
      <c r="E3316" s="366">
        <v>13.0</v>
      </c>
      <c r="F3316" s="367">
        <v>45995.58333333333</v>
      </c>
      <c r="G3316" s="364" t="s">
        <v>1185</v>
      </c>
      <c r="H3316" s="364" t="s">
        <v>1212</v>
      </c>
    </row>
    <row r="3317" ht="15.75" customHeight="1">
      <c r="A3317" s="364" t="s">
        <v>77</v>
      </c>
      <c r="B3317" s="364" t="s">
        <v>23</v>
      </c>
      <c r="C3317" s="365" t="s">
        <v>747</v>
      </c>
      <c r="D3317" s="364" t="s">
        <v>283</v>
      </c>
      <c r="E3317" s="366">
        <v>14.0</v>
      </c>
      <c r="F3317" s="367">
        <v>45999.45833333333</v>
      </c>
      <c r="G3317" s="364" t="s">
        <v>1185</v>
      </c>
      <c r="H3317" s="364" t="s">
        <v>1212</v>
      </c>
    </row>
    <row r="3318" ht="15.75" customHeight="1">
      <c r="A3318" s="364" t="s">
        <v>77</v>
      </c>
      <c r="B3318" s="364" t="s">
        <v>23</v>
      </c>
      <c r="C3318" s="365" t="s">
        <v>747</v>
      </c>
      <c r="D3318" s="364" t="s">
        <v>283</v>
      </c>
      <c r="E3318" s="366">
        <v>15.0</v>
      </c>
      <c r="F3318" s="367">
        <v>46014.625</v>
      </c>
      <c r="G3318" s="364" t="s">
        <v>1185</v>
      </c>
      <c r="H3318" s="364" t="s">
        <v>1212</v>
      </c>
    </row>
    <row r="3319" ht="15.75" customHeight="1">
      <c r="A3319" s="364" t="s">
        <v>77</v>
      </c>
      <c r="B3319" s="364" t="s">
        <v>23</v>
      </c>
      <c r="C3319" s="365" t="s">
        <v>747</v>
      </c>
      <c r="D3319" s="364" t="s">
        <v>283</v>
      </c>
      <c r="E3319" s="366">
        <v>16.0</v>
      </c>
      <c r="F3319" s="367">
        <v>46044.54166666667</v>
      </c>
      <c r="G3319" s="364" t="s">
        <v>1185</v>
      </c>
      <c r="H3319" s="364" t="s">
        <v>1212</v>
      </c>
    </row>
    <row r="3320" ht="15.75" customHeight="1">
      <c r="A3320" s="364" t="s">
        <v>77</v>
      </c>
      <c r="B3320" s="364" t="s">
        <v>23</v>
      </c>
      <c r="C3320" s="365" t="s">
        <v>748</v>
      </c>
      <c r="D3320" s="364" t="s">
        <v>749</v>
      </c>
      <c r="E3320" s="366">
        <v>1.0</v>
      </c>
      <c r="F3320" s="367">
        <v>45890.54166666667</v>
      </c>
      <c r="G3320" s="364" t="s">
        <v>1185</v>
      </c>
      <c r="H3320" s="364" t="s">
        <v>1212</v>
      </c>
    </row>
    <row r="3321" ht="15.75" customHeight="1">
      <c r="A3321" s="364" t="s">
        <v>77</v>
      </c>
      <c r="B3321" s="364" t="s">
        <v>23</v>
      </c>
      <c r="C3321" s="365" t="s">
        <v>748</v>
      </c>
      <c r="D3321" s="364" t="s">
        <v>749</v>
      </c>
      <c r="E3321" s="366">
        <v>2.0</v>
      </c>
      <c r="F3321" s="367">
        <v>45897.58333333333</v>
      </c>
      <c r="G3321" s="364" t="s">
        <v>1185</v>
      </c>
      <c r="H3321" s="364" t="s">
        <v>1212</v>
      </c>
    </row>
    <row r="3322" ht="15.75" customHeight="1">
      <c r="A3322" s="364" t="s">
        <v>77</v>
      </c>
      <c r="B3322" s="364" t="s">
        <v>23</v>
      </c>
      <c r="C3322" s="365" t="s">
        <v>748</v>
      </c>
      <c r="D3322" s="364" t="s">
        <v>749</v>
      </c>
      <c r="E3322" s="366">
        <v>3.0</v>
      </c>
      <c r="F3322" s="367">
        <v>45911.58333333333</v>
      </c>
      <c r="G3322" s="364" t="s">
        <v>1187</v>
      </c>
      <c r="H3322" s="364" t="s">
        <v>1212</v>
      </c>
    </row>
    <row r="3323" ht="15.75" customHeight="1">
      <c r="A3323" s="364" t="s">
        <v>77</v>
      </c>
      <c r="B3323" s="364" t="s">
        <v>23</v>
      </c>
      <c r="C3323" s="365" t="s">
        <v>748</v>
      </c>
      <c r="D3323" s="364" t="s">
        <v>749</v>
      </c>
      <c r="E3323" s="366">
        <v>4.0</v>
      </c>
      <c r="F3323" s="367">
        <v>45918.58333333333</v>
      </c>
      <c r="G3323" s="364" t="s">
        <v>1185</v>
      </c>
      <c r="H3323" s="364" t="s">
        <v>1212</v>
      </c>
    </row>
    <row r="3324" ht="15.75" customHeight="1">
      <c r="A3324" s="364" t="s">
        <v>77</v>
      </c>
      <c r="B3324" s="364" t="s">
        <v>23</v>
      </c>
      <c r="C3324" s="365" t="s">
        <v>748</v>
      </c>
      <c r="D3324" s="364" t="s">
        <v>749</v>
      </c>
      <c r="E3324" s="366">
        <v>5.0</v>
      </c>
      <c r="F3324" s="367">
        <v>45925.58333333333</v>
      </c>
      <c r="G3324" s="364" t="s">
        <v>1185</v>
      </c>
      <c r="H3324" s="364" t="s">
        <v>1212</v>
      </c>
    </row>
    <row r="3325" ht="15.75" customHeight="1">
      <c r="A3325" s="364" t="s">
        <v>77</v>
      </c>
      <c r="B3325" s="364" t="s">
        <v>23</v>
      </c>
      <c r="C3325" s="365" t="s">
        <v>748</v>
      </c>
      <c r="D3325" s="364" t="s">
        <v>749</v>
      </c>
      <c r="E3325" s="366">
        <v>6.0</v>
      </c>
      <c r="F3325" s="367">
        <v>45932.58333333333</v>
      </c>
      <c r="G3325" s="364" t="s">
        <v>1185</v>
      </c>
      <c r="H3325" s="364" t="s">
        <v>1212</v>
      </c>
    </row>
    <row r="3326" ht="15.75" customHeight="1">
      <c r="A3326" s="364" t="s">
        <v>77</v>
      </c>
      <c r="B3326" s="364" t="s">
        <v>23</v>
      </c>
      <c r="C3326" s="365" t="s">
        <v>748</v>
      </c>
      <c r="D3326" s="364" t="s">
        <v>749</v>
      </c>
      <c r="E3326" s="366">
        <v>7.0</v>
      </c>
      <c r="F3326" s="367">
        <v>45946.58333333333</v>
      </c>
      <c r="G3326" s="364" t="s">
        <v>1185</v>
      </c>
      <c r="H3326" s="364" t="s">
        <v>1212</v>
      </c>
    </row>
    <row r="3327" ht="15.75" customHeight="1">
      <c r="A3327" s="364" t="s">
        <v>77</v>
      </c>
      <c r="B3327" s="364" t="s">
        <v>23</v>
      </c>
      <c r="C3327" s="365" t="s">
        <v>748</v>
      </c>
      <c r="D3327" s="364" t="s">
        <v>749</v>
      </c>
      <c r="E3327" s="366">
        <v>8.0</v>
      </c>
      <c r="F3327" s="367">
        <v>45953.58333333333</v>
      </c>
      <c r="G3327" s="364" t="s">
        <v>1185</v>
      </c>
      <c r="H3327" s="364" t="s">
        <v>1212</v>
      </c>
    </row>
    <row r="3328" ht="15.75" customHeight="1">
      <c r="A3328" s="364" t="s">
        <v>77</v>
      </c>
      <c r="B3328" s="364" t="s">
        <v>23</v>
      </c>
      <c r="C3328" s="365" t="s">
        <v>748</v>
      </c>
      <c r="D3328" s="364" t="s">
        <v>749</v>
      </c>
      <c r="E3328" s="366">
        <v>9.0</v>
      </c>
      <c r="F3328" s="367">
        <v>45960.58333333333</v>
      </c>
      <c r="G3328" s="364" t="s">
        <v>1185</v>
      </c>
      <c r="H3328" s="364" t="s">
        <v>1212</v>
      </c>
    </row>
    <row r="3329" ht="15.75" customHeight="1">
      <c r="A3329" s="364" t="s">
        <v>77</v>
      </c>
      <c r="B3329" s="364" t="s">
        <v>23</v>
      </c>
      <c r="C3329" s="365" t="s">
        <v>748</v>
      </c>
      <c r="D3329" s="364" t="s">
        <v>749</v>
      </c>
      <c r="E3329" s="366">
        <v>10.0</v>
      </c>
      <c r="F3329" s="367">
        <v>45966.58333333333</v>
      </c>
      <c r="G3329" s="364" t="s">
        <v>1185</v>
      </c>
      <c r="H3329" s="364" t="s">
        <v>1212</v>
      </c>
    </row>
    <row r="3330" ht="15.75" customHeight="1">
      <c r="A3330" s="364" t="s">
        <v>77</v>
      </c>
      <c r="B3330" s="364" t="s">
        <v>23</v>
      </c>
      <c r="C3330" s="365" t="s">
        <v>748</v>
      </c>
      <c r="D3330" s="364" t="s">
        <v>749</v>
      </c>
      <c r="E3330" s="366">
        <v>11.0</v>
      </c>
      <c r="F3330" s="367">
        <v>45982.58333333333</v>
      </c>
      <c r="G3330" s="364" t="s">
        <v>1185</v>
      </c>
      <c r="H3330" s="364" t="s">
        <v>1212</v>
      </c>
    </row>
    <row r="3331" ht="15.75" customHeight="1">
      <c r="A3331" s="364" t="s">
        <v>77</v>
      </c>
      <c r="B3331" s="364" t="s">
        <v>23</v>
      </c>
      <c r="C3331" s="365" t="s">
        <v>748</v>
      </c>
      <c r="D3331" s="364" t="s">
        <v>749</v>
      </c>
      <c r="E3331" s="366">
        <v>12.0</v>
      </c>
      <c r="F3331" s="367">
        <v>45988.58333333333</v>
      </c>
      <c r="G3331" s="364" t="s">
        <v>1187</v>
      </c>
      <c r="H3331" s="364" t="s">
        <v>1212</v>
      </c>
    </row>
    <row r="3332" ht="15.75" customHeight="1">
      <c r="A3332" s="364" t="s">
        <v>77</v>
      </c>
      <c r="B3332" s="364" t="s">
        <v>23</v>
      </c>
      <c r="C3332" s="365" t="s">
        <v>748</v>
      </c>
      <c r="D3332" s="364" t="s">
        <v>749</v>
      </c>
      <c r="E3332" s="366">
        <v>13.0</v>
      </c>
      <c r="F3332" s="367">
        <v>45995.58333333333</v>
      </c>
      <c r="G3332" s="364" t="s">
        <v>1185</v>
      </c>
      <c r="H3332" s="364" t="s">
        <v>1212</v>
      </c>
    </row>
    <row r="3333" ht="15.75" customHeight="1">
      <c r="A3333" s="364" t="s">
        <v>77</v>
      </c>
      <c r="B3333" s="364" t="s">
        <v>23</v>
      </c>
      <c r="C3333" s="365" t="s">
        <v>748</v>
      </c>
      <c r="D3333" s="364" t="s">
        <v>749</v>
      </c>
      <c r="E3333" s="366">
        <v>14.0</v>
      </c>
      <c r="F3333" s="367">
        <v>45999.45833333333</v>
      </c>
      <c r="G3333" s="364" t="s">
        <v>1185</v>
      </c>
      <c r="H3333" s="364" t="s">
        <v>1212</v>
      </c>
    </row>
    <row r="3334" ht="15.75" customHeight="1">
      <c r="A3334" s="364" t="s">
        <v>77</v>
      </c>
      <c r="B3334" s="364" t="s">
        <v>23</v>
      </c>
      <c r="C3334" s="365" t="s">
        <v>748</v>
      </c>
      <c r="D3334" s="364" t="s">
        <v>749</v>
      </c>
      <c r="E3334" s="366">
        <v>15.0</v>
      </c>
      <c r="F3334" s="367">
        <v>46014.625</v>
      </c>
      <c r="G3334" s="364" t="s">
        <v>1185</v>
      </c>
      <c r="H3334" s="364" t="s">
        <v>1212</v>
      </c>
    </row>
    <row r="3335" ht="15.75" customHeight="1">
      <c r="A3335" s="364" t="s">
        <v>77</v>
      </c>
      <c r="B3335" s="364" t="s">
        <v>23</v>
      </c>
      <c r="C3335" s="365" t="s">
        <v>748</v>
      </c>
      <c r="D3335" s="364" t="s">
        <v>749</v>
      </c>
      <c r="E3335" s="366">
        <v>16.0</v>
      </c>
      <c r="F3335" s="367">
        <v>46044.54166666667</v>
      </c>
      <c r="G3335" s="364" t="s">
        <v>1185</v>
      </c>
      <c r="H3335" s="364" t="s">
        <v>1212</v>
      </c>
    </row>
    <row r="3336" ht="15.75" customHeight="1">
      <c r="A3336" s="364" t="s">
        <v>77</v>
      </c>
      <c r="B3336" s="364" t="s">
        <v>23</v>
      </c>
      <c r="C3336" s="365" t="s">
        <v>750</v>
      </c>
      <c r="D3336" s="364" t="s">
        <v>751</v>
      </c>
      <c r="E3336" s="366">
        <v>1.0</v>
      </c>
      <c r="F3336" s="367">
        <v>45890.54166666667</v>
      </c>
      <c r="G3336" s="364" t="s">
        <v>1185</v>
      </c>
      <c r="H3336" s="364" t="s">
        <v>1212</v>
      </c>
    </row>
    <row r="3337" ht="15.75" customHeight="1">
      <c r="A3337" s="364" t="s">
        <v>77</v>
      </c>
      <c r="B3337" s="364" t="s">
        <v>23</v>
      </c>
      <c r="C3337" s="365" t="s">
        <v>750</v>
      </c>
      <c r="D3337" s="364" t="s">
        <v>751</v>
      </c>
      <c r="E3337" s="366">
        <v>2.0</v>
      </c>
      <c r="F3337" s="367">
        <v>45897.58333333333</v>
      </c>
      <c r="G3337" s="364" t="s">
        <v>1185</v>
      </c>
      <c r="H3337" s="364" t="s">
        <v>1212</v>
      </c>
    </row>
    <row r="3338" ht="15.75" customHeight="1">
      <c r="A3338" s="364" t="s">
        <v>77</v>
      </c>
      <c r="B3338" s="364" t="s">
        <v>23</v>
      </c>
      <c r="C3338" s="365" t="s">
        <v>750</v>
      </c>
      <c r="D3338" s="364" t="s">
        <v>751</v>
      </c>
      <c r="E3338" s="366">
        <v>3.0</v>
      </c>
      <c r="F3338" s="367">
        <v>45911.58333333333</v>
      </c>
      <c r="G3338" s="364" t="s">
        <v>1185</v>
      </c>
      <c r="H3338" s="364" t="s">
        <v>1212</v>
      </c>
    </row>
    <row r="3339" ht="15.75" customHeight="1">
      <c r="A3339" s="364" t="s">
        <v>77</v>
      </c>
      <c r="B3339" s="364" t="s">
        <v>23</v>
      </c>
      <c r="C3339" s="365" t="s">
        <v>750</v>
      </c>
      <c r="D3339" s="364" t="s">
        <v>751</v>
      </c>
      <c r="E3339" s="366">
        <v>4.0</v>
      </c>
      <c r="F3339" s="367">
        <v>45918.58333333333</v>
      </c>
      <c r="G3339" s="364" t="s">
        <v>1185</v>
      </c>
      <c r="H3339" s="364" t="s">
        <v>1212</v>
      </c>
    </row>
    <row r="3340" ht="15.75" customHeight="1">
      <c r="A3340" s="364" t="s">
        <v>77</v>
      </c>
      <c r="B3340" s="364" t="s">
        <v>23</v>
      </c>
      <c r="C3340" s="365" t="s">
        <v>750</v>
      </c>
      <c r="D3340" s="364" t="s">
        <v>751</v>
      </c>
      <c r="E3340" s="366">
        <v>5.0</v>
      </c>
      <c r="F3340" s="367">
        <v>45925.58333333333</v>
      </c>
      <c r="G3340" s="364" t="s">
        <v>1185</v>
      </c>
      <c r="H3340" s="364" t="s">
        <v>1212</v>
      </c>
    </row>
    <row r="3341" ht="15.75" customHeight="1">
      <c r="A3341" s="364" t="s">
        <v>77</v>
      </c>
      <c r="B3341" s="364" t="s">
        <v>23</v>
      </c>
      <c r="C3341" s="365" t="s">
        <v>750</v>
      </c>
      <c r="D3341" s="364" t="s">
        <v>751</v>
      </c>
      <c r="E3341" s="366">
        <v>6.0</v>
      </c>
      <c r="F3341" s="367">
        <v>45932.58333333333</v>
      </c>
      <c r="G3341" s="364" t="s">
        <v>1187</v>
      </c>
      <c r="H3341" s="364" t="s">
        <v>1212</v>
      </c>
    </row>
    <row r="3342" ht="15.75" customHeight="1">
      <c r="A3342" s="364" t="s">
        <v>77</v>
      </c>
      <c r="B3342" s="364" t="s">
        <v>23</v>
      </c>
      <c r="C3342" s="365" t="s">
        <v>750</v>
      </c>
      <c r="D3342" s="364" t="s">
        <v>751</v>
      </c>
      <c r="E3342" s="366">
        <v>7.0</v>
      </c>
      <c r="F3342" s="367">
        <v>45946.58333333333</v>
      </c>
      <c r="G3342" s="364" t="s">
        <v>1185</v>
      </c>
      <c r="H3342" s="364" t="s">
        <v>1212</v>
      </c>
    </row>
    <row r="3343" ht="15.75" customHeight="1">
      <c r="A3343" s="364" t="s">
        <v>77</v>
      </c>
      <c r="B3343" s="364" t="s">
        <v>23</v>
      </c>
      <c r="C3343" s="365" t="s">
        <v>750</v>
      </c>
      <c r="D3343" s="364" t="s">
        <v>751</v>
      </c>
      <c r="E3343" s="366">
        <v>8.0</v>
      </c>
      <c r="F3343" s="367">
        <v>45953.58333333333</v>
      </c>
      <c r="G3343" s="364" t="s">
        <v>1187</v>
      </c>
      <c r="H3343" s="364" t="s">
        <v>1212</v>
      </c>
    </row>
    <row r="3344" ht="15.75" customHeight="1">
      <c r="A3344" s="364" t="s">
        <v>77</v>
      </c>
      <c r="B3344" s="364" t="s">
        <v>23</v>
      </c>
      <c r="C3344" s="365" t="s">
        <v>750</v>
      </c>
      <c r="D3344" s="364" t="s">
        <v>751</v>
      </c>
      <c r="E3344" s="366">
        <v>9.0</v>
      </c>
      <c r="F3344" s="367">
        <v>45960.58333333333</v>
      </c>
      <c r="G3344" s="364" t="s">
        <v>1185</v>
      </c>
      <c r="H3344" s="364" t="s">
        <v>1212</v>
      </c>
    </row>
    <row r="3345" ht="15.75" customHeight="1">
      <c r="A3345" s="364" t="s">
        <v>77</v>
      </c>
      <c r="B3345" s="364" t="s">
        <v>23</v>
      </c>
      <c r="C3345" s="365" t="s">
        <v>750</v>
      </c>
      <c r="D3345" s="364" t="s">
        <v>751</v>
      </c>
      <c r="E3345" s="366">
        <v>10.0</v>
      </c>
      <c r="F3345" s="367">
        <v>45966.58333333333</v>
      </c>
      <c r="G3345" s="364" t="s">
        <v>1185</v>
      </c>
      <c r="H3345" s="364" t="s">
        <v>1212</v>
      </c>
    </row>
    <row r="3346" ht="15.75" customHeight="1">
      <c r="A3346" s="364" t="s">
        <v>77</v>
      </c>
      <c r="B3346" s="364" t="s">
        <v>23</v>
      </c>
      <c r="C3346" s="365" t="s">
        <v>750</v>
      </c>
      <c r="D3346" s="364" t="s">
        <v>751</v>
      </c>
      <c r="E3346" s="366">
        <v>11.0</v>
      </c>
      <c r="F3346" s="367">
        <v>45982.58333333333</v>
      </c>
      <c r="G3346" s="364" t="s">
        <v>1185</v>
      </c>
      <c r="H3346" s="364" t="s">
        <v>1212</v>
      </c>
    </row>
    <row r="3347" ht="15.75" customHeight="1">
      <c r="A3347" s="364" t="s">
        <v>77</v>
      </c>
      <c r="B3347" s="364" t="s">
        <v>23</v>
      </c>
      <c r="C3347" s="365" t="s">
        <v>750</v>
      </c>
      <c r="D3347" s="364" t="s">
        <v>751</v>
      </c>
      <c r="E3347" s="366">
        <v>12.0</v>
      </c>
      <c r="F3347" s="367">
        <v>45988.58333333333</v>
      </c>
      <c r="G3347" s="364" t="s">
        <v>1185</v>
      </c>
      <c r="H3347" s="364" t="s">
        <v>1212</v>
      </c>
    </row>
    <row r="3348" ht="15.75" customHeight="1">
      <c r="A3348" s="364" t="s">
        <v>77</v>
      </c>
      <c r="B3348" s="364" t="s">
        <v>23</v>
      </c>
      <c r="C3348" s="365" t="s">
        <v>750</v>
      </c>
      <c r="D3348" s="364" t="s">
        <v>751</v>
      </c>
      <c r="E3348" s="366">
        <v>13.0</v>
      </c>
      <c r="F3348" s="367">
        <v>45995.58333333333</v>
      </c>
      <c r="G3348" s="364" t="s">
        <v>1185</v>
      </c>
      <c r="H3348" s="364" t="s">
        <v>1212</v>
      </c>
    </row>
    <row r="3349" ht="15.75" customHeight="1">
      <c r="A3349" s="364" t="s">
        <v>77</v>
      </c>
      <c r="B3349" s="364" t="s">
        <v>23</v>
      </c>
      <c r="C3349" s="365" t="s">
        <v>750</v>
      </c>
      <c r="D3349" s="364" t="s">
        <v>751</v>
      </c>
      <c r="E3349" s="366">
        <v>14.0</v>
      </c>
      <c r="F3349" s="367">
        <v>45999.45833333333</v>
      </c>
      <c r="G3349" s="364" t="s">
        <v>1185</v>
      </c>
      <c r="H3349" s="364" t="s">
        <v>1212</v>
      </c>
    </row>
    <row r="3350" ht="15.75" customHeight="1">
      <c r="A3350" s="364" t="s">
        <v>77</v>
      </c>
      <c r="B3350" s="364" t="s">
        <v>23</v>
      </c>
      <c r="C3350" s="365" t="s">
        <v>750</v>
      </c>
      <c r="D3350" s="364" t="s">
        <v>751</v>
      </c>
      <c r="E3350" s="366">
        <v>15.0</v>
      </c>
      <c r="F3350" s="367">
        <v>46014.625</v>
      </c>
      <c r="G3350" s="364" t="s">
        <v>1185</v>
      </c>
      <c r="H3350" s="364" t="s">
        <v>1212</v>
      </c>
    </row>
    <row r="3351" ht="15.75" customHeight="1">
      <c r="A3351" s="364" t="s">
        <v>77</v>
      </c>
      <c r="B3351" s="364" t="s">
        <v>23</v>
      </c>
      <c r="C3351" s="365" t="s">
        <v>750</v>
      </c>
      <c r="D3351" s="364" t="s">
        <v>751</v>
      </c>
      <c r="E3351" s="366">
        <v>16.0</v>
      </c>
      <c r="F3351" s="367">
        <v>46044.54166666667</v>
      </c>
      <c r="G3351" s="364" t="s">
        <v>1185</v>
      </c>
      <c r="H3351" s="364" t="s">
        <v>1212</v>
      </c>
    </row>
    <row r="3352" ht="15.75" customHeight="1">
      <c r="A3352" s="364" t="s">
        <v>77</v>
      </c>
      <c r="B3352" s="364" t="s">
        <v>23</v>
      </c>
      <c r="C3352" s="365" t="s">
        <v>754</v>
      </c>
      <c r="D3352" s="364" t="s">
        <v>755</v>
      </c>
      <c r="E3352" s="366">
        <v>1.0</v>
      </c>
      <c r="F3352" s="367">
        <v>45890.54166666667</v>
      </c>
      <c r="G3352" s="364" t="s">
        <v>1187</v>
      </c>
      <c r="H3352" s="364" t="s">
        <v>1212</v>
      </c>
    </row>
    <row r="3353" ht="15.75" customHeight="1">
      <c r="A3353" s="364" t="s">
        <v>77</v>
      </c>
      <c r="B3353" s="364" t="s">
        <v>23</v>
      </c>
      <c r="C3353" s="365" t="s">
        <v>754</v>
      </c>
      <c r="D3353" s="364" t="s">
        <v>755</v>
      </c>
      <c r="E3353" s="366">
        <v>2.0</v>
      </c>
      <c r="F3353" s="367">
        <v>45897.58333333333</v>
      </c>
      <c r="G3353" s="364" t="s">
        <v>1185</v>
      </c>
      <c r="H3353" s="364" t="s">
        <v>1212</v>
      </c>
    </row>
    <row r="3354" ht="15.75" customHeight="1">
      <c r="A3354" s="364" t="s">
        <v>77</v>
      </c>
      <c r="B3354" s="364" t="s">
        <v>23</v>
      </c>
      <c r="C3354" s="365" t="s">
        <v>754</v>
      </c>
      <c r="D3354" s="364" t="s">
        <v>755</v>
      </c>
      <c r="E3354" s="366">
        <v>3.0</v>
      </c>
      <c r="F3354" s="367">
        <v>45911.58333333333</v>
      </c>
      <c r="G3354" s="364" t="s">
        <v>1187</v>
      </c>
      <c r="H3354" s="364" t="s">
        <v>1212</v>
      </c>
    </row>
    <row r="3355" ht="15.75" customHeight="1">
      <c r="A3355" s="364" t="s">
        <v>77</v>
      </c>
      <c r="B3355" s="364" t="s">
        <v>23</v>
      </c>
      <c r="C3355" s="365" t="s">
        <v>754</v>
      </c>
      <c r="D3355" s="364" t="s">
        <v>755</v>
      </c>
      <c r="E3355" s="366">
        <v>5.0</v>
      </c>
      <c r="F3355" s="367">
        <v>45925.58333333333</v>
      </c>
      <c r="G3355" s="364" t="s">
        <v>1187</v>
      </c>
      <c r="H3355" s="364" t="s">
        <v>1212</v>
      </c>
    </row>
    <row r="3356" ht="15.75" customHeight="1">
      <c r="A3356" s="364" t="s">
        <v>77</v>
      </c>
      <c r="B3356" s="364" t="s">
        <v>23</v>
      </c>
      <c r="C3356" s="365" t="s">
        <v>754</v>
      </c>
      <c r="D3356" s="364" t="s">
        <v>755</v>
      </c>
      <c r="E3356" s="366">
        <v>6.0</v>
      </c>
      <c r="F3356" s="367">
        <v>45932.58333333333</v>
      </c>
      <c r="G3356" s="364" t="s">
        <v>1187</v>
      </c>
      <c r="H3356" s="364" t="s">
        <v>1212</v>
      </c>
    </row>
    <row r="3357" ht="15.75" customHeight="1">
      <c r="A3357" s="364" t="s">
        <v>77</v>
      </c>
      <c r="B3357" s="364" t="s">
        <v>23</v>
      </c>
      <c r="C3357" s="365" t="s">
        <v>754</v>
      </c>
      <c r="D3357" s="364" t="s">
        <v>755</v>
      </c>
      <c r="E3357" s="366">
        <v>7.0</v>
      </c>
      <c r="F3357" s="367">
        <v>45946.58333333333</v>
      </c>
      <c r="G3357" s="364" t="s">
        <v>1187</v>
      </c>
      <c r="H3357" s="364" t="s">
        <v>1212</v>
      </c>
    </row>
    <row r="3358" ht="15.75" customHeight="1">
      <c r="A3358" s="364" t="s">
        <v>77</v>
      </c>
      <c r="B3358" s="364" t="s">
        <v>23</v>
      </c>
      <c r="C3358" s="365" t="s">
        <v>754</v>
      </c>
      <c r="D3358" s="364" t="s">
        <v>755</v>
      </c>
      <c r="E3358" s="366">
        <v>8.0</v>
      </c>
      <c r="F3358" s="367">
        <v>45953.58333333333</v>
      </c>
      <c r="G3358" s="364" t="s">
        <v>1187</v>
      </c>
      <c r="H3358" s="364" t="s">
        <v>1212</v>
      </c>
    </row>
    <row r="3359" ht="15.75" customHeight="1">
      <c r="A3359" s="364" t="s">
        <v>77</v>
      </c>
      <c r="B3359" s="364" t="s">
        <v>23</v>
      </c>
      <c r="C3359" s="365" t="s">
        <v>754</v>
      </c>
      <c r="D3359" s="364" t="s">
        <v>755</v>
      </c>
      <c r="E3359" s="366">
        <v>9.0</v>
      </c>
      <c r="F3359" s="367">
        <v>45960.58333333333</v>
      </c>
      <c r="G3359" s="364" t="s">
        <v>1187</v>
      </c>
      <c r="H3359" s="364" t="s">
        <v>1212</v>
      </c>
    </row>
    <row r="3360" ht="15.75" customHeight="1">
      <c r="A3360" s="364" t="s">
        <v>77</v>
      </c>
      <c r="B3360" s="364" t="s">
        <v>23</v>
      </c>
      <c r="C3360" s="365" t="s">
        <v>754</v>
      </c>
      <c r="D3360" s="364" t="s">
        <v>755</v>
      </c>
      <c r="E3360" s="366">
        <v>10.0</v>
      </c>
      <c r="F3360" s="367">
        <v>45966.58333333333</v>
      </c>
      <c r="G3360" s="364" t="s">
        <v>1187</v>
      </c>
      <c r="H3360" s="364" t="s">
        <v>1212</v>
      </c>
    </row>
    <row r="3361" ht="15.75" customHeight="1">
      <c r="A3361" s="364" t="s">
        <v>77</v>
      </c>
      <c r="B3361" s="364" t="s">
        <v>23</v>
      </c>
      <c r="C3361" s="365" t="s">
        <v>754</v>
      </c>
      <c r="D3361" s="364" t="s">
        <v>755</v>
      </c>
      <c r="E3361" s="366">
        <v>11.0</v>
      </c>
      <c r="F3361" s="367">
        <v>45982.58333333333</v>
      </c>
      <c r="G3361" s="364" t="s">
        <v>1187</v>
      </c>
      <c r="H3361" s="364" t="s">
        <v>1212</v>
      </c>
    </row>
    <row r="3362" ht="15.75" customHeight="1">
      <c r="A3362" s="364" t="s">
        <v>77</v>
      </c>
      <c r="B3362" s="364" t="s">
        <v>23</v>
      </c>
      <c r="C3362" s="365" t="s">
        <v>754</v>
      </c>
      <c r="D3362" s="364" t="s">
        <v>755</v>
      </c>
      <c r="E3362" s="366">
        <v>12.0</v>
      </c>
      <c r="F3362" s="367">
        <v>45988.58333333333</v>
      </c>
      <c r="G3362" s="364" t="s">
        <v>1187</v>
      </c>
      <c r="H3362" s="364" t="s">
        <v>1212</v>
      </c>
    </row>
    <row r="3363" ht="15.75" customHeight="1">
      <c r="A3363" s="364" t="s">
        <v>77</v>
      </c>
      <c r="B3363" s="364" t="s">
        <v>23</v>
      </c>
      <c r="C3363" s="365" t="s">
        <v>754</v>
      </c>
      <c r="D3363" s="364" t="s">
        <v>755</v>
      </c>
      <c r="E3363" s="366">
        <v>13.0</v>
      </c>
      <c r="F3363" s="367">
        <v>45995.58333333333</v>
      </c>
      <c r="G3363" s="364" t="s">
        <v>1187</v>
      </c>
      <c r="H3363" s="364" t="s">
        <v>1212</v>
      </c>
    </row>
    <row r="3364" ht="15.75" customHeight="1">
      <c r="A3364" s="364" t="s">
        <v>77</v>
      </c>
      <c r="B3364" s="364" t="s">
        <v>23</v>
      </c>
      <c r="C3364" s="365" t="s">
        <v>754</v>
      </c>
      <c r="D3364" s="364" t="s">
        <v>755</v>
      </c>
      <c r="E3364" s="366">
        <v>14.0</v>
      </c>
      <c r="F3364" s="367">
        <v>45999.45833333333</v>
      </c>
      <c r="G3364" s="364" t="s">
        <v>1187</v>
      </c>
      <c r="H3364" s="364" t="s">
        <v>1212</v>
      </c>
    </row>
    <row r="3365" ht="15.75" customHeight="1">
      <c r="A3365" s="364" t="s">
        <v>77</v>
      </c>
      <c r="B3365" s="364" t="s">
        <v>23</v>
      </c>
      <c r="C3365" s="365" t="s">
        <v>754</v>
      </c>
      <c r="D3365" s="364" t="s">
        <v>755</v>
      </c>
      <c r="E3365" s="366">
        <v>15.0</v>
      </c>
      <c r="F3365" s="367">
        <v>46014.625</v>
      </c>
      <c r="G3365" s="364" t="s">
        <v>1187</v>
      </c>
      <c r="H3365" s="364" t="s">
        <v>1212</v>
      </c>
    </row>
    <row r="3366" ht="15.75" customHeight="1">
      <c r="A3366" s="364" t="s">
        <v>77</v>
      </c>
      <c r="B3366" s="364" t="s">
        <v>23</v>
      </c>
      <c r="C3366" s="365" t="s">
        <v>754</v>
      </c>
      <c r="D3366" s="364" t="s">
        <v>755</v>
      </c>
      <c r="E3366" s="366">
        <v>16.0</v>
      </c>
      <c r="F3366" s="367">
        <v>46044.54166666667</v>
      </c>
      <c r="G3366" s="364" t="s">
        <v>1187</v>
      </c>
      <c r="H3366" s="364" t="s">
        <v>1212</v>
      </c>
    </row>
    <row r="3367" ht="15.75" customHeight="1">
      <c r="A3367" s="364" t="s">
        <v>77</v>
      </c>
      <c r="B3367" s="364" t="s">
        <v>24</v>
      </c>
      <c r="C3367" s="365" t="s">
        <v>741</v>
      </c>
      <c r="D3367" s="364" t="s">
        <v>742</v>
      </c>
      <c r="E3367" s="366">
        <v>2.0</v>
      </c>
      <c r="F3367" s="367">
        <v>46107.58333333333</v>
      </c>
      <c r="G3367" s="364" t="s">
        <v>1185</v>
      </c>
      <c r="H3367" s="364" t="s">
        <v>1212</v>
      </c>
    </row>
    <row r="3368" ht="15.75" customHeight="1">
      <c r="A3368" s="364" t="s">
        <v>77</v>
      </c>
      <c r="B3368" s="364" t="s">
        <v>24</v>
      </c>
      <c r="C3368" s="365" t="s">
        <v>741</v>
      </c>
      <c r="D3368" s="364" t="s">
        <v>742</v>
      </c>
      <c r="E3368" s="366">
        <v>3.0</v>
      </c>
      <c r="F3368" s="367">
        <v>46114.58333333333</v>
      </c>
      <c r="G3368" s="364" t="s">
        <v>1185</v>
      </c>
      <c r="H3368" s="364" t="s">
        <v>1212</v>
      </c>
    </row>
    <row r="3369" ht="15.75" customHeight="1">
      <c r="A3369" s="364" t="s">
        <v>77</v>
      </c>
      <c r="B3369" s="364" t="s">
        <v>24</v>
      </c>
      <c r="C3369" s="365" t="s">
        <v>741</v>
      </c>
      <c r="D3369" s="364" t="s">
        <v>742</v>
      </c>
      <c r="E3369" s="366">
        <v>4.0</v>
      </c>
      <c r="F3369" s="367">
        <v>46121.58333333333</v>
      </c>
      <c r="G3369" s="364" t="s">
        <v>1185</v>
      </c>
      <c r="H3369" s="364" t="s">
        <v>1212</v>
      </c>
    </row>
    <row r="3370" ht="15.75" customHeight="1">
      <c r="A3370" s="364" t="s">
        <v>77</v>
      </c>
      <c r="B3370" s="364" t="s">
        <v>24</v>
      </c>
      <c r="C3370" s="365" t="s">
        <v>741</v>
      </c>
      <c r="D3370" s="364" t="s">
        <v>742</v>
      </c>
      <c r="E3370" s="366">
        <v>5.0</v>
      </c>
      <c r="F3370" s="367">
        <v>46128.58333333333</v>
      </c>
      <c r="G3370" s="364" t="s">
        <v>1185</v>
      </c>
      <c r="H3370" s="364" t="s">
        <v>1212</v>
      </c>
    </row>
    <row r="3371" ht="15.75" customHeight="1">
      <c r="A3371" s="364" t="s">
        <v>77</v>
      </c>
      <c r="B3371" s="364" t="s">
        <v>24</v>
      </c>
      <c r="C3371" s="365" t="s">
        <v>741</v>
      </c>
      <c r="D3371" s="364" t="s">
        <v>742</v>
      </c>
      <c r="E3371" s="366">
        <v>6.0</v>
      </c>
      <c r="F3371" s="367">
        <v>46135.58333333333</v>
      </c>
      <c r="G3371" s="364" t="s">
        <v>1187</v>
      </c>
      <c r="H3371" s="364" t="s">
        <v>1212</v>
      </c>
    </row>
    <row r="3372" ht="15.75" customHeight="1">
      <c r="A3372" s="364" t="s">
        <v>77</v>
      </c>
      <c r="B3372" s="364" t="s">
        <v>24</v>
      </c>
      <c r="C3372" s="365" t="s">
        <v>741</v>
      </c>
      <c r="D3372" s="364" t="s">
        <v>742</v>
      </c>
      <c r="E3372" s="366">
        <v>7.0</v>
      </c>
      <c r="F3372" s="367">
        <v>46149.58333333333</v>
      </c>
      <c r="G3372" s="364" t="s">
        <v>1185</v>
      </c>
      <c r="H3372" s="364" t="s">
        <v>1212</v>
      </c>
    </row>
    <row r="3373" ht="15.75" customHeight="1">
      <c r="A3373" s="364" t="s">
        <v>77</v>
      </c>
      <c r="B3373" s="364" t="s">
        <v>24</v>
      </c>
      <c r="C3373" s="365" t="s">
        <v>741</v>
      </c>
      <c r="D3373" s="364" t="s">
        <v>742</v>
      </c>
      <c r="E3373" s="366">
        <v>8.0</v>
      </c>
      <c r="F3373" s="367">
        <v>46156.58333333333</v>
      </c>
      <c r="G3373" s="364" t="s">
        <v>1185</v>
      </c>
      <c r="H3373" s="364" t="s">
        <v>1212</v>
      </c>
    </row>
    <row r="3374" ht="15.75" customHeight="1">
      <c r="A3374" s="364" t="s">
        <v>77</v>
      </c>
      <c r="B3374" s="364" t="s">
        <v>24</v>
      </c>
      <c r="C3374" s="365" t="s">
        <v>741</v>
      </c>
      <c r="D3374" s="364" t="s">
        <v>742</v>
      </c>
      <c r="E3374" s="366">
        <v>10.0</v>
      </c>
      <c r="F3374" s="367">
        <v>46184.54166666667</v>
      </c>
      <c r="G3374" s="364" t="s">
        <v>1185</v>
      </c>
      <c r="H3374" s="364" t="s">
        <v>1212</v>
      </c>
    </row>
    <row r="3375" ht="15.75" customHeight="1">
      <c r="A3375" s="364" t="s">
        <v>77</v>
      </c>
      <c r="B3375" s="364" t="s">
        <v>24</v>
      </c>
      <c r="C3375" s="365" t="s">
        <v>741</v>
      </c>
      <c r="D3375" s="364" t="s">
        <v>742</v>
      </c>
      <c r="E3375" s="366">
        <v>11.0</v>
      </c>
      <c r="F3375" s="367">
        <v>46191.54166666667</v>
      </c>
      <c r="G3375" s="364" t="s">
        <v>1185</v>
      </c>
      <c r="H3375" s="364" t="s">
        <v>1212</v>
      </c>
    </row>
    <row r="3376" ht="15.75" customHeight="1">
      <c r="A3376" s="364" t="s">
        <v>77</v>
      </c>
      <c r="B3376" s="364" t="s">
        <v>24</v>
      </c>
      <c r="C3376" s="365" t="s">
        <v>752</v>
      </c>
      <c r="D3376" s="364" t="s">
        <v>753</v>
      </c>
      <c r="E3376" s="366">
        <v>2.0</v>
      </c>
      <c r="F3376" s="367">
        <v>46107.58333333333</v>
      </c>
      <c r="G3376" s="364" t="s">
        <v>1185</v>
      </c>
      <c r="H3376" s="364" t="s">
        <v>1212</v>
      </c>
    </row>
    <row r="3377" ht="15.75" customHeight="1">
      <c r="A3377" s="364" t="s">
        <v>77</v>
      </c>
      <c r="B3377" s="364" t="s">
        <v>24</v>
      </c>
      <c r="C3377" s="365" t="s">
        <v>752</v>
      </c>
      <c r="D3377" s="364" t="s">
        <v>753</v>
      </c>
      <c r="E3377" s="366">
        <v>3.0</v>
      </c>
      <c r="F3377" s="367">
        <v>46114.58333333333</v>
      </c>
      <c r="G3377" s="364" t="s">
        <v>1185</v>
      </c>
      <c r="H3377" s="364" t="s">
        <v>1212</v>
      </c>
    </row>
    <row r="3378" ht="15.75" customHeight="1">
      <c r="A3378" s="364" t="s">
        <v>77</v>
      </c>
      <c r="B3378" s="364" t="s">
        <v>24</v>
      </c>
      <c r="C3378" s="365" t="s">
        <v>752</v>
      </c>
      <c r="D3378" s="364" t="s">
        <v>753</v>
      </c>
      <c r="E3378" s="366">
        <v>4.0</v>
      </c>
      <c r="F3378" s="367">
        <v>46121.58333333333</v>
      </c>
      <c r="G3378" s="364" t="s">
        <v>1187</v>
      </c>
      <c r="H3378" s="364" t="s">
        <v>1212</v>
      </c>
    </row>
    <row r="3379" ht="15.75" customHeight="1">
      <c r="A3379" s="364" t="s">
        <v>77</v>
      </c>
      <c r="B3379" s="364" t="s">
        <v>24</v>
      </c>
      <c r="C3379" s="365" t="s">
        <v>752</v>
      </c>
      <c r="D3379" s="364" t="s">
        <v>753</v>
      </c>
      <c r="E3379" s="366">
        <v>5.0</v>
      </c>
      <c r="F3379" s="367">
        <v>46128.58333333333</v>
      </c>
      <c r="G3379" s="364" t="s">
        <v>1187</v>
      </c>
      <c r="H3379" s="364" t="s">
        <v>1212</v>
      </c>
    </row>
    <row r="3380" ht="15.75" customHeight="1">
      <c r="A3380" s="364" t="s">
        <v>77</v>
      </c>
      <c r="B3380" s="364" t="s">
        <v>24</v>
      </c>
      <c r="C3380" s="365" t="s">
        <v>752</v>
      </c>
      <c r="D3380" s="364" t="s">
        <v>753</v>
      </c>
      <c r="E3380" s="366">
        <v>6.0</v>
      </c>
      <c r="F3380" s="367">
        <v>46135.58333333333</v>
      </c>
      <c r="G3380" s="364" t="s">
        <v>1187</v>
      </c>
      <c r="H3380" s="364" t="s">
        <v>1212</v>
      </c>
    </row>
    <row r="3381" ht="15.75" customHeight="1">
      <c r="A3381" s="364" t="s">
        <v>77</v>
      </c>
      <c r="B3381" s="364" t="s">
        <v>24</v>
      </c>
      <c r="C3381" s="365" t="s">
        <v>752</v>
      </c>
      <c r="D3381" s="364" t="s">
        <v>753</v>
      </c>
      <c r="E3381" s="366">
        <v>7.0</v>
      </c>
      <c r="F3381" s="367">
        <v>46149.58333333333</v>
      </c>
      <c r="G3381" s="364" t="s">
        <v>1187</v>
      </c>
      <c r="H3381" s="364" t="s">
        <v>1212</v>
      </c>
    </row>
    <row r="3382" ht="15.75" customHeight="1">
      <c r="A3382" s="364" t="s">
        <v>77</v>
      </c>
      <c r="B3382" s="364" t="s">
        <v>24</v>
      </c>
      <c r="C3382" s="365" t="s">
        <v>752</v>
      </c>
      <c r="D3382" s="364" t="s">
        <v>753</v>
      </c>
      <c r="E3382" s="366">
        <v>8.0</v>
      </c>
      <c r="F3382" s="367">
        <v>46156.58333333333</v>
      </c>
      <c r="G3382" s="364" t="s">
        <v>1187</v>
      </c>
      <c r="H3382" s="364" t="s">
        <v>1212</v>
      </c>
    </row>
    <row r="3383" ht="15.75" customHeight="1">
      <c r="A3383" s="364" t="s">
        <v>77</v>
      </c>
      <c r="B3383" s="364" t="s">
        <v>24</v>
      </c>
      <c r="C3383" s="365" t="s">
        <v>752</v>
      </c>
      <c r="D3383" s="364" t="s">
        <v>753</v>
      </c>
      <c r="E3383" s="366">
        <v>9.0</v>
      </c>
      <c r="F3383" s="367">
        <v>46171.58333333333</v>
      </c>
      <c r="G3383" s="364" t="s">
        <v>1187</v>
      </c>
      <c r="H3383" s="364" t="s">
        <v>1212</v>
      </c>
    </row>
    <row r="3384" ht="15.75" customHeight="1">
      <c r="A3384" s="364" t="s">
        <v>77</v>
      </c>
      <c r="B3384" s="364" t="s">
        <v>24</v>
      </c>
      <c r="C3384" s="365" t="s">
        <v>752</v>
      </c>
      <c r="D3384" s="364" t="s">
        <v>753</v>
      </c>
      <c r="E3384" s="366">
        <v>10.0</v>
      </c>
      <c r="F3384" s="367">
        <v>46184.54166666667</v>
      </c>
      <c r="G3384" s="364" t="s">
        <v>1187</v>
      </c>
      <c r="H3384" s="364" t="s">
        <v>1212</v>
      </c>
    </row>
    <row r="3385" ht="15.75" customHeight="1">
      <c r="A3385" s="364" t="s">
        <v>77</v>
      </c>
      <c r="B3385" s="364" t="s">
        <v>24</v>
      </c>
      <c r="C3385" s="365" t="s">
        <v>752</v>
      </c>
      <c r="D3385" s="364" t="s">
        <v>753</v>
      </c>
      <c r="E3385" s="366">
        <v>11.0</v>
      </c>
      <c r="F3385" s="367">
        <v>46191.54166666667</v>
      </c>
      <c r="G3385" s="364" t="s">
        <v>1187</v>
      </c>
      <c r="H3385" s="364" t="s">
        <v>1212</v>
      </c>
    </row>
    <row r="3386" ht="15.75" customHeight="1">
      <c r="A3386" s="364" t="s">
        <v>77</v>
      </c>
      <c r="B3386" s="364" t="s">
        <v>24</v>
      </c>
      <c r="C3386" s="365" t="s">
        <v>743</v>
      </c>
      <c r="D3386" s="364" t="s">
        <v>744</v>
      </c>
      <c r="E3386" s="366">
        <v>2.0</v>
      </c>
      <c r="F3386" s="367">
        <v>46107.58333333333</v>
      </c>
      <c r="G3386" s="364" t="s">
        <v>1185</v>
      </c>
      <c r="H3386" s="364" t="s">
        <v>1212</v>
      </c>
    </row>
    <row r="3387" ht="15.75" customHeight="1">
      <c r="A3387" s="364" t="s">
        <v>77</v>
      </c>
      <c r="B3387" s="364" t="s">
        <v>24</v>
      </c>
      <c r="C3387" s="365" t="s">
        <v>743</v>
      </c>
      <c r="D3387" s="364" t="s">
        <v>744</v>
      </c>
      <c r="E3387" s="366">
        <v>3.0</v>
      </c>
      <c r="F3387" s="367">
        <v>46114.58333333333</v>
      </c>
      <c r="G3387" s="364" t="s">
        <v>1185</v>
      </c>
      <c r="H3387" s="364" t="s">
        <v>1212</v>
      </c>
    </row>
    <row r="3388" ht="15.75" customHeight="1">
      <c r="A3388" s="364" t="s">
        <v>77</v>
      </c>
      <c r="B3388" s="364" t="s">
        <v>24</v>
      </c>
      <c r="C3388" s="365" t="s">
        <v>743</v>
      </c>
      <c r="D3388" s="364" t="s">
        <v>744</v>
      </c>
      <c r="E3388" s="366">
        <v>4.0</v>
      </c>
      <c r="F3388" s="367">
        <v>46121.58333333333</v>
      </c>
      <c r="G3388" s="364" t="s">
        <v>1185</v>
      </c>
      <c r="H3388" s="364" t="s">
        <v>1212</v>
      </c>
    </row>
    <row r="3389" ht="15.75" customHeight="1">
      <c r="A3389" s="364" t="s">
        <v>77</v>
      </c>
      <c r="B3389" s="364" t="s">
        <v>24</v>
      </c>
      <c r="C3389" s="365" t="s">
        <v>743</v>
      </c>
      <c r="D3389" s="364" t="s">
        <v>744</v>
      </c>
      <c r="E3389" s="366">
        <v>5.0</v>
      </c>
      <c r="F3389" s="367">
        <v>46128.58333333333</v>
      </c>
      <c r="G3389" s="364" t="s">
        <v>1185</v>
      </c>
      <c r="H3389" s="364" t="s">
        <v>1212</v>
      </c>
    </row>
    <row r="3390" ht="15.75" customHeight="1">
      <c r="A3390" s="364" t="s">
        <v>77</v>
      </c>
      <c r="B3390" s="364" t="s">
        <v>24</v>
      </c>
      <c r="C3390" s="365" t="s">
        <v>743</v>
      </c>
      <c r="D3390" s="364" t="s">
        <v>744</v>
      </c>
      <c r="E3390" s="366">
        <v>6.0</v>
      </c>
      <c r="F3390" s="367">
        <v>46135.58333333333</v>
      </c>
      <c r="G3390" s="364" t="s">
        <v>1185</v>
      </c>
      <c r="H3390" s="364" t="s">
        <v>1212</v>
      </c>
    </row>
    <row r="3391" ht="15.75" customHeight="1">
      <c r="A3391" s="364" t="s">
        <v>77</v>
      </c>
      <c r="B3391" s="364" t="s">
        <v>24</v>
      </c>
      <c r="C3391" s="365" t="s">
        <v>743</v>
      </c>
      <c r="D3391" s="364" t="s">
        <v>744</v>
      </c>
      <c r="E3391" s="366">
        <v>7.0</v>
      </c>
      <c r="F3391" s="367">
        <v>46149.58333333333</v>
      </c>
      <c r="G3391" s="364" t="s">
        <v>1185</v>
      </c>
      <c r="H3391" s="364" t="s">
        <v>1212</v>
      </c>
    </row>
    <row r="3392" ht="15.75" customHeight="1">
      <c r="A3392" s="364" t="s">
        <v>77</v>
      </c>
      <c r="B3392" s="364" t="s">
        <v>24</v>
      </c>
      <c r="C3392" s="365" t="s">
        <v>743</v>
      </c>
      <c r="D3392" s="364" t="s">
        <v>744</v>
      </c>
      <c r="E3392" s="366">
        <v>8.0</v>
      </c>
      <c r="F3392" s="367">
        <v>46156.58333333333</v>
      </c>
      <c r="G3392" s="364" t="s">
        <v>1185</v>
      </c>
      <c r="H3392" s="364" t="s">
        <v>1212</v>
      </c>
    </row>
    <row r="3393" ht="15.75" customHeight="1">
      <c r="A3393" s="364" t="s">
        <v>77</v>
      </c>
      <c r="B3393" s="364" t="s">
        <v>24</v>
      </c>
      <c r="C3393" s="365" t="s">
        <v>743</v>
      </c>
      <c r="D3393" s="364" t="s">
        <v>744</v>
      </c>
      <c r="E3393" s="366">
        <v>9.0</v>
      </c>
      <c r="F3393" s="367">
        <v>46171.58333333333</v>
      </c>
      <c r="G3393" s="364" t="s">
        <v>1185</v>
      </c>
      <c r="H3393" s="364" t="s">
        <v>1212</v>
      </c>
    </row>
    <row r="3394" ht="15.75" customHeight="1">
      <c r="A3394" s="364" t="s">
        <v>77</v>
      </c>
      <c r="B3394" s="364" t="s">
        <v>24</v>
      </c>
      <c r="C3394" s="365" t="s">
        <v>743</v>
      </c>
      <c r="D3394" s="364" t="s">
        <v>744</v>
      </c>
      <c r="E3394" s="366">
        <v>10.0</v>
      </c>
      <c r="F3394" s="367">
        <v>46184.54166666667</v>
      </c>
      <c r="G3394" s="364" t="s">
        <v>1185</v>
      </c>
      <c r="H3394" s="364" t="s">
        <v>1212</v>
      </c>
    </row>
    <row r="3395" ht="15.75" customHeight="1">
      <c r="A3395" s="364" t="s">
        <v>77</v>
      </c>
      <c r="B3395" s="364" t="s">
        <v>24</v>
      </c>
      <c r="C3395" s="365" t="s">
        <v>743</v>
      </c>
      <c r="D3395" s="364" t="s">
        <v>744</v>
      </c>
      <c r="E3395" s="366">
        <v>11.0</v>
      </c>
      <c r="F3395" s="367">
        <v>46191.54166666667</v>
      </c>
      <c r="G3395" s="364" t="s">
        <v>1185</v>
      </c>
      <c r="H3395" s="364" t="s">
        <v>1212</v>
      </c>
    </row>
    <row r="3396" ht="15.75" customHeight="1">
      <c r="A3396" s="364" t="s">
        <v>77</v>
      </c>
      <c r="B3396" s="364" t="s">
        <v>24</v>
      </c>
      <c r="C3396" s="365" t="s">
        <v>745</v>
      </c>
      <c r="D3396" s="364" t="s">
        <v>746</v>
      </c>
      <c r="E3396" s="366">
        <v>2.0</v>
      </c>
      <c r="F3396" s="367">
        <v>46107.58333333333</v>
      </c>
      <c r="G3396" s="364" t="s">
        <v>1185</v>
      </c>
      <c r="H3396" s="364" t="s">
        <v>1212</v>
      </c>
    </row>
    <row r="3397" ht="15.75" customHeight="1">
      <c r="A3397" s="364" t="s">
        <v>77</v>
      </c>
      <c r="B3397" s="364" t="s">
        <v>24</v>
      </c>
      <c r="C3397" s="365" t="s">
        <v>745</v>
      </c>
      <c r="D3397" s="364" t="s">
        <v>746</v>
      </c>
      <c r="E3397" s="366">
        <v>3.0</v>
      </c>
      <c r="F3397" s="367">
        <v>46114.58333333333</v>
      </c>
      <c r="G3397" s="364" t="s">
        <v>1185</v>
      </c>
      <c r="H3397" s="364" t="s">
        <v>1212</v>
      </c>
    </row>
    <row r="3398" ht="15.75" customHeight="1">
      <c r="A3398" s="364" t="s">
        <v>77</v>
      </c>
      <c r="B3398" s="364" t="s">
        <v>24</v>
      </c>
      <c r="C3398" s="365" t="s">
        <v>745</v>
      </c>
      <c r="D3398" s="364" t="s">
        <v>746</v>
      </c>
      <c r="E3398" s="366">
        <v>4.0</v>
      </c>
      <c r="F3398" s="367">
        <v>46121.58333333333</v>
      </c>
      <c r="G3398" s="364" t="s">
        <v>1185</v>
      </c>
      <c r="H3398" s="364" t="s">
        <v>1212</v>
      </c>
    </row>
    <row r="3399" ht="15.75" customHeight="1">
      <c r="A3399" s="364" t="s">
        <v>77</v>
      </c>
      <c r="B3399" s="364" t="s">
        <v>24</v>
      </c>
      <c r="C3399" s="365" t="s">
        <v>745</v>
      </c>
      <c r="D3399" s="364" t="s">
        <v>746</v>
      </c>
      <c r="E3399" s="366">
        <v>5.0</v>
      </c>
      <c r="F3399" s="367">
        <v>46128.58333333333</v>
      </c>
      <c r="G3399" s="364" t="s">
        <v>1185</v>
      </c>
      <c r="H3399" s="364" t="s">
        <v>1212</v>
      </c>
    </row>
    <row r="3400" ht="15.75" customHeight="1">
      <c r="A3400" s="364" t="s">
        <v>77</v>
      </c>
      <c r="B3400" s="364" t="s">
        <v>24</v>
      </c>
      <c r="C3400" s="365" t="s">
        <v>745</v>
      </c>
      <c r="D3400" s="364" t="s">
        <v>746</v>
      </c>
      <c r="E3400" s="366">
        <v>6.0</v>
      </c>
      <c r="F3400" s="367">
        <v>46135.58333333333</v>
      </c>
      <c r="G3400" s="364" t="s">
        <v>1187</v>
      </c>
      <c r="H3400" s="364" t="s">
        <v>1212</v>
      </c>
    </row>
    <row r="3401" ht="15.75" customHeight="1">
      <c r="A3401" s="364" t="s">
        <v>77</v>
      </c>
      <c r="B3401" s="364" t="s">
        <v>24</v>
      </c>
      <c r="C3401" s="365" t="s">
        <v>745</v>
      </c>
      <c r="D3401" s="364" t="s">
        <v>746</v>
      </c>
      <c r="E3401" s="366">
        <v>7.0</v>
      </c>
      <c r="F3401" s="367">
        <v>46149.58333333333</v>
      </c>
      <c r="G3401" s="364" t="s">
        <v>1185</v>
      </c>
      <c r="H3401" s="364" t="s">
        <v>1212</v>
      </c>
    </row>
    <row r="3402" ht="15.75" customHeight="1">
      <c r="A3402" s="364" t="s">
        <v>77</v>
      </c>
      <c r="B3402" s="364" t="s">
        <v>24</v>
      </c>
      <c r="C3402" s="365" t="s">
        <v>745</v>
      </c>
      <c r="D3402" s="364" t="s">
        <v>746</v>
      </c>
      <c r="E3402" s="366">
        <v>8.0</v>
      </c>
      <c r="F3402" s="367">
        <v>46156.58333333333</v>
      </c>
      <c r="G3402" s="364" t="s">
        <v>1185</v>
      </c>
      <c r="H3402" s="364" t="s">
        <v>1212</v>
      </c>
    </row>
    <row r="3403" ht="15.75" customHeight="1">
      <c r="A3403" s="364" t="s">
        <v>77</v>
      </c>
      <c r="B3403" s="364" t="s">
        <v>24</v>
      </c>
      <c r="C3403" s="365" t="s">
        <v>745</v>
      </c>
      <c r="D3403" s="364" t="s">
        <v>746</v>
      </c>
      <c r="E3403" s="366">
        <v>9.0</v>
      </c>
      <c r="F3403" s="367">
        <v>46171.58333333333</v>
      </c>
      <c r="G3403" s="364" t="s">
        <v>1185</v>
      </c>
      <c r="H3403" s="364" t="s">
        <v>1212</v>
      </c>
    </row>
    <row r="3404" ht="15.75" customHeight="1">
      <c r="A3404" s="364" t="s">
        <v>77</v>
      </c>
      <c r="B3404" s="364" t="s">
        <v>24</v>
      </c>
      <c r="C3404" s="365" t="s">
        <v>745</v>
      </c>
      <c r="D3404" s="364" t="s">
        <v>746</v>
      </c>
      <c r="E3404" s="366">
        <v>10.0</v>
      </c>
      <c r="F3404" s="367">
        <v>46184.54166666667</v>
      </c>
      <c r="G3404" s="364" t="s">
        <v>1185</v>
      </c>
      <c r="H3404" s="364" t="s">
        <v>1212</v>
      </c>
    </row>
    <row r="3405" ht="15.75" customHeight="1">
      <c r="A3405" s="364" t="s">
        <v>77</v>
      </c>
      <c r="B3405" s="364" t="s">
        <v>24</v>
      </c>
      <c r="C3405" s="365" t="s">
        <v>745</v>
      </c>
      <c r="D3405" s="364" t="s">
        <v>746</v>
      </c>
      <c r="E3405" s="366">
        <v>11.0</v>
      </c>
      <c r="F3405" s="367">
        <v>46191.54166666667</v>
      </c>
      <c r="G3405" s="364" t="s">
        <v>1187</v>
      </c>
      <c r="H3405" s="364" t="s">
        <v>1212</v>
      </c>
    </row>
    <row r="3406" ht="15.75" customHeight="1">
      <c r="A3406" s="364" t="s">
        <v>77</v>
      </c>
      <c r="B3406" s="364" t="s">
        <v>24</v>
      </c>
      <c r="C3406" s="365" t="s">
        <v>747</v>
      </c>
      <c r="D3406" s="364" t="s">
        <v>283</v>
      </c>
      <c r="E3406" s="366">
        <v>2.0</v>
      </c>
      <c r="F3406" s="367">
        <v>46107.58333333333</v>
      </c>
      <c r="G3406" s="364" t="s">
        <v>1185</v>
      </c>
      <c r="H3406" s="364" t="s">
        <v>1212</v>
      </c>
    </row>
    <row r="3407" ht="15.75" customHeight="1">
      <c r="A3407" s="364" t="s">
        <v>77</v>
      </c>
      <c r="B3407" s="364" t="s">
        <v>24</v>
      </c>
      <c r="C3407" s="365" t="s">
        <v>747</v>
      </c>
      <c r="D3407" s="364" t="s">
        <v>283</v>
      </c>
      <c r="E3407" s="366">
        <v>3.0</v>
      </c>
      <c r="F3407" s="367">
        <v>46114.58333333333</v>
      </c>
      <c r="G3407" s="364" t="s">
        <v>1185</v>
      </c>
      <c r="H3407" s="364" t="s">
        <v>1212</v>
      </c>
    </row>
    <row r="3408" ht="15.75" customHeight="1">
      <c r="A3408" s="364" t="s">
        <v>77</v>
      </c>
      <c r="B3408" s="364" t="s">
        <v>24</v>
      </c>
      <c r="C3408" s="365" t="s">
        <v>747</v>
      </c>
      <c r="D3408" s="364" t="s">
        <v>283</v>
      </c>
      <c r="E3408" s="366">
        <v>4.0</v>
      </c>
      <c r="F3408" s="367">
        <v>46121.58333333333</v>
      </c>
      <c r="G3408" s="364" t="s">
        <v>1185</v>
      </c>
      <c r="H3408" s="364" t="s">
        <v>1212</v>
      </c>
    </row>
    <row r="3409" ht="15.75" customHeight="1">
      <c r="A3409" s="364" t="s">
        <v>77</v>
      </c>
      <c r="B3409" s="364" t="s">
        <v>24</v>
      </c>
      <c r="C3409" s="365" t="s">
        <v>747</v>
      </c>
      <c r="D3409" s="364" t="s">
        <v>283</v>
      </c>
      <c r="E3409" s="366">
        <v>5.0</v>
      </c>
      <c r="F3409" s="367">
        <v>46128.58333333333</v>
      </c>
      <c r="G3409" s="364" t="s">
        <v>1185</v>
      </c>
      <c r="H3409" s="364" t="s">
        <v>1212</v>
      </c>
    </row>
    <row r="3410" ht="15.75" customHeight="1">
      <c r="A3410" s="364" t="s">
        <v>77</v>
      </c>
      <c r="B3410" s="364" t="s">
        <v>24</v>
      </c>
      <c r="C3410" s="365" t="s">
        <v>747</v>
      </c>
      <c r="D3410" s="364" t="s">
        <v>283</v>
      </c>
      <c r="E3410" s="366">
        <v>6.0</v>
      </c>
      <c r="F3410" s="367">
        <v>46135.58333333333</v>
      </c>
      <c r="G3410" s="364" t="s">
        <v>1185</v>
      </c>
      <c r="H3410" s="364" t="s">
        <v>1212</v>
      </c>
    </row>
    <row r="3411" ht="15.75" customHeight="1">
      <c r="A3411" s="364" t="s">
        <v>77</v>
      </c>
      <c r="B3411" s="364" t="s">
        <v>24</v>
      </c>
      <c r="C3411" s="365" t="s">
        <v>747</v>
      </c>
      <c r="D3411" s="364" t="s">
        <v>283</v>
      </c>
      <c r="E3411" s="366">
        <v>7.0</v>
      </c>
      <c r="F3411" s="367">
        <v>46149.58333333333</v>
      </c>
      <c r="G3411" s="364" t="s">
        <v>1185</v>
      </c>
      <c r="H3411" s="364" t="s">
        <v>1212</v>
      </c>
    </row>
    <row r="3412" ht="15.75" customHeight="1">
      <c r="A3412" s="364" t="s">
        <v>77</v>
      </c>
      <c r="B3412" s="364" t="s">
        <v>24</v>
      </c>
      <c r="C3412" s="365" t="s">
        <v>747</v>
      </c>
      <c r="D3412" s="364" t="s">
        <v>283</v>
      </c>
      <c r="E3412" s="366">
        <v>8.0</v>
      </c>
      <c r="F3412" s="367">
        <v>46156.58333333333</v>
      </c>
      <c r="G3412" s="364" t="s">
        <v>1185</v>
      </c>
      <c r="H3412" s="364" t="s">
        <v>1212</v>
      </c>
    </row>
    <row r="3413" ht="15.75" customHeight="1">
      <c r="A3413" s="364" t="s">
        <v>77</v>
      </c>
      <c r="B3413" s="364" t="s">
        <v>24</v>
      </c>
      <c r="C3413" s="365" t="s">
        <v>747</v>
      </c>
      <c r="D3413" s="364" t="s">
        <v>283</v>
      </c>
      <c r="E3413" s="366">
        <v>9.0</v>
      </c>
      <c r="F3413" s="367">
        <v>46171.58333333333</v>
      </c>
      <c r="G3413" s="364" t="s">
        <v>1185</v>
      </c>
      <c r="H3413" s="364" t="s">
        <v>1212</v>
      </c>
    </row>
    <row r="3414" ht="15.75" customHeight="1">
      <c r="A3414" s="364" t="s">
        <v>77</v>
      </c>
      <c r="B3414" s="364" t="s">
        <v>24</v>
      </c>
      <c r="C3414" s="365" t="s">
        <v>747</v>
      </c>
      <c r="D3414" s="364" t="s">
        <v>283</v>
      </c>
      <c r="E3414" s="366">
        <v>10.0</v>
      </c>
      <c r="F3414" s="367">
        <v>46184.54166666667</v>
      </c>
      <c r="G3414" s="364" t="s">
        <v>1185</v>
      </c>
      <c r="H3414" s="364" t="s">
        <v>1212</v>
      </c>
    </row>
    <row r="3415" ht="15.75" customHeight="1">
      <c r="A3415" s="364" t="s">
        <v>77</v>
      </c>
      <c r="B3415" s="364" t="s">
        <v>24</v>
      </c>
      <c r="C3415" s="365" t="s">
        <v>747</v>
      </c>
      <c r="D3415" s="364" t="s">
        <v>283</v>
      </c>
      <c r="E3415" s="366">
        <v>11.0</v>
      </c>
      <c r="F3415" s="367">
        <v>46191.54166666667</v>
      </c>
      <c r="G3415" s="364" t="s">
        <v>1185</v>
      </c>
      <c r="H3415" s="364" t="s">
        <v>1212</v>
      </c>
    </row>
    <row r="3416" ht="15.75" customHeight="1">
      <c r="A3416" s="364" t="s">
        <v>77</v>
      </c>
      <c r="B3416" s="364" t="s">
        <v>24</v>
      </c>
      <c r="C3416" s="365" t="s">
        <v>748</v>
      </c>
      <c r="D3416" s="364" t="s">
        <v>749</v>
      </c>
      <c r="E3416" s="366">
        <v>2.0</v>
      </c>
      <c r="F3416" s="367">
        <v>46107.58333333333</v>
      </c>
      <c r="G3416" s="364" t="s">
        <v>1185</v>
      </c>
      <c r="H3416" s="364" t="s">
        <v>1212</v>
      </c>
    </row>
    <row r="3417" ht="15.75" customHeight="1">
      <c r="A3417" s="364" t="s">
        <v>77</v>
      </c>
      <c r="B3417" s="364" t="s">
        <v>24</v>
      </c>
      <c r="C3417" s="365" t="s">
        <v>748</v>
      </c>
      <c r="D3417" s="364" t="s">
        <v>749</v>
      </c>
      <c r="E3417" s="366">
        <v>3.0</v>
      </c>
      <c r="F3417" s="367">
        <v>46114.58333333333</v>
      </c>
      <c r="G3417" s="364" t="s">
        <v>1187</v>
      </c>
      <c r="H3417" s="364" t="s">
        <v>1212</v>
      </c>
    </row>
    <row r="3418" ht="15.75" customHeight="1">
      <c r="A3418" s="364" t="s">
        <v>77</v>
      </c>
      <c r="B3418" s="364" t="s">
        <v>24</v>
      </c>
      <c r="C3418" s="365" t="s">
        <v>748</v>
      </c>
      <c r="D3418" s="364" t="s">
        <v>749</v>
      </c>
      <c r="E3418" s="366">
        <v>4.0</v>
      </c>
      <c r="F3418" s="367">
        <v>46121.58333333333</v>
      </c>
      <c r="G3418" s="364" t="s">
        <v>1185</v>
      </c>
      <c r="H3418" s="364" t="s">
        <v>1212</v>
      </c>
    </row>
    <row r="3419" ht="15.75" customHeight="1">
      <c r="A3419" s="364" t="s">
        <v>77</v>
      </c>
      <c r="B3419" s="364" t="s">
        <v>24</v>
      </c>
      <c r="C3419" s="365" t="s">
        <v>748</v>
      </c>
      <c r="D3419" s="364" t="s">
        <v>749</v>
      </c>
      <c r="E3419" s="366">
        <v>5.0</v>
      </c>
      <c r="F3419" s="367">
        <v>46128.58333333333</v>
      </c>
      <c r="G3419" s="364" t="s">
        <v>1185</v>
      </c>
      <c r="H3419" s="364" t="s">
        <v>1212</v>
      </c>
    </row>
    <row r="3420" ht="15.75" customHeight="1">
      <c r="A3420" s="364" t="s">
        <v>77</v>
      </c>
      <c r="B3420" s="364" t="s">
        <v>24</v>
      </c>
      <c r="C3420" s="365" t="s">
        <v>748</v>
      </c>
      <c r="D3420" s="364" t="s">
        <v>749</v>
      </c>
      <c r="E3420" s="366">
        <v>6.0</v>
      </c>
      <c r="F3420" s="367">
        <v>46135.58333333333</v>
      </c>
      <c r="G3420" s="364" t="s">
        <v>1185</v>
      </c>
      <c r="H3420" s="364" t="s">
        <v>1212</v>
      </c>
    </row>
    <row r="3421" ht="15.75" customHeight="1">
      <c r="A3421" s="364" t="s">
        <v>77</v>
      </c>
      <c r="B3421" s="364" t="s">
        <v>24</v>
      </c>
      <c r="C3421" s="365" t="s">
        <v>748</v>
      </c>
      <c r="D3421" s="364" t="s">
        <v>749</v>
      </c>
      <c r="E3421" s="366">
        <v>7.0</v>
      </c>
      <c r="F3421" s="367">
        <v>46149.58333333333</v>
      </c>
      <c r="G3421" s="364" t="s">
        <v>1185</v>
      </c>
      <c r="H3421" s="364" t="s">
        <v>1212</v>
      </c>
    </row>
    <row r="3422" ht="15.75" customHeight="1">
      <c r="A3422" s="364" t="s">
        <v>77</v>
      </c>
      <c r="B3422" s="364" t="s">
        <v>24</v>
      </c>
      <c r="C3422" s="365" t="s">
        <v>748</v>
      </c>
      <c r="D3422" s="364" t="s">
        <v>749</v>
      </c>
      <c r="E3422" s="366">
        <v>8.0</v>
      </c>
      <c r="F3422" s="367">
        <v>46156.58333333333</v>
      </c>
      <c r="G3422" s="364" t="s">
        <v>1185</v>
      </c>
      <c r="H3422" s="364" t="s">
        <v>1212</v>
      </c>
    </row>
    <row r="3423" ht="15.75" customHeight="1">
      <c r="A3423" s="364" t="s">
        <v>77</v>
      </c>
      <c r="B3423" s="364" t="s">
        <v>24</v>
      </c>
      <c r="C3423" s="365" t="s">
        <v>748</v>
      </c>
      <c r="D3423" s="364" t="s">
        <v>749</v>
      </c>
      <c r="E3423" s="366">
        <v>10.0</v>
      </c>
      <c r="F3423" s="367">
        <v>46184.54166666667</v>
      </c>
      <c r="G3423" s="364" t="s">
        <v>1185</v>
      </c>
      <c r="H3423" s="364" t="s">
        <v>1212</v>
      </c>
    </row>
    <row r="3424" ht="15.75" customHeight="1">
      <c r="A3424" s="364" t="s">
        <v>77</v>
      </c>
      <c r="B3424" s="364" t="s">
        <v>24</v>
      </c>
      <c r="C3424" s="365" t="s">
        <v>748</v>
      </c>
      <c r="D3424" s="364" t="s">
        <v>749</v>
      </c>
      <c r="E3424" s="366">
        <v>11.0</v>
      </c>
      <c r="F3424" s="367">
        <v>46191.54166666667</v>
      </c>
      <c r="G3424" s="364" t="s">
        <v>1185</v>
      </c>
      <c r="H3424" s="364" t="s">
        <v>1212</v>
      </c>
    </row>
    <row r="3425" ht="15.75" customHeight="1">
      <c r="A3425" s="364" t="s">
        <v>77</v>
      </c>
      <c r="B3425" s="364" t="s">
        <v>24</v>
      </c>
      <c r="C3425" s="365" t="s">
        <v>750</v>
      </c>
      <c r="D3425" s="364" t="s">
        <v>751</v>
      </c>
      <c r="E3425" s="366">
        <v>2.0</v>
      </c>
      <c r="F3425" s="367">
        <v>46107.58333333333</v>
      </c>
      <c r="G3425" s="364" t="s">
        <v>1185</v>
      </c>
      <c r="H3425" s="364" t="s">
        <v>1212</v>
      </c>
    </row>
    <row r="3426" ht="15.75" customHeight="1">
      <c r="A3426" s="364" t="s">
        <v>77</v>
      </c>
      <c r="B3426" s="364" t="s">
        <v>24</v>
      </c>
      <c r="C3426" s="365" t="s">
        <v>750</v>
      </c>
      <c r="D3426" s="364" t="s">
        <v>751</v>
      </c>
      <c r="E3426" s="366">
        <v>3.0</v>
      </c>
      <c r="F3426" s="367">
        <v>46114.58333333333</v>
      </c>
      <c r="G3426" s="364" t="s">
        <v>1185</v>
      </c>
      <c r="H3426" s="364" t="s">
        <v>1212</v>
      </c>
    </row>
    <row r="3427" ht="15.75" customHeight="1">
      <c r="A3427" s="364" t="s">
        <v>77</v>
      </c>
      <c r="B3427" s="364" t="s">
        <v>24</v>
      </c>
      <c r="C3427" s="365" t="s">
        <v>750</v>
      </c>
      <c r="D3427" s="364" t="s">
        <v>751</v>
      </c>
      <c r="E3427" s="366">
        <v>4.0</v>
      </c>
      <c r="F3427" s="367">
        <v>46121.58333333333</v>
      </c>
      <c r="G3427" s="364" t="s">
        <v>1187</v>
      </c>
      <c r="H3427" s="364" t="s">
        <v>1212</v>
      </c>
    </row>
    <row r="3428" ht="15.75" customHeight="1">
      <c r="A3428" s="364" t="s">
        <v>77</v>
      </c>
      <c r="B3428" s="364" t="s">
        <v>24</v>
      </c>
      <c r="C3428" s="365" t="s">
        <v>750</v>
      </c>
      <c r="D3428" s="364" t="s">
        <v>751</v>
      </c>
      <c r="E3428" s="366">
        <v>5.0</v>
      </c>
      <c r="F3428" s="367">
        <v>46128.58333333333</v>
      </c>
      <c r="G3428" s="364" t="s">
        <v>1185</v>
      </c>
      <c r="H3428" s="364" t="s">
        <v>1212</v>
      </c>
    </row>
    <row r="3429" ht="15.75" customHeight="1">
      <c r="A3429" s="364" t="s">
        <v>77</v>
      </c>
      <c r="B3429" s="364" t="s">
        <v>24</v>
      </c>
      <c r="C3429" s="365" t="s">
        <v>750</v>
      </c>
      <c r="D3429" s="364" t="s">
        <v>751</v>
      </c>
      <c r="E3429" s="366">
        <v>6.0</v>
      </c>
      <c r="F3429" s="367">
        <v>46135.58333333333</v>
      </c>
      <c r="G3429" s="364" t="s">
        <v>1185</v>
      </c>
      <c r="H3429" s="364" t="s">
        <v>1212</v>
      </c>
    </row>
    <row r="3430" ht="15.75" customHeight="1">
      <c r="A3430" s="364" t="s">
        <v>77</v>
      </c>
      <c r="B3430" s="364" t="s">
        <v>24</v>
      </c>
      <c r="C3430" s="365" t="s">
        <v>750</v>
      </c>
      <c r="D3430" s="364" t="s">
        <v>751</v>
      </c>
      <c r="E3430" s="366">
        <v>7.0</v>
      </c>
      <c r="F3430" s="367">
        <v>46149.58333333333</v>
      </c>
      <c r="G3430" s="364" t="s">
        <v>1185</v>
      </c>
      <c r="H3430" s="364" t="s">
        <v>1212</v>
      </c>
    </row>
    <row r="3431" ht="15.75" customHeight="1">
      <c r="A3431" s="364" t="s">
        <v>77</v>
      </c>
      <c r="B3431" s="364" t="s">
        <v>24</v>
      </c>
      <c r="C3431" s="365" t="s">
        <v>750</v>
      </c>
      <c r="D3431" s="364" t="s">
        <v>751</v>
      </c>
      <c r="E3431" s="366">
        <v>8.0</v>
      </c>
      <c r="F3431" s="367">
        <v>46156.58333333333</v>
      </c>
      <c r="G3431" s="364" t="s">
        <v>1185</v>
      </c>
      <c r="H3431" s="364" t="s">
        <v>1212</v>
      </c>
    </row>
    <row r="3432" ht="15.75" customHeight="1">
      <c r="A3432" s="364" t="s">
        <v>77</v>
      </c>
      <c r="B3432" s="364" t="s">
        <v>24</v>
      </c>
      <c r="C3432" s="365" t="s">
        <v>750</v>
      </c>
      <c r="D3432" s="364" t="s">
        <v>751</v>
      </c>
      <c r="E3432" s="366">
        <v>10.0</v>
      </c>
      <c r="F3432" s="367">
        <v>46184.54166666667</v>
      </c>
      <c r="G3432" s="364" t="s">
        <v>1185</v>
      </c>
      <c r="H3432" s="364" t="s">
        <v>1212</v>
      </c>
    </row>
    <row r="3433" ht="15.75" customHeight="1">
      <c r="A3433" s="364" t="s">
        <v>77</v>
      </c>
      <c r="B3433" s="364" t="s">
        <v>24</v>
      </c>
      <c r="C3433" s="365" t="s">
        <v>750</v>
      </c>
      <c r="D3433" s="364" t="s">
        <v>751</v>
      </c>
      <c r="E3433" s="366">
        <v>11.0</v>
      </c>
      <c r="F3433" s="367">
        <v>46191.54166666667</v>
      </c>
      <c r="G3433" s="364" t="s">
        <v>1185</v>
      </c>
      <c r="H3433" s="364" t="s">
        <v>1212</v>
      </c>
    </row>
    <row r="3434" ht="15.75" customHeight="1">
      <c r="A3434" s="364" t="s">
        <v>78</v>
      </c>
      <c r="B3434" s="364" t="s">
        <v>22</v>
      </c>
      <c r="C3434" s="365" t="s">
        <v>769</v>
      </c>
      <c r="D3434" s="364" t="s">
        <v>770</v>
      </c>
      <c r="E3434" s="366">
        <v>1.0</v>
      </c>
      <c r="F3434" s="367">
        <v>45638.45833333333</v>
      </c>
      <c r="G3434" s="364" t="s">
        <v>1185</v>
      </c>
      <c r="H3434" s="364" t="s">
        <v>1213</v>
      </c>
    </row>
    <row r="3435" ht="15.75" customHeight="1">
      <c r="A3435" s="364" t="s">
        <v>78</v>
      </c>
      <c r="B3435" s="364" t="s">
        <v>22</v>
      </c>
      <c r="C3435" s="365" t="s">
        <v>769</v>
      </c>
      <c r="D3435" s="364" t="s">
        <v>770</v>
      </c>
      <c r="E3435" s="366">
        <v>2.0</v>
      </c>
      <c r="F3435" s="367">
        <v>45659.45833333333</v>
      </c>
      <c r="G3435" s="364" t="s">
        <v>1185</v>
      </c>
      <c r="H3435" s="364" t="s">
        <v>1213</v>
      </c>
    </row>
    <row r="3436" ht="15.75" customHeight="1">
      <c r="A3436" s="364" t="s">
        <v>78</v>
      </c>
      <c r="B3436" s="364" t="s">
        <v>22</v>
      </c>
      <c r="C3436" s="365" t="s">
        <v>769</v>
      </c>
      <c r="D3436" s="364" t="s">
        <v>770</v>
      </c>
      <c r="E3436" s="366">
        <v>3.0</v>
      </c>
      <c r="F3436" s="367">
        <v>45677.45833333333</v>
      </c>
      <c r="G3436" s="364" t="s">
        <v>1185</v>
      </c>
      <c r="H3436" s="364" t="s">
        <v>1213</v>
      </c>
    </row>
    <row r="3437" ht="15.75" customHeight="1">
      <c r="A3437" s="364" t="s">
        <v>78</v>
      </c>
      <c r="B3437" s="364" t="s">
        <v>22</v>
      </c>
      <c r="C3437" s="365" t="s">
        <v>769</v>
      </c>
      <c r="D3437" s="364" t="s">
        <v>770</v>
      </c>
      <c r="E3437" s="366">
        <v>4.0</v>
      </c>
      <c r="F3437" s="367">
        <v>45692.45833333333</v>
      </c>
      <c r="G3437" s="364" t="s">
        <v>1185</v>
      </c>
      <c r="H3437" s="364" t="s">
        <v>1213</v>
      </c>
    </row>
    <row r="3438" ht="15.75" customHeight="1">
      <c r="A3438" s="364" t="s">
        <v>78</v>
      </c>
      <c r="B3438" s="364" t="s">
        <v>22</v>
      </c>
      <c r="C3438" s="365" t="s">
        <v>769</v>
      </c>
      <c r="D3438" s="364" t="s">
        <v>770</v>
      </c>
      <c r="E3438" s="366">
        <v>5.0</v>
      </c>
      <c r="F3438" s="367">
        <v>45768.54166666667</v>
      </c>
      <c r="G3438" s="364" t="s">
        <v>1185</v>
      </c>
      <c r="H3438" s="364" t="s">
        <v>1213</v>
      </c>
    </row>
    <row r="3439" ht="15.75" customHeight="1">
      <c r="A3439" s="364" t="s">
        <v>78</v>
      </c>
      <c r="B3439" s="364" t="s">
        <v>22</v>
      </c>
      <c r="C3439" s="365" t="s">
        <v>769</v>
      </c>
      <c r="D3439" s="364" t="s">
        <v>770</v>
      </c>
      <c r="E3439" s="366">
        <v>6.0</v>
      </c>
      <c r="F3439" s="367">
        <v>45817.54166666667</v>
      </c>
      <c r="G3439" s="364" t="s">
        <v>1185</v>
      </c>
      <c r="H3439" s="364" t="s">
        <v>1213</v>
      </c>
    </row>
    <row r="3440" ht="15.75" customHeight="1">
      <c r="A3440" s="364" t="s">
        <v>78</v>
      </c>
      <c r="B3440" s="364" t="s">
        <v>22</v>
      </c>
      <c r="C3440" s="365" t="s">
        <v>769</v>
      </c>
      <c r="D3440" s="364" t="s">
        <v>770</v>
      </c>
      <c r="E3440" s="366">
        <v>7.0</v>
      </c>
      <c r="F3440" s="367">
        <v>45831.58333333333</v>
      </c>
      <c r="G3440" s="364" t="s">
        <v>1185</v>
      </c>
      <c r="H3440" s="364" t="s">
        <v>1213</v>
      </c>
    </row>
    <row r="3441" ht="15.75" customHeight="1">
      <c r="A3441" s="364" t="s">
        <v>78</v>
      </c>
      <c r="B3441" s="364" t="s">
        <v>22</v>
      </c>
      <c r="C3441" s="365" t="s">
        <v>769</v>
      </c>
      <c r="D3441" s="364" t="s">
        <v>770</v>
      </c>
      <c r="E3441" s="366">
        <v>8.0</v>
      </c>
      <c r="F3441" s="367">
        <v>45861.41666666667</v>
      </c>
      <c r="G3441" s="364" t="s">
        <v>1185</v>
      </c>
      <c r="H3441" s="364" t="s">
        <v>1213</v>
      </c>
    </row>
    <row r="3442" ht="15.75" customHeight="1">
      <c r="A3442" s="364" t="s">
        <v>78</v>
      </c>
      <c r="B3442" s="364" t="s">
        <v>22</v>
      </c>
      <c r="C3442" s="365" t="s">
        <v>769</v>
      </c>
      <c r="D3442" s="364" t="s">
        <v>770</v>
      </c>
      <c r="E3442" s="366">
        <v>9.0</v>
      </c>
      <c r="F3442" s="367">
        <v>45861.45833333333</v>
      </c>
      <c r="G3442" s="364" t="s">
        <v>1185</v>
      </c>
      <c r="H3442" s="364" t="s">
        <v>1213</v>
      </c>
    </row>
    <row r="3443" ht="15.75" customHeight="1">
      <c r="A3443" s="364" t="s">
        <v>78</v>
      </c>
      <c r="B3443" s="364" t="s">
        <v>22</v>
      </c>
      <c r="C3443" s="365" t="s">
        <v>769</v>
      </c>
      <c r="D3443" s="364" t="s">
        <v>770</v>
      </c>
      <c r="E3443" s="366">
        <v>10.0</v>
      </c>
      <c r="F3443" s="367">
        <v>45887.54166666667</v>
      </c>
      <c r="G3443" s="364" t="s">
        <v>1185</v>
      </c>
      <c r="H3443" s="364" t="s">
        <v>1213</v>
      </c>
    </row>
    <row r="3444" ht="15.75" customHeight="1">
      <c r="A3444" s="364" t="s">
        <v>78</v>
      </c>
      <c r="B3444" s="364" t="s">
        <v>22</v>
      </c>
      <c r="C3444" s="365" t="s">
        <v>771</v>
      </c>
      <c r="D3444" s="364" t="s">
        <v>772</v>
      </c>
      <c r="E3444" s="366">
        <v>1.0</v>
      </c>
      <c r="F3444" s="367">
        <v>45638.45833333333</v>
      </c>
      <c r="G3444" s="364" t="s">
        <v>1185</v>
      </c>
      <c r="H3444" s="364" t="s">
        <v>1213</v>
      </c>
    </row>
    <row r="3445" ht="15.75" customHeight="1">
      <c r="A3445" s="364" t="s">
        <v>78</v>
      </c>
      <c r="B3445" s="364" t="s">
        <v>22</v>
      </c>
      <c r="C3445" s="365" t="s">
        <v>771</v>
      </c>
      <c r="D3445" s="364" t="s">
        <v>772</v>
      </c>
      <c r="E3445" s="366">
        <v>2.0</v>
      </c>
      <c r="F3445" s="367">
        <v>45659.45833333333</v>
      </c>
      <c r="G3445" s="364" t="s">
        <v>1185</v>
      </c>
      <c r="H3445" s="364" t="s">
        <v>1213</v>
      </c>
    </row>
    <row r="3446" ht="15.75" customHeight="1">
      <c r="A3446" s="364" t="s">
        <v>78</v>
      </c>
      <c r="B3446" s="364" t="s">
        <v>22</v>
      </c>
      <c r="C3446" s="365" t="s">
        <v>771</v>
      </c>
      <c r="D3446" s="364" t="s">
        <v>772</v>
      </c>
      <c r="E3446" s="366">
        <v>3.0</v>
      </c>
      <c r="F3446" s="367">
        <v>45677.45833333333</v>
      </c>
      <c r="G3446" s="364" t="s">
        <v>1185</v>
      </c>
      <c r="H3446" s="364" t="s">
        <v>1213</v>
      </c>
    </row>
    <row r="3447" ht="15.75" customHeight="1">
      <c r="A3447" s="364" t="s">
        <v>78</v>
      </c>
      <c r="B3447" s="364" t="s">
        <v>22</v>
      </c>
      <c r="C3447" s="365" t="s">
        <v>771</v>
      </c>
      <c r="D3447" s="364" t="s">
        <v>772</v>
      </c>
      <c r="E3447" s="366">
        <v>4.0</v>
      </c>
      <c r="F3447" s="367">
        <v>45692.45833333333</v>
      </c>
      <c r="G3447" s="364" t="s">
        <v>1185</v>
      </c>
      <c r="H3447" s="364" t="s">
        <v>1213</v>
      </c>
    </row>
    <row r="3448" ht="15.75" customHeight="1">
      <c r="A3448" s="364" t="s">
        <v>78</v>
      </c>
      <c r="B3448" s="364" t="s">
        <v>22</v>
      </c>
      <c r="C3448" s="365" t="s">
        <v>771</v>
      </c>
      <c r="D3448" s="364" t="s">
        <v>772</v>
      </c>
      <c r="E3448" s="366">
        <v>5.0</v>
      </c>
      <c r="F3448" s="367">
        <v>45768.54166666667</v>
      </c>
      <c r="G3448" s="364" t="s">
        <v>1185</v>
      </c>
      <c r="H3448" s="364" t="s">
        <v>1213</v>
      </c>
    </row>
    <row r="3449" ht="15.75" customHeight="1">
      <c r="A3449" s="364" t="s">
        <v>78</v>
      </c>
      <c r="B3449" s="364" t="s">
        <v>22</v>
      </c>
      <c r="C3449" s="365" t="s">
        <v>771</v>
      </c>
      <c r="D3449" s="364" t="s">
        <v>772</v>
      </c>
      <c r="E3449" s="366">
        <v>6.0</v>
      </c>
      <c r="F3449" s="367">
        <v>45817.54166666667</v>
      </c>
      <c r="G3449" s="364" t="s">
        <v>1185</v>
      </c>
      <c r="H3449" s="364" t="s">
        <v>1213</v>
      </c>
    </row>
    <row r="3450" ht="15.75" customHeight="1">
      <c r="A3450" s="364" t="s">
        <v>78</v>
      </c>
      <c r="B3450" s="364" t="s">
        <v>22</v>
      </c>
      <c r="C3450" s="365" t="s">
        <v>771</v>
      </c>
      <c r="D3450" s="364" t="s">
        <v>772</v>
      </c>
      <c r="E3450" s="366">
        <v>7.0</v>
      </c>
      <c r="F3450" s="367">
        <v>45831.58333333333</v>
      </c>
      <c r="G3450" s="364" t="s">
        <v>1187</v>
      </c>
      <c r="H3450" s="364" t="s">
        <v>1213</v>
      </c>
    </row>
    <row r="3451" ht="15.75" customHeight="1">
      <c r="A3451" s="364" t="s">
        <v>78</v>
      </c>
      <c r="B3451" s="364" t="s">
        <v>22</v>
      </c>
      <c r="C3451" s="365" t="s">
        <v>771</v>
      </c>
      <c r="D3451" s="364" t="s">
        <v>772</v>
      </c>
      <c r="E3451" s="366">
        <v>8.0</v>
      </c>
      <c r="F3451" s="367">
        <v>45861.41666666667</v>
      </c>
      <c r="G3451" s="364" t="s">
        <v>1187</v>
      </c>
      <c r="H3451" s="364" t="s">
        <v>1213</v>
      </c>
    </row>
    <row r="3452" ht="15.75" customHeight="1">
      <c r="A3452" s="364" t="s">
        <v>78</v>
      </c>
      <c r="B3452" s="364" t="s">
        <v>22</v>
      </c>
      <c r="C3452" s="365" t="s">
        <v>771</v>
      </c>
      <c r="D3452" s="364" t="s">
        <v>772</v>
      </c>
      <c r="E3452" s="366">
        <v>9.0</v>
      </c>
      <c r="F3452" s="367">
        <v>45861.45833333333</v>
      </c>
      <c r="G3452" s="364" t="s">
        <v>1187</v>
      </c>
      <c r="H3452" s="364" t="s">
        <v>1213</v>
      </c>
    </row>
    <row r="3453" ht="15.75" customHeight="1">
      <c r="A3453" s="364" t="s">
        <v>78</v>
      </c>
      <c r="B3453" s="364" t="s">
        <v>22</v>
      </c>
      <c r="C3453" s="365" t="s">
        <v>771</v>
      </c>
      <c r="D3453" s="364" t="s">
        <v>772</v>
      </c>
      <c r="E3453" s="366">
        <v>10.0</v>
      </c>
      <c r="F3453" s="367">
        <v>45887.54166666667</v>
      </c>
      <c r="G3453" s="364" t="s">
        <v>1185</v>
      </c>
      <c r="H3453" s="364" t="s">
        <v>1213</v>
      </c>
    </row>
    <row r="3454" ht="15.75" customHeight="1">
      <c r="A3454" s="364" t="s">
        <v>78</v>
      </c>
      <c r="B3454" s="364" t="s">
        <v>22</v>
      </c>
      <c r="C3454" s="365" t="s">
        <v>777</v>
      </c>
      <c r="D3454" s="364" t="s">
        <v>778</v>
      </c>
      <c r="E3454" s="366">
        <v>1.0</v>
      </c>
      <c r="F3454" s="367">
        <v>45638.45833333333</v>
      </c>
      <c r="G3454" s="364" t="s">
        <v>1185</v>
      </c>
      <c r="H3454" s="364" t="s">
        <v>1213</v>
      </c>
    </row>
    <row r="3455" ht="15.75" customHeight="1">
      <c r="A3455" s="364" t="s">
        <v>78</v>
      </c>
      <c r="B3455" s="364" t="s">
        <v>22</v>
      </c>
      <c r="C3455" s="365" t="s">
        <v>777</v>
      </c>
      <c r="D3455" s="364" t="s">
        <v>778</v>
      </c>
      <c r="E3455" s="366">
        <v>2.0</v>
      </c>
      <c r="F3455" s="367">
        <v>45659.45833333333</v>
      </c>
      <c r="G3455" s="364" t="s">
        <v>1185</v>
      </c>
      <c r="H3455" s="364" t="s">
        <v>1213</v>
      </c>
    </row>
    <row r="3456" ht="15.75" customHeight="1">
      <c r="A3456" s="364" t="s">
        <v>78</v>
      </c>
      <c r="B3456" s="364" t="s">
        <v>22</v>
      </c>
      <c r="C3456" s="365" t="s">
        <v>777</v>
      </c>
      <c r="D3456" s="364" t="s">
        <v>778</v>
      </c>
      <c r="E3456" s="366">
        <v>3.0</v>
      </c>
      <c r="F3456" s="367">
        <v>45677.45833333333</v>
      </c>
      <c r="G3456" s="364" t="s">
        <v>1185</v>
      </c>
      <c r="H3456" s="364" t="s">
        <v>1213</v>
      </c>
    </row>
    <row r="3457" ht="15.75" customHeight="1">
      <c r="A3457" s="364" t="s">
        <v>78</v>
      </c>
      <c r="B3457" s="364" t="s">
        <v>22</v>
      </c>
      <c r="C3457" s="365" t="s">
        <v>777</v>
      </c>
      <c r="D3457" s="364" t="s">
        <v>778</v>
      </c>
      <c r="E3457" s="366">
        <v>4.0</v>
      </c>
      <c r="F3457" s="367">
        <v>45692.45833333333</v>
      </c>
      <c r="G3457" s="364" t="s">
        <v>1185</v>
      </c>
      <c r="H3457" s="364" t="s">
        <v>1213</v>
      </c>
    </row>
    <row r="3458" ht="15.75" customHeight="1">
      <c r="A3458" s="364" t="s">
        <v>78</v>
      </c>
      <c r="B3458" s="364" t="s">
        <v>22</v>
      </c>
      <c r="C3458" s="365" t="s">
        <v>777</v>
      </c>
      <c r="D3458" s="364" t="s">
        <v>778</v>
      </c>
      <c r="E3458" s="366">
        <v>5.0</v>
      </c>
      <c r="F3458" s="367">
        <v>45768.54166666667</v>
      </c>
      <c r="G3458" s="364" t="s">
        <v>1187</v>
      </c>
      <c r="H3458" s="364" t="s">
        <v>1213</v>
      </c>
    </row>
    <row r="3459" ht="15.75" customHeight="1">
      <c r="A3459" s="364" t="s">
        <v>78</v>
      </c>
      <c r="B3459" s="364" t="s">
        <v>22</v>
      </c>
      <c r="C3459" s="365" t="s">
        <v>777</v>
      </c>
      <c r="D3459" s="364" t="s">
        <v>778</v>
      </c>
      <c r="E3459" s="366">
        <v>6.0</v>
      </c>
      <c r="F3459" s="367">
        <v>45817.54166666667</v>
      </c>
      <c r="G3459" s="364" t="s">
        <v>1185</v>
      </c>
      <c r="H3459" s="364" t="s">
        <v>1213</v>
      </c>
    </row>
    <row r="3460" ht="15.75" customHeight="1">
      <c r="A3460" s="364" t="s">
        <v>78</v>
      </c>
      <c r="B3460" s="364" t="s">
        <v>22</v>
      </c>
      <c r="C3460" s="365" t="s">
        <v>777</v>
      </c>
      <c r="D3460" s="364" t="s">
        <v>778</v>
      </c>
      <c r="E3460" s="366">
        <v>7.0</v>
      </c>
      <c r="F3460" s="367">
        <v>45831.58333333333</v>
      </c>
      <c r="G3460" s="364" t="s">
        <v>1187</v>
      </c>
      <c r="H3460" s="364" t="s">
        <v>1213</v>
      </c>
    </row>
    <row r="3461" ht="15.75" customHeight="1">
      <c r="A3461" s="364" t="s">
        <v>78</v>
      </c>
      <c r="B3461" s="364" t="s">
        <v>22</v>
      </c>
      <c r="C3461" s="365" t="s">
        <v>777</v>
      </c>
      <c r="D3461" s="364" t="s">
        <v>778</v>
      </c>
      <c r="E3461" s="366">
        <v>8.0</v>
      </c>
      <c r="F3461" s="367">
        <v>45861.41666666667</v>
      </c>
      <c r="G3461" s="364" t="s">
        <v>1187</v>
      </c>
      <c r="H3461" s="364" t="s">
        <v>1213</v>
      </c>
    </row>
    <row r="3462" ht="15.75" customHeight="1">
      <c r="A3462" s="364" t="s">
        <v>78</v>
      </c>
      <c r="B3462" s="364" t="s">
        <v>22</v>
      </c>
      <c r="C3462" s="365" t="s">
        <v>777</v>
      </c>
      <c r="D3462" s="364" t="s">
        <v>778</v>
      </c>
      <c r="E3462" s="366">
        <v>9.0</v>
      </c>
      <c r="F3462" s="367">
        <v>45861.45833333333</v>
      </c>
      <c r="G3462" s="364" t="s">
        <v>1187</v>
      </c>
      <c r="H3462" s="364" t="s">
        <v>1213</v>
      </c>
    </row>
    <row r="3463" ht="15.75" customHeight="1">
      <c r="A3463" s="364" t="s">
        <v>78</v>
      </c>
      <c r="B3463" s="364" t="s">
        <v>22</v>
      </c>
      <c r="C3463" s="365" t="s">
        <v>777</v>
      </c>
      <c r="D3463" s="364" t="s">
        <v>778</v>
      </c>
      <c r="E3463" s="366">
        <v>10.0</v>
      </c>
      <c r="F3463" s="367">
        <v>45887.54166666667</v>
      </c>
      <c r="G3463" s="364" t="s">
        <v>1187</v>
      </c>
      <c r="H3463" s="364" t="s">
        <v>1213</v>
      </c>
    </row>
    <row r="3464" ht="15.75" customHeight="1">
      <c r="A3464" s="364" t="s">
        <v>78</v>
      </c>
      <c r="B3464" s="364" t="s">
        <v>22</v>
      </c>
      <c r="C3464" s="365" t="s">
        <v>773</v>
      </c>
      <c r="D3464" s="364" t="s">
        <v>774</v>
      </c>
      <c r="E3464" s="366">
        <v>1.0</v>
      </c>
      <c r="F3464" s="367">
        <v>45638.45833333333</v>
      </c>
      <c r="G3464" s="364" t="s">
        <v>1185</v>
      </c>
      <c r="H3464" s="364" t="s">
        <v>1213</v>
      </c>
    </row>
    <row r="3465" ht="15.75" customHeight="1">
      <c r="A3465" s="364" t="s">
        <v>78</v>
      </c>
      <c r="B3465" s="364" t="s">
        <v>22</v>
      </c>
      <c r="C3465" s="365" t="s">
        <v>773</v>
      </c>
      <c r="D3465" s="364" t="s">
        <v>774</v>
      </c>
      <c r="E3465" s="366">
        <v>2.0</v>
      </c>
      <c r="F3465" s="367">
        <v>45659.45833333333</v>
      </c>
      <c r="G3465" s="364" t="s">
        <v>1185</v>
      </c>
      <c r="H3465" s="364" t="s">
        <v>1213</v>
      </c>
    </row>
    <row r="3466" ht="15.75" customHeight="1">
      <c r="A3466" s="364" t="s">
        <v>78</v>
      </c>
      <c r="B3466" s="364" t="s">
        <v>22</v>
      </c>
      <c r="C3466" s="365" t="s">
        <v>773</v>
      </c>
      <c r="D3466" s="364" t="s">
        <v>774</v>
      </c>
      <c r="E3466" s="366">
        <v>3.0</v>
      </c>
      <c r="F3466" s="367">
        <v>45677.45833333333</v>
      </c>
      <c r="G3466" s="364" t="s">
        <v>1185</v>
      </c>
      <c r="H3466" s="364" t="s">
        <v>1213</v>
      </c>
    </row>
    <row r="3467" ht="15.75" customHeight="1">
      <c r="A3467" s="364" t="s">
        <v>78</v>
      </c>
      <c r="B3467" s="364" t="s">
        <v>22</v>
      </c>
      <c r="C3467" s="365" t="s">
        <v>773</v>
      </c>
      <c r="D3467" s="364" t="s">
        <v>774</v>
      </c>
      <c r="E3467" s="366">
        <v>4.0</v>
      </c>
      <c r="F3467" s="367">
        <v>45692.45833333333</v>
      </c>
      <c r="G3467" s="364" t="s">
        <v>1185</v>
      </c>
      <c r="H3467" s="364" t="s">
        <v>1213</v>
      </c>
    </row>
    <row r="3468" ht="15.75" customHeight="1">
      <c r="A3468" s="364" t="s">
        <v>78</v>
      </c>
      <c r="B3468" s="364" t="s">
        <v>22</v>
      </c>
      <c r="C3468" s="365" t="s">
        <v>773</v>
      </c>
      <c r="D3468" s="364" t="s">
        <v>774</v>
      </c>
      <c r="E3468" s="366">
        <v>5.0</v>
      </c>
      <c r="F3468" s="367">
        <v>45768.54166666667</v>
      </c>
      <c r="G3468" s="364" t="s">
        <v>1185</v>
      </c>
      <c r="H3468" s="364" t="s">
        <v>1213</v>
      </c>
    </row>
    <row r="3469" ht="15.75" customHeight="1">
      <c r="A3469" s="364" t="s">
        <v>78</v>
      </c>
      <c r="B3469" s="364" t="s">
        <v>22</v>
      </c>
      <c r="C3469" s="365" t="s">
        <v>773</v>
      </c>
      <c r="D3469" s="364" t="s">
        <v>774</v>
      </c>
      <c r="E3469" s="366">
        <v>6.0</v>
      </c>
      <c r="F3469" s="367">
        <v>45817.54166666667</v>
      </c>
      <c r="G3469" s="364" t="s">
        <v>1185</v>
      </c>
      <c r="H3469" s="364" t="s">
        <v>1213</v>
      </c>
    </row>
    <row r="3470" ht="15.75" customHeight="1">
      <c r="A3470" s="364" t="s">
        <v>78</v>
      </c>
      <c r="B3470" s="364" t="s">
        <v>22</v>
      </c>
      <c r="C3470" s="365" t="s">
        <v>773</v>
      </c>
      <c r="D3470" s="364" t="s">
        <v>774</v>
      </c>
      <c r="E3470" s="366">
        <v>7.0</v>
      </c>
      <c r="F3470" s="367">
        <v>45831.58333333333</v>
      </c>
      <c r="G3470" s="364" t="s">
        <v>1185</v>
      </c>
      <c r="H3470" s="364" t="s">
        <v>1213</v>
      </c>
    </row>
    <row r="3471" ht="15.75" customHeight="1">
      <c r="A3471" s="364" t="s">
        <v>78</v>
      </c>
      <c r="B3471" s="364" t="s">
        <v>22</v>
      </c>
      <c r="C3471" s="365" t="s">
        <v>773</v>
      </c>
      <c r="D3471" s="364" t="s">
        <v>774</v>
      </c>
      <c r="E3471" s="366">
        <v>8.0</v>
      </c>
      <c r="F3471" s="367">
        <v>45861.41666666667</v>
      </c>
      <c r="G3471" s="364" t="s">
        <v>1185</v>
      </c>
      <c r="H3471" s="364" t="s">
        <v>1213</v>
      </c>
    </row>
    <row r="3472" ht="15.75" customHeight="1">
      <c r="A3472" s="364" t="s">
        <v>78</v>
      </c>
      <c r="B3472" s="364" t="s">
        <v>22</v>
      </c>
      <c r="C3472" s="365" t="s">
        <v>773</v>
      </c>
      <c r="D3472" s="364" t="s">
        <v>774</v>
      </c>
      <c r="E3472" s="366">
        <v>9.0</v>
      </c>
      <c r="F3472" s="367">
        <v>45861.45833333333</v>
      </c>
      <c r="G3472" s="364" t="s">
        <v>1185</v>
      </c>
      <c r="H3472" s="364" t="s">
        <v>1213</v>
      </c>
    </row>
    <row r="3473" ht="15.75" customHeight="1">
      <c r="A3473" s="364" t="s">
        <v>78</v>
      </c>
      <c r="B3473" s="364" t="s">
        <v>22</v>
      </c>
      <c r="C3473" s="365" t="s">
        <v>773</v>
      </c>
      <c r="D3473" s="364" t="s">
        <v>774</v>
      </c>
      <c r="E3473" s="366">
        <v>10.0</v>
      </c>
      <c r="F3473" s="367">
        <v>45887.54166666667</v>
      </c>
      <c r="G3473" s="364" t="s">
        <v>1185</v>
      </c>
      <c r="H3473" s="364" t="s">
        <v>1213</v>
      </c>
    </row>
    <row r="3474" ht="15.75" customHeight="1">
      <c r="A3474" s="364" t="s">
        <v>78</v>
      </c>
      <c r="B3474" s="364" t="s">
        <v>22</v>
      </c>
      <c r="C3474" s="365" t="s">
        <v>775</v>
      </c>
      <c r="D3474" s="364" t="s">
        <v>776</v>
      </c>
      <c r="E3474" s="366">
        <v>1.0</v>
      </c>
      <c r="F3474" s="367">
        <v>45638.45833333333</v>
      </c>
      <c r="G3474" s="364" t="s">
        <v>1185</v>
      </c>
      <c r="H3474" s="364" t="s">
        <v>1213</v>
      </c>
    </row>
    <row r="3475" ht="15.75" customHeight="1">
      <c r="A3475" s="364" t="s">
        <v>78</v>
      </c>
      <c r="B3475" s="364" t="s">
        <v>22</v>
      </c>
      <c r="C3475" s="365" t="s">
        <v>775</v>
      </c>
      <c r="D3475" s="364" t="s">
        <v>776</v>
      </c>
      <c r="E3475" s="366">
        <v>2.0</v>
      </c>
      <c r="F3475" s="367">
        <v>45659.45833333333</v>
      </c>
      <c r="G3475" s="364" t="s">
        <v>1185</v>
      </c>
      <c r="H3475" s="364" t="s">
        <v>1213</v>
      </c>
    </row>
    <row r="3476" ht="15.75" customHeight="1">
      <c r="A3476" s="364" t="s">
        <v>78</v>
      </c>
      <c r="B3476" s="364" t="s">
        <v>22</v>
      </c>
      <c r="C3476" s="365" t="s">
        <v>775</v>
      </c>
      <c r="D3476" s="364" t="s">
        <v>776</v>
      </c>
      <c r="E3476" s="366">
        <v>3.0</v>
      </c>
      <c r="F3476" s="367">
        <v>45677.45833333333</v>
      </c>
      <c r="G3476" s="364" t="s">
        <v>1185</v>
      </c>
      <c r="H3476" s="364" t="s">
        <v>1213</v>
      </c>
    </row>
    <row r="3477" ht="15.75" customHeight="1">
      <c r="A3477" s="364" t="s">
        <v>78</v>
      </c>
      <c r="B3477" s="364" t="s">
        <v>22</v>
      </c>
      <c r="C3477" s="365" t="s">
        <v>775</v>
      </c>
      <c r="D3477" s="364" t="s">
        <v>776</v>
      </c>
      <c r="E3477" s="366">
        <v>4.0</v>
      </c>
      <c r="F3477" s="367">
        <v>45692.45833333333</v>
      </c>
      <c r="G3477" s="364" t="s">
        <v>1185</v>
      </c>
      <c r="H3477" s="364" t="s">
        <v>1213</v>
      </c>
    </row>
    <row r="3478" ht="15.75" customHeight="1">
      <c r="A3478" s="364" t="s">
        <v>78</v>
      </c>
      <c r="B3478" s="364" t="s">
        <v>22</v>
      </c>
      <c r="C3478" s="365" t="s">
        <v>775</v>
      </c>
      <c r="D3478" s="364" t="s">
        <v>776</v>
      </c>
      <c r="E3478" s="366">
        <v>5.0</v>
      </c>
      <c r="F3478" s="367">
        <v>45768.54166666667</v>
      </c>
      <c r="G3478" s="364" t="s">
        <v>1185</v>
      </c>
      <c r="H3478" s="364" t="s">
        <v>1213</v>
      </c>
    </row>
    <row r="3479" ht="15.75" customHeight="1">
      <c r="A3479" s="364" t="s">
        <v>78</v>
      </c>
      <c r="B3479" s="364" t="s">
        <v>22</v>
      </c>
      <c r="C3479" s="365" t="s">
        <v>775</v>
      </c>
      <c r="D3479" s="364" t="s">
        <v>776</v>
      </c>
      <c r="E3479" s="366">
        <v>6.0</v>
      </c>
      <c r="F3479" s="367">
        <v>45817.54166666667</v>
      </c>
      <c r="G3479" s="364" t="s">
        <v>1185</v>
      </c>
      <c r="H3479" s="364" t="s">
        <v>1213</v>
      </c>
    </row>
    <row r="3480" ht="15.75" customHeight="1">
      <c r="A3480" s="364" t="s">
        <v>78</v>
      </c>
      <c r="B3480" s="364" t="s">
        <v>22</v>
      </c>
      <c r="C3480" s="365" t="s">
        <v>775</v>
      </c>
      <c r="D3480" s="364" t="s">
        <v>776</v>
      </c>
      <c r="E3480" s="366">
        <v>7.0</v>
      </c>
      <c r="F3480" s="367">
        <v>45831.58333333333</v>
      </c>
      <c r="G3480" s="364" t="s">
        <v>1185</v>
      </c>
      <c r="H3480" s="364" t="s">
        <v>1213</v>
      </c>
    </row>
    <row r="3481" ht="15.75" customHeight="1">
      <c r="A3481" s="364" t="s">
        <v>78</v>
      </c>
      <c r="B3481" s="364" t="s">
        <v>22</v>
      </c>
      <c r="C3481" s="365" t="s">
        <v>775</v>
      </c>
      <c r="D3481" s="364" t="s">
        <v>776</v>
      </c>
      <c r="E3481" s="366">
        <v>8.0</v>
      </c>
      <c r="F3481" s="367">
        <v>45861.41666666667</v>
      </c>
      <c r="G3481" s="364" t="s">
        <v>1185</v>
      </c>
      <c r="H3481" s="364" t="s">
        <v>1213</v>
      </c>
    </row>
    <row r="3482" ht="15.75" customHeight="1">
      <c r="A3482" s="364" t="s">
        <v>78</v>
      </c>
      <c r="B3482" s="364" t="s">
        <v>22</v>
      </c>
      <c r="C3482" s="365" t="s">
        <v>775</v>
      </c>
      <c r="D3482" s="364" t="s">
        <v>776</v>
      </c>
      <c r="E3482" s="366">
        <v>9.0</v>
      </c>
      <c r="F3482" s="367">
        <v>45861.45833333333</v>
      </c>
      <c r="G3482" s="364" t="s">
        <v>1185</v>
      </c>
      <c r="H3482" s="364" t="s">
        <v>1213</v>
      </c>
    </row>
    <row r="3483" ht="15.75" customHeight="1">
      <c r="A3483" s="364" t="s">
        <v>78</v>
      </c>
      <c r="B3483" s="364" t="s">
        <v>22</v>
      </c>
      <c r="C3483" s="365" t="s">
        <v>775</v>
      </c>
      <c r="D3483" s="364" t="s">
        <v>776</v>
      </c>
      <c r="E3483" s="366">
        <v>10.0</v>
      </c>
      <c r="F3483" s="367">
        <v>45887.54166666667</v>
      </c>
      <c r="G3483" s="364" t="s">
        <v>1185</v>
      </c>
      <c r="H3483" s="364" t="s">
        <v>1213</v>
      </c>
    </row>
    <row r="3484" ht="15.75" customHeight="1">
      <c r="A3484" s="364" t="s">
        <v>78</v>
      </c>
      <c r="B3484" s="364" t="s">
        <v>22</v>
      </c>
      <c r="C3484" s="365" t="s">
        <v>779</v>
      </c>
      <c r="D3484" s="364" t="s">
        <v>780</v>
      </c>
      <c r="E3484" s="366">
        <v>1.0</v>
      </c>
      <c r="F3484" s="367">
        <v>45638.45833333333</v>
      </c>
      <c r="G3484" s="364" t="s">
        <v>1185</v>
      </c>
      <c r="H3484" s="364" t="s">
        <v>1213</v>
      </c>
    </row>
    <row r="3485" ht="15.75" customHeight="1">
      <c r="A3485" s="364" t="s">
        <v>78</v>
      </c>
      <c r="B3485" s="364" t="s">
        <v>22</v>
      </c>
      <c r="C3485" s="365" t="s">
        <v>779</v>
      </c>
      <c r="D3485" s="364" t="s">
        <v>780</v>
      </c>
      <c r="E3485" s="366">
        <v>2.0</v>
      </c>
      <c r="F3485" s="367">
        <v>45659.45833333333</v>
      </c>
      <c r="G3485" s="364" t="s">
        <v>1185</v>
      </c>
      <c r="H3485" s="364" t="s">
        <v>1213</v>
      </c>
    </row>
    <row r="3486" ht="15.75" customHeight="1">
      <c r="A3486" s="364" t="s">
        <v>78</v>
      </c>
      <c r="B3486" s="364" t="s">
        <v>22</v>
      </c>
      <c r="C3486" s="365" t="s">
        <v>779</v>
      </c>
      <c r="D3486" s="364" t="s">
        <v>780</v>
      </c>
      <c r="E3486" s="366">
        <v>3.0</v>
      </c>
      <c r="F3486" s="367">
        <v>45677.45833333333</v>
      </c>
      <c r="G3486" s="364" t="s">
        <v>1187</v>
      </c>
      <c r="H3486" s="364" t="s">
        <v>1213</v>
      </c>
    </row>
    <row r="3487" ht="15.75" customHeight="1">
      <c r="A3487" s="364" t="s">
        <v>78</v>
      </c>
      <c r="B3487" s="364" t="s">
        <v>22</v>
      </c>
      <c r="C3487" s="365" t="s">
        <v>779</v>
      </c>
      <c r="D3487" s="364" t="s">
        <v>780</v>
      </c>
      <c r="E3487" s="366">
        <v>4.0</v>
      </c>
      <c r="F3487" s="367">
        <v>45692.45833333333</v>
      </c>
      <c r="G3487" s="364" t="s">
        <v>1185</v>
      </c>
      <c r="H3487" s="364" t="s">
        <v>1213</v>
      </c>
    </row>
    <row r="3488" ht="15.75" customHeight="1">
      <c r="A3488" s="364" t="s">
        <v>78</v>
      </c>
      <c r="B3488" s="364" t="s">
        <v>22</v>
      </c>
      <c r="C3488" s="365" t="s">
        <v>779</v>
      </c>
      <c r="D3488" s="364" t="s">
        <v>780</v>
      </c>
      <c r="E3488" s="366">
        <v>5.0</v>
      </c>
      <c r="F3488" s="367">
        <v>45768.54166666667</v>
      </c>
      <c r="G3488" s="364" t="s">
        <v>1187</v>
      </c>
      <c r="H3488" s="364" t="s">
        <v>1213</v>
      </c>
    </row>
    <row r="3489" ht="15.75" customHeight="1">
      <c r="A3489" s="364" t="s">
        <v>78</v>
      </c>
      <c r="B3489" s="364" t="s">
        <v>22</v>
      </c>
      <c r="C3489" s="365" t="s">
        <v>779</v>
      </c>
      <c r="D3489" s="364" t="s">
        <v>780</v>
      </c>
      <c r="E3489" s="366">
        <v>6.0</v>
      </c>
      <c r="F3489" s="367">
        <v>45817.54166666667</v>
      </c>
      <c r="G3489" s="364" t="s">
        <v>1185</v>
      </c>
      <c r="H3489" s="364" t="s">
        <v>1213</v>
      </c>
    </row>
    <row r="3490" ht="15.75" customHeight="1">
      <c r="A3490" s="364" t="s">
        <v>78</v>
      </c>
      <c r="B3490" s="364" t="s">
        <v>22</v>
      </c>
      <c r="C3490" s="365" t="s">
        <v>779</v>
      </c>
      <c r="D3490" s="364" t="s">
        <v>780</v>
      </c>
      <c r="E3490" s="366">
        <v>7.0</v>
      </c>
      <c r="F3490" s="367">
        <v>45831.58333333333</v>
      </c>
      <c r="G3490" s="364" t="s">
        <v>1187</v>
      </c>
      <c r="H3490" s="364" t="s">
        <v>1213</v>
      </c>
    </row>
    <row r="3491" ht="15.75" customHeight="1">
      <c r="A3491" s="364" t="s">
        <v>78</v>
      </c>
      <c r="B3491" s="364" t="s">
        <v>22</v>
      </c>
      <c r="C3491" s="365" t="s">
        <v>779</v>
      </c>
      <c r="D3491" s="364" t="s">
        <v>780</v>
      </c>
      <c r="E3491" s="366">
        <v>8.0</v>
      </c>
      <c r="F3491" s="367">
        <v>45861.41666666667</v>
      </c>
      <c r="G3491" s="364" t="s">
        <v>1187</v>
      </c>
      <c r="H3491" s="364" t="s">
        <v>1213</v>
      </c>
    </row>
    <row r="3492" ht="15.75" customHeight="1">
      <c r="A3492" s="364" t="s">
        <v>78</v>
      </c>
      <c r="B3492" s="364" t="s">
        <v>22</v>
      </c>
      <c r="C3492" s="365" t="s">
        <v>779</v>
      </c>
      <c r="D3492" s="364" t="s">
        <v>780</v>
      </c>
      <c r="E3492" s="366">
        <v>9.0</v>
      </c>
      <c r="F3492" s="367">
        <v>45861.45833333333</v>
      </c>
      <c r="G3492" s="364" t="s">
        <v>1187</v>
      </c>
      <c r="H3492" s="364" t="s">
        <v>1213</v>
      </c>
    </row>
    <row r="3493" ht="15.75" customHeight="1">
      <c r="A3493" s="364" t="s">
        <v>78</v>
      </c>
      <c r="B3493" s="364" t="s">
        <v>22</v>
      </c>
      <c r="C3493" s="365" t="s">
        <v>779</v>
      </c>
      <c r="D3493" s="364" t="s">
        <v>780</v>
      </c>
      <c r="E3493" s="366">
        <v>10.0</v>
      </c>
      <c r="F3493" s="367">
        <v>45887.54166666667</v>
      </c>
      <c r="G3493" s="364" t="s">
        <v>1187</v>
      </c>
      <c r="H3493" s="364" t="s">
        <v>1213</v>
      </c>
    </row>
    <row r="3494" ht="15.75" customHeight="1">
      <c r="A3494" s="364" t="s">
        <v>79</v>
      </c>
      <c r="B3494" s="364" t="s">
        <v>22</v>
      </c>
      <c r="C3494" s="365" t="s">
        <v>781</v>
      </c>
      <c r="D3494" s="364" t="s">
        <v>782</v>
      </c>
      <c r="E3494" s="366">
        <v>1.0</v>
      </c>
      <c r="F3494" s="367">
        <v>45645.45833333333</v>
      </c>
      <c r="G3494" s="364" t="s">
        <v>1185</v>
      </c>
      <c r="H3494" s="364" t="s">
        <v>1214</v>
      </c>
    </row>
    <row r="3495" ht="15.75" customHeight="1">
      <c r="A3495" s="364" t="s">
        <v>79</v>
      </c>
      <c r="B3495" s="364" t="s">
        <v>22</v>
      </c>
      <c r="C3495" s="365" t="s">
        <v>781</v>
      </c>
      <c r="D3495" s="364" t="s">
        <v>782</v>
      </c>
      <c r="E3495" s="366">
        <v>2.0</v>
      </c>
      <c r="F3495" s="367">
        <v>45652.45833333333</v>
      </c>
      <c r="G3495" s="364" t="s">
        <v>1185</v>
      </c>
      <c r="H3495" s="364" t="s">
        <v>1214</v>
      </c>
    </row>
    <row r="3496" ht="15.75" customHeight="1">
      <c r="A3496" s="364" t="s">
        <v>79</v>
      </c>
      <c r="B3496" s="364" t="s">
        <v>22</v>
      </c>
      <c r="C3496" s="365" t="s">
        <v>781</v>
      </c>
      <c r="D3496" s="364" t="s">
        <v>782</v>
      </c>
      <c r="E3496" s="366">
        <v>3.0</v>
      </c>
      <c r="F3496" s="367">
        <v>45670.45833333333</v>
      </c>
      <c r="G3496" s="364" t="s">
        <v>1185</v>
      </c>
      <c r="H3496" s="364" t="s">
        <v>1214</v>
      </c>
    </row>
    <row r="3497" ht="15.75" customHeight="1">
      <c r="A3497" s="364" t="s">
        <v>79</v>
      </c>
      <c r="B3497" s="364" t="s">
        <v>22</v>
      </c>
      <c r="C3497" s="365" t="s">
        <v>781</v>
      </c>
      <c r="D3497" s="364" t="s">
        <v>782</v>
      </c>
      <c r="E3497" s="366">
        <v>4.0</v>
      </c>
      <c r="F3497" s="367">
        <v>45698.41666666667</v>
      </c>
      <c r="G3497" s="364" t="s">
        <v>1185</v>
      </c>
      <c r="H3497" s="364" t="s">
        <v>1214</v>
      </c>
    </row>
    <row r="3498" ht="15.75" customHeight="1">
      <c r="A3498" s="364" t="s">
        <v>79</v>
      </c>
      <c r="B3498" s="364" t="s">
        <v>22</v>
      </c>
      <c r="C3498" s="365" t="s">
        <v>781</v>
      </c>
      <c r="D3498" s="364" t="s">
        <v>782</v>
      </c>
      <c r="E3498" s="366">
        <v>5.0</v>
      </c>
      <c r="F3498" s="367">
        <v>45761.54166666667</v>
      </c>
      <c r="G3498" s="364" t="s">
        <v>1185</v>
      </c>
      <c r="H3498" s="364" t="s">
        <v>1214</v>
      </c>
    </row>
    <row r="3499" ht="15.75" customHeight="1">
      <c r="A3499" s="364" t="s">
        <v>79</v>
      </c>
      <c r="B3499" s="364" t="s">
        <v>22</v>
      </c>
      <c r="C3499" s="365" t="s">
        <v>781</v>
      </c>
      <c r="D3499" s="364" t="s">
        <v>782</v>
      </c>
      <c r="E3499" s="366">
        <v>6.0</v>
      </c>
      <c r="F3499" s="367">
        <v>45789.54166666667</v>
      </c>
      <c r="G3499" s="364" t="s">
        <v>1185</v>
      </c>
      <c r="H3499" s="364" t="s">
        <v>1214</v>
      </c>
    </row>
    <row r="3500" ht="15.75" customHeight="1">
      <c r="A3500" s="364" t="s">
        <v>79</v>
      </c>
      <c r="B3500" s="364" t="s">
        <v>22</v>
      </c>
      <c r="C3500" s="365" t="s">
        <v>781</v>
      </c>
      <c r="D3500" s="364" t="s">
        <v>782</v>
      </c>
      <c r="E3500" s="366">
        <v>7.0</v>
      </c>
      <c r="F3500" s="367">
        <v>45803.41666666667</v>
      </c>
      <c r="G3500" s="364" t="s">
        <v>1185</v>
      </c>
      <c r="H3500" s="364" t="s">
        <v>1214</v>
      </c>
    </row>
    <row r="3501" ht="15.75" customHeight="1">
      <c r="A3501" s="364" t="s">
        <v>79</v>
      </c>
      <c r="B3501" s="364" t="s">
        <v>22</v>
      </c>
      <c r="C3501" s="365" t="s">
        <v>781</v>
      </c>
      <c r="D3501" s="364" t="s">
        <v>782</v>
      </c>
      <c r="E3501" s="366">
        <v>8.0</v>
      </c>
      <c r="F3501" s="367">
        <v>45817.41666666667</v>
      </c>
      <c r="G3501" s="364" t="s">
        <v>1185</v>
      </c>
      <c r="H3501" s="364" t="s">
        <v>1214</v>
      </c>
    </row>
    <row r="3502" ht="15.75" customHeight="1">
      <c r="A3502" s="364" t="s">
        <v>79</v>
      </c>
      <c r="B3502" s="364" t="s">
        <v>22</v>
      </c>
      <c r="C3502" s="365" t="s">
        <v>781</v>
      </c>
      <c r="D3502" s="364" t="s">
        <v>782</v>
      </c>
      <c r="E3502" s="366">
        <v>9.0</v>
      </c>
      <c r="F3502" s="367">
        <v>45831.41666666667</v>
      </c>
      <c r="G3502" s="364" t="s">
        <v>1185</v>
      </c>
      <c r="H3502" s="364" t="s">
        <v>1214</v>
      </c>
    </row>
    <row r="3503" ht="15.75" customHeight="1">
      <c r="A3503" s="364" t="s">
        <v>79</v>
      </c>
      <c r="B3503" s="364" t="s">
        <v>22</v>
      </c>
      <c r="C3503" s="365" t="s">
        <v>781</v>
      </c>
      <c r="D3503" s="364" t="s">
        <v>782</v>
      </c>
      <c r="E3503" s="366">
        <v>10.0</v>
      </c>
      <c r="F3503" s="367">
        <v>45859.54166666667</v>
      </c>
      <c r="G3503" s="364" t="s">
        <v>1185</v>
      </c>
      <c r="H3503" s="364" t="s">
        <v>1214</v>
      </c>
    </row>
    <row r="3504" ht="15.75" customHeight="1">
      <c r="A3504" s="364" t="s">
        <v>79</v>
      </c>
      <c r="B3504" s="364" t="s">
        <v>22</v>
      </c>
      <c r="C3504" s="365" t="s">
        <v>783</v>
      </c>
      <c r="D3504" s="364" t="s">
        <v>784</v>
      </c>
      <c r="E3504" s="366">
        <v>1.0</v>
      </c>
      <c r="F3504" s="367">
        <v>45645.45833333333</v>
      </c>
      <c r="G3504" s="364" t="s">
        <v>1185</v>
      </c>
      <c r="H3504" s="364" t="s">
        <v>1214</v>
      </c>
    </row>
    <row r="3505" ht="15.75" customHeight="1">
      <c r="A3505" s="364" t="s">
        <v>79</v>
      </c>
      <c r="B3505" s="364" t="s">
        <v>22</v>
      </c>
      <c r="C3505" s="365" t="s">
        <v>783</v>
      </c>
      <c r="D3505" s="364" t="s">
        <v>784</v>
      </c>
      <c r="E3505" s="366">
        <v>2.0</v>
      </c>
      <c r="F3505" s="367">
        <v>45652.45833333333</v>
      </c>
      <c r="G3505" s="364" t="s">
        <v>1185</v>
      </c>
      <c r="H3505" s="364" t="s">
        <v>1214</v>
      </c>
    </row>
    <row r="3506" ht="15.75" customHeight="1">
      <c r="A3506" s="364" t="s">
        <v>79</v>
      </c>
      <c r="B3506" s="364" t="s">
        <v>22</v>
      </c>
      <c r="C3506" s="365" t="s">
        <v>783</v>
      </c>
      <c r="D3506" s="364" t="s">
        <v>784</v>
      </c>
      <c r="E3506" s="366">
        <v>3.0</v>
      </c>
      <c r="F3506" s="367">
        <v>45670.45833333333</v>
      </c>
      <c r="G3506" s="364" t="s">
        <v>1185</v>
      </c>
      <c r="H3506" s="364" t="s">
        <v>1214</v>
      </c>
    </row>
    <row r="3507" ht="15.75" customHeight="1">
      <c r="A3507" s="364" t="s">
        <v>79</v>
      </c>
      <c r="B3507" s="364" t="s">
        <v>22</v>
      </c>
      <c r="C3507" s="365" t="s">
        <v>783</v>
      </c>
      <c r="D3507" s="364" t="s">
        <v>784</v>
      </c>
      <c r="E3507" s="366">
        <v>4.0</v>
      </c>
      <c r="F3507" s="367">
        <v>45698.41666666667</v>
      </c>
      <c r="G3507" s="364" t="s">
        <v>1187</v>
      </c>
      <c r="H3507" s="364" t="s">
        <v>1214</v>
      </c>
    </row>
    <row r="3508" ht="15.75" customHeight="1">
      <c r="A3508" s="364" t="s">
        <v>79</v>
      </c>
      <c r="B3508" s="364" t="s">
        <v>22</v>
      </c>
      <c r="C3508" s="365" t="s">
        <v>783</v>
      </c>
      <c r="D3508" s="364" t="s">
        <v>784</v>
      </c>
      <c r="E3508" s="366">
        <v>5.0</v>
      </c>
      <c r="F3508" s="367">
        <v>45761.54166666667</v>
      </c>
      <c r="G3508" s="364" t="s">
        <v>1185</v>
      </c>
      <c r="H3508" s="364" t="s">
        <v>1214</v>
      </c>
    </row>
    <row r="3509" ht="15.75" customHeight="1">
      <c r="A3509" s="364" t="s">
        <v>79</v>
      </c>
      <c r="B3509" s="364" t="s">
        <v>22</v>
      </c>
      <c r="C3509" s="365" t="s">
        <v>783</v>
      </c>
      <c r="D3509" s="364" t="s">
        <v>784</v>
      </c>
      <c r="E3509" s="366">
        <v>6.0</v>
      </c>
      <c r="F3509" s="367">
        <v>45789.54166666667</v>
      </c>
      <c r="G3509" s="364" t="s">
        <v>1185</v>
      </c>
      <c r="H3509" s="364" t="s">
        <v>1214</v>
      </c>
    </row>
    <row r="3510" ht="15.75" customHeight="1">
      <c r="A3510" s="364" t="s">
        <v>79</v>
      </c>
      <c r="B3510" s="364" t="s">
        <v>22</v>
      </c>
      <c r="C3510" s="365" t="s">
        <v>783</v>
      </c>
      <c r="D3510" s="364" t="s">
        <v>784</v>
      </c>
      <c r="E3510" s="366">
        <v>7.0</v>
      </c>
      <c r="F3510" s="367">
        <v>45803.41666666667</v>
      </c>
      <c r="G3510" s="364" t="s">
        <v>1185</v>
      </c>
      <c r="H3510" s="364" t="s">
        <v>1214</v>
      </c>
    </row>
    <row r="3511" ht="15.75" customHeight="1">
      <c r="A3511" s="364" t="s">
        <v>79</v>
      </c>
      <c r="B3511" s="364" t="s">
        <v>22</v>
      </c>
      <c r="C3511" s="365" t="s">
        <v>783</v>
      </c>
      <c r="D3511" s="364" t="s">
        <v>784</v>
      </c>
      <c r="E3511" s="366">
        <v>8.0</v>
      </c>
      <c r="F3511" s="367">
        <v>45817.41666666667</v>
      </c>
      <c r="G3511" s="364" t="s">
        <v>1185</v>
      </c>
      <c r="H3511" s="364" t="s">
        <v>1214</v>
      </c>
    </row>
    <row r="3512" ht="15.75" customHeight="1">
      <c r="A3512" s="364" t="s">
        <v>79</v>
      </c>
      <c r="B3512" s="364" t="s">
        <v>22</v>
      </c>
      <c r="C3512" s="365" t="s">
        <v>783</v>
      </c>
      <c r="D3512" s="364" t="s">
        <v>784</v>
      </c>
      <c r="E3512" s="366">
        <v>9.0</v>
      </c>
      <c r="F3512" s="367">
        <v>45831.41666666667</v>
      </c>
      <c r="G3512" s="364" t="s">
        <v>1185</v>
      </c>
      <c r="H3512" s="364" t="s">
        <v>1214</v>
      </c>
    </row>
    <row r="3513" ht="15.75" customHeight="1">
      <c r="A3513" s="364" t="s">
        <v>79</v>
      </c>
      <c r="B3513" s="364" t="s">
        <v>22</v>
      </c>
      <c r="C3513" s="365" t="s">
        <v>783</v>
      </c>
      <c r="D3513" s="364" t="s">
        <v>784</v>
      </c>
      <c r="E3513" s="366">
        <v>10.0</v>
      </c>
      <c r="F3513" s="367">
        <v>45859.54166666667</v>
      </c>
      <c r="G3513" s="364" t="s">
        <v>1185</v>
      </c>
      <c r="H3513" s="364" t="s">
        <v>1214</v>
      </c>
    </row>
    <row r="3514" ht="15.75" customHeight="1">
      <c r="A3514" s="364" t="s">
        <v>79</v>
      </c>
      <c r="B3514" s="364" t="s">
        <v>22</v>
      </c>
      <c r="C3514" s="365" t="s">
        <v>785</v>
      </c>
      <c r="D3514" s="364" t="s">
        <v>786</v>
      </c>
      <c r="E3514" s="366">
        <v>1.0</v>
      </c>
      <c r="F3514" s="367">
        <v>45645.45833333333</v>
      </c>
      <c r="G3514" s="364" t="s">
        <v>1185</v>
      </c>
      <c r="H3514" s="364" t="s">
        <v>1214</v>
      </c>
    </row>
    <row r="3515" ht="15.75" customHeight="1">
      <c r="A3515" s="364" t="s">
        <v>79</v>
      </c>
      <c r="B3515" s="364" t="s">
        <v>22</v>
      </c>
      <c r="C3515" s="365" t="s">
        <v>785</v>
      </c>
      <c r="D3515" s="364" t="s">
        <v>786</v>
      </c>
      <c r="E3515" s="366">
        <v>2.0</v>
      </c>
      <c r="F3515" s="367">
        <v>45652.45833333333</v>
      </c>
      <c r="G3515" s="364" t="s">
        <v>1185</v>
      </c>
      <c r="H3515" s="364" t="s">
        <v>1214</v>
      </c>
    </row>
    <row r="3516" ht="15.75" customHeight="1">
      <c r="A3516" s="364" t="s">
        <v>79</v>
      </c>
      <c r="B3516" s="364" t="s">
        <v>22</v>
      </c>
      <c r="C3516" s="365" t="s">
        <v>785</v>
      </c>
      <c r="D3516" s="364" t="s">
        <v>786</v>
      </c>
      <c r="E3516" s="366">
        <v>3.0</v>
      </c>
      <c r="F3516" s="367">
        <v>45670.45833333333</v>
      </c>
      <c r="G3516" s="364" t="s">
        <v>1185</v>
      </c>
      <c r="H3516" s="364" t="s">
        <v>1214</v>
      </c>
    </row>
    <row r="3517" ht="15.75" customHeight="1">
      <c r="A3517" s="364" t="s">
        <v>79</v>
      </c>
      <c r="B3517" s="364" t="s">
        <v>22</v>
      </c>
      <c r="C3517" s="365" t="s">
        <v>785</v>
      </c>
      <c r="D3517" s="364" t="s">
        <v>786</v>
      </c>
      <c r="E3517" s="366">
        <v>4.0</v>
      </c>
      <c r="F3517" s="367">
        <v>45698.41666666667</v>
      </c>
      <c r="G3517" s="364" t="s">
        <v>1185</v>
      </c>
      <c r="H3517" s="364" t="s">
        <v>1214</v>
      </c>
    </row>
    <row r="3518" ht="15.75" customHeight="1">
      <c r="A3518" s="364" t="s">
        <v>79</v>
      </c>
      <c r="B3518" s="364" t="s">
        <v>22</v>
      </c>
      <c r="C3518" s="365" t="s">
        <v>785</v>
      </c>
      <c r="D3518" s="364" t="s">
        <v>786</v>
      </c>
      <c r="E3518" s="366">
        <v>5.0</v>
      </c>
      <c r="F3518" s="367">
        <v>45761.54166666667</v>
      </c>
      <c r="G3518" s="364" t="s">
        <v>1185</v>
      </c>
      <c r="H3518" s="364" t="s">
        <v>1214</v>
      </c>
    </row>
    <row r="3519" ht="15.75" customHeight="1">
      <c r="A3519" s="364" t="s">
        <v>79</v>
      </c>
      <c r="B3519" s="364" t="s">
        <v>22</v>
      </c>
      <c r="C3519" s="365" t="s">
        <v>785</v>
      </c>
      <c r="D3519" s="364" t="s">
        <v>786</v>
      </c>
      <c r="E3519" s="366">
        <v>6.0</v>
      </c>
      <c r="F3519" s="367">
        <v>45789.54166666667</v>
      </c>
      <c r="G3519" s="364" t="s">
        <v>1185</v>
      </c>
      <c r="H3519" s="364" t="s">
        <v>1214</v>
      </c>
    </row>
    <row r="3520" ht="15.75" customHeight="1">
      <c r="A3520" s="364" t="s">
        <v>79</v>
      </c>
      <c r="B3520" s="364" t="s">
        <v>22</v>
      </c>
      <c r="C3520" s="365" t="s">
        <v>785</v>
      </c>
      <c r="D3520" s="364" t="s">
        <v>786</v>
      </c>
      <c r="E3520" s="366">
        <v>7.0</v>
      </c>
      <c r="F3520" s="367">
        <v>45803.41666666667</v>
      </c>
      <c r="G3520" s="364" t="s">
        <v>1185</v>
      </c>
      <c r="H3520" s="364" t="s">
        <v>1214</v>
      </c>
    </row>
    <row r="3521" ht="15.75" customHeight="1">
      <c r="A3521" s="364" t="s">
        <v>79</v>
      </c>
      <c r="B3521" s="364" t="s">
        <v>22</v>
      </c>
      <c r="C3521" s="365" t="s">
        <v>785</v>
      </c>
      <c r="D3521" s="364" t="s">
        <v>786</v>
      </c>
      <c r="E3521" s="366">
        <v>8.0</v>
      </c>
      <c r="F3521" s="367">
        <v>45817.41666666667</v>
      </c>
      <c r="G3521" s="364" t="s">
        <v>1185</v>
      </c>
      <c r="H3521" s="364" t="s">
        <v>1214</v>
      </c>
    </row>
    <row r="3522" ht="15.75" customHeight="1">
      <c r="A3522" s="364" t="s">
        <v>79</v>
      </c>
      <c r="B3522" s="364" t="s">
        <v>22</v>
      </c>
      <c r="C3522" s="365" t="s">
        <v>785</v>
      </c>
      <c r="D3522" s="364" t="s">
        <v>786</v>
      </c>
      <c r="E3522" s="366">
        <v>9.0</v>
      </c>
      <c r="F3522" s="367">
        <v>45831.41666666667</v>
      </c>
      <c r="G3522" s="364" t="s">
        <v>1185</v>
      </c>
      <c r="H3522" s="364" t="s">
        <v>1214</v>
      </c>
    </row>
    <row r="3523" ht="15.75" customHeight="1">
      <c r="A3523" s="364" t="s">
        <v>79</v>
      </c>
      <c r="B3523" s="364" t="s">
        <v>22</v>
      </c>
      <c r="C3523" s="365" t="s">
        <v>785</v>
      </c>
      <c r="D3523" s="364" t="s">
        <v>786</v>
      </c>
      <c r="E3523" s="366">
        <v>10.0</v>
      </c>
      <c r="F3523" s="367">
        <v>45859.54166666667</v>
      </c>
      <c r="G3523" s="364" t="s">
        <v>1185</v>
      </c>
      <c r="H3523" s="364" t="s">
        <v>1214</v>
      </c>
    </row>
    <row r="3524" ht="15.75" customHeight="1">
      <c r="A3524" s="364" t="s">
        <v>79</v>
      </c>
      <c r="B3524" s="364" t="s">
        <v>22</v>
      </c>
      <c r="C3524" s="365" t="s">
        <v>787</v>
      </c>
      <c r="D3524" s="364" t="s">
        <v>788</v>
      </c>
      <c r="E3524" s="366">
        <v>1.0</v>
      </c>
      <c r="F3524" s="367">
        <v>45645.45833333333</v>
      </c>
      <c r="G3524" s="364" t="s">
        <v>1185</v>
      </c>
      <c r="H3524" s="364" t="s">
        <v>1214</v>
      </c>
    </row>
    <row r="3525" ht="15.75" customHeight="1">
      <c r="A3525" s="364" t="s">
        <v>79</v>
      </c>
      <c r="B3525" s="364" t="s">
        <v>22</v>
      </c>
      <c r="C3525" s="365" t="s">
        <v>787</v>
      </c>
      <c r="D3525" s="364" t="s">
        <v>788</v>
      </c>
      <c r="E3525" s="366">
        <v>2.0</v>
      </c>
      <c r="F3525" s="367">
        <v>45652.45833333333</v>
      </c>
      <c r="G3525" s="364" t="s">
        <v>1185</v>
      </c>
      <c r="H3525" s="364" t="s">
        <v>1214</v>
      </c>
    </row>
    <row r="3526" ht="15.75" customHeight="1">
      <c r="A3526" s="364" t="s">
        <v>79</v>
      </c>
      <c r="B3526" s="364" t="s">
        <v>22</v>
      </c>
      <c r="C3526" s="365" t="s">
        <v>787</v>
      </c>
      <c r="D3526" s="364" t="s">
        <v>788</v>
      </c>
      <c r="E3526" s="366">
        <v>3.0</v>
      </c>
      <c r="F3526" s="367">
        <v>45670.45833333333</v>
      </c>
      <c r="G3526" s="364" t="s">
        <v>1187</v>
      </c>
      <c r="H3526" s="364" t="s">
        <v>1214</v>
      </c>
    </row>
    <row r="3527" ht="15.75" customHeight="1">
      <c r="A3527" s="364" t="s">
        <v>79</v>
      </c>
      <c r="B3527" s="364" t="s">
        <v>22</v>
      </c>
      <c r="C3527" s="365" t="s">
        <v>787</v>
      </c>
      <c r="D3527" s="364" t="s">
        <v>788</v>
      </c>
      <c r="E3527" s="366">
        <v>4.0</v>
      </c>
      <c r="F3527" s="367">
        <v>45698.41666666667</v>
      </c>
      <c r="G3527" s="364" t="s">
        <v>1185</v>
      </c>
      <c r="H3527" s="364" t="s">
        <v>1214</v>
      </c>
    </row>
    <row r="3528" ht="15.75" customHeight="1">
      <c r="A3528" s="364" t="s">
        <v>79</v>
      </c>
      <c r="B3528" s="364" t="s">
        <v>22</v>
      </c>
      <c r="C3528" s="365" t="s">
        <v>787</v>
      </c>
      <c r="D3528" s="364" t="s">
        <v>788</v>
      </c>
      <c r="E3528" s="366">
        <v>5.0</v>
      </c>
      <c r="F3528" s="367">
        <v>45761.54166666667</v>
      </c>
      <c r="G3528" s="364" t="s">
        <v>1187</v>
      </c>
      <c r="H3528" s="364" t="s">
        <v>1214</v>
      </c>
    </row>
    <row r="3529" ht="15.75" customHeight="1">
      <c r="A3529" s="364" t="s">
        <v>79</v>
      </c>
      <c r="B3529" s="364" t="s">
        <v>22</v>
      </c>
      <c r="C3529" s="365" t="s">
        <v>787</v>
      </c>
      <c r="D3529" s="364" t="s">
        <v>788</v>
      </c>
      <c r="E3529" s="366">
        <v>6.0</v>
      </c>
      <c r="F3529" s="367">
        <v>45789.54166666667</v>
      </c>
      <c r="G3529" s="364" t="s">
        <v>1187</v>
      </c>
      <c r="H3529" s="364" t="s">
        <v>1214</v>
      </c>
    </row>
    <row r="3530" ht="15.75" customHeight="1">
      <c r="A3530" s="364" t="s">
        <v>79</v>
      </c>
      <c r="B3530" s="364" t="s">
        <v>22</v>
      </c>
      <c r="C3530" s="365" t="s">
        <v>787</v>
      </c>
      <c r="D3530" s="364" t="s">
        <v>788</v>
      </c>
      <c r="E3530" s="366">
        <v>7.0</v>
      </c>
      <c r="F3530" s="367">
        <v>45803.41666666667</v>
      </c>
      <c r="G3530" s="364" t="s">
        <v>1185</v>
      </c>
      <c r="H3530" s="364" t="s">
        <v>1214</v>
      </c>
    </row>
    <row r="3531" ht="15.75" customHeight="1">
      <c r="A3531" s="364" t="s">
        <v>79</v>
      </c>
      <c r="B3531" s="364" t="s">
        <v>22</v>
      </c>
      <c r="C3531" s="365" t="s">
        <v>787</v>
      </c>
      <c r="D3531" s="364" t="s">
        <v>788</v>
      </c>
      <c r="E3531" s="366">
        <v>8.0</v>
      </c>
      <c r="F3531" s="367">
        <v>45817.41666666667</v>
      </c>
      <c r="G3531" s="364" t="s">
        <v>1185</v>
      </c>
      <c r="H3531" s="364" t="s">
        <v>1214</v>
      </c>
    </row>
    <row r="3532" ht="15.75" customHeight="1">
      <c r="A3532" s="364" t="s">
        <v>79</v>
      </c>
      <c r="B3532" s="364" t="s">
        <v>22</v>
      </c>
      <c r="C3532" s="365" t="s">
        <v>787</v>
      </c>
      <c r="D3532" s="364" t="s">
        <v>788</v>
      </c>
      <c r="E3532" s="366">
        <v>9.0</v>
      </c>
      <c r="F3532" s="367">
        <v>45831.41666666667</v>
      </c>
      <c r="G3532" s="364" t="s">
        <v>1185</v>
      </c>
      <c r="H3532" s="364" t="s">
        <v>1214</v>
      </c>
    </row>
    <row r="3533" ht="15.75" customHeight="1">
      <c r="A3533" s="364" t="s">
        <v>79</v>
      </c>
      <c r="B3533" s="364" t="s">
        <v>22</v>
      </c>
      <c r="C3533" s="365" t="s">
        <v>787</v>
      </c>
      <c r="D3533" s="364" t="s">
        <v>788</v>
      </c>
      <c r="E3533" s="366">
        <v>10.0</v>
      </c>
      <c r="F3533" s="367">
        <v>45859.54166666667</v>
      </c>
      <c r="G3533" s="364" t="s">
        <v>1185</v>
      </c>
      <c r="H3533" s="364" t="s">
        <v>1214</v>
      </c>
    </row>
    <row r="3534" ht="15.75" customHeight="1">
      <c r="A3534" s="364" t="s">
        <v>79</v>
      </c>
      <c r="B3534" s="364" t="s">
        <v>22</v>
      </c>
      <c r="C3534" s="365" t="s">
        <v>789</v>
      </c>
      <c r="D3534" s="364" t="s">
        <v>790</v>
      </c>
      <c r="E3534" s="366">
        <v>1.0</v>
      </c>
      <c r="F3534" s="367">
        <v>45645.45833333333</v>
      </c>
      <c r="G3534" s="364" t="s">
        <v>1185</v>
      </c>
      <c r="H3534" s="364" t="s">
        <v>1214</v>
      </c>
    </row>
    <row r="3535" ht="15.75" customHeight="1">
      <c r="A3535" s="364" t="s">
        <v>79</v>
      </c>
      <c r="B3535" s="364" t="s">
        <v>22</v>
      </c>
      <c r="C3535" s="365" t="s">
        <v>789</v>
      </c>
      <c r="D3535" s="364" t="s">
        <v>790</v>
      </c>
      <c r="E3535" s="366">
        <v>2.0</v>
      </c>
      <c r="F3535" s="367">
        <v>45652.45833333333</v>
      </c>
      <c r="G3535" s="364" t="s">
        <v>1185</v>
      </c>
      <c r="H3535" s="364" t="s">
        <v>1214</v>
      </c>
    </row>
    <row r="3536" ht="15.75" customHeight="1">
      <c r="A3536" s="364" t="s">
        <v>79</v>
      </c>
      <c r="B3536" s="364" t="s">
        <v>22</v>
      </c>
      <c r="C3536" s="365" t="s">
        <v>789</v>
      </c>
      <c r="D3536" s="364" t="s">
        <v>790</v>
      </c>
      <c r="E3536" s="366">
        <v>3.0</v>
      </c>
      <c r="F3536" s="367">
        <v>45670.45833333333</v>
      </c>
      <c r="G3536" s="364" t="s">
        <v>1185</v>
      </c>
      <c r="H3536" s="364" t="s">
        <v>1214</v>
      </c>
    </row>
    <row r="3537" ht="15.75" customHeight="1">
      <c r="A3537" s="364" t="s">
        <v>79</v>
      </c>
      <c r="B3537" s="364" t="s">
        <v>22</v>
      </c>
      <c r="C3537" s="365" t="s">
        <v>789</v>
      </c>
      <c r="D3537" s="364" t="s">
        <v>790</v>
      </c>
      <c r="E3537" s="366">
        <v>4.0</v>
      </c>
      <c r="F3537" s="367">
        <v>45698.41666666667</v>
      </c>
      <c r="G3537" s="364" t="s">
        <v>1185</v>
      </c>
      <c r="H3537" s="364" t="s">
        <v>1214</v>
      </c>
    </row>
    <row r="3538" ht="15.75" customHeight="1">
      <c r="A3538" s="364" t="s">
        <v>79</v>
      </c>
      <c r="B3538" s="364" t="s">
        <v>22</v>
      </c>
      <c r="C3538" s="365" t="s">
        <v>789</v>
      </c>
      <c r="D3538" s="364" t="s">
        <v>790</v>
      </c>
      <c r="E3538" s="366">
        <v>5.0</v>
      </c>
      <c r="F3538" s="367">
        <v>45761.54166666667</v>
      </c>
      <c r="G3538" s="364" t="s">
        <v>1187</v>
      </c>
      <c r="H3538" s="364" t="s">
        <v>1214</v>
      </c>
    </row>
    <row r="3539" ht="15.75" customHeight="1">
      <c r="A3539" s="364" t="s">
        <v>79</v>
      </c>
      <c r="B3539" s="364" t="s">
        <v>22</v>
      </c>
      <c r="C3539" s="365" t="s">
        <v>789</v>
      </c>
      <c r="D3539" s="364" t="s">
        <v>790</v>
      </c>
      <c r="E3539" s="366">
        <v>6.0</v>
      </c>
      <c r="F3539" s="367">
        <v>45789.54166666667</v>
      </c>
      <c r="G3539" s="364" t="s">
        <v>1185</v>
      </c>
      <c r="H3539" s="364" t="s">
        <v>1214</v>
      </c>
    </row>
    <row r="3540" ht="15.75" customHeight="1">
      <c r="A3540" s="364" t="s">
        <v>79</v>
      </c>
      <c r="B3540" s="364" t="s">
        <v>22</v>
      </c>
      <c r="C3540" s="365" t="s">
        <v>789</v>
      </c>
      <c r="D3540" s="364" t="s">
        <v>790</v>
      </c>
      <c r="E3540" s="366">
        <v>7.0</v>
      </c>
      <c r="F3540" s="367">
        <v>45803.41666666667</v>
      </c>
      <c r="G3540" s="364" t="s">
        <v>1187</v>
      </c>
      <c r="H3540" s="364" t="s">
        <v>1214</v>
      </c>
    </row>
    <row r="3541" ht="15.75" customHeight="1">
      <c r="A3541" s="364" t="s">
        <v>79</v>
      </c>
      <c r="B3541" s="364" t="s">
        <v>22</v>
      </c>
      <c r="C3541" s="365" t="s">
        <v>789</v>
      </c>
      <c r="D3541" s="364" t="s">
        <v>790</v>
      </c>
      <c r="E3541" s="366">
        <v>8.0</v>
      </c>
      <c r="F3541" s="367">
        <v>45817.58333333333</v>
      </c>
      <c r="G3541" s="364" t="s">
        <v>1185</v>
      </c>
      <c r="H3541" s="364" t="s">
        <v>1214</v>
      </c>
    </row>
    <row r="3542" ht="15.75" customHeight="1">
      <c r="A3542" s="364" t="s">
        <v>79</v>
      </c>
      <c r="B3542" s="364" t="s">
        <v>22</v>
      </c>
      <c r="C3542" s="365" t="s">
        <v>789</v>
      </c>
      <c r="D3542" s="364" t="s">
        <v>790</v>
      </c>
      <c r="E3542" s="366">
        <v>9.0</v>
      </c>
      <c r="F3542" s="367">
        <v>45831.45833333333</v>
      </c>
      <c r="G3542" s="364" t="s">
        <v>1185</v>
      </c>
      <c r="H3542" s="364" t="s">
        <v>1214</v>
      </c>
    </row>
    <row r="3543" ht="15.75" customHeight="1">
      <c r="A3543" s="364" t="s">
        <v>79</v>
      </c>
      <c r="B3543" s="364" t="s">
        <v>22</v>
      </c>
      <c r="C3543" s="365" t="s">
        <v>789</v>
      </c>
      <c r="D3543" s="364" t="s">
        <v>790</v>
      </c>
      <c r="E3543" s="366">
        <v>10.0</v>
      </c>
      <c r="F3543" s="367">
        <v>45859.54166666667</v>
      </c>
      <c r="G3543" s="364" t="s">
        <v>1185</v>
      </c>
      <c r="H3543" s="364" t="s">
        <v>1214</v>
      </c>
    </row>
    <row r="3544" ht="15.75" customHeight="1">
      <c r="A3544" s="364" t="s">
        <v>79</v>
      </c>
      <c r="B3544" s="364" t="s">
        <v>22</v>
      </c>
      <c r="C3544" s="365" t="s">
        <v>805</v>
      </c>
      <c r="D3544" s="364" t="s">
        <v>806</v>
      </c>
      <c r="E3544" s="366">
        <v>1.0</v>
      </c>
      <c r="F3544" s="367">
        <v>45645.45833333333</v>
      </c>
      <c r="G3544" s="364" t="s">
        <v>1185</v>
      </c>
      <c r="H3544" s="364" t="s">
        <v>1214</v>
      </c>
    </row>
    <row r="3545" ht="15.75" customHeight="1">
      <c r="A3545" s="364" t="s">
        <v>79</v>
      </c>
      <c r="B3545" s="364" t="s">
        <v>22</v>
      </c>
      <c r="C3545" s="365" t="s">
        <v>805</v>
      </c>
      <c r="D3545" s="364" t="s">
        <v>806</v>
      </c>
      <c r="E3545" s="366">
        <v>2.0</v>
      </c>
      <c r="F3545" s="367">
        <v>45652.45833333333</v>
      </c>
      <c r="G3545" s="364" t="s">
        <v>1185</v>
      </c>
      <c r="H3545" s="364" t="s">
        <v>1214</v>
      </c>
    </row>
    <row r="3546" ht="15.75" customHeight="1">
      <c r="A3546" s="364" t="s">
        <v>79</v>
      </c>
      <c r="B3546" s="364" t="s">
        <v>22</v>
      </c>
      <c r="C3546" s="365" t="s">
        <v>805</v>
      </c>
      <c r="D3546" s="364" t="s">
        <v>806</v>
      </c>
      <c r="E3546" s="366">
        <v>3.0</v>
      </c>
      <c r="F3546" s="367">
        <v>45670.45833333333</v>
      </c>
      <c r="G3546" s="364" t="s">
        <v>1185</v>
      </c>
      <c r="H3546" s="364" t="s">
        <v>1214</v>
      </c>
    </row>
    <row r="3547" ht="15.75" customHeight="1">
      <c r="A3547" s="364" t="s">
        <v>79</v>
      </c>
      <c r="B3547" s="364" t="s">
        <v>22</v>
      </c>
      <c r="C3547" s="365" t="s">
        <v>805</v>
      </c>
      <c r="D3547" s="364" t="s">
        <v>806</v>
      </c>
      <c r="E3547" s="366">
        <v>4.0</v>
      </c>
      <c r="F3547" s="367">
        <v>45698.41666666667</v>
      </c>
      <c r="G3547" s="364" t="s">
        <v>1185</v>
      </c>
      <c r="H3547" s="364" t="s">
        <v>1214</v>
      </c>
    </row>
    <row r="3548" ht="15.75" customHeight="1">
      <c r="A3548" s="364" t="s">
        <v>79</v>
      </c>
      <c r="B3548" s="364" t="s">
        <v>22</v>
      </c>
      <c r="C3548" s="365" t="s">
        <v>805</v>
      </c>
      <c r="D3548" s="364" t="s">
        <v>806</v>
      </c>
      <c r="E3548" s="366">
        <v>5.0</v>
      </c>
      <c r="F3548" s="367">
        <v>45761.54166666667</v>
      </c>
      <c r="G3548" s="364" t="s">
        <v>1185</v>
      </c>
      <c r="H3548" s="364" t="s">
        <v>1214</v>
      </c>
    </row>
    <row r="3549" ht="15.75" customHeight="1">
      <c r="A3549" s="364" t="s">
        <v>79</v>
      </c>
      <c r="B3549" s="364" t="s">
        <v>22</v>
      </c>
      <c r="C3549" s="365" t="s">
        <v>805</v>
      </c>
      <c r="D3549" s="364" t="s">
        <v>806</v>
      </c>
      <c r="E3549" s="366">
        <v>6.0</v>
      </c>
      <c r="F3549" s="367">
        <v>45789.54166666667</v>
      </c>
      <c r="G3549" s="364" t="s">
        <v>1185</v>
      </c>
      <c r="H3549" s="364" t="s">
        <v>1214</v>
      </c>
    </row>
    <row r="3550" ht="15.75" customHeight="1">
      <c r="A3550" s="364" t="s">
        <v>79</v>
      </c>
      <c r="B3550" s="364" t="s">
        <v>22</v>
      </c>
      <c r="C3550" s="365" t="s">
        <v>805</v>
      </c>
      <c r="D3550" s="364" t="s">
        <v>806</v>
      </c>
      <c r="E3550" s="366">
        <v>7.0</v>
      </c>
      <c r="F3550" s="367">
        <v>45803.41666666667</v>
      </c>
      <c r="G3550" s="364" t="s">
        <v>1185</v>
      </c>
      <c r="H3550" s="364" t="s">
        <v>1214</v>
      </c>
    </row>
    <row r="3551" ht="15.75" customHeight="1">
      <c r="A3551" s="364" t="s">
        <v>79</v>
      </c>
      <c r="B3551" s="364" t="s">
        <v>22</v>
      </c>
      <c r="C3551" s="365" t="s">
        <v>805</v>
      </c>
      <c r="D3551" s="364" t="s">
        <v>806</v>
      </c>
      <c r="E3551" s="366">
        <v>8.0</v>
      </c>
      <c r="F3551" s="367">
        <v>45817.41666666667</v>
      </c>
      <c r="G3551" s="364" t="s">
        <v>1185</v>
      </c>
      <c r="H3551" s="364" t="s">
        <v>1214</v>
      </c>
    </row>
    <row r="3552" ht="15.75" customHeight="1">
      <c r="A3552" s="364" t="s">
        <v>79</v>
      </c>
      <c r="B3552" s="364" t="s">
        <v>22</v>
      </c>
      <c r="C3552" s="365" t="s">
        <v>805</v>
      </c>
      <c r="D3552" s="364" t="s">
        <v>806</v>
      </c>
      <c r="E3552" s="366">
        <v>9.0</v>
      </c>
      <c r="F3552" s="367">
        <v>45831.41666666667</v>
      </c>
      <c r="G3552" s="364" t="s">
        <v>1185</v>
      </c>
      <c r="H3552" s="364" t="s">
        <v>1214</v>
      </c>
    </row>
    <row r="3553" ht="15.75" customHeight="1">
      <c r="A3553" s="364" t="s">
        <v>79</v>
      </c>
      <c r="B3553" s="364" t="s">
        <v>22</v>
      </c>
      <c r="C3553" s="365" t="s">
        <v>805</v>
      </c>
      <c r="D3553" s="364" t="s">
        <v>806</v>
      </c>
      <c r="E3553" s="366">
        <v>10.0</v>
      </c>
      <c r="F3553" s="367">
        <v>45859.54166666667</v>
      </c>
      <c r="G3553" s="364" t="s">
        <v>1185</v>
      </c>
      <c r="H3553" s="364" t="s">
        <v>1214</v>
      </c>
    </row>
    <row r="3554" ht="15.75" customHeight="1">
      <c r="A3554" s="364" t="s">
        <v>80</v>
      </c>
      <c r="B3554" s="364" t="s">
        <v>22</v>
      </c>
      <c r="C3554" s="365" t="s">
        <v>813</v>
      </c>
      <c r="D3554" s="364" t="s">
        <v>814</v>
      </c>
      <c r="E3554" s="366">
        <v>1.0</v>
      </c>
      <c r="F3554" s="367">
        <v>45646.41666666667</v>
      </c>
      <c r="G3554" s="364" t="s">
        <v>1187</v>
      </c>
      <c r="H3554" s="364" t="s">
        <v>1215</v>
      </c>
    </row>
    <row r="3555" ht="15.75" customHeight="1">
      <c r="A3555" s="364" t="s">
        <v>80</v>
      </c>
      <c r="B3555" s="364" t="s">
        <v>22</v>
      </c>
      <c r="C3555" s="365" t="s">
        <v>813</v>
      </c>
      <c r="D3555" s="364" t="s">
        <v>814</v>
      </c>
      <c r="E3555" s="366">
        <v>2.0</v>
      </c>
      <c r="F3555" s="367">
        <v>45666.45833333333</v>
      </c>
      <c r="G3555" s="364" t="s">
        <v>1185</v>
      </c>
      <c r="H3555" s="364" t="s">
        <v>1215</v>
      </c>
    </row>
    <row r="3556" ht="15.75" customHeight="1">
      <c r="A3556" s="364" t="s">
        <v>80</v>
      </c>
      <c r="B3556" s="364" t="s">
        <v>22</v>
      </c>
      <c r="C3556" s="365" t="s">
        <v>813</v>
      </c>
      <c r="D3556" s="364" t="s">
        <v>814</v>
      </c>
      <c r="E3556" s="366">
        <v>3.0</v>
      </c>
      <c r="F3556" s="367">
        <v>45680.45833333333</v>
      </c>
      <c r="G3556" s="364" t="s">
        <v>1185</v>
      </c>
      <c r="H3556" s="364" t="s">
        <v>1215</v>
      </c>
    </row>
    <row r="3557" ht="15.75" customHeight="1">
      <c r="A3557" s="364" t="s">
        <v>80</v>
      </c>
      <c r="B3557" s="364" t="s">
        <v>22</v>
      </c>
      <c r="C3557" s="365" t="s">
        <v>813</v>
      </c>
      <c r="D3557" s="364" t="s">
        <v>814</v>
      </c>
      <c r="E3557" s="366">
        <v>4.0</v>
      </c>
      <c r="F3557" s="367">
        <v>45701.45833333333</v>
      </c>
      <c r="G3557" s="364" t="s">
        <v>1185</v>
      </c>
      <c r="H3557" s="364" t="s">
        <v>1215</v>
      </c>
    </row>
    <row r="3558" ht="15.75" customHeight="1">
      <c r="A3558" s="364" t="s">
        <v>80</v>
      </c>
      <c r="B3558" s="364" t="s">
        <v>22</v>
      </c>
      <c r="C3558" s="365" t="s">
        <v>813</v>
      </c>
      <c r="D3558" s="364" t="s">
        <v>814</v>
      </c>
      <c r="E3558" s="366">
        <v>5.0</v>
      </c>
      <c r="F3558" s="367">
        <v>45762.41666666667</v>
      </c>
      <c r="G3558" s="364" t="s">
        <v>1185</v>
      </c>
      <c r="H3558" s="364" t="s">
        <v>1215</v>
      </c>
    </row>
    <row r="3559" ht="15.75" customHeight="1">
      <c r="A3559" s="364" t="s">
        <v>80</v>
      </c>
      <c r="B3559" s="364" t="s">
        <v>22</v>
      </c>
      <c r="C3559" s="365" t="s">
        <v>813</v>
      </c>
      <c r="D3559" s="364" t="s">
        <v>814</v>
      </c>
      <c r="E3559" s="366">
        <v>6.0</v>
      </c>
      <c r="F3559" s="367">
        <v>45790.45833333333</v>
      </c>
      <c r="G3559" s="364" t="s">
        <v>1185</v>
      </c>
      <c r="H3559" s="364" t="s">
        <v>1215</v>
      </c>
    </row>
    <row r="3560" ht="15.75" customHeight="1">
      <c r="A3560" s="364" t="s">
        <v>80</v>
      </c>
      <c r="B3560" s="364" t="s">
        <v>22</v>
      </c>
      <c r="C3560" s="365" t="s">
        <v>813</v>
      </c>
      <c r="D3560" s="364" t="s">
        <v>814</v>
      </c>
      <c r="E3560" s="366">
        <v>7.0</v>
      </c>
      <c r="F3560" s="367">
        <v>45817.58333333333</v>
      </c>
      <c r="G3560" s="364" t="s">
        <v>1185</v>
      </c>
      <c r="H3560" s="364" t="s">
        <v>1215</v>
      </c>
    </row>
    <row r="3561" ht="15.75" customHeight="1">
      <c r="A3561" s="364" t="s">
        <v>80</v>
      </c>
      <c r="B3561" s="364" t="s">
        <v>22</v>
      </c>
      <c r="C3561" s="365" t="s">
        <v>813</v>
      </c>
      <c r="D3561" s="364" t="s">
        <v>814</v>
      </c>
      <c r="E3561" s="366">
        <v>8.0</v>
      </c>
      <c r="F3561" s="367">
        <v>45831.45833333333</v>
      </c>
      <c r="G3561" s="364" t="s">
        <v>1185</v>
      </c>
      <c r="H3561" s="364" t="s">
        <v>1215</v>
      </c>
    </row>
    <row r="3562" ht="15.75" customHeight="1">
      <c r="A3562" s="364" t="s">
        <v>80</v>
      </c>
      <c r="B3562" s="364" t="s">
        <v>22</v>
      </c>
      <c r="C3562" s="365" t="s">
        <v>813</v>
      </c>
      <c r="D3562" s="364" t="s">
        <v>814</v>
      </c>
      <c r="E3562" s="366">
        <v>9.0</v>
      </c>
      <c r="F3562" s="367">
        <v>45846.45833333333</v>
      </c>
      <c r="G3562" s="364" t="s">
        <v>1185</v>
      </c>
      <c r="H3562" s="364" t="s">
        <v>1215</v>
      </c>
    </row>
    <row r="3563" ht="15.75" customHeight="1">
      <c r="A3563" s="364" t="s">
        <v>80</v>
      </c>
      <c r="B3563" s="364" t="s">
        <v>22</v>
      </c>
      <c r="C3563" s="365" t="s">
        <v>813</v>
      </c>
      <c r="D3563" s="364" t="s">
        <v>814</v>
      </c>
      <c r="E3563" s="366">
        <v>10.0</v>
      </c>
      <c r="F3563" s="367">
        <v>45853.45833333333</v>
      </c>
      <c r="G3563" s="364" t="s">
        <v>1185</v>
      </c>
      <c r="H3563" s="364" t="s">
        <v>1215</v>
      </c>
    </row>
    <row r="3564" ht="15.75" customHeight="1">
      <c r="A3564" s="364" t="s">
        <v>80</v>
      </c>
      <c r="B3564" s="364" t="s">
        <v>22</v>
      </c>
      <c r="C3564" s="365" t="s">
        <v>815</v>
      </c>
      <c r="D3564" s="364" t="s">
        <v>816</v>
      </c>
      <c r="E3564" s="366">
        <v>1.0</v>
      </c>
      <c r="F3564" s="367">
        <v>45646.41666666667</v>
      </c>
      <c r="G3564" s="364" t="s">
        <v>1185</v>
      </c>
      <c r="H3564" s="364" t="s">
        <v>1215</v>
      </c>
    </row>
    <row r="3565" ht="15.75" customHeight="1">
      <c r="A3565" s="364" t="s">
        <v>80</v>
      </c>
      <c r="B3565" s="364" t="s">
        <v>22</v>
      </c>
      <c r="C3565" s="365" t="s">
        <v>815</v>
      </c>
      <c r="D3565" s="364" t="s">
        <v>816</v>
      </c>
      <c r="E3565" s="366">
        <v>2.0</v>
      </c>
      <c r="F3565" s="367">
        <v>45663.45833333333</v>
      </c>
      <c r="G3565" s="364" t="s">
        <v>1185</v>
      </c>
      <c r="H3565" s="364" t="s">
        <v>1215</v>
      </c>
    </row>
    <row r="3566" ht="15.75" customHeight="1">
      <c r="A3566" s="364" t="s">
        <v>80</v>
      </c>
      <c r="B3566" s="364" t="s">
        <v>22</v>
      </c>
      <c r="C3566" s="365" t="s">
        <v>815</v>
      </c>
      <c r="D3566" s="364" t="s">
        <v>816</v>
      </c>
      <c r="E3566" s="366">
        <v>3.0</v>
      </c>
      <c r="F3566" s="367">
        <v>45680.45833333333</v>
      </c>
      <c r="G3566" s="364" t="s">
        <v>1185</v>
      </c>
      <c r="H3566" s="364" t="s">
        <v>1215</v>
      </c>
    </row>
    <row r="3567" ht="15.75" customHeight="1">
      <c r="A3567" s="364" t="s">
        <v>80</v>
      </c>
      <c r="B3567" s="364" t="s">
        <v>22</v>
      </c>
      <c r="C3567" s="365" t="s">
        <v>815</v>
      </c>
      <c r="D3567" s="364" t="s">
        <v>816</v>
      </c>
      <c r="E3567" s="366">
        <v>4.0</v>
      </c>
      <c r="F3567" s="367">
        <v>45701.45833333333</v>
      </c>
      <c r="G3567" s="364" t="s">
        <v>1185</v>
      </c>
      <c r="H3567" s="364" t="s">
        <v>1215</v>
      </c>
    </row>
    <row r="3568" ht="15.75" customHeight="1">
      <c r="A3568" s="364" t="s">
        <v>80</v>
      </c>
      <c r="B3568" s="364" t="s">
        <v>22</v>
      </c>
      <c r="C3568" s="365" t="s">
        <v>815</v>
      </c>
      <c r="D3568" s="364" t="s">
        <v>816</v>
      </c>
      <c r="E3568" s="366">
        <v>5.0</v>
      </c>
      <c r="F3568" s="367">
        <v>45762.41666666667</v>
      </c>
      <c r="G3568" s="364" t="s">
        <v>1185</v>
      </c>
      <c r="H3568" s="364" t="s">
        <v>1215</v>
      </c>
    </row>
    <row r="3569" ht="15.75" customHeight="1">
      <c r="A3569" s="364" t="s">
        <v>80</v>
      </c>
      <c r="B3569" s="364" t="s">
        <v>22</v>
      </c>
      <c r="C3569" s="365" t="s">
        <v>815</v>
      </c>
      <c r="D3569" s="364" t="s">
        <v>816</v>
      </c>
      <c r="E3569" s="366">
        <v>6.0</v>
      </c>
      <c r="F3569" s="367">
        <v>45790.45833333333</v>
      </c>
      <c r="G3569" s="364" t="s">
        <v>1185</v>
      </c>
      <c r="H3569" s="364" t="s">
        <v>1215</v>
      </c>
    </row>
    <row r="3570" ht="15.75" customHeight="1">
      <c r="A3570" s="364" t="s">
        <v>80</v>
      </c>
      <c r="B3570" s="364" t="s">
        <v>22</v>
      </c>
      <c r="C3570" s="365" t="s">
        <v>815</v>
      </c>
      <c r="D3570" s="364" t="s">
        <v>816</v>
      </c>
      <c r="E3570" s="366">
        <v>7.0</v>
      </c>
      <c r="F3570" s="367">
        <v>45817.58333333333</v>
      </c>
      <c r="G3570" s="364" t="s">
        <v>1185</v>
      </c>
      <c r="H3570" s="364" t="s">
        <v>1215</v>
      </c>
    </row>
    <row r="3571" ht="15.75" customHeight="1">
      <c r="A3571" s="364" t="s">
        <v>80</v>
      </c>
      <c r="B3571" s="364" t="s">
        <v>22</v>
      </c>
      <c r="C3571" s="365" t="s">
        <v>815</v>
      </c>
      <c r="D3571" s="364" t="s">
        <v>816</v>
      </c>
      <c r="E3571" s="366">
        <v>8.0</v>
      </c>
      <c r="F3571" s="367">
        <v>45831.45833333333</v>
      </c>
      <c r="G3571" s="364" t="s">
        <v>1185</v>
      </c>
      <c r="H3571" s="364" t="s">
        <v>1215</v>
      </c>
    </row>
    <row r="3572" ht="15.75" customHeight="1">
      <c r="A3572" s="364" t="s">
        <v>80</v>
      </c>
      <c r="B3572" s="364" t="s">
        <v>22</v>
      </c>
      <c r="C3572" s="365" t="s">
        <v>815</v>
      </c>
      <c r="D3572" s="364" t="s">
        <v>816</v>
      </c>
      <c r="E3572" s="366">
        <v>9.0</v>
      </c>
      <c r="F3572" s="367">
        <v>45846.45833333333</v>
      </c>
      <c r="G3572" s="364" t="s">
        <v>1185</v>
      </c>
      <c r="H3572" s="364" t="s">
        <v>1215</v>
      </c>
    </row>
    <row r="3573" ht="15.75" customHeight="1">
      <c r="A3573" s="364" t="s">
        <v>80</v>
      </c>
      <c r="B3573" s="364" t="s">
        <v>22</v>
      </c>
      <c r="C3573" s="365" t="s">
        <v>815</v>
      </c>
      <c r="D3573" s="364" t="s">
        <v>816</v>
      </c>
      <c r="E3573" s="366">
        <v>10.0</v>
      </c>
      <c r="F3573" s="367">
        <v>45853.45833333333</v>
      </c>
      <c r="G3573" s="364" t="s">
        <v>1185</v>
      </c>
      <c r="H3573" s="364" t="s">
        <v>1215</v>
      </c>
    </row>
    <row r="3574" ht="15.75" customHeight="1">
      <c r="A3574" s="364" t="s">
        <v>80</v>
      </c>
      <c r="B3574" s="364" t="s">
        <v>22</v>
      </c>
      <c r="C3574" s="365" t="s">
        <v>807</v>
      </c>
      <c r="D3574" s="364" t="s">
        <v>808</v>
      </c>
      <c r="E3574" s="366">
        <v>1.0</v>
      </c>
      <c r="F3574" s="367">
        <v>45646.41666666667</v>
      </c>
      <c r="G3574" s="364" t="s">
        <v>1185</v>
      </c>
      <c r="H3574" s="364" t="s">
        <v>1215</v>
      </c>
    </row>
    <row r="3575" ht="15.75" customHeight="1">
      <c r="A3575" s="364" t="s">
        <v>80</v>
      </c>
      <c r="B3575" s="364" t="s">
        <v>22</v>
      </c>
      <c r="C3575" s="365" t="s">
        <v>807</v>
      </c>
      <c r="D3575" s="364" t="s">
        <v>808</v>
      </c>
      <c r="E3575" s="366">
        <v>2.0</v>
      </c>
      <c r="F3575" s="367">
        <v>45663.45833333333</v>
      </c>
      <c r="G3575" s="364" t="s">
        <v>1185</v>
      </c>
      <c r="H3575" s="364" t="s">
        <v>1215</v>
      </c>
    </row>
    <row r="3576" ht="15.75" customHeight="1">
      <c r="A3576" s="364" t="s">
        <v>80</v>
      </c>
      <c r="B3576" s="364" t="s">
        <v>22</v>
      </c>
      <c r="C3576" s="365" t="s">
        <v>807</v>
      </c>
      <c r="D3576" s="364" t="s">
        <v>808</v>
      </c>
      <c r="E3576" s="366">
        <v>3.0</v>
      </c>
      <c r="F3576" s="367">
        <v>45680.45833333333</v>
      </c>
      <c r="G3576" s="364" t="s">
        <v>1187</v>
      </c>
      <c r="H3576" s="364" t="s">
        <v>1215</v>
      </c>
    </row>
    <row r="3577" ht="15.75" customHeight="1">
      <c r="A3577" s="364" t="s">
        <v>80</v>
      </c>
      <c r="B3577" s="364" t="s">
        <v>22</v>
      </c>
      <c r="C3577" s="365" t="s">
        <v>807</v>
      </c>
      <c r="D3577" s="364" t="s">
        <v>808</v>
      </c>
      <c r="E3577" s="366">
        <v>4.0</v>
      </c>
      <c r="F3577" s="367">
        <v>45701.45833333333</v>
      </c>
      <c r="G3577" s="364" t="s">
        <v>1187</v>
      </c>
      <c r="H3577" s="364" t="s">
        <v>1215</v>
      </c>
    </row>
    <row r="3578" ht="15.75" customHeight="1">
      <c r="A3578" s="364" t="s">
        <v>80</v>
      </c>
      <c r="B3578" s="364" t="s">
        <v>22</v>
      </c>
      <c r="C3578" s="365" t="s">
        <v>807</v>
      </c>
      <c r="D3578" s="364" t="s">
        <v>808</v>
      </c>
      <c r="E3578" s="366">
        <v>5.0</v>
      </c>
      <c r="F3578" s="367">
        <v>45761.54166666667</v>
      </c>
      <c r="G3578" s="364" t="s">
        <v>1185</v>
      </c>
      <c r="H3578" s="364" t="s">
        <v>1215</v>
      </c>
    </row>
    <row r="3579" ht="15.75" customHeight="1">
      <c r="A3579" s="364" t="s">
        <v>80</v>
      </c>
      <c r="B3579" s="364" t="s">
        <v>22</v>
      </c>
      <c r="C3579" s="365" t="s">
        <v>807</v>
      </c>
      <c r="D3579" s="364" t="s">
        <v>808</v>
      </c>
      <c r="E3579" s="366">
        <v>6.0</v>
      </c>
      <c r="F3579" s="367">
        <v>45790.45833333333</v>
      </c>
      <c r="G3579" s="364" t="s">
        <v>1187</v>
      </c>
      <c r="H3579" s="364" t="s">
        <v>1215</v>
      </c>
    </row>
    <row r="3580" ht="15.75" customHeight="1">
      <c r="A3580" s="364" t="s">
        <v>80</v>
      </c>
      <c r="B3580" s="364" t="s">
        <v>22</v>
      </c>
      <c r="C3580" s="365" t="s">
        <v>807</v>
      </c>
      <c r="D3580" s="364" t="s">
        <v>808</v>
      </c>
      <c r="E3580" s="366">
        <v>7.0</v>
      </c>
      <c r="F3580" s="367">
        <v>45817.58333333333</v>
      </c>
      <c r="G3580" s="364" t="s">
        <v>1187</v>
      </c>
      <c r="H3580" s="364" t="s">
        <v>1215</v>
      </c>
    </row>
    <row r="3581" ht="15.75" customHeight="1">
      <c r="A3581" s="364" t="s">
        <v>80</v>
      </c>
      <c r="B3581" s="364" t="s">
        <v>22</v>
      </c>
      <c r="C3581" s="365" t="s">
        <v>807</v>
      </c>
      <c r="D3581" s="364" t="s">
        <v>808</v>
      </c>
      <c r="E3581" s="366">
        <v>8.0</v>
      </c>
      <c r="F3581" s="367">
        <v>45817.41666666667</v>
      </c>
      <c r="G3581" s="364" t="s">
        <v>1185</v>
      </c>
      <c r="H3581" s="364" t="s">
        <v>1215</v>
      </c>
    </row>
    <row r="3582" ht="15.75" customHeight="1">
      <c r="A3582" s="364" t="s">
        <v>80</v>
      </c>
      <c r="B3582" s="364" t="s">
        <v>22</v>
      </c>
      <c r="C3582" s="365" t="s">
        <v>807</v>
      </c>
      <c r="D3582" s="364" t="s">
        <v>808</v>
      </c>
      <c r="E3582" s="366">
        <v>9.0</v>
      </c>
      <c r="F3582" s="367">
        <v>45846.45833333333</v>
      </c>
      <c r="G3582" s="364" t="s">
        <v>1187</v>
      </c>
      <c r="H3582" s="364" t="s">
        <v>1215</v>
      </c>
    </row>
    <row r="3583" ht="15.75" customHeight="1">
      <c r="A3583" s="364" t="s">
        <v>80</v>
      </c>
      <c r="B3583" s="364" t="s">
        <v>22</v>
      </c>
      <c r="C3583" s="365" t="s">
        <v>807</v>
      </c>
      <c r="D3583" s="364" t="s">
        <v>808</v>
      </c>
      <c r="E3583" s="366">
        <v>10.0</v>
      </c>
      <c r="F3583" s="367">
        <v>45853.45833333333</v>
      </c>
      <c r="G3583" s="364" t="s">
        <v>1185</v>
      </c>
      <c r="H3583" s="364" t="s">
        <v>1215</v>
      </c>
    </row>
    <row r="3584" ht="15.75" customHeight="1">
      <c r="A3584" s="364" t="s">
        <v>80</v>
      </c>
      <c r="B3584" s="364" t="s">
        <v>22</v>
      </c>
      <c r="C3584" s="365" t="s">
        <v>817</v>
      </c>
      <c r="D3584" s="364" t="s">
        <v>818</v>
      </c>
      <c r="E3584" s="366">
        <v>1.0</v>
      </c>
      <c r="F3584" s="367">
        <v>45646.41666666667</v>
      </c>
      <c r="G3584" s="364" t="s">
        <v>1185</v>
      </c>
      <c r="H3584" s="364" t="s">
        <v>1215</v>
      </c>
    </row>
    <row r="3585" ht="15.75" customHeight="1">
      <c r="A3585" s="364" t="s">
        <v>80</v>
      </c>
      <c r="B3585" s="364" t="s">
        <v>22</v>
      </c>
      <c r="C3585" s="365" t="s">
        <v>817</v>
      </c>
      <c r="D3585" s="364" t="s">
        <v>818</v>
      </c>
      <c r="E3585" s="366">
        <v>2.0</v>
      </c>
      <c r="F3585" s="367">
        <v>45663.45833333333</v>
      </c>
      <c r="G3585" s="364" t="s">
        <v>1185</v>
      </c>
      <c r="H3585" s="364" t="s">
        <v>1215</v>
      </c>
    </row>
    <row r="3586" ht="15.75" customHeight="1">
      <c r="A3586" s="364" t="s">
        <v>80</v>
      </c>
      <c r="B3586" s="364" t="s">
        <v>22</v>
      </c>
      <c r="C3586" s="365" t="s">
        <v>817</v>
      </c>
      <c r="D3586" s="364" t="s">
        <v>818</v>
      </c>
      <c r="E3586" s="366">
        <v>3.0</v>
      </c>
      <c r="F3586" s="367">
        <v>45680.45833333333</v>
      </c>
      <c r="G3586" s="364" t="s">
        <v>1185</v>
      </c>
      <c r="H3586" s="364" t="s">
        <v>1215</v>
      </c>
    </row>
    <row r="3587" ht="15.75" customHeight="1">
      <c r="A3587" s="364" t="s">
        <v>80</v>
      </c>
      <c r="B3587" s="364" t="s">
        <v>22</v>
      </c>
      <c r="C3587" s="365" t="s">
        <v>817</v>
      </c>
      <c r="D3587" s="364" t="s">
        <v>818</v>
      </c>
      <c r="E3587" s="366">
        <v>4.0</v>
      </c>
      <c r="F3587" s="367">
        <v>45701.45833333333</v>
      </c>
      <c r="G3587" s="364" t="s">
        <v>1185</v>
      </c>
      <c r="H3587" s="364" t="s">
        <v>1215</v>
      </c>
    </row>
    <row r="3588" ht="15.75" customHeight="1">
      <c r="A3588" s="364" t="s">
        <v>80</v>
      </c>
      <c r="B3588" s="364" t="s">
        <v>22</v>
      </c>
      <c r="C3588" s="365" t="s">
        <v>817</v>
      </c>
      <c r="D3588" s="364" t="s">
        <v>818</v>
      </c>
      <c r="E3588" s="366">
        <v>5.0</v>
      </c>
      <c r="F3588" s="367">
        <v>45762.41666666667</v>
      </c>
      <c r="G3588" s="364" t="s">
        <v>1185</v>
      </c>
      <c r="H3588" s="364" t="s">
        <v>1215</v>
      </c>
    </row>
    <row r="3589" ht="15.75" customHeight="1">
      <c r="A3589" s="364" t="s">
        <v>80</v>
      </c>
      <c r="B3589" s="364" t="s">
        <v>22</v>
      </c>
      <c r="C3589" s="365" t="s">
        <v>817</v>
      </c>
      <c r="D3589" s="364" t="s">
        <v>818</v>
      </c>
      <c r="E3589" s="366">
        <v>6.0</v>
      </c>
      <c r="F3589" s="367">
        <v>45790.45833333333</v>
      </c>
      <c r="G3589" s="364" t="s">
        <v>1185</v>
      </c>
      <c r="H3589" s="364" t="s">
        <v>1215</v>
      </c>
    </row>
    <row r="3590" ht="15.75" customHeight="1">
      <c r="A3590" s="364" t="s">
        <v>80</v>
      </c>
      <c r="B3590" s="364" t="s">
        <v>22</v>
      </c>
      <c r="C3590" s="365" t="s">
        <v>817</v>
      </c>
      <c r="D3590" s="364" t="s">
        <v>818</v>
      </c>
      <c r="E3590" s="366">
        <v>7.0</v>
      </c>
      <c r="F3590" s="367">
        <v>45817.58333333333</v>
      </c>
      <c r="G3590" s="364" t="s">
        <v>1185</v>
      </c>
      <c r="H3590" s="364" t="s">
        <v>1215</v>
      </c>
    </row>
    <row r="3591" ht="15.75" customHeight="1">
      <c r="A3591" s="364" t="s">
        <v>80</v>
      </c>
      <c r="B3591" s="364" t="s">
        <v>22</v>
      </c>
      <c r="C3591" s="365" t="s">
        <v>817</v>
      </c>
      <c r="D3591" s="364" t="s">
        <v>818</v>
      </c>
      <c r="E3591" s="366">
        <v>8.0</v>
      </c>
      <c r="F3591" s="367">
        <v>45831.45833333333</v>
      </c>
      <c r="G3591" s="364" t="s">
        <v>1187</v>
      </c>
      <c r="H3591" s="364" t="s">
        <v>1215</v>
      </c>
    </row>
    <row r="3592" ht="15.75" customHeight="1">
      <c r="A3592" s="364" t="s">
        <v>80</v>
      </c>
      <c r="B3592" s="364" t="s">
        <v>22</v>
      </c>
      <c r="C3592" s="365" t="s">
        <v>817</v>
      </c>
      <c r="D3592" s="364" t="s">
        <v>818</v>
      </c>
      <c r="E3592" s="366">
        <v>9.0</v>
      </c>
      <c r="F3592" s="367">
        <v>45846.45833333333</v>
      </c>
      <c r="G3592" s="364" t="s">
        <v>1185</v>
      </c>
      <c r="H3592" s="364" t="s">
        <v>1215</v>
      </c>
    </row>
    <row r="3593" ht="15.75" customHeight="1">
      <c r="A3593" s="364" t="s">
        <v>80</v>
      </c>
      <c r="B3593" s="364" t="s">
        <v>22</v>
      </c>
      <c r="C3593" s="365" t="s">
        <v>817</v>
      </c>
      <c r="D3593" s="364" t="s">
        <v>818</v>
      </c>
      <c r="E3593" s="366">
        <v>10.0</v>
      </c>
      <c r="F3593" s="367">
        <v>45853.45833333333</v>
      </c>
      <c r="G3593" s="364" t="s">
        <v>1185</v>
      </c>
      <c r="H3593" s="364" t="s">
        <v>1215</v>
      </c>
    </row>
    <row r="3594" ht="15.75" customHeight="1">
      <c r="A3594" s="364" t="s">
        <v>80</v>
      </c>
      <c r="B3594" s="364" t="s">
        <v>22</v>
      </c>
      <c r="C3594" s="365" t="s">
        <v>809</v>
      </c>
      <c r="D3594" s="364" t="s">
        <v>810</v>
      </c>
      <c r="E3594" s="366">
        <v>1.0</v>
      </c>
      <c r="F3594" s="367">
        <v>45646.41666666667</v>
      </c>
      <c r="G3594" s="364" t="s">
        <v>1185</v>
      </c>
      <c r="H3594" s="364" t="s">
        <v>1215</v>
      </c>
    </row>
    <row r="3595" ht="15.75" customHeight="1">
      <c r="A3595" s="364" t="s">
        <v>80</v>
      </c>
      <c r="B3595" s="364" t="s">
        <v>22</v>
      </c>
      <c r="C3595" s="365" t="s">
        <v>809</v>
      </c>
      <c r="D3595" s="364" t="s">
        <v>810</v>
      </c>
      <c r="E3595" s="366">
        <v>2.0</v>
      </c>
      <c r="F3595" s="367">
        <v>45663.45833333333</v>
      </c>
      <c r="G3595" s="364" t="s">
        <v>1185</v>
      </c>
      <c r="H3595" s="364" t="s">
        <v>1215</v>
      </c>
    </row>
    <row r="3596" ht="15.75" customHeight="1">
      <c r="A3596" s="364" t="s">
        <v>80</v>
      </c>
      <c r="B3596" s="364" t="s">
        <v>22</v>
      </c>
      <c r="C3596" s="365" t="s">
        <v>809</v>
      </c>
      <c r="D3596" s="364" t="s">
        <v>810</v>
      </c>
      <c r="E3596" s="366">
        <v>3.0</v>
      </c>
      <c r="F3596" s="367">
        <v>45680.45833333333</v>
      </c>
      <c r="G3596" s="364" t="s">
        <v>1185</v>
      </c>
      <c r="H3596" s="364" t="s">
        <v>1215</v>
      </c>
    </row>
    <row r="3597" ht="15.75" customHeight="1">
      <c r="A3597" s="364" t="s">
        <v>80</v>
      </c>
      <c r="B3597" s="364" t="s">
        <v>22</v>
      </c>
      <c r="C3597" s="365" t="s">
        <v>809</v>
      </c>
      <c r="D3597" s="364" t="s">
        <v>810</v>
      </c>
      <c r="E3597" s="366">
        <v>4.0</v>
      </c>
      <c r="F3597" s="367">
        <v>45701.45833333333</v>
      </c>
      <c r="G3597" s="364" t="s">
        <v>1185</v>
      </c>
      <c r="H3597" s="364" t="s">
        <v>1215</v>
      </c>
    </row>
    <row r="3598" ht="15.75" customHeight="1">
      <c r="A3598" s="364" t="s">
        <v>80</v>
      </c>
      <c r="B3598" s="364" t="s">
        <v>22</v>
      </c>
      <c r="C3598" s="365" t="s">
        <v>809</v>
      </c>
      <c r="D3598" s="364" t="s">
        <v>810</v>
      </c>
      <c r="E3598" s="366">
        <v>5.0</v>
      </c>
      <c r="F3598" s="367">
        <v>45762.41666666667</v>
      </c>
      <c r="G3598" s="364" t="s">
        <v>1185</v>
      </c>
      <c r="H3598" s="364" t="s">
        <v>1215</v>
      </c>
    </row>
    <row r="3599" ht="15.75" customHeight="1">
      <c r="A3599" s="364" t="s">
        <v>80</v>
      </c>
      <c r="B3599" s="364" t="s">
        <v>22</v>
      </c>
      <c r="C3599" s="365" t="s">
        <v>809</v>
      </c>
      <c r="D3599" s="364" t="s">
        <v>810</v>
      </c>
      <c r="E3599" s="366">
        <v>6.0</v>
      </c>
      <c r="F3599" s="367">
        <v>45790.45833333333</v>
      </c>
      <c r="G3599" s="364" t="s">
        <v>1185</v>
      </c>
      <c r="H3599" s="364" t="s">
        <v>1215</v>
      </c>
    </row>
    <row r="3600" ht="15.75" customHeight="1">
      <c r="A3600" s="364" t="s">
        <v>80</v>
      </c>
      <c r="B3600" s="364" t="s">
        <v>22</v>
      </c>
      <c r="C3600" s="365" t="s">
        <v>809</v>
      </c>
      <c r="D3600" s="364" t="s">
        <v>810</v>
      </c>
      <c r="E3600" s="366">
        <v>7.0</v>
      </c>
      <c r="F3600" s="367">
        <v>45817.58333333333</v>
      </c>
      <c r="G3600" s="364" t="s">
        <v>1185</v>
      </c>
      <c r="H3600" s="364" t="s">
        <v>1215</v>
      </c>
    </row>
    <row r="3601" ht="15.75" customHeight="1">
      <c r="A3601" s="364" t="s">
        <v>80</v>
      </c>
      <c r="B3601" s="364" t="s">
        <v>22</v>
      </c>
      <c r="C3601" s="365" t="s">
        <v>809</v>
      </c>
      <c r="D3601" s="364" t="s">
        <v>810</v>
      </c>
      <c r="E3601" s="366">
        <v>8.0</v>
      </c>
      <c r="F3601" s="367">
        <v>45831.45833333333</v>
      </c>
      <c r="G3601" s="364" t="s">
        <v>1185</v>
      </c>
      <c r="H3601" s="364" t="s">
        <v>1215</v>
      </c>
    </row>
    <row r="3602" ht="15.75" customHeight="1">
      <c r="A3602" s="364" t="s">
        <v>80</v>
      </c>
      <c r="B3602" s="364" t="s">
        <v>22</v>
      </c>
      <c r="C3602" s="365" t="s">
        <v>809</v>
      </c>
      <c r="D3602" s="364" t="s">
        <v>810</v>
      </c>
      <c r="E3602" s="366">
        <v>9.0</v>
      </c>
      <c r="F3602" s="367">
        <v>45846.45833333333</v>
      </c>
      <c r="G3602" s="364" t="s">
        <v>1185</v>
      </c>
      <c r="H3602" s="364" t="s">
        <v>1215</v>
      </c>
    </row>
    <row r="3603" ht="15.75" customHeight="1">
      <c r="A3603" s="364" t="s">
        <v>80</v>
      </c>
      <c r="B3603" s="364" t="s">
        <v>22</v>
      </c>
      <c r="C3603" s="365" t="s">
        <v>809</v>
      </c>
      <c r="D3603" s="364" t="s">
        <v>810</v>
      </c>
      <c r="E3603" s="366">
        <v>10.0</v>
      </c>
      <c r="F3603" s="367">
        <v>45853.45833333333</v>
      </c>
      <c r="G3603" s="364" t="s">
        <v>1185</v>
      </c>
      <c r="H3603" s="364" t="s">
        <v>1215</v>
      </c>
    </row>
    <row r="3604" ht="15.75" customHeight="1">
      <c r="A3604" s="364" t="s">
        <v>80</v>
      </c>
      <c r="B3604" s="364" t="s">
        <v>22</v>
      </c>
      <c r="C3604" s="365" t="s">
        <v>819</v>
      </c>
      <c r="D3604" s="364" t="s">
        <v>820</v>
      </c>
      <c r="E3604" s="366">
        <v>1.0</v>
      </c>
      <c r="F3604" s="367">
        <v>45646.41666666667</v>
      </c>
      <c r="G3604" s="364" t="s">
        <v>1185</v>
      </c>
      <c r="H3604" s="364" t="s">
        <v>1215</v>
      </c>
    </row>
    <row r="3605" ht="15.75" customHeight="1">
      <c r="A3605" s="364" t="s">
        <v>80</v>
      </c>
      <c r="B3605" s="364" t="s">
        <v>22</v>
      </c>
      <c r="C3605" s="365" t="s">
        <v>819</v>
      </c>
      <c r="D3605" s="364" t="s">
        <v>820</v>
      </c>
      <c r="E3605" s="366">
        <v>2.0</v>
      </c>
      <c r="F3605" s="367">
        <v>45666.45833333333</v>
      </c>
      <c r="G3605" s="364" t="s">
        <v>1185</v>
      </c>
      <c r="H3605" s="364" t="s">
        <v>1215</v>
      </c>
    </row>
    <row r="3606" ht="15.75" customHeight="1">
      <c r="A3606" s="364" t="s">
        <v>80</v>
      </c>
      <c r="B3606" s="364" t="s">
        <v>22</v>
      </c>
      <c r="C3606" s="365" t="s">
        <v>819</v>
      </c>
      <c r="D3606" s="364" t="s">
        <v>820</v>
      </c>
      <c r="E3606" s="366">
        <v>3.0</v>
      </c>
      <c r="F3606" s="367">
        <v>45680.45833333333</v>
      </c>
      <c r="G3606" s="364" t="s">
        <v>1185</v>
      </c>
      <c r="H3606" s="364" t="s">
        <v>1215</v>
      </c>
    </row>
    <row r="3607" ht="15.75" customHeight="1">
      <c r="A3607" s="364" t="s">
        <v>80</v>
      </c>
      <c r="B3607" s="364" t="s">
        <v>22</v>
      </c>
      <c r="C3607" s="365" t="s">
        <v>819</v>
      </c>
      <c r="D3607" s="364" t="s">
        <v>820</v>
      </c>
      <c r="E3607" s="366">
        <v>4.0</v>
      </c>
      <c r="F3607" s="367">
        <v>45701.45833333333</v>
      </c>
      <c r="G3607" s="364" t="s">
        <v>1185</v>
      </c>
      <c r="H3607" s="364" t="s">
        <v>1215</v>
      </c>
    </row>
    <row r="3608" ht="15.75" customHeight="1">
      <c r="A3608" s="364" t="s">
        <v>80</v>
      </c>
      <c r="B3608" s="364" t="s">
        <v>22</v>
      </c>
      <c r="C3608" s="365" t="s">
        <v>819</v>
      </c>
      <c r="D3608" s="364" t="s">
        <v>820</v>
      </c>
      <c r="E3608" s="366">
        <v>5.0</v>
      </c>
      <c r="F3608" s="367">
        <v>45762.41666666667</v>
      </c>
      <c r="G3608" s="364" t="s">
        <v>1185</v>
      </c>
      <c r="H3608" s="364" t="s">
        <v>1215</v>
      </c>
    </row>
    <row r="3609" ht="15.75" customHeight="1">
      <c r="A3609" s="364" t="s">
        <v>80</v>
      </c>
      <c r="B3609" s="364" t="s">
        <v>22</v>
      </c>
      <c r="C3609" s="365" t="s">
        <v>819</v>
      </c>
      <c r="D3609" s="364" t="s">
        <v>820</v>
      </c>
      <c r="E3609" s="366">
        <v>6.0</v>
      </c>
      <c r="F3609" s="367">
        <v>45790.45833333333</v>
      </c>
      <c r="G3609" s="364" t="s">
        <v>1185</v>
      </c>
      <c r="H3609" s="364" t="s">
        <v>1215</v>
      </c>
    </row>
    <row r="3610" ht="15.75" customHeight="1">
      <c r="A3610" s="364" t="s">
        <v>80</v>
      </c>
      <c r="B3610" s="364" t="s">
        <v>22</v>
      </c>
      <c r="C3610" s="365" t="s">
        <v>819</v>
      </c>
      <c r="D3610" s="364" t="s">
        <v>820</v>
      </c>
      <c r="E3610" s="366">
        <v>7.0</v>
      </c>
      <c r="F3610" s="367">
        <v>45817.58333333333</v>
      </c>
      <c r="G3610" s="364" t="s">
        <v>1185</v>
      </c>
      <c r="H3610" s="364" t="s">
        <v>1215</v>
      </c>
    </row>
    <row r="3611" ht="15.75" customHeight="1">
      <c r="A3611" s="364" t="s">
        <v>80</v>
      </c>
      <c r="B3611" s="364" t="s">
        <v>22</v>
      </c>
      <c r="C3611" s="365" t="s">
        <v>819</v>
      </c>
      <c r="D3611" s="364" t="s">
        <v>820</v>
      </c>
      <c r="E3611" s="366">
        <v>8.0</v>
      </c>
      <c r="F3611" s="367">
        <v>45831.45833333333</v>
      </c>
      <c r="G3611" s="364" t="s">
        <v>1185</v>
      </c>
      <c r="H3611" s="364" t="s">
        <v>1215</v>
      </c>
    </row>
    <row r="3612" ht="15.75" customHeight="1">
      <c r="A3612" s="364" t="s">
        <v>80</v>
      </c>
      <c r="B3612" s="364" t="s">
        <v>22</v>
      </c>
      <c r="C3612" s="365" t="s">
        <v>819</v>
      </c>
      <c r="D3612" s="364" t="s">
        <v>820</v>
      </c>
      <c r="E3612" s="366">
        <v>9.0</v>
      </c>
      <c r="F3612" s="367">
        <v>45846.45833333333</v>
      </c>
      <c r="G3612" s="364" t="s">
        <v>1187</v>
      </c>
      <c r="H3612" s="364" t="s">
        <v>1215</v>
      </c>
    </row>
    <row r="3613" ht="15.75" customHeight="1">
      <c r="A3613" s="364" t="s">
        <v>80</v>
      </c>
      <c r="B3613" s="364" t="s">
        <v>22</v>
      </c>
      <c r="C3613" s="365" t="s">
        <v>819</v>
      </c>
      <c r="D3613" s="364" t="s">
        <v>820</v>
      </c>
      <c r="E3613" s="366">
        <v>10.0</v>
      </c>
      <c r="F3613" s="367">
        <v>45853.45833333333</v>
      </c>
      <c r="G3613" s="364" t="s">
        <v>1185</v>
      </c>
      <c r="H3613" s="364" t="s">
        <v>1215</v>
      </c>
    </row>
    <row r="3614" ht="15.75" customHeight="1">
      <c r="A3614" s="364" t="s">
        <v>80</v>
      </c>
      <c r="B3614" s="364" t="s">
        <v>22</v>
      </c>
      <c r="C3614" s="365" t="s">
        <v>811</v>
      </c>
      <c r="D3614" s="364" t="s">
        <v>812</v>
      </c>
      <c r="E3614" s="366">
        <v>1.0</v>
      </c>
      <c r="F3614" s="367">
        <v>45646.41666666667</v>
      </c>
      <c r="G3614" s="364" t="s">
        <v>1185</v>
      </c>
      <c r="H3614" s="364" t="s">
        <v>1215</v>
      </c>
    </row>
    <row r="3615" ht="15.75" customHeight="1">
      <c r="A3615" s="364" t="s">
        <v>80</v>
      </c>
      <c r="B3615" s="364" t="s">
        <v>22</v>
      </c>
      <c r="C3615" s="365" t="s">
        <v>811</v>
      </c>
      <c r="D3615" s="364" t="s">
        <v>812</v>
      </c>
      <c r="E3615" s="366">
        <v>2.0</v>
      </c>
      <c r="F3615" s="367">
        <v>45663.45833333333</v>
      </c>
      <c r="G3615" s="364" t="s">
        <v>1185</v>
      </c>
      <c r="H3615" s="364" t="s">
        <v>1215</v>
      </c>
    </row>
    <row r="3616" ht="15.75" customHeight="1">
      <c r="A3616" s="364" t="s">
        <v>80</v>
      </c>
      <c r="B3616" s="364" t="s">
        <v>22</v>
      </c>
      <c r="C3616" s="365" t="s">
        <v>811</v>
      </c>
      <c r="D3616" s="364" t="s">
        <v>812</v>
      </c>
      <c r="E3616" s="366">
        <v>3.0</v>
      </c>
      <c r="F3616" s="367">
        <v>45680.45833333333</v>
      </c>
      <c r="G3616" s="364" t="s">
        <v>1187</v>
      </c>
      <c r="H3616" s="364" t="s">
        <v>1215</v>
      </c>
    </row>
    <row r="3617" ht="15.75" customHeight="1">
      <c r="A3617" s="364" t="s">
        <v>80</v>
      </c>
      <c r="B3617" s="364" t="s">
        <v>22</v>
      </c>
      <c r="C3617" s="365" t="s">
        <v>811</v>
      </c>
      <c r="D3617" s="364" t="s">
        <v>812</v>
      </c>
      <c r="E3617" s="366">
        <v>4.0</v>
      </c>
      <c r="F3617" s="367">
        <v>45701.45833333333</v>
      </c>
      <c r="G3617" s="364" t="s">
        <v>1185</v>
      </c>
      <c r="H3617" s="364" t="s">
        <v>1215</v>
      </c>
    </row>
    <row r="3618" ht="15.75" customHeight="1">
      <c r="A3618" s="364" t="s">
        <v>80</v>
      </c>
      <c r="B3618" s="364" t="s">
        <v>22</v>
      </c>
      <c r="C3618" s="365" t="s">
        <v>811</v>
      </c>
      <c r="D3618" s="364" t="s">
        <v>812</v>
      </c>
      <c r="E3618" s="366">
        <v>5.0</v>
      </c>
      <c r="F3618" s="367">
        <v>45762.41666666667</v>
      </c>
      <c r="G3618" s="364" t="s">
        <v>1185</v>
      </c>
      <c r="H3618" s="364" t="s">
        <v>1215</v>
      </c>
    </row>
    <row r="3619" ht="15.75" customHeight="1">
      <c r="A3619" s="364" t="s">
        <v>80</v>
      </c>
      <c r="B3619" s="364" t="s">
        <v>22</v>
      </c>
      <c r="C3619" s="365" t="s">
        <v>811</v>
      </c>
      <c r="D3619" s="364" t="s">
        <v>812</v>
      </c>
      <c r="E3619" s="366">
        <v>6.0</v>
      </c>
      <c r="F3619" s="367">
        <v>45790.45833333333</v>
      </c>
      <c r="G3619" s="364" t="s">
        <v>1185</v>
      </c>
      <c r="H3619" s="364" t="s">
        <v>1215</v>
      </c>
    </row>
    <row r="3620" ht="15.75" customHeight="1">
      <c r="A3620" s="364" t="s">
        <v>80</v>
      </c>
      <c r="B3620" s="364" t="s">
        <v>22</v>
      </c>
      <c r="C3620" s="365" t="s">
        <v>811</v>
      </c>
      <c r="D3620" s="364" t="s">
        <v>812</v>
      </c>
      <c r="E3620" s="366">
        <v>7.0</v>
      </c>
      <c r="F3620" s="367">
        <v>45817.58333333333</v>
      </c>
      <c r="G3620" s="364" t="s">
        <v>1185</v>
      </c>
      <c r="H3620" s="364" t="s">
        <v>1215</v>
      </c>
    </row>
    <row r="3621" ht="15.75" customHeight="1">
      <c r="A3621" s="364" t="s">
        <v>80</v>
      </c>
      <c r="B3621" s="364" t="s">
        <v>22</v>
      </c>
      <c r="C3621" s="365" t="s">
        <v>811</v>
      </c>
      <c r="D3621" s="364" t="s">
        <v>812</v>
      </c>
      <c r="E3621" s="366">
        <v>8.0</v>
      </c>
      <c r="F3621" s="367">
        <v>45831.45833333333</v>
      </c>
      <c r="G3621" s="364" t="s">
        <v>1185</v>
      </c>
      <c r="H3621" s="364" t="s">
        <v>1215</v>
      </c>
    </row>
    <row r="3622" ht="15.75" customHeight="1">
      <c r="A3622" s="364" t="s">
        <v>80</v>
      </c>
      <c r="B3622" s="364" t="s">
        <v>22</v>
      </c>
      <c r="C3622" s="365" t="s">
        <v>811</v>
      </c>
      <c r="D3622" s="364" t="s">
        <v>812</v>
      </c>
      <c r="E3622" s="366">
        <v>9.0</v>
      </c>
      <c r="F3622" s="367">
        <v>45846.45833333333</v>
      </c>
      <c r="G3622" s="364" t="s">
        <v>1185</v>
      </c>
      <c r="H3622" s="364" t="s">
        <v>1215</v>
      </c>
    </row>
    <row r="3623" ht="15.75" customHeight="1">
      <c r="A3623" s="364" t="s">
        <v>80</v>
      </c>
      <c r="B3623" s="364" t="s">
        <v>22</v>
      </c>
      <c r="C3623" s="365" t="s">
        <v>811</v>
      </c>
      <c r="D3623" s="364" t="s">
        <v>812</v>
      </c>
      <c r="E3623" s="366">
        <v>10.0</v>
      </c>
      <c r="F3623" s="367">
        <v>45853.45833333333</v>
      </c>
      <c r="G3623" s="364" t="s">
        <v>1185</v>
      </c>
      <c r="H3623" s="364" t="s">
        <v>1215</v>
      </c>
    </row>
    <row r="3624" ht="15.75" customHeight="1">
      <c r="A3624" s="364" t="s">
        <v>81</v>
      </c>
      <c r="B3624" s="364" t="s">
        <v>22</v>
      </c>
      <c r="C3624" s="365" t="s">
        <v>729</v>
      </c>
      <c r="D3624" s="364" t="s">
        <v>730</v>
      </c>
      <c r="E3624" s="366">
        <v>1.0</v>
      </c>
      <c r="F3624" s="367">
        <v>45765.41666666667</v>
      </c>
      <c r="G3624" s="364" t="s">
        <v>1185</v>
      </c>
      <c r="H3624" s="364" t="s">
        <v>1216</v>
      </c>
    </row>
    <row r="3625" ht="15.75" customHeight="1">
      <c r="A3625" s="364" t="s">
        <v>81</v>
      </c>
      <c r="B3625" s="364" t="s">
        <v>22</v>
      </c>
      <c r="C3625" s="365" t="s">
        <v>729</v>
      </c>
      <c r="D3625" s="364" t="s">
        <v>730</v>
      </c>
      <c r="E3625" s="366">
        <v>2.0</v>
      </c>
      <c r="F3625" s="367">
        <v>45768.375</v>
      </c>
      <c r="G3625" s="364" t="s">
        <v>1185</v>
      </c>
      <c r="H3625" s="364" t="s">
        <v>1216</v>
      </c>
    </row>
    <row r="3626" ht="15.75" customHeight="1">
      <c r="A3626" s="364" t="s">
        <v>81</v>
      </c>
      <c r="B3626" s="364" t="s">
        <v>22</v>
      </c>
      <c r="C3626" s="365" t="s">
        <v>729</v>
      </c>
      <c r="D3626" s="364" t="s">
        <v>730</v>
      </c>
      <c r="E3626" s="366">
        <v>3.0</v>
      </c>
      <c r="F3626" s="367">
        <v>45811.45833333333</v>
      </c>
      <c r="G3626" s="364" t="s">
        <v>1185</v>
      </c>
      <c r="H3626" s="364" t="s">
        <v>1216</v>
      </c>
    </row>
    <row r="3627" ht="15.75" customHeight="1">
      <c r="A3627" s="364" t="s">
        <v>81</v>
      </c>
      <c r="B3627" s="364" t="s">
        <v>22</v>
      </c>
      <c r="C3627" s="365" t="s">
        <v>729</v>
      </c>
      <c r="D3627" s="364" t="s">
        <v>730</v>
      </c>
      <c r="E3627" s="366">
        <v>4.0</v>
      </c>
      <c r="F3627" s="367">
        <v>45818.45833333333</v>
      </c>
      <c r="G3627" s="364" t="s">
        <v>1185</v>
      </c>
      <c r="H3627" s="364" t="s">
        <v>1216</v>
      </c>
    </row>
    <row r="3628" ht="15.75" customHeight="1">
      <c r="A3628" s="364" t="s">
        <v>81</v>
      </c>
      <c r="B3628" s="364" t="s">
        <v>22</v>
      </c>
      <c r="C3628" s="365" t="s">
        <v>729</v>
      </c>
      <c r="D3628" s="364" t="s">
        <v>730</v>
      </c>
      <c r="E3628" s="366">
        <v>5.0</v>
      </c>
      <c r="F3628" s="367">
        <v>45833.45833333333</v>
      </c>
      <c r="G3628" s="364" t="s">
        <v>1185</v>
      </c>
      <c r="H3628" s="364" t="s">
        <v>1216</v>
      </c>
    </row>
    <row r="3629" ht="15.75" customHeight="1">
      <c r="A3629" s="364" t="s">
        <v>81</v>
      </c>
      <c r="B3629" s="364" t="s">
        <v>22</v>
      </c>
      <c r="C3629" s="365" t="s">
        <v>729</v>
      </c>
      <c r="D3629" s="364" t="s">
        <v>730</v>
      </c>
      <c r="E3629" s="366">
        <v>6.0</v>
      </c>
      <c r="F3629" s="367">
        <v>45839.45833333333</v>
      </c>
      <c r="G3629" s="364" t="s">
        <v>1185</v>
      </c>
      <c r="H3629" s="364" t="s">
        <v>1216</v>
      </c>
    </row>
    <row r="3630" ht="15.75" customHeight="1">
      <c r="A3630" s="364" t="s">
        <v>81</v>
      </c>
      <c r="B3630" s="364" t="s">
        <v>22</v>
      </c>
      <c r="C3630" s="365" t="s">
        <v>729</v>
      </c>
      <c r="D3630" s="364" t="s">
        <v>730</v>
      </c>
      <c r="E3630" s="366">
        <v>7.0</v>
      </c>
      <c r="F3630" s="367">
        <v>45846.54166666667</v>
      </c>
      <c r="G3630" s="364" t="s">
        <v>1185</v>
      </c>
      <c r="H3630" s="364" t="s">
        <v>1216</v>
      </c>
    </row>
    <row r="3631" ht="15.75" customHeight="1">
      <c r="A3631" s="364" t="s">
        <v>81</v>
      </c>
      <c r="B3631" s="364" t="s">
        <v>22</v>
      </c>
      <c r="C3631" s="365" t="s">
        <v>729</v>
      </c>
      <c r="D3631" s="364" t="s">
        <v>730</v>
      </c>
      <c r="E3631" s="366">
        <v>8.0</v>
      </c>
      <c r="F3631" s="367">
        <v>45853.45833333333</v>
      </c>
      <c r="G3631" s="364" t="s">
        <v>1185</v>
      </c>
      <c r="H3631" s="364" t="s">
        <v>1216</v>
      </c>
    </row>
    <row r="3632" ht="15.75" customHeight="1">
      <c r="A3632" s="364" t="s">
        <v>81</v>
      </c>
      <c r="B3632" s="364" t="s">
        <v>22</v>
      </c>
      <c r="C3632" s="365" t="s">
        <v>729</v>
      </c>
      <c r="D3632" s="364" t="s">
        <v>730</v>
      </c>
      <c r="E3632" s="366">
        <v>9.0</v>
      </c>
      <c r="F3632" s="367">
        <v>45862.45833333333</v>
      </c>
      <c r="G3632" s="364" t="s">
        <v>1185</v>
      </c>
      <c r="H3632" s="364" t="s">
        <v>1216</v>
      </c>
    </row>
    <row r="3633" ht="15.75" customHeight="1">
      <c r="A3633" s="364" t="s">
        <v>81</v>
      </c>
      <c r="B3633" s="364" t="s">
        <v>22</v>
      </c>
      <c r="C3633" s="365" t="s">
        <v>729</v>
      </c>
      <c r="D3633" s="364" t="s">
        <v>730</v>
      </c>
      <c r="E3633" s="366">
        <v>10.0</v>
      </c>
      <c r="F3633" s="367">
        <v>45883.41666666667</v>
      </c>
      <c r="G3633" s="364" t="s">
        <v>1185</v>
      </c>
      <c r="H3633" s="364" t="s">
        <v>1216</v>
      </c>
    </row>
    <row r="3634" ht="15.75" customHeight="1">
      <c r="A3634" s="364" t="s">
        <v>81</v>
      </c>
      <c r="B3634" s="364" t="s">
        <v>22</v>
      </c>
      <c r="C3634" s="365" t="s">
        <v>731</v>
      </c>
      <c r="D3634" s="364" t="s">
        <v>732</v>
      </c>
      <c r="E3634" s="366">
        <v>1.0</v>
      </c>
      <c r="F3634" s="367">
        <v>45765.41666666667</v>
      </c>
      <c r="G3634" s="364" t="s">
        <v>1185</v>
      </c>
      <c r="H3634" s="364" t="s">
        <v>1216</v>
      </c>
    </row>
    <row r="3635" ht="15.75" customHeight="1">
      <c r="A3635" s="364" t="s">
        <v>81</v>
      </c>
      <c r="B3635" s="364" t="s">
        <v>22</v>
      </c>
      <c r="C3635" s="365" t="s">
        <v>731</v>
      </c>
      <c r="D3635" s="364" t="s">
        <v>732</v>
      </c>
      <c r="E3635" s="366">
        <v>2.0</v>
      </c>
      <c r="F3635" s="367">
        <v>45768.375</v>
      </c>
      <c r="G3635" s="364" t="s">
        <v>1185</v>
      </c>
      <c r="H3635" s="364" t="s">
        <v>1216</v>
      </c>
    </row>
    <row r="3636" ht="15.75" customHeight="1">
      <c r="A3636" s="364" t="s">
        <v>81</v>
      </c>
      <c r="B3636" s="364" t="s">
        <v>22</v>
      </c>
      <c r="C3636" s="365" t="s">
        <v>731</v>
      </c>
      <c r="D3636" s="364" t="s">
        <v>732</v>
      </c>
      <c r="E3636" s="366">
        <v>3.0</v>
      </c>
      <c r="F3636" s="367">
        <v>45811.45833333333</v>
      </c>
      <c r="G3636" s="364" t="s">
        <v>1185</v>
      </c>
      <c r="H3636" s="364" t="s">
        <v>1216</v>
      </c>
    </row>
    <row r="3637" ht="15.75" customHeight="1">
      <c r="A3637" s="364" t="s">
        <v>81</v>
      </c>
      <c r="B3637" s="364" t="s">
        <v>22</v>
      </c>
      <c r="C3637" s="365" t="s">
        <v>731</v>
      </c>
      <c r="D3637" s="364" t="s">
        <v>732</v>
      </c>
      <c r="E3637" s="366">
        <v>4.0</v>
      </c>
      <c r="F3637" s="367">
        <v>45818.45833333333</v>
      </c>
      <c r="G3637" s="364" t="s">
        <v>1185</v>
      </c>
      <c r="H3637" s="364" t="s">
        <v>1216</v>
      </c>
    </row>
    <row r="3638" ht="15.75" customHeight="1">
      <c r="A3638" s="364" t="s">
        <v>81</v>
      </c>
      <c r="B3638" s="364" t="s">
        <v>22</v>
      </c>
      <c r="C3638" s="365" t="s">
        <v>731</v>
      </c>
      <c r="D3638" s="364" t="s">
        <v>732</v>
      </c>
      <c r="E3638" s="366">
        <v>5.0</v>
      </c>
      <c r="F3638" s="367">
        <v>45833.45833333333</v>
      </c>
      <c r="G3638" s="364" t="s">
        <v>1185</v>
      </c>
      <c r="H3638" s="364" t="s">
        <v>1216</v>
      </c>
    </row>
    <row r="3639" ht="15.75" customHeight="1">
      <c r="A3639" s="364" t="s">
        <v>81</v>
      </c>
      <c r="B3639" s="364" t="s">
        <v>22</v>
      </c>
      <c r="C3639" s="365" t="s">
        <v>731</v>
      </c>
      <c r="D3639" s="364" t="s">
        <v>732</v>
      </c>
      <c r="E3639" s="366">
        <v>6.0</v>
      </c>
      <c r="F3639" s="367">
        <v>45839.45833333333</v>
      </c>
      <c r="G3639" s="364" t="s">
        <v>1185</v>
      </c>
      <c r="H3639" s="364" t="s">
        <v>1216</v>
      </c>
    </row>
    <row r="3640" ht="15.75" customHeight="1">
      <c r="A3640" s="364" t="s">
        <v>81</v>
      </c>
      <c r="B3640" s="364" t="s">
        <v>22</v>
      </c>
      <c r="C3640" s="365" t="s">
        <v>731</v>
      </c>
      <c r="D3640" s="364" t="s">
        <v>732</v>
      </c>
      <c r="E3640" s="366">
        <v>7.0</v>
      </c>
      <c r="F3640" s="367">
        <v>45846.54166666667</v>
      </c>
      <c r="G3640" s="364" t="s">
        <v>1185</v>
      </c>
      <c r="H3640" s="364" t="s">
        <v>1216</v>
      </c>
    </row>
    <row r="3641" ht="15.75" customHeight="1">
      <c r="A3641" s="364" t="s">
        <v>81</v>
      </c>
      <c r="B3641" s="364" t="s">
        <v>22</v>
      </c>
      <c r="C3641" s="365" t="s">
        <v>731</v>
      </c>
      <c r="D3641" s="364" t="s">
        <v>732</v>
      </c>
      <c r="E3641" s="366">
        <v>8.0</v>
      </c>
      <c r="F3641" s="367">
        <v>45853.45833333333</v>
      </c>
      <c r="G3641" s="364" t="s">
        <v>1185</v>
      </c>
      <c r="H3641" s="364" t="s">
        <v>1216</v>
      </c>
    </row>
    <row r="3642" ht="15.75" customHeight="1">
      <c r="A3642" s="364" t="s">
        <v>81</v>
      </c>
      <c r="B3642" s="364" t="s">
        <v>22</v>
      </c>
      <c r="C3642" s="365" t="s">
        <v>731</v>
      </c>
      <c r="D3642" s="364" t="s">
        <v>732</v>
      </c>
      <c r="E3642" s="366">
        <v>9.0</v>
      </c>
      <c r="F3642" s="367">
        <v>45862.45833333333</v>
      </c>
      <c r="G3642" s="364" t="s">
        <v>1185</v>
      </c>
      <c r="H3642" s="364" t="s">
        <v>1216</v>
      </c>
    </row>
    <row r="3643" ht="15.75" customHeight="1">
      <c r="A3643" s="364" t="s">
        <v>81</v>
      </c>
      <c r="B3643" s="364" t="s">
        <v>22</v>
      </c>
      <c r="C3643" s="365" t="s">
        <v>731</v>
      </c>
      <c r="D3643" s="364" t="s">
        <v>732</v>
      </c>
      <c r="E3643" s="366">
        <v>10.0</v>
      </c>
      <c r="F3643" s="367">
        <v>45883.41666666667</v>
      </c>
      <c r="G3643" s="364" t="s">
        <v>1185</v>
      </c>
      <c r="H3643" s="364" t="s">
        <v>1216</v>
      </c>
    </row>
    <row r="3644" ht="15.75" customHeight="1">
      <c r="A3644" s="364" t="s">
        <v>81</v>
      </c>
      <c r="B3644" s="364" t="s">
        <v>22</v>
      </c>
      <c r="C3644" s="365" t="s">
        <v>723</v>
      </c>
      <c r="D3644" s="364" t="s">
        <v>724</v>
      </c>
      <c r="E3644" s="366">
        <v>1.0</v>
      </c>
      <c r="F3644" s="367">
        <v>45765.41666666667</v>
      </c>
      <c r="G3644" s="364" t="s">
        <v>1185</v>
      </c>
      <c r="H3644" s="364" t="s">
        <v>1216</v>
      </c>
    </row>
    <row r="3645" ht="15.75" customHeight="1">
      <c r="A3645" s="364" t="s">
        <v>81</v>
      </c>
      <c r="B3645" s="364" t="s">
        <v>22</v>
      </c>
      <c r="C3645" s="365" t="s">
        <v>723</v>
      </c>
      <c r="D3645" s="364" t="s">
        <v>724</v>
      </c>
      <c r="E3645" s="366">
        <v>2.0</v>
      </c>
      <c r="F3645" s="367">
        <v>45768.375</v>
      </c>
      <c r="G3645" s="364" t="s">
        <v>1185</v>
      </c>
      <c r="H3645" s="364" t="s">
        <v>1216</v>
      </c>
    </row>
    <row r="3646" ht="15.75" customHeight="1">
      <c r="A3646" s="364" t="s">
        <v>81</v>
      </c>
      <c r="B3646" s="364" t="s">
        <v>22</v>
      </c>
      <c r="C3646" s="365" t="s">
        <v>723</v>
      </c>
      <c r="D3646" s="364" t="s">
        <v>724</v>
      </c>
      <c r="E3646" s="366">
        <v>3.0</v>
      </c>
      <c r="F3646" s="367">
        <v>45811.45833333333</v>
      </c>
      <c r="G3646" s="364" t="s">
        <v>1185</v>
      </c>
      <c r="H3646" s="364" t="s">
        <v>1216</v>
      </c>
    </row>
    <row r="3647" ht="15.75" customHeight="1">
      <c r="A3647" s="364" t="s">
        <v>81</v>
      </c>
      <c r="B3647" s="364" t="s">
        <v>22</v>
      </c>
      <c r="C3647" s="365" t="s">
        <v>723</v>
      </c>
      <c r="D3647" s="364" t="s">
        <v>724</v>
      </c>
      <c r="E3647" s="366">
        <v>4.0</v>
      </c>
      <c r="F3647" s="367">
        <v>45818.45833333333</v>
      </c>
      <c r="G3647" s="364" t="s">
        <v>1185</v>
      </c>
      <c r="H3647" s="364" t="s">
        <v>1216</v>
      </c>
    </row>
    <row r="3648" ht="15.75" customHeight="1">
      <c r="A3648" s="364" t="s">
        <v>81</v>
      </c>
      <c r="B3648" s="364" t="s">
        <v>22</v>
      </c>
      <c r="C3648" s="365" t="s">
        <v>723</v>
      </c>
      <c r="D3648" s="364" t="s">
        <v>724</v>
      </c>
      <c r="E3648" s="366">
        <v>5.0</v>
      </c>
      <c r="F3648" s="367">
        <v>45833.45833333333</v>
      </c>
      <c r="G3648" s="364" t="s">
        <v>1185</v>
      </c>
      <c r="H3648" s="364" t="s">
        <v>1216</v>
      </c>
    </row>
    <row r="3649" ht="15.75" customHeight="1">
      <c r="A3649" s="364" t="s">
        <v>81</v>
      </c>
      <c r="B3649" s="364" t="s">
        <v>22</v>
      </c>
      <c r="C3649" s="365" t="s">
        <v>723</v>
      </c>
      <c r="D3649" s="364" t="s">
        <v>724</v>
      </c>
      <c r="E3649" s="366">
        <v>6.0</v>
      </c>
      <c r="F3649" s="367">
        <v>45839.45833333333</v>
      </c>
      <c r="G3649" s="364" t="s">
        <v>1185</v>
      </c>
      <c r="H3649" s="364" t="s">
        <v>1216</v>
      </c>
    </row>
    <row r="3650" ht="15.75" customHeight="1">
      <c r="A3650" s="364" t="s">
        <v>81</v>
      </c>
      <c r="B3650" s="364" t="s">
        <v>22</v>
      </c>
      <c r="C3650" s="365" t="s">
        <v>723</v>
      </c>
      <c r="D3650" s="364" t="s">
        <v>724</v>
      </c>
      <c r="E3650" s="366">
        <v>7.0</v>
      </c>
      <c r="F3650" s="367">
        <v>45846.54166666667</v>
      </c>
      <c r="G3650" s="364" t="s">
        <v>1185</v>
      </c>
      <c r="H3650" s="364" t="s">
        <v>1216</v>
      </c>
    </row>
    <row r="3651" ht="15.75" customHeight="1">
      <c r="A3651" s="364" t="s">
        <v>81</v>
      </c>
      <c r="B3651" s="364" t="s">
        <v>22</v>
      </c>
      <c r="C3651" s="365" t="s">
        <v>723</v>
      </c>
      <c r="D3651" s="364" t="s">
        <v>724</v>
      </c>
      <c r="E3651" s="366">
        <v>8.0</v>
      </c>
      <c r="F3651" s="367">
        <v>45853.45833333333</v>
      </c>
      <c r="G3651" s="364" t="s">
        <v>1185</v>
      </c>
      <c r="H3651" s="364" t="s">
        <v>1216</v>
      </c>
    </row>
    <row r="3652" ht="15.75" customHeight="1">
      <c r="A3652" s="364" t="s">
        <v>81</v>
      </c>
      <c r="B3652" s="364" t="s">
        <v>22</v>
      </c>
      <c r="C3652" s="365" t="s">
        <v>723</v>
      </c>
      <c r="D3652" s="364" t="s">
        <v>724</v>
      </c>
      <c r="E3652" s="366">
        <v>9.0</v>
      </c>
      <c r="F3652" s="367">
        <v>45862.45833333333</v>
      </c>
      <c r="G3652" s="364" t="s">
        <v>1185</v>
      </c>
      <c r="H3652" s="364" t="s">
        <v>1216</v>
      </c>
    </row>
    <row r="3653" ht="15.75" customHeight="1">
      <c r="A3653" s="364" t="s">
        <v>81</v>
      </c>
      <c r="B3653" s="364" t="s">
        <v>22</v>
      </c>
      <c r="C3653" s="365" t="s">
        <v>723</v>
      </c>
      <c r="D3653" s="364" t="s">
        <v>724</v>
      </c>
      <c r="E3653" s="366">
        <v>10.0</v>
      </c>
      <c r="F3653" s="367">
        <v>45883.41666666667</v>
      </c>
      <c r="G3653" s="364" t="s">
        <v>1185</v>
      </c>
      <c r="H3653" s="364" t="s">
        <v>1216</v>
      </c>
    </row>
    <row r="3654" ht="15.75" customHeight="1">
      <c r="A3654" s="364" t="s">
        <v>81</v>
      </c>
      <c r="B3654" s="364" t="s">
        <v>22</v>
      </c>
      <c r="C3654" s="365" t="s">
        <v>725</v>
      </c>
      <c r="D3654" s="364" t="s">
        <v>726</v>
      </c>
      <c r="E3654" s="366">
        <v>1.0</v>
      </c>
      <c r="F3654" s="367">
        <v>45765.41666666667</v>
      </c>
      <c r="G3654" s="364" t="s">
        <v>1185</v>
      </c>
      <c r="H3654" s="364" t="s">
        <v>1216</v>
      </c>
    </row>
    <row r="3655" ht="15.75" customHeight="1">
      <c r="A3655" s="364" t="s">
        <v>81</v>
      </c>
      <c r="B3655" s="364" t="s">
        <v>22</v>
      </c>
      <c r="C3655" s="365" t="s">
        <v>725</v>
      </c>
      <c r="D3655" s="364" t="s">
        <v>726</v>
      </c>
      <c r="E3655" s="366">
        <v>2.0</v>
      </c>
      <c r="F3655" s="367">
        <v>45768.375</v>
      </c>
      <c r="G3655" s="364" t="s">
        <v>1185</v>
      </c>
      <c r="H3655" s="364" t="s">
        <v>1216</v>
      </c>
    </row>
    <row r="3656" ht="15.75" customHeight="1">
      <c r="A3656" s="364" t="s">
        <v>81</v>
      </c>
      <c r="B3656" s="364" t="s">
        <v>22</v>
      </c>
      <c r="C3656" s="365" t="s">
        <v>725</v>
      </c>
      <c r="D3656" s="364" t="s">
        <v>726</v>
      </c>
      <c r="E3656" s="366">
        <v>3.0</v>
      </c>
      <c r="F3656" s="367">
        <v>45811.45833333333</v>
      </c>
      <c r="G3656" s="364" t="s">
        <v>1185</v>
      </c>
      <c r="H3656" s="364" t="s">
        <v>1216</v>
      </c>
    </row>
    <row r="3657" ht="15.75" customHeight="1">
      <c r="A3657" s="364" t="s">
        <v>81</v>
      </c>
      <c r="B3657" s="364" t="s">
        <v>22</v>
      </c>
      <c r="C3657" s="365" t="s">
        <v>725</v>
      </c>
      <c r="D3657" s="364" t="s">
        <v>726</v>
      </c>
      <c r="E3657" s="366">
        <v>4.0</v>
      </c>
      <c r="F3657" s="367">
        <v>45818.45833333333</v>
      </c>
      <c r="G3657" s="364" t="s">
        <v>1185</v>
      </c>
      <c r="H3657" s="364" t="s">
        <v>1216</v>
      </c>
    </row>
    <row r="3658" ht="15.75" customHeight="1">
      <c r="A3658" s="364" t="s">
        <v>81</v>
      </c>
      <c r="B3658" s="364" t="s">
        <v>22</v>
      </c>
      <c r="C3658" s="365" t="s">
        <v>725</v>
      </c>
      <c r="D3658" s="364" t="s">
        <v>726</v>
      </c>
      <c r="E3658" s="366">
        <v>5.0</v>
      </c>
      <c r="F3658" s="367">
        <v>45833.45833333333</v>
      </c>
      <c r="G3658" s="364" t="s">
        <v>1185</v>
      </c>
      <c r="H3658" s="364" t="s">
        <v>1216</v>
      </c>
    </row>
    <row r="3659" ht="15.75" customHeight="1">
      <c r="A3659" s="364" t="s">
        <v>81</v>
      </c>
      <c r="B3659" s="364" t="s">
        <v>22</v>
      </c>
      <c r="C3659" s="365" t="s">
        <v>725</v>
      </c>
      <c r="D3659" s="364" t="s">
        <v>726</v>
      </c>
      <c r="E3659" s="366">
        <v>6.0</v>
      </c>
      <c r="F3659" s="367">
        <v>45839.45833333333</v>
      </c>
      <c r="G3659" s="364" t="s">
        <v>1185</v>
      </c>
      <c r="H3659" s="364" t="s">
        <v>1216</v>
      </c>
    </row>
    <row r="3660" ht="15.75" customHeight="1">
      <c r="A3660" s="364" t="s">
        <v>81</v>
      </c>
      <c r="B3660" s="364" t="s">
        <v>22</v>
      </c>
      <c r="C3660" s="365" t="s">
        <v>725</v>
      </c>
      <c r="D3660" s="364" t="s">
        <v>726</v>
      </c>
      <c r="E3660" s="366">
        <v>7.0</v>
      </c>
      <c r="F3660" s="367">
        <v>45846.54166666667</v>
      </c>
      <c r="G3660" s="364" t="s">
        <v>1185</v>
      </c>
      <c r="H3660" s="364" t="s">
        <v>1216</v>
      </c>
    </row>
    <row r="3661" ht="15.75" customHeight="1">
      <c r="A3661" s="364" t="s">
        <v>81</v>
      </c>
      <c r="B3661" s="364" t="s">
        <v>22</v>
      </c>
      <c r="C3661" s="365" t="s">
        <v>725</v>
      </c>
      <c r="D3661" s="364" t="s">
        <v>726</v>
      </c>
      <c r="E3661" s="366">
        <v>8.0</v>
      </c>
      <c r="F3661" s="367">
        <v>45853.45833333333</v>
      </c>
      <c r="G3661" s="364" t="s">
        <v>1185</v>
      </c>
      <c r="H3661" s="364" t="s">
        <v>1216</v>
      </c>
    </row>
    <row r="3662" ht="15.75" customHeight="1">
      <c r="A3662" s="364" t="s">
        <v>81</v>
      </c>
      <c r="B3662" s="364" t="s">
        <v>22</v>
      </c>
      <c r="C3662" s="365" t="s">
        <v>725</v>
      </c>
      <c r="D3662" s="364" t="s">
        <v>726</v>
      </c>
      <c r="E3662" s="366">
        <v>9.0</v>
      </c>
      <c r="F3662" s="367">
        <v>45862.45833333333</v>
      </c>
      <c r="G3662" s="364" t="s">
        <v>1185</v>
      </c>
      <c r="H3662" s="364" t="s">
        <v>1216</v>
      </c>
    </row>
    <row r="3663" ht="15.75" customHeight="1">
      <c r="A3663" s="364" t="s">
        <v>81</v>
      </c>
      <c r="B3663" s="364" t="s">
        <v>22</v>
      </c>
      <c r="C3663" s="365" t="s">
        <v>725</v>
      </c>
      <c r="D3663" s="364" t="s">
        <v>726</v>
      </c>
      <c r="E3663" s="366">
        <v>10.0</v>
      </c>
      <c r="F3663" s="367">
        <v>45883.41666666667</v>
      </c>
      <c r="G3663" s="364" t="s">
        <v>1185</v>
      </c>
      <c r="H3663" s="364" t="s">
        <v>1216</v>
      </c>
    </row>
    <row r="3664" ht="15.75" customHeight="1">
      <c r="A3664" s="364" t="s">
        <v>82</v>
      </c>
      <c r="B3664" s="364" t="s">
        <v>22</v>
      </c>
      <c r="C3664" s="365" t="s">
        <v>577</v>
      </c>
      <c r="D3664" s="364" t="s">
        <v>578</v>
      </c>
      <c r="E3664" s="366">
        <v>1.0</v>
      </c>
      <c r="F3664" s="367">
        <v>45765.58333333333</v>
      </c>
      <c r="G3664" s="364" t="s">
        <v>1185</v>
      </c>
      <c r="H3664" s="364" t="s">
        <v>1217</v>
      </c>
    </row>
    <row r="3665" ht="15.75" customHeight="1">
      <c r="A3665" s="364" t="s">
        <v>82</v>
      </c>
      <c r="B3665" s="364" t="s">
        <v>22</v>
      </c>
      <c r="C3665" s="365" t="s">
        <v>577</v>
      </c>
      <c r="D3665" s="364" t="s">
        <v>578</v>
      </c>
      <c r="E3665" s="366">
        <v>2.0</v>
      </c>
      <c r="F3665" s="367">
        <v>45770.58333333333</v>
      </c>
      <c r="G3665" s="364" t="s">
        <v>1185</v>
      </c>
      <c r="H3665" s="364" t="s">
        <v>1217</v>
      </c>
    </row>
    <row r="3666" ht="15.75" customHeight="1">
      <c r="A3666" s="364" t="s">
        <v>82</v>
      </c>
      <c r="B3666" s="364" t="s">
        <v>22</v>
      </c>
      <c r="C3666" s="365" t="s">
        <v>577</v>
      </c>
      <c r="D3666" s="364" t="s">
        <v>578</v>
      </c>
      <c r="E3666" s="366">
        <v>3.0</v>
      </c>
      <c r="F3666" s="367">
        <v>45783.54166666667</v>
      </c>
      <c r="G3666" s="364" t="s">
        <v>1185</v>
      </c>
      <c r="H3666" s="364" t="s">
        <v>1217</v>
      </c>
    </row>
    <row r="3667" ht="15.75" customHeight="1">
      <c r="A3667" s="364" t="s">
        <v>82</v>
      </c>
      <c r="B3667" s="364" t="s">
        <v>22</v>
      </c>
      <c r="C3667" s="365" t="s">
        <v>577</v>
      </c>
      <c r="D3667" s="364" t="s">
        <v>578</v>
      </c>
      <c r="E3667" s="366">
        <v>4.0</v>
      </c>
      <c r="F3667" s="367">
        <v>45791.58333333333</v>
      </c>
      <c r="G3667" s="364" t="s">
        <v>1185</v>
      </c>
      <c r="H3667" s="364" t="s">
        <v>1217</v>
      </c>
    </row>
    <row r="3668" ht="15.75" customHeight="1">
      <c r="A3668" s="364" t="s">
        <v>82</v>
      </c>
      <c r="B3668" s="364" t="s">
        <v>22</v>
      </c>
      <c r="C3668" s="365" t="s">
        <v>577</v>
      </c>
      <c r="D3668" s="364" t="s">
        <v>578</v>
      </c>
      <c r="E3668" s="366">
        <v>5.0</v>
      </c>
      <c r="F3668" s="367">
        <v>45792.54166666667</v>
      </c>
      <c r="G3668" s="364" t="s">
        <v>1185</v>
      </c>
      <c r="H3668" s="364" t="s">
        <v>1217</v>
      </c>
    </row>
    <row r="3669" ht="15.75" customHeight="1">
      <c r="A3669" s="364" t="s">
        <v>82</v>
      </c>
      <c r="B3669" s="364" t="s">
        <v>22</v>
      </c>
      <c r="C3669" s="365" t="s">
        <v>577</v>
      </c>
      <c r="D3669" s="364" t="s">
        <v>578</v>
      </c>
      <c r="E3669" s="366">
        <v>6.0</v>
      </c>
      <c r="F3669" s="367">
        <v>45805.58333333333</v>
      </c>
      <c r="G3669" s="364" t="s">
        <v>1185</v>
      </c>
      <c r="H3669" s="364" t="s">
        <v>1217</v>
      </c>
    </row>
    <row r="3670" ht="15.75" customHeight="1">
      <c r="A3670" s="364" t="s">
        <v>82</v>
      </c>
      <c r="B3670" s="364" t="s">
        <v>22</v>
      </c>
      <c r="C3670" s="365" t="s">
        <v>577</v>
      </c>
      <c r="D3670" s="364" t="s">
        <v>578</v>
      </c>
      <c r="E3670" s="366">
        <v>7.0</v>
      </c>
      <c r="F3670" s="367">
        <v>45811.54166666667</v>
      </c>
      <c r="G3670" s="364" t="s">
        <v>1187</v>
      </c>
      <c r="H3670" s="364" t="s">
        <v>1217</v>
      </c>
    </row>
    <row r="3671" ht="15.75" customHeight="1">
      <c r="A3671" s="364" t="s">
        <v>82</v>
      </c>
      <c r="B3671" s="364" t="s">
        <v>22</v>
      </c>
      <c r="C3671" s="365" t="s">
        <v>577</v>
      </c>
      <c r="D3671" s="364" t="s">
        <v>578</v>
      </c>
      <c r="E3671" s="366">
        <v>8.0</v>
      </c>
      <c r="F3671" s="367">
        <v>45819.54166666667</v>
      </c>
      <c r="G3671" s="364" t="s">
        <v>1185</v>
      </c>
      <c r="H3671" s="364" t="s">
        <v>1217</v>
      </c>
    </row>
    <row r="3672" ht="15.75" customHeight="1">
      <c r="A3672" s="364" t="s">
        <v>82</v>
      </c>
      <c r="B3672" s="364" t="s">
        <v>22</v>
      </c>
      <c r="C3672" s="365" t="s">
        <v>577</v>
      </c>
      <c r="D3672" s="364" t="s">
        <v>578</v>
      </c>
      <c r="E3672" s="366">
        <v>9.0</v>
      </c>
      <c r="F3672" s="367">
        <v>45825.54166666667</v>
      </c>
      <c r="G3672" s="364" t="s">
        <v>1185</v>
      </c>
      <c r="H3672" s="364" t="s">
        <v>1217</v>
      </c>
    </row>
    <row r="3673" ht="15.75" customHeight="1">
      <c r="A3673" s="364" t="s">
        <v>82</v>
      </c>
      <c r="B3673" s="364" t="s">
        <v>22</v>
      </c>
      <c r="C3673" s="365" t="s">
        <v>577</v>
      </c>
      <c r="D3673" s="364" t="s">
        <v>578</v>
      </c>
      <c r="E3673" s="366">
        <v>10.0</v>
      </c>
      <c r="F3673" s="367">
        <v>45853.54166666667</v>
      </c>
      <c r="G3673" s="364" t="s">
        <v>1185</v>
      </c>
      <c r="H3673" s="364" t="s">
        <v>1217</v>
      </c>
    </row>
    <row r="3674" ht="15.75" customHeight="1">
      <c r="A3674" s="364" t="s">
        <v>82</v>
      </c>
      <c r="B3674" s="364" t="s">
        <v>22</v>
      </c>
      <c r="C3674" s="365" t="s">
        <v>579</v>
      </c>
      <c r="D3674" s="364" t="s">
        <v>580</v>
      </c>
      <c r="E3674" s="366">
        <v>1.0</v>
      </c>
      <c r="F3674" s="367">
        <v>45765.58333333333</v>
      </c>
      <c r="G3674" s="364" t="s">
        <v>1185</v>
      </c>
      <c r="H3674" s="364" t="s">
        <v>1217</v>
      </c>
    </row>
    <row r="3675" ht="15.75" customHeight="1">
      <c r="A3675" s="364" t="s">
        <v>82</v>
      </c>
      <c r="B3675" s="364" t="s">
        <v>22</v>
      </c>
      <c r="C3675" s="365" t="s">
        <v>579</v>
      </c>
      <c r="D3675" s="364" t="s">
        <v>580</v>
      </c>
      <c r="E3675" s="366">
        <v>2.0</v>
      </c>
      <c r="F3675" s="367">
        <v>45770.58333333333</v>
      </c>
      <c r="G3675" s="364" t="s">
        <v>1185</v>
      </c>
      <c r="H3675" s="364" t="s">
        <v>1217</v>
      </c>
    </row>
    <row r="3676" ht="15.75" customHeight="1">
      <c r="A3676" s="364" t="s">
        <v>82</v>
      </c>
      <c r="B3676" s="364" t="s">
        <v>22</v>
      </c>
      <c r="C3676" s="365" t="s">
        <v>579</v>
      </c>
      <c r="D3676" s="364" t="s">
        <v>580</v>
      </c>
      <c r="E3676" s="366">
        <v>3.0</v>
      </c>
      <c r="F3676" s="367">
        <v>45783.54166666667</v>
      </c>
      <c r="G3676" s="364" t="s">
        <v>1185</v>
      </c>
      <c r="H3676" s="364" t="s">
        <v>1217</v>
      </c>
    </row>
    <row r="3677" ht="15.75" customHeight="1">
      <c r="A3677" s="364" t="s">
        <v>82</v>
      </c>
      <c r="B3677" s="364" t="s">
        <v>22</v>
      </c>
      <c r="C3677" s="365" t="s">
        <v>579</v>
      </c>
      <c r="D3677" s="364" t="s">
        <v>580</v>
      </c>
      <c r="E3677" s="366">
        <v>4.0</v>
      </c>
      <c r="F3677" s="367">
        <v>45791.58333333333</v>
      </c>
      <c r="G3677" s="364" t="s">
        <v>1185</v>
      </c>
      <c r="H3677" s="364" t="s">
        <v>1217</v>
      </c>
    </row>
    <row r="3678" ht="15.75" customHeight="1">
      <c r="A3678" s="364" t="s">
        <v>82</v>
      </c>
      <c r="B3678" s="364" t="s">
        <v>22</v>
      </c>
      <c r="C3678" s="365" t="s">
        <v>579</v>
      </c>
      <c r="D3678" s="364" t="s">
        <v>580</v>
      </c>
      <c r="E3678" s="366">
        <v>5.0</v>
      </c>
      <c r="F3678" s="367">
        <v>45792.54166666667</v>
      </c>
      <c r="G3678" s="364" t="s">
        <v>1185</v>
      </c>
      <c r="H3678" s="364" t="s">
        <v>1217</v>
      </c>
    </row>
    <row r="3679" ht="15.75" customHeight="1">
      <c r="A3679" s="364" t="s">
        <v>82</v>
      </c>
      <c r="B3679" s="364" t="s">
        <v>22</v>
      </c>
      <c r="C3679" s="365" t="s">
        <v>579</v>
      </c>
      <c r="D3679" s="364" t="s">
        <v>580</v>
      </c>
      <c r="E3679" s="366">
        <v>6.0</v>
      </c>
      <c r="F3679" s="367">
        <v>45805.58333333333</v>
      </c>
      <c r="G3679" s="364" t="s">
        <v>1185</v>
      </c>
      <c r="H3679" s="364" t="s">
        <v>1217</v>
      </c>
    </row>
    <row r="3680" ht="15.75" customHeight="1">
      <c r="A3680" s="364" t="s">
        <v>82</v>
      </c>
      <c r="B3680" s="364" t="s">
        <v>22</v>
      </c>
      <c r="C3680" s="365" t="s">
        <v>579</v>
      </c>
      <c r="D3680" s="364" t="s">
        <v>580</v>
      </c>
      <c r="E3680" s="366">
        <v>7.0</v>
      </c>
      <c r="F3680" s="367">
        <v>45811.54166666667</v>
      </c>
      <c r="G3680" s="364" t="s">
        <v>1185</v>
      </c>
      <c r="H3680" s="364" t="s">
        <v>1217</v>
      </c>
    </row>
    <row r="3681" ht="15.75" customHeight="1">
      <c r="A3681" s="364" t="s">
        <v>82</v>
      </c>
      <c r="B3681" s="364" t="s">
        <v>22</v>
      </c>
      <c r="C3681" s="365" t="s">
        <v>579</v>
      </c>
      <c r="D3681" s="364" t="s">
        <v>580</v>
      </c>
      <c r="E3681" s="366">
        <v>8.0</v>
      </c>
      <c r="F3681" s="367">
        <v>45819.54166666667</v>
      </c>
      <c r="G3681" s="364" t="s">
        <v>1185</v>
      </c>
      <c r="H3681" s="364" t="s">
        <v>1217</v>
      </c>
    </row>
    <row r="3682" ht="15.75" customHeight="1">
      <c r="A3682" s="364" t="s">
        <v>82</v>
      </c>
      <c r="B3682" s="364" t="s">
        <v>22</v>
      </c>
      <c r="C3682" s="365" t="s">
        <v>579</v>
      </c>
      <c r="D3682" s="364" t="s">
        <v>580</v>
      </c>
      <c r="E3682" s="366">
        <v>9.0</v>
      </c>
      <c r="F3682" s="367">
        <v>45825.54166666667</v>
      </c>
      <c r="G3682" s="364" t="s">
        <v>1185</v>
      </c>
      <c r="H3682" s="364" t="s">
        <v>1217</v>
      </c>
    </row>
    <row r="3683" ht="15.75" customHeight="1">
      <c r="A3683" s="364" t="s">
        <v>82</v>
      </c>
      <c r="B3683" s="364" t="s">
        <v>22</v>
      </c>
      <c r="C3683" s="365" t="s">
        <v>579</v>
      </c>
      <c r="D3683" s="364" t="s">
        <v>580</v>
      </c>
      <c r="E3683" s="366">
        <v>10.0</v>
      </c>
      <c r="F3683" s="367">
        <v>45853.54166666667</v>
      </c>
      <c r="G3683" s="364" t="s">
        <v>1185</v>
      </c>
      <c r="H3683" s="364" t="s">
        <v>1217</v>
      </c>
    </row>
    <row r="3684" ht="15.75" customHeight="1">
      <c r="A3684" s="364" t="s">
        <v>82</v>
      </c>
      <c r="B3684" s="364" t="s">
        <v>22</v>
      </c>
      <c r="C3684" s="365" t="s">
        <v>719</v>
      </c>
      <c r="D3684" s="364" t="s">
        <v>720</v>
      </c>
      <c r="E3684" s="366">
        <v>1.0</v>
      </c>
      <c r="F3684" s="367">
        <v>45765.58333333333</v>
      </c>
      <c r="G3684" s="364" t="s">
        <v>1185</v>
      </c>
      <c r="H3684" s="364" t="s">
        <v>1217</v>
      </c>
    </row>
    <row r="3685" ht="15.75" customHeight="1">
      <c r="A3685" s="364" t="s">
        <v>82</v>
      </c>
      <c r="B3685" s="364" t="s">
        <v>22</v>
      </c>
      <c r="C3685" s="365" t="s">
        <v>719</v>
      </c>
      <c r="D3685" s="364" t="s">
        <v>720</v>
      </c>
      <c r="E3685" s="366">
        <v>2.0</v>
      </c>
      <c r="F3685" s="367">
        <v>45770.58333333333</v>
      </c>
      <c r="G3685" s="364" t="s">
        <v>1185</v>
      </c>
      <c r="H3685" s="364" t="s">
        <v>1217</v>
      </c>
    </row>
    <row r="3686" ht="15.75" customHeight="1">
      <c r="A3686" s="364" t="s">
        <v>82</v>
      </c>
      <c r="B3686" s="364" t="s">
        <v>22</v>
      </c>
      <c r="C3686" s="365" t="s">
        <v>719</v>
      </c>
      <c r="D3686" s="364" t="s">
        <v>720</v>
      </c>
      <c r="E3686" s="366">
        <v>3.0</v>
      </c>
      <c r="F3686" s="367">
        <v>45783.54166666667</v>
      </c>
      <c r="G3686" s="364" t="s">
        <v>1185</v>
      </c>
      <c r="H3686" s="364" t="s">
        <v>1217</v>
      </c>
    </row>
    <row r="3687" ht="15.75" customHeight="1">
      <c r="A3687" s="364" t="s">
        <v>82</v>
      </c>
      <c r="B3687" s="364" t="s">
        <v>22</v>
      </c>
      <c r="C3687" s="365" t="s">
        <v>719</v>
      </c>
      <c r="D3687" s="364" t="s">
        <v>720</v>
      </c>
      <c r="E3687" s="366">
        <v>4.0</v>
      </c>
      <c r="F3687" s="367">
        <v>45791.58333333333</v>
      </c>
      <c r="G3687" s="364" t="s">
        <v>1185</v>
      </c>
      <c r="H3687" s="364" t="s">
        <v>1217</v>
      </c>
    </row>
    <row r="3688" ht="15.75" customHeight="1">
      <c r="A3688" s="364" t="s">
        <v>82</v>
      </c>
      <c r="B3688" s="364" t="s">
        <v>22</v>
      </c>
      <c r="C3688" s="365" t="s">
        <v>719</v>
      </c>
      <c r="D3688" s="364" t="s">
        <v>720</v>
      </c>
      <c r="E3688" s="366">
        <v>5.0</v>
      </c>
      <c r="F3688" s="367">
        <v>45792.54166666667</v>
      </c>
      <c r="G3688" s="364" t="s">
        <v>1185</v>
      </c>
      <c r="H3688" s="364" t="s">
        <v>1217</v>
      </c>
    </row>
    <row r="3689" ht="15.75" customHeight="1">
      <c r="A3689" s="364" t="s">
        <v>82</v>
      </c>
      <c r="B3689" s="364" t="s">
        <v>22</v>
      </c>
      <c r="C3689" s="365" t="s">
        <v>719</v>
      </c>
      <c r="D3689" s="364" t="s">
        <v>720</v>
      </c>
      <c r="E3689" s="366">
        <v>6.0</v>
      </c>
      <c r="F3689" s="367">
        <v>45805.58333333333</v>
      </c>
      <c r="G3689" s="364" t="s">
        <v>1185</v>
      </c>
      <c r="H3689" s="364" t="s">
        <v>1217</v>
      </c>
    </row>
    <row r="3690" ht="15.75" customHeight="1">
      <c r="A3690" s="364" t="s">
        <v>82</v>
      </c>
      <c r="B3690" s="364" t="s">
        <v>22</v>
      </c>
      <c r="C3690" s="365" t="s">
        <v>719</v>
      </c>
      <c r="D3690" s="364" t="s">
        <v>720</v>
      </c>
      <c r="E3690" s="366">
        <v>7.0</v>
      </c>
      <c r="F3690" s="367">
        <v>45811.54166666667</v>
      </c>
      <c r="G3690" s="364" t="s">
        <v>1185</v>
      </c>
      <c r="H3690" s="364" t="s">
        <v>1217</v>
      </c>
    </row>
    <row r="3691" ht="15.75" customHeight="1">
      <c r="A3691" s="364" t="s">
        <v>82</v>
      </c>
      <c r="B3691" s="364" t="s">
        <v>22</v>
      </c>
      <c r="C3691" s="365" t="s">
        <v>719</v>
      </c>
      <c r="D3691" s="364" t="s">
        <v>720</v>
      </c>
      <c r="E3691" s="366">
        <v>8.0</v>
      </c>
      <c r="F3691" s="367">
        <v>45819.54166666667</v>
      </c>
      <c r="G3691" s="364" t="s">
        <v>1185</v>
      </c>
      <c r="H3691" s="364" t="s">
        <v>1217</v>
      </c>
    </row>
    <row r="3692" ht="15.75" customHeight="1">
      <c r="A3692" s="364" t="s">
        <v>82</v>
      </c>
      <c r="B3692" s="364" t="s">
        <v>22</v>
      </c>
      <c r="C3692" s="365" t="s">
        <v>719</v>
      </c>
      <c r="D3692" s="364" t="s">
        <v>720</v>
      </c>
      <c r="E3692" s="366">
        <v>9.0</v>
      </c>
      <c r="F3692" s="367">
        <v>45825.54166666667</v>
      </c>
      <c r="G3692" s="364" t="s">
        <v>1185</v>
      </c>
      <c r="H3692" s="364" t="s">
        <v>1217</v>
      </c>
    </row>
    <row r="3693" ht="15.75" customHeight="1">
      <c r="A3693" s="364" t="s">
        <v>82</v>
      </c>
      <c r="B3693" s="364" t="s">
        <v>22</v>
      </c>
      <c r="C3693" s="365" t="s">
        <v>719</v>
      </c>
      <c r="D3693" s="364" t="s">
        <v>720</v>
      </c>
      <c r="E3693" s="366">
        <v>10.0</v>
      </c>
      <c r="F3693" s="367">
        <v>45853.54166666667</v>
      </c>
      <c r="G3693" s="364" t="s">
        <v>1185</v>
      </c>
      <c r="H3693" s="364" t="s">
        <v>1217</v>
      </c>
    </row>
    <row r="3694" ht="15.75" customHeight="1">
      <c r="A3694" s="364" t="s">
        <v>82</v>
      </c>
      <c r="B3694" s="364" t="s">
        <v>22</v>
      </c>
      <c r="C3694" s="365" t="s">
        <v>583</v>
      </c>
      <c r="D3694" s="364" t="s">
        <v>584</v>
      </c>
      <c r="E3694" s="366">
        <v>1.0</v>
      </c>
      <c r="F3694" s="367">
        <v>45765.58333333333</v>
      </c>
      <c r="G3694" s="364" t="s">
        <v>1185</v>
      </c>
      <c r="H3694" s="364" t="s">
        <v>1217</v>
      </c>
    </row>
    <row r="3695" ht="15.75" customHeight="1">
      <c r="A3695" s="364" t="s">
        <v>82</v>
      </c>
      <c r="B3695" s="364" t="s">
        <v>22</v>
      </c>
      <c r="C3695" s="365" t="s">
        <v>583</v>
      </c>
      <c r="D3695" s="364" t="s">
        <v>584</v>
      </c>
      <c r="E3695" s="366">
        <v>2.0</v>
      </c>
      <c r="F3695" s="367">
        <v>45770.58333333333</v>
      </c>
      <c r="G3695" s="364" t="s">
        <v>1185</v>
      </c>
      <c r="H3695" s="364" t="s">
        <v>1217</v>
      </c>
    </row>
    <row r="3696" ht="15.75" customHeight="1">
      <c r="A3696" s="364" t="s">
        <v>82</v>
      </c>
      <c r="B3696" s="364" t="s">
        <v>22</v>
      </c>
      <c r="C3696" s="365" t="s">
        <v>583</v>
      </c>
      <c r="D3696" s="364" t="s">
        <v>584</v>
      </c>
      <c r="E3696" s="366">
        <v>3.0</v>
      </c>
      <c r="F3696" s="367">
        <v>45783.54166666667</v>
      </c>
      <c r="G3696" s="364" t="s">
        <v>1187</v>
      </c>
      <c r="H3696" s="364" t="s">
        <v>1217</v>
      </c>
    </row>
    <row r="3697" ht="15.75" customHeight="1">
      <c r="A3697" s="364" t="s">
        <v>82</v>
      </c>
      <c r="B3697" s="364" t="s">
        <v>22</v>
      </c>
      <c r="C3697" s="365" t="s">
        <v>583</v>
      </c>
      <c r="D3697" s="364" t="s">
        <v>584</v>
      </c>
      <c r="E3697" s="366">
        <v>4.0</v>
      </c>
      <c r="F3697" s="367">
        <v>45791.58333333333</v>
      </c>
      <c r="G3697" s="364" t="s">
        <v>1185</v>
      </c>
      <c r="H3697" s="364" t="s">
        <v>1217</v>
      </c>
    </row>
    <row r="3698" ht="15.75" customHeight="1">
      <c r="A3698" s="364" t="s">
        <v>82</v>
      </c>
      <c r="B3698" s="364" t="s">
        <v>22</v>
      </c>
      <c r="C3698" s="365" t="s">
        <v>583</v>
      </c>
      <c r="D3698" s="364" t="s">
        <v>584</v>
      </c>
      <c r="E3698" s="366">
        <v>5.0</v>
      </c>
      <c r="F3698" s="367">
        <v>45792.54166666667</v>
      </c>
      <c r="G3698" s="364" t="s">
        <v>1185</v>
      </c>
      <c r="H3698" s="364" t="s">
        <v>1217</v>
      </c>
    </row>
    <row r="3699" ht="15.75" customHeight="1">
      <c r="A3699" s="364" t="s">
        <v>82</v>
      </c>
      <c r="B3699" s="364" t="s">
        <v>22</v>
      </c>
      <c r="C3699" s="365" t="s">
        <v>583</v>
      </c>
      <c r="D3699" s="364" t="s">
        <v>584</v>
      </c>
      <c r="E3699" s="366">
        <v>6.0</v>
      </c>
      <c r="F3699" s="367">
        <v>45805.58333333333</v>
      </c>
      <c r="G3699" s="364" t="s">
        <v>1185</v>
      </c>
      <c r="H3699" s="364" t="s">
        <v>1217</v>
      </c>
    </row>
    <row r="3700" ht="15.75" customHeight="1">
      <c r="A3700" s="364" t="s">
        <v>82</v>
      </c>
      <c r="B3700" s="364" t="s">
        <v>22</v>
      </c>
      <c r="C3700" s="365" t="s">
        <v>583</v>
      </c>
      <c r="D3700" s="364" t="s">
        <v>584</v>
      </c>
      <c r="E3700" s="366">
        <v>7.0</v>
      </c>
      <c r="F3700" s="367">
        <v>45811.54166666667</v>
      </c>
      <c r="G3700" s="364" t="s">
        <v>1187</v>
      </c>
      <c r="H3700" s="364" t="s">
        <v>1217</v>
      </c>
    </row>
    <row r="3701" ht="15.75" customHeight="1">
      <c r="A3701" s="364" t="s">
        <v>82</v>
      </c>
      <c r="B3701" s="364" t="s">
        <v>22</v>
      </c>
      <c r="C3701" s="365" t="s">
        <v>583</v>
      </c>
      <c r="D3701" s="364" t="s">
        <v>584</v>
      </c>
      <c r="E3701" s="366">
        <v>8.0</v>
      </c>
      <c r="F3701" s="367">
        <v>45819.54166666667</v>
      </c>
      <c r="G3701" s="364" t="s">
        <v>1185</v>
      </c>
      <c r="H3701" s="364" t="s">
        <v>1217</v>
      </c>
    </row>
    <row r="3702" ht="15.75" customHeight="1">
      <c r="A3702" s="364" t="s">
        <v>82</v>
      </c>
      <c r="B3702" s="364" t="s">
        <v>22</v>
      </c>
      <c r="C3702" s="365" t="s">
        <v>583</v>
      </c>
      <c r="D3702" s="364" t="s">
        <v>584</v>
      </c>
      <c r="E3702" s="366">
        <v>9.0</v>
      </c>
      <c r="F3702" s="367">
        <v>45825.54166666667</v>
      </c>
      <c r="G3702" s="364" t="s">
        <v>1185</v>
      </c>
      <c r="H3702" s="364" t="s">
        <v>1217</v>
      </c>
    </row>
    <row r="3703" ht="15.75" customHeight="1">
      <c r="A3703" s="364" t="s">
        <v>82</v>
      </c>
      <c r="B3703" s="364" t="s">
        <v>22</v>
      </c>
      <c r="C3703" s="365" t="s">
        <v>583</v>
      </c>
      <c r="D3703" s="364" t="s">
        <v>584</v>
      </c>
      <c r="E3703" s="366">
        <v>10.0</v>
      </c>
      <c r="F3703" s="367">
        <v>45853.54166666667</v>
      </c>
      <c r="G3703" s="364" t="s">
        <v>1185</v>
      </c>
      <c r="H3703" s="364" t="s">
        <v>1217</v>
      </c>
    </row>
    <row r="3704" ht="15.75" customHeight="1">
      <c r="A3704" s="364" t="s">
        <v>82</v>
      </c>
      <c r="B3704" s="364" t="s">
        <v>22</v>
      </c>
      <c r="C3704" s="365" t="s">
        <v>585</v>
      </c>
      <c r="D3704" s="364" t="s">
        <v>586</v>
      </c>
      <c r="E3704" s="366">
        <v>1.0</v>
      </c>
      <c r="F3704" s="367">
        <v>45765.58333333333</v>
      </c>
      <c r="G3704" s="364" t="s">
        <v>1185</v>
      </c>
      <c r="H3704" s="364" t="s">
        <v>1217</v>
      </c>
    </row>
    <row r="3705" ht="15.75" customHeight="1">
      <c r="A3705" s="364" t="s">
        <v>82</v>
      </c>
      <c r="B3705" s="364" t="s">
        <v>22</v>
      </c>
      <c r="C3705" s="365" t="s">
        <v>585</v>
      </c>
      <c r="D3705" s="364" t="s">
        <v>586</v>
      </c>
      <c r="E3705" s="366">
        <v>2.0</v>
      </c>
      <c r="F3705" s="367">
        <v>45770.58333333333</v>
      </c>
      <c r="G3705" s="364" t="s">
        <v>1185</v>
      </c>
      <c r="H3705" s="364" t="s">
        <v>1217</v>
      </c>
    </row>
    <row r="3706" ht="15.75" customHeight="1">
      <c r="A3706" s="364" t="s">
        <v>82</v>
      </c>
      <c r="B3706" s="364" t="s">
        <v>22</v>
      </c>
      <c r="C3706" s="365" t="s">
        <v>585</v>
      </c>
      <c r="D3706" s="364" t="s">
        <v>586</v>
      </c>
      <c r="E3706" s="366">
        <v>3.0</v>
      </c>
      <c r="F3706" s="367">
        <v>45783.54166666667</v>
      </c>
      <c r="G3706" s="364" t="s">
        <v>1185</v>
      </c>
      <c r="H3706" s="364" t="s">
        <v>1217</v>
      </c>
    </row>
    <row r="3707" ht="15.75" customHeight="1">
      <c r="A3707" s="364" t="s">
        <v>82</v>
      </c>
      <c r="B3707" s="364" t="s">
        <v>22</v>
      </c>
      <c r="C3707" s="365" t="s">
        <v>585</v>
      </c>
      <c r="D3707" s="364" t="s">
        <v>586</v>
      </c>
      <c r="E3707" s="366">
        <v>4.0</v>
      </c>
      <c r="F3707" s="367">
        <v>45791.58333333333</v>
      </c>
      <c r="G3707" s="364" t="s">
        <v>1185</v>
      </c>
      <c r="H3707" s="364" t="s">
        <v>1217</v>
      </c>
    </row>
    <row r="3708" ht="15.75" customHeight="1">
      <c r="A3708" s="364" t="s">
        <v>82</v>
      </c>
      <c r="B3708" s="364" t="s">
        <v>22</v>
      </c>
      <c r="C3708" s="365" t="s">
        <v>585</v>
      </c>
      <c r="D3708" s="364" t="s">
        <v>586</v>
      </c>
      <c r="E3708" s="366">
        <v>5.0</v>
      </c>
      <c r="F3708" s="367">
        <v>45792.54166666667</v>
      </c>
      <c r="G3708" s="364" t="s">
        <v>1185</v>
      </c>
      <c r="H3708" s="364" t="s">
        <v>1217</v>
      </c>
    </row>
    <row r="3709" ht="15.75" customHeight="1">
      <c r="A3709" s="364" t="s">
        <v>82</v>
      </c>
      <c r="B3709" s="364" t="s">
        <v>22</v>
      </c>
      <c r="C3709" s="365" t="s">
        <v>585</v>
      </c>
      <c r="D3709" s="364" t="s">
        <v>586</v>
      </c>
      <c r="E3709" s="366">
        <v>6.0</v>
      </c>
      <c r="F3709" s="367">
        <v>45805.58333333333</v>
      </c>
      <c r="G3709" s="364" t="s">
        <v>1185</v>
      </c>
      <c r="H3709" s="364" t="s">
        <v>1217</v>
      </c>
    </row>
    <row r="3710" ht="15.75" customHeight="1">
      <c r="A3710" s="364" t="s">
        <v>82</v>
      </c>
      <c r="B3710" s="364" t="s">
        <v>22</v>
      </c>
      <c r="C3710" s="365" t="s">
        <v>585</v>
      </c>
      <c r="D3710" s="364" t="s">
        <v>586</v>
      </c>
      <c r="E3710" s="366">
        <v>7.0</v>
      </c>
      <c r="F3710" s="367">
        <v>45811.54166666667</v>
      </c>
      <c r="G3710" s="364" t="s">
        <v>1185</v>
      </c>
      <c r="H3710" s="364" t="s">
        <v>1217</v>
      </c>
    </row>
    <row r="3711" ht="15.75" customHeight="1">
      <c r="A3711" s="364" t="s">
        <v>82</v>
      </c>
      <c r="B3711" s="364" t="s">
        <v>22</v>
      </c>
      <c r="C3711" s="365" t="s">
        <v>585</v>
      </c>
      <c r="D3711" s="364" t="s">
        <v>586</v>
      </c>
      <c r="E3711" s="366">
        <v>8.0</v>
      </c>
      <c r="F3711" s="367">
        <v>45819.54166666667</v>
      </c>
      <c r="G3711" s="364" t="s">
        <v>1185</v>
      </c>
      <c r="H3711" s="364" t="s">
        <v>1217</v>
      </c>
    </row>
    <row r="3712" ht="15.75" customHeight="1">
      <c r="A3712" s="364" t="s">
        <v>82</v>
      </c>
      <c r="B3712" s="364" t="s">
        <v>22</v>
      </c>
      <c r="C3712" s="365" t="s">
        <v>585</v>
      </c>
      <c r="D3712" s="364" t="s">
        <v>586</v>
      </c>
      <c r="E3712" s="366">
        <v>9.0</v>
      </c>
      <c r="F3712" s="367">
        <v>45825.54166666667</v>
      </c>
      <c r="G3712" s="364" t="s">
        <v>1185</v>
      </c>
      <c r="H3712" s="364" t="s">
        <v>1217</v>
      </c>
    </row>
    <row r="3713" ht="15.75" customHeight="1">
      <c r="A3713" s="364" t="s">
        <v>82</v>
      </c>
      <c r="B3713" s="364" t="s">
        <v>22</v>
      </c>
      <c r="C3713" s="365" t="s">
        <v>585</v>
      </c>
      <c r="D3713" s="364" t="s">
        <v>586</v>
      </c>
      <c r="E3713" s="366">
        <v>10.0</v>
      </c>
      <c r="F3713" s="367">
        <v>45853.54166666667</v>
      </c>
      <c r="G3713" s="364" t="s">
        <v>1185</v>
      </c>
      <c r="H3713" s="364" t="s">
        <v>1217</v>
      </c>
    </row>
    <row r="3714" ht="15.75" customHeight="1">
      <c r="A3714" s="364" t="s">
        <v>82</v>
      </c>
      <c r="B3714" s="364" t="s">
        <v>23</v>
      </c>
      <c r="C3714" s="365" t="s">
        <v>577</v>
      </c>
      <c r="D3714" s="364" t="s">
        <v>578</v>
      </c>
      <c r="E3714" s="366">
        <v>1.0</v>
      </c>
      <c r="F3714" s="367">
        <v>45881.54166666667</v>
      </c>
      <c r="G3714" s="364" t="s">
        <v>1185</v>
      </c>
      <c r="H3714" s="364" t="s">
        <v>1217</v>
      </c>
    </row>
    <row r="3715" ht="15.75" customHeight="1">
      <c r="A3715" s="364" t="s">
        <v>82</v>
      </c>
      <c r="B3715" s="364" t="s">
        <v>23</v>
      </c>
      <c r="C3715" s="365" t="s">
        <v>577</v>
      </c>
      <c r="D3715" s="364" t="s">
        <v>578</v>
      </c>
      <c r="E3715" s="366">
        <v>2.0</v>
      </c>
      <c r="F3715" s="367">
        <v>45896.54166666667</v>
      </c>
      <c r="G3715" s="364" t="s">
        <v>1185</v>
      </c>
      <c r="H3715" s="364" t="s">
        <v>1217</v>
      </c>
    </row>
    <row r="3716" ht="15.75" customHeight="1">
      <c r="A3716" s="364" t="s">
        <v>82</v>
      </c>
      <c r="B3716" s="364" t="s">
        <v>23</v>
      </c>
      <c r="C3716" s="365" t="s">
        <v>577</v>
      </c>
      <c r="D3716" s="364" t="s">
        <v>578</v>
      </c>
      <c r="E3716" s="366">
        <v>3.0</v>
      </c>
      <c r="F3716" s="367">
        <v>45909.58333333333</v>
      </c>
      <c r="G3716" s="364" t="s">
        <v>1185</v>
      </c>
      <c r="H3716" s="364" t="s">
        <v>1217</v>
      </c>
    </row>
    <row r="3717" ht="15.75" customHeight="1">
      <c r="A3717" s="364" t="s">
        <v>82</v>
      </c>
      <c r="B3717" s="364" t="s">
        <v>23</v>
      </c>
      <c r="C3717" s="365" t="s">
        <v>577</v>
      </c>
      <c r="D3717" s="364" t="s">
        <v>578</v>
      </c>
      <c r="E3717" s="366">
        <v>4.0</v>
      </c>
      <c r="F3717" s="367">
        <v>45923.58333333333</v>
      </c>
      <c r="G3717" s="364" t="s">
        <v>1185</v>
      </c>
      <c r="H3717" s="364" t="s">
        <v>1217</v>
      </c>
    </row>
    <row r="3718" ht="15.75" customHeight="1">
      <c r="A3718" s="364" t="s">
        <v>82</v>
      </c>
      <c r="B3718" s="364" t="s">
        <v>23</v>
      </c>
      <c r="C3718" s="365" t="s">
        <v>577</v>
      </c>
      <c r="D3718" s="364" t="s">
        <v>578</v>
      </c>
      <c r="E3718" s="366">
        <v>5.0</v>
      </c>
      <c r="F3718" s="367">
        <v>45930.58333333333</v>
      </c>
      <c r="G3718" s="364" t="s">
        <v>1185</v>
      </c>
      <c r="H3718" s="364" t="s">
        <v>1217</v>
      </c>
    </row>
    <row r="3719" ht="15.75" customHeight="1">
      <c r="A3719" s="364" t="s">
        <v>82</v>
      </c>
      <c r="B3719" s="364" t="s">
        <v>23</v>
      </c>
      <c r="C3719" s="365" t="s">
        <v>577</v>
      </c>
      <c r="D3719" s="364" t="s">
        <v>578</v>
      </c>
      <c r="E3719" s="366">
        <v>6.0</v>
      </c>
      <c r="F3719" s="367">
        <v>45937.58333333333</v>
      </c>
      <c r="G3719" s="364" t="s">
        <v>1187</v>
      </c>
      <c r="H3719" s="364" t="s">
        <v>1217</v>
      </c>
    </row>
    <row r="3720" ht="15.75" customHeight="1">
      <c r="A3720" s="364" t="s">
        <v>82</v>
      </c>
      <c r="B3720" s="364" t="s">
        <v>23</v>
      </c>
      <c r="C3720" s="365" t="s">
        <v>577</v>
      </c>
      <c r="D3720" s="364" t="s">
        <v>578</v>
      </c>
      <c r="E3720" s="366">
        <v>8.0</v>
      </c>
      <c r="F3720" s="367">
        <v>45951.58333333333</v>
      </c>
      <c r="G3720" s="364" t="s">
        <v>1187</v>
      </c>
      <c r="H3720" s="364" t="s">
        <v>1217</v>
      </c>
    </row>
    <row r="3721" ht="15.75" customHeight="1">
      <c r="A3721" s="364" t="s">
        <v>82</v>
      </c>
      <c r="B3721" s="364" t="s">
        <v>23</v>
      </c>
      <c r="C3721" s="365" t="s">
        <v>577</v>
      </c>
      <c r="D3721" s="364" t="s">
        <v>578</v>
      </c>
      <c r="E3721" s="366">
        <v>9.0</v>
      </c>
      <c r="F3721" s="367">
        <v>45958.58333333333</v>
      </c>
      <c r="G3721" s="364" t="s">
        <v>1187</v>
      </c>
      <c r="H3721" s="364" t="s">
        <v>1217</v>
      </c>
    </row>
    <row r="3722" ht="15.75" customHeight="1">
      <c r="A3722" s="364" t="s">
        <v>82</v>
      </c>
      <c r="B3722" s="364" t="s">
        <v>23</v>
      </c>
      <c r="C3722" s="365" t="s">
        <v>577</v>
      </c>
      <c r="D3722" s="364" t="s">
        <v>578</v>
      </c>
      <c r="E3722" s="366">
        <v>10.0</v>
      </c>
      <c r="F3722" s="367">
        <v>45966.45833333333</v>
      </c>
      <c r="G3722" s="364" t="s">
        <v>1187</v>
      </c>
      <c r="H3722" s="364" t="s">
        <v>1217</v>
      </c>
    </row>
    <row r="3723" ht="15.75" customHeight="1">
      <c r="A3723" s="364" t="s">
        <v>82</v>
      </c>
      <c r="B3723" s="364" t="s">
        <v>23</v>
      </c>
      <c r="C3723" s="365" t="s">
        <v>577</v>
      </c>
      <c r="D3723" s="364" t="s">
        <v>578</v>
      </c>
      <c r="E3723" s="366">
        <v>11.0</v>
      </c>
      <c r="F3723" s="367">
        <v>45980.45833333333</v>
      </c>
      <c r="G3723" s="364" t="s">
        <v>1187</v>
      </c>
      <c r="H3723" s="364" t="s">
        <v>1217</v>
      </c>
    </row>
    <row r="3724" ht="15.75" customHeight="1">
      <c r="A3724" s="364" t="s">
        <v>82</v>
      </c>
      <c r="B3724" s="364" t="s">
        <v>23</v>
      </c>
      <c r="C3724" s="365" t="s">
        <v>577</v>
      </c>
      <c r="D3724" s="364" t="s">
        <v>578</v>
      </c>
      <c r="E3724" s="366">
        <v>12.0</v>
      </c>
      <c r="F3724" s="367">
        <v>45987.58333333333</v>
      </c>
      <c r="G3724" s="364" t="s">
        <v>1187</v>
      </c>
      <c r="H3724" s="364" t="s">
        <v>1217</v>
      </c>
    </row>
    <row r="3725" ht="15.75" customHeight="1">
      <c r="A3725" s="364" t="s">
        <v>82</v>
      </c>
      <c r="B3725" s="364" t="s">
        <v>23</v>
      </c>
      <c r="C3725" s="365" t="s">
        <v>577</v>
      </c>
      <c r="D3725" s="364" t="s">
        <v>578</v>
      </c>
      <c r="E3725" s="366">
        <v>13.0</v>
      </c>
      <c r="F3725" s="367">
        <v>45994.41666666667</v>
      </c>
      <c r="G3725" s="364" t="s">
        <v>1185</v>
      </c>
      <c r="H3725" s="364" t="s">
        <v>1217</v>
      </c>
    </row>
    <row r="3726" ht="15.75" customHeight="1">
      <c r="A3726" s="364" t="s">
        <v>82</v>
      </c>
      <c r="B3726" s="364" t="s">
        <v>23</v>
      </c>
      <c r="C3726" s="365" t="s">
        <v>577</v>
      </c>
      <c r="D3726" s="364" t="s">
        <v>578</v>
      </c>
      <c r="E3726" s="366">
        <v>14.0</v>
      </c>
      <c r="F3726" s="367">
        <v>46006.625</v>
      </c>
      <c r="G3726" s="364" t="s">
        <v>1187</v>
      </c>
      <c r="H3726" s="364" t="s">
        <v>1217</v>
      </c>
    </row>
    <row r="3727" ht="15.75" customHeight="1">
      <c r="A3727" s="364" t="s">
        <v>82</v>
      </c>
      <c r="B3727" s="364" t="s">
        <v>23</v>
      </c>
      <c r="C3727" s="365" t="s">
        <v>577</v>
      </c>
      <c r="D3727" s="364" t="s">
        <v>578</v>
      </c>
      <c r="E3727" s="366">
        <v>15.0</v>
      </c>
      <c r="F3727" s="367">
        <v>46013.625</v>
      </c>
      <c r="G3727" s="364" t="s">
        <v>1187</v>
      </c>
      <c r="H3727" s="364" t="s">
        <v>1217</v>
      </c>
    </row>
    <row r="3728" ht="15.75" customHeight="1">
      <c r="A3728" s="364" t="s">
        <v>82</v>
      </c>
      <c r="B3728" s="364" t="s">
        <v>23</v>
      </c>
      <c r="C3728" s="365" t="s">
        <v>577</v>
      </c>
      <c r="D3728" s="364" t="s">
        <v>578</v>
      </c>
      <c r="E3728" s="366">
        <v>16.0</v>
      </c>
      <c r="F3728" s="367">
        <v>46035.41666666667</v>
      </c>
      <c r="G3728" s="364" t="s">
        <v>1187</v>
      </c>
      <c r="H3728" s="364" t="s">
        <v>1217</v>
      </c>
    </row>
    <row r="3729" ht="15.75" customHeight="1">
      <c r="A3729" s="364" t="s">
        <v>82</v>
      </c>
      <c r="B3729" s="364" t="s">
        <v>23</v>
      </c>
      <c r="C3729" s="365" t="s">
        <v>579</v>
      </c>
      <c r="D3729" s="364" t="s">
        <v>580</v>
      </c>
      <c r="E3729" s="366">
        <v>1.0</v>
      </c>
      <c r="F3729" s="367">
        <v>45881.54166666667</v>
      </c>
      <c r="G3729" s="364" t="s">
        <v>1185</v>
      </c>
      <c r="H3729" s="364" t="s">
        <v>1217</v>
      </c>
    </row>
    <row r="3730" ht="15.75" customHeight="1">
      <c r="A3730" s="364" t="s">
        <v>82</v>
      </c>
      <c r="B3730" s="364" t="s">
        <v>23</v>
      </c>
      <c r="C3730" s="365" t="s">
        <v>579</v>
      </c>
      <c r="D3730" s="364" t="s">
        <v>580</v>
      </c>
      <c r="E3730" s="366">
        <v>2.0</v>
      </c>
      <c r="F3730" s="367">
        <v>45896.54166666667</v>
      </c>
      <c r="G3730" s="364" t="s">
        <v>1185</v>
      </c>
      <c r="H3730" s="364" t="s">
        <v>1217</v>
      </c>
    </row>
    <row r="3731" ht="15.75" customHeight="1">
      <c r="A3731" s="364" t="s">
        <v>82</v>
      </c>
      <c r="B3731" s="364" t="s">
        <v>23</v>
      </c>
      <c r="C3731" s="365" t="s">
        <v>579</v>
      </c>
      <c r="D3731" s="364" t="s">
        <v>580</v>
      </c>
      <c r="E3731" s="366">
        <v>3.0</v>
      </c>
      <c r="F3731" s="367">
        <v>45909.58333333333</v>
      </c>
      <c r="G3731" s="364" t="s">
        <v>1185</v>
      </c>
      <c r="H3731" s="364" t="s">
        <v>1217</v>
      </c>
    </row>
    <row r="3732" ht="15.75" customHeight="1">
      <c r="A3732" s="364" t="s">
        <v>82</v>
      </c>
      <c r="B3732" s="364" t="s">
        <v>23</v>
      </c>
      <c r="C3732" s="365" t="s">
        <v>579</v>
      </c>
      <c r="D3732" s="364" t="s">
        <v>580</v>
      </c>
      <c r="E3732" s="366">
        <v>4.0</v>
      </c>
      <c r="F3732" s="367">
        <v>45923.58333333333</v>
      </c>
      <c r="G3732" s="364" t="s">
        <v>1185</v>
      </c>
      <c r="H3732" s="364" t="s">
        <v>1217</v>
      </c>
    </row>
    <row r="3733" ht="15.75" customHeight="1">
      <c r="A3733" s="364" t="s">
        <v>82</v>
      </c>
      <c r="B3733" s="364" t="s">
        <v>23</v>
      </c>
      <c r="C3733" s="365" t="s">
        <v>579</v>
      </c>
      <c r="D3733" s="364" t="s">
        <v>580</v>
      </c>
      <c r="E3733" s="366">
        <v>5.0</v>
      </c>
      <c r="F3733" s="367">
        <v>45930.58333333333</v>
      </c>
      <c r="G3733" s="364" t="s">
        <v>1185</v>
      </c>
      <c r="H3733" s="364" t="s">
        <v>1217</v>
      </c>
    </row>
    <row r="3734" ht="15.75" customHeight="1">
      <c r="A3734" s="364" t="s">
        <v>82</v>
      </c>
      <c r="B3734" s="364" t="s">
        <v>23</v>
      </c>
      <c r="C3734" s="365" t="s">
        <v>579</v>
      </c>
      <c r="D3734" s="364" t="s">
        <v>580</v>
      </c>
      <c r="E3734" s="366">
        <v>6.0</v>
      </c>
      <c r="F3734" s="367">
        <v>45937.58333333333</v>
      </c>
      <c r="G3734" s="364" t="s">
        <v>1185</v>
      </c>
      <c r="H3734" s="364" t="s">
        <v>1217</v>
      </c>
    </row>
    <row r="3735" ht="15.75" customHeight="1">
      <c r="A3735" s="364" t="s">
        <v>82</v>
      </c>
      <c r="B3735" s="364" t="s">
        <v>23</v>
      </c>
      <c r="C3735" s="365" t="s">
        <v>579</v>
      </c>
      <c r="D3735" s="364" t="s">
        <v>580</v>
      </c>
      <c r="E3735" s="366">
        <v>8.0</v>
      </c>
      <c r="F3735" s="367">
        <v>45951.58333333333</v>
      </c>
      <c r="G3735" s="364" t="s">
        <v>1187</v>
      </c>
      <c r="H3735" s="364" t="s">
        <v>1217</v>
      </c>
    </row>
    <row r="3736" ht="15.75" customHeight="1">
      <c r="A3736" s="364" t="s">
        <v>82</v>
      </c>
      <c r="B3736" s="364" t="s">
        <v>23</v>
      </c>
      <c r="C3736" s="365" t="s">
        <v>579</v>
      </c>
      <c r="D3736" s="364" t="s">
        <v>580</v>
      </c>
      <c r="E3736" s="366">
        <v>9.0</v>
      </c>
      <c r="F3736" s="367">
        <v>45958.58333333333</v>
      </c>
      <c r="G3736" s="364" t="s">
        <v>1185</v>
      </c>
      <c r="H3736" s="364" t="s">
        <v>1217</v>
      </c>
    </row>
    <row r="3737" ht="15.75" customHeight="1">
      <c r="A3737" s="364" t="s">
        <v>82</v>
      </c>
      <c r="B3737" s="364" t="s">
        <v>23</v>
      </c>
      <c r="C3737" s="365" t="s">
        <v>579</v>
      </c>
      <c r="D3737" s="364" t="s">
        <v>580</v>
      </c>
      <c r="E3737" s="366">
        <v>10.0</v>
      </c>
      <c r="F3737" s="367">
        <v>45966.45833333333</v>
      </c>
      <c r="G3737" s="364" t="s">
        <v>1185</v>
      </c>
      <c r="H3737" s="364" t="s">
        <v>1217</v>
      </c>
    </row>
    <row r="3738" ht="15.75" customHeight="1">
      <c r="A3738" s="364" t="s">
        <v>82</v>
      </c>
      <c r="B3738" s="364" t="s">
        <v>23</v>
      </c>
      <c r="C3738" s="365" t="s">
        <v>719</v>
      </c>
      <c r="D3738" s="364" t="s">
        <v>720</v>
      </c>
      <c r="E3738" s="366">
        <v>1.0</v>
      </c>
      <c r="F3738" s="367">
        <v>45881.54166666667</v>
      </c>
      <c r="G3738" s="364" t="s">
        <v>1185</v>
      </c>
      <c r="H3738" s="364" t="s">
        <v>1217</v>
      </c>
    </row>
    <row r="3739" ht="15.75" customHeight="1">
      <c r="A3739" s="364" t="s">
        <v>82</v>
      </c>
      <c r="B3739" s="364" t="s">
        <v>23</v>
      </c>
      <c r="C3739" s="365" t="s">
        <v>719</v>
      </c>
      <c r="D3739" s="364" t="s">
        <v>720</v>
      </c>
      <c r="E3739" s="366">
        <v>2.0</v>
      </c>
      <c r="F3739" s="367">
        <v>45896.54166666667</v>
      </c>
      <c r="G3739" s="364" t="s">
        <v>1185</v>
      </c>
      <c r="H3739" s="364" t="s">
        <v>1217</v>
      </c>
    </row>
    <row r="3740" ht="15.75" customHeight="1">
      <c r="A3740" s="364" t="s">
        <v>82</v>
      </c>
      <c r="B3740" s="364" t="s">
        <v>23</v>
      </c>
      <c r="C3740" s="365" t="s">
        <v>719</v>
      </c>
      <c r="D3740" s="364" t="s">
        <v>720</v>
      </c>
      <c r="E3740" s="366">
        <v>3.0</v>
      </c>
      <c r="F3740" s="367">
        <v>45909.58333333333</v>
      </c>
      <c r="G3740" s="364" t="s">
        <v>1185</v>
      </c>
      <c r="H3740" s="364" t="s">
        <v>1217</v>
      </c>
    </row>
    <row r="3741" ht="15.75" customHeight="1">
      <c r="A3741" s="364" t="s">
        <v>82</v>
      </c>
      <c r="B3741" s="364" t="s">
        <v>23</v>
      </c>
      <c r="C3741" s="365" t="s">
        <v>719</v>
      </c>
      <c r="D3741" s="364" t="s">
        <v>720</v>
      </c>
      <c r="E3741" s="366">
        <v>4.0</v>
      </c>
      <c r="F3741" s="367">
        <v>45923.58333333333</v>
      </c>
      <c r="G3741" s="364" t="s">
        <v>1185</v>
      </c>
      <c r="H3741" s="364" t="s">
        <v>1217</v>
      </c>
    </row>
    <row r="3742" ht="15.75" customHeight="1">
      <c r="A3742" s="364" t="s">
        <v>82</v>
      </c>
      <c r="B3742" s="364" t="s">
        <v>23</v>
      </c>
      <c r="C3742" s="365" t="s">
        <v>719</v>
      </c>
      <c r="D3742" s="364" t="s">
        <v>720</v>
      </c>
      <c r="E3742" s="366">
        <v>5.0</v>
      </c>
      <c r="F3742" s="367">
        <v>45930.58333333333</v>
      </c>
      <c r="G3742" s="364" t="s">
        <v>1185</v>
      </c>
      <c r="H3742" s="364" t="s">
        <v>1217</v>
      </c>
    </row>
    <row r="3743" ht="15.75" customHeight="1">
      <c r="A3743" s="364" t="s">
        <v>82</v>
      </c>
      <c r="B3743" s="364" t="s">
        <v>23</v>
      </c>
      <c r="C3743" s="365" t="s">
        <v>719</v>
      </c>
      <c r="D3743" s="364" t="s">
        <v>720</v>
      </c>
      <c r="E3743" s="366">
        <v>6.0</v>
      </c>
      <c r="F3743" s="367">
        <v>45937.58333333333</v>
      </c>
      <c r="G3743" s="364" t="s">
        <v>1185</v>
      </c>
      <c r="H3743" s="364" t="s">
        <v>1217</v>
      </c>
    </row>
    <row r="3744" ht="15.75" customHeight="1">
      <c r="A3744" s="364" t="s">
        <v>82</v>
      </c>
      <c r="B3744" s="364" t="s">
        <v>23</v>
      </c>
      <c r="C3744" s="365" t="s">
        <v>719</v>
      </c>
      <c r="D3744" s="364" t="s">
        <v>720</v>
      </c>
      <c r="E3744" s="366">
        <v>8.0</v>
      </c>
      <c r="F3744" s="367">
        <v>45951.58333333333</v>
      </c>
      <c r="G3744" s="364" t="s">
        <v>1185</v>
      </c>
      <c r="H3744" s="364" t="s">
        <v>1217</v>
      </c>
    </row>
    <row r="3745" ht="15.75" customHeight="1">
      <c r="A3745" s="364" t="s">
        <v>82</v>
      </c>
      <c r="B3745" s="364" t="s">
        <v>23</v>
      </c>
      <c r="C3745" s="365" t="s">
        <v>719</v>
      </c>
      <c r="D3745" s="364" t="s">
        <v>720</v>
      </c>
      <c r="E3745" s="366">
        <v>9.0</v>
      </c>
      <c r="F3745" s="367">
        <v>45958.58333333333</v>
      </c>
      <c r="G3745" s="364" t="s">
        <v>1185</v>
      </c>
      <c r="H3745" s="364" t="s">
        <v>1217</v>
      </c>
    </row>
    <row r="3746" ht="15.75" customHeight="1">
      <c r="A3746" s="364" t="s">
        <v>82</v>
      </c>
      <c r="B3746" s="364" t="s">
        <v>23</v>
      </c>
      <c r="C3746" s="365" t="s">
        <v>719</v>
      </c>
      <c r="D3746" s="364" t="s">
        <v>720</v>
      </c>
      <c r="E3746" s="366">
        <v>10.0</v>
      </c>
      <c r="F3746" s="367">
        <v>45966.45833333333</v>
      </c>
      <c r="G3746" s="364" t="s">
        <v>1185</v>
      </c>
      <c r="H3746" s="364" t="s">
        <v>1217</v>
      </c>
    </row>
    <row r="3747" ht="15.75" customHeight="1">
      <c r="A3747" s="364" t="s">
        <v>82</v>
      </c>
      <c r="B3747" s="364" t="s">
        <v>23</v>
      </c>
      <c r="C3747" s="365" t="s">
        <v>719</v>
      </c>
      <c r="D3747" s="364" t="s">
        <v>720</v>
      </c>
      <c r="E3747" s="366">
        <v>11.0</v>
      </c>
      <c r="F3747" s="367">
        <v>45980.45833333333</v>
      </c>
      <c r="G3747" s="364" t="s">
        <v>1187</v>
      </c>
      <c r="H3747" s="364" t="s">
        <v>1217</v>
      </c>
    </row>
    <row r="3748" ht="15.75" customHeight="1">
      <c r="A3748" s="364" t="s">
        <v>82</v>
      </c>
      <c r="B3748" s="364" t="s">
        <v>23</v>
      </c>
      <c r="C3748" s="365" t="s">
        <v>719</v>
      </c>
      <c r="D3748" s="364" t="s">
        <v>720</v>
      </c>
      <c r="E3748" s="366">
        <v>12.0</v>
      </c>
      <c r="F3748" s="367">
        <v>45987.58333333333</v>
      </c>
      <c r="G3748" s="364" t="s">
        <v>1185</v>
      </c>
      <c r="H3748" s="364" t="s">
        <v>1217</v>
      </c>
    </row>
    <row r="3749" ht="15.75" customHeight="1">
      <c r="A3749" s="364" t="s">
        <v>82</v>
      </c>
      <c r="B3749" s="364" t="s">
        <v>23</v>
      </c>
      <c r="C3749" s="365" t="s">
        <v>719</v>
      </c>
      <c r="D3749" s="364" t="s">
        <v>720</v>
      </c>
      <c r="E3749" s="366">
        <v>13.0</v>
      </c>
      <c r="F3749" s="367">
        <v>45994.41666666667</v>
      </c>
      <c r="G3749" s="364" t="s">
        <v>1185</v>
      </c>
      <c r="H3749" s="364" t="s">
        <v>1217</v>
      </c>
    </row>
    <row r="3750" ht="15.75" customHeight="1">
      <c r="A3750" s="364" t="s">
        <v>82</v>
      </c>
      <c r="B3750" s="364" t="s">
        <v>23</v>
      </c>
      <c r="C3750" s="365" t="s">
        <v>719</v>
      </c>
      <c r="D3750" s="364" t="s">
        <v>720</v>
      </c>
      <c r="E3750" s="366">
        <v>14.0</v>
      </c>
      <c r="F3750" s="367">
        <v>46006.625</v>
      </c>
      <c r="G3750" s="364" t="s">
        <v>1187</v>
      </c>
      <c r="H3750" s="364" t="s">
        <v>1217</v>
      </c>
    </row>
    <row r="3751" ht="15.75" customHeight="1">
      <c r="A3751" s="364" t="s">
        <v>82</v>
      </c>
      <c r="B3751" s="364" t="s">
        <v>23</v>
      </c>
      <c r="C3751" s="365" t="s">
        <v>719</v>
      </c>
      <c r="D3751" s="364" t="s">
        <v>720</v>
      </c>
      <c r="E3751" s="366">
        <v>15.0</v>
      </c>
      <c r="F3751" s="367">
        <v>46013.625</v>
      </c>
      <c r="G3751" s="364" t="s">
        <v>1185</v>
      </c>
      <c r="H3751" s="364" t="s">
        <v>1217</v>
      </c>
    </row>
    <row r="3752" ht="15.75" customHeight="1">
      <c r="A3752" s="364" t="s">
        <v>82</v>
      </c>
      <c r="B3752" s="364" t="s">
        <v>23</v>
      </c>
      <c r="C3752" s="365" t="s">
        <v>719</v>
      </c>
      <c r="D3752" s="364" t="s">
        <v>720</v>
      </c>
      <c r="E3752" s="366">
        <v>16.0</v>
      </c>
      <c r="F3752" s="367">
        <v>46035.41666666667</v>
      </c>
      <c r="G3752" s="364" t="s">
        <v>1185</v>
      </c>
      <c r="H3752" s="364" t="s">
        <v>1217</v>
      </c>
    </row>
    <row r="3753" ht="15.75" customHeight="1">
      <c r="A3753" s="364" t="s">
        <v>82</v>
      </c>
      <c r="B3753" s="364" t="s">
        <v>23</v>
      </c>
      <c r="C3753" s="365" t="s">
        <v>721</v>
      </c>
      <c r="D3753" s="364" t="s">
        <v>722</v>
      </c>
      <c r="E3753" s="366">
        <v>1.0</v>
      </c>
      <c r="F3753" s="367">
        <v>45881.54166666667</v>
      </c>
      <c r="G3753" s="364" t="s">
        <v>1185</v>
      </c>
      <c r="H3753" s="364" t="s">
        <v>1217</v>
      </c>
    </row>
    <row r="3754" ht="15.75" customHeight="1">
      <c r="A3754" s="364" t="s">
        <v>82</v>
      </c>
      <c r="B3754" s="364" t="s">
        <v>23</v>
      </c>
      <c r="C3754" s="365" t="s">
        <v>721</v>
      </c>
      <c r="D3754" s="364" t="s">
        <v>722</v>
      </c>
      <c r="E3754" s="366">
        <v>2.0</v>
      </c>
      <c r="F3754" s="367">
        <v>45896.54166666667</v>
      </c>
      <c r="G3754" s="364" t="s">
        <v>1185</v>
      </c>
      <c r="H3754" s="364" t="s">
        <v>1217</v>
      </c>
    </row>
    <row r="3755" ht="15.75" customHeight="1">
      <c r="A3755" s="364" t="s">
        <v>82</v>
      </c>
      <c r="B3755" s="364" t="s">
        <v>23</v>
      </c>
      <c r="C3755" s="365" t="s">
        <v>721</v>
      </c>
      <c r="D3755" s="364" t="s">
        <v>722</v>
      </c>
      <c r="E3755" s="366">
        <v>3.0</v>
      </c>
      <c r="F3755" s="367">
        <v>45909.58333333333</v>
      </c>
      <c r="G3755" s="364" t="s">
        <v>1185</v>
      </c>
      <c r="H3755" s="364" t="s">
        <v>1217</v>
      </c>
    </row>
    <row r="3756" ht="15.75" customHeight="1">
      <c r="A3756" s="364" t="s">
        <v>82</v>
      </c>
      <c r="B3756" s="364" t="s">
        <v>23</v>
      </c>
      <c r="C3756" s="365" t="s">
        <v>721</v>
      </c>
      <c r="D3756" s="364" t="s">
        <v>722</v>
      </c>
      <c r="E3756" s="366">
        <v>4.0</v>
      </c>
      <c r="F3756" s="367">
        <v>45923.58333333333</v>
      </c>
      <c r="G3756" s="364" t="s">
        <v>1185</v>
      </c>
      <c r="H3756" s="364" t="s">
        <v>1217</v>
      </c>
    </row>
    <row r="3757" ht="15.75" customHeight="1">
      <c r="A3757" s="364" t="s">
        <v>82</v>
      </c>
      <c r="B3757" s="364" t="s">
        <v>23</v>
      </c>
      <c r="C3757" s="365" t="s">
        <v>721</v>
      </c>
      <c r="D3757" s="364" t="s">
        <v>722</v>
      </c>
      <c r="E3757" s="366">
        <v>5.0</v>
      </c>
      <c r="F3757" s="367">
        <v>45930.58333333333</v>
      </c>
      <c r="G3757" s="364" t="s">
        <v>1185</v>
      </c>
      <c r="H3757" s="364" t="s">
        <v>1217</v>
      </c>
    </row>
    <row r="3758" ht="15.75" customHeight="1">
      <c r="A3758" s="364" t="s">
        <v>82</v>
      </c>
      <c r="B3758" s="364" t="s">
        <v>23</v>
      </c>
      <c r="C3758" s="365" t="s">
        <v>721</v>
      </c>
      <c r="D3758" s="364" t="s">
        <v>722</v>
      </c>
      <c r="E3758" s="366">
        <v>6.0</v>
      </c>
      <c r="F3758" s="367">
        <v>45937.58333333333</v>
      </c>
      <c r="G3758" s="364" t="s">
        <v>1185</v>
      </c>
      <c r="H3758" s="364" t="s">
        <v>1217</v>
      </c>
    </row>
    <row r="3759" ht="15.75" customHeight="1">
      <c r="A3759" s="364" t="s">
        <v>82</v>
      </c>
      <c r="B3759" s="364" t="s">
        <v>23</v>
      </c>
      <c r="C3759" s="365" t="s">
        <v>721</v>
      </c>
      <c r="D3759" s="364" t="s">
        <v>722</v>
      </c>
      <c r="E3759" s="366">
        <v>8.0</v>
      </c>
      <c r="F3759" s="367">
        <v>45951.58333333333</v>
      </c>
      <c r="G3759" s="364" t="s">
        <v>1185</v>
      </c>
      <c r="H3759" s="364" t="s">
        <v>1217</v>
      </c>
    </row>
    <row r="3760" ht="15.75" customHeight="1">
      <c r="A3760" s="364" t="s">
        <v>82</v>
      </c>
      <c r="B3760" s="364" t="s">
        <v>23</v>
      </c>
      <c r="C3760" s="365" t="s">
        <v>721</v>
      </c>
      <c r="D3760" s="364" t="s">
        <v>722</v>
      </c>
      <c r="E3760" s="366">
        <v>9.0</v>
      </c>
      <c r="F3760" s="367">
        <v>45958.58333333333</v>
      </c>
      <c r="G3760" s="364" t="s">
        <v>1185</v>
      </c>
      <c r="H3760" s="364" t="s">
        <v>1217</v>
      </c>
    </row>
    <row r="3761" ht="15.75" customHeight="1">
      <c r="A3761" s="364" t="s">
        <v>82</v>
      </c>
      <c r="B3761" s="364" t="s">
        <v>23</v>
      </c>
      <c r="C3761" s="365" t="s">
        <v>721</v>
      </c>
      <c r="D3761" s="364" t="s">
        <v>722</v>
      </c>
      <c r="E3761" s="366">
        <v>10.0</v>
      </c>
      <c r="F3761" s="367">
        <v>45966.45833333333</v>
      </c>
      <c r="G3761" s="364" t="s">
        <v>1185</v>
      </c>
      <c r="H3761" s="364" t="s">
        <v>1217</v>
      </c>
    </row>
    <row r="3762" ht="15.75" customHeight="1">
      <c r="A3762" s="364" t="s">
        <v>82</v>
      </c>
      <c r="B3762" s="364" t="s">
        <v>23</v>
      </c>
      <c r="C3762" s="365" t="s">
        <v>721</v>
      </c>
      <c r="D3762" s="364" t="s">
        <v>722</v>
      </c>
      <c r="E3762" s="366">
        <v>11.0</v>
      </c>
      <c r="F3762" s="367">
        <v>45980.45833333333</v>
      </c>
      <c r="G3762" s="364" t="s">
        <v>1185</v>
      </c>
      <c r="H3762" s="364" t="s">
        <v>1217</v>
      </c>
    </row>
    <row r="3763" ht="15.75" customHeight="1">
      <c r="A3763" s="364" t="s">
        <v>82</v>
      </c>
      <c r="B3763" s="364" t="s">
        <v>23</v>
      </c>
      <c r="C3763" s="365" t="s">
        <v>721</v>
      </c>
      <c r="D3763" s="364" t="s">
        <v>722</v>
      </c>
      <c r="E3763" s="366">
        <v>12.0</v>
      </c>
      <c r="F3763" s="367">
        <v>45987.58333333333</v>
      </c>
      <c r="G3763" s="364" t="s">
        <v>1187</v>
      </c>
      <c r="H3763" s="364" t="s">
        <v>1217</v>
      </c>
    </row>
    <row r="3764" ht="15.75" customHeight="1">
      <c r="A3764" s="364" t="s">
        <v>82</v>
      </c>
      <c r="B3764" s="364" t="s">
        <v>23</v>
      </c>
      <c r="C3764" s="365" t="s">
        <v>721</v>
      </c>
      <c r="D3764" s="364" t="s">
        <v>722</v>
      </c>
      <c r="E3764" s="366">
        <v>13.0</v>
      </c>
      <c r="F3764" s="367">
        <v>45994.41666666667</v>
      </c>
      <c r="G3764" s="364" t="s">
        <v>1185</v>
      </c>
      <c r="H3764" s="364" t="s">
        <v>1217</v>
      </c>
    </row>
    <row r="3765" ht="15.75" customHeight="1">
      <c r="A3765" s="364" t="s">
        <v>82</v>
      </c>
      <c r="B3765" s="364" t="s">
        <v>23</v>
      </c>
      <c r="C3765" s="365" t="s">
        <v>721</v>
      </c>
      <c r="D3765" s="364" t="s">
        <v>722</v>
      </c>
      <c r="E3765" s="366">
        <v>14.0</v>
      </c>
      <c r="F3765" s="367">
        <v>46006.625</v>
      </c>
      <c r="G3765" s="364" t="s">
        <v>1185</v>
      </c>
      <c r="H3765" s="364" t="s">
        <v>1217</v>
      </c>
    </row>
    <row r="3766" ht="15.75" customHeight="1">
      <c r="A3766" s="364" t="s">
        <v>82</v>
      </c>
      <c r="B3766" s="364" t="s">
        <v>23</v>
      </c>
      <c r="C3766" s="365" t="s">
        <v>721</v>
      </c>
      <c r="D3766" s="364" t="s">
        <v>722</v>
      </c>
      <c r="E3766" s="366">
        <v>15.0</v>
      </c>
      <c r="F3766" s="367">
        <v>46013.625</v>
      </c>
      <c r="G3766" s="364" t="s">
        <v>1185</v>
      </c>
      <c r="H3766" s="364" t="s">
        <v>1217</v>
      </c>
    </row>
    <row r="3767" ht="15.75" customHeight="1">
      <c r="A3767" s="364" t="s">
        <v>82</v>
      </c>
      <c r="B3767" s="364" t="s">
        <v>23</v>
      </c>
      <c r="C3767" s="365" t="s">
        <v>721</v>
      </c>
      <c r="D3767" s="364" t="s">
        <v>722</v>
      </c>
      <c r="E3767" s="366">
        <v>16.0</v>
      </c>
      <c r="F3767" s="367">
        <v>46035.41666666667</v>
      </c>
      <c r="G3767" s="364" t="s">
        <v>1185</v>
      </c>
      <c r="H3767" s="364" t="s">
        <v>1217</v>
      </c>
    </row>
    <row r="3768" ht="15.75" customHeight="1">
      <c r="A3768" s="364" t="s">
        <v>82</v>
      </c>
      <c r="B3768" s="364" t="s">
        <v>23</v>
      </c>
      <c r="C3768" s="365" t="s">
        <v>581</v>
      </c>
      <c r="D3768" s="364" t="s">
        <v>582</v>
      </c>
      <c r="E3768" s="366">
        <v>1.0</v>
      </c>
      <c r="F3768" s="367">
        <v>45881.54166666667</v>
      </c>
      <c r="G3768" s="364" t="s">
        <v>1185</v>
      </c>
      <c r="H3768" s="364" t="s">
        <v>1217</v>
      </c>
    </row>
    <row r="3769" ht="15.75" customHeight="1">
      <c r="A3769" s="364" t="s">
        <v>82</v>
      </c>
      <c r="B3769" s="364" t="s">
        <v>23</v>
      </c>
      <c r="C3769" s="365" t="s">
        <v>581</v>
      </c>
      <c r="D3769" s="364" t="s">
        <v>582</v>
      </c>
      <c r="E3769" s="366">
        <v>2.0</v>
      </c>
      <c r="F3769" s="367">
        <v>45896.54166666667</v>
      </c>
      <c r="G3769" s="364" t="s">
        <v>1185</v>
      </c>
      <c r="H3769" s="364" t="s">
        <v>1217</v>
      </c>
    </row>
    <row r="3770" ht="15.75" customHeight="1">
      <c r="A3770" s="364" t="s">
        <v>82</v>
      </c>
      <c r="B3770" s="364" t="s">
        <v>23</v>
      </c>
      <c r="C3770" s="365" t="s">
        <v>581</v>
      </c>
      <c r="D3770" s="364" t="s">
        <v>582</v>
      </c>
      <c r="E3770" s="366">
        <v>3.0</v>
      </c>
      <c r="F3770" s="367">
        <v>45909.58333333333</v>
      </c>
      <c r="G3770" s="364" t="s">
        <v>1185</v>
      </c>
      <c r="H3770" s="364" t="s">
        <v>1217</v>
      </c>
    </row>
    <row r="3771" ht="15.75" customHeight="1">
      <c r="A3771" s="364" t="s">
        <v>82</v>
      </c>
      <c r="B3771" s="364" t="s">
        <v>23</v>
      </c>
      <c r="C3771" s="365" t="s">
        <v>581</v>
      </c>
      <c r="D3771" s="364" t="s">
        <v>582</v>
      </c>
      <c r="E3771" s="366">
        <v>4.0</v>
      </c>
      <c r="F3771" s="367">
        <v>45923.58333333333</v>
      </c>
      <c r="G3771" s="364" t="s">
        <v>1185</v>
      </c>
      <c r="H3771" s="364" t="s">
        <v>1217</v>
      </c>
    </row>
    <row r="3772" ht="15.75" customHeight="1">
      <c r="A3772" s="364" t="s">
        <v>82</v>
      </c>
      <c r="B3772" s="364" t="s">
        <v>23</v>
      </c>
      <c r="C3772" s="365" t="s">
        <v>581</v>
      </c>
      <c r="D3772" s="364" t="s">
        <v>582</v>
      </c>
      <c r="E3772" s="366">
        <v>5.0</v>
      </c>
      <c r="F3772" s="367">
        <v>45930.58333333333</v>
      </c>
      <c r="G3772" s="364" t="s">
        <v>1185</v>
      </c>
      <c r="H3772" s="364" t="s">
        <v>1217</v>
      </c>
    </row>
    <row r="3773" ht="15.75" customHeight="1">
      <c r="A3773" s="364" t="s">
        <v>82</v>
      </c>
      <c r="B3773" s="364" t="s">
        <v>23</v>
      </c>
      <c r="C3773" s="365" t="s">
        <v>581</v>
      </c>
      <c r="D3773" s="364" t="s">
        <v>582</v>
      </c>
      <c r="E3773" s="366">
        <v>6.0</v>
      </c>
      <c r="F3773" s="367">
        <v>45937.58333333333</v>
      </c>
      <c r="G3773" s="364" t="s">
        <v>1185</v>
      </c>
      <c r="H3773" s="364" t="s">
        <v>1217</v>
      </c>
    </row>
    <row r="3774" ht="15.75" customHeight="1">
      <c r="A3774" s="364" t="s">
        <v>82</v>
      </c>
      <c r="B3774" s="364" t="s">
        <v>23</v>
      </c>
      <c r="C3774" s="365" t="s">
        <v>581</v>
      </c>
      <c r="D3774" s="364" t="s">
        <v>582</v>
      </c>
      <c r="E3774" s="366">
        <v>8.0</v>
      </c>
      <c r="F3774" s="367">
        <v>45951.58333333333</v>
      </c>
      <c r="G3774" s="364" t="s">
        <v>1185</v>
      </c>
      <c r="H3774" s="364" t="s">
        <v>1217</v>
      </c>
    </row>
    <row r="3775" ht="15.75" customHeight="1">
      <c r="A3775" s="364" t="s">
        <v>82</v>
      </c>
      <c r="B3775" s="364" t="s">
        <v>23</v>
      </c>
      <c r="C3775" s="365" t="s">
        <v>581</v>
      </c>
      <c r="D3775" s="364" t="s">
        <v>582</v>
      </c>
      <c r="E3775" s="366">
        <v>9.0</v>
      </c>
      <c r="F3775" s="367">
        <v>45958.58333333333</v>
      </c>
      <c r="G3775" s="364" t="s">
        <v>1185</v>
      </c>
      <c r="H3775" s="364" t="s">
        <v>1217</v>
      </c>
    </row>
    <row r="3776" ht="15.75" customHeight="1">
      <c r="A3776" s="364" t="s">
        <v>82</v>
      </c>
      <c r="B3776" s="364" t="s">
        <v>23</v>
      </c>
      <c r="C3776" s="365" t="s">
        <v>581</v>
      </c>
      <c r="D3776" s="364" t="s">
        <v>582</v>
      </c>
      <c r="E3776" s="366">
        <v>10.0</v>
      </c>
      <c r="F3776" s="367">
        <v>45966.45833333333</v>
      </c>
      <c r="G3776" s="364" t="s">
        <v>1185</v>
      </c>
      <c r="H3776" s="364" t="s">
        <v>1217</v>
      </c>
    </row>
    <row r="3777" ht="15.75" customHeight="1">
      <c r="A3777" s="364" t="s">
        <v>82</v>
      </c>
      <c r="B3777" s="364" t="s">
        <v>23</v>
      </c>
      <c r="C3777" s="365" t="s">
        <v>581</v>
      </c>
      <c r="D3777" s="364" t="s">
        <v>582</v>
      </c>
      <c r="E3777" s="366">
        <v>11.0</v>
      </c>
      <c r="F3777" s="367">
        <v>45980.45833333333</v>
      </c>
      <c r="G3777" s="364" t="s">
        <v>1185</v>
      </c>
      <c r="H3777" s="364" t="s">
        <v>1217</v>
      </c>
    </row>
    <row r="3778" ht="15.75" customHeight="1">
      <c r="A3778" s="364" t="s">
        <v>82</v>
      </c>
      <c r="B3778" s="364" t="s">
        <v>23</v>
      </c>
      <c r="C3778" s="365" t="s">
        <v>581</v>
      </c>
      <c r="D3778" s="364" t="s">
        <v>582</v>
      </c>
      <c r="E3778" s="366">
        <v>12.0</v>
      </c>
      <c r="F3778" s="367">
        <v>45987.58333333333</v>
      </c>
      <c r="G3778" s="364" t="s">
        <v>1185</v>
      </c>
      <c r="H3778" s="364" t="s">
        <v>1217</v>
      </c>
    </row>
    <row r="3779" ht="15.75" customHeight="1">
      <c r="A3779" s="364" t="s">
        <v>82</v>
      </c>
      <c r="B3779" s="364" t="s">
        <v>23</v>
      </c>
      <c r="C3779" s="365" t="s">
        <v>581</v>
      </c>
      <c r="D3779" s="364" t="s">
        <v>582</v>
      </c>
      <c r="E3779" s="366">
        <v>13.0</v>
      </c>
      <c r="F3779" s="367">
        <v>45994.41666666667</v>
      </c>
      <c r="G3779" s="364" t="s">
        <v>1185</v>
      </c>
      <c r="H3779" s="364" t="s">
        <v>1217</v>
      </c>
    </row>
    <row r="3780" ht="15.75" customHeight="1">
      <c r="A3780" s="364" t="s">
        <v>82</v>
      </c>
      <c r="B3780" s="364" t="s">
        <v>23</v>
      </c>
      <c r="C3780" s="365" t="s">
        <v>581</v>
      </c>
      <c r="D3780" s="364" t="s">
        <v>582</v>
      </c>
      <c r="E3780" s="366">
        <v>14.0</v>
      </c>
      <c r="F3780" s="367">
        <v>46006.625</v>
      </c>
      <c r="G3780" s="364" t="s">
        <v>1185</v>
      </c>
      <c r="H3780" s="364" t="s">
        <v>1217</v>
      </c>
    </row>
    <row r="3781" ht="15.75" customHeight="1">
      <c r="A3781" s="364" t="s">
        <v>82</v>
      </c>
      <c r="B3781" s="364" t="s">
        <v>23</v>
      </c>
      <c r="C3781" s="365" t="s">
        <v>581</v>
      </c>
      <c r="D3781" s="364" t="s">
        <v>582</v>
      </c>
      <c r="E3781" s="366">
        <v>15.0</v>
      </c>
      <c r="F3781" s="367">
        <v>46013.625</v>
      </c>
      <c r="G3781" s="364" t="s">
        <v>1185</v>
      </c>
      <c r="H3781" s="364" t="s">
        <v>1217</v>
      </c>
    </row>
    <row r="3782" ht="15.75" customHeight="1">
      <c r="A3782" s="364" t="s">
        <v>82</v>
      </c>
      <c r="B3782" s="364" t="s">
        <v>23</v>
      </c>
      <c r="C3782" s="365" t="s">
        <v>581</v>
      </c>
      <c r="D3782" s="364" t="s">
        <v>582</v>
      </c>
      <c r="E3782" s="366">
        <v>16.0</v>
      </c>
      <c r="F3782" s="367">
        <v>46035.41666666667</v>
      </c>
      <c r="G3782" s="364" t="s">
        <v>1185</v>
      </c>
      <c r="H3782" s="364" t="s">
        <v>1217</v>
      </c>
    </row>
    <row r="3783" ht="15.75" customHeight="1">
      <c r="A3783" s="364" t="s">
        <v>82</v>
      </c>
      <c r="B3783" s="364" t="s">
        <v>23</v>
      </c>
      <c r="C3783" s="365" t="s">
        <v>585</v>
      </c>
      <c r="D3783" s="364" t="s">
        <v>586</v>
      </c>
      <c r="E3783" s="366">
        <v>1.0</v>
      </c>
      <c r="F3783" s="367">
        <v>45881.54166666667</v>
      </c>
      <c r="G3783" s="364" t="s">
        <v>1185</v>
      </c>
      <c r="H3783" s="364" t="s">
        <v>1217</v>
      </c>
    </row>
    <row r="3784" ht="15.75" customHeight="1">
      <c r="A3784" s="364" t="s">
        <v>82</v>
      </c>
      <c r="B3784" s="364" t="s">
        <v>23</v>
      </c>
      <c r="C3784" s="365" t="s">
        <v>585</v>
      </c>
      <c r="D3784" s="364" t="s">
        <v>586</v>
      </c>
      <c r="E3784" s="366">
        <v>2.0</v>
      </c>
      <c r="F3784" s="367">
        <v>45896.54166666667</v>
      </c>
      <c r="G3784" s="364" t="s">
        <v>1185</v>
      </c>
      <c r="H3784" s="364" t="s">
        <v>1217</v>
      </c>
    </row>
    <row r="3785" ht="15.75" customHeight="1">
      <c r="A3785" s="364" t="s">
        <v>82</v>
      </c>
      <c r="B3785" s="364" t="s">
        <v>23</v>
      </c>
      <c r="C3785" s="365" t="s">
        <v>585</v>
      </c>
      <c r="D3785" s="364" t="s">
        <v>586</v>
      </c>
      <c r="E3785" s="366">
        <v>3.0</v>
      </c>
      <c r="F3785" s="367">
        <v>45909.58333333333</v>
      </c>
      <c r="G3785" s="364" t="s">
        <v>1185</v>
      </c>
      <c r="H3785" s="364" t="s">
        <v>1217</v>
      </c>
    </row>
    <row r="3786" ht="15.75" customHeight="1">
      <c r="A3786" s="364" t="s">
        <v>82</v>
      </c>
      <c r="B3786" s="364" t="s">
        <v>23</v>
      </c>
      <c r="C3786" s="365" t="s">
        <v>585</v>
      </c>
      <c r="D3786" s="364" t="s">
        <v>586</v>
      </c>
      <c r="E3786" s="366">
        <v>4.0</v>
      </c>
      <c r="F3786" s="367">
        <v>45923.58333333333</v>
      </c>
      <c r="G3786" s="364" t="s">
        <v>1185</v>
      </c>
      <c r="H3786" s="364" t="s">
        <v>1217</v>
      </c>
    </row>
    <row r="3787" ht="15.75" customHeight="1">
      <c r="A3787" s="364" t="s">
        <v>82</v>
      </c>
      <c r="B3787" s="364" t="s">
        <v>23</v>
      </c>
      <c r="C3787" s="365" t="s">
        <v>585</v>
      </c>
      <c r="D3787" s="364" t="s">
        <v>586</v>
      </c>
      <c r="E3787" s="366">
        <v>5.0</v>
      </c>
      <c r="F3787" s="367">
        <v>45930.58333333333</v>
      </c>
      <c r="G3787" s="364" t="s">
        <v>1185</v>
      </c>
      <c r="H3787" s="364" t="s">
        <v>1217</v>
      </c>
    </row>
    <row r="3788" ht="15.75" customHeight="1">
      <c r="A3788" s="364" t="s">
        <v>82</v>
      </c>
      <c r="B3788" s="364" t="s">
        <v>23</v>
      </c>
      <c r="C3788" s="365" t="s">
        <v>585</v>
      </c>
      <c r="D3788" s="364" t="s">
        <v>586</v>
      </c>
      <c r="E3788" s="366">
        <v>6.0</v>
      </c>
      <c r="F3788" s="367">
        <v>45937.58333333333</v>
      </c>
      <c r="G3788" s="364" t="s">
        <v>1185</v>
      </c>
      <c r="H3788" s="364" t="s">
        <v>1217</v>
      </c>
    </row>
    <row r="3789" ht="15.75" customHeight="1">
      <c r="A3789" s="364" t="s">
        <v>82</v>
      </c>
      <c r="B3789" s="364" t="s">
        <v>23</v>
      </c>
      <c r="C3789" s="365" t="s">
        <v>585</v>
      </c>
      <c r="D3789" s="364" t="s">
        <v>586</v>
      </c>
      <c r="E3789" s="366">
        <v>8.0</v>
      </c>
      <c r="F3789" s="367">
        <v>45951.58333333333</v>
      </c>
      <c r="G3789" s="364" t="s">
        <v>1185</v>
      </c>
      <c r="H3789" s="364" t="s">
        <v>1217</v>
      </c>
    </row>
    <row r="3790" ht="15.75" customHeight="1">
      <c r="A3790" s="364" t="s">
        <v>82</v>
      </c>
      <c r="B3790" s="364" t="s">
        <v>23</v>
      </c>
      <c r="C3790" s="365" t="s">
        <v>585</v>
      </c>
      <c r="D3790" s="364" t="s">
        <v>586</v>
      </c>
      <c r="E3790" s="366">
        <v>9.0</v>
      </c>
      <c r="F3790" s="367">
        <v>45958.58333333333</v>
      </c>
      <c r="G3790" s="364" t="s">
        <v>1185</v>
      </c>
      <c r="H3790" s="364" t="s">
        <v>1217</v>
      </c>
    </row>
    <row r="3791" ht="15.75" customHeight="1">
      <c r="A3791" s="364" t="s">
        <v>82</v>
      </c>
      <c r="B3791" s="364" t="s">
        <v>23</v>
      </c>
      <c r="C3791" s="365" t="s">
        <v>585</v>
      </c>
      <c r="D3791" s="364" t="s">
        <v>586</v>
      </c>
      <c r="E3791" s="366">
        <v>10.0</v>
      </c>
      <c r="F3791" s="367">
        <v>45966.45833333333</v>
      </c>
      <c r="G3791" s="364" t="s">
        <v>1187</v>
      </c>
      <c r="H3791" s="364" t="s">
        <v>1217</v>
      </c>
    </row>
    <row r="3792" ht="15.75" customHeight="1">
      <c r="A3792" s="364" t="s">
        <v>82</v>
      </c>
      <c r="B3792" s="364" t="s">
        <v>23</v>
      </c>
      <c r="C3792" s="365" t="s">
        <v>585</v>
      </c>
      <c r="D3792" s="364" t="s">
        <v>586</v>
      </c>
      <c r="E3792" s="366">
        <v>11.0</v>
      </c>
      <c r="F3792" s="367">
        <v>45980.45833333333</v>
      </c>
      <c r="G3792" s="364" t="s">
        <v>1185</v>
      </c>
      <c r="H3792" s="364" t="s">
        <v>1217</v>
      </c>
    </row>
    <row r="3793" ht="15.75" customHeight="1">
      <c r="A3793" s="364" t="s">
        <v>82</v>
      </c>
      <c r="B3793" s="364" t="s">
        <v>23</v>
      </c>
      <c r="C3793" s="365" t="s">
        <v>585</v>
      </c>
      <c r="D3793" s="364" t="s">
        <v>586</v>
      </c>
      <c r="E3793" s="366">
        <v>12.0</v>
      </c>
      <c r="F3793" s="367">
        <v>45987.58333333333</v>
      </c>
      <c r="G3793" s="364" t="s">
        <v>1185</v>
      </c>
      <c r="H3793" s="364" t="s">
        <v>1217</v>
      </c>
    </row>
    <row r="3794" ht="15.75" customHeight="1">
      <c r="A3794" s="364" t="s">
        <v>82</v>
      </c>
      <c r="B3794" s="364" t="s">
        <v>23</v>
      </c>
      <c r="C3794" s="365" t="s">
        <v>585</v>
      </c>
      <c r="D3794" s="364" t="s">
        <v>586</v>
      </c>
      <c r="E3794" s="366">
        <v>13.0</v>
      </c>
      <c r="F3794" s="367">
        <v>45994.41666666667</v>
      </c>
      <c r="G3794" s="364" t="s">
        <v>1185</v>
      </c>
      <c r="H3794" s="364" t="s">
        <v>1217</v>
      </c>
    </row>
    <row r="3795" ht="15.75" customHeight="1">
      <c r="A3795" s="364" t="s">
        <v>82</v>
      </c>
      <c r="B3795" s="364" t="s">
        <v>23</v>
      </c>
      <c r="C3795" s="365" t="s">
        <v>585</v>
      </c>
      <c r="D3795" s="364" t="s">
        <v>586</v>
      </c>
      <c r="E3795" s="366">
        <v>14.0</v>
      </c>
      <c r="F3795" s="367">
        <v>46006.625</v>
      </c>
      <c r="G3795" s="364" t="s">
        <v>1185</v>
      </c>
      <c r="H3795" s="364" t="s">
        <v>1217</v>
      </c>
    </row>
    <row r="3796" ht="15.75" customHeight="1">
      <c r="A3796" s="364" t="s">
        <v>82</v>
      </c>
      <c r="B3796" s="364" t="s">
        <v>23</v>
      </c>
      <c r="C3796" s="365" t="s">
        <v>585</v>
      </c>
      <c r="D3796" s="364" t="s">
        <v>586</v>
      </c>
      <c r="E3796" s="366">
        <v>15.0</v>
      </c>
      <c r="F3796" s="367">
        <v>46013.625</v>
      </c>
      <c r="G3796" s="364" t="s">
        <v>1185</v>
      </c>
      <c r="H3796" s="364" t="s">
        <v>1217</v>
      </c>
    </row>
    <row r="3797" ht="15.75" customHeight="1">
      <c r="A3797" s="364" t="s">
        <v>82</v>
      </c>
      <c r="B3797" s="364" t="s">
        <v>23</v>
      </c>
      <c r="C3797" s="365" t="s">
        <v>585</v>
      </c>
      <c r="D3797" s="364" t="s">
        <v>586</v>
      </c>
      <c r="E3797" s="366">
        <v>16.0</v>
      </c>
      <c r="F3797" s="367">
        <v>46035.41666666667</v>
      </c>
      <c r="G3797" s="364" t="s">
        <v>1185</v>
      </c>
      <c r="H3797" s="364" t="s">
        <v>1217</v>
      </c>
    </row>
    <row r="3798" ht="15.75" customHeight="1">
      <c r="A3798" s="364" t="s">
        <v>82</v>
      </c>
      <c r="B3798" s="364" t="s">
        <v>23</v>
      </c>
      <c r="C3798" s="365" t="s">
        <v>587</v>
      </c>
      <c r="D3798" s="364" t="s">
        <v>588</v>
      </c>
      <c r="E3798" s="366">
        <v>1.0</v>
      </c>
      <c r="F3798" s="367">
        <v>45881.54166666667</v>
      </c>
      <c r="G3798" s="364" t="s">
        <v>1185</v>
      </c>
      <c r="H3798" s="364" t="s">
        <v>1217</v>
      </c>
    </row>
    <row r="3799" ht="15.75" customHeight="1">
      <c r="A3799" s="364" t="s">
        <v>82</v>
      </c>
      <c r="B3799" s="364" t="s">
        <v>23</v>
      </c>
      <c r="C3799" s="365" t="s">
        <v>587</v>
      </c>
      <c r="D3799" s="364" t="s">
        <v>588</v>
      </c>
      <c r="E3799" s="366">
        <v>2.0</v>
      </c>
      <c r="F3799" s="367">
        <v>45896.54166666667</v>
      </c>
      <c r="G3799" s="364" t="s">
        <v>1185</v>
      </c>
      <c r="H3799" s="364" t="s">
        <v>1217</v>
      </c>
    </row>
    <row r="3800" ht="15.75" customHeight="1">
      <c r="A3800" s="364" t="s">
        <v>82</v>
      </c>
      <c r="B3800" s="364" t="s">
        <v>23</v>
      </c>
      <c r="C3800" s="365" t="s">
        <v>587</v>
      </c>
      <c r="D3800" s="364" t="s">
        <v>588</v>
      </c>
      <c r="E3800" s="366">
        <v>3.0</v>
      </c>
      <c r="F3800" s="367">
        <v>45909.58333333333</v>
      </c>
      <c r="G3800" s="364" t="s">
        <v>1185</v>
      </c>
      <c r="H3800" s="364" t="s">
        <v>1217</v>
      </c>
    </row>
    <row r="3801" ht="15.75" customHeight="1">
      <c r="A3801" s="364" t="s">
        <v>82</v>
      </c>
      <c r="B3801" s="364" t="s">
        <v>23</v>
      </c>
      <c r="C3801" s="365" t="s">
        <v>587</v>
      </c>
      <c r="D3801" s="364" t="s">
        <v>588</v>
      </c>
      <c r="E3801" s="366">
        <v>4.0</v>
      </c>
      <c r="F3801" s="367">
        <v>45923.58333333333</v>
      </c>
      <c r="G3801" s="364" t="s">
        <v>1185</v>
      </c>
      <c r="H3801" s="364" t="s">
        <v>1217</v>
      </c>
    </row>
    <row r="3802" ht="15.75" customHeight="1">
      <c r="A3802" s="364" t="s">
        <v>82</v>
      </c>
      <c r="B3802" s="364" t="s">
        <v>23</v>
      </c>
      <c r="C3802" s="365" t="s">
        <v>587</v>
      </c>
      <c r="D3802" s="364" t="s">
        <v>588</v>
      </c>
      <c r="E3802" s="366">
        <v>5.0</v>
      </c>
      <c r="F3802" s="367">
        <v>45930.58333333333</v>
      </c>
      <c r="G3802" s="364" t="s">
        <v>1185</v>
      </c>
      <c r="H3802" s="364" t="s">
        <v>1217</v>
      </c>
    </row>
    <row r="3803" ht="15.75" customHeight="1">
      <c r="A3803" s="364" t="s">
        <v>82</v>
      </c>
      <c r="B3803" s="364" t="s">
        <v>23</v>
      </c>
      <c r="C3803" s="365" t="s">
        <v>587</v>
      </c>
      <c r="D3803" s="364" t="s">
        <v>588</v>
      </c>
      <c r="E3803" s="366">
        <v>6.0</v>
      </c>
      <c r="F3803" s="367">
        <v>45937.58333333333</v>
      </c>
      <c r="G3803" s="364" t="s">
        <v>1185</v>
      </c>
      <c r="H3803" s="364" t="s">
        <v>1217</v>
      </c>
    </row>
    <row r="3804" ht="15.75" customHeight="1">
      <c r="A3804" s="364" t="s">
        <v>82</v>
      </c>
      <c r="B3804" s="364" t="s">
        <v>23</v>
      </c>
      <c r="C3804" s="365" t="s">
        <v>587</v>
      </c>
      <c r="D3804" s="364" t="s">
        <v>588</v>
      </c>
      <c r="E3804" s="366">
        <v>8.0</v>
      </c>
      <c r="F3804" s="367">
        <v>45951.58333333333</v>
      </c>
      <c r="G3804" s="364" t="s">
        <v>1187</v>
      </c>
      <c r="H3804" s="364" t="s">
        <v>1217</v>
      </c>
    </row>
    <row r="3805" ht="15.75" customHeight="1">
      <c r="A3805" s="364" t="s">
        <v>82</v>
      </c>
      <c r="B3805" s="364" t="s">
        <v>23</v>
      </c>
      <c r="C3805" s="365" t="s">
        <v>587</v>
      </c>
      <c r="D3805" s="364" t="s">
        <v>588</v>
      </c>
      <c r="E3805" s="366">
        <v>9.0</v>
      </c>
      <c r="F3805" s="367">
        <v>45958.58333333333</v>
      </c>
      <c r="G3805" s="364" t="s">
        <v>1185</v>
      </c>
      <c r="H3805" s="364" t="s">
        <v>1217</v>
      </c>
    </row>
    <row r="3806" ht="15.75" customHeight="1">
      <c r="A3806" s="364" t="s">
        <v>82</v>
      </c>
      <c r="B3806" s="364" t="s">
        <v>23</v>
      </c>
      <c r="C3806" s="365" t="s">
        <v>587</v>
      </c>
      <c r="D3806" s="364" t="s">
        <v>588</v>
      </c>
      <c r="E3806" s="366">
        <v>10.0</v>
      </c>
      <c r="F3806" s="367">
        <v>45966.45833333333</v>
      </c>
      <c r="G3806" s="364" t="s">
        <v>1185</v>
      </c>
      <c r="H3806" s="364" t="s">
        <v>1217</v>
      </c>
    </row>
    <row r="3807" ht="15.75" customHeight="1">
      <c r="A3807" s="364" t="s">
        <v>82</v>
      </c>
      <c r="B3807" s="364" t="s">
        <v>23</v>
      </c>
      <c r="C3807" s="365" t="s">
        <v>587</v>
      </c>
      <c r="D3807" s="364" t="s">
        <v>588</v>
      </c>
      <c r="E3807" s="366">
        <v>11.0</v>
      </c>
      <c r="F3807" s="367">
        <v>45980.45833333333</v>
      </c>
      <c r="G3807" s="364" t="s">
        <v>1187</v>
      </c>
      <c r="H3807" s="364" t="s">
        <v>1217</v>
      </c>
    </row>
    <row r="3808" ht="15.75" customHeight="1">
      <c r="A3808" s="364" t="s">
        <v>82</v>
      </c>
      <c r="B3808" s="364" t="s">
        <v>23</v>
      </c>
      <c r="C3808" s="365" t="s">
        <v>587</v>
      </c>
      <c r="D3808" s="364" t="s">
        <v>588</v>
      </c>
      <c r="E3808" s="366">
        <v>12.0</v>
      </c>
      <c r="F3808" s="367">
        <v>45987.58333333333</v>
      </c>
      <c r="G3808" s="364" t="s">
        <v>1185</v>
      </c>
      <c r="H3808" s="364" t="s">
        <v>1217</v>
      </c>
    </row>
    <row r="3809" ht="15.75" customHeight="1">
      <c r="A3809" s="364" t="s">
        <v>82</v>
      </c>
      <c r="B3809" s="364" t="s">
        <v>23</v>
      </c>
      <c r="C3809" s="365" t="s">
        <v>587</v>
      </c>
      <c r="D3809" s="364" t="s">
        <v>588</v>
      </c>
      <c r="E3809" s="366">
        <v>13.0</v>
      </c>
      <c r="F3809" s="367">
        <v>45994.41666666667</v>
      </c>
      <c r="G3809" s="364" t="s">
        <v>1185</v>
      </c>
      <c r="H3809" s="364" t="s">
        <v>1217</v>
      </c>
    </row>
    <row r="3810" ht="15.75" customHeight="1">
      <c r="A3810" s="364" t="s">
        <v>82</v>
      </c>
      <c r="B3810" s="364" t="s">
        <v>23</v>
      </c>
      <c r="C3810" s="365" t="s">
        <v>587</v>
      </c>
      <c r="D3810" s="364" t="s">
        <v>588</v>
      </c>
      <c r="E3810" s="366">
        <v>14.0</v>
      </c>
      <c r="F3810" s="367">
        <v>46006.625</v>
      </c>
      <c r="G3810" s="364" t="s">
        <v>1185</v>
      </c>
      <c r="H3810" s="364" t="s">
        <v>1217</v>
      </c>
    </row>
    <row r="3811" ht="15.75" customHeight="1">
      <c r="A3811" s="364" t="s">
        <v>82</v>
      </c>
      <c r="B3811" s="364" t="s">
        <v>23</v>
      </c>
      <c r="C3811" s="365" t="s">
        <v>587</v>
      </c>
      <c r="D3811" s="364" t="s">
        <v>588</v>
      </c>
      <c r="E3811" s="366">
        <v>15.0</v>
      </c>
      <c r="F3811" s="367">
        <v>46013.625</v>
      </c>
      <c r="G3811" s="364" t="s">
        <v>1185</v>
      </c>
      <c r="H3811" s="364" t="s">
        <v>1217</v>
      </c>
    </row>
    <row r="3812" ht="15.75" customHeight="1">
      <c r="A3812" s="364" t="s">
        <v>82</v>
      </c>
      <c r="B3812" s="364" t="s">
        <v>23</v>
      </c>
      <c r="C3812" s="365" t="s">
        <v>587</v>
      </c>
      <c r="D3812" s="364" t="s">
        <v>588</v>
      </c>
      <c r="E3812" s="366">
        <v>16.0</v>
      </c>
      <c r="F3812" s="367">
        <v>46035.41666666667</v>
      </c>
      <c r="G3812" s="364" t="s">
        <v>1185</v>
      </c>
      <c r="H3812" s="364" t="s">
        <v>1217</v>
      </c>
    </row>
    <row r="3813" ht="15.75" customHeight="1">
      <c r="A3813" s="364" t="s">
        <v>82</v>
      </c>
      <c r="B3813" s="364" t="s">
        <v>23</v>
      </c>
      <c r="C3813" s="365" t="s">
        <v>589</v>
      </c>
      <c r="D3813" s="364" t="s">
        <v>590</v>
      </c>
      <c r="E3813" s="366">
        <v>1.0</v>
      </c>
      <c r="F3813" s="367">
        <v>45881.54166666667</v>
      </c>
      <c r="G3813" s="364" t="s">
        <v>1185</v>
      </c>
      <c r="H3813" s="364" t="s">
        <v>1217</v>
      </c>
    </row>
    <row r="3814" ht="15.75" customHeight="1">
      <c r="A3814" s="364" t="s">
        <v>82</v>
      </c>
      <c r="B3814" s="364" t="s">
        <v>23</v>
      </c>
      <c r="C3814" s="365" t="s">
        <v>589</v>
      </c>
      <c r="D3814" s="364" t="s">
        <v>590</v>
      </c>
      <c r="E3814" s="366">
        <v>2.0</v>
      </c>
      <c r="F3814" s="367">
        <v>45896.54166666667</v>
      </c>
      <c r="G3814" s="364" t="s">
        <v>1185</v>
      </c>
      <c r="H3814" s="364" t="s">
        <v>1217</v>
      </c>
    </row>
    <row r="3815" ht="15.75" customHeight="1">
      <c r="A3815" s="364" t="s">
        <v>82</v>
      </c>
      <c r="B3815" s="364" t="s">
        <v>23</v>
      </c>
      <c r="C3815" s="365" t="s">
        <v>589</v>
      </c>
      <c r="D3815" s="364" t="s">
        <v>590</v>
      </c>
      <c r="E3815" s="366">
        <v>3.0</v>
      </c>
      <c r="F3815" s="367">
        <v>45909.58333333333</v>
      </c>
      <c r="G3815" s="364" t="s">
        <v>1187</v>
      </c>
      <c r="H3815" s="364" t="s">
        <v>1217</v>
      </c>
    </row>
    <row r="3816" ht="15.75" customHeight="1">
      <c r="A3816" s="364" t="s">
        <v>82</v>
      </c>
      <c r="B3816" s="364" t="s">
        <v>23</v>
      </c>
      <c r="C3816" s="365" t="s">
        <v>589</v>
      </c>
      <c r="D3816" s="364" t="s">
        <v>590</v>
      </c>
      <c r="E3816" s="366">
        <v>4.0</v>
      </c>
      <c r="F3816" s="367">
        <v>45923.58333333333</v>
      </c>
      <c r="G3816" s="364" t="s">
        <v>1185</v>
      </c>
      <c r="H3816" s="364" t="s">
        <v>1217</v>
      </c>
    </row>
    <row r="3817" ht="15.75" customHeight="1">
      <c r="A3817" s="364" t="s">
        <v>82</v>
      </c>
      <c r="B3817" s="364" t="s">
        <v>23</v>
      </c>
      <c r="C3817" s="365" t="s">
        <v>589</v>
      </c>
      <c r="D3817" s="364" t="s">
        <v>590</v>
      </c>
      <c r="E3817" s="366">
        <v>5.0</v>
      </c>
      <c r="F3817" s="367">
        <v>45930.58333333333</v>
      </c>
      <c r="G3817" s="364" t="s">
        <v>1185</v>
      </c>
      <c r="H3817" s="364" t="s">
        <v>1217</v>
      </c>
    </row>
    <row r="3818" ht="15.75" customHeight="1">
      <c r="A3818" s="364" t="s">
        <v>82</v>
      </c>
      <c r="B3818" s="364" t="s">
        <v>23</v>
      </c>
      <c r="C3818" s="365" t="s">
        <v>589</v>
      </c>
      <c r="D3818" s="364" t="s">
        <v>590</v>
      </c>
      <c r="E3818" s="366">
        <v>6.0</v>
      </c>
      <c r="F3818" s="367">
        <v>45937.58333333333</v>
      </c>
      <c r="G3818" s="364" t="s">
        <v>1185</v>
      </c>
      <c r="H3818" s="364" t="s">
        <v>1217</v>
      </c>
    </row>
    <row r="3819" ht="15.75" customHeight="1">
      <c r="A3819" s="364" t="s">
        <v>82</v>
      </c>
      <c r="B3819" s="364" t="s">
        <v>23</v>
      </c>
      <c r="C3819" s="365" t="s">
        <v>589</v>
      </c>
      <c r="D3819" s="364" t="s">
        <v>590</v>
      </c>
      <c r="E3819" s="366">
        <v>8.0</v>
      </c>
      <c r="F3819" s="367">
        <v>45951.58333333333</v>
      </c>
      <c r="G3819" s="364" t="s">
        <v>1187</v>
      </c>
      <c r="H3819" s="364" t="s">
        <v>1217</v>
      </c>
    </row>
    <row r="3820" ht="15.75" customHeight="1">
      <c r="A3820" s="364" t="s">
        <v>82</v>
      </c>
      <c r="B3820" s="364" t="s">
        <v>23</v>
      </c>
      <c r="C3820" s="365" t="s">
        <v>589</v>
      </c>
      <c r="D3820" s="364" t="s">
        <v>590</v>
      </c>
      <c r="E3820" s="366">
        <v>9.0</v>
      </c>
      <c r="F3820" s="367">
        <v>45958.58333333333</v>
      </c>
      <c r="G3820" s="364" t="s">
        <v>1187</v>
      </c>
      <c r="H3820" s="364" t="s">
        <v>1217</v>
      </c>
    </row>
    <row r="3821" ht="15.75" customHeight="1">
      <c r="A3821" s="364" t="s">
        <v>82</v>
      </c>
      <c r="B3821" s="364" t="s">
        <v>23</v>
      </c>
      <c r="C3821" s="365" t="s">
        <v>589</v>
      </c>
      <c r="D3821" s="364" t="s">
        <v>590</v>
      </c>
      <c r="E3821" s="366">
        <v>10.0</v>
      </c>
      <c r="F3821" s="367">
        <v>45966.45833333333</v>
      </c>
      <c r="G3821" s="364" t="s">
        <v>1185</v>
      </c>
      <c r="H3821" s="364" t="s">
        <v>1217</v>
      </c>
    </row>
    <row r="3822" ht="15.75" customHeight="1">
      <c r="A3822" s="364" t="s">
        <v>82</v>
      </c>
      <c r="B3822" s="364" t="s">
        <v>23</v>
      </c>
      <c r="C3822" s="365" t="s">
        <v>589</v>
      </c>
      <c r="D3822" s="364" t="s">
        <v>590</v>
      </c>
      <c r="E3822" s="366">
        <v>11.0</v>
      </c>
      <c r="F3822" s="367">
        <v>45980.45833333333</v>
      </c>
      <c r="G3822" s="364" t="s">
        <v>1185</v>
      </c>
      <c r="H3822" s="364" t="s">
        <v>1217</v>
      </c>
    </row>
    <row r="3823" ht="15.75" customHeight="1">
      <c r="A3823" s="364" t="s">
        <v>82</v>
      </c>
      <c r="B3823" s="364" t="s">
        <v>23</v>
      </c>
      <c r="C3823" s="365" t="s">
        <v>589</v>
      </c>
      <c r="D3823" s="364" t="s">
        <v>590</v>
      </c>
      <c r="E3823" s="366">
        <v>12.0</v>
      </c>
      <c r="F3823" s="367">
        <v>45987.58333333333</v>
      </c>
      <c r="G3823" s="364" t="s">
        <v>1185</v>
      </c>
      <c r="H3823" s="364" t="s">
        <v>1217</v>
      </c>
    </row>
    <row r="3824" ht="15.75" customHeight="1">
      <c r="A3824" s="364" t="s">
        <v>82</v>
      </c>
      <c r="B3824" s="364" t="s">
        <v>23</v>
      </c>
      <c r="C3824" s="365" t="s">
        <v>589</v>
      </c>
      <c r="D3824" s="364" t="s">
        <v>590</v>
      </c>
      <c r="E3824" s="366">
        <v>13.0</v>
      </c>
      <c r="F3824" s="367">
        <v>45994.41666666667</v>
      </c>
      <c r="G3824" s="364" t="s">
        <v>1185</v>
      </c>
      <c r="H3824" s="364" t="s">
        <v>1217</v>
      </c>
    </row>
    <row r="3825" ht="15.75" customHeight="1">
      <c r="A3825" s="364" t="s">
        <v>82</v>
      </c>
      <c r="B3825" s="364" t="s">
        <v>23</v>
      </c>
      <c r="C3825" s="365" t="s">
        <v>589</v>
      </c>
      <c r="D3825" s="364" t="s">
        <v>590</v>
      </c>
      <c r="E3825" s="366">
        <v>14.0</v>
      </c>
      <c r="F3825" s="367">
        <v>46006.625</v>
      </c>
      <c r="G3825" s="364" t="s">
        <v>1185</v>
      </c>
      <c r="H3825" s="364" t="s">
        <v>1217</v>
      </c>
    </row>
    <row r="3826" ht="15.75" customHeight="1">
      <c r="A3826" s="364" t="s">
        <v>82</v>
      </c>
      <c r="B3826" s="364" t="s">
        <v>23</v>
      </c>
      <c r="C3826" s="365" t="s">
        <v>589</v>
      </c>
      <c r="D3826" s="364" t="s">
        <v>590</v>
      </c>
      <c r="E3826" s="366">
        <v>15.0</v>
      </c>
      <c r="F3826" s="367">
        <v>46013.625</v>
      </c>
      <c r="G3826" s="364" t="s">
        <v>1187</v>
      </c>
      <c r="H3826" s="364" t="s">
        <v>1217</v>
      </c>
    </row>
    <row r="3827" ht="15.75" customHeight="1">
      <c r="A3827" s="364" t="s">
        <v>82</v>
      </c>
      <c r="B3827" s="364" t="s">
        <v>23</v>
      </c>
      <c r="C3827" s="365" t="s">
        <v>589</v>
      </c>
      <c r="D3827" s="364" t="s">
        <v>590</v>
      </c>
      <c r="E3827" s="366">
        <v>16.0</v>
      </c>
      <c r="F3827" s="367">
        <v>46035.41666666667</v>
      </c>
      <c r="G3827" s="364" t="s">
        <v>1185</v>
      </c>
      <c r="H3827" s="364" t="s">
        <v>1217</v>
      </c>
    </row>
    <row r="3828" ht="15.75" customHeight="1">
      <c r="A3828" s="364" t="s">
        <v>83</v>
      </c>
      <c r="B3828" s="364" t="s">
        <v>22</v>
      </c>
      <c r="C3828" s="365" t="s">
        <v>717</v>
      </c>
      <c r="D3828" s="364" t="s">
        <v>718</v>
      </c>
      <c r="E3828" s="366">
        <v>1.0</v>
      </c>
      <c r="F3828" s="367">
        <v>45764.41666666667</v>
      </c>
      <c r="G3828" s="364" t="s">
        <v>1185</v>
      </c>
      <c r="H3828" s="364" t="s">
        <v>1218</v>
      </c>
    </row>
    <row r="3829" ht="15.75" customHeight="1">
      <c r="A3829" s="364" t="s">
        <v>83</v>
      </c>
      <c r="B3829" s="364" t="s">
        <v>22</v>
      </c>
      <c r="C3829" s="365" t="s">
        <v>717</v>
      </c>
      <c r="D3829" s="364" t="s">
        <v>718</v>
      </c>
      <c r="E3829" s="366">
        <v>2.0</v>
      </c>
      <c r="F3829" s="367">
        <v>45784.58333333333</v>
      </c>
      <c r="G3829" s="364" t="s">
        <v>1185</v>
      </c>
      <c r="H3829" s="364" t="s">
        <v>1218</v>
      </c>
    </row>
    <row r="3830" ht="15.75" customHeight="1">
      <c r="A3830" s="364" t="s">
        <v>83</v>
      </c>
      <c r="B3830" s="364" t="s">
        <v>22</v>
      </c>
      <c r="C3830" s="365" t="s">
        <v>717</v>
      </c>
      <c r="D3830" s="364" t="s">
        <v>718</v>
      </c>
      <c r="E3830" s="366">
        <v>3.0</v>
      </c>
      <c r="F3830" s="367">
        <v>45804.375</v>
      </c>
      <c r="G3830" s="364" t="s">
        <v>1185</v>
      </c>
      <c r="H3830" s="364" t="s">
        <v>1218</v>
      </c>
    </row>
    <row r="3831" ht="15.75" customHeight="1">
      <c r="A3831" s="364" t="s">
        <v>83</v>
      </c>
      <c r="B3831" s="364" t="s">
        <v>22</v>
      </c>
      <c r="C3831" s="365" t="s">
        <v>717</v>
      </c>
      <c r="D3831" s="364" t="s">
        <v>718</v>
      </c>
      <c r="E3831" s="366">
        <v>4.0</v>
      </c>
      <c r="F3831" s="367">
        <v>45805.41666666667</v>
      </c>
      <c r="G3831" s="364" t="s">
        <v>1185</v>
      </c>
      <c r="H3831" s="364" t="s">
        <v>1218</v>
      </c>
    </row>
    <row r="3832" ht="15.75" customHeight="1">
      <c r="A3832" s="364" t="s">
        <v>83</v>
      </c>
      <c r="B3832" s="364" t="s">
        <v>22</v>
      </c>
      <c r="C3832" s="365" t="s">
        <v>717</v>
      </c>
      <c r="D3832" s="364" t="s">
        <v>718</v>
      </c>
      <c r="E3832" s="366">
        <v>5.0</v>
      </c>
      <c r="F3832" s="367">
        <v>45812.45833333333</v>
      </c>
      <c r="G3832" s="364" t="s">
        <v>1185</v>
      </c>
      <c r="H3832" s="364" t="s">
        <v>1218</v>
      </c>
    </row>
    <row r="3833" ht="15.75" customHeight="1">
      <c r="A3833" s="364" t="s">
        <v>83</v>
      </c>
      <c r="B3833" s="364" t="s">
        <v>22</v>
      </c>
      <c r="C3833" s="365" t="s">
        <v>717</v>
      </c>
      <c r="D3833" s="364" t="s">
        <v>718</v>
      </c>
      <c r="E3833" s="366">
        <v>6.0</v>
      </c>
      <c r="F3833" s="367">
        <v>45819.45833333333</v>
      </c>
      <c r="G3833" s="364" t="s">
        <v>1185</v>
      </c>
      <c r="H3833" s="364" t="s">
        <v>1218</v>
      </c>
    </row>
    <row r="3834" ht="15.75" customHeight="1">
      <c r="A3834" s="364" t="s">
        <v>83</v>
      </c>
      <c r="B3834" s="364" t="s">
        <v>22</v>
      </c>
      <c r="C3834" s="365" t="s">
        <v>717</v>
      </c>
      <c r="D3834" s="364" t="s">
        <v>718</v>
      </c>
      <c r="E3834" s="366">
        <v>7.0</v>
      </c>
      <c r="F3834" s="367">
        <v>45827.41666666667</v>
      </c>
      <c r="G3834" s="364" t="s">
        <v>1185</v>
      </c>
      <c r="H3834" s="364" t="s">
        <v>1218</v>
      </c>
    </row>
    <row r="3835" ht="15.75" customHeight="1">
      <c r="A3835" s="364" t="s">
        <v>83</v>
      </c>
      <c r="B3835" s="364" t="s">
        <v>22</v>
      </c>
      <c r="C3835" s="365" t="s">
        <v>717</v>
      </c>
      <c r="D3835" s="364" t="s">
        <v>718</v>
      </c>
      <c r="E3835" s="366">
        <v>8.0</v>
      </c>
      <c r="F3835" s="367">
        <v>45833.375</v>
      </c>
      <c r="G3835" s="364" t="s">
        <v>1185</v>
      </c>
      <c r="H3835" s="364" t="s">
        <v>1218</v>
      </c>
    </row>
    <row r="3836" ht="15.75" customHeight="1">
      <c r="A3836" s="364" t="s">
        <v>83</v>
      </c>
      <c r="B3836" s="364" t="s">
        <v>22</v>
      </c>
      <c r="C3836" s="365" t="s">
        <v>717</v>
      </c>
      <c r="D3836" s="364" t="s">
        <v>718</v>
      </c>
      <c r="E3836" s="366">
        <v>9.0</v>
      </c>
      <c r="F3836" s="367">
        <v>45840.41666666667</v>
      </c>
      <c r="G3836" s="364" t="s">
        <v>1185</v>
      </c>
      <c r="H3836" s="364" t="s">
        <v>1218</v>
      </c>
    </row>
    <row r="3837" ht="15.75" customHeight="1">
      <c r="A3837" s="364" t="s">
        <v>83</v>
      </c>
      <c r="B3837" s="364" t="s">
        <v>22</v>
      </c>
      <c r="C3837" s="365" t="s">
        <v>717</v>
      </c>
      <c r="D3837" s="364" t="s">
        <v>718</v>
      </c>
      <c r="E3837" s="366">
        <v>10.0</v>
      </c>
      <c r="F3837" s="367">
        <v>45861.54166666667</v>
      </c>
      <c r="G3837" s="364" t="s">
        <v>1185</v>
      </c>
      <c r="H3837" s="364" t="s">
        <v>1218</v>
      </c>
    </row>
    <row r="3838" ht="15.75" customHeight="1">
      <c r="A3838" s="364" t="s">
        <v>83</v>
      </c>
      <c r="B3838" s="364" t="s">
        <v>22</v>
      </c>
      <c r="C3838" s="365" t="s">
        <v>185</v>
      </c>
      <c r="D3838" s="364" t="s">
        <v>186</v>
      </c>
      <c r="E3838" s="366">
        <v>1.0</v>
      </c>
      <c r="F3838" s="367">
        <v>45764.41666666667</v>
      </c>
      <c r="G3838" s="364" t="s">
        <v>1185</v>
      </c>
      <c r="H3838" s="364" t="s">
        <v>1218</v>
      </c>
    </row>
    <row r="3839" ht="15.75" customHeight="1">
      <c r="A3839" s="364" t="s">
        <v>83</v>
      </c>
      <c r="B3839" s="364" t="s">
        <v>22</v>
      </c>
      <c r="C3839" s="365" t="s">
        <v>185</v>
      </c>
      <c r="D3839" s="364" t="s">
        <v>186</v>
      </c>
      <c r="E3839" s="366">
        <v>2.0</v>
      </c>
      <c r="F3839" s="367">
        <v>45784.58333333333</v>
      </c>
      <c r="G3839" s="364" t="s">
        <v>1185</v>
      </c>
      <c r="H3839" s="364" t="s">
        <v>1218</v>
      </c>
    </row>
    <row r="3840" ht="15.75" customHeight="1">
      <c r="A3840" s="364" t="s">
        <v>83</v>
      </c>
      <c r="B3840" s="364" t="s">
        <v>22</v>
      </c>
      <c r="C3840" s="365" t="s">
        <v>185</v>
      </c>
      <c r="D3840" s="364" t="s">
        <v>186</v>
      </c>
      <c r="E3840" s="366">
        <v>3.0</v>
      </c>
      <c r="F3840" s="367">
        <v>45804.375</v>
      </c>
      <c r="G3840" s="364" t="s">
        <v>1185</v>
      </c>
      <c r="H3840" s="364" t="s">
        <v>1218</v>
      </c>
    </row>
    <row r="3841" ht="15.75" customHeight="1">
      <c r="A3841" s="364" t="s">
        <v>83</v>
      </c>
      <c r="B3841" s="364" t="s">
        <v>22</v>
      </c>
      <c r="C3841" s="365" t="s">
        <v>185</v>
      </c>
      <c r="D3841" s="364" t="s">
        <v>186</v>
      </c>
      <c r="E3841" s="366">
        <v>4.0</v>
      </c>
      <c r="F3841" s="367">
        <v>45805.41666666667</v>
      </c>
      <c r="G3841" s="364" t="s">
        <v>1185</v>
      </c>
      <c r="H3841" s="364" t="s">
        <v>1218</v>
      </c>
    </row>
    <row r="3842" ht="15.75" customHeight="1">
      <c r="A3842" s="364" t="s">
        <v>83</v>
      </c>
      <c r="B3842" s="364" t="s">
        <v>22</v>
      </c>
      <c r="C3842" s="365" t="s">
        <v>185</v>
      </c>
      <c r="D3842" s="364" t="s">
        <v>186</v>
      </c>
      <c r="E3842" s="366">
        <v>5.0</v>
      </c>
      <c r="F3842" s="367">
        <v>45812.45833333333</v>
      </c>
      <c r="G3842" s="364" t="s">
        <v>1185</v>
      </c>
      <c r="H3842" s="364" t="s">
        <v>1218</v>
      </c>
    </row>
    <row r="3843" ht="15.75" customHeight="1">
      <c r="A3843" s="364" t="s">
        <v>83</v>
      </c>
      <c r="B3843" s="364" t="s">
        <v>22</v>
      </c>
      <c r="C3843" s="365" t="s">
        <v>185</v>
      </c>
      <c r="D3843" s="364" t="s">
        <v>186</v>
      </c>
      <c r="E3843" s="366">
        <v>6.0</v>
      </c>
      <c r="F3843" s="367">
        <v>45819.45833333333</v>
      </c>
      <c r="G3843" s="364" t="s">
        <v>1185</v>
      </c>
      <c r="H3843" s="364" t="s">
        <v>1218</v>
      </c>
    </row>
    <row r="3844" ht="15.75" customHeight="1">
      <c r="A3844" s="364" t="s">
        <v>83</v>
      </c>
      <c r="B3844" s="364" t="s">
        <v>22</v>
      </c>
      <c r="C3844" s="365" t="s">
        <v>185</v>
      </c>
      <c r="D3844" s="364" t="s">
        <v>186</v>
      </c>
      <c r="E3844" s="366">
        <v>7.0</v>
      </c>
      <c r="F3844" s="367">
        <v>45827.41666666667</v>
      </c>
      <c r="G3844" s="364" t="s">
        <v>1185</v>
      </c>
      <c r="H3844" s="364" t="s">
        <v>1218</v>
      </c>
    </row>
    <row r="3845" ht="15.75" customHeight="1">
      <c r="A3845" s="364" t="s">
        <v>83</v>
      </c>
      <c r="B3845" s="364" t="s">
        <v>22</v>
      </c>
      <c r="C3845" s="365" t="s">
        <v>185</v>
      </c>
      <c r="D3845" s="364" t="s">
        <v>186</v>
      </c>
      <c r="E3845" s="366">
        <v>8.0</v>
      </c>
      <c r="F3845" s="367">
        <v>45833.375</v>
      </c>
      <c r="G3845" s="364" t="s">
        <v>1185</v>
      </c>
      <c r="H3845" s="364" t="s">
        <v>1218</v>
      </c>
    </row>
    <row r="3846" ht="15.75" customHeight="1">
      <c r="A3846" s="364" t="s">
        <v>83</v>
      </c>
      <c r="B3846" s="364" t="s">
        <v>22</v>
      </c>
      <c r="C3846" s="365" t="s">
        <v>185</v>
      </c>
      <c r="D3846" s="364" t="s">
        <v>186</v>
      </c>
      <c r="E3846" s="366">
        <v>9.0</v>
      </c>
      <c r="F3846" s="367">
        <v>45840.41666666667</v>
      </c>
      <c r="G3846" s="364" t="s">
        <v>1185</v>
      </c>
      <c r="H3846" s="364" t="s">
        <v>1218</v>
      </c>
    </row>
    <row r="3847" ht="15.75" customHeight="1">
      <c r="A3847" s="364" t="s">
        <v>83</v>
      </c>
      <c r="B3847" s="364" t="s">
        <v>22</v>
      </c>
      <c r="C3847" s="365" t="s">
        <v>185</v>
      </c>
      <c r="D3847" s="364" t="s">
        <v>186</v>
      </c>
      <c r="E3847" s="366">
        <v>10.0</v>
      </c>
      <c r="F3847" s="367">
        <v>45861.54166666667</v>
      </c>
      <c r="G3847" s="364" t="s">
        <v>1185</v>
      </c>
      <c r="H3847" s="364" t="s">
        <v>1218</v>
      </c>
    </row>
    <row r="3848" ht="15.75" customHeight="1">
      <c r="A3848" s="364" t="s">
        <v>83</v>
      </c>
      <c r="B3848" s="364" t="s">
        <v>22</v>
      </c>
      <c r="C3848" s="365" t="s">
        <v>200</v>
      </c>
      <c r="D3848" s="364" t="s">
        <v>201</v>
      </c>
      <c r="E3848" s="366">
        <v>1.0</v>
      </c>
      <c r="F3848" s="367">
        <v>45764.41666666667</v>
      </c>
      <c r="G3848" s="364" t="s">
        <v>1185</v>
      </c>
      <c r="H3848" s="364" t="s">
        <v>1218</v>
      </c>
    </row>
    <row r="3849" ht="15.75" customHeight="1">
      <c r="A3849" s="364" t="s">
        <v>83</v>
      </c>
      <c r="B3849" s="364" t="s">
        <v>22</v>
      </c>
      <c r="C3849" s="365" t="s">
        <v>200</v>
      </c>
      <c r="D3849" s="364" t="s">
        <v>201</v>
      </c>
      <c r="E3849" s="366">
        <v>2.0</v>
      </c>
      <c r="F3849" s="367">
        <v>45784.58333333333</v>
      </c>
      <c r="G3849" s="364" t="s">
        <v>1185</v>
      </c>
      <c r="H3849" s="364" t="s">
        <v>1218</v>
      </c>
    </row>
    <row r="3850" ht="15.75" customHeight="1">
      <c r="A3850" s="364" t="s">
        <v>83</v>
      </c>
      <c r="B3850" s="364" t="s">
        <v>22</v>
      </c>
      <c r="C3850" s="365" t="s">
        <v>200</v>
      </c>
      <c r="D3850" s="364" t="s">
        <v>201</v>
      </c>
      <c r="E3850" s="366">
        <v>3.0</v>
      </c>
      <c r="F3850" s="367">
        <v>45804.375</v>
      </c>
      <c r="G3850" s="364" t="s">
        <v>1185</v>
      </c>
      <c r="H3850" s="364" t="s">
        <v>1218</v>
      </c>
    </row>
    <row r="3851" ht="15.75" customHeight="1">
      <c r="A3851" s="364" t="s">
        <v>83</v>
      </c>
      <c r="B3851" s="364" t="s">
        <v>22</v>
      </c>
      <c r="C3851" s="365" t="s">
        <v>200</v>
      </c>
      <c r="D3851" s="364" t="s">
        <v>201</v>
      </c>
      <c r="E3851" s="366">
        <v>4.0</v>
      </c>
      <c r="F3851" s="367">
        <v>45805.41666666667</v>
      </c>
      <c r="G3851" s="364" t="s">
        <v>1185</v>
      </c>
      <c r="H3851" s="364" t="s">
        <v>1218</v>
      </c>
    </row>
    <row r="3852" ht="15.75" customHeight="1">
      <c r="A3852" s="364" t="s">
        <v>83</v>
      </c>
      <c r="B3852" s="364" t="s">
        <v>22</v>
      </c>
      <c r="C3852" s="365" t="s">
        <v>200</v>
      </c>
      <c r="D3852" s="364" t="s">
        <v>201</v>
      </c>
      <c r="E3852" s="366">
        <v>5.0</v>
      </c>
      <c r="F3852" s="367">
        <v>45812.45833333333</v>
      </c>
      <c r="G3852" s="364" t="s">
        <v>1185</v>
      </c>
      <c r="H3852" s="364" t="s">
        <v>1218</v>
      </c>
    </row>
    <row r="3853" ht="15.75" customHeight="1">
      <c r="A3853" s="364" t="s">
        <v>83</v>
      </c>
      <c r="B3853" s="364" t="s">
        <v>22</v>
      </c>
      <c r="C3853" s="365" t="s">
        <v>200</v>
      </c>
      <c r="D3853" s="364" t="s">
        <v>201</v>
      </c>
      <c r="E3853" s="366">
        <v>6.0</v>
      </c>
      <c r="F3853" s="367">
        <v>45819.45833333333</v>
      </c>
      <c r="G3853" s="364" t="s">
        <v>1185</v>
      </c>
      <c r="H3853" s="364" t="s">
        <v>1218</v>
      </c>
    </row>
    <row r="3854" ht="15.75" customHeight="1">
      <c r="A3854" s="364" t="s">
        <v>83</v>
      </c>
      <c r="B3854" s="364" t="s">
        <v>22</v>
      </c>
      <c r="C3854" s="365" t="s">
        <v>200</v>
      </c>
      <c r="D3854" s="364" t="s">
        <v>201</v>
      </c>
      <c r="E3854" s="366">
        <v>7.0</v>
      </c>
      <c r="F3854" s="367">
        <v>45827.41666666667</v>
      </c>
      <c r="G3854" s="364" t="s">
        <v>1185</v>
      </c>
      <c r="H3854" s="364" t="s">
        <v>1218</v>
      </c>
    </row>
    <row r="3855" ht="15.75" customHeight="1">
      <c r="A3855" s="364" t="s">
        <v>83</v>
      </c>
      <c r="B3855" s="364" t="s">
        <v>22</v>
      </c>
      <c r="C3855" s="365" t="s">
        <v>200</v>
      </c>
      <c r="D3855" s="364" t="s">
        <v>201</v>
      </c>
      <c r="E3855" s="366">
        <v>8.0</v>
      </c>
      <c r="F3855" s="367">
        <v>45833.375</v>
      </c>
      <c r="G3855" s="364" t="s">
        <v>1185</v>
      </c>
      <c r="H3855" s="364" t="s">
        <v>1218</v>
      </c>
    </row>
    <row r="3856" ht="15.75" customHeight="1">
      <c r="A3856" s="364" t="s">
        <v>83</v>
      </c>
      <c r="B3856" s="364" t="s">
        <v>22</v>
      </c>
      <c r="C3856" s="365" t="s">
        <v>200</v>
      </c>
      <c r="D3856" s="364" t="s">
        <v>201</v>
      </c>
      <c r="E3856" s="366">
        <v>9.0</v>
      </c>
      <c r="F3856" s="367">
        <v>45840.41666666667</v>
      </c>
      <c r="G3856" s="364" t="s">
        <v>1185</v>
      </c>
      <c r="H3856" s="364" t="s">
        <v>1218</v>
      </c>
    </row>
    <row r="3857" ht="15.75" customHeight="1">
      <c r="A3857" s="364" t="s">
        <v>83</v>
      </c>
      <c r="B3857" s="364" t="s">
        <v>22</v>
      </c>
      <c r="C3857" s="365" t="s">
        <v>200</v>
      </c>
      <c r="D3857" s="364" t="s">
        <v>201</v>
      </c>
      <c r="E3857" s="366">
        <v>10.0</v>
      </c>
      <c r="F3857" s="367">
        <v>45861.54166666667</v>
      </c>
      <c r="G3857" s="364" t="s">
        <v>1185</v>
      </c>
      <c r="H3857" s="364" t="s">
        <v>1218</v>
      </c>
    </row>
    <row r="3858" ht="15.75" customHeight="1">
      <c r="A3858" s="364" t="s">
        <v>83</v>
      </c>
      <c r="B3858" s="364" t="s">
        <v>22</v>
      </c>
      <c r="C3858" s="365" t="s">
        <v>187</v>
      </c>
      <c r="D3858" s="364" t="s">
        <v>188</v>
      </c>
      <c r="E3858" s="366">
        <v>1.0</v>
      </c>
      <c r="F3858" s="367">
        <v>45764.41666666667</v>
      </c>
      <c r="G3858" s="364" t="s">
        <v>1185</v>
      </c>
      <c r="H3858" s="364" t="s">
        <v>1218</v>
      </c>
    </row>
    <row r="3859" ht="15.75" customHeight="1">
      <c r="A3859" s="364" t="s">
        <v>83</v>
      </c>
      <c r="B3859" s="364" t="s">
        <v>22</v>
      </c>
      <c r="C3859" s="365" t="s">
        <v>187</v>
      </c>
      <c r="D3859" s="364" t="s">
        <v>188</v>
      </c>
      <c r="E3859" s="366">
        <v>2.0</v>
      </c>
      <c r="F3859" s="367">
        <v>45784.58333333333</v>
      </c>
      <c r="G3859" s="364" t="s">
        <v>1185</v>
      </c>
      <c r="H3859" s="364" t="s">
        <v>1218</v>
      </c>
    </row>
    <row r="3860" ht="15.75" customHeight="1">
      <c r="A3860" s="364" t="s">
        <v>83</v>
      </c>
      <c r="B3860" s="364" t="s">
        <v>22</v>
      </c>
      <c r="C3860" s="365" t="s">
        <v>187</v>
      </c>
      <c r="D3860" s="364" t="s">
        <v>188</v>
      </c>
      <c r="E3860" s="366">
        <v>3.0</v>
      </c>
      <c r="F3860" s="367">
        <v>45804.375</v>
      </c>
      <c r="G3860" s="364" t="s">
        <v>1185</v>
      </c>
      <c r="H3860" s="364" t="s">
        <v>1218</v>
      </c>
    </row>
    <row r="3861" ht="15.75" customHeight="1">
      <c r="A3861" s="364" t="s">
        <v>83</v>
      </c>
      <c r="B3861" s="364" t="s">
        <v>22</v>
      </c>
      <c r="C3861" s="365" t="s">
        <v>187</v>
      </c>
      <c r="D3861" s="364" t="s">
        <v>188</v>
      </c>
      <c r="E3861" s="366">
        <v>4.0</v>
      </c>
      <c r="F3861" s="367">
        <v>45805.41666666667</v>
      </c>
      <c r="G3861" s="364" t="s">
        <v>1185</v>
      </c>
      <c r="H3861" s="364" t="s">
        <v>1218</v>
      </c>
    </row>
    <row r="3862" ht="15.75" customHeight="1">
      <c r="A3862" s="364" t="s">
        <v>83</v>
      </c>
      <c r="B3862" s="364" t="s">
        <v>22</v>
      </c>
      <c r="C3862" s="365" t="s">
        <v>187</v>
      </c>
      <c r="D3862" s="364" t="s">
        <v>188</v>
      </c>
      <c r="E3862" s="366">
        <v>5.0</v>
      </c>
      <c r="F3862" s="367">
        <v>45812.45833333333</v>
      </c>
      <c r="G3862" s="364" t="s">
        <v>1187</v>
      </c>
      <c r="H3862" s="364" t="s">
        <v>1218</v>
      </c>
    </row>
    <row r="3863" ht="15.75" customHeight="1">
      <c r="A3863" s="364" t="s">
        <v>83</v>
      </c>
      <c r="B3863" s="364" t="s">
        <v>22</v>
      </c>
      <c r="C3863" s="365" t="s">
        <v>187</v>
      </c>
      <c r="D3863" s="364" t="s">
        <v>188</v>
      </c>
      <c r="E3863" s="366">
        <v>6.0</v>
      </c>
      <c r="F3863" s="367">
        <v>45819.45833333333</v>
      </c>
      <c r="G3863" s="364" t="s">
        <v>1185</v>
      </c>
      <c r="H3863" s="364" t="s">
        <v>1218</v>
      </c>
    </row>
    <row r="3864" ht="15.75" customHeight="1">
      <c r="A3864" s="364" t="s">
        <v>83</v>
      </c>
      <c r="B3864" s="364" t="s">
        <v>22</v>
      </c>
      <c r="C3864" s="365" t="s">
        <v>187</v>
      </c>
      <c r="D3864" s="364" t="s">
        <v>188</v>
      </c>
      <c r="E3864" s="366">
        <v>7.0</v>
      </c>
      <c r="F3864" s="367">
        <v>45827.41666666667</v>
      </c>
      <c r="G3864" s="364" t="s">
        <v>1185</v>
      </c>
      <c r="H3864" s="364" t="s">
        <v>1218</v>
      </c>
    </row>
    <row r="3865" ht="15.75" customHeight="1">
      <c r="A3865" s="364" t="s">
        <v>83</v>
      </c>
      <c r="B3865" s="364" t="s">
        <v>22</v>
      </c>
      <c r="C3865" s="365" t="s">
        <v>187</v>
      </c>
      <c r="D3865" s="364" t="s">
        <v>188</v>
      </c>
      <c r="E3865" s="366">
        <v>8.0</v>
      </c>
      <c r="F3865" s="367">
        <v>45833.375</v>
      </c>
      <c r="G3865" s="364" t="s">
        <v>1185</v>
      </c>
      <c r="H3865" s="364" t="s">
        <v>1218</v>
      </c>
    </row>
    <row r="3866" ht="15.75" customHeight="1">
      <c r="A3866" s="364" t="s">
        <v>83</v>
      </c>
      <c r="B3866" s="364" t="s">
        <v>22</v>
      </c>
      <c r="C3866" s="365" t="s">
        <v>187</v>
      </c>
      <c r="D3866" s="364" t="s">
        <v>188</v>
      </c>
      <c r="E3866" s="366">
        <v>9.0</v>
      </c>
      <c r="F3866" s="367">
        <v>45840.41666666667</v>
      </c>
      <c r="G3866" s="364" t="s">
        <v>1185</v>
      </c>
      <c r="H3866" s="364" t="s">
        <v>1218</v>
      </c>
    </row>
    <row r="3867" ht="15.75" customHeight="1">
      <c r="A3867" s="364" t="s">
        <v>83</v>
      </c>
      <c r="B3867" s="364" t="s">
        <v>22</v>
      </c>
      <c r="C3867" s="365" t="s">
        <v>187</v>
      </c>
      <c r="D3867" s="364" t="s">
        <v>188</v>
      </c>
      <c r="E3867" s="366">
        <v>10.0</v>
      </c>
      <c r="F3867" s="367">
        <v>45861.54166666667</v>
      </c>
      <c r="G3867" s="364" t="s">
        <v>1185</v>
      </c>
      <c r="H3867" s="364" t="s">
        <v>1218</v>
      </c>
    </row>
    <row r="3868" ht="15.75" customHeight="1">
      <c r="A3868" s="364" t="s">
        <v>83</v>
      </c>
      <c r="B3868" s="364" t="s">
        <v>22</v>
      </c>
      <c r="C3868" s="365" t="s">
        <v>194</v>
      </c>
      <c r="D3868" s="364" t="s">
        <v>195</v>
      </c>
      <c r="E3868" s="366">
        <v>1.0</v>
      </c>
      <c r="F3868" s="367">
        <v>45764.41666666667</v>
      </c>
      <c r="G3868" s="364" t="s">
        <v>1185</v>
      </c>
      <c r="H3868" s="364" t="s">
        <v>1218</v>
      </c>
    </row>
    <row r="3869" ht="15.75" customHeight="1">
      <c r="A3869" s="364" t="s">
        <v>83</v>
      </c>
      <c r="B3869" s="364" t="s">
        <v>22</v>
      </c>
      <c r="C3869" s="365" t="s">
        <v>194</v>
      </c>
      <c r="D3869" s="364" t="s">
        <v>195</v>
      </c>
      <c r="E3869" s="366">
        <v>2.0</v>
      </c>
      <c r="F3869" s="367">
        <v>45784.58333333333</v>
      </c>
      <c r="G3869" s="364" t="s">
        <v>1187</v>
      </c>
      <c r="H3869" s="364" t="s">
        <v>1218</v>
      </c>
    </row>
    <row r="3870" ht="15.75" customHeight="1">
      <c r="A3870" s="364" t="s">
        <v>83</v>
      </c>
      <c r="B3870" s="364" t="s">
        <v>22</v>
      </c>
      <c r="C3870" s="365" t="s">
        <v>194</v>
      </c>
      <c r="D3870" s="364" t="s">
        <v>195</v>
      </c>
      <c r="E3870" s="366">
        <v>3.0</v>
      </c>
      <c r="F3870" s="367">
        <v>45804.375</v>
      </c>
      <c r="G3870" s="364" t="s">
        <v>1185</v>
      </c>
      <c r="H3870" s="364" t="s">
        <v>1218</v>
      </c>
    </row>
    <row r="3871" ht="15.75" customHeight="1">
      <c r="A3871" s="364" t="s">
        <v>83</v>
      </c>
      <c r="B3871" s="364" t="s">
        <v>22</v>
      </c>
      <c r="C3871" s="365" t="s">
        <v>194</v>
      </c>
      <c r="D3871" s="364" t="s">
        <v>195</v>
      </c>
      <c r="E3871" s="366">
        <v>4.0</v>
      </c>
      <c r="F3871" s="367">
        <v>45805.41666666667</v>
      </c>
      <c r="G3871" s="364" t="s">
        <v>1185</v>
      </c>
      <c r="H3871" s="364" t="s">
        <v>1218</v>
      </c>
    </row>
    <row r="3872" ht="15.75" customHeight="1">
      <c r="A3872" s="364" t="s">
        <v>83</v>
      </c>
      <c r="B3872" s="364" t="s">
        <v>22</v>
      </c>
      <c r="C3872" s="365" t="s">
        <v>194</v>
      </c>
      <c r="D3872" s="364" t="s">
        <v>195</v>
      </c>
      <c r="E3872" s="366">
        <v>5.0</v>
      </c>
      <c r="F3872" s="367">
        <v>45812.45833333333</v>
      </c>
      <c r="G3872" s="364" t="s">
        <v>1185</v>
      </c>
      <c r="H3872" s="364" t="s">
        <v>1218</v>
      </c>
    </row>
    <row r="3873" ht="15.75" customHeight="1">
      <c r="A3873" s="364" t="s">
        <v>83</v>
      </c>
      <c r="B3873" s="364" t="s">
        <v>22</v>
      </c>
      <c r="C3873" s="365" t="s">
        <v>194</v>
      </c>
      <c r="D3873" s="364" t="s">
        <v>195</v>
      </c>
      <c r="E3873" s="366">
        <v>6.0</v>
      </c>
      <c r="F3873" s="367">
        <v>45819.45833333333</v>
      </c>
      <c r="G3873" s="364" t="s">
        <v>1185</v>
      </c>
      <c r="H3873" s="364" t="s">
        <v>1218</v>
      </c>
    </row>
    <row r="3874" ht="15.75" customHeight="1">
      <c r="A3874" s="364" t="s">
        <v>83</v>
      </c>
      <c r="B3874" s="364" t="s">
        <v>22</v>
      </c>
      <c r="C3874" s="365" t="s">
        <v>194</v>
      </c>
      <c r="D3874" s="364" t="s">
        <v>195</v>
      </c>
      <c r="E3874" s="366">
        <v>7.0</v>
      </c>
      <c r="F3874" s="367">
        <v>45827.41666666667</v>
      </c>
      <c r="G3874" s="364" t="s">
        <v>1185</v>
      </c>
      <c r="H3874" s="364" t="s">
        <v>1218</v>
      </c>
    </row>
    <row r="3875" ht="15.75" customHeight="1">
      <c r="A3875" s="364" t="s">
        <v>83</v>
      </c>
      <c r="B3875" s="364" t="s">
        <v>22</v>
      </c>
      <c r="C3875" s="365" t="s">
        <v>194</v>
      </c>
      <c r="D3875" s="364" t="s">
        <v>195</v>
      </c>
      <c r="E3875" s="366">
        <v>8.0</v>
      </c>
      <c r="F3875" s="367">
        <v>45833.375</v>
      </c>
      <c r="G3875" s="364" t="s">
        <v>1185</v>
      </c>
      <c r="H3875" s="364" t="s">
        <v>1218</v>
      </c>
    </row>
    <row r="3876" ht="15.75" customHeight="1">
      <c r="A3876" s="364" t="s">
        <v>83</v>
      </c>
      <c r="B3876" s="364" t="s">
        <v>22</v>
      </c>
      <c r="C3876" s="365" t="s">
        <v>194</v>
      </c>
      <c r="D3876" s="364" t="s">
        <v>195</v>
      </c>
      <c r="E3876" s="366">
        <v>9.0</v>
      </c>
      <c r="F3876" s="367">
        <v>45840.41666666667</v>
      </c>
      <c r="G3876" s="364" t="s">
        <v>1185</v>
      </c>
      <c r="H3876" s="364" t="s">
        <v>1218</v>
      </c>
    </row>
    <row r="3877" ht="15.75" customHeight="1">
      <c r="A3877" s="364" t="s">
        <v>83</v>
      </c>
      <c r="B3877" s="364" t="s">
        <v>22</v>
      </c>
      <c r="C3877" s="365" t="s">
        <v>194</v>
      </c>
      <c r="D3877" s="364" t="s">
        <v>195</v>
      </c>
      <c r="E3877" s="366">
        <v>10.0</v>
      </c>
      <c r="F3877" s="367">
        <v>45861.54166666667</v>
      </c>
      <c r="G3877" s="364" t="s">
        <v>1185</v>
      </c>
      <c r="H3877" s="364" t="s">
        <v>1218</v>
      </c>
    </row>
    <row r="3878" ht="15.75" customHeight="1">
      <c r="A3878" s="364" t="s">
        <v>83</v>
      </c>
      <c r="B3878" s="364" t="s">
        <v>22</v>
      </c>
      <c r="C3878" s="365" t="s">
        <v>196</v>
      </c>
      <c r="D3878" s="364" t="s">
        <v>197</v>
      </c>
      <c r="E3878" s="366">
        <v>1.0</v>
      </c>
      <c r="F3878" s="367">
        <v>45764.41666666667</v>
      </c>
      <c r="G3878" s="364" t="s">
        <v>1185</v>
      </c>
      <c r="H3878" s="364" t="s">
        <v>1218</v>
      </c>
    </row>
    <row r="3879" ht="15.75" customHeight="1">
      <c r="A3879" s="364" t="s">
        <v>83</v>
      </c>
      <c r="B3879" s="364" t="s">
        <v>22</v>
      </c>
      <c r="C3879" s="365" t="s">
        <v>196</v>
      </c>
      <c r="D3879" s="364" t="s">
        <v>197</v>
      </c>
      <c r="E3879" s="366">
        <v>2.0</v>
      </c>
      <c r="F3879" s="367">
        <v>45784.58333333333</v>
      </c>
      <c r="G3879" s="364" t="s">
        <v>1185</v>
      </c>
      <c r="H3879" s="364" t="s">
        <v>1218</v>
      </c>
    </row>
    <row r="3880" ht="15.75" customHeight="1">
      <c r="A3880" s="364" t="s">
        <v>83</v>
      </c>
      <c r="B3880" s="364" t="s">
        <v>22</v>
      </c>
      <c r="C3880" s="365" t="s">
        <v>196</v>
      </c>
      <c r="D3880" s="364" t="s">
        <v>197</v>
      </c>
      <c r="E3880" s="366">
        <v>3.0</v>
      </c>
      <c r="F3880" s="367">
        <v>45804.375</v>
      </c>
      <c r="G3880" s="364" t="s">
        <v>1185</v>
      </c>
      <c r="H3880" s="364" t="s">
        <v>1218</v>
      </c>
    </row>
    <row r="3881" ht="15.75" customHeight="1">
      <c r="A3881" s="364" t="s">
        <v>83</v>
      </c>
      <c r="B3881" s="364" t="s">
        <v>22</v>
      </c>
      <c r="C3881" s="365" t="s">
        <v>196</v>
      </c>
      <c r="D3881" s="364" t="s">
        <v>197</v>
      </c>
      <c r="E3881" s="366">
        <v>4.0</v>
      </c>
      <c r="F3881" s="367">
        <v>45805.41666666667</v>
      </c>
      <c r="G3881" s="364" t="s">
        <v>1185</v>
      </c>
      <c r="H3881" s="364" t="s">
        <v>1218</v>
      </c>
    </row>
    <row r="3882" ht="15.75" customHeight="1">
      <c r="A3882" s="364" t="s">
        <v>83</v>
      </c>
      <c r="B3882" s="364" t="s">
        <v>22</v>
      </c>
      <c r="C3882" s="365" t="s">
        <v>196</v>
      </c>
      <c r="D3882" s="364" t="s">
        <v>197</v>
      </c>
      <c r="E3882" s="366">
        <v>5.0</v>
      </c>
      <c r="F3882" s="367">
        <v>45812.45833333333</v>
      </c>
      <c r="G3882" s="364" t="s">
        <v>1187</v>
      </c>
      <c r="H3882" s="364" t="s">
        <v>1218</v>
      </c>
    </row>
    <row r="3883" ht="15.75" customHeight="1">
      <c r="A3883" s="364" t="s">
        <v>83</v>
      </c>
      <c r="B3883" s="364" t="s">
        <v>22</v>
      </c>
      <c r="C3883" s="365" t="s">
        <v>196</v>
      </c>
      <c r="D3883" s="364" t="s">
        <v>197</v>
      </c>
      <c r="E3883" s="366">
        <v>6.0</v>
      </c>
      <c r="F3883" s="367">
        <v>45819.45833333333</v>
      </c>
      <c r="G3883" s="364" t="s">
        <v>1185</v>
      </c>
      <c r="H3883" s="364" t="s">
        <v>1218</v>
      </c>
    </row>
    <row r="3884" ht="15.75" customHeight="1">
      <c r="A3884" s="364" t="s">
        <v>83</v>
      </c>
      <c r="B3884" s="364" t="s">
        <v>22</v>
      </c>
      <c r="C3884" s="365" t="s">
        <v>196</v>
      </c>
      <c r="D3884" s="364" t="s">
        <v>197</v>
      </c>
      <c r="E3884" s="366">
        <v>7.0</v>
      </c>
      <c r="F3884" s="367">
        <v>45827.41666666667</v>
      </c>
      <c r="G3884" s="364" t="s">
        <v>1185</v>
      </c>
      <c r="H3884" s="364" t="s">
        <v>1218</v>
      </c>
    </row>
    <row r="3885" ht="15.75" customHeight="1">
      <c r="A3885" s="364" t="s">
        <v>83</v>
      </c>
      <c r="B3885" s="364" t="s">
        <v>22</v>
      </c>
      <c r="C3885" s="365" t="s">
        <v>196</v>
      </c>
      <c r="D3885" s="364" t="s">
        <v>197</v>
      </c>
      <c r="E3885" s="366">
        <v>8.0</v>
      </c>
      <c r="F3885" s="367">
        <v>45833.375</v>
      </c>
      <c r="G3885" s="364" t="s">
        <v>1185</v>
      </c>
      <c r="H3885" s="364" t="s">
        <v>1218</v>
      </c>
    </row>
    <row r="3886" ht="15.75" customHeight="1">
      <c r="A3886" s="364" t="s">
        <v>83</v>
      </c>
      <c r="B3886" s="364" t="s">
        <v>22</v>
      </c>
      <c r="C3886" s="365" t="s">
        <v>196</v>
      </c>
      <c r="D3886" s="364" t="s">
        <v>197</v>
      </c>
      <c r="E3886" s="366">
        <v>9.0</v>
      </c>
      <c r="F3886" s="367">
        <v>45840.41666666667</v>
      </c>
      <c r="G3886" s="364" t="s">
        <v>1185</v>
      </c>
      <c r="H3886" s="364" t="s">
        <v>1218</v>
      </c>
    </row>
    <row r="3887" ht="15.75" customHeight="1">
      <c r="A3887" s="364" t="s">
        <v>83</v>
      </c>
      <c r="B3887" s="364" t="s">
        <v>22</v>
      </c>
      <c r="C3887" s="365" t="s">
        <v>196</v>
      </c>
      <c r="D3887" s="364" t="s">
        <v>197</v>
      </c>
      <c r="E3887" s="366">
        <v>10.0</v>
      </c>
      <c r="F3887" s="367">
        <v>45861.54166666667</v>
      </c>
      <c r="G3887" s="364" t="s">
        <v>1185</v>
      </c>
      <c r="H3887" s="364" t="s">
        <v>1218</v>
      </c>
    </row>
    <row r="3888" ht="15.75" customHeight="1">
      <c r="A3888" s="364" t="s">
        <v>83</v>
      </c>
      <c r="B3888" s="364" t="s">
        <v>22</v>
      </c>
      <c r="C3888" s="365" t="s">
        <v>198</v>
      </c>
      <c r="D3888" s="364" t="s">
        <v>199</v>
      </c>
      <c r="E3888" s="366">
        <v>1.0</v>
      </c>
      <c r="F3888" s="367">
        <v>45764.41666666667</v>
      </c>
      <c r="G3888" s="364" t="s">
        <v>1185</v>
      </c>
      <c r="H3888" s="364" t="s">
        <v>1218</v>
      </c>
    </row>
    <row r="3889" ht="15.75" customHeight="1">
      <c r="A3889" s="364" t="s">
        <v>83</v>
      </c>
      <c r="B3889" s="364" t="s">
        <v>22</v>
      </c>
      <c r="C3889" s="365" t="s">
        <v>198</v>
      </c>
      <c r="D3889" s="364" t="s">
        <v>199</v>
      </c>
      <c r="E3889" s="366">
        <v>2.0</v>
      </c>
      <c r="F3889" s="367">
        <v>45784.58333333333</v>
      </c>
      <c r="G3889" s="364" t="s">
        <v>1187</v>
      </c>
      <c r="H3889" s="364" t="s">
        <v>1218</v>
      </c>
    </row>
    <row r="3890" ht="15.75" customHeight="1">
      <c r="A3890" s="364" t="s">
        <v>83</v>
      </c>
      <c r="B3890" s="364" t="s">
        <v>22</v>
      </c>
      <c r="C3890" s="365" t="s">
        <v>198</v>
      </c>
      <c r="D3890" s="364" t="s">
        <v>199</v>
      </c>
      <c r="E3890" s="366">
        <v>3.0</v>
      </c>
      <c r="F3890" s="367">
        <v>45804.375</v>
      </c>
      <c r="G3890" s="364" t="s">
        <v>1185</v>
      </c>
      <c r="H3890" s="364" t="s">
        <v>1218</v>
      </c>
    </row>
    <row r="3891" ht="15.75" customHeight="1">
      <c r="A3891" s="364" t="s">
        <v>83</v>
      </c>
      <c r="B3891" s="364" t="s">
        <v>22</v>
      </c>
      <c r="C3891" s="365" t="s">
        <v>198</v>
      </c>
      <c r="D3891" s="364" t="s">
        <v>199</v>
      </c>
      <c r="E3891" s="366">
        <v>4.0</v>
      </c>
      <c r="F3891" s="367">
        <v>45805.41666666667</v>
      </c>
      <c r="G3891" s="364" t="s">
        <v>1185</v>
      </c>
      <c r="H3891" s="364" t="s">
        <v>1218</v>
      </c>
    </row>
    <row r="3892" ht="15.75" customHeight="1">
      <c r="A3892" s="364" t="s">
        <v>83</v>
      </c>
      <c r="B3892" s="364" t="s">
        <v>22</v>
      </c>
      <c r="C3892" s="365" t="s">
        <v>198</v>
      </c>
      <c r="D3892" s="364" t="s">
        <v>199</v>
      </c>
      <c r="E3892" s="366">
        <v>5.0</v>
      </c>
      <c r="F3892" s="367">
        <v>45812.45833333333</v>
      </c>
      <c r="G3892" s="364" t="s">
        <v>1185</v>
      </c>
      <c r="H3892" s="364" t="s">
        <v>1218</v>
      </c>
    </row>
    <row r="3893" ht="15.75" customHeight="1">
      <c r="A3893" s="364" t="s">
        <v>83</v>
      </c>
      <c r="B3893" s="364" t="s">
        <v>22</v>
      </c>
      <c r="C3893" s="365" t="s">
        <v>198</v>
      </c>
      <c r="D3893" s="364" t="s">
        <v>199</v>
      </c>
      <c r="E3893" s="366">
        <v>6.0</v>
      </c>
      <c r="F3893" s="367">
        <v>45819.45833333333</v>
      </c>
      <c r="G3893" s="364" t="s">
        <v>1185</v>
      </c>
      <c r="H3893" s="364" t="s">
        <v>1218</v>
      </c>
    </row>
    <row r="3894" ht="15.75" customHeight="1">
      <c r="A3894" s="364" t="s">
        <v>83</v>
      </c>
      <c r="B3894" s="364" t="s">
        <v>22</v>
      </c>
      <c r="C3894" s="365" t="s">
        <v>198</v>
      </c>
      <c r="D3894" s="364" t="s">
        <v>199</v>
      </c>
      <c r="E3894" s="366">
        <v>7.0</v>
      </c>
      <c r="F3894" s="367">
        <v>45827.41666666667</v>
      </c>
      <c r="G3894" s="364" t="s">
        <v>1185</v>
      </c>
      <c r="H3894" s="364" t="s">
        <v>1218</v>
      </c>
    </row>
    <row r="3895" ht="15.75" customHeight="1">
      <c r="A3895" s="364" t="s">
        <v>83</v>
      </c>
      <c r="B3895" s="364" t="s">
        <v>22</v>
      </c>
      <c r="C3895" s="365" t="s">
        <v>198</v>
      </c>
      <c r="D3895" s="364" t="s">
        <v>199</v>
      </c>
      <c r="E3895" s="366">
        <v>8.0</v>
      </c>
      <c r="F3895" s="367">
        <v>45833.375</v>
      </c>
      <c r="G3895" s="364" t="s">
        <v>1185</v>
      </c>
      <c r="H3895" s="364" t="s">
        <v>1218</v>
      </c>
    </row>
    <row r="3896" ht="15.75" customHeight="1">
      <c r="A3896" s="364" t="s">
        <v>83</v>
      </c>
      <c r="B3896" s="364" t="s">
        <v>22</v>
      </c>
      <c r="C3896" s="365" t="s">
        <v>198</v>
      </c>
      <c r="D3896" s="364" t="s">
        <v>199</v>
      </c>
      <c r="E3896" s="366">
        <v>9.0</v>
      </c>
      <c r="F3896" s="367">
        <v>45840.41666666667</v>
      </c>
      <c r="G3896" s="364" t="s">
        <v>1185</v>
      </c>
      <c r="H3896" s="364" t="s">
        <v>1218</v>
      </c>
    </row>
    <row r="3897" ht="15.75" customHeight="1">
      <c r="A3897" s="364" t="s">
        <v>83</v>
      </c>
      <c r="B3897" s="364" t="s">
        <v>22</v>
      </c>
      <c r="C3897" s="365" t="s">
        <v>198</v>
      </c>
      <c r="D3897" s="364" t="s">
        <v>199</v>
      </c>
      <c r="E3897" s="366">
        <v>10.0</v>
      </c>
      <c r="F3897" s="367">
        <v>45861.54166666667</v>
      </c>
      <c r="G3897" s="364" t="s">
        <v>1185</v>
      </c>
      <c r="H3897" s="364" t="s">
        <v>1218</v>
      </c>
    </row>
    <row r="3898" ht="15.75" customHeight="1">
      <c r="A3898" s="364" t="s">
        <v>83</v>
      </c>
      <c r="B3898" s="364" t="s">
        <v>23</v>
      </c>
      <c r="C3898" s="365" t="s">
        <v>717</v>
      </c>
      <c r="D3898" s="364" t="s">
        <v>718</v>
      </c>
      <c r="E3898" s="366">
        <v>1.0</v>
      </c>
      <c r="F3898" s="367">
        <v>45882.41666666667</v>
      </c>
      <c r="G3898" s="364" t="s">
        <v>1185</v>
      </c>
      <c r="H3898" s="364" t="s">
        <v>1218</v>
      </c>
    </row>
    <row r="3899" ht="15.75" customHeight="1">
      <c r="A3899" s="364" t="s">
        <v>83</v>
      </c>
      <c r="B3899" s="364" t="s">
        <v>23</v>
      </c>
      <c r="C3899" s="365" t="s">
        <v>717</v>
      </c>
      <c r="D3899" s="364" t="s">
        <v>718</v>
      </c>
      <c r="E3899" s="366">
        <v>2.0</v>
      </c>
      <c r="F3899" s="367">
        <v>45889.41666666667</v>
      </c>
      <c r="G3899" s="364" t="s">
        <v>1185</v>
      </c>
      <c r="H3899" s="364" t="s">
        <v>1218</v>
      </c>
    </row>
    <row r="3900" ht="15.75" customHeight="1">
      <c r="A3900" s="364" t="s">
        <v>83</v>
      </c>
      <c r="B3900" s="364" t="s">
        <v>23</v>
      </c>
      <c r="C3900" s="365" t="s">
        <v>717</v>
      </c>
      <c r="D3900" s="364" t="s">
        <v>718</v>
      </c>
      <c r="E3900" s="366">
        <v>3.0</v>
      </c>
      <c r="F3900" s="367">
        <v>45896.41666666667</v>
      </c>
      <c r="G3900" s="364" t="s">
        <v>1185</v>
      </c>
      <c r="H3900" s="364" t="s">
        <v>1218</v>
      </c>
    </row>
    <row r="3901" ht="15.75" customHeight="1">
      <c r="A3901" s="364" t="s">
        <v>83</v>
      </c>
      <c r="B3901" s="364" t="s">
        <v>23</v>
      </c>
      <c r="C3901" s="365" t="s">
        <v>717</v>
      </c>
      <c r="D3901" s="364" t="s">
        <v>718</v>
      </c>
      <c r="E3901" s="366">
        <v>4.0</v>
      </c>
      <c r="F3901" s="367">
        <v>45903.41666666667</v>
      </c>
      <c r="G3901" s="364" t="s">
        <v>1185</v>
      </c>
      <c r="H3901" s="364" t="s">
        <v>1218</v>
      </c>
    </row>
    <row r="3902" ht="15.75" customHeight="1">
      <c r="A3902" s="364" t="s">
        <v>83</v>
      </c>
      <c r="B3902" s="364" t="s">
        <v>23</v>
      </c>
      <c r="C3902" s="365" t="s">
        <v>717</v>
      </c>
      <c r="D3902" s="364" t="s">
        <v>718</v>
      </c>
      <c r="E3902" s="366">
        <v>5.0</v>
      </c>
      <c r="F3902" s="367">
        <v>45910.41666666667</v>
      </c>
      <c r="G3902" s="364" t="s">
        <v>1185</v>
      </c>
      <c r="H3902" s="364" t="s">
        <v>1218</v>
      </c>
    </row>
    <row r="3903" ht="15.75" customHeight="1">
      <c r="A3903" s="364" t="s">
        <v>83</v>
      </c>
      <c r="B3903" s="364" t="s">
        <v>23</v>
      </c>
      <c r="C3903" s="365" t="s">
        <v>717</v>
      </c>
      <c r="D3903" s="364" t="s">
        <v>718</v>
      </c>
      <c r="E3903" s="366">
        <v>6.0</v>
      </c>
      <c r="F3903" s="367">
        <v>45924.45833333333</v>
      </c>
      <c r="G3903" s="364" t="s">
        <v>1185</v>
      </c>
      <c r="H3903" s="364" t="s">
        <v>1218</v>
      </c>
    </row>
    <row r="3904" ht="15.75" customHeight="1">
      <c r="A3904" s="364" t="s">
        <v>83</v>
      </c>
      <c r="B3904" s="364" t="s">
        <v>23</v>
      </c>
      <c r="C3904" s="365" t="s">
        <v>717</v>
      </c>
      <c r="D3904" s="364" t="s">
        <v>718</v>
      </c>
      <c r="E3904" s="366">
        <v>7.0</v>
      </c>
      <c r="F3904" s="367">
        <v>45931.41666666667</v>
      </c>
      <c r="G3904" s="364" t="s">
        <v>1185</v>
      </c>
      <c r="H3904" s="364" t="s">
        <v>1218</v>
      </c>
    </row>
    <row r="3905" ht="15.75" customHeight="1">
      <c r="A3905" s="364" t="s">
        <v>83</v>
      </c>
      <c r="B3905" s="364" t="s">
        <v>23</v>
      </c>
      <c r="C3905" s="365" t="s">
        <v>717</v>
      </c>
      <c r="D3905" s="364" t="s">
        <v>718</v>
      </c>
      <c r="E3905" s="366">
        <v>8.0</v>
      </c>
      <c r="F3905" s="367">
        <v>45938.45833333333</v>
      </c>
      <c r="G3905" s="364" t="s">
        <v>1185</v>
      </c>
      <c r="H3905" s="364" t="s">
        <v>1218</v>
      </c>
    </row>
    <row r="3906" ht="15.75" customHeight="1">
      <c r="A3906" s="364" t="s">
        <v>83</v>
      </c>
      <c r="B3906" s="364" t="s">
        <v>23</v>
      </c>
      <c r="C3906" s="365" t="s">
        <v>717</v>
      </c>
      <c r="D3906" s="364" t="s">
        <v>718</v>
      </c>
      <c r="E3906" s="366">
        <v>9.0</v>
      </c>
      <c r="F3906" s="367">
        <v>45980.41666666667</v>
      </c>
      <c r="G3906" s="364" t="s">
        <v>1185</v>
      </c>
      <c r="H3906" s="364" t="s">
        <v>1218</v>
      </c>
    </row>
    <row r="3907" ht="15.75" customHeight="1">
      <c r="A3907" s="364" t="s">
        <v>83</v>
      </c>
      <c r="B3907" s="364" t="s">
        <v>23</v>
      </c>
      <c r="C3907" s="365" t="s">
        <v>717</v>
      </c>
      <c r="D3907" s="364" t="s">
        <v>718</v>
      </c>
      <c r="E3907" s="366">
        <v>10.0</v>
      </c>
      <c r="F3907" s="367">
        <v>45987.41666666667</v>
      </c>
      <c r="G3907" s="364" t="s">
        <v>1185</v>
      </c>
      <c r="H3907" s="364" t="s">
        <v>1218</v>
      </c>
    </row>
    <row r="3908" ht="15.75" customHeight="1">
      <c r="A3908" s="364" t="s">
        <v>83</v>
      </c>
      <c r="B3908" s="364" t="s">
        <v>23</v>
      </c>
      <c r="C3908" s="365" t="s">
        <v>717</v>
      </c>
      <c r="D3908" s="364" t="s">
        <v>718</v>
      </c>
      <c r="E3908" s="366">
        <v>11.0</v>
      </c>
      <c r="F3908" s="367">
        <v>45994.58333333333</v>
      </c>
      <c r="G3908" s="364" t="s">
        <v>1185</v>
      </c>
      <c r="H3908" s="364" t="s">
        <v>1218</v>
      </c>
    </row>
    <row r="3909" ht="15.75" customHeight="1">
      <c r="A3909" s="364" t="s">
        <v>83</v>
      </c>
      <c r="B3909" s="364" t="s">
        <v>23</v>
      </c>
      <c r="C3909" s="365" t="s">
        <v>717</v>
      </c>
      <c r="D3909" s="364" t="s">
        <v>718</v>
      </c>
      <c r="E3909" s="366">
        <v>12.0</v>
      </c>
      <c r="F3909" s="367">
        <v>46008.41666666667</v>
      </c>
      <c r="G3909" s="364" t="s">
        <v>1185</v>
      </c>
      <c r="H3909" s="364" t="s">
        <v>1218</v>
      </c>
    </row>
    <row r="3910" ht="15.75" customHeight="1">
      <c r="A3910" s="364" t="s">
        <v>83</v>
      </c>
      <c r="B3910" s="364" t="s">
        <v>23</v>
      </c>
      <c r="C3910" s="365" t="s">
        <v>717</v>
      </c>
      <c r="D3910" s="364" t="s">
        <v>718</v>
      </c>
      <c r="E3910" s="366">
        <v>13.0</v>
      </c>
      <c r="F3910" s="367">
        <v>46036.41666666667</v>
      </c>
      <c r="G3910" s="364" t="s">
        <v>1185</v>
      </c>
      <c r="H3910" s="364" t="s">
        <v>1218</v>
      </c>
    </row>
    <row r="3911" ht="15.75" customHeight="1">
      <c r="A3911" s="364" t="s">
        <v>83</v>
      </c>
      <c r="B3911" s="364" t="s">
        <v>23</v>
      </c>
      <c r="C3911" s="365" t="s">
        <v>717</v>
      </c>
      <c r="D3911" s="364" t="s">
        <v>718</v>
      </c>
      <c r="E3911" s="366">
        <v>14.0</v>
      </c>
      <c r="F3911" s="367">
        <v>46043.45833333333</v>
      </c>
      <c r="G3911" s="364" t="s">
        <v>1185</v>
      </c>
      <c r="H3911" s="364" t="s">
        <v>1218</v>
      </c>
    </row>
    <row r="3912" ht="15.75" customHeight="1">
      <c r="A3912" s="364" t="s">
        <v>83</v>
      </c>
      <c r="B3912" s="364" t="s">
        <v>23</v>
      </c>
      <c r="C3912" s="365" t="s">
        <v>717</v>
      </c>
      <c r="D3912" s="364" t="s">
        <v>718</v>
      </c>
      <c r="E3912" s="366">
        <v>15.0</v>
      </c>
      <c r="F3912" s="367">
        <v>46050.41666666667</v>
      </c>
      <c r="G3912" s="364" t="s">
        <v>1185</v>
      </c>
      <c r="H3912" s="364" t="s">
        <v>1218</v>
      </c>
    </row>
    <row r="3913" ht="15.75" customHeight="1">
      <c r="A3913" s="364" t="s">
        <v>83</v>
      </c>
      <c r="B3913" s="364" t="s">
        <v>23</v>
      </c>
      <c r="C3913" s="365" t="s">
        <v>717</v>
      </c>
      <c r="D3913" s="364" t="s">
        <v>718</v>
      </c>
      <c r="E3913" s="366">
        <v>16.0</v>
      </c>
      <c r="F3913" s="367">
        <v>46106.54166666667</v>
      </c>
      <c r="G3913" s="364" t="s">
        <v>1185</v>
      </c>
      <c r="H3913" s="364" t="s">
        <v>1218</v>
      </c>
    </row>
    <row r="3914" ht="15.75" customHeight="1">
      <c r="A3914" s="364" t="s">
        <v>83</v>
      </c>
      <c r="B3914" s="364" t="s">
        <v>23</v>
      </c>
      <c r="C3914" s="365" t="s">
        <v>183</v>
      </c>
      <c r="D3914" s="364" t="s">
        <v>184</v>
      </c>
      <c r="E3914" s="366">
        <v>1.0</v>
      </c>
      <c r="F3914" s="367">
        <v>45882.58333333333</v>
      </c>
      <c r="G3914" s="364" t="s">
        <v>1185</v>
      </c>
      <c r="H3914" s="364" t="s">
        <v>1218</v>
      </c>
    </row>
    <row r="3915" ht="15.75" customHeight="1">
      <c r="A3915" s="364" t="s">
        <v>83</v>
      </c>
      <c r="B3915" s="364" t="s">
        <v>23</v>
      </c>
      <c r="C3915" s="365" t="s">
        <v>183</v>
      </c>
      <c r="D3915" s="364" t="s">
        <v>184</v>
      </c>
      <c r="E3915" s="366">
        <v>2.0</v>
      </c>
      <c r="F3915" s="367">
        <v>45889.54166666667</v>
      </c>
      <c r="G3915" s="364" t="s">
        <v>1185</v>
      </c>
      <c r="H3915" s="364" t="s">
        <v>1218</v>
      </c>
    </row>
    <row r="3916" ht="15.75" customHeight="1">
      <c r="A3916" s="364" t="s">
        <v>83</v>
      </c>
      <c r="B3916" s="364" t="s">
        <v>23</v>
      </c>
      <c r="C3916" s="365" t="s">
        <v>183</v>
      </c>
      <c r="D3916" s="364" t="s">
        <v>184</v>
      </c>
      <c r="E3916" s="366">
        <v>3.0</v>
      </c>
      <c r="F3916" s="367">
        <v>45895.54166666667</v>
      </c>
      <c r="G3916" s="364" t="s">
        <v>1185</v>
      </c>
      <c r="H3916" s="364" t="s">
        <v>1218</v>
      </c>
    </row>
    <row r="3917" ht="15.75" customHeight="1">
      <c r="A3917" s="364" t="s">
        <v>83</v>
      </c>
      <c r="B3917" s="364" t="s">
        <v>23</v>
      </c>
      <c r="C3917" s="365" t="s">
        <v>183</v>
      </c>
      <c r="D3917" s="364" t="s">
        <v>184</v>
      </c>
      <c r="E3917" s="366">
        <v>4.0</v>
      </c>
      <c r="F3917" s="367">
        <v>45903.54166666667</v>
      </c>
      <c r="G3917" s="364" t="s">
        <v>1185</v>
      </c>
      <c r="H3917" s="364" t="s">
        <v>1218</v>
      </c>
    </row>
    <row r="3918" ht="15.75" customHeight="1">
      <c r="A3918" s="364" t="s">
        <v>83</v>
      </c>
      <c r="B3918" s="364" t="s">
        <v>23</v>
      </c>
      <c r="C3918" s="365" t="s">
        <v>183</v>
      </c>
      <c r="D3918" s="364" t="s">
        <v>184</v>
      </c>
      <c r="E3918" s="366">
        <v>5.0</v>
      </c>
      <c r="F3918" s="367">
        <v>45910.58333333333</v>
      </c>
      <c r="G3918" s="364" t="s">
        <v>1185</v>
      </c>
      <c r="H3918" s="364" t="s">
        <v>1218</v>
      </c>
    </row>
    <row r="3919" ht="15.75" customHeight="1">
      <c r="A3919" s="364" t="s">
        <v>83</v>
      </c>
      <c r="B3919" s="364" t="s">
        <v>23</v>
      </c>
      <c r="C3919" s="365" t="s">
        <v>183</v>
      </c>
      <c r="D3919" s="364" t="s">
        <v>184</v>
      </c>
      <c r="E3919" s="366">
        <v>6.0</v>
      </c>
      <c r="F3919" s="367">
        <v>45924.45833333333</v>
      </c>
      <c r="G3919" s="364" t="s">
        <v>1187</v>
      </c>
      <c r="H3919" s="364" t="s">
        <v>1218</v>
      </c>
    </row>
    <row r="3920" ht="15.75" customHeight="1">
      <c r="A3920" s="364" t="s">
        <v>83</v>
      </c>
      <c r="B3920" s="364" t="s">
        <v>23</v>
      </c>
      <c r="C3920" s="365" t="s">
        <v>183</v>
      </c>
      <c r="D3920" s="364" t="s">
        <v>184</v>
      </c>
      <c r="E3920" s="366">
        <v>7.0</v>
      </c>
      <c r="F3920" s="367">
        <v>45931.41666666667</v>
      </c>
      <c r="G3920" s="364" t="s">
        <v>1185</v>
      </c>
      <c r="H3920" s="364" t="s">
        <v>1218</v>
      </c>
    </row>
    <row r="3921" ht="15.75" customHeight="1">
      <c r="A3921" s="364" t="s">
        <v>83</v>
      </c>
      <c r="B3921" s="364" t="s">
        <v>23</v>
      </c>
      <c r="C3921" s="365" t="s">
        <v>183</v>
      </c>
      <c r="D3921" s="364" t="s">
        <v>184</v>
      </c>
      <c r="E3921" s="366">
        <v>8.0</v>
      </c>
      <c r="F3921" s="367">
        <v>45938.45833333333</v>
      </c>
      <c r="G3921" s="364" t="s">
        <v>1185</v>
      </c>
      <c r="H3921" s="364" t="s">
        <v>1218</v>
      </c>
    </row>
    <row r="3922" ht="15.75" customHeight="1">
      <c r="A3922" s="364" t="s">
        <v>83</v>
      </c>
      <c r="B3922" s="364" t="s">
        <v>23</v>
      </c>
      <c r="C3922" s="365" t="s">
        <v>183</v>
      </c>
      <c r="D3922" s="364" t="s">
        <v>184</v>
      </c>
      <c r="E3922" s="366">
        <v>9.0</v>
      </c>
      <c r="F3922" s="367">
        <v>45980.41666666667</v>
      </c>
      <c r="G3922" s="364" t="s">
        <v>1185</v>
      </c>
      <c r="H3922" s="364" t="s">
        <v>1218</v>
      </c>
    </row>
    <row r="3923" ht="15.75" customHeight="1">
      <c r="A3923" s="364" t="s">
        <v>83</v>
      </c>
      <c r="B3923" s="364" t="s">
        <v>23</v>
      </c>
      <c r="C3923" s="365" t="s">
        <v>183</v>
      </c>
      <c r="D3923" s="364" t="s">
        <v>184</v>
      </c>
      <c r="E3923" s="366">
        <v>10.0</v>
      </c>
      <c r="F3923" s="367">
        <v>45987.41666666667</v>
      </c>
      <c r="G3923" s="364" t="s">
        <v>1185</v>
      </c>
      <c r="H3923" s="364" t="s">
        <v>1218</v>
      </c>
    </row>
    <row r="3924" ht="15.75" customHeight="1">
      <c r="A3924" s="364" t="s">
        <v>83</v>
      </c>
      <c r="B3924" s="364" t="s">
        <v>23</v>
      </c>
      <c r="C3924" s="365" t="s">
        <v>183</v>
      </c>
      <c r="D3924" s="364" t="s">
        <v>184</v>
      </c>
      <c r="E3924" s="366">
        <v>11.0</v>
      </c>
      <c r="F3924" s="367">
        <v>45994.58333333333</v>
      </c>
      <c r="G3924" s="364" t="s">
        <v>1185</v>
      </c>
      <c r="H3924" s="364" t="s">
        <v>1218</v>
      </c>
    </row>
    <row r="3925" ht="15.75" customHeight="1">
      <c r="A3925" s="364" t="s">
        <v>83</v>
      </c>
      <c r="B3925" s="364" t="s">
        <v>23</v>
      </c>
      <c r="C3925" s="365" t="s">
        <v>183</v>
      </c>
      <c r="D3925" s="364" t="s">
        <v>184</v>
      </c>
      <c r="E3925" s="366">
        <v>12.0</v>
      </c>
      <c r="F3925" s="367">
        <v>46008.41666666667</v>
      </c>
      <c r="G3925" s="364" t="s">
        <v>1185</v>
      </c>
      <c r="H3925" s="364" t="s">
        <v>1218</v>
      </c>
    </row>
    <row r="3926" ht="15.75" customHeight="1">
      <c r="A3926" s="364" t="s">
        <v>83</v>
      </c>
      <c r="B3926" s="364" t="s">
        <v>23</v>
      </c>
      <c r="C3926" s="365" t="s">
        <v>183</v>
      </c>
      <c r="D3926" s="364" t="s">
        <v>184</v>
      </c>
      <c r="E3926" s="366">
        <v>13.0</v>
      </c>
      <c r="F3926" s="367">
        <v>46036.41666666667</v>
      </c>
      <c r="G3926" s="364" t="s">
        <v>1185</v>
      </c>
      <c r="H3926" s="364" t="s">
        <v>1218</v>
      </c>
    </row>
    <row r="3927" ht="15.75" customHeight="1">
      <c r="A3927" s="364" t="s">
        <v>83</v>
      </c>
      <c r="B3927" s="364" t="s">
        <v>23</v>
      </c>
      <c r="C3927" s="365" t="s">
        <v>183</v>
      </c>
      <c r="D3927" s="364" t="s">
        <v>184</v>
      </c>
      <c r="E3927" s="366">
        <v>14.0</v>
      </c>
      <c r="F3927" s="367">
        <v>46043.45833333333</v>
      </c>
      <c r="G3927" s="364" t="s">
        <v>1185</v>
      </c>
      <c r="H3927" s="364" t="s">
        <v>1218</v>
      </c>
    </row>
    <row r="3928" ht="15.75" customHeight="1">
      <c r="A3928" s="364" t="s">
        <v>83</v>
      </c>
      <c r="B3928" s="364" t="s">
        <v>23</v>
      </c>
      <c r="C3928" s="365" t="s">
        <v>183</v>
      </c>
      <c r="D3928" s="364" t="s">
        <v>184</v>
      </c>
      <c r="E3928" s="366">
        <v>15.0</v>
      </c>
      <c r="F3928" s="367">
        <v>46050.41666666667</v>
      </c>
      <c r="G3928" s="364" t="s">
        <v>1185</v>
      </c>
      <c r="H3928" s="364" t="s">
        <v>1218</v>
      </c>
    </row>
    <row r="3929" ht="15.75" customHeight="1">
      <c r="A3929" s="364" t="s">
        <v>83</v>
      </c>
      <c r="B3929" s="364" t="s">
        <v>23</v>
      </c>
      <c r="C3929" s="365" t="s">
        <v>183</v>
      </c>
      <c r="D3929" s="364" t="s">
        <v>184</v>
      </c>
      <c r="E3929" s="366">
        <v>16.0</v>
      </c>
      <c r="F3929" s="367">
        <v>46106.54166666667</v>
      </c>
      <c r="G3929" s="364" t="s">
        <v>1185</v>
      </c>
      <c r="H3929" s="364" t="s">
        <v>1218</v>
      </c>
    </row>
    <row r="3930" ht="15.75" customHeight="1">
      <c r="A3930" s="364" t="s">
        <v>83</v>
      </c>
      <c r="B3930" s="364" t="s">
        <v>23</v>
      </c>
      <c r="C3930" s="365" t="s">
        <v>185</v>
      </c>
      <c r="D3930" s="364" t="s">
        <v>186</v>
      </c>
      <c r="E3930" s="366">
        <v>1.0</v>
      </c>
      <c r="F3930" s="367">
        <v>45882.41666666667</v>
      </c>
      <c r="G3930" s="364" t="s">
        <v>1187</v>
      </c>
      <c r="H3930" s="364" t="s">
        <v>1218</v>
      </c>
    </row>
    <row r="3931" ht="15.75" customHeight="1">
      <c r="A3931" s="364" t="s">
        <v>83</v>
      </c>
      <c r="B3931" s="364" t="s">
        <v>23</v>
      </c>
      <c r="C3931" s="365" t="s">
        <v>185</v>
      </c>
      <c r="D3931" s="364" t="s">
        <v>186</v>
      </c>
      <c r="E3931" s="366">
        <v>2.0</v>
      </c>
      <c r="F3931" s="367">
        <v>45889.41666666667</v>
      </c>
      <c r="G3931" s="364" t="s">
        <v>1185</v>
      </c>
      <c r="H3931" s="364" t="s">
        <v>1218</v>
      </c>
    </row>
    <row r="3932" ht="15.75" customHeight="1">
      <c r="A3932" s="364" t="s">
        <v>83</v>
      </c>
      <c r="B3932" s="364" t="s">
        <v>23</v>
      </c>
      <c r="C3932" s="365" t="s">
        <v>185</v>
      </c>
      <c r="D3932" s="364" t="s">
        <v>186</v>
      </c>
      <c r="E3932" s="366">
        <v>3.0</v>
      </c>
      <c r="F3932" s="367">
        <v>45896.41666666667</v>
      </c>
      <c r="G3932" s="364" t="s">
        <v>1185</v>
      </c>
      <c r="H3932" s="364" t="s">
        <v>1218</v>
      </c>
    </row>
    <row r="3933" ht="15.75" customHeight="1">
      <c r="A3933" s="364" t="s">
        <v>83</v>
      </c>
      <c r="B3933" s="364" t="s">
        <v>23</v>
      </c>
      <c r="C3933" s="365" t="s">
        <v>185</v>
      </c>
      <c r="D3933" s="364" t="s">
        <v>186</v>
      </c>
      <c r="E3933" s="366">
        <v>4.0</v>
      </c>
      <c r="F3933" s="367">
        <v>45903.41666666667</v>
      </c>
      <c r="G3933" s="364" t="s">
        <v>1185</v>
      </c>
      <c r="H3933" s="364" t="s">
        <v>1218</v>
      </c>
    </row>
    <row r="3934" ht="15.75" customHeight="1">
      <c r="A3934" s="364" t="s">
        <v>83</v>
      </c>
      <c r="B3934" s="364" t="s">
        <v>23</v>
      </c>
      <c r="C3934" s="365" t="s">
        <v>185</v>
      </c>
      <c r="D3934" s="364" t="s">
        <v>186</v>
      </c>
      <c r="E3934" s="366">
        <v>5.0</v>
      </c>
      <c r="F3934" s="367">
        <v>45910.41666666667</v>
      </c>
      <c r="G3934" s="364" t="s">
        <v>1185</v>
      </c>
      <c r="H3934" s="364" t="s">
        <v>1218</v>
      </c>
    </row>
    <row r="3935" ht="15.75" customHeight="1">
      <c r="A3935" s="364" t="s">
        <v>83</v>
      </c>
      <c r="B3935" s="364" t="s">
        <v>23</v>
      </c>
      <c r="C3935" s="365" t="s">
        <v>185</v>
      </c>
      <c r="D3935" s="364" t="s">
        <v>186</v>
      </c>
      <c r="E3935" s="366">
        <v>6.0</v>
      </c>
      <c r="F3935" s="367">
        <v>45924.45833333333</v>
      </c>
      <c r="G3935" s="364" t="s">
        <v>1185</v>
      </c>
      <c r="H3935" s="364" t="s">
        <v>1218</v>
      </c>
    </row>
    <row r="3936" ht="15.75" customHeight="1">
      <c r="A3936" s="364" t="s">
        <v>83</v>
      </c>
      <c r="B3936" s="364" t="s">
        <v>23</v>
      </c>
      <c r="C3936" s="365" t="s">
        <v>185</v>
      </c>
      <c r="D3936" s="364" t="s">
        <v>186</v>
      </c>
      <c r="E3936" s="366">
        <v>7.0</v>
      </c>
      <c r="F3936" s="367">
        <v>45931.41666666667</v>
      </c>
      <c r="G3936" s="364" t="s">
        <v>1187</v>
      </c>
      <c r="H3936" s="364" t="s">
        <v>1218</v>
      </c>
    </row>
    <row r="3937" ht="15.75" customHeight="1">
      <c r="A3937" s="364" t="s">
        <v>83</v>
      </c>
      <c r="B3937" s="364" t="s">
        <v>23</v>
      </c>
      <c r="C3937" s="365" t="s">
        <v>185</v>
      </c>
      <c r="D3937" s="364" t="s">
        <v>186</v>
      </c>
      <c r="E3937" s="366">
        <v>8.0</v>
      </c>
      <c r="F3937" s="367">
        <v>45938.45833333333</v>
      </c>
      <c r="G3937" s="364" t="s">
        <v>1185</v>
      </c>
      <c r="H3937" s="364" t="s">
        <v>1218</v>
      </c>
    </row>
    <row r="3938" ht="15.75" customHeight="1">
      <c r="A3938" s="364" t="s">
        <v>83</v>
      </c>
      <c r="B3938" s="364" t="s">
        <v>23</v>
      </c>
      <c r="C3938" s="365" t="s">
        <v>185</v>
      </c>
      <c r="D3938" s="364" t="s">
        <v>186</v>
      </c>
      <c r="E3938" s="366">
        <v>9.0</v>
      </c>
      <c r="F3938" s="367">
        <v>45980.41666666667</v>
      </c>
      <c r="G3938" s="364" t="s">
        <v>1185</v>
      </c>
      <c r="H3938" s="364" t="s">
        <v>1218</v>
      </c>
    </row>
    <row r="3939" ht="15.75" customHeight="1">
      <c r="A3939" s="364" t="s">
        <v>83</v>
      </c>
      <c r="B3939" s="364" t="s">
        <v>23</v>
      </c>
      <c r="C3939" s="365" t="s">
        <v>185</v>
      </c>
      <c r="D3939" s="364" t="s">
        <v>186</v>
      </c>
      <c r="E3939" s="366">
        <v>10.0</v>
      </c>
      <c r="F3939" s="367">
        <v>45987.41666666667</v>
      </c>
      <c r="G3939" s="364" t="s">
        <v>1185</v>
      </c>
      <c r="H3939" s="364" t="s">
        <v>1218</v>
      </c>
    </row>
    <row r="3940" ht="15.75" customHeight="1">
      <c r="A3940" s="364" t="s">
        <v>83</v>
      </c>
      <c r="B3940" s="364" t="s">
        <v>23</v>
      </c>
      <c r="C3940" s="365" t="s">
        <v>185</v>
      </c>
      <c r="D3940" s="364" t="s">
        <v>186</v>
      </c>
      <c r="E3940" s="366">
        <v>11.0</v>
      </c>
      <c r="F3940" s="367">
        <v>45994.58333333333</v>
      </c>
      <c r="G3940" s="364" t="s">
        <v>1185</v>
      </c>
      <c r="H3940" s="364" t="s">
        <v>1218</v>
      </c>
    </row>
    <row r="3941" ht="15.75" customHeight="1">
      <c r="A3941" s="364" t="s">
        <v>83</v>
      </c>
      <c r="B3941" s="364" t="s">
        <v>23</v>
      </c>
      <c r="C3941" s="365" t="s">
        <v>185</v>
      </c>
      <c r="D3941" s="364" t="s">
        <v>186</v>
      </c>
      <c r="E3941" s="366">
        <v>12.0</v>
      </c>
      <c r="F3941" s="367">
        <v>46008.41666666667</v>
      </c>
      <c r="G3941" s="364" t="s">
        <v>1185</v>
      </c>
      <c r="H3941" s="364" t="s">
        <v>1218</v>
      </c>
    </row>
    <row r="3942" ht="15.75" customHeight="1">
      <c r="A3942" s="364" t="s">
        <v>83</v>
      </c>
      <c r="B3942" s="364" t="s">
        <v>23</v>
      </c>
      <c r="C3942" s="365" t="s">
        <v>185</v>
      </c>
      <c r="D3942" s="364" t="s">
        <v>186</v>
      </c>
      <c r="E3942" s="366">
        <v>13.0</v>
      </c>
      <c r="F3942" s="367">
        <v>46036.41666666667</v>
      </c>
      <c r="G3942" s="364" t="s">
        <v>1187</v>
      </c>
      <c r="H3942" s="364" t="s">
        <v>1218</v>
      </c>
    </row>
    <row r="3943" ht="15.75" customHeight="1">
      <c r="A3943" s="364" t="s">
        <v>83</v>
      </c>
      <c r="B3943" s="364" t="s">
        <v>23</v>
      </c>
      <c r="C3943" s="365" t="s">
        <v>185</v>
      </c>
      <c r="D3943" s="364" t="s">
        <v>186</v>
      </c>
      <c r="E3943" s="366">
        <v>14.0</v>
      </c>
      <c r="F3943" s="367">
        <v>46043.45833333333</v>
      </c>
      <c r="G3943" s="364" t="s">
        <v>1187</v>
      </c>
      <c r="H3943" s="364" t="s">
        <v>1218</v>
      </c>
    </row>
    <row r="3944" ht="15.75" customHeight="1">
      <c r="A3944" s="364" t="s">
        <v>83</v>
      </c>
      <c r="B3944" s="364" t="s">
        <v>23</v>
      </c>
      <c r="C3944" s="365" t="s">
        <v>185</v>
      </c>
      <c r="D3944" s="364" t="s">
        <v>186</v>
      </c>
      <c r="E3944" s="366">
        <v>15.0</v>
      </c>
      <c r="F3944" s="367">
        <v>46050.41666666667</v>
      </c>
      <c r="G3944" s="364" t="s">
        <v>1185</v>
      </c>
      <c r="H3944" s="364" t="s">
        <v>1218</v>
      </c>
    </row>
    <row r="3945" ht="15.75" customHeight="1">
      <c r="A3945" s="364" t="s">
        <v>83</v>
      </c>
      <c r="B3945" s="364" t="s">
        <v>23</v>
      </c>
      <c r="C3945" s="365" t="s">
        <v>185</v>
      </c>
      <c r="D3945" s="364" t="s">
        <v>186</v>
      </c>
      <c r="E3945" s="366">
        <v>16.0</v>
      </c>
      <c r="F3945" s="367">
        <v>46106.54166666667</v>
      </c>
      <c r="G3945" s="364" t="s">
        <v>1185</v>
      </c>
      <c r="H3945" s="364" t="s">
        <v>1218</v>
      </c>
    </row>
    <row r="3946" ht="15.75" customHeight="1">
      <c r="A3946" s="364" t="s">
        <v>83</v>
      </c>
      <c r="B3946" s="364" t="s">
        <v>23</v>
      </c>
      <c r="C3946" s="365" t="s">
        <v>200</v>
      </c>
      <c r="D3946" s="364" t="s">
        <v>201</v>
      </c>
      <c r="E3946" s="366">
        <v>1.0</v>
      </c>
      <c r="F3946" s="367">
        <v>45882.41666666667</v>
      </c>
      <c r="G3946" s="364" t="s">
        <v>1185</v>
      </c>
      <c r="H3946" s="364" t="s">
        <v>1218</v>
      </c>
    </row>
    <row r="3947" ht="15.75" customHeight="1">
      <c r="A3947" s="364" t="s">
        <v>83</v>
      </c>
      <c r="B3947" s="364" t="s">
        <v>23</v>
      </c>
      <c r="C3947" s="365" t="s">
        <v>200</v>
      </c>
      <c r="D3947" s="364" t="s">
        <v>201</v>
      </c>
      <c r="E3947" s="366">
        <v>2.0</v>
      </c>
      <c r="F3947" s="367">
        <v>45889.41666666667</v>
      </c>
      <c r="G3947" s="364" t="s">
        <v>1185</v>
      </c>
      <c r="H3947" s="364" t="s">
        <v>1218</v>
      </c>
    </row>
    <row r="3948" ht="15.75" customHeight="1">
      <c r="A3948" s="364" t="s">
        <v>83</v>
      </c>
      <c r="B3948" s="364" t="s">
        <v>23</v>
      </c>
      <c r="C3948" s="365" t="s">
        <v>200</v>
      </c>
      <c r="D3948" s="364" t="s">
        <v>201</v>
      </c>
      <c r="E3948" s="366">
        <v>3.0</v>
      </c>
      <c r="F3948" s="367">
        <v>45896.41666666667</v>
      </c>
      <c r="G3948" s="364" t="s">
        <v>1185</v>
      </c>
      <c r="H3948" s="364" t="s">
        <v>1218</v>
      </c>
    </row>
    <row r="3949" ht="15.75" customHeight="1">
      <c r="A3949" s="364" t="s">
        <v>83</v>
      </c>
      <c r="B3949" s="364" t="s">
        <v>23</v>
      </c>
      <c r="C3949" s="365" t="s">
        <v>200</v>
      </c>
      <c r="D3949" s="364" t="s">
        <v>201</v>
      </c>
      <c r="E3949" s="366">
        <v>4.0</v>
      </c>
      <c r="F3949" s="367">
        <v>45903.41666666667</v>
      </c>
      <c r="G3949" s="364" t="s">
        <v>1185</v>
      </c>
      <c r="H3949" s="364" t="s">
        <v>1218</v>
      </c>
    </row>
    <row r="3950" ht="15.75" customHeight="1">
      <c r="A3950" s="364" t="s">
        <v>83</v>
      </c>
      <c r="B3950" s="364" t="s">
        <v>23</v>
      </c>
      <c r="C3950" s="365" t="s">
        <v>200</v>
      </c>
      <c r="D3950" s="364" t="s">
        <v>201</v>
      </c>
      <c r="E3950" s="366">
        <v>5.0</v>
      </c>
      <c r="F3950" s="367">
        <v>45910.41666666667</v>
      </c>
      <c r="G3950" s="364" t="s">
        <v>1185</v>
      </c>
      <c r="H3950" s="364" t="s">
        <v>1218</v>
      </c>
    </row>
    <row r="3951" ht="15.75" customHeight="1">
      <c r="A3951" s="364" t="s">
        <v>83</v>
      </c>
      <c r="B3951" s="364" t="s">
        <v>23</v>
      </c>
      <c r="C3951" s="365" t="s">
        <v>200</v>
      </c>
      <c r="D3951" s="364" t="s">
        <v>201</v>
      </c>
      <c r="E3951" s="366">
        <v>6.0</v>
      </c>
      <c r="F3951" s="367">
        <v>45924.45833333333</v>
      </c>
      <c r="G3951" s="364" t="s">
        <v>1185</v>
      </c>
      <c r="H3951" s="364" t="s">
        <v>1218</v>
      </c>
    </row>
    <row r="3952" ht="15.75" customHeight="1">
      <c r="A3952" s="364" t="s">
        <v>83</v>
      </c>
      <c r="B3952" s="364" t="s">
        <v>23</v>
      </c>
      <c r="C3952" s="365" t="s">
        <v>200</v>
      </c>
      <c r="D3952" s="364" t="s">
        <v>201</v>
      </c>
      <c r="E3952" s="366">
        <v>7.0</v>
      </c>
      <c r="F3952" s="367">
        <v>45931.41666666667</v>
      </c>
      <c r="G3952" s="364" t="s">
        <v>1185</v>
      </c>
      <c r="H3952" s="364" t="s">
        <v>1218</v>
      </c>
    </row>
    <row r="3953" ht="15.75" customHeight="1">
      <c r="A3953" s="364" t="s">
        <v>83</v>
      </c>
      <c r="B3953" s="364" t="s">
        <v>23</v>
      </c>
      <c r="C3953" s="365" t="s">
        <v>200</v>
      </c>
      <c r="D3953" s="364" t="s">
        <v>201</v>
      </c>
      <c r="E3953" s="366">
        <v>8.0</v>
      </c>
      <c r="F3953" s="367">
        <v>45938.45833333333</v>
      </c>
      <c r="G3953" s="364" t="s">
        <v>1185</v>
      </c>
      <c r="H3953" s="364" t="s">
        <v>1218</v>
      </c>
    </row>
    <row r="3954" ht="15.75" customHeight="1">
      <c r="A3954" s="364" t="s">
        <v>83</v>
      </c>
      <c r="B3954" s="364" t="s">
        <v>23</v>
      </c>
      <c r="C3954" s="365" t="s">
        <v>200</v>
      </c>
      <c r="D3954" s="364" t="s">
        <v>201</v>
      </c>
      <c r="E3954" s="366">
        <v>9.0</v>
      </c>
      <c r="F3954" s="367">
        <v>45980.41666666667</v>
      </c>
      <c r="G3954" s="364" t="s">
        <v>1185</v>
      </c>
      <c r="H3954" s="364" t="s">
        <v>1218</v>
      </c>
    </row>
    <row r="3955" ht="15.75" customHeight="1">
      <c r="A3955" s="364" t="s">
        <v>83</v>
      </c>
      <c r="B3955" s="364" t="s">
        <v>23</v>
      </c>
      <c r="C3955" s="365" t="s">
        <v>200</v>
      </c>
      <c r="D3955" s="364" t="s">
        <v>201</v>
      </c>
      <c r="E3955" s="366">
        <v>10.0</v>
      </c>
      <c r="F3955" s="367">
        <v>45987.41666666667</v>
      </c>
      <c r="G3955" s="364" t="s">
        <v>1187</v>
      </c>
      <c r="H3955" s="364" t="s">
        <v>1218</v>
      </c>
    </row>
    <row r="3956" ht="15.75" customHeight="1">
      <c r="A3956" s="364" t="s">
        <v>83</v>
      </c>
      <c r="B3956" s="364" t="s">
        <v>23</v>
      </c>
      <c r="C3956" s="365" t="s">
        <v>200</v>
      </c>
      <c r="D3956" s="364" t="s">
        <v>201</v>
      </c>
      <c r="E3956" s="366">
        <v>11.0</v>
      </c>
      <c r="F3956" s="367">
        <v>45994.58333333333</v>
      </c>
      <c r="G3956" s="364" t="s">
        <v>1185</v>
      </c>
      <c r="H3956" s="364" t="s">
        <v>1218</v>
      </c>
    </row>
    <row r="3957" ht="15.75" customHeight="1">
      <c r="A3957" s="364" t="s">
        <v>83</v>
      </c>
      <c r="B3957" s="364" t="s">
        <v>23</v>
      </c>
      <c r="C3957" s="365" t="s">
        <v>200</v>
      </c>
      <c r="D3957" s="364" t="s">
        <v>201</v>
      </c>
      <c r="E3957" s="366">
        <v>12.0</v>
      </c>
      <c r="F3957" s="367">
        <v>46008.41666666667</v>
      </c>
      <c r="G3957" s="364" t="s">
        <v>1185</v>
      </c>
      <c r="H3957" s="364" t="s">
        <v>1218</v>
      </c>
    </row>
    <row r="3958" ht="15.75" customHeight="1">
      <c r="A3958" s="364" t="s">
        <v>83</v>
      </c>
      <c r="B3958" s="364" t="s">
        <v>23</v>
      </c>
      <c r="C3958" s="365" t="s">
        <v>200</v>
      </c>
      <c r="D3958" s="364" t="s">
        <v>201</v>
      </c>
      <c r="E3958" s="366">
        <v>13.0</v>
      </c>
      <c r="F3958" s="367">
        <v>46036.41666666667</v>
      </c>
      <c r="G3958" s="364" t="s">
        <v>1185</v>
      </c>
      <c r="H3958" s="364" t="s">
        <v>1218</v>
      </c>
    </row>
    <row r="3959" ht="15.75" customHeight="1">
      <c r="A3959" s="364" t="s">
        <v>83</v>
      </c>
      <c r="B3959" s="364" t="s">
        <v>23</v>
      </c>
      <c r="C3959" s="365" t="s">
        <v>200</v>
      </c>
      <c r="D3959" s="364" t="s">
        <v>201</v>
      </c>
      <c r="E3959" s="366">
        <v>14.0</v>
      </c>
      <c r="F3959" s="367">
        <v>46043.45833333333</v>
      </c>
      <c r="G3959" s="364" t="s">
        <v>1185</v>
      </c>
      <c r="H3959" s="364" t="s">
        <v>1218</v>
      </c>
    </row>
    <row r="3960" ht="15.75" customHeight="1">
      <c r="A3960" s="364" t="s">
        <v>83</v>
      </c>
      <c r="B3960" s="364" t="s">
        <v>23</v>
      </c>
      <c r="C3960" s="365" t="s">
        <v>200</v>
      </c>
      <c r="D3960" s="364" t="s">
        <v>201</v>
      </c>
      <c r="E3960" s="366">
        <v>15.0</v>
      </c>
      <c r="F3960" s="367">
        <v>46050.41666666667</v>
      </c>
      <c r="G3960" s="364" t="s">
        <v>1185</v>
      </c>
      <c r="H3960" s="364" t="s">
        <v>1218</v>
      </c>
    </row>
    <row r="3961" ht="15.75" customHeight="1">
      <c r="A3961" s="364" t="s">
        <v>83</v>
      </c>
      <c r="B3961" s="364" t="s">
        <v>23</v>
      </c>
      <c r="C3961" s="365" t="s">
        <v>200</v>
      </c>
      <c r="D3961" s="364" t="s">
        <v>201</v>
      </c>
      <c r="E3961" s="366">
        <v>16.0</v>
      </c>
      <c r="F3961" s="367">
        <v>46106.54166666667</v>
      </c>
      <c r="G3961" s="364" t="s">
        <v>1185</v>
      </c>
      <c r="H3961" s="364" t="s">
        <v>1218</v>
      </c>
    </row>
    <row r="3962" ht="15.75" customHeight="1">
      <c r="A3962" s="364" t="s">
        <v>83</v>
      </c>
      <c r="B3962" s="364" t="s">
        <v>23</v>
      </c>
      <c r="C3962" s="365" t="s">
        <v>187</v>
      </c>
      <c r="D3962" s="364" t="s">
        <v>188</v>
      </c>
      <c r="E3962" s="366">
        <v>1.0</v>
      </c>
      <c r="F3962" s="367">
        <v>45882.41666666667</v>
      </c>
      <c r="G3962" s="364" t="s">
        <v>1185</v>
      </c>
      <c r="H3962" s="364" t="s">
        <v>1218</v>
      </c>
    </row>
    <row r="3963" ht="15.75" customHeight="1">
      <c r="A3963" s="364" t="s">
        <v>83</v>
      </c>
      <c r="B3963" s="364" t="s">
        <v>23</v>
      </c>
      <c r="C3963" s="365" t="s">
        <v>187</v>
      </c>
      <c r="D3963" s="364" t="s">
        <v>188</v>
      </c>
      <c r="E3963" s="366">
        <v>2.0</v>
      </c>
      <c r="F3963" s="367">
        <v>45889.41666666667</v>
      </c>
      <c r="G3963" s="364" t="s">
        <v>1185</v>
      </c>
      <c r="H3963" s="364" t="s">
        <v>1218</v>
      </c>
    </row>
    <row r="3964" ht="15.75" customHeight="1">
      <c r="A3964" s="364" t="s">
        <v>83</v>
      </c>
      <c r="B3964" s="364" t="s">
        <v>23</v>
      </c>
      <c r="C3964" s="365" t="s">
        <v>187</v>
      </c>
      <c r="D3964" s="364" t="s">
        <v>188</v>
      </c>
      <c r="E3964" s="366">
        <v>3.0</v>
      </c>
      <c r="F3964" s="367">
        <v>45896.41666666667</v>
      </c>
      <c r="G3964" s="364" t="s">
        <v>1185</v>
      </c>
      <c r="H3964" s="364" t="s">
        <v>1218</v>
      </c>
    </row>
    <row r="3965" ht="15.75" customHeight="1">
      <c r="A3965" s="364" t="s">
        <v>83</v>
      </c>
      <c r="B3965" s="364" t="s">
        <v>23</v>
      </c>
      <c r="C3965" s="365" t="s">
        <v>187</v>
      </c>
      <c r="D3965" s="364" t="s">
        <v>188</v>
      </c>
      <c r="E3965" s="366">
        <v>4.0</v>
      </c>
      <c r="F3965" s="367">
        <v>45903.41666666667</v>
      </c>
      <c r="G3965" s="364" t="s">
        <v>1185</v>
      </c>
      <c r="H3965" s="364" t="s">
        <v>1218</v>
      </c>
    </row>
    <row r="3966" ht="15.75" customHeight="1">
      <c r="A3966" s="364" t="s">
        <v>83</v>
      </c>
      <c r="B3966" s="364" t="s">
        <v>23</v>
      </c>
      <c r="C3966" s="365" t="s">
        <v>187</v>
      </c>
      <c r="D3966" s="364" t="s">
        <v>188</v>
      </c>
      <c r="E3966" s="366">
        <v>5.0</v>
      </c>
      <c r="F3966" s="367">
        <v>45910.41666666667</v>
      </c>
      <c r="G3966" s="364" t="s">
        <v>1185</v>
      </c>
      <c r="H3966" s="364" t="s">
        <v>1218</v>
      </c>
    </row>
    <row r="3967" ht="15.75" customHeight="1">
      <c r="A3967" s="364" t="s">
        <v>83</v>
      </c>
      <c r="B3967" s="364" t="s">
        <v>23</v>
      </c>
      <c r="C3967" s="365" t="s">
        <v>187</v>
      </c>
      <c r="D3967" s="364" t="s">
        <v>188</v>
      </c>
      <c r="E3967" s="366">
        <v>6.0</v>
      </c>
      <c r="F3967" s="367">
        <v>45924.45833333333</v>
      </c>
      <c r="G3967" s="364" t="s">
        <v>1185</v>
      </c>
      <c r="H3967" s="364" t="s">
        <v>1218</v>
      </c>
    </row>
    <row r="3968" ht="15.75" customHeight="1">
      <c r="A3968" s="364" t="s">
        <v>83</v>
      </c>
      <c r="B3968" s="364" t="s">
        <v>23</v>
      </c>
      <c r="C3968" s="365" t="s">
        <v>187</v>
      </c>
      <c r="D3968" s="364" t="s">
        <v>188</v>
      </c>
      <c r="E3968" s="366">
        <v>7.0</v>
      </c>
      <c r="F3968" s="367">
        <v>45931.41666666667</v>
      </c>
      <c r="G3968" s="364" t="s">
        <v>1185</v>
      </c>
      <c r="H3968" s="364" t="s">
        <v>1218</v>
      </c>
    </row>
    <row r="3969" ht="15.75" customHeight="1">
      <c r="A3969" s="364" t="s">
        <v>83</v>
      </c>
      <c r="B3969" s="364" t="s">
        <v>23</v>
      </c>
      <c r="C3969" s="365" t="s">
        <v>187</v>
      </c>
      <c r="D3969" s="364" t="s">
        <v>188</v>
      </c>
      <c r="E3969" s="366">
        <v>8.0</v>
      </c>
      <c r="F3969" s="367">
        <v>45938.45833333333</v>
      </c>
      <c r="G3969" s="364" t="s">
        <v>1185</v>
      </c>
      <c r="H3969" s="364" t="s">
        <v>1218</v>
      </c>
    </row>
    <row r="3970" ht="15.75" customHeight="1">
      <c r="A3970" s="364" t="s">
        <v>83</v>
      </c>
      <c r="B3970" s="364" t="s">
        <v>23</v>
      </c>
      <c r="C3970" s="365" t="s">
        <v>187</v>
      </c>
      <c r="D3970" s="364" t="s">
        <v>188</v>
      </c>
      <c r="E3970" s="366">
        <v>9.0</v>
      </c>
      <c r="F3970" s="367">
        <v>45980.41666666667</v>
      </c>
      <c r="G3970" s="364" t="s">
        <v>1185</v>
      </c>
      <c r="H3970" s="364" t="s">
        <v>1218</v>
      </c>
    </row>
    <row r="3971" ht="15.75" customHeight="1">
      <c r="A3971" s="364" t="s">
        <v>83</v>
      </c>
      <c r="B3971" s="364" t="s">
        <v>23</v>
      </c>
      <c r="C3971" s="365" t="s">
        <v>187</v>
      </c>
      <c r="D3971" s="364" t="s">
        <v>188</v>
      </c>
      <c r="E3971" s="366">
        <v>10.0</v>
      </c>
      <c r="F3971" s="367">
        <v>45987.41666666667</v>
      </c>
      <c r="G3971" s="364" t="s">
        <v>1185</v>
      </c>
      <c r="H3971" s="364" t="s">
        <v>1218</v>
      </c>
    </row>
    <row r="3972" ht="15.75" customHeight="1">
      <c r="A3972" s="364" t="s">
        <v>83</v>
      </c>
      <c r="B3972" s="364" t="s">
        <v>23</v>
      </c>
      <c r="C3972" s="365" t="s">
        <v>187</v>
      </c>
      <c r="D3972" s="364" t="s">
        <v>188</v>
      </c>
      <c r="E3972" s="366">
        <v>11.0</v>
      </c>
      <c r="F3972" s="367">
        <v>45994.58333333333</v>
      </c>
      <c r="G3972" s="364" t="s">
        <v>1185</v>
      </c>
      <c r="H3972" s="364" t="s">
        <v>1218</v>
      </c>
    </row>
    <row r="3973" ht="15.75" customHeight="1">
      <c r="A3973" s="364" t="s">
        <v>83</v>
      </c>
      <c r="B3973" s="364" t="s">
        <v>23</v>
      </c>
      <c r="C3973" s="365" t="s">
        <v>187</v>
      </c>
      <c r="D3973" s="364" t="s">
        <v>188</v>
      </c>
      <c r="E3973" s="366">
        <v>12.0</v>
      </c>
      <c r="F3973" s="367">
        <v>46008.41666666667</v>
      </c>
      <c r="G3973" s="364" t="s">
        <v>1185</v>
      </c>
      <c r="H3973" s="364" t="s">
        <v>1218</v>
      </c>
    </row>
    <row r="3974" ht="15.75" customHeight="1">
      <c r="A3974" s="364" t="s">
        <v>83</v>
      </c>
      <c r="B3974" s="364" t="s">
        <v>23</v>
      </c>
      <c r="C3974" s="365" t="s">
        <v>187</v>
      </c>
      <c r="D3974" s="364" t="s">
        <v>188</v>
      </c>
      <c r="E3974" s="366">
        <v>13.0</v>
      </c>
      <c r="F3974" s="367">
        <v>46036.41666666667</v>
      </c>
      <c r="G3974" s="364" t="s">
        <v>1185</v>
      </c>
      <c r="H3974" s="364" t="s">
        <v>1218</v>
      </c>
    </row>
    <row r="3975" ht="15.75" customHeight="1">
      <c r="A3975" s="364" t="s">
        <v>83</v>
      </c>
      <c r="B3975" s="364" t="s">
        <v>23</v>
      </c>
      <c r="C3975" s="365" t="s">
        <v>187</v>
      </c>
      <c r="D3975" s="364" t="s">
        <v>188</v>
      </c>
      <c r="E3975" s="366">
        <v>14.0</v>
      </c>
      <c r="F3975" s="367">
        <v>46043.45833333333</v>
      </c>
      <c r="G3975" s="364" t="s">
        <v>1185</v>
      </c>
      <c r="H3975" s="364" t="s">
        <v>1218</v>
      </c>
    </row>
    <row r="3976" ht="15.75" customHeight="1">
      <c r="A3976" s="364" t="s">
        <v>83</v>
      </c>
      <c r="B3976" s="364" t="s">
        <v>23</v>
      </c>
      <c r="C3976" s="365" t="s">
        <v>187</v>
      </c>
      <c r="D3976" s="364" t="s">
        <v>188</v>
      </c>
      <c r="E3976" s="366">
        <v>15.0</v>
      </c>
      <c r="F3976" s="367">
        <v>46050.41666666667</v>
      </c>
      <c r="G3976" s="364" t="s">
        <v>1185</v>
      </c>
      <c r="H3976" s="364" t="s">
        <v>1218</v>
      </c>
    </row>
    <row r="3977" ht="15.75" customHeight="1">
      <c r="A3977" s="364" t="s">
        <v>83</v>
      </c>
      <c r="B3977" s="364" t="s">
        <v>23</v>
      </c>
      <c r="C3977" s="365" t="s">
        <v>187</v>
      </c>
      <c r="D3977" s="364" t="s">
        <v>188</v>
      </c>
      <c r="E3977" s="366">
        <v>16.0</v>
      </c>
      <c r="F3977" s="367">
        <v>46106.54166666667</v>
      </c>
      <c r="G3977" s="364" t="s">
        <v>1185</v>
      </c>
      <c r="H3977" s="364" t="s">
        <v>1218</v>
      </c>
    </row>
    <row r="3978" ht="15.75" customHeight="1">
      <c r="A3978" s="364" t="s">
        <v>83</v>
      </c>
      <c r="B3978" s="364" t="s">
        <v>23</v>
      </c>
      <c r="C3978" s="365" t="s">
        <v>191</v>
      </c>
      <c r="D3978" s="364" t="s">
        <v>192</v>
      </c>
      <c r="E3978" s="366">
        <v>1.0</v>
      </c>
      <c r="F3978" s="367">
        <v>45882.58333333333</v>
      </c>
      <c r="G3978" s="364" t="s">
        <v>1185</v>
      </c>
      <c r="H3978" s="364" t="s">
        <v>1218</v>
      </c>
    </row>
    <row r="3979" ht="15.75" customHeight="1">
      <c r="A3979" s="364" t="s">
        <v>83</v>
      </c>
      <c r="B3979" s="364" t="s">
        <v>23</v>
      </c>
      <c r="C3979" s="365" t="s">
        <v>191</v>
      </c>
      <c r="D3979" s="364" t="s">
        <v>192</v>
      </c>
      <c r="E3979" s="366">
        <v>2.0</v>
      </c>
      <c r="F3979" s="367">
        <v>45889.54166666667</v>
      </c>
      <c r="G3979" s="364" t="s">
        <v>1185</v>
      </c>
      <c r="H3979" s="364" t="s">
        <v>1218</v>
      </c>
    </row>
    <row r="3980" ht="15.75" customHeight="1">
      <c r="A3980" s="364" t="s">
        <v>83</v>
      </c>
      <c r="B3980" s="364" t="s">
        <v>23</v>
      </c>
      <c r="C3980" s="365" t="s">
        <v>191</v>
      </c>
      <c r="D3980" s="364" t="s">
        <v>192</v>
      </c>
      <c r="E3980" s="366">
        <v>3.0</v>
      </c>
      <c r="F3980" s="367">
        <v>45895.54166666667</v>
      </c>
      <c r="G3980" s="364" t="s">
        <v>1185</v>
      </c>
      <c r="H3980" s="364" t="s">
        <v>1218</v>
      </c>
    </row>
    <row r="3981" ht="15.75" customHeight="1">
      <c r="A3981" s="364" t="s">
        <v>83</v>
      </c>
      <c r="B3981" s="364" t="s">
        <v>23</v>
      </c>
      <c r="C3981" s="365" t="s">
        <v>191</v>
      </c>
      <c r="D3981" s="364" t="s">
        <v>192</v>
      </c>
      <c r="E3981" s="366">
        <v>4.0</v>
      </c>
      <c r="F3981" s="367">
        <v>45903.54166666667</v>
      </c>
      <c r="G3981" s="364" t="s">
        <v>1185</v>
      </c>
      <c r="H3981" s="364" t="s">
        <v>1218</v>
      </c>
    </row>
    <row r="3982" ht="15.75" customHeight="1">
      <c r="A3982" s="364" t="s">
        <v>83</v>
      </c>
      <c r="B3982" s="364" t="s">
        <v>23</v>
      </c>
      <c r="C3982" s="365" t="s">
        <v>191</v>
      </c>
      <c r="D3982" s="364" t="s">
        <v>192</v>
      </c>
      <c r="E3982" s="366">
        <v>5.0</v>
      </c>
      <c r="F3982" s="367">
        <v>45910.58333333333</v>
      </c>
      <c r="G3982" s="364" t="s">
        <v>1185</v>
      </c>
      <c r="H3982" s="364" t="s">
        <v>1218</v>
      </c>
    </row>
    <row r="3983" ht="15.75" customHeight="1">
      <c r="A3983" s="364" t="s">
        <v>83</v>
      </c>
      <c r="B3983" s="364" t="s">
        <v>23</v>
      </c>
      <c r="C3983" s="365" t="s">
        <v>191</v>
      </c>
      <c r="D3983" s="364" t="s">
        <v>192</v>
      </c>
      <c r="E3983" s="366">
        <v>6.0</v>
      </c>
      <c r="F3983" s="367">
        <v>45924.45833333333</v>
      </c>
      <c r="G3983" s="364" t="s">
        <v>1187</v>
      </c>
      <c r="H3983" s="364" t="s">
        <v>1218</v>
      </c>
    </row>
    <row r="3984" ht="15.75" customHeight="1">
      <c r="A3984" s="364" t="s">
        <v>83</v>
      </c>
      <c r="B3984" s="364" t="s">
        <v>23</v>
      </c>
      <c r="C3984" s="365" t="s">
        <v>191</v>
      </c>
      <c r="D3984" s="364" t="s">
        <v>192</v>
      </c>
      <c r="E3984" s="366">
        <v>7.0</v>
      </c>
      <c r="F3984" s="367">
        <v>45931.41666666667</v>
      </c>
      <c r="G3984" s="364" t="s">
        <v>1185</v>
      </c>
      <c r="H3984" s="364" t="s">
        <v>1218</v>
      </c>
    </row>
    <row r="3985" ht="15.75" customHeight="1">
      <c r="A3985" s="364" t="s">
        <v>83</v>
      </c>
      <c r="B3985" s="364" t="s">
        <v>23</v>
      </c>
      <c r="C3985" s="365" t="s">
        <v>191</v>
      </c>
      <c r="D3985" s="364" t="s">
        <v>192</v>
      </c>
      <c r="E3985" s="366">
        <v>8.0</v>
      </c>
      <c r="F3985" s="367">
        <v>45938.45833333333</v>
      </c>
      <c r="G3985" s="364" t="s">
        <v>1185</v>
      </c>
      <c r="H3985" s="364" t="s">
        <v>1218</v>
      </c>
    </row>
    <row r="3986" ht="15.75" customHeight="1">
      <c r="A3986" s="364" t="s">
        <v>83</v>
      </c>
      <c r="B3986" s="364" t="s">
        <v>23</v>
      </c>
      <c r="C3986" s="365" t="s">
        <v>191</v>
      </c>
      <c r="D3986" s="364" t="s">
        <v>192</v>
      </c>
      <c r="E3986" s="366">
        <v>9.0</v>
      </c>
      <c r="F3986" s="367">
        <v>45980.41666666667</v>
      </c>
      <c r="G3986" s="364" t="s">
        <v>1185</v>
      </c>
      <c r="H3986" s="364" t="s">
        <v>1218</v>
      </c>
    </row>
    <row r="3987" ht="15.75" customHeight="1">
      <c r="A3987" s="364" t="s">
        <v>83</v>
      </c>
      <c r="B3987" s="364" t="s">
        <v>23</v>
      </c>
      <c r="C3987" s="365" t="s">
        <v>191</v>
      </c>
      <c r="D3987" s="364" t="s">
        <v>192</v>
      </c>
      <c r="E3987" s="366">
        <v>10.0</v>
      </c>
      <c r="F3987" s="367">
        <v>45987.41666666667</v>
      </c>
      <c r="G3987" s="364" t="s">
        <v>1185</v>
      </c>
      <c r="H3987" s="364" t="s">
        <v>1218</v>
      </c>
    </row>
    <row r="3988" ht="15.75" customHeight="1">
      <c r="A3988" s="364" t="s">
        <v>83</v>
      </c>
      <c r="B3988" s="364" t="s">
        <v>23</v>
      </c>
      <c r="C3988" s="365" t="s">
        <v>191</v>
      </c>
      <c r="D3988" s="364" t="s">
        <v>192</v>
      </c>
      <c r="E3988" s="366">
        <v>11.0</v>
      </c>
      <c r="F3988" s="367">
        <v>45994.58333333333</v>
      </c>
      <c r="G3988" s="364" t="s">
        <v>1185</v>
      </c>
      <c r="H3988" s="364" t="s">
        <v>1218</v>
      </c>
    </row>
    <row r="3989" ht="15.75" customHeight="1">
      <c r="A3989" s="364" t="s">
        <v>83</v>
      </c>
      <c r="B3989" s="364" t="s">
        <v>23</v>
      </c>
      <c r="C3989" s="365" t="s">
        <v>191</v>
      </c>
      <c r="D3989" s="364" t="s">
        <v>192</v>
      </c>
      <c r="E3989" s="366">
        <v>12.0</v>
      </c>
      <c r="F3989" s="367">
        <v>46008.41666666667</v>
      </c>
      <c r="G3989" s="364" t="s">
        <v>1185</v>
      </c>
      <c r="H3989" s="364" t="s">
        <v>1218</v>
      </c>
    </row>
    <row r="3990" ht="15.75" customHeight="1">
      <c r="A3990" s="364" t="s">
        <v>83</v>
      </c>
      <c r="B3990" s="364" t="s">
        <v>23</v>
      </c>
      <c r="C3990" s="365" t="s">
        <v>191</v>
      </c>
      <c r="D3990" s="364" t="s">
        <v>192</v>
      </c>
      <c r="E3990" s="366">
        <v>13.0</v>
      </c>
      <c r="F3990" s="367">
        <v>46036.41666666667</v>
      </c>
      <c r="G3990" s="364" t="s">
        <v>1185</v>
      </c>
      <c r="H3990" s="364" t="s">
        <v>1218</v>
      </c>
    </row>
    <row r="3991" ht="15.75" customHeight="1">
      <c r="A3991" s="364" t="s">
        <v>83</v>
      </c>
      <c r="B3991" s="364" t="s">
        <v>23</v>
      </c>
      <c r="C3991" s="365" t="s">
        <v>191</v>
      </c>
      <c r="D3991" s="364" t="s">
        <v>192</v>
      </c>
      <c r="E3991" s="366">
        <v>14.0</v>
      </c>
      <c r="F3991" s="367">
        <v>46043.45833333333</v>
      </c>
      <c r="G3991" s="364" t="s">
        <v>1185</v>
      </c>
      <c r="H3991" s="364" t="s">
        <v>1218</v>
      </c>
    </row>
    <row r="3992" ht="15.75" customHeight="1">
      <c r="A3992" s="364" t="s">
        <v>83</v>
      </c>
      <c r="B3992" s="364" t="s">
        <v>23</v>
      </c>
      <c r="C3992" s="365" t="s">
        <v>191</v>
      </c>
      <c r="D3992" s="364" t="s">
        <v>192</v>
      </c>
      <c r="E3992" s="366">
        <v>15.0</v>
      </c>
      <c r="F3992" s="367">
        <v>46050.41666666667</v>
      </c>
      <c r="G3992" s="364" t="s">
        <v>1185</v>
      </c>
      <c r="H3992" s="364" t="s">
        <v>1218</v>
      </c>
    </row>
    <row r="3993" ht="15.75" customHeight="1">
      <c r="A3993" s="364" t="s">
        <v>83</v>
      </c>
      <c r="B3993" s="364" t="s">
        <v>23</v>
      </c>
      <c r="C3993" s="365" t="s">
        <v>191</v>
      </c>
      <c r="D3993" s="364" t="s">
        <v>192</v>
      </c>
      <c r="E3993" s="366">
        <v>16.0</v>
      </c>
      <c r="F3993" s="367">
        <v>46106.54166666667</v>
      </c>
      <c r="G3993" s="364" t="s">
        <v>1187</v>
      </c>
      <c r="H3993" s="364" t="s">
        <v>1218</v>
      </c>
    </row>
    <row r="3994" ht="15.75" customHeight="1">
      <c r="A3994" s="364" t="s">
        <v>83</v>
      </c>
      <c r="B3994" s="364" t="s">
        <v>23</v>
      </c>
      <c r="C3994" s="365" t="s">
        <v>194</v>
      </c>
      <c r="D3994" s="364" t="s">
        <v>195</v>
      </c>
      <c r="E3994" s="366">
        <v>1.0</v>
      </c>
      <c r="F3994" s="367">
        <v>45882.41666666667</v>
      </c>
      <c r="G3994" s="364" t="s">
        <v>1185</v>
      </c>
      <c r="H3994" s="364" t="s">
        <v>1218</v>
      </c>
    </row>
    <row r="3995" ht="15.75" customHeight="1">
      <c r="A3995" s="364" t="s">
        <v>83</v>
      </c>
      <c r="B3995" s="364" t="s">
        <v>23</v>
      </c>
      <c r="C3995" s="365" t="s">
        <v>194</v>
      </c>
      <c r="D3995" s="364" t="s">
        <v>195</v>
      </c>
      <c r="E3995" s="366">
        <v>2.0</v>
      </c>
      <c r="F3995" s="367">
        <v>45889.41666666667</v>
      </c>
      <c r="G3995" s="364" t="s">
        <v>1185</v>
      </c>
      <c r="H3995" s="364" t="s">
        <v>1218</v>
      </c>
    </row>
    <row r="3996" ht="15.75" customHeight="1">
      <c r="A3996" s="364" t="s">
        <v>83</v>
      </c>
      <c r="B3996" s="364" t="s">
        <v>23</v>
      </c>
      <c r="C3996" s="365" t="s">
        <v>194</v>
      </c>
      <c r="D3996" s="364" t="s">
        <v>195</v>
      </c>
      <c r="E3996" s="366">
        <v>3.0</v>
      </c>
      <c r="F3996" s="367">
        <v>45896.41666666667</v>
      </c>
      <c r="G3996" s="364" t="s">
        <v>1187</v>
      </c>
      <c r="H3996" s="364" t="s">
        <v>1218</v>
      </c>
    </row>
    <row r="3997" ht="15.75" customHeight="1">
      <c r="A3997" s="364" t="s">
        <v>83</v>
      </c>
      <c r="B3997" s="364" t="s">
        <v>23</v>
      </c>
      <c r="C3997" s="365" t="s">
        <v>194</v>
      </c>
      <c r="D3997" s="364" t="s">
        <v>195</v>
      </c>
      <c r="E3997" s="366">
        <v>4.0</v>
      </c>
      <c r="F3997" s="367">
        <v>45903.41666666667</v>
      </c>
      <c r="G3997" s="364" t="s">
        <v>1187</v>
      </c>
      <c r="H3997" s="364" t="s">
        <v>1218</v>
      </c>
    </row>
    <row r="3998" ht="15.75" customHeight="1">
      <c r="A3998" s="364" t="s">
        <v>83</v>
      </c>
      <c r="B3998" s="364" t="s">
        <v>23</v>
      </c>
      <c r="C3998" s="365" t="s">
        <v>194</v>
      </c>
      <c r="D3998" s="364" t="s">
        <v>195</v>
      </c>
      <c r="E3998" s="366">
        <v>5.0</v>
      </c>
      <c r="F3998" s="367">
        <v>45910.41666666667</v>
      </c>
      <c r="G3998" s="364" t="s">
        <v>1185</v>
      </c>
      <c r="H3998" s="364" t="s">
        <v>1218</v>
      </c>
    </row>
    <row r="3999" ht="15.75" customHeight="1">
      <c r="A3999" s="364" t="s">
        <v>83</v>
      </c>
      <c r="B3999" s="364" t="s">
        <v>23</v>
      </c>
      <c r="C3999" s="365" t="s">
        <v>194</v>
      </c>
      <c r="D3999" s="364" t="s">
        <v>195</v>
      </c>
      <c r="E3999" s="366">
        <v>6.0</v>
      </c>
      <c r="F3999" s="367">
        <v>45924.45833333333</v>
      </c>
      <c r="G3999" s="364" t="s">
        <v>1185</v>
      </c>
      <c r="H3999" s="364" t="s">
        <v>1218</v>
      </c>
    </row>
    <row r="4000" ht="15.75" customHeight="1">
      <c r="A4000" s="364" t="s">
        <v>83</v>
      </c>
      <c r="B4000" s="364" t="s">
        <v>23</v>
      </c>
      <c r="C4000" s="365" t="s">
        <v>194</v>
      </c>
      <c r="D4000" s="364" t="s">
        <v>195</v>
      </c>
      <c r="E4000" s="366">
        <v>7.0</v>
      </c>
      <c r="F4000" s="367">
        <v>45931.41666666667</v>
      </c>
      <c r="G4000" s="364" t="s">
        <v>1185</v>
      </c>
      <c r="H4000" s="364" t="s">
        <v>1218</v>
      </c>
    </row>
    <row r="4001" ht="15.75" customHeight="1">
      <c r="A4001" s="364" t="s">
        <v>83</v>
      </c>
      <c r="B4001" s="364" t="s">
        <v>23</v>
      </c>
      <c r="C4001" s="365" t="s">
        <v>194</v>
      </c>
      <c r="D4001" s="364" t="s">
        <v>195</v>
      </c>
      <c r="E4001" s="366">
        <v>8.0</v>
      </c>
      <c r="F4001" s="367">
        <v>45938.45833333333</v>
      </c>
      <c r="G4001" s="364" t="s">
        <v>1185</v>
      </c>
      <c r="H4001" s="364" t="s">
        <v>1218</v>
      </c>
    </row>
    <row r="4002" ht="15.75" customHeight="1">
      <c r="A4002" s="364" t="s">
        <v>83</v>
      </c>
      <c r="B4002" s="364" t="s">
        <v>23</v>
      </c>
      <c r="C4002" s="365" t="s">
        <v>194</v>
      </c>
      <c r="D4002" s="364" t="s">
        <v>195</v>
      </c>
      <c r="E4002" s="366">
        <v>9.0</v>
      </c>
      <c r="F4002" s="367">
        <v>45980.41666666667</v>
      </c>
      <c r="G4002" s="364" t="s">
        <v>1185</v>
      </c>
      <c r="H4002" s="364" t="s">
        <v>1218</v>
      </c>
    </row>
    <row r="4003" ht="15.75" customHeight="1">
      <c r="A4003" s="364" t="s">
        <v>83</v>
      </c>
      <c r="B4003" s="364" t="s">
        <v>23</v>
      </c>
      <c r="C4003" s="365" t="s">
        <v>194</v>
      </c>
      <c r="D4003" s="364" t="s">
        <v>195</v>
      </c>
      <c r="E4003" s="366">
        <v>10.0</v>
      </c>
      <c r="F4003" s="367">
        <v>45987.41666666667</v>
      </c>
      <c r="G4003" s="364" t="s">
        <v>1185</v>
      </c>
      <c r="H4003" s="364" t="s">
        <v>1218</v>
      </c>
    </row>
    <row r="4004" ht="15.75" customHeight="1">
      <c r="A4004" s="364" t="s">
        <v>83</v>
      </c>
      <c r="B4004" s="364" t="s">
        <v>23</v>
      </c>
      <c r="C4004" s="365" t="s">
        <v>194</v>
      </c>
      <c r="D4004" s="364" t="s">
        <v>195</v>
      </c>
      <c r="E4004" s="366">
        <v>11.0</v>
      </c>
      <c r="F4004" s="367">
        <v>45994.58333333333</v>
      </c>
      <c r="G4004" s="364" t="s">
        <v>1185</v>
      </c>
      <c r="H4004" s="364" t="s">
        <v>1218</v>
      </c>
    </row>
    <row r="4005" ht="15.75" customHeight="1">
      <c r="A4005" s="364" t="s">
        <v>83</v>
      </c>
      <c r="B4005" s="364" t="s">
        <v>23</v>
      </c>
      <c r="C4005" s="365" t="s">
        <v>194</v>
      </c>
      <c r="D4005" s="364" t="s">
        <v>195</v>
      </c>
      <c r="E4005" s="366">
        <v>12.0</v>
      </c>
      <c r="F4005" s="367">
        <v>46008.41666666667</v>
      </c>
      <c r="G4005" s="364" t="s">
        <v>1185</v>
      </c>
      <c r="H4005" s="364" t="s">
        <v>1218</v>
      </c>
    </row>
    <row r="4006" ht="15.75" customHeight="1">
      <c r="A4006" s="364" t="s">
        <v>83</v>
      </c>
      <c r="B4006" s="364" t="s">
        <v>23</v>
      </c>
      <c r="C4006" s="365" t="s">
        <v>194</v>
      </c>
      <c r="D4006" s="364" t="s">
        <v>195</v>
      </c>
      <c r="E4006" s="366">
        <v>13.0</v>
      </c>
      <c r="F4006" s="367">
        <v>46036.41666666667</v>
      </c>
      <c r="G4006" s="364" t="s">
        <v>1185</v>
      </c>
      <c r="H4006" s="364" t="s">
        <v>1218</v>
      </c>
    </row>
    <row r="4007" ht="15.75" customHeight="1">
      <c r="A4007" s="364" t="s">
        <v>83</v>
      </c>
      <c r="B4007" s="364" t="s">
        <v>23</v>
      </c>
      <c r="C4007" s="365" t="s">
        <v>194</v>
      </c>
      <c r="D4007" s="364" t="s">
        <v>195</v>
      </c>
      <c r="E4007" s="366">
        <v>14.0</v>
      </c>
      <c r="F4007" s="367">
        <v>46043.45833333333</v>
      </c>
      <c r="G4007" s="364" t="s">
        <v>1187</v>
      </c>
      <c r="H4007" s="364" t="s">
        <v>1218</v>
      </c>
    </row>
    <row r="4008" ht="15.75" customHeight="1">
      <c r="A4008" s="364" t="s">
        <v>83</v>
      </c>
      <c r="B4008" s="364" t="s">
        <v>23</v>
      </c>
      <c r="C4008" s="365" t="s">
        <v>194</v>
      </c>
      <c r="D4008" s="364" t="s">
        <v>195</v>
      </c>
      <c r="E4008" s="366">
        <v>15.0</v>
      </c>
      <c r="F4008" s="367">
        <v>46050.41666666667</v>
      </c>
      <c r="G4008" s="364" t="s">
        <v>1185</v>
      </c>
      <c r="H4008" s="364" t="s">
        <v>1218</v>
      </c>
    </row>
    <row r="4009" ht="15.75" customHeight="1">
      <c r="A4009" s="364" t="s">
        <v>83</v>
      </c>
      <c r="B4009" s="364" t="s">
        <v>23</v>
      </c>
      <c r="C4009" s="365" t="s">
        <v>194</v>
      </c>
      <c r="D4009" s="364" t="s">
        <v>195</v>
      </c>
      <c r="E4009" s="366">
        <v>16.0</v>
      </c>
      <c r="F4009" s="367">
        <v>46106.54166666667</v>
      </c>
      <c r="G4009" s="364" t="s">
        <v>1185</v>
      </c>
      <c r="H4009" s="364" t="s">
        <v>1218</v>
      </c>
    </row>
    <row r="4010" ht="15.75" customHeight="1">
      <c r="A4010" s="364" t="s">
        <v>83</v>
      </c>
      <c r="B4010" s="364" t="s">
        <v>23</v>
      </c>
      <c r="C4010" s="365" t="s">
        <v>196</v>
      </c>
      <c r="D4010" s="364" t="s">
        <v>197</v>
      </c>
      <c r="E4010" s="366">
        <v>1.0</v>
      </c>
      <c r="F4010" s="367">
        <v>45882.41666666667</v>
      </c>
      <c r="G4010" s="364" t="s">
        <v>1185</v>
      </c>
      <c r="H4010" s="364" t="s">
        <v>1218</v>
      </c>
    </row>
    <row r="4011" ht="15.75" customHeight="1">
      <c r="A4011" s="364" t="s">
        <v>83</v>
      </c>
      <c r="B4011" s="364" t="s">
        <v>23</v>
      </c>
      <c r="C4011" s="365" t="s">
        <v>196</v>
      </c>
      <c r="D4011" s="364" t="s">
        <v>197</v>
      </c>
      <c r="E4011" s="366">
        <v>2.0</v>
      </c>
      <c r="F4011" s="367">
        <v>45889.41666666667</v>
      </c>
      <c r="G4011" s="364" t="s">
        <v>1185</v>
      </c>
      <c r="H4011" s="364" t="s">
        <v>1218</v>
      </c>
    </row>
    <row r="4012" ht="15.75" customHeight="1">
      <c r="A4012" s="364" t="s">
        <v>83</v>
      </c>
      <c r="B4012" s="364" t="s">
        <v>23</v>
      </c>
      <c r="C4012" s="365" t="s">
        <v>196</v>
      </c>
      <c r="D4012" s="364" t="s">
        <v>197</v>
      </c>
      <c r="E4012" s="366">
        <v>3.0</v>
      </c>
      <c r="F4012" s="367">
        <v>45896.41666666667</v>
      </c>
      <c r="G4012" s="364" t="s">
        <v>1185</v>
      </c>
      <c r="H4012" s="364" t="s">
        <v>1218</v>
      </c>
    </row>
    <row r="4013" ht="15.75" customHeight="1">
      <c r="A4013" s="364" t="s">
        <v>83</v>
      </c>
      <c r="B4013" s="364" t="s">
        <v>23</v>
      </c>
      <c r="C4013" s="365" t="s">
        <v>196</v>
      </c>
      <c r="D4013" s="364" t="s">
        <v>197</v>
      </c>
      <c r="E4013" s="366">
        <v>4.0</v>
      </c>
      <c r="F4013" s="367">
        <v>45903.41666666667</v>
      </c>
      <c r="G4013" s="364" t="s">
        <v>1185</v>
      </c>
      <c r="H4013" s="364" t="s">
        <v>1218</v>
      </c>
    </row>
    <row r="4014" ht="15.75" customHeight="1">
      <c r="A4014" s="364" t="s">
        <v>83</v>
      </c>
      <c r="B4014" s="364" t="s">
        <v>23</v>
      </c>
      <c r="C4014" s="365" t="s">
        <v>196</v>
      </c>
      <c r="D4014" s="364" t="s">
        <v>197</v>
      </c>
      <c r="E4014" s="366">
        <v>5.0</v>
      </c>
      <c r="F4014" s="367">
        <v>45910.41666666667</v>
      </c>
      <c r="G4014" s="364" t="s">
        <v>1185</v>
      </c>
      <c r="H4014" s="364" t="s">
        <v>1218</v>
      </c>
    </row>
    <row r="4015" ht="15.75" customHeight="1">
      <c r="A4015" s="364" t="s">
        <v>83</v>
      </c>
      <c r="B4015" s="364" t="s">
        <v>23</v>
      </c>
      <c r="C4015" s="365" t="s">
        <v>196</v>
      </c>
      <c r="D4015" s="364" t="s">
        <v>197</v>
      </c>
      <c r="E4015" s="366">
        <v>6.0</v>
      </c>
      <c r="F4015" s="367">
        <v>45924.45833333333</v>
      </c>
      <c r="G4015" s="364" t="s">
        <v>1185</v>
      </c>
      <c r="H4015" s="364" t="s">
        <v>1218</v>
      </c>
    </row>
    <row r="4016" ht="15.75" customHeight="1">
      <c r="A4016" s="364" t="s">
        <v>83</v>
      </c>
      <c r="B4016" s="364" t="s">
        <v>23</v>
      </c>
      <c r="C4016" s="365" t="s">
        <v>196</v>
      </c>
      <c r="D4016" s="364" t="s">
        <v>197</v>
      </c>
      <c r="E4016" s="366">
        <v>7.0</v>
      </c>
      <c r="F4016" s="367">
        <v>45931.41666666667</v>
      </c>
      <c r="G4016" s="364" t="s">
        <v>1185</v>
      </c>
      <c r="H4016" s="364" t="s">
        <v>1218</v>
      </c>
    </row>
    <row r="4017" ht="15.75" customHeight="1">
      <c r="A4017" s="364" t="s">
        <v>83</v>
      </c>
      <c r="B4017" s="364" t="s">
        <v>23</v>
      </c>
      <c r="C4017" s="365" t="s">
        <v>196</v>
      </c>
      <c r="D4017" s="364" t="s">
        <v>197</v>
      </c>
      <c r="E4017" s="366">
        <v>8.0</v>
      </c>
      <c r="F4017" s="367">
        <v>45938.45833333333</v>
      </c>
      <c r="G4017" s="364" t="s">
        <v>1185</v>
      </c>
      <c r="H4017" s="364" t="s">
        <v>1218</v>
      </c>
    </row>
    <row r="4018" ht="15.75" customHeight="1">
      <c r="A4018" s="364" t="s">
        <v>83</v>
      </c>
      <c r="B4018" s="364" t="s">
        <v>23</v>
      </c>
      <c r="C4018" s="365" t="s">
        <v>196</v>
      </c>
      <c r="D4018" s="364" t="s">
        <v>197</v>
      </c>
      <c r="E4018" s="366">
        <v>9.0</v>
      </c>
      <c r="F4018" s="367">
        <v>45980.41666666667</v>
      </c>
      <c r="G4018" s="364" t="s">
        <v>1185</v>
      </c>
      <c r="H4018" s="364" t="s">
        <v>1218</v>
      </c>
    </row>
    <row r="4019" ht="15.75" customHeight="1">
      <c r="A4019" s="364" t="s">
        <v>83</v>
      </c>
      <c r="B4019" s="364" t="s">
        <v>23</v>
      </c>
      <c r="C4019" s="365" t="s">
        <v>196</v>
      </c>
      <c r="D4019" s="364" t="s">
        <v>197</v>
      </c>
      <c r="E4019" s="366">
        <v>10.0</v>
      </c>
      <c r="F4019" s="367">
        <v>45987.41666666667</v>
      </c>
      <c r="G4019" s="364" t="s">
        <v>1185</v>
      </c>
      <c r="H4019" s="364" t="s">
        <v>1218</v>
      </c>
    </row>
    <row r="4020" ht="15.75" customHeight="1">
      <c r="A4020" s="364" t="s">
        <v>83</v>
      </c>
      <c r="B4020" s="364" t="s">
        <v>23</v>
      </c>
      <c r="C4020" s="365" t="s">
        <v>196</v>
      </c>
      <c r="D4020" s="364" t="s">
        <v>197</v>
      </c>
      <c r="E4020" s="366">
        <v>11.0</v>
      </c>
      <c r="F4020" s="367">
        <v>45994.58333333333</v>
      </c>
      <c r="G4020" s="364" t="s">
        <v>1185</v>
      </c>
      <c r="H4020" s="364" t="s">
        <v>1218</v>
      </c>
    </row>
    <row r="4021" ht="15.75" customHeight="1">
      <c r="A4021" s="364" t="s">
        <v>83</v>
      </c>
      <c r="B4021" s="364" t="s">
        <v>23</v>
      </c>
      <c r="C4021" s="365" t="s">
        <v>196</v>
      </c>
      <c r="D4021" s="364" t="s">
        <v>197</v>
      </c>
      <c r="E4021" s="366">
        <v>12.0</v>
      </c>
      <c r="F4021" s="367">
        <v>46008.41666666667</v>
      </c>
      <c r="G4021" s="364" t="s">
        <v>1185</v>
      </c>
      <c r="H4021" s="364" t="s">
        <v>1218</v>
      </c>
    </row>
    <row r="4022" ht="15.75" customHeight="1">
      <c r="A4022" s="364" t="s">
        <v>83</v>
      </c>
      <c r="B4022" s="364" t="s">
        <v>23</v>
      </c>
      <c r="C4022" s="365" t="s">
        <v>196</v>
      </c>
      <c r="D4022" s="364" t="s">
        <v>197</v>
      </c>
      <c r="E4022" s="366">
        <v>13.0</v>
      </c>
      <c r="F4022" s="367">
        <v>46036.41666666667</v>
      </c>
      <c r="G4022" s="364" t="s">
        <v>1185</v>
      </c>
      <c r="H4022" s="364" t="s">
        <v>1218</v>
      </c>
    </row>
    <row r="4023" ht="15.75" customHeight="1">
      <c r="A4023" s="364" t="s">
        <v>83</v>
      </c>
      <c r="B4023" s="364" t="s">
        <v>23</v>
      </c>
      <c r="C4023" s="365" t="s">
        <v>196</v>
      </c>
      <c r="D4023" s="364" t="s">
        <v>197</v>
      </c>
      <c r="E4023" s="366">
        <v>14.0</v>
      </c>
      <c r="F4023" s="367">
        <v>46043.45833333333</v>
      </c>
      <c r="G4023" s="364" t="s">
        <v>1185</v>
      </c>
      <c r="H4023" s="364" t="s">
        <v>1218</v>
      </c>
    </row>
    <row r="4024" ht="15.75" customHeight="1">
      <c r="A4024" s="364" t="s">
        <v>83</v>
      </c>
      <c r="B4024" s="364" t="s">
        <v>23</v>
      </c>
      <c r="C4024" s="365" t="s">
        <v>196</v>
      </c>
      <c r="D4024" s="364" t="s">
        <v>197</v>
      </c>
      <c r="E4024" s="366">
        <v>15.0</v>
      </c>
      <c r="F4024" s="367">
        <v>46050.41666666667</v>
      </c>
      <c r="G4024" s="364" t="s">
        <v>1185</v>
      </c>
      <c r="H4024" s="364" t="s">
        <v>1218</v>
      </c>
    </row>
    <row r="4025" ht="15.75" customHeight="1">
      <c r="A4025" s="364" t="s">
        <v>83</v>
      </c>
      <c r="B4025" s="364" t="s">
        <v>23</v>
      </c>
      <c r="C4025" s="365" t="s">
        <v>196</v>
      </c>
      <c r="D4025" s="364" t="s">
        <v>197</v>
      </c>
      <c r="E4025" s="366">
        <v>16.0</v>
      </c>
      <c r="F4025" s="367">
        <v>46106.54166666667</v>
      </c>
      <c r="G4025" s="364" t="s">
        <v>1185</v>
      </c>
      <c r="H4025" s="364" t="s">
        <v>1218</v>
      </c>
    </row>
    <row r="4026" ht="15.75" customHeight="1">
      <c r="A4026" s="364" t="s">
        <v>83</v>
      </c>
      <c r="B4026" s="364" t="s">
        <v>23</v>
      </c>
      <c r="C4026" s="365" t="s">
        <v>198</v>
      </c>
      <c r="D4026" s="364" t="s">
        <v>199</v>
      </c>
      <c r="E4026" s="366">
        <v>1.0</v>
      </c>
      <c r="F4026" s="367">
        <v>45882.41666666667</v>
      </c>
      <c r="G4026" s="364" t="s">
        <v>1185</v>
      </c>
      <c r="H4026" s="364" t="s">
        <v>1218</v>
      </c>
    </row>
    <row r="4027" ht="15.75" customHeight="1">
      <c r="A4027" s="364" t="s">
        <v>83</v>
      </c>
      <c r="B4027" s="364" t="s">
        <v>23</v>
      </c>
      <c r="C4027" s="365" t="s">
        <v>198</v>
      </c>
      <c r="D4027" s="364" t="s">
        <v>199</v>
      </c>
      <c r="E4027" s="366">
        <v>2.0</v>
      </c>
      <c r="F4027" s="367">
        <v>45889.41666666667</v>
      </c>
      <c r="G4027" s="364" t="s">
        <v>1185</v>
      </c>
      <c r="H4027" s="364" t="s">
        <v>1218</v>
      </c>
    </row>
    <row r="4028" ht="15.75" customHeight="1">
      <c r="A4028" s="364" t="s">
        <v>83</v>
      </c>
      <c r="B4028" s="364" t="s">
        <v>23</v>
      </c>
      <c r="C4028" s="365" t="s">
        <v>198</v>
      </c>
      <c r="D4028" s="364" t="s">
        <v>199</v>
      </c>
      <c r="E4028" s="366">
        <v>3.0</v>
      </c>
      <c r="F4028" s="367">
        <v>45896.41666666667</v>
      </c>
      <c r="G4028" s="364" t="s">
        <v>1185</v>
      </c>
      <c r="H4028" s="364" t="s">
        <v>1218</v>
      </c>
    </row>
    <row r="4029" ht="15.75" customHeight="1">
      <c r="A4029" s="364" t="s">
        <v>83</v>
      </c>
      <c r="B4029" s="364" t="s">
        <v>23</v>
      </c>
      <c r="C4029" s="365" t="s">
        <v>198</v>
      </c>
      <c r="D4029" s="364" t="s">
        <v>199</v>
      </c>
      <c r="E4029" s="366">
        <v>4.0</v>
      </c>
      <c r="F4029" s="367">
        <v>45903.41666666667</v>
      </c>
      <c r="G4029" s="364" t="s">
        <v>1185</v>
      </c>
      <c r="H4029" s="364" t="s">
        <v>1218</v>
      </c>
    </row>
    <row r="4030" ht="15.75" customHeight="1">
      <c r="A4030" s="364" t="s">
        <v>83</v>
      </c>
      <c r="B4030" s="364" t="s">
        <v>23</v>
      </c>
      <c r="C4030" s="365" t="s">
        <v>198</v>
      </c>
      <c r="D4030" s="364" t="s">
        <v>199</v>
      </c>
      <c r="E4030" s="366">
        <v>5.0</v>
      </c>
      <c r="F4030" s="367">
        <v>45910.41666666667</v>
      </c>
      <c r="G4030" s="364" t="s">
        <v>1185</v>
      </c>
      <c r="H4030" s="364" t="s">
        <v>1218</v>
      </c>
    </row>
    <row r="4031" ht="15.75" customHeight="1">
      <c r="A4031" s="364" t="s">
        <v>83</v>
      </c>
      <c r="B4031" s="364" t="s">
        <v>23</v>
      </c>
      <c r="C4031" s="365" t="s">
        <v>198</v>
      </c>
      <c r="D4031" s="364" t="s">
        <v>199</v>
      </c>
      <c r="E4031" s="366">
        <v>6.0</v>
      </c>
      <c r="F4031" s="367">
        <v>45924.45833333333</v>
      </c>
      <c r="G4031" s="364" t="s">
        <v>1185</v>
      </c>
      <c r="H4031" s="364" t="s">
        <v>1218</v>
      </c>
    </row>
    <row r="4032" ht="15.75" customHeight="1">
      <c r="A4032" s="364" t="s">
        <v>83</v>
      </c>
      <c r="B4032" s="364" t="s">
        <v>23</v>
      </c>
      <c r="C4032" s="365" t="s">
        <v>198</v>
      </c>
      <c r="D4032" s="364" t="s">
        <v>199</v>
      </c>
      <c r="E4032" s="366">
        <v>7.0</v>
      </c>
      <c r="F4032" s="367">
        <v>45931.41666666667</v>
      </c>
      <c r="G4032" s="364" t="s">
        <v>1185</v>
      </c>
      <c r="H4032" s="364" t="s">
        <v>1218</v>
      </c>
    </row>
    <row r="4033" ht="15.75" customHeight="1">
      <c r="A4033" s="364" t="s">
        <v>83</v>
      </c>
      <c r="B4033" s="364" t="s">
        <v>23</v>
      </c>
      <c r="C4033" s="365" t="s">
        <v>198</v>
      </c>
      <c r="D4033" s="364" t="s">
        <v>199</v>
      </c>
      <c r="E4033" s="366">
        <v>8.0</v>
      </c>
      <c r="F4033" s="367">
        <v>45938.45833333333</v>
      </c>
      <c r="G4033" s="364" t="s">
        <v>1185</v>
      </c>
      <c r="H4033" s="364" t="s">
        <v>1218</v>
      </c>
    </row>
    <row r="4034" ht="15.75" customHeight="1">
      <c r="A4034" s="364" t="s">
        <v>83</v>
      </c>
      <c r="B4034" s="364" t="s">
        <v>23</v>
      </c>
      <c r="C4034" s="365" t="s">
        <v>198</v>
      </c>
      <c r="D4034" s="364" t="s">
        <v>199</v>
      </c>
      <c r="E4034" s="366">
        <v>9.0</v>
      </c>
      <c r="F4034" s="367">
        <v>45980.41666666667</v>
      </c>
      <c r="G4034" s="364" t="s">
        <v>1185</v>
      </c>
      <c r="H4034" s="364" t="s">
        <v>1218</v>
      </c>
    </row>
    <row r="4035" ht="15.75" customHeight="1">
      <c r="A4035" s="364" t="s">
        <v>83</v>
      </c>
      <c r="B4035" s="364" t="s">
        <v>23</v>
      </c>
      <c r="C4035" s="365" t="s">
        <v>198</v>
      </c>
      <c r="D4035" s="364" t="s">
        <v>199</v>
      </c>
      <c r="E4035" s="366">
        <v>10.0</v>
      </c>
      <c r="F4035" s="367">
        <v>45987.41666666667</v>
      </c>
      <c r="G4035" s="364" t="s">
        <v>1187</v>
      </c>
      <c r="H4035" s="364" t="s">
        <v>1218</v>
      </c>
    </row>
    <row r="4036" ht="15.75" customHeight="1">
      <c r="A4036" s="364" t="s">
        <v>83</v>
      </c>
      <c r="B4036" s="364" t="s">
        <v>23</v>
      </c>
      <c r="C4036" s="365" t="s">
        <v>198</v>
      </c>
      <c r="D4036" s="364" t="s">
        <v>199</v>
      </c>
      <c r="E4036" s="366">
        <v>11.0</v>
      </c>
      <c r="F4036" s="367">
        <v>45994.58333333333</v>
      </c>
      <c r="G4036" s="364" t="s">
        <v>1185</v>
      </c>
      <c r="H4036" s="364" t="s">
        <v>1218</v>
      </c>
    </row>
    <row r="4037" ht="15.75" customHeight="1">
      <c r="A4037" s="364" t="s">
        <v>83</v>
      </c>
      <c r="B4037" s="364" t="s">
        <v>23</v>
      </c>
      <c r="C4037" s="365" t="s">
        <v>198</v>
      </c>
      <c r="D4037" s="364" t="s">
        <v>199</v>
      </c>
      <c r="E4037" s="366">
        <v>12.0</v>
      </c>
      <c r="F4037" s="367">
        <v>46008.41666666667</v>
      </c>
      <c r="G4037" s="364" t="s">
        <v>1185</v>
      </c>
      <c r="H4037" s="364" t="s">
        <v>1218</v>
      </c>
    </row>
    <row r="4038" ht="15.75" customHeight="1">
      <c r="A4038" s="364" t="s">
        <v>83</v>
      </c>
      <c r="B4038" s="364" t="s">
        <v>23</v>
      </c>
      <c r="C4038" s="365" t="s">
        <v>198</v>
      </c>
      <c r="D4038" s="364" t="s">
        <v>199</v>
      </c>
      <c r="E4038" s="366">
        <v>13.0</v>
      </c>
      <c r="F4038" s="367">
        <v>46036.41666666667</v>
      </c>
      <c r="G4038" s="364" t="s">
        <v>1185</v>
      </c>
      <c r="H4038" s="364" t="s">
        <v>1218</v>
      </c>
    </row>
    <row r="4039" ht="15.75" customHeight="1">
      <c r="A4039" s="364" t="s">
        <v>83</v>
      </c>
      <c r="B4039" s="364" t="s">
        <v>23</v>
      </c>
      <c r="C4039" s="365" t="s">
        <v>198</v>
      </c>
      <c r="D4039" s="364" t="s">
        <v>199</v>
      </c>
      <c r="E4039" s="366">
        <v>14.0</v>
      </c>
      <c r="F4039" s="367">
        <v>46043.45833333333</v>
      </c>
      <c r="G4039" s="364" t="s">
        <v>1185</v>
      </c>
      <c r="H4039" s="364" t="s">
        <v>1218</v>
      </c>
    </row>
    <row r="4040" ht="15.75" customHeight="1">
      <c r="A4040" s="364" t="s">
        <v>83</v>
      </c>
      <c r="B4040" s="364" t="s">
        <v>23</v>
      </c>
      <c r="C4040" s="365" t="s">
        <v>198</v>
      </c>
      <c r="D4040" s="364" t="s">
        <v>199</v>
      </c>
      <c r="E4040" s="366">
        <v>15.0</v>
      </c>
      <c r="F4040" s="367">
        <v>46050.41666666667</v>
      </c>
      <c r="G4040" s="364" t="s">
        <v>1185</v>
      </c>
      <c r="H4040" s="364" t="s">
        <v>1218</v>
      </c>
    </row>
    <row r="4041" ht="15.75" customHeight="1">
      <c r="A4041" s="364" t="s">
        <v>83</v>
      </c>
      <c r="B4041" s="364" t="s">
        <v>23</v>
      </c>
      <c r="C4041" s="365" t="s">
        <v>198</v>
      </c>
      <c r="D4041" s="364" t="s">
        <v>199</v>
      </c>
      <c r="E4041" s="366">
        <v>16.0</v>
      </c>
      <c r="F4041" s="367">
        <v>46106.54166666667</v>
      </c>
      <c r="G4041" s="364" t="s">
        <v>1185</v>
      </c>
      <c r="H4041" s="364" t="s">
        <v>1218</v>
      </c>
    </row>
    <row r="4042" ht="15.75" customHeight="1">
      <c r="A4042" s="364" t="s">
        <v>84</v>
      </c>
      <c r="B4042" s="364" t="s">
        <v>25</v>
      </c>
      <c r="C4042" s="365" t="s">
        <v>675</v>
      </c>
      <c r="D4042" s="364" t="s">
        <v>676</v>
      </c>
      <c r="E4042" s="366">
        <v>1.0</v>
      </c>
      <c r="F4042" s="367">
        <v>46091.54166666667</v>
      </c>
      <c r="G4042" s="364" t="s">
        <v>1185</v>
      </c>
      <c r="H4042" s="364" t="s">
        <v>1219</v>
      </c>
    </row>
    <row r="4043" ht="15.75" customHeight="1">
      <c r="A4043" s="364" t="s">
        <v>84</v>
      </c>
      <c r="B4043" s="364" t="s">
        <v>25</v>
      </c>
      <c r="C4043" s="365" t="s">
        <v>675</v>
      </c>
      <c r="D4043" s="364" t="s">
        <v>676</v>
      </c>
      <c r="E4043" s="366">
        <v>2.0</v>
      </c>
      <c r="F4043" s="367">
        <v>46098.54166666667</v>
      </c>
      <c r="G4043" s="364" t="s">
        <v>1185</v>
      </c>
      <c r="H4043" s="364" t="s">
        <v>1219</v>
      </c>
    </row>
    <row r="4044" ht="15.75" customHeight="1">
      <c r="A4044" s="364" t="s">
        <v>84</v>
      </c>
      <c r="B4044" s="364" t="s">
        <v>25</v>
      </c>
      <c r="C4044" s="365" t="s">
        <v>675</v>
      </c>
      <c r="D4044" s="364" t="s">
        <v>676</v>
      </c>
      <c r="E4044" s="366">
        <v>3.0</v>
      </c>
      <c r="F4044" s="367">
        <v>46105.54166666667</v>
      </c>
      <c r="G4044" s="364" t="s">
        <v>1187</v>
      </c>
      <c r="H4044" s="364" t="s">
        <v>1219</v>
      </c>
    </row>
    <row r="4045" ht="15.75" customHeight="1">
      <c r="A4045" s="364" t="s">
        <v>84</v>
      </c>
      <c r="B4045" s="364" t="s">
        <v>25</v>
      </c>
      <c r="C4045" s="365" t="s">
        <v>675</v>
      </c>
      <c r="D4045" s="364" t="s">
        <v>676</v>
      </c>
      <c r="E4045" s="366">
        <v>4.0</v>
      </c>
      <c r="F4045" s="367">
        <v>46114.54166666667</v>
      </c>
      <c r="G4045" s="364" t="s">
        <v>1185</v>
      </c>
      <c r="H4045" s="364" t="s">
        <v>1219</v>
      </c>
    </row>
    <row r="4046" ht="15.75" customHeight="1">
      <c r="A4046" s="364" t="s">
        <v>84</v>
      </c>
      <c r="B4046" s="364" t="s">
        <v>25</v>
      </c>
      <c r="C4046" s="365" t="s">
        <v>675</v>
      </c>
      <c r="D4046" s="364" t="s">
        <v>676</v>
      </c>
      <c r="E4046" s="366">
        <v>5.0</v>
      </c>
      <c r="F4046" s="367">
        <v>46119.54166666667</v>
      </c>
      <c r="G4046" s="364" t="s">
        <v>1185</v>
      </c>
      <c r="H4046" s="364" t="s">
        <v>1219</v>
      </c>
    </row>
    <row r="4047" ht="15.75" customHeight="1">
      <c r="A4047" s="364" t="s">
        <v>84</v>
      </c>
      <c r="B4047" s="364" t="s">
        <v>25</v>
      </c>
      <c r="C4047" s="365" t="s">
        <v>675</v>
      </c>
      <c r="D4047" s="364" t="s">
        <v>676</v>
      </c>
      <c r="E4047" s="366">
        <v>6.0</v>
      </c>
      <c r="F4047" s="367">
        <v>46126.54166666667</v>
      </c>
      <c r="G4047" s="364" t="s">
        <v>1185</v>
      </c>
      <c r="H4047" s="364" t="s">
        <v>1219</v>
      </c>
    </row>
    <row r="4048" ht="15.75" customHeight="1">
      <c r="A4048" s="364" t="s">
        <v>84</v>
      </c>
      <c r="B4048" s="364" t="s">
        <v>25</v>
      </c>
      <c r="C4048" s="365" t="s">
        <v>675</v>
      </c>
      <c r="D4048" s="364" t="s">
        <v>676</v>
      </c>
      <c r="E4048" s="366">
        <v>8.0</v>
      </c>
      <c r="F4048" s="367">
        <v>46154.54166666667</v>
      </c>
      <c r="G4048" s="364" t="s">
        <v>1185</v>
      </c>
      <c r="H4048" s="364" t="s">
        <v>1219</v>
      </c>
    </row>
    <row r="4049" ht="15.75" customHeight="1">
      <c r="A4049" s="364" t="s">
        <v>84</v>
      </c>
      <c r="B4049" s="364" t="s">
        <v>25</v>
      </c>
      <c r="C4049" s="365" t="s">
        <v>675</v>
      </c>
      <c r="D4049" s="364" t="s">
        <v>676</v>
      </c>
      <c r="E4049" s="366">
        <v>9.0</v>
      </c>
      <c r="F4049" s="367">
        <v>46161.54166666667</v>
      </c>
      <c r="G4049" s="364" t="s">
        <v>1185</v>
      </c>
      <c r="H4049" s="364" t="s">
        <v>1219</v>
      </c>
    </row>
    <row r="4050" ht="15.75" customHeight="1">
      <c r="A4050" s="364" t="s">
        <v>84</v>
      </c>
      <c r="B4050" s="364" t="s">
        <v>25</v>
      </c>
      <c r="C4050" s="365" t="s">
        <v>675</v>
      </c>
      <c r="D4050" s="364" t="s">
        <v>676</v>
      </c>
      <c r="E4050" s="366">
        <v>10.0</v>
      </c>
      <c r="F4050" s="367">
        <v>46168.54166666667</v>
      </c>
      <c r="G4050" s="364" t="s">
        <v>1185</v>
      </c>
      <c r="H4050" s="364" t="s">
        <v>1219</v>
      </c>
    </row>
    <row r="4051" ht="15.75" customHeight="1">
      <c r="A4051" s="364" t="s">
        <v>84</v>
      </c>
      <c r="B4051" s="364" t="s">
        <v>25</v>
      </c>
      <c r="C4051" s="365" t="s">
        <v>675</v>
      </c>
      <c r="D4051" s="364" t="s">
        <v>676</v>
      </c>
      <c r="E4051" s="366">
        <v>11.0</v>
      </c>
      <c r="F4051" s="367">
        <v>46182.54166666667</v>
      </c>
      <c r="G4051" s="364" t="s">
        <v>1185</v>
      </c>
      <c r="H4051" s="364" t="s">
        <v>1219</v>
      </c>
    </row>
    <row r="4052" ht="15.75" customHeight="1">
      <c r="A4052" s="364" t="s">
        <v>84</v>
      </c>
      <c r="B4052" s="364" t="s">
        <v>25</v>
      </c>
      <c r="C4052" s="365" t="s">
        <v>675</v>
      </c>
      <c r="D4052" s="364" t="s">
        <v>676</v>
      </c>
      <c r="E4052" s="366">
        <v>12.0</v>
      </c>
      <c r="F4052" s="367">
        <v>46189.54166666667</v>
      </c>
      <c r="G4052" s="364" t="s">
        <v>1185</v>
      </c>
      <c r="H4052" s="364" t="s">
        <v>1219</v>
      </c>
    </row>
    <row r="4053" ht="15.75" customHeight="1">
      <c r="A4053" s="364" t="s">
        <v>84</v>
      </c>
      <c r="B4053" s="364" t="s">
        <v>25</v>
      </c>
      <c r="C4053" s="365" t="s">
        <v>675</v>
      </c>
      <c r="D4053" s="364" t="s">
        <v>676</v>
      </c>
      <c r="E4053" s="366">
        <v>14.0</v>
      </c>
      <c r="F4053" s="367">
        <v>46203.54166666667</v>
      </c>
      <c r="G4053" s="364" t="s">
        <v>1185</v>
      </c>
      <c r="H4053" s="364" t="s">
        <v>1219</v>
      </c>
    </row>
    <row r="4054" ht="15.75" customHeight="1">
      <c r="A4054" s="364" t="s">
        <v>84</v>
      </c>
      <c r="B4054" s="364" t="s">
        <v>25</v>
      </c>
      <c r="C4054" s="365" t="s">
        <v>675</v>
      </c>
      <c r="D4054" s="364" t="s">
        <v>676</v>
      </c>
      <c r="E4054" s="366">
        <v>15.0</v>
      </c>
      <c r="F4054" s="367">
        <v>46210.54166666667</v>
      </c>
      <c r="G4054" s="364" t="s">
        <v>1185</v>
      </c>
      <c r="H4054" s="364" t="s">
        <v>1219</v>
      </c>
    </row>
    <row r="4055" ht="15.75" customHeight="1">
      <c r="A4055" s="364" t="s">
        <v>84</v>
      </c>
      <c r="B4055" s="364" t="s">
        <v>25</v>
      </c>
      <c r="C4055" s="365" t="s">
        <v>677</v>
      </c>
      <c r="D4055" s="364" t="s">
        <v>678</v>
      </c>
      <c r="E4055" s="366">
        <v>1.0</v>
      </c>
      <c r="F4055" s="367">
        <v>46091.54166666667</v>
      </c>
      <c r="G4055" s="364" t="s">
        <v>1185</v>
      </c>
      <c r="H4055" s="364" t="s">
        <v>1219</v>
      </c>
    </row>
    <row r="4056" ht="15.75" customHeight="1">
      <c r="A4056" s="364" t="s">
        <v>84</v>
      </c>
      <c r="B4056" s="364" t="s">
        <v>25</v>
      </c>
      <c r="C4056" s="365" t="s">
        <v>677</v>
      </c>
      <c r="D4056" s="364" t="s">
        <v>678</v>
      </c>
      <c r="E4056" s="366">
        <v>2.0</v>
      </c>
      <c r="F4056" s="367">
        <v>46098.54166666667</v>
      </c>
      <c r="G4056" s="364" t="s">
        <v>1185</v>
      </c>
      <c r="H4056" s="364" t="s">
        <v>1219</v>
      </c>
    </row>
    <row r="4057" ht="15.75" customHeight="1">
      <c r="A4057" s="364" t="s">
        <v>84</v>
      </c>
      <c r="B4057" s="364" t="s">
        <v>25</v>
      </c>
      <c r="C4057" s="365" t="s">
        <v>677</v>
      </c>
      <c r="D4057" s="364" t="s">
        <v>678</v>
      </c>
      <c r="E4057" s="366">
        <v>3.0</v>
      </c>
      <c r="F4057" s="367">
        <v>46105.54166666667</v>
      </c>
      <c r="G4057" s="364" t="s">
        <v>1187</v>
      </c>
      <c r="H4057" s="364" t="s">
        <v>1219</v>
      </c>
    </row>
    <row r="4058" ht="15.75" customHeight="1">
      <c r="A4058" s="364" t="s">
        <v>84</v>
      </c>
      <c r="B4058" s="364" t="s">
        <v>25</v>
      </c>
      <c r="C4058" s="365" t="s">
        <v>677</v>
      </c>
      <c r="D4058" s="364" t="s">
        <v>678</v>
      </c>
      <c r="E4058" s="366">
        <v>4.0</v>
      </c>
      <c r="F4058" s="367">
        <v>46114.54166666667</v>
      </c>
      <c r="G4058" s="364" t="s">
        <v>1185</v>
      </c>
      <c r="H4058" s="364" t="s">
        <v>1219</v>
      </c>
    </row>
    <row r="4059" ht="15.75" customHeight="1">
      <c r="A4059" s="364" t="s">
        <v>84</v>
      </c>
      <c r="B4059" s="364" t="s">
        <v>25</v>
      </c>
      <c r="C4059" s="365" t="s">
        <v>677</v>
      </c>
      <c r="D4059" s="364" t="s">
        <v>678</v>
      </c>
      <c r="E4059" s="366">
        <v>5.0</v>
      </c>
      <c r="F4059" s="367">
        <v>46119.54166666667</v>
      </c>
      <c r="G4059" s="364" t="s">
        <v>1187</v>
      </c>
      <c r="H4059" s="364" t="s">
        <v>1219</v>
      </c>
    </row>
    <row r="4060" ht="15.75" customHeight="1">
      <c r="A4060" s="364" t="s">
        <v>84</v>
      </c>
      <c r="B4060" s="364" t="s">
        <v>25</v>
      </c>
      <c r="C4060" s="365" t="s">
        <v>677</v>
      </c>
      <c r="D4060" s="364" t="s">
        <v>678</v>
      </c>
      <c r="E4060" s="366">
        <v>6.0</v>
      </c>
      <c r="F4060" s="367">
        <v>46126.54166666667</v>
      </c>
      <c r="G4060" s="364" t="s">
        <v>1185</v>
      </c>
      <c r="H4060" s="364" t="s">
        <v>1219</v>
      </c>
    </row>
    <row r="4061" ht="15.75" customHeight="1">
      <c r="A4061" s="364" t="s">
        <v>84</v>
      </c>
      <c r="B4061" s="364" t="s">
        <v>25</v>
      </c>
      <c r="C4061" s="365" t="s">
        <v>677</v>
      </c>
      <c r="D4061" s="364" t="s">
        <v>678</v>
      </c>
      <c r="E4061" s="366">
        <v>8.0</v>
      </c>
      <c r="F4061" s="367">
        <v>46154.54166666667</v>
      </c>
      <c r="G4061" s="364" t="s">
        <v>1185</v>
      </c>
      <c r="H4061" s="364" t="s">
        <v>1219</v>
      </c>
    </row>
    <row r="4062" ht="15.75" customHeight="1">
      <c r="A4062" s="364" t="s">
        <v>84</v>
      </c>
      <c r="B4062" s="364" t="s">
        <v>25</v>
      </c>
      <c r="C4062" s="365" t="s">
        <v>677</v>
      </c>
      <c r="D4062" s="364" t="s">
        <v>678</v>
      </c>
      <c r="E4062" s="366">
        <v>9.0</v>
      </c>
      <c r="F4062" s="367">
        <v>46161.54166666667</v>
      </c>
      <c r="G4062" s="364" t="s">
        <v>1185</v>
      </c>
      <c r="H4062" s="364" t="s">
        <v>1219</v>
      </c>
    </row>
    <row r="4063" ht="15.75" customHeight="1">
      <c r="A4063" s="364" t="s">
        <v>84</v>
      </c>
      <c r="B4063" s="364" t="s">
        <v>25</v>
      </c>
      <c r="C4063" s="365" t="s">
        <v>677</v>
      </c>
      <c r="D4063" s="364" t="s">
        <v>678</v>
      </c>
      <c r="E4063" s="366">
        <v>10.0</v>
      </c>
      <c r="F4063" s="367">
        <v>46168.54166666667</v>
      </c>
      <c r="G4063" s="364" t="s">
        <v>1185</v>
      </c>
      <c r="H4063" s="364" t="s">
        <v>1219</v>
      </c>
    </row>
    <row r="4064" ht="15.75" customHeight="1">
      <c r="A4064" s="364" t="s">
        <v>84</v>
      </c>
      <c r="B4064" s="364" t="s">
        <v>25</v>
      </c>
      <c r="C4064" s="365" t="s">
        <v>677</v>
      </c>
      <c r="D4064" s="364" t="s">
        <v>678</v>
      </c>
      <c r="E4064" s="366">
        <v>11.0</v>
      </c>
      <c r="F4064" s="367">
        <v>46182.54166666667</v>
      </c>
      <c r="G4064" s="364" t="s">
        <v>1185</v>
      </c>
      <c r="H4064" s="364" t="s">
        <v>1219</v>
      </c>
    </row>
    <row r="4065" ht="15.75" customHeight="1">
      <c r="A4065" s="364" t="s">
        <v>84</v>
      </c>
      <c r="B4065" s="364" t="s">
        <v>25</v>
      </c>
      <c r="C4065" s="365" t="s">
        <v>677</v>
      </c>
      <c r="D4065" s="364" t="s">
        <v>678</v>
      </c>
      <c r="E4065" s="366">
        <v>12.0</v>
      </c>
      <c r="F4065" s="367">
        <v>46189.54166666667</v>
      </c>
      <c r="G4065" s="364" t="s">
        <v>1185</v>
      </c>
      <c r="H4065" s="364" t="s">
        <v>1219</v>
      </c>
    </row>
    <row r="4066" ht="15.75" customHeight="1">
      <c r="A4066" s="364" t="s">
        <v>84</v>
      </c>
      <c r="B4066" s="364" t="s">
        <v>25</v>
      </c>
      <c r="C4066" s="365" t="s">
        <v>677</v>
      </c>
      <c r="D4066" s="364" t="s">
        <v>678</v>
      </c>
      <c r="E4066" s="366">
        <v>14.0</v>
      </c>
      <c r="F4066" s="367">
        <v>46203.54166666667</v>
      </c>
      <c r="G4066" s="364" t="s">
        <v>1185</v>
      </c>
      <c r="H4066" s="364" t="s">
        <v>1219</v>
      </c>
    </row>
    <row r="4067" ht="15.75" customHeight="1">
      <c r="A4067" s="364" t="s">
        <v>84</v>
      </c>
      <c r="B4067" s="364" t="s">
        <v>25</v>
      </c>
      <c r="C4067" s="365" t="s">
        <v>677</v>
      </c>
      <c r="D4067" s="364" t="s">
        <v>678</v>
      </c>
      <c r="E4067" s="366">
        <v>15.0</v>
      </c>
      <c r="F4067" s="367">
        <v>46210.54166666667</v>
      </c>
      <c r="G4067" s="364" t="s">
        <v>1185</v>
      </c>
      <c r="H4067" s="364" t="s">
        <v>1219</v>
      </c>
    </row>
    <row r="4068" ht="15.75" customHeight="1">
      <c r="A4068" s="364" t="s">
        <v>84</v>
      </c>
      <c r="B4068" s="364" t="s">
        <v>25</v>
      </c>
      <c r="C4068" s="365" t="s">
        <v>679</v>
      </c>
      <c r="D4068" s="364" t="s">
        <v>680</v>
      </c>
      <c r="E4068" s="366">
        <v>1.0</v>
      </c>
      <c r="F4068" s="367">
        <v>46091.54166666667</v>
      </c>
      <c r="G4068" s="364" t="s">
        <v>1185</v>
      </c>
      <c r="H4068" s="364" t="s">
        <v>1219</v>
      </c>
    </row>
    <row r="4069" ht="15.75" customHeight="1">
      <c r="A4069" s="364" t="s">
        <v>84</v>
      </c>
      <c r="B4069" s="364" t="s">
        <v>25</v>
      </c>
      <c r="C4069" s="365" t="s">
        <v>679</v>
      </c>
      <c r="D4069" s="364" t="s">
        <v>680</v>
      </c>
      <c r="E4069" s="366">
        <v>2.0</v>
      </c>
      <c r="F4069" s="367">
        <v>46098.54166666667</v>
      </c>
      <c r="G4069" s="364" t="s">
        <v>1185</v>
      </c>
      <c r="H4069" s="364" t="s">
        <v>1219</v>
      </c>
    </row>
    <row r="4070" ht="15.75" customHeight="1">
      <c r="A4070" s="364" t="s">
        <v>84</v>
      </c>
      <c r="B4070" s="364" t="s">
        <v>25</v>
      </c>
      <c r="C4070" s="365" t="s">
        <v>679</v>
      </c>
      <c r="D4070" s="364" t="s">
        <v>680</v>
      </c>
      <c r="E4070" s="366">
        <v>3.0</v>
      </c>
      <c r="F4070" s="367">
        <v>46105.54166666667</v>
      </c>
      <c r="G4070" s="364" t="s">
        <v>1185</v>
      </c>
      <c r="H4070" s="364" t="s">
        <v>1219</v>
      </c>
    </row>
    <row r="4071" ht="15.75" customHeight="1">
      <c r="A4071" s="364" t="s">
        <v>84</v>
      </c>
      <c r="B4071" s="364" t="s">
        <v>25</v>
      </c>
      <c r="C4071" s="365" t="s">
        <v>679</v>
      </c>
      <c r="D4071" s="364" t="s">
        <v>680</v>
      </c>
      <c r="E4071" s="366">
        <v>4.0</v>
      </c>
      <c r="F4071" s="367">
        <v>46114.54166666667</v>
      </c>
      <c r="G4071" s="364" t="s">
        <v>1187</v>
      </c>
      <c r="H4071" s="364" t="s">
        <v>1219</v>
      </c>
    </row>
    <row r="4072" ht="15.75" customHeight="1">
      <c r="A4072" s="364" t="s">
        <v>84</v>
      </c>
      <c r="B4072" s="364" t="s">
        <v>25</v>
      </c>
      <c r="C4072" s="365" t="s">
        <v>679</v>
      </c>
      <c r="D4072" s="364" t="s">
        <v>680</v>
      </c>
      <c r="E4072" s="366">
        <v>5.0</v>
      </c>
      <c r="F4072" s="367">
        <v>46119.54166666667</v>
      </c>
      <c r="G4072" s="364" t="s">
        <v>1185</v>
      </c>
      <c r="H4072" s="364" t="s">
        <v>1219</v>
      </c>
    </row>
    <row r="4073" ht="15.75" customHeight="1">
      <c r="A4073" s="364" t="s">
        <v>84</v>
      </c>
      <c r="B4073" s="364" t="s">
        <v>25</v>
      </c>
      <c r="C4073" s="365" t="s">
        <v>679</v>
      </c>
      <c r="D4073" s="364" t="s">
        <v>680</v>
      </c>
      <c r="E4073" s="366">
        <v>6.0</v>
      </c>
      <c r="F4073" s="367">
        <v>46126.54166666667</v>
      </c>
      <c r="G4073" s="364" t="s">
        <v>1185</v>
      </c>
      <c r="H4073" s="364" t="s">
        <v>1219</v>
      </c>
    </row>
    <row r="4074" ht="15.75" customHeight="1">
      <c r="A4074" s="364" t="s">
        <v>84</v>
      </c>
      <c r="B4074" s="364" t="s">
        <v>25</v>
      </c>
      <c r="C4074" s="365" t="s">
        <v>679</v>
      </c>
      <c r="D4074" s="364" t="s">
        <v>680</v>
      </c>
      <c r="E4074" s="366">
        <v>8.0</v>
      </c>
      <c r="F4074" s="367">
        <v>46154.54166666667</v>
      </c>
      <c r="G4074" s="364" t="s">
        <v>1185</v>
      </c>
      <c r="H4074" s="364" t="s">
        <v>1219</v>
      </c>
    </row>
    <row r="4075" ht="15.75" customHeight="1">
      <c r="A4075" s="364" t="s">
        <v>84</v>
      </c>
      <c r="B4075" s="364" t="s">
        <v>25</v>
      </c>
      <c r="C4075" s="365" t="s">
        <v>679</v>
      </c>
      <c r="D4075" s="364" t="s">
        <v>680</v>
      </c>
      <c r="E4075" s="366">
        <v>9.0</v>
      </c>
      <c r="F4075" s="367">
        <v>46161.54166666667</v>
      </c>
      <c r="G4075" s="364" t="s">
        <v>1185</v>
      </c>
      <c r="H4075" s="364" t="s">
        <v>1219</v>
      </c>
    </row>
    <row r="4076" ht="15.75" customHeight="1">
      <c r="A4076" s="364" t="s">
        <v>84</v>
      </c>
      <c r="B4076" s="364" t="s">
        <v>25</v>
      </c>
      <c r="C4076" s="365" t="s">
        <v>679</v>
      </c>
      <c r="D4076" s="364" t="s">
        <v>680</v>
      </c>
      <c r="E4076" s="366">
        <v>10.0</v>
      </c>
      <c r="F4076" s="367">
        <v>46168.54166666667</v>
      </c>
      <c r="G4076" s="364" t="s">
        <v>1185</v>
      </c>
      <c r="H4076" s="364" t="s">
        <v>1219</v>
      </c>
    </row>
    <row r="4077" ht="15.75" customHeight="1">
      <c r="A4077" s="364" t="s">
        <v>84</v>
      </c>
      <c r="B4077" s="364" t="s">
        <v>25</v>
      </c>
      <c r="C4077" s="365" t="s">
        <v>679</v>
      </c>
      <c r="D4077" s="364" t="s">
        <v>680</v>
      </c>
      <c r="E4077" s="366">
        <v>11.0</v>
      </c>
      <c r="F4077" s="367">
        <v>46182.54166666667</v>
      </c>
      <c r="G4077" s="364" t="s">
        <v>1185</v>
      </c>
      <c r="H4077" s="364" t="s">
        <v>1219</v>
      </c>
    </row>
    <row r="4078" ht="15.75" customHeight="1">
      <c r="A4078" s="364" t="s">
        <v>84</v>
      </c>
      <c r="B4078" s="364" t="s">
        <v>25</v>
      </c>
      <c r="C4078" s="365" t="s">
        <v>679</v>
      </c>
      <c r="D4078" s="364" t="s">
        <v>680</v>
      </c>
      <c r="E4078" s="366">
        <v>12.0</v>
      </c>
      <c r="F4078" s="367">
        <v>46189.54166666667</v>
      </c>
      <c r="G4078" s="364" t="s">
        <v>1185</v>
      </c>
      <c r="H4078" s="364" t="s">
        <v>1219</v>
      </c>
    </row>
    <row r="4079" ht="15.75" customHeight="1">
      <c r="A4079" s="364" t="s">
        <v>84</v>
      </c>
      <c r="B4079" s="364" t="s">
        <v>25</v>
      </c>
      <c r="C4079" s="365" t="s">
        <v>679</v>
      </c>
      <c r="D4079" s="364" t="s">
        <v>680</v>
      </c>
      <c r="E4079" s="366">
        <v>14.0</v>
      </c>
      <c r="F4079" s="367">
        <v>46203.54166666667</v>
      </c>
      <c r="G4079" s="364" t="s">
        <v>1185</v>
      </c>
      <c r="H4079" s="364" t="s">
        <v>1219</v>
      </c>
    </row>
    <row r="4080" ht="15.75" customHeight="1">
      <c r="A4080" s="364" t="s">
        <v>84</v>
      </c>
      <c r="B4080" s="364" t="s">
        <v>25</v>
      </c>
      <c r="C4080" s="365" t="s">
        <v>679</v>
      </c>
      <c r="D4080" s="364" t="s">
        <v>680</v>
      </c>
      <c r="E4080" s="366">
        <v>15.0</v>
      </c>
      <c r="F4080" s="367">
        <v>46210.54166666667</v>
      </c>
      <c r="G4080" s="364" t="s">
        <v>1185</v>
      </c>
      <c r="H4080" s="364" t="s">
        <v>1219</v>
      </c>
    </row>
    <row r="4081" ht="15.75" customHeight="1">
      <c r="A4081" s="364" t="s">
        <v>84</v>
      </c>
      <c r="B4081" s="364" t="s">
        <v>25</v>
      </c>
      <c r="C4081" s="365" t="s">
        <v>683</v>
      </c>
      <c r="D4081" s="364" t="s">
        <v>684</v>
      </c>
      <c r="E4081" s="366">
        <v>1.0</v>
      </c>
      <c r="F4081" s="367">
        <v>46091.54166666667</v>
      </c>
      <c r="G4081" s="364" t="s">
        <v>1187</v>
      </c>
      <c r="H4081" s="364" t="s">
        <v>1219</v>
      </c>
    </row>
    <row r="4082" ht="15.75" customHeight="1">
      <c r="A4082" s="364" t="s">
        <v>84</v>
      </c>
      <c r="B4082" s="364" t="s">
        <v>25</v>
      </c>
      <c r="C4082" s="365" t="s">
        <v>683</v>
      </c>
      <c r="D4082" s="364" t="s">
        <v>684</v>
      </c>
      <c r="E4082" s="366">
        <v>2.0</v>
      </c>
      <c r="F4082" s="367">
        <v>46098.54166666667</v>
      </c>
      <c r="G4082" s="364" t="s">
        <v>1185</v>
      </c>
      <c r="H4082" s="364" t="s">
        <v>1219</v>
      </c>
    </row>
    <row r="4083" ht="15.75" customHeight="1">
      <c r="A4083" s="364" t="s">
        <v>84</v>
      </c>
      <c r="B4083" s="364" t="s">
        <v>25</v>
      </c>
      <c r="C4083" s="365" t="s">
        <v>683</v>
      </c>
      <c r="D4083" s="364" t="s">
        <v>684</v>
      </c>
      <c r="E4083" s="366">
        <v>3.0</v>
      </c>
      <c r="F4083" s="367">
        <v>46105.54166666667</v>
      </c>
      <c r="G4083" s="364" t="s">
        <v>1185</v>
      </c>
      <c r="H4083" s="364" t="s">
        <v>1219</v>
      </c>
    </row>
    <row r="4084" ht="15.75" customHeight="1">
      <c r="A4084" s="364" t="s">
        <v>84</v>
      </c>
      <c r="B4084" s="364" t="s">
        <v>25</v>
      </c>
      <c r="C4084" s="365" t="s">
        <v>683</v>
      </c>
      <c r="D4084" s="364" t="s">
        <v>684</v>
      </c>
      <c r="E4084" s="366">
        <v>4.0</v>
      </c>
      <c r="F4084" s="367">
        <v>46114.54166666667</v>
      </c>
      <c r="G4084" s="364" t="s">
        <v>1185</v>
      </c>
      <c r="H4084" s="364" t="s">
        <v>1219</v>
      </c>
    </row>
    <row r="4085" ht="15.75" customHeight="1">
      <c r="A4085" s="364" t="s">
        <v>84</v>
      </c>
      <c r="B4085" s="364" t="s">
        <v>25</v>
      </c>
      <c r="C4085" s="365" t="s">
        <v>683</v>
      </c>
      <c r="D4085" s="364" t="s">
        <v>684</v>
      </c>
      <c r="E4085" s="366">
        <v>5.0</v>
      </c>
      <c r="F4085" s="367">
        <v>46119.54166666667</v>
      </c>
      <c r="G4085" s="364" t="s">
        <v>1185</v>
      </c>
      <c r="H4085" s="364" t="s">
        <v>1219</v>
      </c>
    </row>
    <row r="4086" ht="15.75" customHeight="1">
      <c r="A4086" s="364" t="s">
        <v>84</v>
      </c>
      <c r="B4086" s="364" t="s">
        <v>25</v>
      </c>
      <c r="C4086" s="365" t="s">
        <v>683</v>
      </c>
      <c r="D4086" s="364" t="s">
        <v>684</v>
      </c>
      <c r="E4086" s="366">
        <v>6.0</v>
      </c>
      <c r="F4086" s="367">
        <v>46126.54166666667</v>
      </c>
      <c r="G4086" s="364" t="s">
        <v>1187</v>
      </c>
      <c r="H4086" s="364" t="s">
        <v>1219</v>
      </c>
    </row>
    <row r="4087" ht="15.75" customHeight="1">
      <c r="A4087" s="364" t="s">
        <v>84</v>
      </c>
      <c r="B4087" s="364" t="s">
        <v>25</v>
      </c>
      <c r="C4087" s="365" t="s">
        <v>683</v>
      </c>
      <c r="D4087" s="364" t="s">
        <v>684</v>
      </c>
      <c r="E4087" s="366">
        <v>8.0</v>
      </c>
      <c r="F4087" s="367">
        <v>46154.54166666667</v>
      </c>
      <c r="G4087" s="364" t="s">
        <v>1185</v>
      </c>
      <c r="H4087" s="364" t="s">
        <v>1219</v>
      </c>
    </row>
    <row r="4088" ht="15.75" customHeight="1">
      <c r="A4088" s="364" t="s">
        <v>84</v>
      </c>
      <c r="B4088" s="364" t="s">
        <v>25</v>
      </c>
      <c r="C4088" s="365" t="s">
        <v>683</v>
      </c>
      <c r="D4088" s="364" t="s">
        <v>684</v>
      </c>
      <c r="E4088" s="366">
        <v>9.0</v>
      </c>
      <c r="F4088" s="367">
        <v>46161.54166666667</v>
      </c>
      <c r="G4088" s="364" t="s">
        <v>1185</v>
      </c>
      <c r="H4088" s="364" t="s">
        <v>1219</v>
      </c>
    </row>
    <row r="4089" ht="15.75" customHeight="1">
      <c r="A4089" s="364" t="s">
        <v>84</v>
      </c>
      <c r="B4089" s="364" t="s">
        <v>25</v>
      </c>
      <c r="C4089" s="365" t="s">
        <v>683</v>
      </c>
      <c r="D4089" s="364" t="s">
        <v>684</v>
      </c>
      <c r="E4089" s="366">
        <v>10.0</v>
      </c>
      <c r="F4089" s="367">
        <v>46168.54166666667</v>
      </c>
      <c r="G4089" s="364" t="s">
        <v>1185</v>
      </c>
      <c r="H4089" s="364" t="s">
        <v>1219</v>
      </c>
    </row>
    <row r="4090" ht="15.75" customHeight="1">
      <c r="A4090" s="364" t="s">
        <v>84</v>
      </c>
      <c r="B4090" s="364" t="s">
        <v>25</v>
      </c>
      <c r="C4090" s="365" t="s">
        <v>683</v>
      </c>
      <c r="D4090" s="364" t="s">
        <v>684</v>
      </c>
      <c r="E4090" s="366">
        <v>11.0</v>
      </c>
      <c r="F4090" s="367">
        <v>46182.54166666667</v>
      </c>
      <c r="G4090" s="364" t="s">
        <v>1185</v>
      </c>
      <c r="H4090" s="364" t="s">
        <v>1219</v>
      </c>
    </row>
    <row r="4091" ht="15.75" customHeight="1">
      <c r="A4091" s="364" t="s">
        <v>84</v>
      </c>
      <c r="B4091" s="364" t="s">
        <v>25</v>
      </c>
      <c r="C4091" s="365" t="s">
        <v>683</v>
      </c>
      <c r="D4091" s="364" t="s">
        <v>684</v>
      </c>
      <c r="E4091" s="366">
        <v>12.0</v>
      </c>
      <c r="F4091" s="367">
        <v>46189.54166666667</v>
      </c>
      <c r="G4091" s="364" t="s">
        <v>1185</v>
      </c>
      <c r="H4091" s="364" t="s">
        <v>1219</v>
      </c>
    </row>
    <row r="4092" ht="15.75" customHeight="1">
      <c r="A4092" s="364" t="s">
        <v>84</v>
      </c>
      <c r="B4092" s="364" t="s">
        <v>25</v>
      </c>
      <c r="C4092" s="365" t="s">
        <v>683</v>
      </c>
      <c r="D4092" s="364" t="s">
        <v>684</v>
      </c>
      <c r="E4092" s="366">
        <v>14.0</v>
      </c>
      <c r="F4092" s="367">
        <v>46203.54166666667</v>
      </c>
      <c r="G4092" s="364" t="s">
        <v>1185</v>
      </c>
      <c r="H4092" s="364" t="s">
        <v>1219</v>
      </c>
    </row>
    <row r="4093" ht="15.75" customHeight="1">
      <c r="A4093" s="364" t="s">
        <v>84</v>
      </c>
      <c r="B4093" s="364" t="s">
        <v>25</v>
      </c>
      <c r="C4093" s="365" t="s">
        <v>683</v>
      </c>
      <c r="D4093" s="364" t="s">
        <v>684</v>
      </c>
      <c r="E4093" s="366">
        <v>15.0</v>
      </c>
      <c r="F4093" s="367">
        <v>46210.54166666667</v>
      </c>
      <c r="G4093" s="364" t="s">
        <v>1185</v>
      </c>
      <c r="H4093" s="364" t="s">
        <v>1219</v>
      </c>
    </row>
    <row r="4094" ht="15.75" customHeight="1">
      <c r="A4094" s="364" t="s">
        <v>84</v>
      </c>
      <c r="B4094" s="364" t="s">
        <v>25</v>
      </c>
      <c r="C4094" s="365" t="s">
        <v>681</v>
      </c>
      <c r="D4094" s="364" t="s">
        <v>682</v>
      </c>
      <c r="E4094" s="366">
        <v>1.0</v>
      </c>
      <c r="F4094" s="367">
        <v>46091.54166666667</v>
      </c>
      <c r="G4094" s="364" t="s">
        <v>1185</v>
      </c>
      <c r="H4094" s="364" t="s">
        <v>1219</v>
      </c>
    </row>
    <row r="4095" ht="15.75" customHeight="1">
      <c r="A4095" s="364" t="s">
        <v>84</v>
      </c>
      <c r="B4095" s="364" t="s">
        <v>25</v>
      </c>
      <c r="C4095" s="365" t="s">
        <v>681</v>
      </c>
      <c r="D4095" s="364" t="s">
        <v>682</v>
      </c>
      <c r="E4095" s="366">
        <v>2.0</v>
      </c>
      <c r="F4095" s="367">
        <v>46098.54166666667</v>
      </c>
      <c r="G4095" s="364" t="s">
        <v>1185</v>
      </c>
      <c r="H4095" s="364" t="s">
        <v>1219</v>
      </c>
    </row>
    <row r="4096" ht="15.75" customHeight="1">
      <c r="A4096" s="364" t="s">
        <v>84</v>
      </c>
      <c r="B4096" s="364" t="s">
        <v>25</v>
      </c>
      <c r="C4096" s="365" t="s">
        <v>681</v>
      </c>
      <c r="D4096" s="364" t="s">
        <v>682</v>
      </c>
      <c r="E4096" s="366">
        <v>3.0</v>
      </c>
      <c r="F4096" s="367">
        <v>46105.54166666667</v>
      </c>
      <c r="G4096" s="364" t="s">
        <v>1185</v>
      </c>
      <c r="H4096" s="364" t="s">
        <v>1219</v>
      </c>
    </row>
    <row r="4097" ht="15.75" customHeight="1">
      <c r="A4097" s="364" t="s">
        <v>84</v>
      </c>
      <c r="B4097" s="364" t="s">
        <v>25</v>
      </c>
      <c r="C4097" s="365" t="s">
        <v>681</v>
      </c>
      <c r="D4097" s="364" t="s">
        <v>682</v>
      </c>
      <c r="E4097" s="366">
        <v>4.0</v>
      </c>
      <c r="F4097" s="367">
        <v>46114.54166666667</v>
      </c>
      <c r="G4097" s="364" t="s">
        <v>1185</v>
      </c>
      <c r="H4097" s="364" t="s">
        <v>1219</v>
      </c>
    </row>
    <row r="4098" ht="15.75" customHeight="1">
      <c r="A4098" s="364" t="s">
        <v>84</v>
      </c>
      <c r="B4098" s="364" t="s">
        <v>25</v>
      </c>
      <c r="C4098" s="365" t="s">
        <v>681</v>
      </c>
      <c r="D4098" s="364" t="s">
        <v>682</v>
      </c>
      <c r="E4098" s="366">
        <v>5.0</v>
      </c>
      <c r="F4098" s="367">
        <v>46119.54166666667</v>
      </c>
      <c r="G4098" s="364" t="s">
        <v>1185</v>
      </c>
      <c r="H4098" s="364" t="s">
        <v>1219</v>
      </c>
    </row>
    <row r="4099" ht="15.75" customHeight="1">
      <c r="A4099" s="364" t="s">
        <v>84</v>
      </c>
      <c r="B4099" s="364" t="s">
        <v>25</v>
      </c>
      <c r="C4099" s="365" t="s">
        <v>681</v>
      </c>
      <c r="D4099" s="364" t="s">
        <v>682</v>
      </c>
      <c r="E4099" s="366">
        <v>6.0</v>
      </c>
      <c r="F4099" s="367">
        <v>46126.54166666667</v>
      </c>
      <c r="G4099" s="364" t="s">
        <v>1185</v>
      </c>
      <c r="H4099" s="364" t="s">
        <v>1219</v>
      </c>
    </row>
    <row r="4100" ht="15.75" customHeight="1">
      <c r="A4100" s="364" t="s">
        <v>84</v>
      </c>
      <c r="B4100" s="364" t="s">
        <v>25</v>
      </c>
      <c r="C4100" s="365" t="s">
        <v>681</v>
      </c>
      <c r="D4100" s="364" t="s">
        <v>682</v>
      </c>
      <c r="E4100" s="366">
        <v>8.0</v>
      </c>
      <c r="F4100" s="367">
        <v>46154.54166666667</v>
      </c>
      <c r="G4100" s="364" t="s">
        <v>1185</v>
      </c>
      <c r="H4100" s="364" t="s">
        <v>1219</v>
      </c>
    </row>
    <row r="4101" ht="15.75" customHeight="1">
      <c r="A4101" s="364" t="s">
        <v>84</v>
      </c>
      <c r="B4101" s="364" t="s">
        <v>25</v>
      </c>
      <c r="C4101" s="365" t="s">
        <v>681</v>
      </c>
      <c r="D4101" s="364" t="s">
        <v>682</v>
      </c>
      <c r="E4101" s="366">
        <v>9.0</v>
      </c>
      <c r="F4101" s="367">
        <v>46161.54166666667</v>
      </c>
      <c r="G4101" s="364" t="s">
        <v>1185</v>
      </c>
      <c r="H4101" s="364" t="s">
        <v>1219</v>
      </c>
    </row>
    <row r="4102" ht="15.75" customHeight="1">
      <c r="A4102" s="364" t="s">
        <v>84</v>
      </c>
      <c r="B4102" s="364" t="s">
        <v>25</v>
      </c>
      <c r="C4102" s="365" t="s">
        <v>681</v>
      </c>
      <c r="D4102" s="364" t="s">
        <v>682</v>
      </c>
      <c r="E4102" s="366">
        <v>10.0</v>
      </c>
      <c r="F4102" s="367">
        <v>46168.54166666667</v>
      </c>
      <c r="G4102" s="364" t="s">
        <v>1185</v>
      </c>
      <c r="H4102" s="364" t="s">
        <v>1219</v>
      </c>
    </row>
    <row r="4103" ht="15.75" customHeight="1">
      <c r="A4103" s="364" t="s">
        <v>84</v>
      </c>
      <c r="B4103" s="364" t="s">
        <v>25</v>
      </c>
      <c r="C4103" s="365" t="s">
        <v>681</v>
      </c>
      <c r="D4103" s="364" t="s">
        <v>682</v>
      </c>
      <c r="E4103" s="366">
        <v>11.0</v>
      </c>
      <c r="F4103" s="367">
        <v>46182.54166666667</v>
      </c>
      <c r="G4103" s="364" t="s">
        <v>1185</v>
      </c>
      <c r="H4103" s="364" t="s">
        <v>1219</v>
      </c>
    </row>
    <row r="4104" ht="15.75" customHeight="1">
      <c r="A4104" s="364" t="s">
        <v>84</v>
      </c>
      <c r="B4104" s="364" t="s">
        <v>25</v>
      </c>
      <c r="C4104" s="365" t="s">
        <v>681</v>
      </c>
      <c r="D4104" s="364" t="s">
        <v>682</v>
      </c>
      <c r="E4104" s="366">
        <v>12.0</v>
      </c>
      <c r="F4104" s="367">
        <v>46189.54166666667</v>
      </c>
      <c r="G4104" s="364" t="s">
        <v>1185</v>
      </c>
      <c r="H4104" s="364" t="s">
        <v>1219</v>
      </c>
    </row>
    <row r="4105" ht="15.75" customHeight="1">
      <c r="A4105" s="364" t="s">
        <v>84</v>
      </c>
      <c r="B4105" s="364" t="s">
        <v>25</v>
      </c>
      <c r="C4105" s="365" t="s">
        <v>681</v>
      </c>
      <c r="D4105" s="364" t="s">
        <v>682</v>
      </c>
      <c r="E4105" s="366">
        <v>14.0</v>
      </c>
      <c r="F4105" s="367">
        <v>46203.54166666667</v>
      </c>
      <c r="G4105" s="364" t="s">
        <v>1185</v>
      </c>
      <c r="H4105" s="364" t="s">
        <v>1219</v>
      </c>
    </row>
    <row r="4106" ht="15.75" customHeight="1">
      <c r="A4106" s="364" t="s">
        <v>84</v>
      </c>
      <c r="B4106" s="364" t="s">
        <v>25</v>
      </c>
      <c r="C4106" s="365" t="s">
        <v>681</v>
      </c>
      <c r="D4106" s="364" t="s">
        <v>682</v>
      </c>
      <c r="E4106" s="366">
        <v>15.0</v>
      </c>
      <c r="F4106" s="367">
        <v>46210.54166666667</v>
      </c>
      <c r="G4106" s="364" t="s">
        <v>1185</v>
      </c>
      <c r="H4106" s="364" t="s">
        <v>1219</v>
      </c>
    </row>
    <row r="4107" ht="15.75" customHeight="1">
      <c r="A4107" s="364" t="s">
        <v>84</v>
      </c>
      <c r="B4107" s="364" t="s">
        <v>25</v>
      </c>
      <c r="C4107" s="365" t="s">
        <v>689</v>
      </c>
      <c r="D4107" s="364" t="s">
        <v>690</v>
      </c>
      <c r="E4107" s="366">
        <v>1.0</v>
      </c>
      <c r="F4107" s="367">
        <v>46091.54166666667</v>
      </c>
      <c r="G4107" s="364" t="s">
        <v>1185</v>
      </c>
      <c r="H4107" s="364" t="s">
        <v>1219</v>
      </c>
    </row>
    <row r="4108" ht="15.75" customHeight="1">
      <c r="A4108" s="364" t="s">
        <v>84</v>
      </c>
      <c r="B4108" s="364" t="s">
        <v>25</v>
      </c>
      <c r="C4108" s="365" t="s">
        <v>689</v>
      </c>
      <c r="D4108" s="364" t="s">
        <v>690</v>
      </c>
      <c r="E4108" s="366">
        <v>2.0</v>
      </c>
      <c r="F4108" s="367">
        <v>46098.54166666667</v>
      </c>
      <c r="G4108" s="364" t="s">
        <v>1185</v>
      </c>
      <c r="H4108" s="364" t="s">
        <v>1219</v>
      </c>
    </row>
    <row r="4109" ht="15.75" customHeight="1">
      <c r="A4109" s="364" t="s">
        <v>84</v>
      </c>
      <c r="B4109" s="364" t="s">
        <v>25</v>
      </c>
      <c r="C4109" s="365" t="s">
        <v>689</v>
      </c>
      <c r="D4109" s="364" t="s">
        <v>690</v>
      </c>
      <c r="E4109" s="366">
        <v>3.0</v>
      </c>
      <c r="F4109" s="367">
        <v>46105.54166666667</v>
      </c>
      <c r="G4109" s="364" t="s">
        <v>1187</v>
      </c>
      <c r="H4109" s="364" t="s">
        <v>1219</v>
      </c>
    </row>
    <row r="4110" ht="15.75" customHeight="1">
      <c r="A4110" s="364" t="s">
        <v>84</v>
      </c>
      <c r="B4110" s="364" t="s">
        <v>25</v>
      </c>
      <c r="C4110" s="365" t="s">
        <v>689</v>
      </c>
      <c r="D4110" s="364" t="s">
        <v>690</v>
      </c>
      <c r="E4110" s="366">
        <v>4.0</v>
      </c>
      <c r="F4110" s="367">
        <v>46114.54166666667</v>
      </c>
      <c r="G4110" s="364" t="s">
        <v>1187</v>
      </c>
      <c r="H4110" s="364" t="s">
        <v>1219</v>
      </c>
    </row>
    <row r="4111" ht="15.75" customHeight="1">
      <c r="A4111" s="364" t="s">
        <v>84</v>
      </c>
      <c r="B4111" s="364" t="s">
        <v>25</v>
      </c>
      <c r="C4111" s="365" t="s">
        <v>689</v>
      </c>
      <c r="D4111" s="364" t="s">
        <v>690</v>
      </c>
      <c r="E4111" s="366">
        <v>5.0</v>
      </c>
      <c r="F4111" s="367">
        <v>46119.54166666667</v>
      </c>
      <c r="G4111" s="364" t="s">
        <v>1187</v>
      </c>
      <c r="H4111" s="364" t="s">
        <v>1219</v>
      </c>
    </row>
    <row r="4112" ht="15.75" customHeight="1">
      <c r="A4112" s="364" t="s">
        <v>84</v>
      </c>
      <c r="B4112" s="364" t="s">
        <v>25</v>
      </c>
      <c r="C4112" s="365" t="s">
        <v>689</v>
      </c>
      <c r="D4112" s="364" t="s">
        <v>690</v>
      </c>
      <c r="E4112" s="366">
        <v>6.0</v>
      </c>
      <c r="F4112" s="367">
        <v>46126.54166666667</v>
      </c>
      <c r="G4112" s="364" t="s">
        <v>1187</v>
      </c>
      <c r="H4112" s="364" t="s">
        <v>1219</v>
      </c>
    </row>
    <row r="4113" ht="15.75" customHeight="1">
      <c r="A4113" s="364" t="s">
        <v>84</v>
      </c>
      <c r="B4113" s="364" t="s">
        <v>25</v>
      </c>
      <c r="C4113" s="365" t="s">
        <v>689</v>
      </c>
      <c r="D4113" s="364" t="s">
        <v>690</v>
      </c>
      <c r="E4113" s="366">
        <v>8.0</v>
      </c>
      <c r="F4113" s="367">
        <v>46154.54166666667</v>
      </c>
      <c r="G4113" s="364" t="s">
        <v>1187</v>
      </c>
      <c r="H4113" s="364" t="s">
        <v>1219</v>
      </c>
    </row>
    <row r="4114" ht="15.75" customHeight="1">
      <c r="A4114" s="364" t="s">
        <v>84</v>
      </c>
      <c r="B4114" s="364" t="s">
        <v>25</v>
      </c>
      <c r="C4114" s="365" t="s">
        <v>689</v>
      </c>
      <c r="D4114" s="364" t="s">
        <v>690</v>
      </c>
      <c r="E4114" s="366">
        <v>9.0</v>
      </c>
      <c r="F4114" s="367">
        <v>46161.54166666667</v>
      </c>
      <c r="G4114" s="364" t="s">
        <v>1187</v>
      </c>
      <c r="H4114" s="364" t="s">
        <v>1219</v>
      </c>
    </row>
    <row r="4115" ht="15.75" customHeight="1">
      <c r="A4115" s="364" t="s">
        <v>84</v>
      </c>
      <c r="B4115" s="364" t="s">
        <v>25</v>
      </c>
      <c r="C4115" s="365" t="s">
        <v>689</v>
      </c>
      <c r="D4115" s="364" t="s">
        <v>690</v>
      </c>
      <c r="E4115" s="366">
        <v>10.0</v>
      </c>
      <c r="F4115" s="367">
        <v>46168.54166666667</v>
      </c>
      <c r="G4115" s="364" t="s">
        <v>1187</v>
      </c>
      <c r="H4115" s="364" t="s">
        <v>1219</v>
      </c>
    </row>
    <row r="4116" ht="15.75" customHeight="1">
      <c r="A4116" s="364" t="s">
        <v>84</v>
      </c>
      <c r="B4116" s="364" t="s">
        <v>25</v>
      </c>
      <c r="C4116" s="365" t="s">
        <v>689</v>
      </c>
      <c r="D4116" s="364" t="s">
        <v>690</v>
      </c>
      <c r="E4116" s="366">
        <v>11.0</v>
      </c>
      <c r="F4116" s="367">
        <v>46182.54166666667</v>
      </c>
      <c r="G4116" s="364" t="s">
        <v>1187</v>
      </c>
      <c r="H4116" s="364" t="s">
        <v>1219</v>
      </c>
    </row>
    <row r="4117" ht="15.75" customHeight="1">
      <c r="A4117" s="364" t="s">
        <v>84</v>
      </c>
      <c r="B4117" s="364" t="s">
        <v>25</v>
      </c>
      <c r="C4117" s="365" t="s">
        <v>689</v>
      </c>
      <c r="D4117" s="364" t="s">
        <v>690</v>
      </c>
      <c r="E4117" s="366">
        <v>12.0</v>
      </c>
      <c r="F4117" s="367">
        <v>46189.54166666667</v>
      </c>
      <c r="G4117" s="364" t="s">
        <v>1187</v>
      </c>
      <c r="H4117" s="364" t="s">
        <v>1219</v>
      </c>
    </row>
    <row r="4118" ht="15.75" customHeight="1">
      <c r="A4118" s="364" t="s">
        <v>84</v>
      </c>
      <c r="B4118" s="364" t="s">
        <v>25</v>
      </c>
      <c r="C4118" s="365" t="s">
        <v>689</v>
      </c>
      <c r="D4118" s="364" t="s">
        <v>690</v>
      </c>
      <c r="E4118" s="366">
        <v>13.0</v>
      </c>
      <c r="F4118" s="367"/>
      <c r="G4118" s="364" t="s">
        <v>1187</v>
      </c>
      <c r="H4118" s="364" t="s">
        <v>1219</v>
      </c>
    </row>
    <row r="4119" ht="15.75" customHeight="1">
      <c r="A4119" s="364" t="s">
        <v>84</v>
      </c>
      <c r="B4119" s="364" t="s">
        <v>25</v>
      </c>
      <c r="C4119" s="365" t="s">
        <v>689</v>
      </c>
      <c r="D4119" s="364" t="s">
        <v>690</v>
      </c>
      <c r="E4119" s="366">
        <v>14.0</v>
      </c>
      <c r="F4119" s="367">
        <v>46203.54166666667</v>
      </c>
      <c r="G4119" s="364" t="s">
        <v>1187</v>
      </c>
      <c r="H4119" s="364" t="s">
        <v>1219</v>
      </c>
    </row>
    <row r="4120" ht="15.75" customHeight="1">
      <c r="A4120" s="364" t="s">
        <v>84</v>
      </c>
      <c r="B4120" s="364" t="s">
        <v>25</v>
      </c>
      <c r="C4120" s="365" t="s">
        <v>689</v>
      </c>
      <c r="D4120" s="364" t="s">
        <v>690</v>
      </c>
      <c r="E4120" s="366">
        <v>15.0</v>
      </c>
      <c r="F4120" s="367">
        <v>46210.54166666667</v>
      </c>
      <c r="G4120" s="364" t="s">
        <v>1187</v>
      </c>
      <c r="H4120" s="364" t="s">
        <v>1219</v>
      </c>
    </row>
    <row r="4121" ht="15.75" customHeight="1">
      <c r="A4121" s="364" t="s">
        <v>84</v>
      </c>
      <c r="B4121" s="364" t="s">
        <v>25</v>
      </c>
      <c r="C4121" s="365" t="s">
        <v>687</v>
      </c>
      <c r="D4121" s="364" t="s">
        <v>688</v>
      </c>
      <c r="E4121" s="366">
        <v>1.0</v>
      </c>
      <c r="F4121" s="367">
        <v>46091.54166666667</v>
      </c>
      <c r="G4121" s="364" t="s">
        <v>1185</v>
      </c>
      <c r="H4121" s="364" t="s">
        <v>1219</v>
      </c>
    </row>
    <row r="4122" ht="15.75" customHeight="1">
      <c r="A4122" s="364" t="s">
        <v>84</v>
      </c>
      <c r="B4122" s="364" t="s">
        <v>25</v>
      </c>
      <c r="C4122" s="365" t="s">
        <v>687</v>
      </c>
      <c r="D4122" s="364" t="s">
        <v>688</v>
      </c>
      <c r="E4122" s="366">
        <v>2.0</v>
      </c>
      <c r="F4122" s="367">
        <v>46098.54166666667</v>
      </c>
      <c r="G4122" s="364" t="s">
        <v>1185</v>
      </c>
      <c r="H4122" s="364" t="s">
        <v>1219</v>
      </c>
    </row>
    <row r="4123" ht="15.75" customHeight="1">
      <c r="A4123" s="364" t="s">
        <v>84</v>
      </c>
      <c r="B4123" s="364" t="s">
        <v>25</v>
      </c>
      <c r="C4123" s="365" t="s">
        <v>687</v>
      </c>
      <c r="D4123" s="364" t="s">
        <v>688</v>
      </c>
      <c r="E4123" s="366">
        <v>3.0</v>
      </c>
      <c r="F4123" s="367">
        <v>46105.54166666667</v>
      </c>
      <c r="G4123" s="364" t="s">
        <v>1185</v>
      </c>
      <c r="H4123" s="364" t="s">
        <v>1219</v>
      </c>
    </row>
    <row r="4124" ht="15.75" customHeight="1">
      <c r="A4124" s="364" t="s">
        <v>84</v>
      </c>
      <c r="B4124" s="364" t="s">
        <v>25</v>
      </c>
      <c r="C4124" s="365" t="s">
        <v>687</v>
      </c>
      <c r="D4124" s="364" t="s">
        <v>688</v>
      </c>
      <c r="E4124" s="366">
        <v>4.0</v>
      </c>
      <c r="F4124" s="367">
        <v>46114.54166666667</v>
      </c>
      <c r="G4124" s="364" t="s">
        <v>1187</v>
      </c>
      <c r="H4124" s="364" t="s">
        <v>1219</v>
      </c>
    </row>
    <row r="4125" ht="15.75" customHeight="1">
      <c r="A4125" s="364" t="s">
        <v>84</v>
      </c>
      <c r="B4125" s="364" t="s">
        <v>25</v>
      </c>
      <c r="C4125" s="365" t="s">
        <v>687</v>
      </c>
      <c r="D4125" s="364" t="s">
        <v>688</v>
      </c>
      <c r="E4125" s="366">
        <v>5.0</v>
      </c>
      <c r="F4125" s="367">
        <v>46119.54166666667</v>
      </c>
      <c r="G4125" s="364" t="s">
        <v>1185</v>
      </c>
      <c r="H4125" s="364" t="s">
        <v>1219</v>
      </c>
    </row>
    <row r="4126" ht="15.75" customHeight="1">
      <c r="A4126" s="364" t="s">
        <v>84</v>
      </c>
      <c r="B4126" s="364" t="s">
        <v>25</v>
      </c>
      <c r="C4126" s="365" t="s">
        <v>687</v>
      </c>
      <c r="D4126" s="364" t="s">
        <v>688</v>
      </c>
      <c r="E4126" s="366">
        <v>6.0</v>
      </c>
      <c r="F4126" s="367">
        <v>46126.54166666667</v>
      </c>
      <c r="G4126" s="364" t="s">
        <v>1187</v>
      </c>
      <c r="H4126" s="364" t="s">
        <v>1219</v>
      </c>
    </row>
    <row r="4127" ht="15.75" customHeight="1">
      <c r="A4127" s="364" t="s">
        <v>84</v>
      </c>
      <c r="B4127" s="364" t="s">
        <v>25</v>
      </c>
      <c r="C4127" s="365" t="s">
        <v>687</v>
      </c>
      <c r="D4127" s="364" t="s">
        <v>688</v>
      </c>
      <c r="E4127" s="366">
        <v>7.0</v>
      </c>
      <c r="F4127" s="367"/>
      <c r="G4127" s="364" t="s">
        <v>1187</v>
      </c>
      <c r="H4127" s="364" t="s">
        <v>1219</v>
      </c>
    </row>
    <row r="4128" ht="15.75" customHeight="1">
      <c r="A4128" s="364" t="s">
        <v>84</v>
      </c>
      <c r="B4128" s="364" t="s">
        <v>25</v>
      </c>
      <c r="C4128" s="365" t="s">
        <v>687</v>
      </c>
      <c r="D4128" s="364" t="s">
        <v>688</v>
      </c>
      <c r="E4128" s="366">
        <v>8.0</v>
      </c>
      <c r="F4128" s="367">
        <v>46154.54166666667</v>
      </c>
      <c r="G4128" s="364" t="s">
        <v>1187</v>
      </c>
      <c r="H4128" s="364" t="s">
        <v>1219</v>
      </c>
    </row>
    <row r="4129" ht="15.75" customHeight="1">
      <c r="A4129" s="364" t="s">
        <v>84</v>
      </c>
      <c r="B4129" s="364" t="s">
        <v>25</v>
      </c>
      <c r="C4129" s="365" t="s">
        <v>687</v>
      </c>
      <c r="D4129" s="364" t="s">
        <v>688</v>
      </c>
      <c r="E4129" s="366">
        <v>9.0</v>
      </c>
      <c r="F4129" s="367">
        <v>46161.54166666667</v>
      </c>
      <c r="G4129" s="364" t="s">
        <v>1187</v>
      </c>
      <c r="H4129" s="364" t="s">
        <v>1219</v>
      </c>
    </row>
    <row r="4130" ht="15.75" customHeight="1">
      <c r="A4130" s="364" t="s">
        <v>84</v>
      </c>
      <c r="B4130" s="364" t="s">
        <v>25</v>
      </c>
      <c r="C4130" s="365" t="s">
        <v>687</v>
      </c>
      <c r="D4130" s="364" t="s">
        <v>688</v>
      </c>
      <c r="E4130" s="366">
        <v>10.0</v>
      </c>
      <c r="F4130" s="367">
        <v>46168.54166666667</v>
      </c>
      <c r="G4130" s="364" t="s">
        <v>1187</v>
      </c>
      <c r="H4130" s="364" t="s">
        <v>1219</v>
      </c>
    </row>
    <row r="4131" ht="15.75" customHeight="1">
      <c r="A4131" s="364" t="s">
        <v>84</v>
      </c>
      <c r="B4131" s="364" t="s">
        <v>25</v>
      </c>
      <c r="C4131" s="365" t="s">
        <v>687</v>
      </c>
      <c r="D4131" s="364" t="s">
        <v>688</v>
      </c>
      <c r="E4131" s="366">
        <v>11.0</v>
      </c>
      <c r="F4131" s="367">
        <v>46182.54166666667</v>
      </c>
      <c r="G4131" s="364" t="s">
        <v>1187</v>
      </c>
      <c r="H4131" s="364" t="s">
        <v>1219</v>
      </c>
    </row>
    <row r="4132" ht="15.75" customHeight="1">
      <c r="A4132" s="364" t="s">
        <v>84</v>
      </c>
      <c r="B4132" s="364" t="s">
        <v>25</v>
      </c>
      <c r="C4132" s="365" t="s">
        <v>687</v>
      </c>
      <c r="D4132" s="364" t="s">
        <v>688</v>
      </c>
      <c r="E4132" s="366">
        <v>12.0</v>
      </c>
      <c r="F4132" s="367">
        <v>46189.54166666667</v>
      </c>
      <c r="G4132" s="364" t="s">
        <v>1187</v>
      </c>
      <c r="H4132" s="364" t="s">
        <v>1219</v>
      </c>
    </row>
    <row r="4133" ht="15.75" customHeight="1">
      <c r="A4133" s="364" t="s">
        <v>84</v>
      </c>
      <c r="B4133" s="364" t="s">
        <v>25</v>
      </c>
      <c r="C4133" s="365" t="s">
        <v>687</v>
      </c>
      <c r="D4133" s="364" t="s">
        <v>688</v>
      </c>
      <c r="E4133" s="366">
        <v>13.0</v>
      </c>
      <c r="F4133" s="367"/>
      <c r="G4133" s="364" t="s">
        <v>1187</v>
      </c>
      <c r="H4133" s="364" t="s">
        <v>1219</v>
      </c>
    </row>
    <row r="4134" ht="15.75" customHeight="1">
      <c r="A4134" s="364" t="s">
        <v>84</v>
      </c>
      <c r="B4134" s="364" t="s">
        <v>25</v>
      </c>
      <c r="C4134" s="365" t="s">
        <v>687</v>
      </c>
      <c r="D4134" s="364" t="s">
        <v>688</v>
      </c>
      <c r="E4134" s="366">
        <v>14.0</v>
      </c>
      <c r="F4134" s="367">
        <v>46203.54166666667</v>
      </c>
      <c r="G4134" s="364" t="s">
        <v>1187</v>
      </c>
      <c r="H4134" s="364" t="s">
        <v>1219</v>
      </c>
    </row>
    <row r="4135" ht="15.75" customHeight="1">
      <c r="A4135" s="364" t="s">
        <v>84</v>
      </c>
      <c r="B4135" s="364" t="s">
        <v>25</v>
      </c>
      <c r="C4135" s="365" t="s">
        <v>687</v>
      </c>
      <c r="D4135" s="364" t="s">
        <v>688</v>
      </c>
      <c r="E4135" s="366">
        <v>15.0</v>
      </c>
      <c r="F4135" s="367">
        <v>46210.54166666667</v>
      </c>
      <c r="G4135" s="364" t="s">
        <v>1187</v>
      </c>
      <c r="H4135" s="364" t="s">
        <v>1219</v>
      </c>
    </row>
    <row r="4136" ht="15.75" customHeight="1">
      <c r="A4136" s="364" t="s">
        <v>84</v>
      </c>
      <c r="B4136" s="364" t="s">
        <v>22</v>
      </c>
      <c r="C4136" s="365" t="s">
        <v>183</v>
      </c>
      <c r="D4136" s="364" t="s">
        <v>184</v>
      </c>
      <c r="E4136" s="366">
        <v>1.0</v>
      </c>
      <c r="F4136" s="367">
        <v>45764.58333333333</v>
      </c>
      <c r="G4136" s="364" t="s">
        <v>1187</v>
      </c>
      <c r="H4136" s="364" t="s">
        <v>1219</v>
      </c>
    </row>
    <row r="4137" ht="15.75" customHeight="1">
      <c r="A4137" s="364" t="s">
        <v>84</v>
      </c>
      <c r="B4137" s="364" t="s">
        <v>22</v>
      </c>
      <c r="C4137" s="365" t="s">
        <v>183</v>
      </c>
      <c r="D4137" s="364" t="s">
        <v>184</v>
      </c>
      <c r="E4137" s="366">
        <v>2.0</v>
      </c>
      <c r="F4137" s="367">
        <v>45784.54166666667</v>
      </c>
      <c r="G4137" s="364" t="s">
        <v>1185</v>
      </c>
      <c r="H4137" s="364" t="s">
        <v>1219</v>
      </c>
    </row>
    <row r="4138" ht="15.75" customHeight="1">
      <c r="A4138" s="364" t="s">
        <v>84</v>
      </c>
      <c r="B4138" s="364" t="s">
        <v>22</v>
      </c>
      <c r="C4138" s="365" t="s">
        <v>183</v>
      </c>
      <c r="D4138" s="364" t="s">
        <v>184</v>
      </c>
      <c r="E4138" s="366">
        <v>3.0</v>
      </c>
      <c r="F4138" s="367">
        <v>45791.54166666667</v>
      </c>
      <c r="G4138" s="364" t="s">
        <v>1185</v>
      </c>
      <c r="H4138" s="364" t="s">
        <v>1219</v>
      </c>
    </row>
    <row r="4139" ht="15.75" customHeight="1">
      <c r="A4139" s="364" t="s">
        <v>84</v>
      </c>
      <c r="B4139" s="364" t="s">
        <v>22</v>
      </c>
      <c r="C4139" s="365" t="s">
        <v>183</v>
      </c>
      <c r="D4139" s="364" t="s">
        <v>184</v>
      </c>
      <c r="E4139" s="366">
        <v>4.0</v>
      </c>
      <c r="F4139" s="367">
        <v>45804.58333333333</v>
      </c>
      <c r="G4139" s="364" t="s">
        <v>1185</v>
      </c>
      <c r="H4139" s="364" t="s">
        <v>1219</v>
      </c>
    </row>
    <row r="4140" ht="15.75" customHeight="1">
      <c r="A4140" s="364" t="s">
        <v>84</v>
      </c>
      <c r="B4140" s="364" t="s">
        <v>22</v>
      </c>
      <c r="C4140" s="365" t="s">
        <v>183</v>
      </c>
      <c r="D4140" s="364" t="s">
        <v>184</v>
      </c>
      <c r="E4140" s="366">
        <v>5.0</v>
      </c>
      <c r="F4140" s="367">
        <v>45812.58333333333</v>
      </c>
      <c r="G4140" s="364" t="s">
        <v>1185</v>
      </c>
      <c r="H4140" s="364" t="s">
        <v>1219</v>
      </c>
    </row>
    <row r="4141" ht="15.75" customHeight="1">
      <c r="A4141" s="364" t="s">
        <v>84</v>
      </c>
      <c r="B4141" s="364" t="s">
        <v>22</v>
      </c>
      <c r="C4141" s="365" t="s">
        <v>183</v>
      </c>
      <c r="D4141" s="364" t="s">
        <v>184</v>
      </c>
      <c r="E4141" s="366">
        <v>6.0</v>
      </c>
      <c r="F4141" s="367">
        <v>45813.54166666667</v>
      </c>
      <c r="G4141" s="364" t="s">
        <v>1185</v>
      </c>
      <c r="H4141" s="364" t="s">
        <v>1219</v>
      </c>
    </row>
    <row r="4142" ht="15.75" customHeight="1">
      <c r="A4142" s="364" t="s">
        <v>84</v>
      </c>
      <c r="B4142" s="364" t="s">
        <v>22</v>
      </c>
      <c r="C4142" s="365" t="s">
        <v>183</v>
      </c>
      <c r="D4142" s="364" t="s">
        <v>184</v>
      </c>
      <c r="E4142" s="366">
        <v>7.0</v>
      </c>
      <c r="F4142" s="367">
        <v>45818.54166666667</v>
      </c>
      <c r="G4142" s="364" t="s">
        <v>1185</v>
      </c>
      <c r="H4142" s="364" t="s">
        <v>1219</v>
      </c>
    </row>
    <row r="4143" ht="15.75" customHeight="1">
      <c r="A4143" s="364" t="s">
        <v>84</v>
      </c>
      <c r="B4143" s="364" t="s">
        <v>22</v>
      </c>
      <c r="C4143" s="365" t="s">
        <v>183</v>
      </c>
      <c r="D4143" s="364" t="s">
        <v>184</v>
      </c>
      <c r="E4143" s="366">
        <v>8.0</v>
      </c>
      <c r="F4143" s="367">
        <v>45827.54166666667</v>
      </c>
      <c r="G4143" s="364" t="s">
        <v>1185</v>
      </c>
      <c r="H4143" s="364" t="s">
        <v>1219</v>
      </c>
    </row>
    <row r="4144" ht="15.75" customHeight="1">
      <c r="A4144" s="364" t="s">
        <v>84</v>
      </c>
      <c r="B4144" s="364" t="s">
        <v>22</v>
      </c>
      <c r="C4144" s="365" t="s">
        <v>183</v>
      </c>
      <c r="D4144" s="364" t="s">
        <v>184</v>
      </c>
      <c r="E4144" s="366">
        <v>9.0</v>
      </c>
      <c r="F4144" s="367">
        <v>45833.54166666667</v>
      </c>
      <c r="G4144" s="364" t="s">
        <v>1185</v>
      </c>
      <c r="H4144" s="364" t="s">
        <v>1219</v>
      </c>
    </row>
    <row r="4145" ht="15.75" customHeight="1">
      <c r="A4145" s="364" t="s">
        <v>84</v>
      </c>
      <c r="B4145" s="364" t="s">
        <v>22</v>
      </c>
      <c r="C4145" s="365" t="s">
        <v>183</v>
      </c>
      <c r="D4145" s="364" t="s">
        <v>184</v>
      </c>
      <c r="E4145" s="366">
        <v>10.0</v>
      </c>
      <c r="F4145" s="367">
        <v>45860.41666666667</v>
      </c>
      <c r="G4145" s="364" t="s">
        <v>1185</v>
      </c>
      <c r="H4145" s="364" t="s">
        <v>1219</v>
      </c>
    </row>
    <row r="4146" ht="15.75" customHeight="1">
      <c r="A4146" s="364" t="s">
        <v>84</v>
      </c>
      <c r="B4146" s="364" t="s">
        <v>22</v>
      </c>
      <c r="C4146" s="365" t="s">
        <v>675</v>
      </c>
      <c r="D4146" s="364" t="s">
        <v>676</v>
      </c>
      <c r="E4146" s="366">
        <v>1.0</v>
      </c>
      <c r="F4146" s="367">
        <v>45764.58333333333</v>
      </c>
      <c r="G4146" s="364" t="s">
        <v>1185</v>
      </c>
      <c r="H4146" s="364" t="s">
        <v>1219</v>
      </c>
    </row>
    <row r="4147" ht="15.75" customHeight="1">
      <c r="A4147" s="364" t="s">
        <v>84</v>
      </c>
      <c r="B4147" s="364" t="s">
        <v>22</v>
      </c>
      <c r="C4147" s="365" t="s">
        <v>675</v>
      </c>
      <c r="D4147" s="364" t="s">
        <v>676</v>
      </c>
      <c r="E4147" s="366">
        <v>2.0</v>
      </c>
      <c r="F4147" s="367">
        <v>45784.54166666667</v>
      </c>
      <c r="G4147" s="364" t="s">
        <v>1185</v>
      </c>
      <c r="H4147" s="364" t="s">
        <v>1219</v>
      </c>
    </row>
    <row r="4148" ht="15.75" customHeight="1">
      <c r="A4148" s="364" t="s">
        <v>84</v>
      </c>
      <c r="B4148" s="364" t="s">
        <v>22</v>
      </c>
      <c r="C4148" s="365" t="s">
        <v>675</v>
      </c>
      <c r="D4148" s="364" t="s">
        <v>676</v>
      </c>
      <c r="E4148" s="366">
        <v>3.0</v>
      </c>
      <c r="F4148" s="367">
        <v>45791.54166666667</v>
      </c>
      <c r="G4148" s="364" t="s">
        <v>1185</v>
      </c>
      <c r="H4148" s="364" t="s">
        <v>1219</v>
      </c>
    </row>
    <row r="4149" ht="15.75" customHeight="1">
      <c r="A4149" s="364" t="s">
        <v>84</v>
      </c>
      <c r="B4149" s="364" t="s">
        <v>22</v>
      </c>
      <c r="C4149" s="365" t="s">
        <v>675</v>
      </c>
      <c r="D4149" s="364" t="s">
        <v>676</v>
      </c>
      <c r="E4149" s="366">
        <v>4.0</v>
      </c>
      <c r="F4149" s="367">
        <v>45804.58333333333</v>
      </c>
      <c r="G4149" s="364" t="s">
        <v>1185</v>
      </c>
      <c r="H4149" s="364" t="s">
        <v>1219</v>
      </c>
    </row>
    <row r="4150" ht="15.75" customHeight="1">
      <c r="A4150" s="364" t="s">
        <v>84</v>
      </c>
      <c r="B4150" s="364" t="s">
        <v>22</v>
      </c>
      <c r="C4150" s="365" t="s">
        <v>675</v>
      </c>
      <c r="D4150" s="364" t="s">
        <v>676</v>
      </c>
      <c r="E4150" s="366">
        <v>5.0</v>
      </c>
      <c r="F4150" s="367">
        <v>45812.58333333333</v>
      </c>
      <c r="G4150" s="364" t="s">
        <v>1185</v>
      </c>
      <c r="H4150" s="364" t="s">
        <v>1219</v>
      </c>
    </row>
    <row r="4151" ht="15.75" customHeight="1">
      <c r="A4151" s="364" t="s">
        <v>84</v>
      </c>
      <c r="B4151" s="364" t="s">
        <v>22</v>
      </c>
      <c r="C4151" s="365" t="s">
        <v>675</v>
      </c>
      <c r="D4151" s="364" t="s">
        <v>676</v>
      </c>
      <c r="E4151" s="366">
        <v>6.0</v>
      </c>
      <c r="F4151" s="367">
        <v>45813.54166666667</v>
      </c>
      <c r="G4151" s="364" t="s">
        <v>1185</v>
      </c>
      <c r="H4151" s="364" t="s">
        <v>1219</v>
      </c>
    </row>
    <row r="4152" ht="15.75" customHeight="1">
      <c r="A4152" s="364" t="s">
        <v>84</v>
      </c>
      <c r="B4152" s="364" t="s">
        <v>22</v>
      </c>
      <c r="C4152" s="365" t="s">
        <v>675</v>
      </c>
      <c r="D4152" s="364" t="s">
        <v>676</v>
      </c>
      <c r="E4152" s="366">
        <v>7.0</v>
      </c>
      <c r="F4152" s="367">
        <v>45818.54166666667</v>
      </c>
      <c r="G4152" s="364" t="s">
        <v>1185</v>
      </c>
      <c r="H4152" s="364" t="s">
        <v>1219</v>
      </c>
    </row>
    <row r="4153" ht="15.75" customHeight="1">
      <c r="A4153" s="364" t="s">
        <v>84</v>
      </c>
      <c r="B4153" s="364" t="s">
        <v>22</v>
      </c>
      <c r="C4153" s="365" t="s">
        <v>675</v>
      </c>
      <c r="D4153" s="364" t="s">
        <v>676</v>
      </c>
      <c r="E4153" s="366">
        <v>8.0</v>
      </c>
      <c r="F4153" s="367">
        <v>45827.54166666667</v>
      </c>
      <c r="G4153" s="364" t="s">
        <v>1185</v>
      </c>
      <c r="H4153" s="364" t="s">
        <v>1219</v>
      </c>
    </row>
    <row r="4154" ht="15.75" customHeight="1">
      <c r="A4154" s="364" t="s">
        <v>84</v>
      </c>
      <c r="B4154" s="364" t="s">
        <v>22</v>
      </c>
      <c r="C4154" s="365" t="s">
        <v>675</v>
      </c>
      <c r="D4154" s="364" t="s">
        <v>676</v>
      </c>
      <c r="E4154" s="366">
        <v>9.0</v>
      </c>
      <c r="F4154" s="367">
        <v>45833.54166666667</v>
      </c>
      <c r="G4154" s="364" t="s">
        <v>1185</v>
      </c>
      <c r="H4154" s="364" t="s">
        <v>1219</v>
      </c>
    </row>
    <row r="4155" ht="15.75" customHeight="1">
      <c r="A4155" s="364" t="s">
        <v>84</v>
      </c>
      <c r="B4155" s="364" t="s">
        <v>22</v>
      </c>
      <c r="C4155" s="365" t="s">
        <v>675</v>
      </c>
      <c r="D4155" s="364" t="s">
        <v>676</v>
      </c>
      <c r="E4155" s="366">
        <v>10.0</v>
      </c>
      <c r="F4155" s="367">
        <v>45860.41666666667</v>
      </c>
      <c r="G4155" s="364" t="s">
        <v>1185</v>
      </c>
      <c r="H4155" s="364" t="s">
        <v>1219</v>
      </c>
    </row>
    <row r="4156" ht="15.75" customHeight="1">
      <c r="A4156" s="364" t="s">
        <v>84</v>
      </c>
      <c r="B4156" s="364" t="s">
        <v>22</v>
      </c>
      <c r="C4156" s="365" t="s">
        <v>677</v>
      </c>
      <c r="D4156" s="364" t="s">
        <v>678</v>
      </c>
      <c r="E4156" s="366">
        <v>1.0</v>
      </c>
      <c r="F4156" s="367">
        <v>45764.58333333333</v>
      </c>
      <c r="G4156" s="364" t="s">
        <v>1185</v>
      </c>
      <c r="H4156" s="364" t="s">
        <v>1219</v>
      </c>
    </row>
    <row r="4157" ht="15.75" customHeight="1">
      <c r="A4157" s="364" t="s">
        <v>84</v>
      </c>
      <c r="B4157" s="364" t="s">
        <v>22</v>
      </c>
      <c r="C4157" s="365" t="s">
        <v>677</v>
      </c>
      <c r="D4157" s="364" t="s">
        <v>678</v>
      </c>
      <c r="E4157" s="366">
        <v>2.0</v>
      </c>
      <c r="F4157" s="367">
        <v>45784.54166666667</v>
      </c>
      <c r="G4157" s="364" t="s">
        <v>1187</v>
      </c>
      <c r="H4157" s="364" t="s">
        <v>1219</v>
      </c>
    </row>
    <row r="4158" ht="15.75" customHeight="1">
      <c r="A4158" s="364" t="s">
        <v>84</v>
      </c>
      <c r="B4158" s="364" t="s">
        <v>22</v>
      </c>
      <c r="C4158" s="365" t="s">
        <v>677</v>
      </c>
      <c r="D4158" s="364" t="s">
        <v>678</v>
      </c>
      <c r="E4158" s="366">
        <v>3.0</v>
      </c>
      <c r="F4158" s="367">
        <v>45791.54166666667</v>
      </c>
      <c r="G4158" s="364" t="s">
        <v>1185</v>
      </c>
      <c r="H4158" s="364" t="s">
        <v>1219</v>
      </c>
    </row>
    <row r="4159" ht="15.75" customHeight="1">
      <c r="A4159" s="364" t="s">
        <v>84</v>
      </c>
      <c r="B4159" s="364" t="s">
        <v>22</v>
      </c>
      <c r="C4159" s="365" t="s">
        <v>677</v>
      </c>
      <c r="D4159" s="364" t="s">
        <v>678</v>
      </c>
      <c r="E4159" s="366">
        <v>4.0</v>
      </c>
      <c r="F4159" s="367">
        <v>45804.58333333333</v>
      </c>
      <c r="G4159" s="364" t="s">
        <v>1185</v>
      </c>
      <c r="H4159" s="364" t="s">
        <v>1219</v>
      </c>
    </row>
    <row r="4160" ht="15.75" customHeight="1">
      <c r="A4160" s="364" t="s">
        <v>84</v>
      </c>
      <c r="B4160" s="364" t="s">
        <v>22</v>
      </c>
      <c r="C4160" s="365" t="s">
        <v>677</v>
      </c>
      <c r="D4160" s="364" t="s">
        <v>678</v>
      </c>
      <c r="E4160" s="366">
        <v>5.0</v>
      </c>
      <c r="F4160" s="367">
        <v>45812.58333333333</v>
      </c>
      <c r="G4160" s="364" t="s">
        <v>1185</v>
      </c>
      <c r="H4160" s="364" t="s">
        <v>1219</v>
      </c>
    </row>
    <row r="4161" ht="15.75" customHeight="1">
      <c r="A4161" s="364" t="s">
        <v>84</v>
      </c>
      <c r="B4161" s="364" t="s">
        <v>22</v>
      </c>
      <c r="C4161" s="365" t="s">
        <v>677</v>
      </c>
      <c r="D4161" s="364" t="s">
        <v>678</v>
      </c>
      <c r="E4161" s="366">
        <v>6.0</v>
      </c>
      <c r="F4161" s="367">
        <v>45813.54166666667</v>
      </c>
      <c r="G4161" s="364" t="s">
        <v>1185</v>
      </c>
      <c r="H4161" s="364" t="s">
        <v>1219</v>
      </c>
    </row>
    <row r="4162" ht="15.75" customHeight="1">
      <c r="A4162" s="364" t="s">
        <v>84</v>
      </c>
      <c r="B4162" s="364" t="s">
        <v>22</v>
      </c>
      <c r="C4162" s="365" t="s">
        <v>677</v>
      </c>
      <c r="D4162" s="364" t="s">
        <v>678</v>
      </c>
      <c r="E4162" s="366">
        <v>7.0</v>
      </c>
      <c r="F4162" s="367">
        <v>45818.54166666667</v>
      </c>
      <c r="G4162" s="364" t="s">
        <v>1185</v>
      </c>
      <c r="H4162" s="364" t="s">
        <v>1219</v>
      </c>
    </row>
    <row r="4163" ht="15.75" customHeight="1">
      <c r="A4163" s="364" t="s">
        <v>84</v>
      </c>
      <c r="B4163" s="364" t="s">
        <v>22</v>
      </c>
      <c r="C4163" s="365" t="s">
        <v>677</v>
      </c>
      <c r="D4163" s="364" t="s">
        <v>678</v>
      </c>
      <c r="E4163" s="366">
        <v>8.0</v>
      </c>
      <c r="F4163" s="367">
        <v>45827.54166666667</v>
      </c>
      <c r="G4163" s="364" t="s">
        <v>1185</v>
      </c>
      <c r="H4163" s="364" t="s">
        <v>1219</v>
      </c>
    </row>
    <row r="4164" ht="15.75" customHeight="1">
      <c r="A4164" s="364" t="s">
        <v>84</v>
      </c>
      <c r="B4164" s="364" t="s">
        <v>22</v>
      </c>
      <c r="C4164" s="365" t="s">
        <v>677</v>
      </c>
      <c r="D4164" s="364" t="s">
        <v>678</v>
      </c>
      <c r="E4164" s="366">
        <v>9.0</v>
      </c>
      <c r="F4164" s="367">
        <v>45833.54166666667</v>
      </c>
      <c r="G4164" s="364" t="s">
        <v>1185</v>
      </c>
      <c r="H4164" s="364" t="s">
        <v>1219</v>
      </c>
    </row>
    <row r="4165" ht="15.75" customHeight="1">
      <c r="A4165" s="364" t="s">
        <v>84</v>
      </c>
      <c r="B4165" s="364" t="s">
        <v>22</v>
      </c>
      <c r="C4165" s="365" t="s">
        <v>677</v>
      </c>
      <c r="D4165" s="364" t="s">
        <v>678</v>
      </c>
      <c r="E4165" s="366">
        <v>10.0</v>
      </c>
      <c r="F4165" s="367">
        <v>45860.41666666667</v>
      </c>
      <c r="G4165" s="364" t="s">
        <v>1185</v>
      </c>
      <c r="H4165" s="364" t="s">
        <v>1219</v>
      </c>
    </row>
    <row r="4166" ht="15.75" customHeight="1">
      <c r="A4166" s="364" t="s">
        <v>84</v>
      </c>
      <c r="B4166" s="364" t="s">
        <v>22</v>
      </c>
      <c r="C4166" s="365" t="s">
        <v>191</v>
      </c>
      <c r="D4166" s="364" t="s">
        <v>192</v>
      </c>
      <c r="E4166" s="366">
        <v>1.0</v>
      </c>
      <c r="F4166" s="367">
        <v>45764.58333333333</v>
      </c>
      <c r="G4166" s="364" t="s">
        <v>1185</v>
      </c>
      <c r="H4166" s="364" t="s">
        <v>1219</v>
      </c>
    </row>
    <row r="4167" ht="15.75" customHeight="1">
      <c r="A4167" s="364" t="s">
        <v>84</v>
      </c>
      <c r="B4167" s="364" t="s">
        <v>22</v>
      </c>
      <c r="C4167" s="365" t="s">
        <v>191</v>
      </c>
      <c r="D4167" s="364" t="s">
        <v>192</v>
      </c>
      <c r="E4167" s="366">
        <v>2.0</v>
      </c>
      <c r="F4167" s="367">
        <v>45784.54166666667</v>
      </c>
      <c r="G4167" s="364" t="s">
        <v>1185</v>
      </c>
      <c r="H4167" s="364" t="s">
        <v>1219</v>
      </c>
    </row>
    <row r="4168" ht="15.75" customHeight="1">
      <c r="A4168" s="364" t="s">
        <v>84</v>
      </c>
      <c r="B4168" s="364" t="s">
        <v>22</v>
      </c>
      <c r="C4168" s="365" t="s">
        <v>191</v>
      </c>
      <c r="D4168" s="364" t="s">
        <v>192</v>
      </c>
      <c r="E4168" s="366">
        <v>3.0</v>
      </c>
      <c r="F4168" s="367">
        <v>45791.54166666667</v>
      </c>
      <c r="G4168" s="364" t="s">
        <v>1185</v>
      </c>
      <c r="H4168" s="364" t="s">
        <v>1219</v>
      </c>
    </row>
    <row r="4169" ht="15.75" customHeight="1">
      <c r="A4169" s="364" t="s">
        <v>84</v>
      </c>
      <c r="B4169" s="364" t="s">
        <v>22</v>
      </c>
      <c r="C4169" s="365" t="s">
        <v>191</v>
      </c>
      <c r="D4169" s="364" t="s">
        <v>192</v>
      </c>
      <c r="E4169" s="366">
        <v>4.0</v>
      </c>
      <c r="F4169" s="367">
        <v>45804.58333333333</v>
      </c>
      <c r="G4169" s="364" t="s">
        <v>1185</v>
      </c>
      <c r="H4169" s="364" t="s">
        <v>1219</v>
      </c>
    </row>
    <row r="4170" ht="15.75" customHeight="1">
      <c r="A4170" s="364" t="s">
        <v>84</v>
      </c>
      <c r="B4170" s="364" t="s">
        <v>22</v>
      </c>
      <c r="C4170" s="365" t="s">
        <v>191</v>
      </c>
      <c r="D4170" s="364" t="s">
        <v>192</v>
      </c>
      <c r="E4170" s="366">
        <v>5.0</v>
      </c>
      <c r="F4170" s="367">
        <v>45812.58333333333</v>
      </c>
      <c r="G4170" s="364" t="s">
        <v>1185</v>
      </c>
      <c r="H4170" s="364" t="s">
        <v>1219</v>
      </c>
    </row>
    <row r="4171" ht="15.75" customHeight="1">
      <c r="A4171" s="364" t="s">
        <v>84</v>
      </c>
      <c r="B4171" s="364" t="s">
        <v>22</v>
      </c>
      <c r="C4171" s="365" t="s">
        <v>191</v>
      </c>
      <c r="D4171" s="364" t="s">
        <v>192</v>
      </c>
      <c r="E4171" s="366">
        <v>6.0</v>
      </c>
      <c r="F4171" s="367">
        <v>45813.54166666667</v>
      </c>
      <c r="G4171" s="364" t="s">
        <v>1185</v>
      </c>
      <c r="H4171" s="364" t="s">
        <v>1219</v>
      </c>
    </row>
    <row r="4172" ht="15.75" customHeight="1">
      <c r="A4172" s="364" t="s">
        <v>84</v>
      </c>
      <c r="B4172" s="364" t="s">
        <v>22</v>
      </c>
      <c r="C4172" s="365" t="s">
        <v>191</v>
      </c>
      <c r="D4172" s="364" t="s">
        <v>192</v>
      </c>
      <c r="E4172" s="366">
        <v>7.0</v>
      </c>
      <c r="F4172" s="367">
        <v>45818.54166666667</v>
      </c>
      <c r="G4172" s="364" t="s">
        <v>1185</v>
      </c>
      <c r="H4172" s="364" t="s">
        <v>1219</v>
      </c>
    </row>
    <row r="4173" ht="15.75" customHeight="1">
      <c r="A4173" s="364" t="s">
        <v>84</v>
      </c>
      <c r="B4173" s="364" t="s">
        <v>22</v>
      </c>
      <c r="C4173" s="365" t="s">
        <v>191</v>
      </c>
      <c r="D4173" s="364" t="s">
        <v>192</v>
      </c>
      <c r="E4173" s="366">
        <v>8.0</v>
      </c>
      <c r="F4173" s="367">
        <v>45827.54166666667</v>
      </c>
      <c r="G4173" s="364" t="s">
        <v>1185</v>
      </c>
      <c r="H4173" s="364" t="s">
        <v>1219</v>
      </c>
    </row>
    <row r="4174" ht="15.75" customHeight="1">
      <c r="A4174" s="364" t="s">
        <v>84</v>
      </c>
      <c r="B4174" s="364" t="s">
        <v>22</v>
      </c>
      <c r="C4174" s="365" t="s">
        <v>191</v>
      </c>
      <c r="D4174" s="364" t="s">
        <v>192</v>
      </c>
      <c r="E4174" s="366">
        <v>9.0</v>
      </c>
      <c r="F4174" s="367">
        <v>45833.54166666667</v>
      </c>
      <c r="G4174" s="364" t="s">
        <v>1185</v>
      </c>
      <c r="H4174" s="364" t="s">
        <v>1219</v>
      </c>
    </row>
    <row r="4175" ht="15.75" customHeight="1">
      <c r="A4175" s="364" t="s">
        <v>84</v>
      </c>
      <c r="B4175" s="364" t="s">
        <v>22</v>
      </c>
      <c r="C4175" s="365" t="s">
        <v>191</v>
      </c>
      <c r="D4175" s="364" t="s">
        <v>192</v>
      </c>
      <c r="E4175" s="366">
        <v>10.0</v>
      </c>
      <c r="F4175" s="367">
        <v>45860.41666666667</v>
      </c>
      <c r="G4175" s="364" t="s">
        <v>1185</v>
      </c>
      <c r="H4175" s="364" t="s">
        <v>1219</v>
      </c>
    </row>
    <row r="4176" ht="15.75" customHeight="1">
      <c r="A4176" s="364" t="s">
        <v>84</v>
      </c>
      <c r="B4176" s="364" t="s">
        <v>22</v>
      </c>
      <c r="C4176" s="365" t="s">
        <v>685</v>
      </c>
      <c r="D4176" s="364" t="s">
        <v>686</v>
      </c>
      <c r="E4176" s="366">
        <v>1.0</v>
      </c>
      <c r="F4176" s="367">
        <v>45764.58333333333</v>
      </c>
      <c r="G4176" s="364" t="s">
        <v>1185</v>
      </c>
      <c r="H4176" s="364" t="s">
        <v>1219</v>
      </c>
    </row>
    <row r="4177" ht="15.75" customHeight="1">
      <c r="A4177" s="364" t="s">
        <v>84</v>
      </c>
      <c r="B4177" s="364" t="s">
        <v>22</v>
      </c>
      <c r="C4177" s="365" t="s">
        <v>685</v>
      </c>
      <c r="D4177" s="364" t="s">
        <v>686</v>
      </c>
      <c r="E4177" s="366">
        <v>2.0</v>
      </c>
      <c r="F4177" s="367">
        <v>45784.54166666667</v>
      </c>
      <c r="G4177" s="364" t="s">
        <v>1185</v>
      </c>
      <c r="H4177" s="364" t="s">
        <v>1219</v>
      </c>
    </row>
    <row r="4178" ht="15.75" customHeight="1">
      <c r="A4178" s="364" t="s">
        <v>84</v>
      </c>
      <c r="B4178" s="364" t="s">
        <v>22</v>
      </c>
      <c r="C4178" s="365" t="s">
        <v>685</v>
      </c>
      <c r="D4178" s="364" t="s">
        <v>686</v>
      </c>
      <c r="E4178" s="366">
        <v>3.0</v>
      </c>
      <c r="F4178" s="367">
        <v>45791.54166666667</v>
      </c>
      <c r="G4178" s="364" t="s">
        <v>1187</v>
      </c>
      <c r="H4178" s="364" t="s">
        <v>1219</v>
      </c>
    </row>
    <row r="4179" ht="15.75" customHeight="1">
      <c r="A4179" s="364" t="s">
        <v>84</v>
      </c>
      <c r="B4179" s="364" t="s">
        <v>22</v>
      </c>
      <c r="C4179" s="365" t="s">
        <v>685</v>
      </c>
      <c r="D4179" s="364" t="s">
        <v>686</v>
      </c>
      <c r="E4179" s="366">
        <v>4.0</v>
      </c>
      <c r="F4179" s="367">
        <v>45804.58333333333</v>
      </c>
      <c r="G4179" s="364" t="s">
        <v>1185</v>
      </c>
      <c r="H4179" s="364" t="s">
        <v>1219</v>
      </c>
    </row>
    <row r="4180" ht="15.75" customHeight="1">
      <c r="A4180" s="364" t="s">
        <v>84</v>
      </c>
      <c r="B4180" s="364" t="s">
        <v>22</v>
      </c>
      <c r="C4180" s="365" t="s">
        <v>685</v>
      </c>
      <c r="D4180" s="364" t="s">
        <v>686</v>
      </c>
      <c r="E4180" s="366">
        <v>5.0</v>
      </c>
      <c r="F4180" s="367">
        <v>45812.58333333333</v>
      </c>
      <c r="G4180" s="364" t="s">
        <v>1185</v>
      </c>
      <c r="H4180" s="364" t="s">
        <v>1219</v>
      </c>
    </row>
    <row r="4181" ht="15.75" customHeight="1">
      <c r="A4181" s="364" t="s">
        <v>84</v>
      </c>
      <c r="B4181" s="364" t="s">
        <v>22</v>
      </c>
      <c r="C4181" s="365" t="s">
        <v>685</v>
      </c>
      <c r="D4181" s="364" t="s">
        <v>686</v>
      </c>
      <c r="E4181" s="366">
        <v>6.0</v>
      </c>
      <c r="F4181" s="367">
        <v>45813.54166666667</v>
      </c>
      <c r="G4181" s="364" t="s">
        <v>1185</v>
      </c>
      <c r="H4181" s="364" t="s">
        <v>1219</v>
      </c>
    </row>
    <row r="4182" ht="15.75" customHeight="1">
      <c r="A4182" s="364" t="s">
        <v>84</v>
      </c>
      <c r="B4182" s="364" t="s">
        <v>22</v>
      </c>
      <c r="C4182" s="365" t="s">
        <v>685</v>
      </c>
      <c r="D4182" s="364" t="s">
        <v>686</v>
      </c>
      <c r="E4182" s="366">
        <v>7.0</v>
      </c>
      <c r="F4182" s="367">
        <v>45818.54166666667</v>
      </c>
      <c r="G4182" s="364" t="s">
        <v>1185</v>
      </c>
      <c r="H4182" s="364" t="s">
        <v>1219</v>
      </c>
    </row>
    <row r="4183" ht="15.75" customHeight="1">
      <c r="A4183" s="364" t="s">
        <v>84</v>
      </c>
      <c r="B4183" s="364" t="s">
        <v>22</v>
      </c>
      <c r="C4183" s="365" t="s">
        <v>685</v>
      </c>
      <c r="D4183" s="364" t="s">
        <v>686</v>
      </c>
      <c r="E4183" s="366">
        <v>8.0</v>
      </c>
      <c r="F4183" s="367">
        <v>45827.54166666667</v>
      </c>
      <c r="G4183" s="364" t="s">
        <v>1185</v>
      </c>
      <c r="H4183" s="364" t="s">
        <v>1219</v>
      </c>
    </row>
    <row r="4184" ht="15.75" customHeight="1">
      <c r="A4184" s="364" t="s">
        <v>84</v>
      </c>
      <c r="B4184" s="364" t="s">
        <v>22</v>
      </c>
      <c r="C4184" s="365" t="s">
        <v>685</v>
      </c>
      <c r="D4184" s="364" t="s">
        <v>686</v>
      </c>
      <c r="E4184" s="366">
        <v>9.0</v>
      </c>
      <c r="F4184" s="367">
        <v>45833.54166666667</v>
      </c>
      <c r="G4184" s="364" t="s">
        <v>1187</v>
      </c>
      <c r="H4184" s="364" t="s">
        <v>1219</v>
      </c>
    </row>
    <row r="4185" ht="15.75" customHeight="1">
      <c r="A4185" s="364" t="s">
        <v>84</v>
      </c>
      <c r="B4185" s="364" t="s">
        <v>22</v>
      </c>
      <c r="C4185" s="365" t="s">
        <v>685</v>
      </c>
      <c r="D4185" s="364" t="s">
        <v>686</v>
      </c>
      <c r="E4185" s="366">
        <v>10.0</v>
      </c>
      <c r="F4185" s="367">
        <v>45860.41666666667</v>
      </c>
      <c r="G4185" s="364" t="s">
        <v>1187</v>
      </c>
      <c r="H4185" s="364" t="s">
        <v>1219</v>
      </c>
    </row>
    <row r="4186" ht="15.75" customHeight="1">
      <c r="A4186" s="364" t="s">
        <v>84</v>
      </c>
      <c r="B4186" s="364" t="s">
        <v>22</v>
      </c>
      <c r="C4186" s="365" t="s">
        <v>679</v>
      </c>
      <c r="D4186" s="364" t="s">
        <v>680</v>
      </c>
      <c r="E4186" s="366">
        <v>1.0</v>
      </c>
      <c r="F4186" s="367">
        <v>45764.58333333333</v>
      </c>
      <c r="G4186" s="364" t="s">
        <v>1185</v>
      </c>
      <c r="H4186" s="364" t="s">
        <v>1219</v>
      </c>
    </row>
    <row r="4187" ht="15.75" customHeight="1">
      <c r="A4187" s="364" t="s">
        <v>84</v>
      </c>
      <c r="B4187" s="364" t="s">
        <v>22</v>
      </c>
      <c r="C4187" s="365" t="s">
        <v>679</v>
      </c>
      <c r="D4187" s="364" t="s">
        <v>680</v>
      </c>
      <c r="E4187" s="366">
        <v>2.0</v>
      </c>
      <c r="F4187" s="367">
        <v>45784.54166666667</v>
      </c>
      <c r="G4187" s="364" t="s">
        <v>1185</v>
      </c>
      <c r="H4187" s="364" t="s">
        <v>1219</v>
      </c>
    </row>
    <row r="4188" ht="15.75" customHeight="1">
      <c r="A4188" s="364" t="s">
        <v>84</v>
      </c>
      <c r="B4188" s="364" t="s">
        <v>22</v>
      </c>
      <c r="C4188" s="365" t="s">
        <v>679</v>
      </c>
      <c r="D4188" s="364" t="s">
        <v>680</v>
      </c>
      <c r="E4188" s="366">
        <v>3.0</v>
      </c>
      <c r="F4188" s="367">
        <v>45791.54166666667</v>
      </c>
      <c r="G4188" s="364" t="s">
        <v>1185</v>
      </c>
      <c r="H4188" s="364" t="s">
        <v>1219</v>
      </c>
    </row>
    <row r="4189" ht="15.75" customHeight="1">
      <c r="A4189" s="364" t="s">
        <v>84</v>
      </c>
      <c r="B4189" s="364" t="s">
        <v>22</v>
      </c>
      <c r="C4189" s="365" t="s">
        <v>679</v>
      </c>
      <c r="D4189" s="364" t="s">
        <v>680</v>
      </c>
      <c r="E4189" s="366">
        <v>4.0</v>
      </c>
      <c r="F4189" s="367">
        <v>45804.58333333333</v>
      </c>
      <c r="G4189" s="364" t="s">
        <v>1185</v>
      </c>
      <c r="H4189" s="364" t="s">
        <v>1219</v>
      </c>
    </row>
    <row r="4190" ht="15.75" customHeight="1">
      <c r="A4190" s="364" t="s">
        <v>84</v>
      </c>
      <c r="B4190" s="364" t="s">
        <v>22</v>
      </c>
      <c r="C4190" s="365" t="s">
        <v>679</v>
      </c>
      <c r="D4190" s="364" t="s">
        <v>680</v>
      </c>
      <c r="E4190" s="366">
        <v>5.0</v>
      </c>
      <c r="F4190" s="367">
        <v>45812.58333333333</v>
      </c>
      <c r="G4190" s="364" t="s">
        <v>1185</v>
      </c>
      <c r="H4190" s="364" t="s">
        <v>1219</v>
      </c>
    </row>
    <row r="4191" ht="15.75" customHeight="1">
      <c r="A4191" s="364" t="s">
        <v>84</v>
      </c>
      <c r="B4191" s="364" t="s">
        <v>22</v>
      </c>
      <c r="C4191" s="365" t="s">
        <v>679</v>
      </c>
      <c r="D4191" s="364" t="s">
        <v>680</v>
      </c>
      <c r="E4191" s="366">
        <v>6.0</v>
      </c>
      <c r="F4191" s="367">
        <v>45813.54166666667</v>
      </c>
      <c r="G4191" s="364" t="s">
        <v>1185</v>
      </c>
      <c r="H4191" s="364" t="s">
        <v>1219</v>
      </c>
    </row>
    <row r="4192" ht="15.75" customHeight="1">
      <c r="A4192" s="364" t="s">
        <v>84</v>
      </c>
      <c r="B4192" s="364" t="s">
        <v>22</v>
      </c>
      <c r="C4192" s="365" t="s">
        <v>679</v>
      </c>
      <c r="D4192" s="364" t="s">
        <v>680</v>
      </c>
      <c r="E4192" s="366">
        <v>7.0</v>
      </c>
      <c r="F4192" s="367">
        <v>45818.54166666667</v>
      </c>
      <c r="G4192" s="364" t="s">
        <v>1185</v>
      </c>
      <c r="H4192" s="364" t="s">
        <v>1219</v>
      </c>
    </row>
    <row r="4193" ht="15.75" customHeight="1">
      <c r="A4193" s="364" t="s">
        <v>84</v>
      </c>
      <c r="B4193" s="364" t="s">
        <v>22</v>
      </c>
      <c r="C4193" s="365" t="s">
        <v>679</v>
      </c>
      <c r="D4193" s="364" t="s">
        <v>680</v>
      </c>
      <c r="E4193" s="366">
        <v>8.0</v>
      </c>
      <c r="F4193" s="367">
        <v>45827.54166666667</v>
      </c>
      <c r="G4193" s="364" t="s">
        <v>1185</v>
      </c>
      <c r="H4193" s="364" t="s">
        <v>1219</v>
      </c>
    </row>
    <row r="4194" ht="15.75" customHeight="1">
      <c r="A4194" s="364" t="s">
        <v>84</v>
      </c>
      <c r="B4194" s="364" t="s">
        <v>22</v>
      </c>
      <c r="C4194" s="365" t="s">
        <v>679</v>
      </c>
      <c r="D4194" s="364" t="s">
        <v>680</v>
      </c>
      <c r="E4194" s="366">
        <v>9.0</v>
      </c>
      <c r="F4194" s="367">
        <v>45833.54166666667</v>
      </c>
      <c r="G4194" s="364" t="s">
        <v>1185</v>
      </c>
      <c r="H4194" s="364" t="s">
        <v>1219</v>
      </c>
    </row>
    <row r="4195" ht="15.75" customHeight="1">
      <c r="A4195" s="364" t="s">
        <v>84</v>
      </c>
      <c r="B4195" s="364" t="s">
        <v>22</v>
      </c>
      <c r="C4195" s="365" t="s">
        <v>679</v>
      </c>
      <c r="D4195" s="364" t="s">
        <v>680</v>
      </c>
      <c r="E4195" s="366">
        <v>10.0</v>
      </c>
      <c r="F4195" s="367">
        <v>45860.41666666667</v>
      </c>
      <c r="G4195" s="364" t="s">
        <v>1185</v>
      </c>
      <c r="H4195" s="364" t="s">
        <v>1219</v>
      </c>
    </row>
    <row r="4196" ht="15.75" customHeight="1">
      <c r="A4196" s="364" t="s">
        <v>84</v>
      </c>
      <c r="B4196" s="364" t="s">
        <v>22</v>
      </c>
      <c r="C4196" s="365" t="s">
        <v>687</v>
      </c>
      <c r="D4196" s="364" t="s">
        <v>688</v>
      </c>
      <c r="E4196" s="366">
        <v>1.0</v>
      </c>
      <c r="F4196" s="367">
        <v>45764.58333333333</v>
      </c>
      <c r="G4196" s="364" t="s">
        <v>1185</v>
      </c>
      <c r="H4196" s="364" t="s">
        <v>1219</v>
      </c>
    </row>
    <row r="4197" ht="15.75" customHeight="1">
      <c r="A4197" s="364" t="s">
        <v>84</v>
      </c>
      <c r="B4197" s="364" t="s">
        <v>22</v>
      </c>
      <c r="C4197" s="365" t="s">
        <v>687</v>
      </c>
      <c r="D4197" s="364" t="s">
        <v>688</v>
      </c>
      <c r="E4197" s="366">
        <v>2.0</v>
      </c>
      <c r="F4197" s="367">
        <v>45784.54166666667</v>
      </c>
      <c r="G4197" s="364" t="s">
        <v>1185</v>
      </c>
      <c r="H4197" s="364" t="s">
        <v>1219</v>
      </c>
    </row>
    <row r="4198" ht="15.75" customHeight="1">
      <c r="A4198" s="364" t="s">
        <v>84</v>
      </c>
      <c r="B4198" s="364" t="s">
        <v>22</v>
      </c>
      <c r="C4198" s="365" t="s">
        <v>687</v>
      </c>
      <c r="D4198" s="364" t="s">
        <v>688</v>
      </c>
      <c r="E4198" s="366">
        <v>3.0</v>
      </c>
      <c r="F4198" s="367">
        <v>45791.54166666667</v>
      </c>
      <c r="G4198" s="364" t="s">
        <v>1185</v>
      </c>
      <c r="H4198" s="364" t="s">
        <v>1219</v>
      </c>
    </row>
    <row r="4199" ht="15.75" customHeight="1">
      <c r="A4199" s="364" t="s">
        <v>84</v>
      </c>
      <c r="B4199" s="364" t="s">
        <v>22</v>
      </c>
      <c r="C4199" s="365" t="s">
        <v>687</v>
      </c>
      <c r="D4199" s="364" t="s">
        <v>688</v>
      </c>
      <c r="E4199" s="366">
        <v>4.0</v>
      </c>
      <c r="F4199" s="367">
        <v>45804.58333333333</v>
      </c>
      <c r="G4199" s="364" t="s">
        <v>1185</v>
      </c>
      <c r="H4199" s="364" t="s">
        <v>1219</v>
      </c>
    </row>
    <row r="4200" ht="15.75" customHeight="1">
      <c r="A4200" s="364" t="s">
        <v>84</v>
      </c>
      <c r="B4200" s="364" t="s">
        <v>22</v>
      </c>
      <c r="C4200" s="365" t="s">
        <v>687</v>
      </c>
      <c r="D4200" s="364" t="s">
        <v>688</v>
      </c>
      <c r="E4200" s="366">
        <v>6.0</v>
      </c>
      <c r="F4200" s="367">
        <v>45813.54166666667</v>
      </c>
      <c r="G4200" s="364" t="s">
        <v>1187</v>
      </c>
      <c r="H4200" s="364" t="s">
        <v>1219</v>
      </c>
    </row>
    <row r="4201" ht="15.75" customHeight="1">
      <c r="A4201" s="364" t="s">
        <v>84</v>
      </c>
      <c r="B4201" s="364" t="s">
        <v>22</v>
      </c>
      <c r="C4201" s="365" t="s">
        <v>687</v>
      </c>
      <c r="D4201" s="364" t="s">
        <v>688</v>
      </c>
      <c r="E4201" s="366">
        <v>7.0</v>
      </c>
      <c r="F4201" s="367">
        <v>45818.54166666667</v>
      </c>
      <c r="G4201" s="364" t="s">
        <v>1185</v>
      </c>
      <c r="H4201" s="364" t="s">
        <v>1219</v>
      </c>
    </row>
    <row r="4202" ht="15.75" customHeight="1">
      <c r="A4202" s="364" t="s">
        <v>84</v>
      </c>
      <c r="B4202" s="364" t="s">
        <v>22</v>
      </c>
      <c r="C4202" s="365" t="s">
        <v>687</v>
      </c>
      <c r="D4202" s="364" t="s">
        <v>688</v>
      </c>
      <c r="E4202" s="366">
        <v>8.0</v>
      </c>
      <c r="F4202" s="367">
        <v>45827.54166666667</v>
      </c>
      <c r="G4202" s="364" t="s">
        <v>1185</v>
      </c>
      <c r="H4202" s="364" t="s">
        <v>1219</v>
      </c>
    </row>
    <row r="4203" ht="15.75" customHeight="1">
      <c r="A4203" s="364" t="s">
        <v>84</v>
      </c>
      <c r="B4203" s="364" t="s">
        <v>22</v>
      </c>
      <c r="C4203" s="365" t="s">
        <v>687</v>
      </c>
      <c r="D4203" s="364" t="s">
        <v>688</v>
      </c>
      <c r="E4203" s="366">
        <v>9.0</v>
      </c>
      <c r="F4203" s="367">
        <v>45833.54166666667</v>
      </c>
      <c r="G4203" s="364" t="s">
        <v>1185</v>
      </c>
      <c r="H4203" s="364" t="s">
        <v>1219</v>
      </c>
    </row>
    <row r="4204" ht="15.75" customHeight="1">
      <c r="A4204" s="364" t="s">
        <v>84</v>
      </c>
      <c r="B4204" s="364" t="s">
        <v>22</v>
      </c>
      <c r="C4204" s="365" t="s">
        <v>687</v>
      </c>
      <c r="D4204" s="364" t="s">
        <v>688</v>
      </c>
      <c r="E4204" s="366">
        <v>10.0</v>
      </c>
      <c r="F4204" s="367">
        <v>45860.41666666667</v>
      </c>
      <c r="G4204" s="364" t="s">
        <v>1185</v>
      </c>
      <c r="H4204" s="364" t="s">
        <v>1219</v>
      </c>
    </row>
    <row r="4205" ht="15.75" customHeight="1">
      <c r="A4205" s="364" t="s">
        <v>84</v>
      </c>
      <c r="B4205" s="364" t="s">
        <v>22</v>
      </c>
      <c r="C4205" s="365" t="s">
        <v>681</v>
      </c>
      <c r="D4205" s="364" t="s">
        <v>682</v>
      </c>
      <c r="E4205" s="366">
        <v>1.0</v>
      </c>
      <c r="F4205" s="367">
        <v>45764.58333333333</v>
      </c>
      <c r="G4205" s="364" t="s">
        <v>1185</v>
      </c>
      <c r="H4205" s="364" t="s">
        <v>1219</v>
      </c>
    </row>
    <row r="4206" ht="15.75" customHeight="1">
      <c r="A4206" s="364" t="s">
        <v>84</v>
      </c>
      <c r="B4206" s="364" t="s">
        <v>22</v>
      </c>
      <c r="C4206" s="365" t="s">
        <v>681</v>
      </c>
      <c r="D4206" s="364" t="s">
        <v>682</v>
      </c>
      <c r="E4206" s="366">
        <v>2.0</v>
      </c>
      <c r="F4206" s="367">
        <v>45784.54166666667</v>
      </c>
      <c r="G4206" s="364" t="s">
        <v>1185</v>
      </c>
      <c r="H4206" s="364" t="s">
        <v>1219</v>
      </c>
    </row>
    <row r="4207" ht="15.75" customHeight="1">
      <c r="A4207" s="364" t="s">
        <v>84</v>
      </c>
      <c r="B4207" s="364" t="s">
        <v>22</v>
      </c>
      <c r="C4207" s="365" t="s">
        <v>681</v>
      </c>
      <c r="D4207" s="364" t="s">
        <v>682</v>
      </c>
      <c r="E4207" s="366">
        <v>3.0</v>
      </c>
      <c r="F4207" s="367">
        <v>45791.54166666667</v>
      </c>
      <c r="G4207" s="364" t="s">
        <v>1185</v>
      </c>
      <c r="H4207" s="364" t="s">
        <v>1219</v>
      </c>
    </row>
    <row r="4208" ht="15.75" customHeight="1">
      <c r="A4208" s="364" t="s">
        <v>84</v>
      </c>
      <c r="B4208" s="364" t="s">
        <v>22</v>
      </c>
      <c r="C4208" s="365" t="s">
        <v>681</v>
      </c>
      <c r="D4208" s="364" t="s">
        <v>682</v>
      </c>
      <c r="E4208" s="366">
        <v>4.0</v>
      </c>
      <c r="F4208" s="367">
        <v>45804.58333333333</v>
      </c>
      <c r="G4208" s="364" t="s">
        <v>1185</v>
      </c>
      <c r="H4208" s="364" t="s">
        <v>1219</v>
      </c>
    </row>
    <row r="4209" ht="15.75" customHeight="1">
      <c r="A4209" s="364" t="s">
        <v>84</v>
      </c>
      <c r="B4209" s="364" t="s">
        <v>22</v>
      </c>
      <c r="C4209" s="365" t="s">
        <v>681</v>
      </c>
      <c r="D4209" s="364" t="s">
        <v>682</v>
      </c>
      <c r="E4209" s="366">
        <v>5.0</v>
      </c>
      <c r="F4209" s="367">
        <v>45812.58333333333</v>
      </c>
      <c r="G4209" s="364" t="s">
        <v>1185</v>
      </c>
      <c r="H4209" s="364" t="s">
        <v>1219</v>
      </c>
    </row>
    <row r="4210" ht="15.75" customHeight="1">
      <c r="A4210" s="364" t="s">
        <v>84</v>
      </c>
      <c r="B4210" s="364" t="s">
        <v>22</v>
      </c>
      <c r="C4210" s="365" t="s">
        <v>681</v>
      </c>
      <c r="D4210" s="364" t="s">
        <v>682</v>
      </c>
      <c r="E4210" s="366">
        <v>6.0</v>
      </c>
      <c r="F4210" s="367">
        <v>45813.54166666667</v>
      </c>
      <c r="G4210" s="364" t="s">
        <v>1185</v>
      </c>
      <c r="H4210" s="364" t="s">
        <v>1219</v>
      </c>
    </row>
    <row r="4211" ht="15.75" customHeight="1">
      <c r="A4211" s="364" t="s">
        <v>84</v>
      </c>
      <c r="B4211" s="364" t="s">
        <v>22</v>
      </c>
      <c r="C4211" s="365" t="s">
        <v>681</v>
      </c>
      <c r="D4211" s="364" t="s">
        <v>682</v>
      </c>
      <c r="E4211" s="366">
        <v>7.0</v>
      </c>
      <c r="F4211" s="367">
        <v>45818.54166666667</v>
      </c>
      <c r="G4211" s="364" t="s">
        <v>1185</v>
      </c>
      <c r="H4211" s="364" t="s">
        <v>1219</v>
      </c>
    </row>
    <row r="4212" ht="15.75" customHeight="1">
      <c r="A4212" s="364" t="s">
        <v>84</v>
      </c>
      <c r="B4212" s="364" t="s">
        <v>22</v>
      </c>
      <c r="C4212" s="365" t="s">
        <v>681</v>
      </c>
      <c r="D4212" s="364" t="s">
        <v>682</v>
      </c>
      <c r="E4212" s="366">
        <v>8.0</v>
      </c>
      <c r="F4212" s="367">
        <v>45827.54166666667</v>
      </c>
      <c r="G4212" s="364" t="s">
        <v>1185</v>
      </c>
      <c r="H4212" s="364" t="s">
        <v>1219</v>
      </c>
    </row>
    <row r="4213" ht="15.75" customHeight="1">
      <c r="A4213" s="364" t="s">
        <v>84</v>
      </c>
      <c r="B4213" s="364" t="s">
        <v>22</v>
      </c>
      <c r="C4213" s="365" t="s">
        <v>681</v>
      </c>
      <c r="D4213" s="364" t="s">
        <v>682</v>
      </c>
      <c r="E4213" s="366">
        <v>9.0</v>
      </c>
      <c r="F4213" s="367">
        <v>45833.54166666667</v>
      </c>
      <c r="G4213" s="364" t="s">
        <v>1185</v>
      </c>
      <c r="H4213" s="364" t="s">
        <v>1219</v>
      </c>
    </row>
    <row r="4214" ht="15.75" customHeight="1">
      <c r="A4214" s="364" t="s">
        <v>84</v>
      </c>
      <c r="B4214" s="364" t="s">
        <v>22</v>
      </c>
      <c r="C4214" s="365" t="s">
        <v>681</v>
      </c>
      <c r="D4214" s="364" t="s">
        <v>682</v>
      </c>
      <c r="E4214" s="366">
        <v>10.0</v>
      </c>
      <c r="F4214" s="367">
        <v>45860.41666666667</v>
      </c>
      <c r="G4214" s="364" t="s">
        <v>1185</v>
      </c>
      <c r="H4214" s="364" t="s">
        <v>1219</v>
      </c>
    </row>
    <row r="4215" ht="15.75" customHeight="1">
      <c r="A4215" s="364" t="s">
        <v>84</v>
      </c>
      <c r="B4215" s="364" t="s">
        <v>22</v>
      </c>
      <c r="C4215" s="365" t="s">
        <v>689</v>
      </c>
      <c r="D4215" s="364" t="s">
        <v>690</v>
      </c>
      <c r="E4215" s="366">
        <v>1.0</v>
      </c>
      <c r="F4215" s="367">
        <v>45764.58333333333</v>
      </c>
      <c r="G4215" s="364" t="s">
        <v>1185</v>
      </c>
      <c r="H4215" s="364" t="s">
        <v>1219</v>
      </c>
    </row>
    <row r="4216" ht="15.75" customHeight="1">
      <c r="A4216" s="364" t="s">
        <v>84</v>
      </c>
      <c r="B4216" s="364" t="s">
        <v>22</v>
      </c>
      <c r="C4216" s="365" t="s">
        <v>689</v>
      </c>
      <c r="D4216" s="364" t="s">
        <v>690</v>
      </c>
      <c r="E4216" s="366">
        <v>2.0</v>
      </c>
      <c r="F4216" s="367">
        <v>45784.54166666667</v>
      </c>
      <c r="G4216" s="364" t="s">
        <v>1185</v>
      </c>
      <c r="H4216" s="364" t="s">
        <v>1219</v>
      </c>
    </row>
    <row r="4217" ht="15.75" customHeight="1">
      <c r="A4217" s="364" t="s">
        <v>84</v>
      </c>
      <c r="B4217" s="364" t="s">
        <v>22</v>
      </c>
      <c r="C4217" s="365" t="s">
        <v>689</v>
      </c>
      <c r="D4217" s="364" t="s">
        <v>690</v>
      </c>
      <c r="E4217" s="366">
        <v>3.0</v>
      </c>
      <c r="F4217" s="367">
        <v>45791.54166666667</v>
      </c>
      <c r="G4217" s="364" t="s">
        <v>1185</v>
      </c>
      <c r="H4217" s="364" t="s">
        <v>1219</v>
      </c>
    </row>
    <row r="4218" ht="15.75" customHeight="1">
      <c r="A4218" s="364" t="s">
        <v>84</v>
      </c>
      <c r="B4218" s="364" t="s">
        <v>22</v>
      </c>
      <c r="C4218" s="365" t="s">
        <v>689</v>
      </c>
      <c r="D4218" s="364" t="s">
        <v>690</v>
      </c>
      <c r="E4218" s="366">
        <v>4.0</v>
      </c>
      <c r="F4218" s="367">
        <v>45804.58333333333</v>
      </c>
      <c r="G4218" s="364" t="s">
        <v>1185</v>
      </c>
      <c r="H4218" s="364" t="s">
        <v>1219</v>
      </c>
    </row>
    <row r="4219" ht="15.75" customHeight="1">
      <c r="A4219" s="364" t="s">
        <v>84</v>
      </c>
      <c r="B4219" s="364" t="s">
        <v>22</v>
      </c>
      <c r="C4219" s="365" t="s">
        <v>689</v>
      </c>
      <c r="D4219" s="364" t="s">
        <v>690</v>
      </c>
      <c r="E4219" s="366">
        <v>5.0</v>
      </c>
      <c r="F4219" s="367">
        <v>45812.58333333333</v>
      </c>
      <c r="G4219" s="364" t="s">
        <v>1185</v>
      </c>
      <c r="H4219" s="364" t="s">
        <v>1219</v>
      </c>
    </row>
    <row r="4220" ht="15.75" customHeight="1">
      <c r="A4220" s="364" t="s">
        <v>84</v>
      </c>
      <c r="B4220" s="364" t="s">
        <v>22</v>
      </c>
      <c r="C4220" s="365" t="s">
        <v>689</v>
      </c>
      <c r="D4220" s="364" t="s">
        <v>690</v>
      </c>
      <c r="E4220" s="366">
        <v>6.0</v>
      </c>
      <c r="F4220" s="367">
        <v>45813.54166666667</v>
      </c>
      <c r="G4220" s="364" t="s">
        <v>1185</v>
      </c>
      <c r="H4220" s="364" t="s">
        <v>1219</v>
      </c>
    </row>
    <row r="4221" ht="15.75" customHeight="1">
      <c r="A4221" s="364" t="s">
        <v>84</v>
      </c>
      <c r="B4221" s="364" t="s">
        <v>22</v>
      </c>
      <c r="C4221" s="365" t="s">
        <v>689</v>
      </c>
      <c r="D4221" s="364" t="s">
        <v>690</v>
      </c>
      <c r="E4221" s="366">
        <v>7.0</v>
      </c>
      <c r="F4221" s="367">
        <v>45818.54166666667</v>
      </c>
      <c r="G4221" s="364" t="s">
        <v>1185</v>
      </c>
      <c r="H4221" s="364" t="s">
        <v>1219</v>
      </c>
    </row>
    <row r="4222" ht="15.75" customHeight="1">
      <c r="A4222" s="364" t="s">
        <v>84</v>
      </c>
      <c r="B4222" s="364" t="s">
        <v>22</v>
      </c>
      <c r="C4222" s="365" t="s">
        <v>689</v>
      </c>
      <c r="D4222" s="364" t="s">
        <v>690</v>
      </c>
      <c r="E4222" s="366">
        <v>8.0</v>
      </c>
      <c r="F4222" s="367">
        <v>45827.54166666667</v>
      </c>
      <c r="G4222" s="364" t="s">
        <v>1185</v>
      </c>
      <c r="H4222" s="364" t="s">
        <v>1219</v>
      </c>
    </row>
    <row r="4223" ht="15.75" customHeight="1">
      <c r="A4223" s="364" t="s">
        <v>84</v>
      </c>
      <c r="B4223" s="364" t="s">
        <v>22</v>
      </c>
      <c r="C4223" s="365" t="s">
        <v>689</v>
      </c>
      <c r="D4223" s="364" t="s">
        <v>690</v>
      </c>
      <c r="E4223" s="366">
        <v>9.0</v>
      </c>
      <c r="F4223" s="367">
        <v>45833.54166666667</v>
      </c>
      <c r="G4223" s="364" t="s">
        <v>1185</v>
      </c>
      <c r="H4223" s="364" t="s">
        <v>1219</v>
      </c>
    </row>
    <row r="4224" ht="15.75" customHeight="1">
      <c r="A4224" s="364" t="s">
        <v>84</v>
      </c>
      <c r="B4224" s="364" t="s">
        <v>22</v>
      </c>
      <c r="C4224" s="365" t="s">
        <v>689</v>
      </c>
      <c r="D4224" s="364" t="s">
        <v>690</v>
      </c>
      <c r="E4224" s="366">
        <v>10.0</v>
      </c>
      <c r="F4224" s="367">
        <v>45860.41666666667</v>
      </c>
      <c r="G4224" s="364" t="s">
        <v>1185</v>
      </c>
      <c r="H4224" s="364" t="s">
        <v>1219</v>
      </c>
    </row>
    <row r="4225" ht="15.75" customHeight="1">
      <c r="A4225" s="364" t="s">
        <v>84</v>
      </c>
      <c r="B4225" s="364" t="s">
        <v>22</v>
      </c>
      <c r="C4225" s="365" t="s">
        <v>683</v>
      </c>
      <c r="D4225" s="364" t="s">
        <v>684</v>
      </c>
      <c r="E4225" s="366">
        <v>1.0</v>
      </c>
      <c r="F4225" s="367">
        <v>45764.58333333333</v>
      </c>
      <c r="G4225" s="364" t="s">
        <v>1185</v>
      </c>
      <c r="H4225" s="364" t="s">
        <v>1219</v>
      </c>
    </row>
    <row r="4226" ht="15.75" customHeight="1">
      <c r="A4226" s="364" t="s">
        <v>84</v>
      </c>
      <c r="B4226" s="364" t="s">
        <v>22</v>
      </c>
      <c r="C4226" s="365" t="s">
        <v>683</v>
      </c>
      <c r="D4226" s="364" t="s">
        <v>684</v>
      </c>
      <c r="E4226" s="366">
        <v>2.0</v>
      </c>
      <c r="F4226" s="367">
        <v>45784.54166666667</v>
      </c>
      <c r="G4226" s="364" t="s">
        <v>1185</v>
      </c>
      <c r="H4226" s="364" t="s">
        <v>1219</v>
      </c>
    </row>
    <row r="4227" ht="15.75" customHeight="1">
      <c r="A4227" s="364" t="s">
        <v>84</v>
      </c>
      <c r="B4227" s="364" t="s">
        <v>22</v>
      </c>
      <c r="C4227" s="365" t="s">
        <v>683</v>
      </c>
      <c r="D4227" s="364" t="s">
        <v>684</v>
      </c>
      <c r="E4227" s="366">
        <v>3.0</v>
      </c>
      <c r="F4227" s="367">
        <v>45791.54166666667</v>
      </c>
      <c r="G4227" s="364" t="s">
        <v>1187</v>
      </c>
      <c r="H4227" s="364" t="s">
        <v>1219</v>
      </c>
    </row>
    <row r="4228" ht="15.75" customHeight="1">
      <c r="A4228" s="364" t="s">
        <v>84</v>
      </c>
      <c r="B4228" s="364" t="s">
        <v>22</v>
      </c>
      <c r="C4228" s="365" t="s">
        <v>683</v>
      </c>
      <c r="D4228" s="364" t="s">
        <v>684</v>
      </c>
      <c r="E4228" s="366">
        <v>4.0</v>
      </c>
      <c r="F4228" s="367">
        <v>45804.58333333333</v>
      </c>
      <c r="G4228" s="364" t="s">
        <v>1185</v>
      </c>
      <c r="H4228" s="364" t="s">
        <v>1219</v>
      </c>
    </row>
    <row r="4229" ht="15.75" customHeight="1">
      <c r="A4229" s="364" t="s">
        <v>84</v>
      </c>
      <c r="B4229" s="364" t="s">
        <v>22</v>
      </c>
      <c r="C4229" s="365" t="s">
        <v>683</v>
      </c>
      <c r="D4229" s="364" t="s">
        <v>684</v>
      </c>
      <c r="E4229" s="366">
        <v>5.0</v>
      </c>
      <c r="F4229" s="367">
        <v>45812.58333333333</v>
      </c>
      <c r="G4229" s="364" t="s">
        <v>1185</v>
      </c>
      <c r="H4229" s="364" t="s">
        <v>1219</v>
      </c>
    </row>
    <row r="4230" ht="15.75" customHeight="1">
      <c r="A4230" s="364" t="s">
        <v>84</v>
      </c>
      <c r="B4230" s="364" t="s">
        <v>22</v>
      </c>
      <c r="C4230" s="365" t="s">
        <v>683</v>
      </c>
      <c r="D4230" s="364" t="s">
        <v>684</v>
      </c>
      <c r="E4230" s="366">
        <v>6.0</v>
      </c>
      <c r="F4230" s="367">
        <v>45813.54166666667</v>
      </c>
      <c r="G4230" s="364" t="s">
        <v>1185</v>
      </c>
      <c r="H4230" s="364" t="s">
        <v>1219</v>
      </c>
    </row>
    <row r="4231" ht="15.75" customHeight="1">
      <c r="A4231" s="364" t="s">
        <v>84</v>
      </c>
      <c r="B4231" s="364" t="s">
        <v>22</v>
      </c>
      <c r="C4231" s="365" t="s">
        <v>683</v>
      </c>
      <c r="D4231" s="364" t="s">
        <v>684</v>
      </c>
      <c r="E4231" s="366">
        <v>7.0</v>
      </c>
      <c r="F4231" s="367">
        <v>45818.54166666667</v>
      </c>
      <c r="G4231" s="364" t="s">
        <v>1185</v>
      </c>
      <c r="H4231" s="364" t="s">
        <v>1219</v>
      </c>
    </row>
    <row r="4232" ht="15.75" customHeight="1">
      <c r="A4232" s="364" t="s">
        <v>84</v>
      </c>
      <c r="B4232" s="364" t="s">
        <v>22</v>
      </c>
      <c r="C4232" s="365" t="s">
        <v>683</v>
      </c>
      <c r="D4232" s="364" t="s">
        <v>684</v>
      </c>
      <c r="E4232" s="366">
        <v>8.0</v>
      </c>
      <c r="F4232" s="367">
        <v>45827.54166666667</v>
      </c>
      <c r="G4232" s="364" t="s">
        <v>1185</v>
      </c>
      <c r="H4232" s="364" t="s">
        <v>1219</v>
      </c>
    </row>
    <row r="4233" ht="15.75" customHeight="1">
      <c r="A4233" s="364" t="s">
        <v>84</v>
      </c>
      <c r="B4233" s="364" t="s">
        <v>22</v>
      </c>
      <c r="C4233" s="365" t="s">
        <v>683</v>
      </c>
      <c r="D4233" s="364" t="s">
        <v>684</v>
      </c>
      <c r="E4233" s="366">
        <v>9.0</v>
      </c>
      <c r="F4233" s="367">
        <v>45833.54166666667</v>
      </c>
      <c r="G4233" s="364" t="s">
        <v>1185</v>
      </c>
      <c r="H4233" s="364" t="s">
        <v>1219</v>
      </c>
    </row>
    <row r="4234" ht="15.75" customHeight="1">
      <c r="A4234" s="364" t="s">
        <v>84</v>
      </c>
      <c r="B4234" s="364" t="s">
        <v>22</v>
      </c>
      <c r="C4234" s="365" t="s">
        <v>683</v>
      </c>
      <c r="D4234" s="364" t="s">
        <v>684</v>
      </c>
      <c r="E4234" s="366">
        <v>10.0</v>
      </c>
      <c r="F4234" s="367">
        <v>45860.41666666667</v>
      </c>
      <c r="G4234" s="364" t="s">
        <v>1185</v>
      </c>
      <c r="H4234" s="364" t="s">
        <v>1219</v>
      </c>
    </row>
    <row r="4235" ht="15.75" customHeight="1">
      <c r="A4235" s="364" t="s">
        <v>84</v>
      </c>
      <c r="B4235" s="364" t="s">
        <v>23</v>
      </c>
      <c r="C4235" s="365" t="s">
        <v>675</v>
      </c>
      <c r="D4235" s="364" t="s">
        <v>676</v>
      </c>
      <c r="E4235" s="366">
        <v>1.0</v>
      </c>
      <c r="F4235" s="367">
        <v>45882.58333333333</v>
      </c>
      <c r="G4235" s="364" t="s">
        <v>1187</v>
      </c>
      <c r="H4235" s="364" t="s">
        <v>1219</v>
      </c>
    </row>
    <row r="4236" ht="15.75" customHeight="1">
      <c r="A4236" s="364" t="s">
        <v>84</v>
      </c>
      <c r="B4236" s="364" t="s">
        <v>23</v>
      </c>
      <c r="C4236" s="365" t="s">
        <v>675</v>
      </c>
      <c r="D4236" s="364" t="s">
        <v>676</v>
      </c>
      <c r="E4236" s="366">
        <v>2.0</v>
      </c>
      <c r="F4236" s="367">
        <v>45889.54166666667</v>
      </c>
      <c r="G4236" s="364" t="s">
        <v>1185</v>
      </c>
      <c r="H4236" s="364" t="s">
        <v>1219</v>
      </c>
    </row>
    <row r="4237" ht="15.75" customHeight="1">
      <c r="A4237" s="364" t="s">
        <v>84</v>
      </c>
      <c r="B4237" s="364" t="s">
        <v>23</v>
      </c>
      <c r="C4237" s="365" t="s">
        <v>675</v>
      </c>
      <c r="D4237" s="364" t="s">
        <v>676</v>
      </c>
      <c r="E4237" s="366">
        <v>3.0</v>
      </c>
      <c r="F4237" s="367">
        <v>45895.54166666667</v>
      </c>
      <c r="G4237" s="364" t="s">
        <v>1185</v>
      </c>
      <c r="H4237" s="364" t="s">
        <v>1219</v>
      </c>
    </row>
    <row r="4238" ht="15.75" customHeight="1">
      <c r="A4238" s="364" t="s">
        <v>84</v>
      </c>
      <c r="B4238" s="364" t="s">
        <v>23</v>
      </c>
      <c r="C4238" s="365" t="s">
        <v>675</v>
      </c>
      <c r="D4238" s="364" t="s">
        <v>676</v>
      </c>
      <c r="E4238" s="366">
        <v>4.0</v>
      </c>
      <c r="F4238" s="367">
        <v>45903.54166666667</v>
      </c>
      <c r="G4238" s="364" t="s">
        <v>1185</v>
      </c>
      <c r="H4238" s="364" t="s">
        <v>1219</v>
      </c>
    </row>
    <row r="4239" ht="15.75" customHeight="1">
      <c r="A4239" s="364" t="s">
        <v>84</v>
      </c>
      <c r="B4239" s="364" t="s">
        <v>23</v>
      </c>
      <c r="C4239" s="365" t="s">
        <v>675</v>
      </c>
      <c r="D4239" s="364" t="s">
        <v>676</v>
      </c>
      <c r="E4239" s="366">
        <v>5.0</v>
      </c>
      <c r="F4239" s="367">
        <v>45910.58333333333</v>
      </c>
      <c r="G4239" s="364" t="s">
        <v>1185</v>
      </c>
      <c r="H4239" s="364" t="s">
        <v>1219</v>
      </c>
    </row>
    <row r="4240" ht="15.75" customHeight="1">
      <c r="A4240" s="364" t="s">
        <v>84</v>
      </c>
      <c r="B4240" s="364" t="s">
        <v>23</v>
      </c>
      <c r="C4240" s="365" t="s">
        <v>675</v>
      </c>
      <c r="D4240" s="364" t="s">
        <v>676</v>
      </c>
      <c r="E4240" s="366">
        <v>6.0</v>
      </c>
      <c r="F4240" s="367">
        <v>45917.54166666667</v>
      </c>
      <c r="G4240" s="364" t="s">
        <v>1185</v>
      </c>
      <c r="H4240" s="364" t="s">
        <v>1219</v>
      </c>
    </row>
    <row r="4241" ht="15.75" customHeight="1">
      <c r="A4241" s="364" t="s">
        <v>84</v>
      </c>
      <c r="B4241" s="364" t="s">
        <v>23</v>
      </c>
      <c r="C4241" s="365" t="s">
        <v>675</v>
      </c>
      <c r="D4241" s="364" t="s">
        <v>676</v>
      </c>
      <c r="E4241" s="366">
        <v>7.0</v>
      </c>
      <c r="F4241" s="367">
        <v>45924.58333333333</v>
      </c>
      <c r="G4241" s="364" t="s">
        <v>1185</v>
      </c>
      <c r="H4241" s="364" t="s">
        <v>1219</v>
      </c>
    </row>
    <row r="4242" ht="15.75" customHeight="1">
      <c r="A4242" s="364" t="s">
        <v>84</v>
      </c>
      <c r="B4242" s="364" t="s">
        <v>23</v>
      </c>
      <c r="C4242" s="365" t="s">
        <v>675</v>
      </c>
      <c r="D4242" s="364" t="s">
        <v>676</v>
      </c>
      <c r="E4242" s="366">
        <v>8.0</v>
      </c>
      <c r="F4242" s="367">
        <v>45940.58333333333</v>
      </c>
      <c r="G4242" s="364" t="s">
        <v>1185</v>
      </c>
      <c r="H4242" s="364" t="s">
        <v>1219</v>
      </c>
    </row>
    <row r="4243" ht="15.75" customHeight="1">
      <c r="A4243" s="364" t="s">
        <v>84</v>
      </c>
      <c r="B4243" s="364" t="s">
        <v>23</v>
      </c>
      <c r="C4243" s="365" t="s">
        <v>675</v>
      </c>
      <c r="D4243" s="364" t="s">
        <v>676</v>
      </c>
      <c r="E4243" s="366">
        <v>9.0</v>
      </c>
      <c r="F4243" s="367">
        <v>45943.58333333333</v>
      </c>
      <c r="G4243" s="364" t="s">
        <v>1187</v>
      </c>
      <c r="H4243" s="364" t="s">
        <v>1219</v>
      </c>
    </row>
    <row r="4244" ht="15.75" customHeight="1">
      <c r="A4244" s="364" t="s">
        <v>84</v>
      </c>
      <c r="B4244" s="364" t="s">
        <v>23</v>
      </c>
      <c r="C4244" s="365" t="s">
        <v>675</v>
      </c>
      <c r="D4244" s="364" t="s">
        <v>676</v>
      </c>
      <c r="E4244" s="366">
        <v>10.0</v>
      </c>
      <c r="F4244" s="367">
        <v>45954.54166666667</v>
      </c>
      <c r="G4244" s="364" t="s">
        <v>1185</v>
      </c>
      <c r="H4244" s="364" t="s">
        <v>1219</v>
      </c>
    </row>
    <row r="4245" ht="15.75" customHeight="1">
      <c r="A4245" s="364" t="s">
        <v>84</v>
      </c>
      <c r="B4245" s="364" t="s">
        <v>23</v>
      </c>
      <c r="C4245" s="365" t="s">
        <v>675</v>
      </c>
      <c r="D4245" s="364" t="s">
        <v>676</v>
      </c>
      <c r="E4245" s="366">
        <v>11.0</v>
      </c>
      <c r="F4245" s="367">
        <v>45961.54166666667</v>
      </c>
      <c r="G4245" s="364" t="s">
        <v>1185</v>
      </c>
      <c r="H4245" s="364" t="s">
        <v>1219</v>
      </c>
    </row>
    <row r="4246" ht="15.75" customHeight="1">
      <c r="A4246" s="364" t="s">
        <v>84</v>
      </c>
      <c r="B4246" s="364" t="s">
        <v>23</v>
      </c>
      <c r="C4246" s="365" t="s">
        <v>675</v>
      </c>
      <c r="D4246" s="364" t="s">
        <v>676</v>
      </c>
      <c r="E4246" s="366">
        <v>12.0</v>
      </c>
      <c r="F4246" s="367">
        <v>45965.54166666667</v>
      </c>
      <c r="G4246" s="364" t="s">
        <v>1185</v>
      </c>
      <c r="H4246" s="364" t="s">
        <v>1219</v>
      </c>
    </row>
    <row r="4247" ht="15.75" customHeight="1">
      <c r="A4247" s="364" t="s">
        <v>84</v>
      </c>
      <c r="B4247" s="364" t="s">
        <v>23</v>
      </c>
      <c r="C4247" s="365" t="s">
        <v>675</v>
      </c>
      <c r="D4247" s="364" t="s">
        <v>676</v>
      </c>
      <c r="E4247" s="366">
        <v>13.0</v>
      </c>
      <c r="F4247" s="367">
        <v>45974.54166666667</v>
      </c>
      <c r="G4247" s="364" t="s">
        <v>1185</v>
      </c>
      <c r="H4247" s="364" t="s">
        <v>1219</v>
      </c>
    </row>
    <row r="4248" ht="15.75" customHeight="1">
      <c r="A4248" s="364" t="s">
        <v>84</v>
      </c>
      <c r="B4248" s="364" t="s">
        <v>23</v>
      </c>
      <c r="C4248" s="365" t="s">
        <v>675</v>
      </c>
      <c r="D4248" s="364" t="s">
        <v>676</v>
      </c>
      <c r="E4248" s="366">
        <v>14.0</v>
      </c>
      <c r="F4248" s="367">
        <v>45980.54166666667</v>
      </c>
      <c r="G4248" s="364" t="s">
        <v>1185</v>
      </c>
      <c r="H4248" s="364" t="s">
        <v>1219</v>
      </c>
    </row>
    <row r="4249" ht="15.75" customHeight="1">
      <c r="A4249" s="364" t="s">
        <v>84</v>
      </c>
      <c r="B4249" s="364" t="s">
        <v>23</v>
      </c>
      <c r="C4249" s="365" t="s">
        <v>675</v>
      </c>
      <c r="D4249" s="364" t="s">
        <v>676</v>
      </c>
      <c r="E4249" s="366">
        <v>15.0</v>
      </c>
      <c r="F4249" s="367">
        <v>45987.54166666667</v>
      </c>
      <c r="G4249" s="364" t="s">
        <v>1185</v>
      </c>
      <c r="H4249" s="364" t="s">
        <v>1219</v>
      </c>
    </row>
    <row r="4250" ht="15.75" customHeight="1">
      <c r="A4250" s="364" t="s">
        <v>84</v>
      </c>
      <c r="B4250" s="364" t="s">
        <v>23</v>
      </c>
      <c r="C4250" s="365" t="s">
        <v>675</v>
      </c>
      <c r="D4250" s="364" t="s">
        <v>676</v>
      </c>
      <c r="E4250" s="366">
        <v>16.0</v>
      </c>
      <c r="F4250" s="367">
        <v>46045.54166666667</v>
      </c>
      <c r="G4250" s="364" t="s">
        <v>1185</v>
      </c>
      <c r="H4250" s="364" t="s">
        <v>1219</v>
      </c>
    </row>
    <row r="4251" ht="15.75" customHeight="1">
      <c r="A4251" s="364" t="s">
        <v>84</v>
      </c>
      <c r="B4251" s="364" t="s">
        <v>23</v>
      </c>
      <c r="C4251" s="365" t="s">
        <v>677</v>
      </c>
      <c r="D4251" s="364" t="s">
        <v>678</v>
      </c>
      <c r="E4251" s="366">
        <v>1.0</v>
      </c>
      <c r="F4251" s="367">
        <v>45882.58333333333</v>
      </c>
      <c r="G4251" s="364" t="s">
        <v>1185</v>
      </c>
      <c r="H4251" s="364" t="s">
        <v>1219</v>
      </c>
    </row>
    <row r="4252" ht="15.75" customHeight="1">
      <c r="A4252" s="364" t="s">
        <v>84</v>
      </c>
      <c r="B4252" s="364" t="s">
        <v>23</v>
      </c>
      <c r="C4252" s="365" t="s">
        <v>677</v>
      </c>
      <c r="D4252" s="364" t="s">
        <v>678</v>
      </c>
      <c r="E4252" s="366">
        <v>2.0</v>
      </c>
      <c r="F4252" s="367">
        <v>45889.54166666667</v>
      </c>
      <c r="G4252" s="364" t="s">
        <v>1185</v>
      </c>
      <c r="H4252" s="364" t="s">
        <v>1219</v>
      </c>
    </row>
    <row r="4253" ht="15.75" customHeight="1">
      <c r="A4253" s="364" t="s">
        <v>84</v>
      </c>
      <c r="B4253" s="364" t="s">
        <v>23</v>
      </c>
      <c r="C4253" s="365" t="s">
        <v>677</v>
      </c>
      <c r="D4253" s="364" t="s">
        <v>678</v>
      </c>
      <c r="E4253" s="366">
        <v>3.0</v>
      </c>
      <c r="F4253" s="367">
        <v>45895.54166666667</v>
      </c>
      <c r="G4253" s="364" t="s">
        <v>1185</v>
      </c>
      <c r="H4253" s="364" t="s">
        <v>1219</v>
      </c>
    </row>
    <row r="4254" ht="15.75" customHeight="1">
      <c r="A4254" s="364" t="s">
        <v>84</v>
      </c>
      <c r="B4254" s="364" t="s">
        <v>23</v>
      </c>
      <c r="C4254" s="365" t="s">
        <v>677</v>
      </c>
      <c r="D4254" s="364" t="s">
        <v>678</v>
      </c>
      <c r="E4254" s="366">
        <v>4.0</v>
      </c>
      <c r="F4254" s="367">
        <v>45903.54166666667</v>
      </c>
      <c r="G4254" s="364" t="s">
        <v>1185</v>
      </c>
      <c r="H4254" s="364" t="s">
        <v>1219</v>
      </c>
    </row>
    <row r="4255" ht="15.75" customHeight="1">
      <c r="A4255" s="364" t="s">
        <v>84</v>
      </c>
      <c r="B4255" s="364" t="s">
        <v>23</v>
      </c>
      <c r="C4255" s="365" t="s">
        <v>677</v>
      </c>
      <c r="D4255" s="364" t="s">
        <v>678</v>
      </c>
      <c r="E4255" s="366">
        <v>5.0</v>
      </c>
      <c r="F4255" s="367">
        <v>45910.58333333333</v>
      </c>
      <c r="G4255" s="364" t="s">
        <v>1187</v>
      </c>
      <c r="H4255" s="364" t="s">
        <v>1219</v>
      </c>
    </row>
    <row r="4256" ht="15.75" customHeight="1">
      <c r="A4256" s="364" t="s">
        <v>84</v>
      </c>
      <c r="B4256" s="364" t="s">
        <v>23</v>
      </c>
      <c r="C4256" s="365" t="s">
        <v>677</v>
      </c>
      <c r="D4256" s="364" t="s">
        <v>678</v>
      </c>
      <c r="E4256" s="366">
        <v>6.0</v>
      </c>
      <c r="F4256" s="367">
        <v>45917.54166666667</v>
      </c>
      <c r="G4256" s="364" t="s">
        <v>1185</v>
      </c>
      <c r="H4256" s="364" t="s">
        <v>1219</v>
      </c>
    </row>
    <row r="4257" ht="15.75" customHeight="1">
      <c r="A4257" s="364" t="s">
        <v>84</v>
      </c>
      <c r="B4257" s="364" t="s">
        <v>23</v>
      </c>
      <c r="C4257" s="365" t="s">
        <v>677</v>
      </c>
      <c r="D4257" s="364" t="s">
        <v>678</v>
      </c>
      <c r="E4257" s="366">
        <v>7.0</v>
      </c>
      <c r="F4257" s="367">
        <v>45924.58333333333</v>
      </c>
      <c r="G4257" s="364" t="s">
        <v>1185</v>
      </c>
      <c r="H4257" s="364" t="s">
        <v>1219</v>
      </c>
    </row>
    <row r="4258" ht="15.75" customHeight="1">
      <c r="A4258" s="364" t="s">
        <v>84</v>
      </c>
      <c r="B4258" s="364" t="s">
        <v>23</v>
      </c>
      <c r="C4258" s="365" t="s">
        <v>677</v>
      </c>
      <c r="D4258" s="364" t="s">
        <v>678</v>
      </c>
      <c r="E4258" s="366">
        <v>8.0</v>
      </c>
      <c r="F4258" s="367">
        <v>45940.58333333333</v>
      </c>
      <c r="G4258" s="364" t="s">
        <v>1185</v>
      </c>
      <c r="H4258" s="364" t="s">
        <v>1219</v>
      </c>
    </row>
    <row r="4259" ht="15.75" customHeight="1">
      <c r="A4259" s="364" t="s">
        <v>84</v>
      </c>
      <c r="B4259" s="364" t="s">
        <v>23</v>
      </c>
      <c r="C4259" s="365" t="s">
        <v>677</v>
      </c>
      <c r="D4259" s="364" t="s">
        <v>678</v>
      </c>
      <c r="E4259" s="366">
        <v>9.0</v>
      </c>
      <c r="F4259" s="367">
        <v>45943.58333333333</v>
      </c>
      <c r="G4259" s="364" t="s">
        <v>1185</v>
      </c>
      <c r="H4259" s="364" t="s">
        <v>1219</v>
      </c>
    </row>
    <row r="4260" ht="15.75" customHeight="1">
      <c r="A4260" s="364" t="s">
        <v>84</v>
      </c>
      <c r="B4260" s="364" t="s">
        <v>23</v>
      </c>
      <c r="C4260" s="365" t="s">
        <v>677</v>
      </c>
      <c r="D4260" s="364" t="s">
        <v>678</v>
      </c>
      <c r="E4260" s="366">
        <v>10.0</v>
      </c>
      <c r="F4260" s="367">
        <v>45954.54166666667</v>
      </c>
      <c r="G4260" s="364" t="s">
        <v>1185</v>
      </c>
      <c r="H4260" s="364" t="s">
        <v>1219</v>
      </c>
    </row>
    <row r="4261" ht="15.75" customHeight="1">
      <c r="A4261" s="364" t="s">
        <v>84</v>
      </c>
      <c r="B4261" s="364" t="s">
        <v>23</v>
      </c>
      <c r="C4261" s="365" t="s">
        <v>677</v>
      </c>
      <c r="D4261" s="364" t="s">
        <v>678</v>
      </c>
      <c r="E4261" s="366">
        <v>11.0</v>
      </c>
      <c r="F4261" s="367">
        <v>45961.54166666667</v>
      </c>
      <c r="G4261" s="364" t="s">
        <v>1185</v>
      </c>
      <c r="H4261" s="364" t="s">
        <v>1219</v>
      </c>
    </row>
    <row r="4262" ht="15.75" customHeight="1">
      <c r="A4262" s="364" t="s">
        <v>84</v>
      </c>
      <c r="B4262" s="364" t="s">
        <v>23</v>
      </c>
      <c r="C4262" s="365" t="s">
        <v>677</v>
      </c>
      <c r="D4262" s="364" t="s">
        <v>678</v>
      </c>
      <c r="E4262" s="366">
        <v>12.0</v>
      </c>
      <c r="F4262" s="367">
        <v>45965.54166666667</v>
      </c>
      <c r="G4262" s="364" t="s">
        <v>1185</v>
      </c>
      <c r="H4262" s="364" t="s">
        <v>1219</v>
      </c>
    </row>
    <row r="4263" ht="15.75" customHeight="1">
      <c r="A4263" s="364" t="s">
        <v>84</v>
      </c>
      <c r="B4263" s="364" t="s">
        <v>23</v>
      </c>
      <c r="C4263" s="365" t="s">
        <v>677</v>
      </c>
      <c r="D4263" s="364" t="s">
        <v>678</v>
      </c>
      <c r="E4263" s="366">
        <v>13.0</v>
      </c>
      <c r="F4263" s="367">
        <v>45974.54166666667</v>
      </c>
      <c r="G4263" s="364" t="s">
        <v>1185</v>
      </c>
      <c r="H4263" s="364" t="s">
        <v>1219</v>
      </c>
    </row>
    <row r="4264" ht="15.75" customHeight="1">
      <c r="A4264" s="364" t="s">
        <v>84</v>
      </c>
      <c r="B4264" s="364" t="s">
        <v>23</v>
      </c>
      <c r="C4264" s="365" t="s">
        <v>677</v>
      </c>
      <c r="D4264" s="364" t="s">
        <v>678</v>
      </c>
      <c r="E4264" s="366">
        <v>14.0</v>
      </c>
      <c r="F4264" s="367">
        <v>45980.54166666667</v>
      </c>
      <c r="G4264" s="364" t="s">
        <v>1187</v>
      </c>
      <c r="H4264" s="364" t="s">
        <v>1219</v>
      </c>
    </row>
    <row r="4265" ht="15.75" customHeight="1">
      <c r="A4265" s="364" t="s">
        <v>84</v>
      </c>
      <c r="B4265" s="364" t="s">
        <v>23</v>
      </c>
      <c r="C4265" s="365" t="s">
        <v>677</v>
      </c>
      <c r="D4265" s="364" t="s">
        <v>678</v>
      </c>
      <c r="E4265" s="366">
        <v>15.0</v>
      </c>
      <c r="F4265" s="367">
        <v>45987.54166666667</v>
      </c>
      <c r="G4265" s="364" t="s">
        <v>1185</v>
      </c>
      <c r="H4265" s="364" t="s">
        <v>1219</v>
      </c>
    </row>
    <row r="4266" ht="15.75" customHeight="1">
      <c r="A4266" s="364" t="s">
        <v>84</v>
      </c>
      <c r="B4266" s="364" t="s">
        <v>23</v>
      </c>
      <c r="C4266" s="365" t="s">
        <v>677</v>
      </c>
      <c r="D4266" s="364" t="s">
        <v>678</v>
      </c>
      <c r="E4266" s="366">
        <v>16.0</v>
      </c>
      <c r="F4266" s="367">
        <v>46045.54166666667</v>
      </c>
      <c r="G4266" s="364" t="s">
        <v>1185</v>
      </c>
      <c r="H4266" s="364" t="s">
        <v>1219</v>
      </c>
    </row>
    <row r="4267" ht="15.75" customHeight="1">
      <c r="A4267" s="364" t="s">
        <v>84</v>
      </c>
      <c r="B4267" s="364" t="s">
        <v>23</v>
      </c>
      <c r="C4267" s="365" t="s">
        <v>679</v>
      </c>
      <c r="D4267" s="364" t="s">
        <v>680</v>
      </c>
      <c r="E4267" s="366">
        <v>1.0</v>
      </c>
      <c r="F4267" s="367">
        <v>45882.58333333333</v>
      </c>
      <c r="G4267" s="364" t="s">
        <v>1185</v>
      </c>
      <c r="H4267" s="364" t="s">
        <v>1219</v>
      </c>
    </row>
    <row r="4268" ht="15.75" customHeight="1">
      <c r="A4268" s="364" t="s">
        <v>84</v>
      </c>
      <c r="B4268" s="364" t="s">
        <v>23</v>
      </c>
      <c r="C4268" s="365" t="s">
        <v>679</v>
      </c>
      <c r="D4268" s="364" t="s">
        <v>680</v>
      </c>
      <c r="E4268" s="366">
        <v>2.0</v>
      </c>
      <c r="F4268" s="367">
        <v>45889.54166666667</v>
      </c>
      <c r="G4268" s="364" t="s">
        <v>1185</v>
      </c>
      <c r="H4268" s="364" t="s">
        <v>1219</v>
      </c>
    </row>
    <row r="4269" ht="15.75" customHeight="1">
      <c r="A4269" s="364" t="s">
        <v>84</v>
      </c>
      <c r="B4269" s="364" t="s">
        <v>23</v>
      </c>
      <c r="C4269" s="365" t="s">
        <v>679</v>
      </c>
      <c r="D4269" s="364" t="s">
        <v>680</v>
      </c>
      <c r="E4269" s="366">
        <v>3.0</v>
      </c>
      <c r="F4269" s="367">
        <v>45895.54166666667</v>
      </c>
      <c r="G4269" s="364" t="s">
        <v>1185</v>
      </c>
      <c r="H4269" s="364" t="s">
        <v>1219</v>
      </c>
    </row>
    <row r="4270" ht="15.75" customHeight="1">
      <c r="A4270" s="364" t="s">
        <v>84</v>
      </c>
      <c r="B4270" s="364" t="s">
        <v>23</v>
      </c>
      <c r="C4270" s="365" t="s">
        <v>679</v>
      </c>
      <c r="D4270" s="364" t="s">
        <v>680</v>
      </c>
      <c r="E4270" s="366">
        <v>4.0</v>
      </c>
      <c r="F4270" s="367">
        <v>45903.54166666667</v>
      </c>
      <c r="G4270" s="364" t="s">
        <v>1185</v>
      </c>
      <c r="H4270" s="364" t="s">
        <v>1219</v>
      </c>
    </row>
    <row r="4271" ht="15.75" customHeight="1">
      <c r="A4271" s="364" t="s">
        <v>84</v>
      </c>
      <c r="B4271" s="364" t="s">
        <v>23</v>
      </c>
      <c r="C4271" s="365" t="s">
        <v>679</v>
      </c>
      <c r="D4271" s="364" t="s">
        <v>680</v>
      </c>
      <c r="E4271" s="366">
        <v>5.0</v>
      </c>
      <c r="F4271" s="367">
        <v>45910.58333333333</v>
      </c>
      <c r="G4271" s="364" t="s">
        <v>1185</v>
      </c>
      <c r="H4271" s="364" t="s">
        <v>1219</v>
      </c>
    </row>
    <row r="4272" ht="15.75" customHeight="1">
      <c r="A4272" s="364" t="s">
        <v>84</v>
      </c>
      <c r="B4272" s="364" t="s">
        <v>23</v>
      </c>
      <c r="C4272" s="365" t="s">
        <v>679</v>
      </c>
      <c r="D4272" s="364" t="s">
        <v>680</v>
      </c>
      <c r="E4272" s="366">
        <v>6.0</v>
      </c>
      <c r="F4272" s="367">
        <v>45917.54166666667</v>
      </c>
      <c r="G4272" s="364" t="s">
        <v>1187</v>
      </c>
      <c r="H4272" s="364" t="s">
        <v>1219</v>
      </c>
    </row>
    <row r="4273" ht="15.75" customHeight="1">
      <c r="A4273" s="364" t="s">
        <v>84</v>
      </c>
      <c r="B4273" s="364" t="s">
        <v>23</v>
      </c>
      <c r="C4273" s="365" t="s">
        <v>679</v>
      </c>
      <c r="D4273" s="364" t="s">
        <v>680</v>
      </c>
      <c r="E4273" s="366">
        <v>7.0</v>
      </c>
      <c r="F4273" s="367">
        <v>45924.58333333333</v>
      </c>
      <c r="G4273" s="364" t="s">
        <v>1185</v>
      </c>
      <c r="H4273" s="364" t="s">
        <v>1219</v>
      </c>
    </row>
    <row r="4274" ht="15.75" customHeight="1">
      <c r="A4274" s="364" t="s">
        <v>84</v>
      </c>
      <c r="B4274" s="364" t="s">
        <v>23</v>
      </c>
      <c r="C4274" s="365" t="s">
        <v>679</v>
      </c>
      <c r="D4274" s="364" t="s">
        <v>680</v>
      </c>
      <c r="E4274" s="366">
        <v>8.0</v>
      </c>
      <c r="F4274" s="367">
        <v>45940.58333333333</v>
      </c>
      <c r="G4274" s="364" t="s">
        <v>1185</v>
      </c>
      <c r="H4274" s="364" t="s">
        <v>1219</v>
      </c>
    </row>
    <row r="4275" ht="15.75" customHeight="1">
      <c r="A4275" s="364" t="s">
        <v>84</v>
      </c>
      <c r="B4275" s="364" t="s">
        <v>23</v>
      </c>
      <c r="C4275" s="365" t="s">
        <v>679</v>
      </c>
      <c r="D4275" s="364" t="s">
        <v>680</v>
      </c>
      <c r="E4275" s="366">
        <v>9.0</v>
      </c>
      <c r="F4275" s="367">
        <v>45943.58333333333</v>
      </c>
      <c r="G4275" s="364" t="s">
        <v>1187</v>
      </c>
      <c r="H4275" s="364" t="s">
        <v>1219</v>
      </c>
    </row>
    <row r="4276" ht="15.75" customHeight="1">
      <c r="A4276" s="364" t="s">
        <v>84</v>
      </c>
      <c r="B4276" s="364" t="s">
        <v>23</v>
      </c>
      <c r="C4276" s="365" t="s">
        <v>679</v>
      </c>
      <c r="D4276" s="364" t="s">
        <v>680</v>
      </c>
      <c r="E4276" s="366">
        <v>10.0</v>
      </c>
      <c r="F4276" s="367">
        <v>45954.54166666667</v>
      </c>
      <c r="G4276" s="364" t="s">
        <v>1185</v>
      </c>
      <c r="H4276" s="364" t="s">
        <v>1219</v>
      </c>
    </row>
    <row r="4277" ht="15.75" customHeight="1">
      <c r="A4277" s="364" t="s">
        <v>84</v>
      </c>
      <c r="B4277" s="364" t="s">
        <v>23</v>
      </c>
      <c r="C4277" s="365" t="s">
        <v>679</v>
      </c>
      <c r="D4277" s="364" t="s">
        <v>680</v>
      </c>
      <c r="E4277" s="366">
        <v>11.0</v>
      </c>
      <c r="F4277" s="367">
        <v>45961.54166666667</v>
      </c>
      <c r="G4277" s="364" t="s">
        <v>1185</v>
      </c>
      <c r="H4277" s="364" t="s">
        <v>1219</v>
      </c>
    </row>
    <row r="4278" ht="15.75" customHeight="1">
      <c r="A4278" s="364" t="s">
        <v>84</v>
      </c>
      <c r="B4278" s="364" t="s">
        <v>23</v>
      </c>
      <c r="C4278" s="365" t="s">
        <v>679</v>
      </c>
      <c r="D4278" s="364" t="s">
        <v>680</v>
      </c>
      <c r="E4278" s="366">
        <v>12.0</v>
      </c>
      <c r="F4278" s="367">
        <v>45965.54166666667</v>
      </c>
      <c r="G4278" s="364" t="s">
        <v>1185</v>
      </c>
      <c r="H4278" s="364" t="s">
        <v>1219</v>
      </c>
    </row>
    <row r="4279" ht="15.75" customHeight="1">
      <c r="A4279" s="364" t="s">
        <v>84</v>
      </c>
      <c r="B4279" s="364" t="s">
        <v>23</v>
      </c>
      <c r="C4279" s="365" t="s">
        <v>679</v>
      </c>
      <c r="D4279" s="364" t="s">
        <v>680</v>
      </c>
      <c r="E4279" s="366">
        <v>13.0</v>
      </c>
      <c r="F4279" s="367">
        <v>45974.54166666667</v>
      </c>
      <c r="G4279" s="364" t="s">
        <v>1185</v>
      </c>
      <c r="H4279" s="364" t="s">
        <v>1219</v>
      </c>
    </row>
    <row r="4280" ht="15.75" customHeight="1">
      <c r="A4280" s="364" t="s">
        <v>84</v>
      </c>
      <c r="B4280" s="364" t="s">
        <v>23</v>
      </c>
      <c r="C4280" s="365" t="s">
        <v>679</v>
      </c>
      <c r="D4280" s="364" t="s">
        <v>680</v>
      </c>
      <c r="E4280" s="366">
        <v>14.0</v>
      </c>
      <c r="F4280" s="367">
        <v>45980.54166666667</v>
      </c>
      <c r="G4280" s="364" t="s">
        <v>1185</v>
      </c>
      <c r="H4280" s="364" t="s">
        <v>1219</v>
      </c>
    </row>
    <row r="4281" ht="15.75" customHeight="1">
      <c r="A4281" s="364" t="s">
        <v>84</v>
      </c>
      <c r="B4281" s="364" t="s">
        <v>23</v>
      </c>
      <c r="C4281" s="365" t="s">
        <v>679</v>
      </c>
      <c r="D4281" s="364" t="s">
        <v>680</v>
      </c>
      <c r="E4281" s="366">
        <v>15.0</v>
      </c>
      <c r="F4281" s="367">
        <v>45987.54166666667</v>
      </c>
      <c r="G4281" s="364" t="s">
        <v>1185</v>
      </c>
      <c r="H4281" s="364" t="s">
        <v>1219</v>
      </c>
    </row>
    <row r="4282" ht="15.75" customHeight="1">
      <c r="A4282" s="364" t="s">
        <v>84</v>
      </c>
      <c r="B4282" s="364" t="s">
        <v>23</v>
      </c>
      <c r="C4282" s="365" t="s">
        <v>679</v>
      </c>
      <c r="D4282" s="364" t="s">
        <v>680</v>
      </c>
      <c r="E4282" s="366">
        <v>16.0</v>
      </c>
      <c r="F4282" s="367">
        <v>46045.54166666667</v>
      </c>
      <c r="G4282" s="364" t="s">
        <v>1185</v>
      </c>
      <c r="H4282" s="364" t="s">
        <v>1219</v>
      </c>
    </row>
    <row r="4283" ht="15.75" customHeight="1">
      <c r="A4283" s="364" t="s">
        <v>84</v>
      </c>
      <c r="B4283" s="364" t="s">
        <v>23</v>
      </c>
      <c r="C4283" s="365" t="s">
        <v>687</v>
      </c>
      <c r="D4283" s="364" t="s">
        <v>688</v>
      </c>
      <c r="E4283" s="366">
        <v>1.0</v>
      </c>
      <c r="F4283" s="367">
        <v>45882.58333333333</v>
      </c>
      <c r="G4283" s="364" t="s">
        <v>1185</v>
      </c>
      <c r="H4283" s="364" t="s">
        <v>1219</v>
      </c>
    </row>
    <row r="4284" ht="15.75" customHeight="1">
      <c r="A4284" s="364" t="s">
        <v>84</v>
      </c>
      <c r="B4284" s="364" t="s">
        <v>23</v>
      </c>
      <c r="C4284" s="365" t="s">
        <v>687</v>
      </c>
      <c r="D4284" s="364" t="s">
        <v>688</v>
      </c>
      <c r="E4284" s="366">
        <v>2.0</v>
      </c>
      <c r="F4284" s="367">
        <v>45889.54166666667</v>
      </c>
      <c r="G4284" s="364" t="s">
        <v>1185</v>
      </c>
      <c r="H4284" s="364" t="s">
        <v>1219</v>
      </c>
    </row>
    <row r="4285" ht="15.75" customHeight="1">
      <c r="A4285" s="364" t="s">
        <v>84</v>
      </c>
      <c r="B4285" s="364" t="s">
        <v>23</v>
      </c>
      <c r="C4285" s="365" t="s">
        <v>687</v>
      </c>
      <c r="D4285" s="364" t="s">
        <v>688</v>
      </c>
      <c r="E4285" s="366">
        <v>3.0</v>
      </c>
      <c r="F4285" s="367">
        <v>45895.54166666667</v>
      </c>
      <c r="G4285" s="364" t="s">
        <v>1185</v>
      </c>
      <c r="H4285" s="364" t="s">
        <v>1219</v>
      </c>
    </row>
    <row r="4286" ht="15.75" customHeight="1">
      <c r="A4286" s="364" t="s">
        <v>84</v>
      </c>
      <c r="B4286" s="364" t="s">
        <v>23</v>
      </c>
      <c r="C4286" s="365" t="s">
        <v>687</v>
      </c>
      <c r="D4286" s="364" t="s">
        <v>688</v>
      </c>
      <c r="E4286" s="366">
        <v>4.0</v>
      </c>
      <c r="F4286" s="367">
        <v>45903.54166666667</v>
      </c>
      <c r="G4286" s="364" t="s">
        <v>1187</v>
      </c>
      <c r="H4286" s="364" t="s">
        <v>1219</v>
      </c>
    </row>
    <row r="4287" ht="15.75" customHeight="1">
      <c r="A4287" s="364" t="s">
        <v>84</v>
      </c>
      <c r="B4287" s="364" t="s">
        <v>23</v>
      </c>
      <c r="C4287" s="365" t="s">
        <v>687</v>
      </c>
      <c r="D4287" s="364" t="s">
        <v>688</v>
      </c>
      <c r="E4287" s="366">
        <v>5.0</v>
      </c>
      <c r="F4287" s="367">
        <v>45910.58333333333</v>
      </c>
      <c r="G4287" s="364" t="s">
        <v>1185</v>
      </c>
      <c r="H4287" s="364" t="s">
        <v>1219</v>
      </c>
    </row>
    <row r="4288" ht="15.75" customHeight="1">
      <c r="A4288" s="364" t="s">
        <v>84</v>
      </c>
      <c r="B4288" s="364" t="s">
        <v>23</v>
      </c>
      <c r="C4288" s="365" t="s">
        <v>687</v>
      </c>
      <c r="D4288" s="364" t="s">
        <v>688</v>
      </c>
      <c r="E4288" s="366">
        <v>6.0</v>
      </c>
      <c r="F4288" s="367">
        <v>45917.54166666667</v>
      </c>
      <c r="G4288" s="364" t="s">
        <v>1185</v>
      </c>
      <c r="H4288" s="364" t="s">
        <v>1219</v>
      </c>
    </row>
    <row r="4289" ht="15.75" customHeight="1">
      <c r="A4289" s="364" t="s">
        <v>84</v>
      </c>
      <c r="B4289" s="364" t="s">
        <v>23</v>
      </c>
      <c r="C4289" s="365" t="s">
        <v>687</v>
      </c>
      <c r="D4289" s="364" t="s">
        <v>688</v>
      </c>
      <c r="E4289" s="366">
        <v>7.0</v>
      </c>
      <c r="F4289" s="367">
        <v>45924.58333333333</v>
      </c>
      <c r="G4289" s="364" t="s">
        <v>1185</v>
      </c>
      <c r="H4289" s="364" t="s">
        <v>1219</v>
      </c>
    </row>
    <row r="4290" ht="15.75" customHeight="1">
      <c r="A4290" s="364" t="s">
        <v>84</v>
      </c>
      <c r="B4290" s="364" t="s">
        <v>23</v>
      </c>
      <c r="C4290" s="365" t="s">
        <v>687</v>
      </c>
      <c r="D4290" s="364" t="s">
        <v>688</v>
      </c>
      <c r="E4290" s="366">
        <v>8.0</v>
      </c>
      <c r="F4290" s="367">
        <v>45940.58333333333</v>
      </c>
      <c r="G4290" s="364" t="s">
        <v>1185</v>
      </c>
      <c r="H4290" s="364" t="s">
        <v>1219</v>
      </c>
    </row>
    <row r="4291" ht="15.75" customHeight="1">
      <c r="A4291" s="364" t="s">
        <v>84</v>
      </c>
      <c r="B4291" s="364" t="s">
        <v>23</v>
      </c>
      <c r="C4291" s="365" t="s">
        <v>687</v>
      </c>
      <c r="D4291" s="364" t="s">
        <v>688</v>
      </c>
      <c r="E4291" s="366">
        <v>9.0</v>
      </c>
      <c r="F4291" s="367">
        <v>45943.58333333333</v>
      </c>
      <c r="G4291" s="364" t="s">
        <v>1185</v>
      </c>
      <c r="H4291" s="364" t="s">
        <v>1219</v>
      </c>
    </row>
    <row r="4292" ht="15.75" customHeight="1">
      <c r="A4292" s="364" t="s">
        <v>84</v>
      </c>
      <c r="B4292" s="364" t="s">
        <v>23</v>
      </c>
      <c r="C4292" s="365" t="s">
        <v>687</v>
      </c>
      <c r="D4292" s="364" t="s">
        <v>688</v>
      </c>
      <c r="E4292" s="366">
        <v>10.0</v>
      </c>
      <c r="F4292" s="367">
        <v>45954.54166666667</v>
      </c>
      <c r="G4292" s="364" t="s">
        <v>1185</v>
      </c>
      <c r="H4292" s="364" t="s">
        <v>1219</v>
      </c>
    </row>
    <row r="4293" ht="15.75" customHeight="1">
      <c r="A4293" s="364" t="s">
        <v>84</v>
      </c>
      <c r="B4293" s="364" t="s">
        <v>23</v>
      </c>
      <c r="C4293" s="365" t="s">
        <v>687</v>
      </c>
      <c r="D4293" s="364" t="s">
        <v>688</v>
      </c>
      <c r="E4293" s="366">
        <v>11.0</v>
      </c>
      <c r="F4293" s="367">
        <v>45961.54166666667</v>
      </c>
      <c r="G4293" s="364" t="s">
        <v>1185</v>
      </c>
      <c r="H4293" s="364" t="s">
        <v>1219</v>
      </c>
    </row>
    <row r="4294" ht="15.75" customHeight="1">
      <c r="A4294" s="364" t="s">
        <v>84</v>
      </c>
      <c r="B4294" s="364" t="s">
        <v>23</v>
      </c>
      <c r="C4294" s="365" t="s">
        <v>687</v>
      </c>
      <c r="D4294" s="364" t="s">
        <v>688</v>
      </c>
      <c r="E4294" s="366">
        <v>12.0</v>
      </c>
      <c r="F4294" s="367">
        <v>45965.54166666667</v>
      </c>
      <c r="G4294" s="364" t="s">
        <v>1185</v>
      </c>
      <c r="H4294" s="364" t="s">
        <v>1219</v>
      </c>
    </row>
    <row r="4295" ht="15.75" customHeight="1">
      <c r="A4295" s="364" t="s">
        <v>84</v>
      </c>
      <c r="B4295" s="364" t="s">
        <v>23</v>
      </c>
      <c r="C4295" s="365" t="s">
        <v>687</v>
      </c>
      <c r="D4295" s="364" t="s">
        <v>688</v>
      </c>
      <c r="E4295" s="366">
        <v>13.0</v>
      </c>
      <c r="F4295" s="367">
        <v>45974.54166666667</v>
      </c>
      <c r="G4295" s="364" t="s">
        <v>1185</v>
      </c>
      <c r="H4295" s="364" t="s">
        <v>1219</v>
      </c>
    </row>
    <row r="4296" ht="15.75" customHeight="1">
      <c r="A4296" s="364" t="s">
        <v>84</v>
      </c>
      <c r="B4296" s="364" t="s">
        <v>23</v>
      </c>
      <c r="C4296" s="365" t="s">
        <v>687</v>
      </c>
      <c r="D4296" s="364" t="s">
        <v>688</v>
      </c>
      <c r="E4296" s="366">
        <v>14.0</v>
      </c>
      <c r="F4296" s="367">
        <v>45980.54166666667</v>
      </c>
      <c r="G4296" s="364" t="s">
        <v>1185</v>
      </c>
      <c r="H4296" s="364" t="s">
        <v>1219</v>
      </c>
    </row>
    <row r="4297" ht="15.75" customHeight="1">
      <c r="A4297" s="364" t="s">
        <v>84</v>
      </c>
      <c r="B4297" s="364" t="s">
        <v>23</v>
      </c>
      <c r="C4297" s="365" t="s">
        <v>687</v>
      </c>
      <c r="D4297" s="364" t="s">
        <v>688</v>
      </c>
      <c r="E4297" s="366">
        <v>15.0</v>
      </c>
      <c r="F4297" s="367">
        <v>45987.54166666667</v>
      </c>
      <c r="G4297" s="364" t="s">
        <v>1185</v>
      </c>
      <c r="H4297" s="364" t="s">
        <v>1219</v>
      </c>
    </row>
    <row r="4298" ht="15.75" customHeight="1">
      <c r="A4298" s="364" t="s">
        <v>84</v>
      </c>
      <c r="B4298" s="364" t="s">
        <v>23</v>
      </c>
      <c r="C4298" s="365" t="s">
        <v>687</v>
      </c>
      <c r="D4298" s="364" t="s">
        <v>688</v>
      </c>
      <c r="E4298" s="366">
        <v>16.0</v>
      </c>
      <c r="F4298" s="367">
        <v>46045.54166666667</v>
      </c>
      <c r="G4298" s="364" t="s">
        <v>1185</v>
      </c>
      <c r="H4298" s="364" t="s">
        <v>1219</v>
      </c>
    </row>
    <row r="4299" ht="15.75" customHeight="1">
      <c r="A4299" s="364" t="s">
        <v>84</v>
      </c>
      <c r="B4299" s="364" t="s">
        <v>23</v>
      </c>
      <c r="C4299" s="365" t="s">
        <v>681</v>
      </c>
      <c r="D4299" s="364" t="s">
        <v>682</v>
      </c>
      <c r="E4299" s="366">
        <v>1.0</v>
      </c>
      <c r="F4299" s="367">
        <v>45882.58333333333</v>
      </c>
      <c r="G4299" s="364" t="s">
        <v>1185</v>
      </c>
      <c r="H4299" s="364" t="s">
        <v>1219</v>
      </c>
    </row>
    <row r="4300" ht="15.75" customHeight="1">
      <c r="A4300" s="364" t="s">
        <v>84</v>
      </c>
      <c r="B4300" s="364" t="s">
        <v>23</v>
      </c>
      <c r="C4300" s="365" t="s">
        <v>681</v>
      </c>
      <c r="D4300" s="364" t="s">
        <v>682</v>
      </c>
      <c r="E4300" s="366">
        <v>2.0</v>
      </c>
      <c r="F4300" s="367">
        <v>45889.54166666667</v>
      </c>
      <c r="G4300" s="364" t="s">
        <v>1185</v>
      </c>
      <c r="H4300" s="364" t="s">
        <v>1219</v>
      </c>
    </row>
    <row r="4301" ht="15.75" customHeight="1">
      <c r="A4301" s="364" t="s">
        <v>84</v>
      </c>
      <c r="B4301" s="364" t="s">
        <v>23</v>
      </c>
      <c r="C4301" s="365" t="s">
        <v>681</v>
      </c>
      <c r="D4301" s="364" t="s">
        <v>682</v>
      </c>
      <c r="E4301" s="366">
        <v>3.0</v>
      </c>
      <c r="F4301" s="367">
        <v>45895.54166666667</v>
      </c>
      <c r="G4301" s="364" t="s">
        <v>1185</v>
      </c>
      <c r="H4301" s="364" t="s">
        <v>1219</v>
      </c>
    </row>
    <row r="4302" ht="15.75" customHeight="1">
      <c r="A4302" s="364" t="s">
        <v>84</v>
      </c>
      <c r="B4302" s="364" t="s">
        <v>23</v>
      </c>
      <c r="C4302" s="365" t="s">
        <v>681</v>
      </c>
      <c r="D4302" s="364" t="s">
        <v>682</v>
      </c>
      <c r="E4302" s="366">
        <v>4.0</v>
      </c>
      <c r="F4302" s="367">
        <v>45903.54166666667</v>
      </c>
      <c r="G4302" s="364" t="s">
        <v>1185</v>
      </c>
      <c r="H4302" s="364" t="s">
        <v>1219</v>
      </c>
    </row>
    <row r="4303" ht="15.75" customHeight="1">
      <c r="A4303" s="364" t="s">
        <v>84</v>
      </c>
      <c r="B4303" s="364" t="s">
        <v>23</v>
      </c>
      <c r="C4303" s="365" t="s">
        <v>681</v>
      </c>
      <c r="D4303" s="364" t="s">
        <v>682</v>
      </c>
      <c r="E4303" s="366">
        <v>5.0</v>
      </c>
      <c r="F4303" s="367">
        <v>45910.58333333333</v>
      </c>
      <c r="G4303" s="364" t="s">
        <v>1185</v>
      </c>
      <c r="H4303" s="364" t="s">
        <v>1219</v>
      </c>
    </row>
    <row r="4304" ht="15.75" customHeight="1">
      <c r="A4304" s="364" t="s">
        <v>84</v>
      </c>
      <c r="B4304" s="364" t="s">
        <v>23</v>
      </c>
      <c r="C4304" s="365" t="s">
        <v>681</v>
      </c>
      <c r="D4304" s="364" t="s">
        <v>682</v>
      </c>
      <c r="E4304" s="366">
        <v>6.0</v>
      </c>
      <c r="F4304" s="367">
        <v>45917.54166666667</v>
      </c>
      <c r="G4304" s="364" t="s">
        <v>1185</v>
      </c>
      <c r="H4304" s="364" t="s">
        <v>1219</v>
      </c>
    </row>
    <row r="4305" ht="15.75" customHeight="1">
      <c r="A4305" s="364" t="s">
        <v>84</v>
      </c>
      <c r="B4305" s="364" t="s">
        <v>23</v>
      </c>
      <c r="C4305" s="365" t="s">
        <v>681</v>
      </c>
      <c r="D4305" s="364" t="s">
        <v>682</v>
      </c>
      <c r="E4305" s="366">
        <v>7.0</v>
      </c>
      <c r="F4305" s="367">
        <v>45924.58333333333</v>
      </c>
      <c r="G4305" s="364" t="s">
        <v>1185</v>
      </c>
      <c r="H4305" s="364" t="s">
        <v>1219</v>
      </c>
    </row>
    <row r="4306" ht="15.75" customHeight="1">
      <c r="A4306" s="364" t="s">
        <v>84</v>
      </c>
      <c r="B4306" s="364" t="s">
        <v>23</v>
      </c>
      <c r="C4306" s="365" t="s">
        <v>681</v>
      </c>
      <c r="D4306" s="364" t="s">
        <v>682</v>
      </c>
      <c r="E4306" s="366">
        <v>8.0</v>
      </c>
      <c r="F4306" s="367">
        <v>45940.58333333333</v>
      </c>
      <c r="G4306" s="364" t="s">
        <v>1185</v>
      </c>
      <c r="H4306" s="364" t="s">
        <v>1219</v>
      </c>
    </row>
    <row r="4307" ht="15.75" customHeight="1">
      <c r="A4307" s="364" t="s">
        <v>84</v>
      </c>
      <c r="B4307" s="364" t="s">
        <v>23</v>
      </c>
      <c r="C4307" s="365" t="s">
        <v>681</v>
      </c>
      <c r="D4307" s="364" t="s">
        <v>682</v>
      </c>
      <c r="E4307" s="366">
        <v>9.0</v>
      </c>
      <c r="F4307" s="367">
        <v>45943.58333333333</v>
      </c>
      <c r="G4307" s="364" t="s">
        <v>1185</v>
      </c>
      <c r="H4307" s="364" t="s">
        <v>1219</v>
      </c>
    </row>
    <row r="4308" ht="15.75" customHeight="1">
      <c r="A4308" s="364" t="s">
        <v>84</v>
      </c>
      <c r="B4308" s="364" t="s">
        <v>23</v>
      </c>
      <c r="C4308" s="365" t="s">
        <v>681</v>
      </c>
      <c r="D4308" s="364" t="s">
        <v>682</v>
      </c>
      <c r="E4308" s="366">
        <v>10.0</v>
      </c>
      <c r="F4308" s="367">
        <v>45954.54166666667</v>
      </c>
      <c r="G4308" s="364" t="s">
        <v>1185</v>
      </c>
      <c r="H4308" s="364" t="s">
        <v>1219</v>
      </c>
    </row>
    <row r="4309" ht="15.75" customHeight="1">
      <c r="A4309" s="364" t="s">
        <v>84</v>
      </c>
      <c r="B4309" s="364" t="s">
        <v>23</v>
      </c>
      <c r="C4309" s="365" t="s">
        <v>681</v>
      </c>
      <c r="D4309" s="364" t="s">
        <v>682</v>
      </c>
      <c r="E4309" s="366">
        <v>11.0</v>
      </c>
      <c r="F4309" s="367">
        <v>45961.54166666667</v>
      </c>
      <c r="G4309" s="364" t="s">
        <v>1185</v>
      </c>
      <c r="H4309" s="364" t="s">
        <v>1219</v>
      </c>
    </row>
    <row r="4310" ht="15.75" customHeight="1">
      <c r="A4310" s="364" t="s">
        <v>84</v>
      </c>
      <c r="B4310" s="364" t="s">
        <v>23</v>
      </c>
      <c r="C4310" s="365" t="s">
        <v>681</v>
      </c>
      <c r="D4310" s="364" t="s">
        <v>682</v>
      </c>
      <c r="E4310" s="366">
        <v>12.0</v>
      </c>
      <c r="F4310" s="367">
        <v>45965.54166666667</v>
      </c>
      <c r="G4310" s="364" t="s">
        <v>1185</v>
      </c>
      <c r="H4310" s="364" t="s">
        <v>1219</v>
      </c>
    </row>
    <row r="4311" ht="15.75" customHeight="1">
      <c r="A4311" s="364" t="s">
        <v>84</v>
      </c>
      <c r="B4311" s="364" t="s">
        <v>23</v>
      </c>
      <c r="C4311" s="365" t="s">
        <v>681</v>
      </c>
      <c r="D4311" s="364" t="s">
        <v>682</v>
      </c>
      <c r="E4311" s="366">
        <v>13.0</v>
      </c>
      <c r="F4311" s="367">
        <v>45974.54166666667</v>
      </c>
      <c r="G4311" s="364" t="s">
        <v>1185</v>
      </c>
      <c r="H4311" s="364" t="s">
        <v>1219</v>
      </c>
    </row>
    <row r="4312" ht="15.75" customHeight="1">
      <c r="A4312" s="364" t="s">
        <v>84</v>
      </c>
      <c r="B4312" s="364" t="s">
        <v>23</v>
      </c>
      <c r="C4312" s="365" t="s">
        <v>681</v>
      </c>
      <c r="D4312" s="364" t="s">
        <v>682</v>
      </c>
      <c r="E4312" s="366">
        <v>14.0</v>
      </c>
      <c r="F4312" s="367">
        <v>45980.54166666667</v>
      </c>
      <c r="G4312" s="364" t="s">
        <v>1185</v>
      </c>
      <c r="H4312" s="364" t="s">
        <v>1219</v>
      </c>
    </row>
    <row r="4313" ht="15.75" customHeight="1">
      <c r="A4313" s="364" t="s">
        <v>84</v>
      </c>
      <c r="B4313" s="364" t="s">
        <v>23</v>
      </c>
      <c r="C4313" s="365" t="s">
        <v>681</v>
      </c>
      <c r="D4313" s="364" t="s">
        <v>682</v>
      </c>
      <c r="E4313" s="366">
        <v>15.0</v>
      </c>
      <c r="F4313" s="367">
        <v>45987.54166666667</v>
      </c>
      <c r="G4313" s="364" t="s">
        <v>1185</v>
      </c>
      <c r="H4313" s="364" t="s">
        <v>1219</v>
      </c>
    </row>
    <row r="4314" ht="15.75" customHeight="1">
      <c r="A4314" s="364" t="s">
        <v>84</v>
      </c>
      <c r="B4314" s="364" t="s">
        <v>23</v>
      </c>
      <c r="C4314" s="365" t="s">
        <v>681</v>
      </c>
      <c r="D4314" s="364" t="s">
        <v>682</v>
      </c>
      <c r="E4314" s="366">
        <v>16.0</v>
      </c>
      <c r="F4314" s="367">
        <v>46045.54166666667</v>
      </c>
      <c r="G4314" s="364" t="s">
        <v>1185</v>
      </c>
      <c r="H4314" s="364" t="s">
        <v>1219</v>
      </c>
    </row>
    <row r="4315" ht="15.75" customHeight="1">
      <c r="A4315" s="364" t="s">
        <v>84</v>
      </c>
      <c r="B4315" s="364" t="s">
        <v>23</v>
      </c>
      <c r="C4315" s="365" t="s">
        <v>689</v>
      </c>
      <c r="D4315" s="364" t="s">
        <v>690</v>
      </c>
      <c r="E4315" s="366">
        <v>1.0</v>
      </c>
      <c r="F4315" s="367">
        <v>45882.58333333333</v>
      </c>
      <c r="G4315" s="364" t="s">
        <v>1187</v>
      </c>
      <c r="H4315" s="364" t="s">
        <v>1219</v>
      </c>
    </row>
    <row r="4316" ht="15.75" customHeight="1">
      <c r="A4316" s="364" t="s">
        <v>84</v>
      </c>
      <c r="B4316" s="364" t="s">
        <v>23</v>
      </c>
      <c r="C4316" s="365" t="s">
        <v>689</v>
      </c>
      <c r="D4316" s="364" t="s">
        <v>690</v>
      </c>
      <c r="E4316" s="366">
        <v>2.0</v>
      </c>
      <c r="F4316" s="367">
        <v>45889.54166666667</v>
      </c>
      <c r="G4316" s="364" t="s">
        <v>1187</v>
      </c>
      <c r="H4316" s="364" t="s">
        <v>1219</v>
      </c>
    </row>
    <row r="4317" ht="15.75" customHeight="1">
      <c r="A4317" s="364" t="s">
        <v>84</v>
      </c>
      <c r="B4317" s="364" t="s">
        <v>23</v>
      </c>
      <c r="C4317" s="365" t="s">
        <v>689</v>
      </c>
      <c r="D4317" s="364" t="s">
        <v>690</v>
      </c>
      <c r="E4317" s="366">
        <v>3.0</v>
      </c>
      <c r="F4317" s="367">
        <v>45895.54166666667</v>
      </c>
      <c r="G4317" s="364" t="s">
        <v>1187</v>
      </c>
      <c r="H4317" s="364" t="s">
        <v>1219</v>
      </c>
    </row>
    <row r="4318" ht="15.75" customHeight="1">
      <c r="A4318" s="364" t="s">
        <v>84</v>
      </c>
      <c r="B4318" s="364" t="s">
        <v>23</v>
      </c>
      <c r="C4318" s="365" t="s">
        <v>689</v>
      </c>
      <c r="D4318" s="364" t="s">
        <v>690</v>
      </c>
      <c r="E4318" s="366">
        <v>4.0</v>
      </c>
      <c r="F4318" s="367">
        <v>45903.54166666667</v>
      </c>
      <c r="G4318" s="364" t="s">
        <v>1187</v>
      </c>
      <c r="H4318" s="364" t="s">
        <v>1219</v>
      </c>
    </row>
    <row r="4319" ht="15.75" customHeight="1">
      <c r="A4319" s="364" t="s">
        <v>84</v>
      </c>
      <c r="B4319" s="364" t="s">
        <v>23</v>
      </c>
      <c r="C4319" s="365" t="s">
        <v>689</v>
      </c>
      <c r="D4319" s="364" t="s">
        <v>690</v>
      </c>
      <c r="E4319" s="366">
        <v>5.0</v>
      </c>
      <c r="F4319" s="367">
        <v>45910.58333333333</v>
      </c>
      <c r="G4319" s="364" t="s">
        <v>1187</v>
      </c>
      <c r="H4319" s="364" t="s">
        <v>1219</v>
      </c>
    </row>
    <row r="4320" ht="15.75" customHeight="1">
      <c r="A4320" s="364" t="s">
        <v>84</v>
      </c>
      <c r="B4320" s="364" t="s">
        <v>23</v>
      </c>
      <c r="C4320" s="365" t="s">
        <v>689</v>
      </c>
      <c r="D4320" s="364" t="s">
        <v>690</v>
      </c>
      <c r="E4320" s="366">
        <v>6.0</v>
      </c>
      <c r="F4320" s="367">
        <v>45917.54166666667</v>
      </c>
      <c r="G4320" s="364" t="s">
        <v>1187</v>
      </c>
      <c r="H4320" s="364" t="s">
        <v>1219</v>
      </c>
    </row>
    <row r="4321" ht="15.75" customHeight="1">
      <c r="A4321" s="364" t="s">
        <v>84</v>
      </c>
      <c r="B4321" s="364" t="s">
        <v>23</v>
      </c>
      <c r="C4321" s="365" t="s">
        <v>689</v>
      </c>
      <c r="D4321" s="364" t="s">
        <v>690</v>
      </c>
      <c r="E4321" s="366">
        <v>7.0</v>
      </c>
      <c r="F4321" s="367">
        <v>45924.58333333333</v>
      </c>
      <c r="G4321" s="364" t="s">
        <v>1187</v>
      </c>
      <c r="H4321" s="364" t="s">
        <v>1219</v>
      </c>
    </row>
    <row r="4322" ht="15.75" customHeight="1">
      <c r="A4322" s="364" t="s">
        <v>84</v>
      </c>
      <c r="B4322" s="364" t="s">
        <v>23</v>
      </c>
      <c r="C4322" s="365" t="s">
        <v>689</v>
      </c>
      <c r="D4322" s="364" t="s">
        <v>690</v>
      </c>
      <c r="E4322" s="366">
        <v>8.0</v>
      </c>
      <c r="F4322" s="367">
        <v>45940.58333333333</v>
      </c>
      <c r="G4322" s="364" t="s">
        <v>1187</v>
      </c>
      <c r="H4322" s="364" t="s">
        <v>1219</v>
      </c>
    </row>
    <row r="4323" ht="15.75" customHeight="1">
      <c r="A4323" s="364" t="s">
        <v>84</v>
      </c>
      <c r="B4323" s="364" t="s">
        <v>23</v>
      </c>
      <c r="C4323" s="365" t="s">
        <v>689</v>
      </c>
      <c r="D4323" s="364" t="s">
        <v>690</v>
      </c>
      <c r="E4323" s="366">
        <v>9.0</v>
      </c>
      <c r="F4323" s="367">
        <v>45943.58333333333</v>
      </c>
      <c r="G4323" s="364" t="s">
        <v>1187</v>
      </c>
      <c r="H4323" s="364" t="s">
        <v>1219</v>
      </c>
    </row>
    <row r="4324" ht="15.75" customHeight="1">
      <c r="A4324" s="364" t="s">
        <v>84</v>
      </c>
      <c r="B4324" s="364" t="s">
        <v>23</v>
      </c>
      <c r="C4324" s="365" t="s">
        <v>689</v>
      </c>
      <c r="D4324" s="364" t="s">
        <v>690</v>
      </c>
      <c r="E4324" s="366">
        <v>10.0</v>
      </c>
      <c r="F4324" s="367">
        <v>45954.54166666667</v>
      </c>
      <c r="G4324" s="364" t="s">
        <v>1187</v>
      </c>
      <c r="H4324" s="364" t="s">
        <v>1219</v>
      </c>
    </row>
    <row r="4325" ht="15.75" customHeight="1">
      <c r="A4325" s="364" t="s">
        <v>84</v>
      </c>
      <c r="B4325" s="364" t="s">
        <v>23</v>
      </c>
      <c r="C4325" s="365" t="s">
        <v>689</v>
      </c>
      <c r="D4325" s="364" t="s">
        <v>690</v>
      </c>
      <c r="E4325" s="366">
        <v>11.0</v>
      </c>
      <c r="F4325" s="367">
        <v>45961.54166666667</v>
      </c>
      <c r="G4325" s="364" t="s">
        <v>1187</v>
      </c>
      <c r="H4325" s="364" t="s">
        <v>1219</v>
      </c>
    </row>
    <row r="4326" ht="15.75" customHeight="1">
      <c r="A4326" s="364" t="s">
        <v>84</v>
      </c>
      <c r="B4326" s="364" t="s">
        <v>23</v>
      </c>
      <c r="C4326" s="365" t="s">
        <v>689</v>
      </c>
      <c r="D4326" s="364" t="s">
        <v>690</v>
      </c>
      <c r="E4326" s="366">
        <v>12.0</v>
      </c>
      <c r="F4326" s="367">
        <v>45965.54166666667</v>
      </c>
      <c r="G4326" s="364" t="s">
        <v>1187</v>
      </c>
      <c r="H4326" s="364" t="s">
        <v>1219</v>
      </c>
    </row>
    <row r="4327" ht="15.75" customHeight="1">
      <c r="A4327" s="364" t="s">
        <v>84</v>
      </c>
      <c r="B4327" s="364" t="s">
        <v>23</v>
      </c>
      <c r="C4327" s="365" t="s">
        <v>689</v>
      </c>
      <c r="D4327" s="364" t="s">
        <v>690</v>
      </c>
      <c r="E4327" s="366">
        <v>13.0</v>
      </c>
      <c r="F4327" s="367">
        <v>45974.54166666667</v>
      </c>
      <c r="G4327" s="364" t="s">
        <v>1187</v>
      </c>
      <c r="H4327" s="364" t="s">
        <v>1219</v>
      </c>
    </row>
    <row r="4328" ht="15.75" customHeight="1">
      <c r="A4328" s="364" t="s">
        <v>84</v>
      </c>
      <c r="B4328" s="364" t="s">
        <v>23</v>
      </c>
      <c r="C4328" s="365" t="s">
        <v>689</v>
      </c>
      <c r="D4328" s="364" t="s">
        <v>690</v>
      </c>
      <c r="E4328" s="366">
        <v>14.0</v>
      </c>
      <c r="F4328" s="367">
        <v>45980.54166666667</v>
      </c>
      <c r="G4328" s="364" t="s">
        <v>1187</v>
      </c>
      <c r="H4328" s="364" t="s">
        <v>1219</v>
      </c>
    </row>
    <row r="4329" ht="15.75" customHeight="1">
      <c r="A4329" s="364" t="s">
        <v>84</v>
      </c>
      <c r="B4329" s="364" t="s">
        <v>23</v>
      </c>
      <c r="C4329" s="365" t="s">
        <v>689</v>
      </c>
      <c r="D4329" s="364" t="s">
        <v>690</v>
      </c>
      <c r="E4329" s="366">
        <v>15.0</v>
      </c>
      <c r="F4329" s="367">
        <v>45987.54166666667</v>
      </c>
      <c r="G4329" s="364" t="s">
        <v>1187</v>
      </c>
      <c r="H4329" s="364" t="s">
        <v>1219</v>
      </c>
    </row>
    <row r="4330" ht="15.75" customHeight="1">
      <c r="A4330" s="364" t="s">
        <v>84</v>
      </c>
      <c r="B4330" s="364" t="s">
        <v>23</v>
      </c>
      <c r="C4330" s="365" t="s">
        <v>689</v>
      </c>
      <c r="D4330" s="364" t="s">
        <v>690</v>
      </c>
      <c r="E4330" s="366">
        <v>16.0</v>
      </c>
      <c r="F4330" s="367">
        <v>46045.54166666667</v>
      </c>
      <c r="G4330" s="364" t="s">
        <v>1187</v>
      </c>
      <c r="H4330" s="364" t="s">
        <v>1219</v>
      </c>
    </row>
    <row r="4331" ht="15.75" customHeight="1">
      <c r="A4331" s="364" t="s">
        <v>84</v>
      </c>
      <c r="B4331" s="364" t="s">
        <v>23</v>
      </c>
      <c r="C4331" s="365" t="s">
        <v>683</v>
      </c>
      <c r="D4331" s="364" t="s">
        <v>684</v>
      </c>
      <c r="E4331" s="366">
        <v>1.0</v>
      </c>
      <c r="F4331" s="367">
        <v>45882.58333333333</v>
      </c>
      <c r="G4331" s="364" t="s">
        <v>1187</v>
      </c>
      <c r="H4331" s="364" t="s">
        <v>1219</v>
      </c>
    </row>
    <row r="4332" ht="15.75" customHeight="1">
      <c r="A4332" s="364" t="s">
        <v>84</v>
      </c>
      <c r="B4332" s="364" t="s">
        <v>23</v>
      </c>
      <c r="C4332" s="365" t="s">
        <v>683</v>
      </c>
      <c r="D4332" s="364" t="s">
        <v>684</v>
      </c>
      <c r="E4332" s="366">
        <v>2.0</v>
      </c>
      <c r="F4332" s="367">
        <v>45889.54166666667</v>
      </c>
      <c r="G4332" s="364" t="s">
        <v>1185</v>
      </c>
      <c r="H4332" s="364" t="s">
        <v>1219</v>
      </c>
    </row>
    <row r="4333" ht="15.75" customHeight="1">
      <c r="A4333" s="364" t="s">
        <v>84</v>
      </c>
      <c r="B4333" s="364" t="s">
        <v>23</v>
      </c>
      <c r="C4333" s="365" t="s">
        <v>683</v>
      </c>
      <c r="D4333" s="364" t="s">
        <v>684</v>
      </c>
      <c r="E4333" s="366">
        <v>3.0</v>
      </c>
      <c r="F4333" s="367">
        <v>45895.54166666667</v>
      </c>
      <c r="G4333" s="364" t="s">
        <v>1185</v>
      </c>
      <c r="H4333" s="364" t="s">
        <v>1219</v>
      </c>
    </row>
    <row r="4334" ht="15.75" customHeight="1">
      <c r="A4334" s="364" t="s">
        <v>84</v>
      </c>
      <c r="B4334" s="364" t="s">
        <v>23</v>
      </c>
      <c r="C4334" s="365" t="s">
        <v>683</v>
      </c>
      <c r="D4334" s="364" t="s">
        <v>684</v>
      </c>
      <c r="E4334" s="366">
        <v>4.0</v>
      </c>
      <c r="F4334" s="367">
        <v>45903.54166666667</v>
      </c>
      <c r="G4334" s="364" t="s">
        <v>1185</v>
      </c>
      <c r="H4334" s="364" t="s">
        <v>1219</v>
      </c>
    </row>
    <row r="4335" ht="15.75" customHeight="1">
      <c r="A4335" s="364" t="s">
        <v>84</v>
      </c>
      <c r="B4335" s="364" t="s">
        <v>23</v>
      </c>
      <c r="C4335" s="365" t="s">
        <v>683</v>
      </c>
      <c r="D4335" s="364" t="s">
        <v>684</v>
      </c>
      <c r="E4335" s="366">
        <v>5.0</v>
      </c>
      <c r="F4335" s="367">
        <v>45910.58333333333</v>
      </c>
      <c r="G4335" s="364" t="s">
        <v>1185</v>
      </c>
      <c r="H4335" s="364" t="s">
        <v>1219</v>
      </c>
    </row>
    <row r="4336" ht="15.75" customHeight="1">
      <c r="A4336" s="364" t="s">
        <v>84</v>
      </c>
      <c r="B4336" s="364" t="s">
        <v>23</v>
      </c>
      <c r="C4336" s="365" t="s">
        <v>683</v>
      </c>
      <c r="D4336" s="364" t="s">
        <v>684</v>
      </c>
      <c r="E4336" s="366">
        <v>6.0</v>
      </c>
      <c r="F4336" s="367">
        <v>45917.54166666667</v>
      </c>
      <c r="G4336" s="364" t="s">
        <v>1185</v>
      </c>
      <c r="H4336" s="364" t="s">
        <v>1219</v>
      </c>
    </row>
    <row r="4337" ht="15.75" customHeight="1">
      <c r="A4337" s="364" t="s">
        <v>84</v>
      </c>
      <c r="B4337" s="364" t="s">
        <v>23</v>
      </c>
      <c r="C4337" s="365" t="s">
        <v>683</v>
      </c>
      <c r="D4337" s="364" t="s">
        <v>684</v>
      </c>
      <c r="E4337" s="366">
        <v>7.0</v>
      </c>
      <c r="F4337" s="367">
        <v>45924.58333333333</v>
      </c>
      <c r="G4337" s="364" t="s">
        <v>1185</v>
      </c>
      <c r="H4337" s="364" t="s">
        <v>1219</v>
      </c>
    </row>
    <row r="4338" ht="15.75" customHeight="1">
      <c r="A4338" s="364" t="s">
        <v>84</v>
      </c>
      <c r="B4338" s="364" t="s">
        <v>23</v>
      </c>
      <c r="C4338" s="365" t="s">
        <v>683</v>
      </c>
      <c r="D4338" s="364" t="s">
        <v>684</v>
      </c>
      <c r="E4338" s="366">
        <v>8.0</v>
      </c>
      <c r="F4338" s="367">
        <v>45940.58333333333</v>
      </c>
      <c r="G4338" s="364" t="s">
        <v>1185</v>
      </c>
      <c r="H4338" s="364" t="s">
        <v>1219</v>
      </c>
    </row>
    <row r="4339" ht="15.75" customHeight="1">
      <c r="A4339" s="364" t="s">
        <v>84</v>
      </c>
      <c r="B4339" s="364" t="s">
        <v>23</v>
      </c>
      <c r="C4339" s="365" t="s">
        <v>683</v>
      </c>
      <c r="D4339" s="364" t="s">
        <v>684</v>
      </c>
      <c r="E4339" s="366">
        <v>9.0</v>
      </c>
      <c r="F4339" s="367">
        <v>45943.58333333333</v>
      </c>
      <c r="G4339" s="364" t="s">
        <v>1185</v>
      </c>
      <c r="H4339" s="364" t="s">
        <v>1219</v>
      </c>
    </row>
    <row r="4340" ht="15.75" customHeight="1">
      <c r="A4340" s="364" t="s">
        <v>84</v>
      </c>
      <c r="B4340" s="364" t="s">
        <v>23</v>
      </c>
      <c r="C4340" s="365" t="s">
        <v>683</v>
      </c>
      <c r="D4340" s="364" t="s">
        <v>684</v>
      </c>
      <c r="E4340" s="366">
        <v>10.0</v>
      </c>
      <c r="F4340" s="367">
        <v>45954.54166666667</v>
      </c>
      <c r="G4340" s="364" t="s">
        <v>1185</v>
      </c>
      <c r="H4340" s="364" t="s">
        <v>1219</v>
      </c>
    </row>
    <row r="4341" ht="15.75" customHeight="1">
      <c r="A4341" s="364" t="s">
        <v>84</v>
      </c>
      <c r="B4341" s="364" t="s">
        <v>23</v>
      </c>
      <c r="C4341" s="365" t="s">
        <v>683</v>
      </c>
      <c r="D4341" s="364" t="s">
        <v>684</v>
      </c>
      <c r="E4341" s="366">
        <v>11.0</v>
      </c>
      <c r="F4341" s="367">
        <v>45961.54166666667</v>
      </c>
      <c r="G4341" s="364" t="s">
        <v>1185</v>
      </c>
      <c r="H4341" s="364" t="s">
        <v>1219</v>
      </c>
    </row>
    <row r="4342" ht="15.75" customHeight="1">
      <c r="A4342" s="364" t="s">
        <v>84</v>
      </c>
      <c r="B4342" s="364" t="s">
        <v>23</v>
      </c>
      <c r="C4342" s="365" t="s">
        <v>683</v>
      </c>
      <c r="D4342" s="364" t="s">
        <v>684</v>
      </c>
      <c r="E4342" s="366">
        <v>12.0</v>
      </c>
      <c r="F4342" s="367">
        <v>45965.54166666667</v>
      </c>
      <c r="G4342" s="364" t="s">
        <v>1185</v>
      </c>
      <c r="H4342" s="364" t="s">
        <v>1219</v>
      </c>
    </row>
    <row r="4343" ht="15.75" customHeight="1">
      <c r="A4343" s="364" t="s">
        <v>84</v>
      </c>
      <c r="B4343" s="364" t="s">
        <v>23</v>
      </c>
      <c r="C4343" s="365" t="s">
        <v>683</v>
      </c>
      <c r="D4343" s="364" t="s">
        <v>684</v>
      </c>
      <c r="E4343" s="366">
        <v>13.0</v>
      </c>
      <c r="F4343" s="367">
        <v>45974.54166666667</v>
      </c>
      <c r="G4343" s="364" t="s">
        <v>1185</v>
      </c>
      <c r="H4343" s="364" t="s">
        <v>1219</v>
      </c>
    </row>
    <row r="4344" ht="15.75" customHeight="1">
      <c r="A4344" s="364" t="s">
        <v>84</v>
      </c>
      <c r="B4344" s="364" t="s">
        <v>23</v>
      </c>
      <c r="C4344" s="365" t="s">
        <v>683</v>
      </c>
      <c r="D4344" s="364" t="s">
        <v>684</v>
      </c>
      <c r="E4344" s="366">
        <v>14.0</v>
      </c>
      <c r="F4344" s="367">
        <v>45980.54166666667</v>
      </c>
      <c r="G4344" s="364" t="s">
        <v>1185</v>
      </c>
      <c r="H4344" s="364" t="s">
        <v>1219</v>
      </c>
    </row>
    <row r="4345" ht="15.75" customHeight="1">
      <c r="A4345" s="364" t="s">
        <v>84</v>
      </c>
      <c r="B4345" s="364" t="s">
        <v>23</v>
      </c>
      <c r="C4345" s="365" t="s">
        <v>683</v>
      </c>
      <c r="D4345" s="364" t="s">
        <v>684</v>
      </c>
      <c r="E4345" s="366">
        <v>15.0</v>
      </c>
      <c r="F4345" s="367">
        <v>45987.54166666667</v>
      </c>
      <c r="G4345" s="364" t="s">
        <v>1185</v>
      </c>
      <c r="H4345" s="364" t="s">
        <v>1219</v>
      </c>
    </row>
    <row r="4346" ht="15.75" customHeight="1">
      <c r="A4346" s="364" t="s">
        <v>84</v>
      </c>
      <c r="B4346" s="364" t="s">
        <v>23</v>
      </c>
      <c r="C4346" s="365" t="s">
        <v>683</v>
      </c>
      <c r="D4346" s="364" t="s">
        <v>684</v>
      </c>
      <c r="E4346" s="366">
        <v>16.0</v>
      </c>
      <c r="F4346" s="367">
        <v>46045.54166666667</v>
      </c>
      <c r="G4346" s="364" t="s">
        <v>1185</v>
      </c>
      <c r="H4346" s="364" t="s">
        <v>1219</v>
      </c>
    </row>
    <row r="4347" ht="15.75" customHeight="1">
      <c r="A4347" s="364" t="s">
        <v>85</v>
      </c>
      <c r="B4347" s="364" t="s">
        <v>25</v>
      </c>
      <c r="C4347" s="365" t="s">
        <v>717</v>
      </c>
      <c r="D4347" s="364" t="s">
        <v>718</v>
      </c>
      <c r="E4347" s="366">
        <v>1.0</v>
      </c>
      <c r="F4347" s="367">
        <v>46086.45833333333</v>
      </c>
      <c r="G4347" s="364" t="s">
        <v>1187</v>
      </c>
      <c r="H4347" s="364" t="s">
        <v>1220</v>
      </c>
    </row>
    <row r="4348" ht="15.75" customHeight="1">
      <c r="A4348" s="364" t="s">
        <v>85</v>
      </c>
      <c r="B4348" s="364" t="s">
        <v>25</v>
      </c>
      <c r="C4348" s="365" t="s">
        <v>717</v>
      </c>
      <c r="D4348" s="364" t="s">
        <v>718</v>
      </c>
      <c r="E4348" s="366">
        <v>2.0</v>
      </c>
      <c r="F4348" s="367">
        <v>46098.45833333333</v>
      </c>
      <c r="G4348" s="364" t="s">
        <v>1187</v>
      </c>
      <c r="H4348" s="364" t="s">
        <v>1220</v>
      </c>
    </row>
    <row r="4349" ht="15.75" customHeight="1">
      <c r="A4349" s="364" t="s">
        <v>85</v>
      </c>
      <c r="B4349" s="364" t="s">
        <v>25</v>
      </c>
      <c r="C4349" s="365" t="s">
        <v>717</v>
      </c>
      <c r="D4349" s="364" t="s">
        <v>718</v>
      </c>
      <c r="E4349" s="366">
        <v>3.0</v>
      </c>
      <c r="F4349" s="367">
        <v>46105.45833333333</v>
      </c>
      <c r="G4349" s="364" t="s">
        <v>1187</v>
      </c>
      <c r="H4349" s="364" t="s">
        <v>1220</v>
      </c>
    </row>
    <row r="4350" ht="15.75" customHeight="1">
      <c r="A4350" s="364" t="s">
        <v>85</v>
      </c>
      <c r="B4350" s="364" t="s">
        <v>25</v>
      </c>
      <c r="C4350" s="365" t="s">
        <v>717</v>
      </c>
      <c r="D4350" s="364" t="s">
        <v>718</v>
      </c>
      <c r="E4350" s="366">
        <v>4.0</v>
      </c>
      <c r="F4350" s="367">
        <v>46113.625</v>
      </c>
      <c r="G4350" s="364" t="s">
        <v>1185</v>
      </c>
      <c r="H4350" s="364" t="s">
        <v>1220</v>
      </c>
    </row>
    <row r="4351" ht="15.75" customHeight="1">
      <c r="A4351" s="364" t="s">
        <v>85</v>
      </c>
      <c r="B4351" s="364" t="s">
        <v>25</v>
      </c>
      <c r="C4351" s="365" t="s">
        <v>717</v>
      </c>
      <c r="D4351" s="364" t="s">
        <v>718</v>
      </c>
      <c r="E4351" s="366">
        <v>5.0</v>
      </c>
      <c r="F4351" s="367">
        <v>46120.625</v>
      </c>
      <c r="G4351" s="364" t="s">
        <v>1185</v>
      </c>
      <c r="H4351" s="364" t="s">
        <v>1220</v>
      </c>
    </row>
    <row r="4352" ht="15.75" customHeight="1">
      <c r="A4352" s="364" t="s">
        <v>85</v>
      </c>
      <c r="B4352" s="364" t="s">
        <v>25</v>
      </c>
      <c r="C4352" s="365" t="s">
        <v>717</v>
      </c>
      <c r="D4352" s="364" t="s">
        <v>718</v>
      </c>
      <c r="E4352" s="366">
        <v>6.0</v>
      </c>
      <c r="F4352" s="367">
        <v>46127.625</v>
      </c>
      <c r="G4352" s="364" t="s">
        <v>1185</v>
      </c>
      <c r="H4352" s="364" t="s">
        <v>1220</v>
      </c>
    </row>
    <row r="4353" ht="15.75" customHeight="1">
      <c r="A4353" s="364" t="s">
        <v>85</v>
      </c>
      <c r="B4353" s="364" t="s">
        <v>25</v>
      </c>
      <c r="C4353" s="365" t="s">
        <v>717</v>
      </c>
      <c r="D4353" s="364" t="s">
        <v>718</v>
      </c>
      <c r="E4353" s="366">
        <v>7.0</v>
      </c>
      <c r="F4353" s="367">
        <v>46148.66666666667</v>
      </c>
      <c r="G4353" s="364" t="s">
        <v>1185</v>
      </c>
      <c r="H4353" s="364" t="s">
        <v>1220</v>
      </c>
    </row>
    <row r="4354" ht="15.75" customHeight="1">
      <c r="A4354" s="364" t="s">
        <v>85</v>
      </c>
      <c r="B4354" s="364" t="s">
        <v>25</v>
      </c>
      <c r="C4354" s="365" t="s">
        <v>717</v>
      </c>
      <c r="D4354" s="364" t="s">
        <v>718</v>
      </c>
      <c r="E4354" s="366">
        <v>8.0</v>
      </c>
      <c r="F4354" s="367">
        <v>46155.625</v>
      </c>
      <c r="G4354" s="364" t="s">
        <v>1185</v>
      </c>
      <c r="H4354" s="364" t="s">
        <v>1220</v>
      </c>
    </row>
    <row r="4355" ht="15.75" customHeight="1">
      <c r="A4355" s="364" t="s">
        <v>85</v>
      </c>
      <c r="B4355" s="364" t="s">
        <v>25</v>
      </c>
      <c r="C4355" s="365" t="s">
        <v>717</v>
      </c>
      <c r="D4355" s="364" t="s">
        <v>718</v>
      </c>
      <c r="E4355" s="366">
        <v>9.0</v>
      </c>
      <c r="F4355" s="367">
        <v>46162.625</v>
      </c>
      <c r="G4355" s="364" t="s">
        <v>1187</v>
      </c>
      <c r="H4355" s="364" t="s">
        <v>1220</v>
      </c>
    </row>
    <row r="4356" ht="15.75" customHeight="1">
      <c r="A4356" s="364" t="s">
        <v>85</v>
      </c>
      <c r="B4356" s="364" t="s">
        <v>25</v>
      </c>
      <c r="C4356" s="365" t="s">
        <v>717</v>
      </c>
      <c r="D4356" s="364" t="s">
        <v>718</v>
      </c>
      <c r="E4356" s="366">
        <v>10.0</v>
      </c>
      <c r="F4356" s="367">
        <v>46169.625</v>
      </c>
      <c r="G4356" s="364" t="s">
        <v>1185</v>
      </c>
      <c r="H4356" s="364" t="s">
        <v>1220</v>
      </c>
    </row>
    <row r="4357" ht="15.75" customHeight="1">
      <c r="A4357" s="364" t="s">
        <v>85</v>
      </c>
      <c r="B4357" s="364" t="s">
        <v>25</v>
      </c>
      <c r="C4357" s="365" t="s">
        <v>717</v>
      </c>
      <c r="D4357" s="364" t="s">
        <v>718</v>
      </c>
      <c r="E4357" s="366">
        <v>11.0</v>
      </c>
      <c r="F4357" s="367">
        <v>46183.625</v>
      </c>
      <c r="G4357" s="364" t="s">
        <v>1185</v>
      </c>
      <c r="H4357" s="364" t="s">
        <v>1220</v>
      </c>
    </row>
    <row r="4358" ht="15.75" customHeight="1">
      <c r="A4358" s="364" t="s">
        <v>85</v>
      </c>
      <c r="B4358" s="364" t="s">
        <v>25</v>
      </c>
      <c r="C4358" s="365" t="s">
        <v>717</v>
      </c>
      <c r="D4358" s="364" t="s">
        <v>718</v>
      </c>
      <c r="E4358" s="366">
        <v>12.0</v>
      </c>
      <c r="F4358" s="367">
        <v>46190.625</v>
      </c>
      <c r="G4358" s="364" t="s">
        <v>1185</v>
      </c>
      <c r="H4358" s="364" t="s">
        <v>1220</v>
      </c>
    </row>
    <row r="4359" ht="15.75" customHeight="1">
      <c r="A4359" s="364" t="s">
        <v>85</v>
      </c>
      <c r="B4359" s="364" t="s">
        <v>25</v>
      </c>
      <c r="C4359" s="365" t="s">
        <v>717</v>
      </c>
      <c r="D4359" s="364" t="s">
        <v>718</v>
      </c>
      <c r="E4359" s="366">
        <v>13.0</v>
      </c>
      <c r="F4359" s="367">
        <v>46204.625</v>
      </c>
      <c r="G4359" s="364" t="s">
        <v>1185</v>
      </c>
      <c r="H4359" s="364" t="s">
        <v>1220</v>
      </c>
    </row>
    <row r="4360" ht="15.75" customHeight="1">
      <c r="A4360" s="364" t="s">
        <v>85</v>
      </c>
      <c r="B4360" s="364" t="s">
        <v>25</v>
      </c>
      <c r="C4360" s="365" t="s">
        <v>717</v>
      </c>
      <c r="D4360" s="364" t="s">
        <v>718</v>
      </c>
      <c r="E4360" s="366">
        <v>14.0</v>
      </c>
      <c r="F4360" s="367">
        <v>46211.625</v>
      </c>
      <c r="G4360" s="364" t="s">
        <v>1185</v>
      </c>
      <c r="H4360" s="364" t="s">
        <v>1220</v>
      </c>
    </row>
    <row r="4361" ht="15.75" customHeight="1">
      <c r="A4361" s="364" t="s">
        <v>85</v>
      </c>
      <c r="B4361" s="364" t="s">
        <v>25</v>
      </c>
      <c r="C4361" s="365" t="s">
        <v>721</v>
      </c>
      <c r="D4361" s="364" t="s">
        <v>722</v>
      </c>
      <c r="E4361" s="366">
        <v>1.0</v>
      </c>
      <c r="F4361" s="367">
        <v>46086.45833333333</v>
      </c>
      <c r="G4361" s="364" t="s">
        <v>1185</v>
      </c>
      <c r="H4361" s="364" t="s">
        <v>1220</v>
      </c>
    </row>
    <row r="4362" ht="15.75" customHeight="1">
      <c r="A4362" s="364" t="s">
        <v>85</v>
      </c>
      <c r="B4362" s="364" t="s">
        <v>25</v>
      </c>
      <c r="C4362" s="365" t="s">
        <v>721</v>
      </c>
      <c r="D4362" s="364" t="s">
        <v>722</v>
      </c>
      <c r="E4362" s="366">
        <v>2.0</v>
      </c>
      <c r="F4362" s="367">
        <v>46098.45833333333</v>
      </c>
      <c r="G4362" s="364" t="s">
        <v>1185</v>
      </c>
      <c r="H4362" s="364" t="s">
        <v>1220</v>
      </c>
    </row>
    <row r="4363" ht="15.75" customHeight="1">
      <c r="A4363" s="364" t="s">
        <v>85</v>
      </c>
      <c r="B4363" s="364" t="s">
        <v>25</v>
      </c>
      <c r="C4363" s="365" t="s">
        <v>721</v>
      </c>
      <c r="D4363" s="364" t="s">
        <v>722</v>
      </c>
      <c r="E4363" s="366">
        <v>3.0</v>
      </c>
      <c r="F4363" s="367">
        <v>46105.45833333333</v>
      </c>
      <c r="G4363" s="364" t="s">
        <v>1185</v>
      </c>
      <c r="H4363" s="364" t="s">
        <v>1220</v>
      </c>
    </row>
    <row r="4364" ht="15.75" customHeight="1">
      <c r="A4364" s="364" t="s">
        <v>85</v>
      </c>
      <c r="B4364" s="364" t="s">
        <v>25</v>
      </c>
      <c r="C4364" s="365" t="s">
        <v>721</v>
      </c>
      <c r="D4364" s="364" t="s">
        <v>722</v>
      </c>
      <c r="E4364" s="366">
        <v>4.0</v>
      </c>
      <c r="F4364" s="367">
        <v>46113.625</v>
      </c>
      <c r="G4364" s="364" t="s">
        <v>1185</v>
      </c>
      <c r="H4364" s="364" t="s">
        <v>1220</v>
      </c>
    </row>
    <row r="4365" ht="15.75" customHeight="1">
      <c r="A4365" s="364" t="s">
        <v>85</v>
      </c>
      <c r="B4365" s="364" t="s">
        <v>25</v>
      </c>
      <c r="C4365" s="365" t="s">
        <v>721</v>
      </c>
      <c r="D4365" s="364" t="s">
        <v>722</v>
      </c>
      <c r="E4365" s="366">
        <v>5.0</v>
      </c>
      <c r="F4365" s="367">
        <v>46120.625</v>
      </c>
      <c r="G4365" s="364" t="s">
        <v>1185</v>
      </c>
      <c r="H4365" s="364" t="s">
        <v>1220</v>
      </c>
    </row>
    <row r="4366" ht="15.75" customHeight="1">
      <c r="A4366" s="364" t="s">
        <v>85</v>
      </c>
      <c r="B4366" s="364" t="s">
        <v>25</v>
      </c>
      <c r="C4366" s="365" t="s">
        <v>721</v>
      </c>
      <c r="D4366" s="364" t="s">
        <v>722</v>
      </c>
      <c r="E4366" s="366">
        <v>6.0</v>
      </c>
      <c r="F4366" s="367">
        <v>46127.625</v>
      </c>
      <c r="G4366" s="364" t="s">
        <v>1185</v>
      </c>
      <c r="H4366" s="364" t="s">
        <v>1220</v>
      </c>
    </row>
    <row r="4367" ht="15.75" customHeight="1">
      <c r="A4367" s="364" t="s">
        <v>85</v>
      </c>
      <c r="B4367" s="364" t="s">
        <v>25</v>
      </c>
      <c r="C4367" s="365" t="s">
        <v>721</v>
      </c>
      <c r="D4367" s="364" t="s">
        <v>722</v>
      </c>
      <c r="E4367" s="366">
        <v>7.0</v>
      </c>
      <c r="F4367" s="367">
        <v>46148.66666666667</v>
      </c>
      <c r="G4367" s="364" t="s">
        <v>1185</v>
      </c>
      <c r="H4367" s="364" t="s">
        <v>1220</v>
      </c>
    </row>
    <row r="4368" ht="15.75" customHeight="1">
      <c r="A4368" s="364" t="s">
        <v>85</v>
      </c>
      <c r="B4368" s="364" t="s">
        <v>25</v>
      </c>
      <c r="C4368" s="365" t="s">
        <v>721</v>
      </c>
      <c r="D4368" s="364" t="s">
        <v>722</v>
      </c>
      <c r="E4368" s="366">
        <v>8.0</v>
      </c>
      <c r="F4368" s="367">
        <v>46155.625</v>
      </c>
      <c r="G4368" s="364" t="s">
        <v>1185</v>
      </c>
      <c r="H4368" s="364" t="s">
        <v>1220</v>
      </c>
    </row>
    <row r="4369" ht="15.75" customHeight="1">
      <c r="A4369" s="364" t="s">
        <v>85</v>
      </c>
      <c r="B4369" s="364" t="s">
        <v>25</v>
      </c>
      <c r="C4369" s="365" t="s">
        <v>721</v>
      </c>
      <c r="D4369" s="364" t="s">
        <v>722</v>
      </c>
      <c r="E4369" s="366">
        <v>9.0</v>
      </c>
      <c r="F4369" s="367">
        <v>46162.625</v>
      </c>
      <c r="G4369" s="364" t="s">
        <v>1185</v>
      </c>
      <c r="H4369" s="364" t="s">
        <v>1220</v>
      </c>
    </row>
    <row r="4370" ht="15.75" customHeight="1">
      <c r="A4370" s="364" t="s">
        <v>85</v>
      </c>
      <c r="B4370" s="364" t="s">
        <v>25</v>
      </c>
      <c r="C4370" s="365" t="s">
        <v>721</v>
      </c>
      <c r="D4370" s="364" t="s">
        <v>722</v>
      </c>
      <c r="E4370" s="366">
        <v>10.0</v>
      </c>
      <c r="F4370" s="367">
        <v>46169.625</v>
      </c>
      <c r="G4370" s="364" t="s">
        <v>1185</v>
      </c>
      <c r="H4370" s="364" t="s">
        <v>1220</v>
      </c>
    </row>
    <row r="4371" ht="15.75" customHeight="1">
      <c r="A4371" s="364" t="s">
        <v>85</v>
      </c>
      <c r="B4371" s="364" t="s">
        <v>25</v>
      </c>
      <c r="C4371" s="365" t="s">
        <v>721</v>
      </c>
      <c r="D4371" s="364" t="s">
        <v>722</v>
      </c>
      <c r="E4371" s="366">
        <v>11.0</v>
      </c>
      <c r="F4371" s="367">
        <v>46183.625</v>
      </c>
      <c r="G4371" s="364" t="s">
        <v>1185</v>
      </c>
      <c r="H4371" s="364" t="s">
        <v>1220</v>
      </c>
    </row>
    <row r="4372" ht="15.75" customHeight="1">
      <c r="A4372" s="364" t="s">
        <v>85</v>
      </c>
      <c r="B4372" s="364" t="s">
        <v>25</v>
      </c>
      <c r="C4372" s="365" t="s">
        <v>721</v>
      </c>
      <c r="D4372" s="364" t="s">
        <v>722</v>
      </c>
      <c r="E4372" s="366">
        <v>12.0</v>
      </c>
      <c r="F4372" s="367">
        <v>46190.625</v>
      </c>
      <c r="G4372" s="364" t="s">
        <v>1185</v>
      </c>
      <c r="H4372" s="364" t="s">
        <v>1220</v>
      </c>
    </row>
    <row r="4373" ht="15.75" customHeight="1">
      <c r="A4373" s="364" t="s">
        <v>85</v>
      </c>
      <c r="B4373" s="364" t="s">
        <v>25</v>
      </c>
      <c r="C4373" s="365" t="s">
        <v>721</v>
      </c>
      <c r="D4373" s="364" t="s">
        <v>722</v>
      </c>
      <c r="E4373" s="366">
        <v>13.0</v>
      </c>
      <c r="F4373" s="367">
        <v>46204.625</v>
      </c>
      <c r="G4373" s="364" t="s">
        <v>1185</v>
      </c>
      <c r="H4373" s="364" t="s">
        <v>1220</v>
      </c>
    </row>
    <row r="4374" ht="15.75" customHeight="1">
      <c r="A4374" s="364" t="s">
        <v>85</v>
      </c>
      <c r="B4374" s="364" t="s">
        <v>25</v>
      </c>
      <c r="C4374" s="365" t="s">
        <v>721</v>
      </c>
      <c r="D4374" s="364" t="s">
        <v>722</v>
      </c>
      <c r="E4374" s="366">
        <v>14.0</v>
      </c>
      <c r="F4374" s="367">
        <v>46211.625</v>
      </c>
      <c r="G4374" s="364" t="s">
        <v>1185</v>
      </c>
      <c r="H4374" s="364" t="s">
        <v>1220</v>
      </c>
    </row>
    <row r="4375" ht="15.75" customHeight="1">
      <c r="A4375" s="364" t="s">
        <v>85</v>
      </c>
      <c r="B4375" s="364" t="s">
        <v>25</v>
      </c>
      <c r="C4375" s="365" t="s">
        <v>737</v>
      </c>
      <c r="D4375" s="364" t="s">
        <v>738</v>
      </c>
      <c r="E4375" s="366">
        <v>1.0</v>
      </c>
      <c r="F4375" s="367">
        <v>46086.45833333333</v>
      </c>
      <c r="G4375" s="364" t="s">
        <v>1185</v>
      </c>
      <c r="H4375" s="364" t="s">
        <v>1220</v>
      </c>
    </row>
    <row r="4376" ht="15.75" customHeight="1">
      <c r="A4376" s="364" t="s">
        <v>85</v>
      </c>
      <c r="B4376" s="364" t="s">
        <v>25</v>
      </c>
      <c r="C4376" s="365" t="s">
        <v>737</v>
      </c>
      <c r="D4376" s="364" t="s">
        <v>738</v>
      </c>
      <c r="E4376" s="366">
        <v>2.0</v>
      </c>
      <c r="F4376" s="367">
        <v>46098.45833333333</v>
      </c>
      <c r="G4376" s="364" t="s">
        <v>1185</v>
      </c>
      <c r="H4376" s="364" t="s">
        <v>1220</v>
      </c>
    </row>
    <row r="4377" ht="15.75" customHeight="1">
      <c r="A4377" s="364" t="s">
        <v>85</v>
      </c>
      <c r="B4377" s="364" t="s">
        <v>25</v>
      </c>
      <c r="C4377" s="365" t="s">
        <v>737</v>
      </c>
      <c r="D4377" s="364" t="s">
        <v>738</v>
      </c>
      <c r="E4377" s="366">
        <v>3.0</v>
      </c>
      <c r="F4377" s="367">
        <v>46105.45833333333</v>
      </c>
      <c r="G4377" s="364" t="s">
        <v>1187</v>
      </c>
      <c r="H4377" s="364" t="s">
        <v>1220</v>
      </c>
    </row>
    <row r="4378" ht="15.75" customHeight="1">
      <c r="A4378" s="364" t="s">
        <v>85</v>
      </c>
      <c r="B4378" s="364" t="s">
        <v>25</v>
      </c>
      <c r="C4378" s="365" t="s">
        <v>737</v>
      </c>
      <c r="D4378" s="364" t="s">
        <v>738</v>
      </c>
      <c r="E4378" s="366">
        <v>4.0</v>
      </c>
      <c r="F4378" s="367">
        <v>46113.625</v>
      </c>
      <c r="G4378" s="364" t="s">
        <v>1185</v>
      </c>
      <c r="H4378" s="364" t="s">
        <v>1220</v>
      </c>
    </row>
    <row r="4379" ht="15.75" customHeight="1">
      <c r="A4379" s="364" t="s">
        <v>85</v>
      </c>
      <c r="B4379" s="364" t="s">
        <v>25</v>
      </c>
      <c r="C4379" s="365" t="s">
        <v>737</v>
      </c>
      <c r="D4379" s="364" t="s">
        <v>738</v>
      </c>
      <c r="E4379" s="366">
        <v>5.0</v>
      </c>
      <c r="F4379" s="367">
        <v>46120.625</v>
      </c>
      <c r="G4379" s="364" t="s">
        <v>1185</v>
      </c>
      <c r="H4379" s="364" t="s">
        <v>1220</v>
      </c>
    </row>
    <row r="4380" ht="15.75" customHeight="1">
      <c r="A4380" s="364" t="s">
        <v>85</v>
      </c>
      <c r="B4380" s="364" t="s">
        <v>25</v>
      </c>
      <c r="C4380" s="365" t="s">
        <v>737</v>
      </c>
      <c r="D4380" s="364" t="s">
        <v>738</v>
      </c>
      <c r="E4380" s="366">
        <v>6.0</v>
      </c>
      <c r="F4380" s="367">
        <v>46127.625</v>
      </c>
      <c r="G4380" s="364" t="s">
        <v>1185</v>
      </c>
      <c r="H4380" s="364" t="s">
        <v>1220</v>
      </c>
    </row>
    <row r="4381" ht="15.75" customHeight="1">
      <c r="A4381" s="364" t="s">
        <v>85</v>
      </c>
      <c r="B4381" s="364" t="s">
        <v>25</v>
      </c>
      <c r="C4381" s="365" t="s">
        <v>737</v>
      </c>
      <c r="D4381" s="364" t="s">
        <v>738</v>
      </c>
      <c r="E4381" s="366">
        <v>7.0</v>
      </c>
      <c r="F4381" s="367">
        <v>46148.66666666667</v>
      </c>
      <c r="G4381" s="364" t="s">
        <v>1185</v>
      </c>
      <c r="H4381" s="364" t="s">
        <v>1220</v>
      </c>
    </row>
    <row r="4382" ht="15.75" customHeight="1">
      <c r="A4382" s="364" t="s">
        <v>85</v>
      </c>
      <c r="B4382" s="364" t="s">
        <v>25</v>
      </c>
      <c r="C4382" s="365" t="s">
        <v>737</v>
      </c>
      <c r="D4382" s="364" t="s">
        <v>738</v>
      </c>
      <c r="E4382" s="366">
        <v>8.0</v>
      </c>
      <c r="F4382" s="367">
        <v>46155.625</v>
      </c>
      <c r="G4382" s="364" t="s">
        <v>1185</v>
      </c>
      <c r="H4382" s="364" t="s">
        <v>1220</v>
      </c>
    </row>
    <row r="4383" ht="15.75" customHeight="1">
      <c r="A4383" s="364" t="s">
        <v>85</v>
      </c>
      <c r="B4383" s="364" t="s">
        <v>25</v>
      </c>
      <c r="C4383" s="365" t="s">
        <v>737</v>
      </c>
      <c r="D4383" s="364" t="s">
        <v>738</v>
      </c>
      <c r="E4383" s="366">
        <v>9.0</v>
      </c>
      <c r="F4383" s="367">
        <v>46162.625</v>
      </c>
      <c r="G4383" s="364" t="s">
        <v>1187</v>
      </c>
      <c r="H4383" s="364" t="s">
        <v>1220</v>
      </c>
    </row>
    <row r="4384" ht="15.75" customHeight="1">
      <c r="A4384" s="364" t="s">
        <v>85</v>
      </c>
      <c r="B4384" s="364" t="s">
        <v>25</v>
      </c>
      <c r="C4384" s="365" t="s">
        <v>737</v>
      </c>
      <c r="D4384" s="364" t="s">
        <v>738</v>
      </c>
      <c r="E4384" s="366">
        <v>10.0</v>
      </c>
      <c r="F4384" s="367">
        <v>46169.625</v>
      </c>
      <c r="G4384" s="364" t="s">
        <v>1187</v>
      </c>
      <c r="H4384" s="364" t="s">
        <v>1220</v>
      </c>
    </row>
    <row r="4385" ht="15.75" customHeight="1">
      <c r="A4385" s="364" t="s">
        <v>85</v>
      </c>
      <c r="B4385" s="364" t="s">
        <v>25</v>
      </c>
      <c r="C4385" s="365" t="s">
        <v>737</v>
      </c>
      <c r="D4385" s="364" t="s">
        <v>738</v>
      </c>
      <c r="E4385" s="366">
        <v>11.0</v>
      </c>
      <c r="F4385" s="367">
        <v>46183.625</v>
      </c>
      <c r="G4385" s="364" t="s">
        <v>1187</v>
      </c>
      <c r="H4385" s="364" t="s">
        <v>1220</v>
      </c>
    </row>
    <row r="4386" ht="15.75" customHeight="1">
      <c r="A4386" s="364" t="s">
        <v>85</v>
      </c>
      <c r="B4386" s="364" t="s">
        <v>25</v>
      </c>
      <c r="C4386" s="365" t="s">
        <v>737</v>
      </c>
      <c r="D4386" s="364" t="s">
        <v>738</v>
      </c>
      <c r="E4386" s="366">
        <v>12.0</v>
      </c>
      <c r="F4386" s="367">
        <v>46190.625</v>
      </c>
      <c r="G4386" s="364" t="s">
        <v>1185</v>
      </c>
      <c r="H4386" s="364" t="s">
        <v>1220</v>
      </c>
    </row>
    <row r="4387" ht="15.75" customHeight="1">
      <c r="A4387" s="364" t="s">
        <v>85</v>
      </c>
      <c r="B4387" s="364" t="s">
        <v>25</v>
      </c>
      <c r="C4387" s="365" t="s">
        <v>737</v>
      </c>
      <c r="D4387" s="364" t="s">
        <v>738</v>
      </c>
      <c r="E4387" s="366">
        <v>13.0</v>
      </c>
      <c r="F4387" s="367">
        <v>46204.625</v>
      </c>
      <c r="G4387" s="364" t="s">
        <v>1185</v>
      </c>
      <c r="H4387" s="364" t="s">
        <v>1220</v>
      </c>
    </row>
    <row r="4388" ht="15.75" customHeight="1">
      <c r="A4388" s="364" t="s">
        <v>85</v>
      </c>
      <c r="B4388" s="364" t="s">
        <v>25</v>
      </c>
      <c r="C4388" s="365" t="s">
        <v>737</v>
      </c>
      <c r="D4388" s="364" t="s">
        <v>738</v>
      </c>
      <c r="E4388" s="366">
        <v>14.0</v>
      </c>
      <c r="F4388" s="367">
        <v>46211.625</v>
      </c>
      <c r="G4388" s="364" t="s">
        <v>1185</v>
      </c>
      <c r="H4388" s="364" t="s">
        <v>1220</v>
      </c>
    </row>
    <row r="4389" ht="15.75" customHeight="1">
      <c r="A4389" s="364" t="s">
        <v>85</v>
      </c>
      <c r="B4389" s="364" t="s">
        <v>25</v>
      </c>
      <c r="C4389" s="365" t="s">
        <v>725</v>
      </c>
      <c r="D4389" s="364" t="s">
        <v>726</v>
      </c>
      <c r="E4389" s="366">
        <v>1.0</v>
      </c>
      <c r="F4389" s="367">
        <v>46086.45833333333</v>
      </c>
      <c r="G4389" s="364" t="s">
        <v>1185</v>
      </c>
      <c r="H4389" s="364" t="s">
        <v>1220</v>
      </c>
    </row>
    <row r="4390" ht="15.75" customHeight="1">
      <c r="A4390" s="364" t="s">
        <v>85</v>
      </c>
      <c r="B4390" s="364" t="s">
        <v>25</v>
      </c>
      <c r="C4390" s="365" t="s">
        <v>725</v>
      </c>
      <c r="D4390" s="364" t="s">
        <v>726</v>
      </c>
      <c r="E4390" s="366">
        <v>2.0</v>
      </c>
      <c r="F4390" s="367">
        <v>46098.45833333333</v>
      </c>
      <c r="G4390" s="364" t="s">
        <v>1185</v>
      </c>
      <c r="H4390" s="364" t="s">
        <v>1220</v>
      </c>
    </row>
    <row r="4391" ht="15.75" customHeight="1">
      <c r="A4391" s="364" t="s">
        <v>85</v>
      </c>
      <c r="B4391" s="364" t="s">
        <v>25</v>
      </c>
      <c r="C4391" s="365" t="s">
        <v>725</v>
      </c>
      <c r="D4391" s="364" t="s">
        <v>726</v>
      </c>
      <c r="E4391" s="366">
        <v>3.0</v>
      </c>
      <c r="F4391" s="367">
        <v>46105.45833333333</v>
      </c>
      <c r="G4391" s="364" t="s">
        <v>1185</v>
      </c>
      <c r="H4391" s="364" t="s">
        <v>1220</v>
      </c>
    </row>
    <row r="4392" ht="15.75" customHeight="1">
      <c r="A4392" s="364" t="s">
        <v>85</v>
      </c>
      <c r="B4392" s="364" t="s">
        <v>25</v>
      </c>
      <c r="C4392" s="365" t="s">
        <v>725</v>
      </c>
      <c r="D4392" s="364" t="s">
        <v>726</v>
      </c>
      <c r="E4392" s="366">
        <v>4.0</v>
      </c>
      <c r="F4392" s="367">
        <v>46113.625</v>
      </c>
      <c r="G4392" s="364" t="s">
        <v>1185</v>
      </c>
      <c r="H4392" s="364" t="s">
        <v>1220</v>
      </c>
    </row>
    <row r="4393" ht="15.75" customHeight="1">
      <c r="A4393" s="364" t="s">
        <v>85</v>
      </c>
      <c r="B4393" s="364" t="s">
        <v>25</v>
      </c>
      <c r="C4393" s="365" t="s">
        <v>725</v>
      </c>
      <c r="D4393" s="364" t="s">
        <v>726</v>
      </c>
      <c r="E4393" s="366">
        <v>5.0</v>
      </c>
      <c r="F4393" s="367">
        <v>46120.625</v>
      </c>
      <c r="G4393" s="364" t="s">
        <v>1185</v>
      </c>
      <c r="H4393" s="364" t="s">
        <v>1220</v>
      </c>
    </row>
    <row r="4394" ht="15.75" customHeight="1">
      <c r="A4394" s="364" t="s">
        <v>85</v>
      </c>
      <c r="B4394" s="364" t="s">
        <v>25</v>
      </c>
      <c r="C4394" s="365" t="s">
        <v>725</v>
      </c>
      <c r="D4394" s="364" t="s">
        <v>726</v>
      </c>
      <c r="E4394" s="366">
        <v>6.0</v>
      </c>
      <c r="F4394" s="367">
        <v>46127.625</v>
      </c>
      <c r="G4394" s="364" t="s">
        <v>1185</v>
      </c>
      <c r="H4394" s="364" t="s">
        <v>1220</v>
      </c>
    </row>
    <row r="4395" ht="15.75" customHeight="1">
      <c r="A4395" s="364" t="s">
        <v>85</v>
      </c>
      <c r="B4395" s="364" t="s">
        <v>25</v>
      </c>
      <c r="C4395" s="365" t="s">
        <v>725</v>
      </c>
      <c r="D4395" s="364" t="s">
        <v>726</v>
      </c>
      <c r="E4395" s="366">
        <v>7.0</v>
      </c>
      <c r="F4395" s="367">
        <v>46148.66666666667</v>
      </c>
      <c r="G4395" s="364" t="s">
        <v>1185</v>
      </c>
      <c r="H4395" s="364" t="s">
        <v>1220</v>
      </c>
    </row>
    <row r="4396" ht="15.75" customHeight="1">
      <c r="A4396" s="364" t="s">
        <v>85</v>
      </c>
      <c r="B4396" s="364" t="s">
        <v>25</v>
      </c>
      <c r="C4396" s="365" t="s">
        <v>725</v>
      </c>
      <c r="D4396" s="364" t="s">
        <v>726</v>
      </c>
      <c r="E4396" s="366">
        <v>8.0</v>
      </c>
      <c r="F4396" s="367">
        <v>46155.625</v>
      </c>
      <c r="G4396" s="364" t="s">
        <v>1185</v>
      </c>
      <c r="H4396" s="364" t="s">
        <v>1220</v>
      </c>
    </row>
    <row r="4397" ht="15.75" customHeight="1">
      <c r="A4397" s="364" t="s">
        <v>85</v>
      </c>
      <c r="B4397" s="364" t="s">
        <v>25</v>
      </c>
      <c r="C4397" s="365" t="s">
        <v>725</v>
      </c>
      <c r="D4397" s="364" t="s">
        <v>726</v>
      </c>
      <c r="E4397" s="366">
        <v>9.0</v>
      </c>
      <c r="F4397" s="367">
        <v>46162.625</v>
      </c>
      <c r="G4397" s="364" t="s">
        <v>1185</v>
      </c>
      <c r="H4397" s="364" t="s">
        <v>1220</v>
      </c>
    </row>
    <row r="4398" ht="15.75" customHeight="1">
      <c r="A4398" s="364" t="s">
        <v>85</v>
      </c>
      <c r="B4398" s="364" t="s">
        <v>25</v>
      </c>
      <c r="C4398" s="365" t="s">
        <v>725</v>
      </c>
      <c r="D4398" s="364" t="s">
        <v>726</v>
      </c>
      <c r="E4398" s="366">
        <v>10.0</v>
      </c>
      <c r="F4398" s="367">
        <v>46169.625</v>
      </c>
      <c r="G4398" s="364" t="s">
        <v>1185</v>
      </c>
      <c r="H4398" s="364" t="s">
        <v>1220</v>
      </c>
    </row>
    <row r="4399" ht="15.75" customHeight="1">
      <c r="A4399" s="364" t="s">
        <v>85</v>
      </c>
      <c r="B4399" s="364" t="s">
        <v>25</v>
      </c>
      <c r="C4399" s="365" t="s">
        <v>725</v>
      </c>
      <c r="D4399" s="364" t="s">
        <v>726</v>
      </c>
      <c r="E4399" s="366">
        <v>11.0</v>
      </c>
      <c r="F4399" s="367">
        <v>46183.625</v>
      </c>
      <c r="G4399" s="364" t="s">
        <v>1185</v>
      </c>
      <c r="H4399" s="364" t="s">
        <v>1220</v>
      </c>
    </row>
    <row r="4400" ht="15.75" customHeight="1">
      <c r="A4400" s="364" t="s">
        <v>85</v>
      </c>
      <c r="B4400" s="364" t="s">
        <v>25</v>
      </c>
      <c r="C4400" s="365" t="s">
        <v>725</v>
      </c>
      <c r="D4400" s="364" t="s">
        <v>726</v>
      </c>
      <c r="E4400" s="366">
        <v>12.0</v>
      </c>
      <c r="F4400" s="367">
        <v>46190.625</v>
      </c>
      <c r="G4400" s="364" t="s">
        <v>1185</v>
      </c>
      <c r="H4400" s="364" t="s">
        <v>1220</v>
      </c>
    </row>
    <row r="4401" ht="15.75" customHeight="1">
      <c r="A4401" s="364" t="s">
        <v>85</v>
      </c>
      <c r="B4401" s="364" t="s">
        <v>25</v>
      </c>
      <c r="C4401" s="365" t="s">
        <v>725</v>
      </c>
      <c r="D4401" s="364" t="s">
        <v>726</v>
      </c>
      <c r="E4401" s="366">
        <v>13.0</v>
      </c>
      <c r="F4401" s="367">
        <v>46204.625</v>
      </c>
      <c r="G4401" s="364" t="s">
        <v>1185</v>
      </c>
      <c r="H4401" s="364" t="s">
        <v>1220</v>
      </c>
    </row>
    <row r="4402" ht="15.75" customHeight="1">
      <c r="A4402" s="364" t="s">
        <v>85</v>
      </c>
      <c r="B4402" s="364" t="s">
        <v>25</v>
      </c>
      <c r="C4402" s="365" t="s">
        <v>725</v>
      </c>
      <c r="D4402" s="364" t="s">
        <v>726</v>
      </c>
      <c r="E4402" s="366">
        <v>14.0</v>
      </c>
      <c r="F4402" s="367">
        <v>46211.625</v>
      </c>
      <c r="G4402" s="364" t="s">
        <v>1185</v>
      </c>
      <c r="H4402" s="364" t="s">
        <v>1220</v>
      </c>
    </row>
    <row r="4403" ht="15.75" customHeight="1">
      <c r="A4403" s="364" t="s">
        <v>85</v>
      </c>
      <c r="B4403" s="364" t="s">
        <v>25</v>
      </c>
      <c r="C4403" s="365" t="s">
        <v>723</v>
      </c>
      <c r="D4403" s="364" t="s">
        <v>724</v>
      </c>
      <c r="E4403" s="366">
        <v>1.0</v>
      </c>
      <c r="F4403" s="367">
        <v>46086.45833333333</v>
      </c>
      <c r="G4403" s="364" t="s">
        <v>1185</v>
      </c>
      <c r="H4403" s="364" t="s">
        <v>1220</v>
      </c>
    </row>
    <row r="4404" ht="15.75" customHeight="1">
      <c r="A4404" s="364" t="s">
        <v>85</v>
      </c>
      <c r="B4404" s="364" t="s">
        <v>25</v>
      </c>
      <c r="C4404" s="365" t="s">
        <v>723</v>
      </c>
      <c r="D4404" s="364" t="s">
        <v>724</v>
      </c>
      <c r="E4404" s="366">
        <v>2.0</v>
      </c>
      <c r="F4404" s="367">
        <v>46098.45833333333</v>
      </c>
      <c r="G4404" s="364" t="s">
        <v>1185</v>
      </c>
      <c r="H4404" s="364" t="s">
        <v>1220</v>
      </c>
    </row>
    <row r="4405" ht="15.75" customHeight="1">
      <c r="A4405" s="364" t="s">
        <v>85</v>
      </c>
      <c r="B4405" s="364" t="s">
        <v>25</v>
      </c>
      <c r="C4405" s="365" t="s">
        <v>723</v>
      </c>
      <c r="D4405" s="364" t="s">
        <v>724</v>
      </c>
      <c r="E4405" s="366">
        <v>3.0</v>
      </c>
      <c r="F4405" s="367">
        <v>46105.45833333333</v>
      </c>
      <c r="G4405" s="364" t="s">
        <v>1185</v>
      </c>
      <c r="H4405" s="364" t="s">
        <v>1220</v>
      </c>
    </row>
    <row r="4406" ht="15.75" customHeight="1">
      <c r="A4406" s="364" t="s">
        <v>85</v>
      </c>
      <c r="B4406" s="364" t="s">
        <v>25</v>
      </c>
      <c r="C4406" s="365" t="s">
        <v>723</v>
      </c>
      <c r="D4406" s="364" t="s">
        <v>724</v>
      </c>
      <c r="E4406" s="366">
        <v>4.0</v>
      </c>
      <c r="F4406" s="367">
        <v>46113.625</v>
      </c>
      <c r="G4406" s="364" t="s">
        <v>1185</v>
      </c>
      <c r="H4406" s="364" t="s">
        <v>1220</v>
      </c>
    </row>
    <row r="4407" ht="15.75" customHeight="1">
      <c r="A4407" s="364" t="s">
        <v>85</v>
      </c>
      <c r="B4407" s="364" t="s">
        <v>25</v>
      </c>
      <c r="C4407" s="365" t="s">
        <v>723</v>
      </c>
      <c r="D4407" s="364" t="s">
        <v>724</v>
      </c>
      <c r="E4407" s="366">
        <v>5.0</v>
      </c>
      <c r="F4407" s="367">
        <v>46120.625</v>
      </c>
      <c r="G4407" s="364" t="s">
        <v>1185</v>
      </c>
      <c r="H4407" s="364" t="s">
        <v>1220</v>
      </c>
    </row>
    <row r="4408" ht="15.75" customHeight="1">
      <c r="A4408" s="364" t="s">
        <v>85</v>
      </c>
      <c r="B4408" s="364" t="s">
        <v>25</v>
      </c>
      <c r="C4408" s="365" t="s">
        <v>723</v>
      </c>
      <c r="D4408" s="364" t="s">
        <v>724</v>
      </c>
      <c r="E4408" s="366">
        <v>6.0</v>
      </c>
      <c r="F4408" s="367">
        <v>46127.625</v>
      </c>
      <c r="G4408" s="364" t="s">
        <v>1185</v>
      </c>
      <c r="H4408" s="364" t="s">
        <v>1220</v>
      </c>
    </row>
    <row r="4409" ht="15.75" customHeight="1">
      <c r="A4409" s="364" t="s">
        <v>85</v>
      </c>
      <c r="B4409" s="364" t="s">
        <v>25</v>
      </c>
      <c r="C4409" s="365" t="s">
        <v>723</v>
      </c>
      <c r="D4409" s="364" t="s">
        <v>724</v>
      </c>
      <c r="E4409" s="366">
        <v>7.0</v>
      </c>
      <c r="F4409" s="367">
        <v>46148.66666666667</v>
      </c>
      <c r="G4409" s="364" t="s">
        <v>1185</v>
      </c>
      <c r="H4409" s="364" t="s">
        <v>1220</v>
      </c>
    </row>
    <row r="4410" ht="15.75" customHeight="1">
      <c r="A4410" s="364" t="s">
        <v>85</v>
      </c>
      <c r="B4410" s="364" t="s">
        <v>25</v>
      </c>
      <c r="C4410" s="365" t="s">
        <v>723</v>
      </c>
      <c r="D4410" s="364" t="s">
        <v>724</v>
      </c>
      <c r="E4410" s="366">
        <v>8.0</v>
      </c>
      <c r="F4410" s="367">
        <v>46155.625</v>
      </c>
      <c r="G4410" s="364" t="s">
        <v>1185</v>
      </c>
      <c r="H4410" s="364" t="s">
        <v>1220</v>
      </c>
    </row>
    <row r="4411" ht="15.75" customHeight="1">
      <c r="A4411" s="364" t="s">
        <v>85</v>
      </c>
      <c r="B4411" s="364" t="s">
        <v>25</v>
      </c>
      <c r="C4411" s="365" t="s">
        <v>723</v>
      </c>
      <c r="D4411" s="364" t="s">
        <v>724</v>
      </c>
      <c r="E4411" s="366">
        <v>9.0</v>
      </c>
      <c r="F4411" s="367">
        <v>46162.625</v>
      </c>
      <c r="G4411" s="364" t="s">
        <v>1187</v>
      </c>
      <c r="H4411" s="364" t="s">
        <v>1220</v>
      </c>
    </row>
    <row r="4412" ht="15.75" customHeight="1">
      <c r="A4412" s="364" t="s">
        <v>85</v>
      </c>
      <c r="B4412" s="364" t="s">
        <v>25</v>
      </c>
      <c r="C4412" s="365" t="s">
        <v>723</v>
      </c>
      <c r="D4412" s="364" t="s">
        <v>724</v>
      </c>
      <c r="E4412" s="366">
        <v>10.0</v>
      </c>
      <c r="F4412" s="367">
        <v>46169.625</v>
      </c>
      <c r="G4412" s="364" t="s">
        <v>1185</v>
      </c>
      <c r="H4412" s="364" t="s">
        <v>1220</v>
      </c>
    </row>
    <row r="4413" ht="15.75" customHeight="1">
      <c r="A4413" s="364" t="s">
        <v>85</v>
      </c>
      <c r="B4413" s="364" t="s">
        <v>25</v>
      </c>
      <c r="C4413" s="365" t="s">
        <v>723</v>
      </c>
      <c r="D4413" s="364" t="s">
        <v>724</v>
      </c>
      <c r="E4413" s="366">
        <v>11.0</v>
      </c>
      <c r="F4413" s="367">
        <v>46183.625</v>
      </c>
      <c r="G4413" s="364" t="s">
        <v>1185</v>
      </c>
      <c r="H4413" s="364" t="s">
        <v>1220</v>
      </c>
    </row>
    <row r="4414" ht="15.75" customHeight="1">
      <c r="A4414" s="364" t="s">
        <v>85</v>
      </c>
      <c r="B4414" s="364" t="s">
        <v>25</v>
      </c>
      <c r="C4414" s="365" t="s">
        <v>723</v>
      </c>
      <c r="D4414" s="364" t="s">
        <v>724</v>
      </c>
      <c r="E4414" s="366">
        <v>12.0</v>
      </c>
      <c r="F4414" s="367">
        <v>46190.625</v>
      </c>
      <c r="G4414" s="364" t="s">
        <v>1187</v>
      </c>
      <c r="H4414" s="364" t="s">
        <v>1220</v>
      </c>
    </row>
    <row r="4415" ht="15.75" customHeight="1">
      <c r="A4415" s="364" t="s">
        <v>85</v>
      </c>
      <c r="B4415" s="364" t="s">
        <v>25</v>
      </c>
      <c r="C4415" s="365" t="s">
        <v>723</v>
      </c>
      <c r="D4415" s="364" t="s">
        <v>724</v>
      </c>
      <c r="E4415" s="366">
        <v>13.0</v>
      </c>
      <c r="F4415" s="367">
        <v>46204.625</v>
      </c>
      <c r="G4415" s="364" t="s">
        <v>1185</v>
      </c>
      <c r="H4415" s="364" t="s">
        <v>1220</v>
      </c>
    </row>
    <row r="4416" ht="15.75" customHeight="1">
      <c r="A4416" s="364" t="s">
        <v>85</v>
      </c>
      <c r="B4416" s="364" t="s">
        <v>25</v>
      </c>
      <c r="C4416" s="365" t="s">
        <v>723</v>
      </c>
      <c r="D4416" s="364" t="s">
        <v>724</v>
      </c>
      <c r="E4416" s="366">
        <v>14.0</v>
      </c>
      <c r="F4416" s="367">
        <v>46211.625</v>
      </c>
      <c r="G4416" s="364" t="s">
        <v>1187</v>
      </c>
      <c r="H4416" s="364" t="s">
        <v>1220</v>
      </c>
    </row>
    <row r="4417" ht="15.75" customHeight="1">
      <c r="A4417" s="364" t="s">
        <v>85</v>
      </c>
      <c r="B4417" s="364" t="s">
        <v>25</v>
      </c>
      <c r="C4417" s="365" t="s">
        <v>719</v>
      </c>
      <c r="D4417" s="364" t="s">
        <v>720</v>
      </c>
      <c r="E4417" s="366">
        <v>1.0</v>
      </c>
      <c r="F4417" s="367">
        <v>46086.45833333333</v>
      </c>
      <c r="G4417" s="364" t="s">
        <v>1185</v>
      </c>
      <c r="H4417" s="364" t="s">
        <v>1220</v>
      </c>
    </row>
    <row r="4418" ht="15.75" customHeight="1">
      <c r="A4418" s="364" t="s">
        <v>85</v>
      </c>
      <c r="B4418" s="364" t="s">
        <v>25</v>
      </c>
      <c r="C4418" s="365" t="s">
        <v>719</v>
      </c>
      <c r="D4418" s="364" t="s">
        <v>720</v>
      </c>
      <c r="E4418" s="366">
        <v>2.0</v>
      </c>
      <c r="F4418" s="367">
        <v>46098.45833333333</v>
      </c>
      <c r="G4418" s="364" t="s">
        <v>1185</v>
      </c>
      <c r="H4418" s="364" t="s">
        <v>1220</v>
      </c>
    </row>
    <row r="4419" ht="15.75" customHeight="1">
      <c r="A4419" s="364" t="s">
        <v>85</v>
      </c>
      <c r="B4419" s="364" t="s">
        <v>25</v>
      </c>
      <c r="C4419" s="365" t="s">
        <v>719</v>
      </c>
      <c r="D4419" s="364" t="s">
        <v>720</v>
      </c>
      <c r="E4419" s="366">
        <v>3.0</v>
      </c>
      <c r="F4419" s="367">
        <v>46105.45833333333</v>
      </c>
      <c r="G4419" s="364" t="s">
        <v>1187</v>
      </c>
      <c r="H4419" s="364" t="s">
        <v>1220</v>
      </c>
    </row>
    <row r="4420" ht="15.75" customHeight="1">
      <c r="A4420" s="364" t="s">
        <v>85</v>
      </c>
      <c r="B4420" s="364" t="s">
        <v>25</v>
      </c>
      <c r="C4420" s="365" t="s">
        <v>719</v>
      </c>
      <c r="D4420" s="364" t="s">
        <v>720</v>
      </c>
      <c r="E4420" s="366">
        <v>4.0</v>
      </c>
      <c r="F4420" s="367">
        <v>46113.625</v>
      </c>
      <c r="G4420" s="364" t="s">
        <v>1187</v>
      </c>
      <c r="H4420" s="364" t="s">
        <v>1220</v>
      </c>
    </row>
    <row r="4421" ht="15.75" customHeight="1">
      <c r="A4421" s="364" t="s">
        <v>85</v>
      </c>
      <c r="B4421" s="364" t="s">
        <v>25</v>
      </c>
      <c r="C4421" s="365" t="s">
        <v>719</v>
      </c>
      <c r="D4421" s="364" t="s">
        <v>720</v>
      </c>
      <c r="E4421" s="366">
        <v>5.0</v>
      </c>
      <c r="F4421" s="367">
        <v>46120.625</v>
      </c>
      <c r="G4421" s="364" t="s">
        <v>1185</v>
      </c>
      <c r="H4421" s="364" t="s">
        <v>1220</v>
      </c>
    </row>
    <row r="4422" ht="15.75" customHeight="1">
      <c r="A4422" s="364" t="s">
        <v>85</v>
      </c>
      <c r="B4422" s="364" t="s">
        <v>25</v>
      </c>
      <c r="C4422" s="365" t="s">
        <v>719</v>
      </c>
      <c r="D4422" s="364" t="s">
        <v>720</v>
      </c>
      <c r="E4422" s="366">
        <v>6.0</v>
      </c>
      <c r="F4422" s="367">
        <v>46127.625</v>
      </c>
      <c r="G4422" s="364" t="s">
        <v>1185</v>
      </c>
      <c r="H4422" s="364" t="s">
        <v>1220</v>
      </c>
    </row>
    <row r="4423" ht="15.75" customHeight="1">
      <c r="A4423" s="364" t="s">
        <v>85</v>
      </c>
      <c r="B4423" s="364" t="s">
        <v>25</v>
      </c>
      <c r="C4423" s="365" t="s">
        <v>719</v>
      </c>
      <c r="D4423" s="364" t="s">
        <v>720</v>
      </c>
      <c r="E4423" s="366">
        <v>7.0</v>
      </c>
      <c r="F4423" s="367">
        <v>46148.66666666667</v>
      </c>
      <c r="G4423" s="364" t="s">
        <v>1187</v>
      </c>
      <c r="H4423" s="364" t="s">
        <v>1220</v>
      </c>
    </row>
    <row r="4424" ht="15.75" customHeight="1">
      <c r="A4424" s="364" t="s">
        <v>85</v>
      </c>
      <c r="B4424" s="364" t="s">
        <v>25</v>
      </c>
      <c r="C4424" s="365" t="s">
        <v>719</v>
      </c>
      <c r="D4424" s="364" t="s">
        <v>720</v>
      </c>
      <c r="E4424" s="366">
        <v>8.0</v>
      </c>
      <c r="F4424" s="367">
        <v>46155.625</v>
      </c>
      <c r="G4424" s="364" t="s">
        <v>1187</v>
      </c>
      <c r="H4424" s="364" t="s">
        <v>1220</v>
      </c>
    </row>
    <row r="4425" ht="15.75" customHeight="1">
      <c r="A4425" s="364" t="s">
        <v>85</v>
      </c>
      <c r="B4425" s="364" t="s">
        <v>25</v>
      </c>
      <c r="C4425" s="365" t="s">
        <v>719</v>
      </c>
      <c r="D4425" s="364" t="s">
        <v>720</v>
      </c>
      <c r="E4425" s="366">
        <v>9.0</v>
      </c>
      <c r="F4425" s="367">
        <v>46162.625</v>
      </c>
      <c r="G4425" s="364" t="s">
        <v>1187</v>
      </c>
      <c r="H4425" s="364" t="s">
        <v>1220</v>
      </c>
    </row>
    <row r="4426" ht="15.75" customHeight="1">
      <c r="A4426" s="364" t="s">
        <v>85</v>
      </c>
      <c r="B4426" s="364" t="s">
        <v>25</v>
      </c>
      <c r="C4426" s="365" t="s">
        <v>719</v>
      </c>
      <c r="D4426" s="364" t="s">
        <v>720</v>
      </c>
      <c r="E4426" s="366">
        <v>10.0</v>
      </c>
      <c r="F4426" s="367">
        <v>46169.625</v>
      </c>
      <c r="G4426" s="364" t="s">
        <v>1187</v>
      </c>
      <c r="H4426" s="364" t="s">
        <v>1220</v>
      </c>
    </row>
    <row r="4427" ht="15.75" customHeight="1">
      <c r="A4427" s="364" t="s">
        <v>85</v>
      </c>
      <c r="B4427" s="364" t="s">
        <v>25</v>
      </c>
      <c r="C4427" s="365" t="s">
        <v>719</v>
      </c>
      <c r="D4427" s="364" t="s">
        <v>720</v>
      </c>
      <c r="E4427" s="366">
        <v>11.0</v>
      </c>
      <c r="F4427" s="367">
        <v>46183.625</v>
      </c>
      <c r="G4427" s="364" t="s">
        <v>1187</v>
      </c>
      <c r="H4427" s="364" t="s">
        <v>1220</v>
      </c>
    </row>
    <row r="4428" ht="15.75" customHeight="1">
      <c r="A4428" s="364" t="s">
        <v>85</v>
      </c>
      <c r="B4428" s="364" t="s">
        <v>25</v>
      </c>
      <c r="C4428" s="365" t="s">
        <v>719</v>
      </c>
      <c r="D4428" s="364" t="s">
        <v>720</v>
      </c>
      <c r="E4428" s="366">
        <v>12.0</v>
      </c>
      <c r="F4428" s="367">
        <v>46190.625</v>
      </c>
      <c r="G4428" s="364" t="s">
        <v>1187</v>
      </c>
      <c r="H4428" s="364" t="s">
        <v>1220</v>
      </c>
    </row>
    <row r="4429" ht="15.75" customHeight="1">
      <c r="A4429" s="364" t="s">
        <v>85</v>
      </c>
      <c r="B4429" s="364" t="s">
        <v>25</v>
      </c>
      <c r="C4429" s="365" t="s">
        <v>719</v>
      </c>
      <c r="D4429" s="364" t="s">
        <v>720</v>
      </c>
      <c r="E4429" s="366">
        <v>14.0</v>
      </c>
      <c r="F4429" s="367">
        <v>46211.625</v>
      </c>
      <c r="G4429" s="364" t="s">
        <v>1187</v>
      </c>
      <c r="H4429" s="364" t="s">
        <v>1220</v>
      </c>
    </row>
    <row r="4430" ht="15.75" customHeight="1">
      <c r="A4430" s="364" t="s">
        <v>85</v>
      </c>
      <c r="B4430" s="364" t="s">
        <v>25</v>
      </c>
      <c r="C4430" s="365" t="s">
        <v>727</v>
      </c>
      <c r="D4430" s="364" t="s">
        <v>728</v>
      </c>
      <c r="E4430" s="366">
        <v>1.0</v>
      </c>
      <c r="F4430" s="367">
        <v>46086.45833333333</v>
      </c>
      <c r="G4430" s="364" t="s">
        <v>1185</v>
      </c>
      <c r="H4430" s="364" t="s">
        <v>1220</v>
      </c>
    </row>
    <row r="4431" ht="15.75" customHeight="1">
      <c r="A4431" s="364" t="s">
        <v>85</v>
      </c>
      <c r="B4431" s="364" t="s">
        <v>25</v>
      </c>
      <c r="C4431" s="365" t="s">
        <v>727</v>
      </c>
      <c r="D4431" s="364" t="s">
        <v>728</v>
      </c>
      <c r="E4431" s="366">
        <v>2.0</v>
      </c>
      <c r="F4431" s="367">
        <v>46098.45833333333</v>
      </c>
      <c r="G4431" s="364" t="s">
        <v>1187</v>
      </c>
      <c r="H4431" s="364" t="s">
        <v>1220</v>
      </c>
    </row>
    <row r="4432" ht="15.75" customHeight="1">
      <c r="A4432" s="364" t="s">
        <v>85</v>
      </c>
      <c r="B4432" s="364" t="s">
        <v>25</v>
      </c>
      <c r="C4432" s="365" t="s">
        <v>727</v>
      </c>
      <c r="D4432" s="364" t="s">
        <v>728</v>
      </c>
      <c r="E4432" s="366">
        <v>3.0</v>
      </c>
      <c r="F4432" s="367">
        <v>46105.45833333333</v>
      </c>
      <c r="G4432" s="364" t="s">
        <v>1187</v>
      </c>
      <c r="H4432" s="364" t="s">
        <v>1220</v>
      </c>
    </row>
    <row r="4433" ht="15.75" customHeight="1">
      <c r="A4433" s="364" t="s">
        <v>85</v>
      </c>
      <c r="B4433" s="364" t="s">
        <v>25</v>
      </c>
      <c r="C4433" s="365" t="s">
        <v>727</v>
      </c>
      <c r="D4433" s="364" t="s">
        <v>728</v>
      </c>
      <c r="E4433" s="366">
        <v>4.0</v>
      </c>
      <c r="F4433" s="367">
        <v>46113.625</v>
      </c>
      <c r="G4433" s="364" t="s">
        <v>1187</v>
      </c>
      <c r="H4433" s="364" t="s">
        <v>1220</v>
      </c>
    </row>
    <row r="4434" ht="15.75" customHeight="1">
      <c r="A4434" s="364" t="s">
        <v>85</v>
      </c>
      <c r="B4434" s="364" t="s">
        <v>25</v>
      </c>
      <c r="C4434" s="365" t="s">
        <v>727</v>
      </c>
      <c r="D4434" s="364" t="s">
        <v>728</v>
      </c>
      <c r="E4434" s="366">
        <v>5.0</v>
      </c>
      <c r="F4434" s="367">
        <v>46120.625</v>
      </c>
      <c r="G4434" s="364" t="s">
        <v>1187</v>
      </c>
      <c r="H4434" s="364" t="s">
        <v>1220</v>
      </c>
    </row>
    <row r="4435" ht="15.75" customHeight="1">
      <c r="A4435" s="364" t="s">
        <v>85</v>
      </c>
      <c r="B4435" s="364" t="s">
        <v>25</v>
      </c>
      <c r="C4435" s="365" t="s">
        <v>727</v>
      </c>
      <c r="D4435" s="364" t="s">
        <v>728</v>
      </c>
      <c r="E4435" s="366">
        <v>6.0</v>
      </c>
      <c r="F4435" s="367">
        <v>46127.625</v>
      </c>
      <c r="G4435" s="364" t="s">
        <v>1187</v>
      </c>
      <c r="H4435" s="364" t="s">
        <v>1220</v>
      </c>
    </row>
    <row r="4436" ht="15.75" customHeight="1">
      <c r="A4436" s="364" t="s">
        <v>85</v>
      </c>
      <c r="B4436" s="364" t="s">
        <v>25</v>
      </c>
      <c r="C4436" s="365" t="s">
        <v>727</v>
      </c>
      <c r="D4436" s="364" t="s">
        <v>728</v>
      </c>
      <c r="E4436" s="366">
        <v>7.0</v>
      </c>
      <c r="F4436" s="367">
        <v>46148.66666666667</v>
      </c>
      <c r="G4436" s="364" t="s">
        <v>1187</v>
      </c>
      <c r="H4436" s="364" t="s">
        <v>1220</v>
      </c>
    </row>
    <row r="4437" ht="15.75" customHeight="1">
      <c r="A4437" s="364" t="s">
        <v>85</v>
      </c>
      <c r="B4437" s="364" t="s">
        <v>25</v>
      </c>
      <c r="C4437" s="365" t="s">
        <v>727</v>
      </c>
      <c r="D4437" s="364" t="s">
        <v>728</v>
      </c>
      <c r="E4437" s="366">
        <v>8.0</v>
      </c>
      <c r="F4437" s="367">
        <v>46155.625</v>
      </c>
      <c r="G4437" s="364" t="s">
        <v>1187</v>
      </c>
      <c r="H4437" s="364" t="s">
        <v>1220</v>
      </c>
    </row>
    <row r="4438" ht="15.75" customHeight="1">
      <c r="A4438" s="364" t="s">
        <v>85</v>
      </c>
      <c r="B4438" s="364" t="s">
        <v>25</v>
      </c>
      <c r="C4438" s="365" t="s">
        <v>727</v>
      </c>
      <c r="D4438" s="364" t="s">
        <v>728</v>
      </c>
      <c r="E4438" s="366">
        <v>9.0</v>
      </c>
      <c r="F4438" s="367">
        <v>46162.625</v>
      </c>
      <c r="G4438" s="364" t="s">
        <v>1187</v>
      </c>
      <c r="H4438" s="364" t="s">
        <v>1220</v>
      </c>
    </row>
    <row r="4439" ht="15.75" customHeight="1">
      <c r="A4439" s="364" t="s">
        <v>85</v>
      </c>
      <c r="B4439" s="364" t="s">
        <v>25</v>
      </c>
      <c r="C4439" s="365" t="s">
        <v>727</v>
      </c>
      <c r="D4439" s="364" t="s">
        <v>728</v>
      </c>
      <c r="E4439" s="366">
        <v>10.0</v>
      </c>
      <c r="F4439" s="367">
        <v>46169.625</v>
      </c>
      <c r="G4439" s="364" t="s">
        <v>1187</v>
      </c>
      <c r="H4439" s="364" t="s">
        <v>1220</v>
      </c>
    </row>
    <row r="4440" ht="15.75" customHeight="1">
      <c r="A4440" s="364" t="s">
        <v>85</v>
      </c>
      <c r="B4440" s="364" t="s">
        <v>25</v>
      </c>
      <c r="C4440" s="365" t="s">
        <v>727</v>
      </c>
      <c r="D4440" s="364" t="s">
        <v>728</v>
      </c>
      <c r="E4440" s="366">
        <v>11.0</v>
      </c>
      <c r="F4440" s="367">
        <v>46183.625</v>
      </c>
      <c r="G4440" s="364" t="s">
        <v>1187</v>
      </c>
      <c r="H4440" s="364" t="s">
        <v>1220</v>
      </c>
    </row>
    <row r="4441" ht="15.75" customHeight="1">
      <c r="A4441" s="364" t="s">
        <v>85</v>
      </c>
      <c r="B4441" s="364" t="s">
        <v>25</v>
      </c>
      <c r="C4441" s="365" t="s">
        <v>727</v>
      </c>
      <c r="D4441" s="364" t="s">
        <v>728</v>
      </c>
      <c r="E4441" s="366">
        <v>12.0</v>
      </c>
      <c r="F4441" s="367">
        <v>46190.625</v>
      </c>
      <c r="G4441" s="364" t="s">
        <v>1187</v>
      </c>
      <c r="H4441" s="364" t="s">
        <v>1220</v>
      </c>
    </row>
    <row r="4442" ht="15.75" customHeight="1">
      <c r="A4442" s="364" t="s">
        <v>85</v>
      </c>
      <c r="B4442" s="364" t="s">
        <v>25</v>
      </c>
      <c r="C4442" s="365" t="s">
        <v>727</v>
      </c>
      <c r="D4442" s="364" t="s">
        <v>728</v>
      </c>
      <c r="E4442" s="366">
        <v>14.0</v>
      </c>
      <c r="F4442" s="367">
        <v>46211.625</v>
      </c>
      <c r="G4442" s="364" t="s">
        <v>1187</v>
      </c>
      <c r="H4442" s="364" t="s">
        <v>1220</v>
      </c>
    </row>
    <row r="4443" ht="15.75" customHeight="1">
      <c r="A4443" s="364" t="s">
        <v>85</v>
      </c>
      <c r="B4443" s="364" t="s">
        <v>22</v>
      </c>
      <c r="C4443" s="365" t="s">
        <v>727</v>
      </c>
      <c r="D4443" s="364" t="s">
        <v>728</v>
      </c>
      <c r="E4443" s="366">
        <v>1.0</v>
      </c>
      <c r="F4443" s="367">
        <v>45772.58333333333</v>
      </c>
      <c r="G4443" s="364" t="s">
        <v>1185</v>
      </c>
      <c r="H4443" s="364" t="s">
        <v>1220</v>
      </c>
    </row>
    <row r="4444" ht="15.75" customHeight="1">
      <c r="A4444" s="364" t="s">
        <v>85</v>
      </c>
      <c r="B4444" s="364" t="s">
        <v>22</v>
      </c>
      <c r="C4444" s="365" t="s">
        <v>727</v>
      </c>
      <c r="D4444" s="364" t="s">
        <v>728</v>
      </c>
      <c r="E4444" s="366">
        <v>2.0</v>
      </c>
      <c r="F4444" s="367">
        <v>45783.58333333333</v>
      </c>
      <c r="G4444" s="364" t="s">
        <v>1185</v>
      </c>
      <c r="H4444" s="364" t="s">
        <v>1220</v>
      </c>
    </row>
    <row r="4445" ht="15.75" customHeight="1">
      <c r="A4445" s="364" t="s">
        <v>85</v>
      </c>
      <c r="B4445" s="364" t="s">
        <v>22</v>
      </c>
      <c r="C4445" s="365" t="s">
        <v>727</v>
      </c>
      <c r="D4445" s="364" t="s">
        <v>728</v>
      </c>
      <c r="E4445" s="366">
        <v>3.0</v>
      </c>
      <c r="F4445" s="367">
        <v>45790.375</v>
      </c>
      <c r="G4445" s="364" t="s">
        <v>1185</v>
      </c>
      <c r="H4445" s="364" t="s">
        <v>1220</v>
      </c>
    </row>
    <row r="4446" ht="15.75" customHeight="1">
      <c r="A4446" s="364" t="s">
        <v>85</v>
      </c>
      <c r="B4446" s="364" t="s">
        <v>22</v>
      </c>
      <c r="C4446" s="365" t="s">
        <v>727</v>
      </c>
      <c r="D4446" s="364" t="s">
        <v>728</v>
      </c>
      <c r="E4446" s="366">
        <v>4.0</v>
      </c>
      <c r="F4446" s="367">
        <v>45804.45833333333</v>
      </c>
      <c r="G4446" s="364" t="s">
        <v>1185</v>
      </c>
      <c r="H4446" s="364" t="s">
        <v>1220</v>
      </c>
    </row>
    <row r="4447" ht="15.75" customHeight="1">
      <c r="A4447" s="364" t="s">
        <v>85</v>
      </c>
      <c r="B4447" s="364" t="s">
        <v>22</v>
      </c>
      <c r="C4447" s="365" t="s">
        <v>727</v>
      </c>
      <c r="D4447" s="364" t="s">
        <v>728</v>
      </c>
      <c r="E4447" s="366">
        <v>5.0</v>
      </c>
      <c r="F4447" s="367">
        <v>45812.54166666667</v>
      </c>
      <c r="G4447" s="364" t="s">
        <v>1187</v>
      </c>
      <c r="H4447" s="364" t="s">
        <v>1220</v>
      </c>
    </row>
    <row r="4448" ht="15.75" customHeight="1">
      <c r="A4448" s="364" t="s">
        <v>85</v>
      </c>
      <c r="B4448" s="364" t="s">
        <v>22</v>
      </c>
      <c r="C4448" s="365" t="s">
        <v>727</v>
      </c>
      <c r="D4448" s="364" t="s">
        <v>728</v>
      </c>
      <c r="E4448" s="366">
        <v>6.0</v>
      </c>
      <c r="F4448" s="367">
        <v>45820.54166666667</v>
      </c>
      <c r="G4448" s="364" t="s">
        <v>1185</v>
      </c>
      <c r="H4448" s="364" t="s">
        <v>1220</v>
      </c>
    </row>
    <row r="4449" ht="15.75" customHeight="1">
      <c r="A4449" s="364" t="s">
        <v>85</v>
      </c>
      <c r="B4449" s="364" t="s">
        <v>22</v>
      </c>
      <c r="C4449" s="365" t="s">
        <v>727</v>
      </c>
      <c r="D4449" s="364" t="s">
        <v>728</v>
      </c>
      <c r="E4449" s="366">
        <v>7.0</v>
      </c>
      <c r="F4449" s="367">
        <v>45826.45833333333</v>
      </c>
      <c r="G4449" s="364" t="s">
        <v>1185</v>
      </c>
      <c r="H4449" s="364" t="s">
        <v>1220</v>
      </c>
    </row>
    <row r="4450" ht="15.75" customHeight="1">
      <c r="A4450" s="364" t="s">
        <v>85</v>
      </c>
      <c r="B4450" s="364" t="s">
        <v>22</v>
      </c>
      <c r="C4450" s="365" t="s">
        <v>727</v>
      </c>
      <c r="D4450" s="364" t="s">
        <v>728</v>
      </c>
      <c r="E4450" s="366">
        <v>8.0</v>
      </c>
      <c r="F4450" s="367">
        <v>45833.58333333333</v>
      </c>
      <c r="G4450" s="364" t="s">
        <v>1185</v>
      </c>
      <c r="H4450" s="364" t="s">
        <v>1220</v>
      </c>
    </row>
    <row r="4451" ht="15.75" customHeight="1">
      <c r="A4451" s="364" t="s">
        <v>85</v>
      </c>
      <c r="B4451" s="364" t="s">
        <v>22</v>
      </c>
      <c r="C4451" s="365" t="s">
        <v>727</v>
      </c>
      <c r="D4451" s="364" t="s">
        <v>728</v>
      </c>
      <c r="E4451" s="366">
        <v>9.0</v>
      </c>
      <c r="F4451" s="367">
        <v>45839.54166666667</v>
      </c>
      <c r="G4451" s="364" t="s">
        <v>1185</v>
      </c>
      <c r="H4451" s="364" t="s">
        <v>1220</v>
      </c>
    </row>
    <row r="4452" ht="15.75" customHeight="1">
      <c r="A4452" s="364" t="s">
        <v>85</v>
      </c>
      <c r="B4452" s="364" t="s">
        <v>22</v>
      </c>
      <c r="C4452" s="365" t="s">
        <v>727</v>
      </c>
      <c r="D4452" s="364" t="s">
        <v>728</v>
      </c>
      <c r="E4452" s="366">
        <v>10.0</v>
      </c>
      <c r="F4452" s="367">
        <v>45868.54166666667</v>
      </c>
      <c r="G4452" s="364" t="s">
        <v>1185</v>
      </c>
      <c r="H4452" s="364" t="s">
        <v>1220</v>
      </c>
    </row>
    <row r="4453" ht="15.75" customHeight="1">
      <c r="A4453" s="364" t="s">
        <v>85</v>
      </c>
      <c r="B4453" s="364" t="s">
        <v>22</v>
      </c>
      <c r="C4453" s="365" t="s">
        <v>733</v>
      </c>
      <c r="D4453" s="364" t="s">
        <v>734</v>
      </c>
      <c r="E4453" s="366">
        <v>1.0</v>
      </c>
      <c r="F4453" s="367">
        <v>45764.45833333333</v>
      </c>
      <c r="G4453" s="364" t="s">
        <v>1185</v>
      </c>
      <c r="H4453" s="364" t="s">
        <v>1220</v>
      </c>
    </row>
    <row r="4454" ht="15.75" customHeight="1">
      <c r="A4454" s="364" t="s">
        <v>85</v>
      </c>
      <c r="B4454" s="364" t="s">
        <v>22</v>
      </c>
      <c r="C4454" s="365" t="s">
        <v>733</v>
      </c>
      <c r="D4454" s="364" t="s">
        <v>734</v>
      </c>
      <c r="E4454" s="366">
        <v>2.0</v>
      </c>
      <c r="F4454" s="367">
        <v>45783.58333333333</v>
      </c>
      <c r="G4454" s="364" t="s">
        <v>1185</v>
      </c>
      <c r="H4454" s="364" t="s">
        <v>1220</v>
      </c>
    </row>
    <row r="4455" ht="15.75" customHeight="1">
      <c r="A4455" s="364" t="s">
        <v>85</v>
      </c>
      <c r="B4455" s="364" t="s">
        <v>22</v>
      </c>
      <c r="C4455" s="365" t="s">
        <v>733</v>
      </c>
      <c r="D4455" s="364" t="s">
        <v>734</v>
      </c>
      <c r="E4455" s="366">
        <v>3.0</v>
      </c>
      <c r="F4455" s="367">
        <v>45790.375</v>
      </c>
      <c r="G4455" s="364" t="s">
        <v>1185</v>
      </c>
      <c r="H4455" s="364" t="s">
        <v>1220</v>
      </c>
    </row>
    <row r="4456" ht="15.75" customHeight="1">
      <c r="A4456" s="364" t="s">
        <v>85</v>
      </c>
      <c r="B4456" s="364" t="s">
        <v>22</v>
      </c>
      <c r="C4456" s="365" t="s">
        <v>733</v>
      </c>
      <c r="D4456" s="364" t="s">
        <v>734</v>
      </c>
      <c r="E4456" s="366">
        <v>4.0</v>
      </c>
      <c r="F4456" s="367">
        <v>45804.45833333333</v>
      </c>
      <c r="G4456" s="364" t="s">
        <v>1185</v>
      </c>
      <c r="H4456" s="364" t="s">
        <v>1220</v>
      </c>
    </row>
    <row r="4457" ht="15.75" customHeight="1">
      <c r="A4457" s="364" t="s">
        <v>85</v>
      </c>
      <c r="B4457" s="364" t="s">
        <v>22</v>
      </c>
      <c r="C4457" s="365" t="s">
        <v>733</v>
      </c>
      <c r="D4457" s="364" t="s">
        <v>734</v>
      </c>
      <c r="E4457" s="366">
        <v>5.0</v>
      </c>
      <c r="F4457" s="367">
        <v>45812.54166666667</v>
      </c>
      <c r="G4457" s="364" t="s">
        <v>1185</v>
      </c>
      <c r="H4457" s="364" t="s">
        <v>1220</v>
      </c>
    </row>
    <row r="4458" ht="15.75" customHeight="1">
      <c r="A4458" s="364" t="s">
        <v>85</v>
      </c>
      <c r="B4458" s="364" t="s">
        <v>22</v>
      </c>
      <c r="C4458" s="365" t="s">
        <v>733</v>
      </c>
      <c r="D4458" s="364" t="s">
        <v>734</v>
      </c>
      <c r="E4458" s="366">
        <v>6.0</v>
      </c>
      <c r="F4458" s="367">
        <v>45820.54166666667</v>
      </c>
      <c r="G4458" s="364" t="s">
        <v>1185</v>
      </c>
      <c r="H4458" s="364" t="s">
        <v>1220</v>
      </c>
    </row>
    <row r="4459" ht="15.75" customHeight="1">
      <c r="A4459" s="364" t="s">
        <v>85</v>
      </c>
      <c r="B4459" s="364" t="s">
        <v>22</v>
      </c>
      <c r="C4459" s="365" t="s">
        <v>733</v>
      </c>
      <c r="D4459" s="364" t="s">
        <v>734</v>
      </c>
      <c r="E4459" s="366">
        <v>7.0</v>
      </c>
      <c r="F4459" s="367">
        <v>45826.45833333333</v>
      </c>
      <c r="G4459" s="364" t="s">
        <v>1185</v>
      </c>
      <c r="H4459" s="364" t="s">
        <v>1220</v>
      </c>
    </row>
    <row r="4460" ht="15.75" customHeight="1">
      <c r="A4460" s="364" t="s">
        <v>85</v>
      </c>
      <c r="B4460" s="364" t="s">
        <v>22</v>
      </c>
      <c r="C4460" s="365" t="s">
        <v>733</v>
      </c>
      <c r="D4460" s="364" t="s">
        <v>734</v>
      </c>
      <c r="E4460" s="366">
        <v>8.0</v>
      </c>
      <c r="F4460" s="367">
        <v>45833.58333333333</v>
      </c>
      <c r="G4460" s="364" t="s">
        <v>1185</v>
      </c>
      <c r="H4460" s="364" t="s">
        <v>1220</v>
      </c>
    </row>
    <row r="4461" ht="15.75" customHeight="1">
      <c r="A4461" s="364" t="s">
        <v>85</v>
      </c>
      <c r="B4461" s="364" t="s">
        <v>22</v>
      </c>
      <c r="C4461" s="365" t="s">
        <v>733</v>
      </c>
      <c r="D4461" s="364" t="s">
        <v>734</v>
      </c>
      <c r="E4461" s="366">
        <v>9.0</v>
      </c>
      <c r="F4461" s="367">
        <v>45839.54166666667</v>
      </c>
      <c r="G4461" s="364" t="s">
        <v>1185</v>
      </c>
      <c r="H4461" s="364" t="s">
        <v>1220</v>
      </c>
    </row>
    <row r="4462" ht="15.75" customHeight="1">
      <c r="A4462" s="364" t="s">
        <v>85</v>
      </c>
      <c r="B4462" s="364" t="s">
        <v>22</v>
      </c>
      <c r="C4462" s="365" t="s">
        <v>733</v>
      </c>
      <c r="D4462" s="364" t="s">
        <v>734</v>
      </c>
      <c r="E4462" s="366">
        <v>10.0</v>
      </c>
      <c r="F4462" s="367">
        <v>45868.54166666667</v>
      </c>
      <c r="G4462" s="364" t="s">
        <v>1185</v>
      </c>
      <c r="H4462" s="364" t="s">
        <v>1220</v>
      </c>
    </row>
    <row r="4463" ht="15.75" customHeight="1">
      <c r="A4463" s="364" t="s">
        <v>85</v>
      </c>
      <c r="B4463" s="364" t="s">
        <v>22</v>
      </c>
      <c r="C4463" s="365" t="s">
        <v>735</v>
      </c>
      <c r="D4463" s="364" t="s">
        <v>736</v>
      </c>
      <c r="E4463" s="366">
        <v>1.0</v>
      </c>
      <c r="F4463" s="367">
        <v>45764.45833333333</v>
      </c>
      <c r="G4463" s="364" t="s">
        <v>1185</v>
      </c>
      <c r="H4463" s="364" t="s">
        <v>1220</v>
      </c>
    </row>
    <row r="4464" ht="15.75" customHeight="1">
      <c r="A4464" s="364" t="s">
        <v>85</v>
      </c>
      <c r="B4464" s="364" t="s">
        <v>22</v>
      </c>
      <c r="C4464" s="365" t="s">
        <v>735</v>
      </c>
      <c r="D4464" s="364" t="s">
        <v>736</v>
      </c>
      <c r="E4464" s="366">
        <v>2.0</v>
      </c>
      <c r="F4464" s="367">
        <v>45783.58333333333</v>
      </c>
      <c r="G4464" s="364" t="s">
        <v>1185</v>
      </c>
      <c r="H4464" s="364" t="s">
        <v>1220</v>
      </c>
    </row>
    <row r="4465" ht="15.75" customHeight="1">
      <c r="A4465" s="364" t="s">
        <v>85</v>
      </c>
      <c r="B4465" s="364" t="s">
        <v>22</v>
      </c>
      <c r="C4465" s="365" t="s">
        <v>735</v>
      </c>
      <c r="D4465" s="364" t="s">
        <v>736</v>
      </c>
      <c r="E4465" s="366">
        <v>3.0</v>
      </c>
      <c r="F4465" s="367">
        <v>45790.375</v>
      </c>
      <c r="G4465" s="364" t="s">
        <v>1185</v>
      </c>
      <c r="H4465" s="364" t="s">
        <v>1220</v>
      </c>
    </row>
    <row r="4466" ht="15.75" customHeight="1">
      <c r="A4466" s="364" t="s">
        <v>85</v>
      </c>
      <c r="B4466" s="364" t="s">
        <v>22</v>
      </c>
      <c r="C4466" s="365" t="s">
        <v>735</v>
      </c>
      <c r="D4466" s="364" t="s">
        <v>736</v>
      </c>
      <c r="E4466" s="366">
        <v>4.0</v>
      </c>
      <c r="F4466" s="367">
        <v>45804.45833333333</v>
      </c>
      <c r="G4466" s="364" t="s">
        <v>1185</v>
      </c>
      <c r="H4466" s="364" t="s">
        <v>1220</v>
      </c>
    </row>
    <row r="4467" ht="15.75" customHeight="1">
      <c r="A4467" s="364" t="s">
        <v>85</v>
      </c>
      <c r="B4467" s="364" t="s">
        <v>22</v>
      </c>
      <c r="C4467" s="365" t="s">
        <v>735</v>
      </c>
      <c r="D4467" s="364" t="s">
        <v>736</v>
      </c>
      <c r="E4467" s="366">
        <v>5.0</v>
      </c>
      <c r="F4467" s="367">
        <v>45812.54166666667</v>
      </c>
      <c r="G4467" s="364" t="s">
        <v>1185</v>
      </c>
      <c r="H4467" s="364" t="s">
        <v>1220</v>
      </c>
    </row>
    <row r="4468" ht="15.75" customHeight="1">
      <c r="A4468" s="364" t="s">
        <v>85</v>
      </c>
      <c r="B4468" s="364" t="s">
        <v>22</v>
      </c>
      <c r="C4468" s="365" t="s">
        <v>735</v>
      </c>
      <c r="D4468" s="364" t="s">
        <v>736</v>
      </c>
      <c r="E4468" s="366">
        <v>6.0</v>
      </c>
      <c r="F4468" s="367">
        <v>45820.54166666667</v>
      </c>
      <c r="G4468" s="364" t="s">
        <v>1185</v>
      </c>
      <c r="H4468" s="364" t="s">
        <v>1220</v>
      </c>
    </row>
    <row r="4469" ht="15.75" customHeight="1">
      <c r="A4469" s="364" t="s">
        <v>85</v>
      </c>
      <c r="B4469" s="364" t="s">
        <v>22</v>
      </c>
      <c r="C4469" s="365" t="s">
        <v>735</v>
      </c>
      <c r="D4469" s="364" t="s">
        <v>736</v>
      </c>
      <c r="E4469" s="366">
        <v>7.0</v>
      </c>
      <c r="F4469" s="367">
        <v>45826.45833333333</v>
      </c>
      <c r="G4469" s="364" t="s">
        <v>1185</v>
      </c>
      <c r="H4469" s="364" t="s">
        <v>1220</v>
      </c>
    </row>
    <row r="4470" ht="15.75" customHeight="1">
      <c r="A4470" s="364" t="s">
        <v>85</v>
      </c>
      <c r="B4470" s="364" t="s">
        <v>22</v>
      </c>
      <c r="C4470" s="365" t="s">
        <v>735</v>
      </c>
      <c r="D4470" s="364" t="s">
        <v>736</v>
      </c>
      <c r="E4470" s="366">
        <v>8.0</v>
      </c>
      <c r="F4470" s="367">
        <v>45833.58333333333</v>
      </c>
      <c r="G4470" s="364" t="s">
        <v>1185</v>
      </c>
      <c r="H4470" s="364" t="s">
        <v>1220</v>
      </c>
    </row>
    <row r="4471" ht="15.75" customHeight="1">
      <c r="A4471" s="364" t="s">
        <v>85</v>
      </c>
      <c r="B4471" s="364" t="s">
        <v>22</v>
      </c>
      <c r="C4471" s="365" t="s">
        <v>735</v>
      </c>
      <c r="D4471" s="364" t="s">
        <v>736</v>
      </c>
      <c r="E4471" s="366">
        <v>9.0</v>
      </c>
      <c r="F4471" s="367">
        <v>45839.54166666667</v>
      </c>
      <c r="G4471" s="364" t="s">
        <v>1185</v>
      </c>
      <c r="H4471" s="364" t="s">
        <v>1220</v>
      </c>
    </row>
    <row r="4472" ht="15.75" customHeight="1">
      <c r="A4472" s="364" t="s">
        <v>85</v>
      </c>
      <c r="B4472" s="364" t="s">
        <v>22</v>
      </c>
      <c r="C4472" s="365" t="s">
        <v>735</v>
      </c>
      <c r="D4472" s="364" t="s">
        <v>736</v>
      </c>
      <c r="E4472" s="366">
        <v>10.0</v>
      </c>
      <c r="F4472" s="367">
        <v>45868.54166666667</v>
      </c>
      <c r="G4472" s="364" t="s">
        <v>1185</v>
      </c>
      <c r="H4472" s="364" t="s">
        <v>1220</v>
      </c>
    </row>
    <row r="4473" ht="15.75" customHeight="1">
      <c r="A4473" s="364" t="s">
        <v>85</v>
      </c>
      <c r="B4473" s="364" t="s">
        <v>22</v>
      </c>
      <c r="C4473" s="365" t="s">
        <v>737</v>
      </c>
      <c r="D4473" s="364" t="s">
        <v>738</v>
      </c>
      <c r="E4473" s="366">
        <v>1.0</v>
      </c>
      <c r="F4473" s="367">
        <v>45765.41666666667</v>
      </c>
      <c r="G4473" s="364" t="s">
        <v>1185</v>
      </c>
      <c r="H4473" s="364" t="s">
        <v>1220</v>
      </c>
    </row>
    <row r="4474" ht="15.75" customHeight="1">
      <c r="A4474" s="364" t="s">
        <v>85</v>
      </c>
      <c r="B4474" s="364" t="s">
        <v>22</v>
      </c>
      <c r="C4474" s="365" t="s">
        <v>737</v>
      </c>
      <c r="D4474" s="364" t="s">
        <v>738</v>
      </c>
      <c r="E4474" s="366">
        <v>2.0</v>
      </c>
      <c r="F4474" s="367">
        <v>45783.58333333333</v>
      </c>
      <c r="G4474" s="364" t="s">
        <v>1185</v>
      </c>
      <c r="H4474" s="364" t="s">
        <v>1220</v>
      </c>
    </row>
    <row r="4475" ht="15.75" customHeight="1">
      <c r="A4475" s="364" t="s">
        <v>85</v>
      </c>
      <c r="B4475" s="364" t="s">
        <v>22</v>
      </c>
      <c r="C4475" s="365" t="s">
        <v>737</v>
      </c>
      <c r="D4475" s="364" t="s">
        <v>738</v>
      </c>
      <c r="E4475" s="366">
        <v>3.0</v>
      </c>
      <c r="F4475" s="367">
        <v>45790.375</v>
      </c>
      <c r="G4475" s="364" t="s">
        <v>1185</v>
      </c>
      <c r="H4475" s="364" t="s">
        <v>1220</v>
      </c>
    </row>
    <row r="4476" ht="15.75" customHeight="1">
      <c r="A4476" s="364" t="s">
        <v>85</v>
      </c>
      <c r="B4476" s="364" t="s">
        <v>22</v>
      </c>
      <c r="C4476" s="365" t="s">
        <v>737</v>
      </c>
      <c r="D4476" s="364" t="s">
        <v>738</v>
      </c>
      <c r="E4476" s="366">
        <v>4.0</v>
      </c>
      <c r="F4476" s="367">
        <v>45804.45833333333</v>
      </c>
      <c r="G4476" s="364" t="s">
        <v>1185</v>
      </c>
      <c r="H4476" s="364" t="s">
        <v>1220</v>
      </c>
    </row>
    <row r="4477" ht="15.75" customHeight="1">
      <c r="A4477" s="364" t="s">
        <v>85</v>
      </c>
      <c r="B4477" s="364" t="s">
        <v>22</v>
      </c>
      <c r="C4477" s="365" t="s">
        <v>737</v>
      </c>
      <c r="D4477" s="364" t="s">
        <v>738</v>
      </c>
      <c r="E4477" s="366">
        <v>5.0</v>
      </c>
      <c r="F4477" s="367">
        <v>45812.54166666667</v>
      </c>
      <c r="G4477" s="364" t="s">
        <v>1185</v>
      </c>
      <c r="H4477" s="364" t="s">
        <v>1220</v>
      </c>
    </row>
    <row r="4478" ht="15.75" customHeight="1">
      <c r="A4478" s="364" t="s">
        <v>85</v>
      </c>
      <c r="B4478" s="364" t="s">
        <v>22</v>
      </c>
      <c r="C4478" s="365" t="s">
        <v>737</v>
      </c>
      <c r="D4478" s="364" t="s">
        <v>738</v>
      </c>
      <c r="E4478" s="366">
        <v>6.0</v>
      </c>
      <c r="F4478" s="367">
        <v>45820.54166666667</v>
      </c>
      <c r="G4478" s="364" t="s">
        <v>1187</v>
      </c>
      <c r="H4478" s="364" t="s">
        <v>1220</v>
      </c>
    </row>
    <row r="4479" ht="15.75" customHeight="1">
      <c r="A4479" s="364" t="s">
        <v>85</v>
      </c>
      <c r="B4479" s="364" t="s">
        <v>22</v>
      </c>
      <c r="C4479" s="365" t="s">
        <v>737</v>
      </c>
      <c r="D4479" s="364" t="s">
        <v>738</v>
      </c>
      <c r="E4479" s="366">
        <v>7.0</v>
      </c>
      <c r="F4479" s="367">
        <v>45826.45833333333</v>
      </c>
      <c r="G4479" s="364" t="s">
        <v>1185</v>
      </c>
      <c r="H4479" s="364" t="s">
        <v>1220</v>
      </c>
    </row>
    <row r="4480" ht="15.75" customHeight="1">
      <c r="A4480" s="364" t="s">
        <v>85</v>
      </c>
      <c r="B4480" s="364" t="s">
        <v>22</v>
      </c>
      <c r="C4480" s="365" t="s">
        <v>737</v>
      </c>
      <c r="D4480" s="364" t="s">
        <v>738</v>
      </c>
      <c r="E4480" s="366">
        <v>8.0</v>
      </c>
      <c r="F4480" s="367">
        <v>45833.58333333333</v>
      </c>
      <c r="G4480" s="364" t="s">
        <v>1185</v>
      </c>
      <c r="H4480" s="364" t="s">
        <v>1220</v>
      </c>
    </row>
    <row r="4481" ht="15.75" customHeight="1">
      <c r="A4481" s="364" t="s">
        <v>85</v>
      </c>
      <c r="B4481" s="364" t="s">
        <v>22</v>
      </c>
      <c r="C4481" s="365" t="s">
        <v>737</v>
      </c>
      <c r="D4481" s="364" t="s">
        <v>738</v>
      </c>
      <c r="E4481" s="366">
        <v>9.0</v>
      </c>
      <c r="F4481" s="367">
        <v>45839.54166666667</v>
      </c>
      <c r="G4481" s="364" t="s">
        <v>1185</v>
      </c>
      <c r="H4481" s="364" t="s">
        <v>1220</v>
      </c>
    </row>
    <row r="4482" ht="15.75" customHeight="1">
      <c r="A4482" s="364" t="s">
        <v>85</v>
      </c>
      <c r="B4482" s="364" t="s">
        <v>22</v>
      </c>
      <c r="C4482" s="365" t="s">
        <v>737</v>
      </c>
      <c r="D4482" s="364" t="s">
        <v>738</v>
      </c>
      <c r="E4482" s="366">
        <v>10.0</v>
      </c>
      <c r="F4482" s="367">
        <v>45868.54166666667</v>
      </c>
      <c r="G4482" s="364" t="s">
        <v>1185</v>
      </c>
      <c r="H4482" s="364" t="s">
        <v>1220</v>
      </c>
    </row>
    <row r="4483" ht="15.75" customHeight="1">
      <c r="A4483" s="364" t="s">
        <v>85</v>
      </c>
      <c r="B4483" s="364" t="s">
        <v>22</v>
      </c>
      <c r="C4483" s="365" t="s">
        <v>320</v>
      </c>
      <c r="D4483" s="364" t="s">
        <v>321</v>
      </c>
      <c r="E4483" s="366">
        <v>1.0</v>
      </c>
      <c r="F4483" s="367">
        <v>45764.45833333333</v>
      </c>
      <c r="G4483" s="364" t="s">
        <v>1185</v>
      </c>
      <c r="H4483" s="364" t="s">
        <v>1220</v>
      </c>
    </row>
    <row r="4484" ht="15.75" customHeight="1">
      <c r="A4484" s="364" t="s">
        <v>85</v>
      </c>
      <c r="B4484" s="364" t="s">
        <v>22</v>
      </c>
      <c r="C4484" s="365" t="s">
        <v>320</v>
      </c>
      <c r="D4484" s="364" t="s">
        <v>321</v>
      </c>
      <c r="E4484" s="366">
        <v>2.0</v>
      </c>
      <c r="F4484" s="367">
        <v>45783.58333333333</v>
      </c>
      <c r="G4484" s="364" t="s">
        <v>1185</v>
      </c>
      <c r="H4484" s="364" t="s">
        <v>1220</v>
      </c>
    </row>
    <row r="4485" ht="15.75" customHeight="1">
      <c r="A4485" s="364" t="s">
        <v>85</v>
      </c>
      <c r="B4485" s="364" t="s">
        <v>22</v>
      </c>
      <c r="C4485" s="365" t="s">
        <v>320</v>
      </c>
      <c r="D4485" s="364" t="s">
        <v>321</v>
      </c>
      <c r="E4485" s="366">
        <v>3.0</v>
      </c>
      <c r="F4485" s="367">
        <v>45790.375</v>
      </c>
      <c r="G4485" s="364" t="s">
        <v>1185</v>
      </c>
      <c r="H4485" s="364" t="s">
        <v>1220</v>
      </c>
    </row>
    <row r="4486" ht="15.75" customHeight="1">
      <c r="A4486" s="364" t="s">
        <v>85</v>
      </c>
      <c r="B4486" s="364" t="s">
        <v>22</v>
      </c>
      <c r="C4486" s="365" t="s">
        <v>320</v>
      </c>
      <c r="D4486" s="364" t="s">
        <v>321</v>
      </c>
      <c r="E4486" s="366">
        <v>4.0</v>
      </c>
      <c r="F4486" s="367">
        <v>45804.45833333333</v>
      </c>
      <c r="G4486" s="364" t="s">
        <v>1185</v>
      </c>
      <c r="H4486" s="364" t="s">
        <v>1220</v>
      </c>
    </row>
    <row r="4487" ht="15.75" customHeight="1">
      <c r="A4487" s="364" t="s">
        <v>85</v>
      </c>
      <c r="B4487" s="364" t="s">
        <v>22</v>
      </c>
      <c r="C4487" s="365" t="s">
        <v>320</v>
      </c>
      <c r="D4487" s="364" t="s">
        <v>321</v>
      </c>
      <c r="E4487" s="366">
        <v>5.0</v>
      </c>
      <c r="F4487" s="367">
        <v>45812.54166666667</v>
      </c>
      <c r="G4487" s="364" t="s">
        <v>1185</v>
      </c>
      <c r="H4487" s="364" t="s">
        <v>1220</v>
      </c>
    </row>
    <row r="4488" ht="15.75" customHeight="1">
      <c r="A4488" s="364" t="s">
        <v>85</v>
      </c>
      <c r="B4488" s="364" t="s">
        <v>22</v>
      </c>
      <c r="C4488" s="365" t="s">
        <v>320</v>
      </c>
      <c r="D4488" s="364" t="s">
        <v>321</v>
      </c>
      <c r="E4488" s="366">
        <v>6.0</v>
      </c>
      <c r="F4488" s="367">
        <v>45820.54166666667</v>
      </c>
      <c r="G4488" s="364" t="s">
        <v>1185</v>
      </c>
      <c r="H4488" s="364" t="s">
        <v>1220</v>
      </c>
    </row>
    <row r="4489" ht="15.75" customHeight="1">
      <c r="A4489" s="364" t="s">
        <v>85</v>
      </c>
      <c r="B4489" s="364" t="s">
        <v>22</v>
      </c>
      <c r="C4489" s="365" t="s">
        <v>320</v>
      </c>
      <c r="D4489" s="364" t="s">
        <v>321</v>
      </c>
      <c r="E4489" s="366">
        <v>7.0</v>
      </c>
      <c r="F4489" s="367">
        <v>45826.45833333333</v>
      </c>
      <c r="G4489" s="364" t="s">
        <v>1185</v>
      </c>
      <c r="H4489" s="364" t="s">
        <v>1220</v>
      </c>
    </row>
    <row r="4490" ht="15.75" customHeight="1">
      <c r="A4490" s="364" t="s">
        <v>85</v>
      </c>
      <c r="B4490" s="364" t="s">
        <v>22</v>
      </c>
      <c r="C4490" s="365" t="s">
        <v>320</v>
      </c>
      <c r="D4490" s="364" t="s">
        <v>321</v>
      </c>
      <c r="E4490" s="366">
        <v>8.0</v>
      </c>
      <c r="F4490" s="367">
        <v>45833.58333333333</v>
      </c>
      <c r="G4490" s="364" t="s">
        <v>1185</v>
      </c>
      <c r="H4490" s="364" t="s">
        <v>1220</v>
      </c>
    </row>
    <row r="4491" ht="15.75" customHeight="1">
      <c r="A4491" s="364" t="s">
        <v>85</v>
      </c>
      <c r="B4491" s="364" t="s">
        <v>22</v>
      </c>
      <c r="C4491" s="365" t="s">
        <v>320</v>
      </c>
      <c r="D4491" s="364" t="s">
        <v>321</v>
      </c>
      <c r="E4491" s="366">
        <v>9.0</v>
      </c>
      <c r="F4491" s="367">
        <v>45839.54166666667</v>
      </c>
      <c r="G4491" s="364" t="s">
        <v>1185</v>
      </c>
      <c r="H4491" s="364" t="s">
        <v>1220</v>
      </c>
    </row>
    <row r="4492" ht="15.75" customHeight="1">
      <c r="A4492" s="364" t="s">
        <v>85</v>
      </c>
      <c r="B4492" s="364" t="s">
        <v>22</v>
      </c>
      <c r="C4492" s="365" t="s">
        <v>320</v>
      </c>
      <c r="D4492" s="364" t="s">
        <v>321</v>
      </c>
      <c r="E4492" s="366">
        <v>10.0</v>
      </c>
      <c r="F4492" s="367">
        <v>45868.54166666667</v>
      </c>
      <c r="G4492" s="364" t="s">
        <v>1185</v>
      </c>
      <c r="H4492" s="364" t="s">
        <v>1220</v>
      </c>
    </row>
    <row r="4493" ht="15.75" customHeight="1">
      <c r="A4493" s="364" t="s">
        <v>85</v>
      </c>
      <c r="B4493" s="364" t="s">
        <v>22</v>
      </c>
      <c r="C4493" s="365" t="s">
        <v>739</v>
      </c>
      <c r="D4493" s="364" t="s">
        <v>740</v>
      </c>
      <c r="E4493" s="366">
        <v>1.0</v>
      </c>
      <c r="F4493" s="367">
        <v>45772.58333333333</v>
      </c>
      <c r="G4493" s="364" t="s">
        <v>1187</v>
      </c>
      <c r="H4493" s="364" t="s">
        <v>1220</v>
      </c>
    </row>
    <row r="4494" ht="15.75" customHeight="1">
      <c r="A4494" s="364" t="s">
        <v>85</v>
      </c>
      <c r="B4494" s="364" t="s">
        <v>22</v>
      </c>
      <c r="C4494" s="365" t="s">
        <v>739</v>
      </c>
      <c r="D4494" s="364" t="s">
        <v>740</v>
      </c>
      <c r="E4494" s="366">
        <v>2.0</v>
      </c>
      <c r="F4494" s="367">
        <v>45783.58333333333</v>
      </c>
      <c r="G4494" s="364" t="s">
        <v>1185</v>
      </c>
      <c r="H4494" s="364" t="s">
        <v>1220</v>
      </c>
    </row>
    <row r="4495" ht="15.75" customHeight="1">
      <c r="A4495" s="364" t="s">
        <v>85</v>
      </c>
      <c r="B4495" s="364" t="s">
        <v>22</v>
      </c>
      <c r="C4495" s="365" t="s">
        <v>739</v>
      </c>
      <c r="D4495" s="364" t="s">
        <v>740</v>
      </c>
      <c r="E4495" s="366">
        <v>3.0</v>
      </c>
      <c r="F4495" s="367">
        <v>45790.375</v>
      </c>
      <c r="G4495" s="364" t="s">
        <v>1185</v>
      </c>
      <c r="H4495" s="364" t="s">
        <v>1220</v>
      </c>
    </row>
    <row r="4496" ht="15.75" customHeight="1">
      <c r="A4496" s="364" t="s">
        <v>85</v>
      </c>
      <c r="B4496" s="364" t="s">
        <v>22</v>
      </c>
      <c r="C4496" s="365" t="s">
        <v>739</v>
      </c>
      <c r="D4496" s="364" t="s">
        <v>740</v>
      </c>
      <c r="E4496" s="366">
        <v>4.0</v>
      </c>
      <c r="F4496" s="367">
        <v>45804.45833333333</v>
      </c>
      <c r="G4496" s="364" t="s">
        <v>1185</v>
      </c>
      <c r="H4496" s="364" t="s">
        <v>1220</v>
      </c>
    </row>
    <row r="4497" ht="15.75" customHeight="1">
      <c r="A4497" s="364" t="s">
        <v>85</v>
      </c>
      <c r="B4497" s="364" t="s">
        <v>22</v>
      </c>
      <c r="C4497" s="365" t="s">
        <v>739</v>
      </c>
      <c r="D4497" s="364" t="s">
        <v>740</v>
      </c>
      <c r="E4497" s="366">
        <v>5.0</v>
      </c>
      <c r="F4497" s="367">
        <v>45812.54166666667</v>
      </c>
      <c r="G4497" s="364" t="s">
        <v>1185</v>
      </c>
      <c r="H4497" s="364" t="s">
        <v>1220</v>
      </c>
    </row>
    <row r="4498" ht="15.75" customHeight="1">
      <c r="A4498" s="364" t="s">
        <v>85</v>
      </c>
      <c r="B4498" s="364" t="s">
        <v>22</v>
      </c>
      <c r="C4498" s="365" t="s">
        <v>739</v>
      </c>
      <c r="D4498" s="364" t="s">
        <v>740</v>
      </c>
      <c r="E4498" s="366">
        <v>6.0</v>
      </c>
      <c r="F4498" s="367">
        <v>45820.54166666667</v>
      </c>
      <c r="G4498" s="364" t="s">
        <v>1185</v>
      </c>
      <c r="H4498" s="364" t="s">
        <v>1220</v>
      </c>
    </row>
    <row r="4499" ht="15.75" customHeight="1">
      <c r="A4499" s="364" t="s">
        <v>85</v>
      </c>
      <c r="B4499" s="364" t="s">
        <v>22</v>
      </c>
      <c r="C4499" s="365" t="s">
        <v>739</v>
      </c>
      <c r="D4499" s="364" t="s">
        <v>740</v>
      </c>
      <c r="E4499" s="366">
        <v>7.0</v>
      </c>
      <c r="F4499" s="367">
        <v>45826.45833333333</v>
      </c>
      <c r="G4499" s="364" t="s">
        <v>1185</v>
      </c>
      <c r="H4499" s="364" t="s">
        <v>1220</v>
      </c>
    </row>
    <row r="4500" ht="15.75" customHeight="1">
      <c r="A4500" s="364" t="s">
        <v>85</v>
      </c>
      <c r="B4500" s="364" t="s">
        <v>22</v>
      </c>
      <c r="C4500" s="365" t="s">
        <v>739</v>
      </c>
      <c r="D4500" s="364" t="s">
        <v>740</v>
      </c>
      <c r="E4500" s="366">
        <v>8.0</v>
      </c>
      <c r="F4500" s="367">
        <v>45833.58333333333</v>
      </c>
      <c r="G4500" s="364" t="s">
        <v>1185</v>
      </c>
      <c r="H4500" s="364" t="s">
        <v>1220</v>
      </c>
    </row>
    <row r="4501" ht="15.75" customHeight="1">
      <c r="A4501" s="364" t="s">
        <v>85</v>
      </c>
      <c r="B4501" s="364" t="s">
        <v>22</v>
      </c>
      <c r="C4501" s="365" t="s">
        <v>739</v>
      </c>
      <c r="D4501" s="364" t="s">
        <v>740</v>
      </c>
      <c r="E4501" s="366">
        <v>9.0</v>
      </c>
      <c r="F4501" s="367">
        <v>45839.54166666667</v>
      </c>
      <c r="G4501" s="364" t="s">
        <v>1185</v>
      </c>
      <c r="H4501" s="364" t="s">
        <v>1220</v>
      </c>
    </row>
    <row r="4502" ht="15.75" customHeight="1">
      <c r="A4502" s="364" t="s">
        <v>85</v>
      </c>
      <c r="B4502" s="364" t="s">
        <v>22</v>
      </c>
      <c r="C4502" s="365" t="s">
        <v>739</v>
      </c>
      <c r="D4502" s="364" t="s">
        <v>740</v>
      </c>
      <c r="E4502" s="366">
        <v>10.0</v>
      </c>
      <c r="F4502" s="367">
        <v>45868.54166666667</v>
      </c>
      <c r="G4502" s="364" t="s">
        <v>1185</v>
      </c>
      <c r="H4502" s="364" t="s">
        <v>1220</v>
      </c>
    </row>
    <row r="4503" ht="15.75" customHeight="1">
      <c r="A4503" s="364" t="s">
        <v>85</v>
      </c>
      <c r="B4503" s="364" t="s">
        <v>23</v>
      </c>
      <c r="C4503" s="365" t="s">
        <v>727</v>
      </c>
      <c r="D4503" s="364" t="s">
        <v>728</v>
      </c>
      <c r="E4503" s="366">
        <v>1.0</v>
      </c>
      <c r="F4503" s="367">
        <v>45910.54166666667</v>
      </c>
      <c r="G4503" s="364" t="s">
        <v>1185</v>
      </c>
      <c r="H4503" s="364" t="s">
        <v>1220</v>
      </c>
    </row>
    <row r="4504" ht="15.75" customHeight="1">
      <c r="A4504" s="364" t="s">
        <v>85</v>
      </c>
      <c r="B4504" s="364" t="s">
        <v>23</v>
      </c>
      <c r="C4504" s="365" t="s">
        <v>727</v>
      </c>
      <c r="D4504" s="364" t="s">
        <v>728</v>
      </c>
      <c r="E4504" s="366">
        <v>2.0</v>
      </c>
      <c r="F4504" s="367">
        <v>45916.54166666667</v>
      </c>
      <c r="G4504" s="364" t="s">
        <v>1185</v>
      </c>
      <c r="H4504" s="364" t="s">
        <v>1220</v>
      </c>
    </row>
    <row r="4505" ht="15.75" customHeight="1">
      <c r="A4505" s="364" t="s">
        <v>85</v>
      </c>
      <c r="B4505" s="364" t="s">
        <v>23</v>
      </c>
      <c r="C4505" s="365" t="s">
        <v>727</v>
      </c>
      <c r="D4505" s="364" t="s">
        <v>728</v>
      </c>
      <c r="E4505" s="366">
        <v>3.0</v>
      </c>
      <c r="F4505" s="367">
        <v>45924.54166666667</v>
      </c>
      <c r="G4505" s="364" t="s">
        <v>1185</v>
      </c>
      <c r="H4505" s="364" t="s">
        <v>1220</v>
      </c>
    </row>
    <row r="4506" ht="15.75" customHeight="1">
      <c r="A4506" s="364" t="s">
        <v>85</v>
      </c>
      <c r="B4506" s="364" t="s">
        <v>23</v>
      </c>
      <c r="C4506" s="365" t="s">
        <v>727</v>
      </c>
      <c r="D4506" s="364" t="s">
        <v>728</v>
      </c>
      <c r="E4506" s="366">
        <v>4.0</v>
      </c>
      <c r="F4506" s="367">
        <v>45931.54166666667</v>
      </c>
      <c r="G4506" s="364" t="s">
        <v>1185</v>
      </c>
      <c r="H4506" s="364" t="s">
        <v>1220</v>
      </c>
    </row>
    <row r="4507" ht="15.75" customHeight="1">
      <c r="A4507" s="364" t="s">
        <v>85</v>
      </c>
      <c r="B4507" s="364" t="s">
        <v>23</v>
      </c>
      <c r="C4507" s="365" t="s">
        <v>727</v>
      </c>
      <c r="D4507" s="364" t="s">
        <v>728</v>
      </c>
      <c r="E4507" s="366">
        <v>5.0</v>
      </c>
      <c r="F4507" s="367">
        <v>45938.41666666667</v>
      </c>
      <c r="G4507" s="364" t="s">
        <v>1185</v>
      </c>
      <c r="H4507" s="364" t="s">
        <v>1220</v>
      </c>
    </row>
    <row r="4508" ht="15.75" customHeight="1">
      <c r="A4508" s="364" t="s">
        <v>85</v>
      </c>
      <c r="B4508" s="364" t="s">
        <v>23</v>
      </c>
      <c r="C4508" s="365" t="s">
        <v>727</v>
      </c>
      <c r="D4508" s="364" t="s">
        <v>728</v>
      </c>
      <c r="E4508" s="366">
        <v>6.0</v>
      </c>
      <c r="F4508" s="367">
        <v>45951.41666666667</v>
      </c>
      <c r="G4508" s="364" t="s">
        <v>1187</v>
      </c>
      <c r="H4508" s="364" t="s">
        <v>1220</v>
      </c>
    </row>
    <row r="4509" ht="15.75" customHeight="1">
      <c r="A4509" s="364" t="s">
        <v>85</v>
      </c>
      <c r="B4509" s="364" t="s">
        <v>23</v>
      </c>
      <c r="C4509" s="365" t="s">
        <v>727</v>
      </c>
      <c r="D4509" s="364" t="s">
        <v>728</v>
      </c>
      <c r="E4509" s="366">
        <v>7.0</v>
      </c>
      <c r="F4509" s="367">
        <v>45952.41666666667</v>
      </c>
      <c r="G4509" s="364" t="s">
        <v>1185</v>
      </c>
      <c r="H4509" s="364" t="s">
        <v>1220</v>
      </c>
    </row>
    <row r="4510" ht="15.75" customHeight="1">
      <c r="A4510" s="364" t="s">
        <v>85</v>
      </c>
      <c r="B4510" s="364" t="s">
        <v>23</v>
      </c>
      <c r="C4510" s="365" t="s">
        <v>727</v>
      </c>
      <c r="D4510" s="364" t="s">
        <v>728</v>
      </c>
      <c r="E4510" s="366">
        <v>8.0</v>
      </c>
      <c r="F4510" s="367">
        <v>45959.45833333333</v>
      </c>
      <c r="G4510" s="364" t="s">
        <v>1185</v>
      </c>
      <c r="H4510" s="364" t="s">
        <v>1220</v>
      </c>
    </row>
    <row r="4511" ht="15.75" customHeight="1">
      <c r="A4511" s="364" t="s">
        <v>85</v>
      </c>
      <c r="B4511" s="364" t="s">
        <v>23</v>
      </c>
      <c r="C4511" s="365" t="s">
        <v>727</v>
      </c>
      <c r="D4511" s="364" t="s">
        <v>728</v>
      </c>
      <c r="E4511" s="366">
        <v>9.0</v>
      </c>
      <c r="F4511" s="367">
        <v>45967.45833333333</v>
      </c>
      <c r="G4511" s="364" t="s">
        <v>1185</v>
      </c>
      <c r="H4511" s="364" t="s">
        <v>1220</v>
      </c>
    </row>
    <row r="4512" ht="15.75" customHeight="1">
      <c r="A4512" s="364" t="s">
        <v>85</v>
      </c>
      <c r="B4512" s="364" t="s">
        <v>23</v>
      </c>
      <c r="C4512" s="365" t="s">
        <v>727</v>
      </c>
      <c r="D4512" s="364" t="s">
        <v>728</v>
      </c>
      <c r="E4512" s="366">
        <v>10.0</v>
      </c>
      <c r="F4512" s="367">
        <v>45974.45833333333</v>
      </c>
      <c r="G4512" s="364" t="s">
        <v>1187</v>
      </c>
      <c r="H4512" s="364" t="s">
        <v>1220</v>
      </c>
    </row>
    <row r="4513" ht="15.75" customHeight="1">
      <c r="A4513" s="364" t="s">
        <v>85</v>
      </c>
      <c r="B4513" s="364" t="s">
        <v>23</v>
      </c>
      <c r="C4513" s="365" t="s">
        <v>727</v>
      </c>
      <c r="D4513" s="364" t="s">
        <v>728</v>
      </c>
      <c r="E4513" s="366">
        <v>11.0</v>
      </c>
      <c r="F4513" s="367">
        <v>45981.45833333333</v>
      </c>
      <c r="G4513" s="364" t="s">
        <v>1185</v>
      </c>
      <c r="H4513" s="364" t="s">
        <v>1220</v>
      </c>
    </row>
    <row r="4514" ht="15.75" customHeight="1">
      <c r="A4514" s="364" t="s">
        <v>85</v>
      </c>
      <c r="B4514" s="364" t="s">
        <v>23</v>
      </c>
      <c r="C4514" s="365" t="s">
        <v>727</v>
      </c>
      <c r="D4514" s="364" t="s">
        <v>728</v>
      </c>
      <c r="E4514" s="366">
        <v>12.0</v>
      </c>
      <c r="F4514" s="367">
        <v>45988.45833333333</v>
      </c>
      <c r="G4514" s="364" t="s">
        <v>1185</v>
      </c>
      <c r="H4514" s="364" t="s">
        <v>1220</v>
      </c>
    </row>
    <row r="4515" ht="15.75" customHeight="1">
      <c r="A4515" s="364" t="s">
        <v>85</v>
      </c>
      <c r="B4515" s="364" t="s">
        <v>23</v>
      </c>
      <c r="C4515" s="365" t="s">
        <v>727</v>
      </c>
      <c r="D4515" s="364" t="s">
        <v>728</v>
      </c>
      <c r="E4515" s="366">
        <v>13.0</v>
      </c>
      <c r="F4515" s="367">
        <v>45995.45833333333</v>
      </c>
      <c r="G4515" s="364" t="s">
        <v>1185</v>
      </c>
      <c r="H4515" s="364" t="s">
        <v>1220</v>
      </c>
    </row>
    <row r="4516" ht="15.75" customHeight="1">
      <c r="A4516" s="364" t="s">
        <v>85</v>
      </c>
      <c r="B4516" s="364" t="s">
        <v>23</v>
      </c>
      <c r="C4516" s="365" t="s">
        <v>727</v>
      </c>
      <c r="D4516" s="364" t="s">
        <v>728</v>
      </c>
      <c r="E4516" s="366">
        <v>14.0</v>
      </c>
      <c r="F4516" s="367">
        <v>46007.54166666667</v>
      </c>
      <c r="G4516" s="364" t="s">
        <v>1185</v>
      </c>
      <c r="H4516" s="364" t="s">
        <v>1220</v>
      </c>
    </row>
    <row r="4517" ht="15.75" customHeight="1">
      <c r="A4517" s="364" t="s">
        <v>85</v>
      </c>
      <c r="B4517" s="364" t="s">
        <v>23</v>
      </c>
      <c r="C4517" s="365" t="s">
        <v>727</v>
      </c>
      <c r="D4517" s="364" t="s">
        <v>728</v>
      </c>
      <c r="E4517" s="366">
        <v>15.0</v>
      </c>
      <c r="F4517" s="367">
        <v>46021.45833333333</v>
      </c>
      <c r="G4517" s="364" t="s">
        <v>1187</v>
      </c>
      <c r="H4517" s="364" t="s">
        <v>1220</v>
      </c>
    </row>
    <row r="4518" ht="15.75" customHeight="1">
      <c r="A4518" s="364" t="s">
        <v>85</v>
      </c>
      <c r="B4518" s="364" t="s">
        <v>23</v>
      </c>
      <c r="C4518" s="365" t="s">
        <v>727</v>
      </c>
      <c r="D4518" s="364" t="s">
        <v>728</v>
      </c>
      <c r="E4518" s="366">
        <v>16.0</v>
      </c>
      <c r="F4518" s="367">
        <v>46051.41666666667</v>
      </c>
      <c r="G4518" s="364" t="s">
        <v>1185</v>
      </c>
      <c r="H4518" s="364" t="s">
        <v>1220</v>
      </c>
    </row>
    <row r="4519" ht="15.75" customHeight="1">
      <c r="A4519" s="364" t="s">
        <v>85</v>
      </c>
      <c r="B4519" s="364" t="s">
        <v>23</v>
      </c>
      <c r="C4519" s="365" t="s">
        <v>733</v>
      </c>
      <c r="D4519" s="364" t="s">
        <v>734</v>
      </c>
      <c r="E4519" s="366">
        <v>1.0</v>
      </c>
      <c r="F4519" s="367">
        <v>45910.54166666667</v>
      </c>
      <c r="G4519" s="364" t="s">
        <v>1185</v>
      </c>
      <c r="H4519" s="364" t="s">
        <v>1220</v>
      </c>
    </row>
    <row r="4520" ht="15.75" customHeight="1">
      <c r="A4520" s="364" t="s">
        <v>85</v>
      </c>
      <c r="B4520" s="364" t="s">
        <v>23</v>
      </c>
      <c r="C4520" s="365" t="s">
        <v>733</v>
      </c>
      <c r="D4520" s="364" t="s">
        <v>734</v>
      </c>
      <c r="E4520" s="366">
        <v>2.0</v>
      </c>
      <c r="F4520" s="367">
        <v>45916.54166666667</v>
      </c>
      <c r="G4520" s="364" t="s">
        <v>1185</v>
      </c>
      <c r="H4520" s="364" t="s">
        <v>1220</v>
      </c>
    </row>
    <row r="4521" ht="15.75" customHeight="1">
      <c r="A4521" s="364" t="s">
        <v>85</v>
      </c>
      <c r="B4521" s="364" t="s">
        <v>23</v>
      </c>
      <c r="C4521" s="365" t="s">
        <v>733</v>
      </c>
      <c r="D4521" s="364" t="s">
        <v>734</v>
      </c>
      <c r="E4521" s="366">
        <v>3.0</v>
      </c>
      <c r="F4521" s="367">
        <v>45924.54166666667</v>
      </c>
      <c r="G4521" s="364" t="s">
        <v>1185</v>
      </c>
      <c r="H4521" s="364" t="s">
        <v>1220</v>
      </c>
    </row>
    <row r="4522" ht="15.75" customHeight="1">
      <c r="A4522" s="364" t="s">
        <v>85</v>
      </c>
      <c r="B4522" s="364" t="s">
        <v>23</v>
      </c>
      <c r="C4522" s="365" t="s">
        <v>733</v>
      </c>
      <c r="D4522" s="364" t="s">
        <v>734</v>
      </c>
      <c r="E4522" s="366">
        <v>4.0</v>
      </c>
      <c r="F4522" s="367">
        <v>45931.54166666667</v>
      </c>
      <c r="G4522" s="364" t="s">
        <v>1185</v>
      </c>
      <c r="H4522" s="364" t="s">
        <v>1220</v>
      </c>
    </row>
    <row r="4523" ht="15.75" customHeight="1">
      <c r="A4523" s="364" t="s">
        <v>85</v>
      </c>
      <c r="B4523" s="364" t="s">
        <v>23</v>
      </c>
      <c r="C4523" s="365" t="s">
        <v>733</v>
      </c>
      <c r="D4523" s="364" t="s">
        <v>734</v>
      </c>
      <c r="E4523" s="366">
        <v>5.0</v>
      </c>
      <c r="F4523" s="367">
        <v>45938.41666666667</v>
      </c>
      <c r="G4523" s="364" t="s">
        <v>1185</v>
      </c>
      <c r="H4523" s="364" t="s">
        <v>1220</v>
      </c>
    </row>
    <row r="4524" ht="15.75" customHeight="1">
      <c r="A4524" s="364" t="s">
        <v>85</v>
      </c>
      <c r="B4524" s="364" t="s">
        <v>23</v>
      </c>
      <c r="C4524" s="365" t="s">
        <v>733</v>
      </c>
      <c r="D4524" s="364" t="s">
        <v>734</v>
      </c>
      <c r="E4524" s="366">
        <v>6.0</v>
      </c>
      <c r="F4524" s="367">
        <v>45951.41666666667</v>
      </c>
      <c r="G4524" s="364" t="s">
        <v>1185</v>
      </c>
      <c r="H4524" s="364" t="s">
        <v>1220</v>
      </c>
    </row>
    <row r="4525" ht="15.75" customHeight="1">
      <c r="A4525" s="364" t="s">
        <v>85</v>
      </c>
      <c r="B4525" s="364" t="s">
        <v>23</v>
      </c>
      <c r="C4525" s="365" t="s">
        <v>733</v>
      </c>
      <c r="D4525" s="364" t="s">
        <v>734</v>
      </c>
      <c r="E4525" s="366">
        <v>7.0</v>
      </c>
      <c r="F4525" s="367">
        <v>45952.41666666667</v>
      </c>
      <c r="G4525" s="364" t="s">
        <v>1185</v>
      </c>
      <c r="H4525" s="364" t="s">
        <v>1220</v>
      </c>
    </row>
    <row r="4526" ht="15.75" customHeight="1">
      <c r="A4526" s="364" t="s">
        <v>85</v>
      </c>
      <c r="B4526" s="364" t="s">
        <v>23</v>
      </c>
      <c r="C4526" s="365" t="s">
        <v>733</v>
      </c>
      <c r="D4526" s="364" t="s">
        <v>734</v>
      </c>
      <c r="E4526" s="366">
        <v>8.0</v>
      </c>
      <c r="F4526" s="367">
        <v>45959.45833333333</v>
      </c>
      <c r="G4526" s="364" t="s">
        <v>1185</v>
      </c>
      <c r="H4526" s="364" t="s">
        <v>1220</v>
      </c>
    </row>
    <row r="4527" ht="15.75" customHeight="1">
      <c r="A4527" s="364" t="s">
        <v>85</v>
      </c>
      <c r="B4527" s="364" t="s">
        <v>23</v>
      </c>
      <c r="C4527" s="365" t="s">
        <v>733</v>
      </c>
      <c r="D4527" s="364" t="s">
        <v>734</v>
      </c>
      <c r="E4527" s="366">
        <v>9.0</v>
      </c>
      <c r="F4527" s="367">
        <v>45967.45833333333</v>
      </c>
      <c r="G4527" s="364" t="s">
        <v>1185</v>
      </c>
      <c r="H4527" s="364" t="s">
        <v>1220</v>
      </c>
    </row>
    <row r="4528" ht="15.75" customHeight="1">
      <c r="A4528" s="364" t="s">
        <v>85</v>
      </c>
      <c r="B4528" s="364" t="s">
        <v>23</v>
      </c>
      <c r="C4528" s="365" t="s">
        <v>733</v>
      </c>
      <c r="D4528" s="364" t="s">
        <v>734</v>
      </c>
      <c r="E4528" s="366">
        <v>10.0</v>
      </c>
      <c r="F4528" s="367">
        <v>45974.45833333333</v>
      </c>
      <c r="G4528" s="364" t="s">
        <v>1187</v>
      </c>
      <c r="H4528" s="364" t="s">
        <v>1220</v>
      </c>
    </row>
    <row r="4529" ht="15.75" customHeight="1">
      <c r="A4529" s="364" t="s">
        <v>85</v>
      </c>
      <c r="B4529" s="364" t="s">
        <v>23</v>
      </c>
      <c r="C4529" s="365" t="s">
        <v>733</v>
      </c>
      <c r="D4529" s="364" t="s">
        <v>734</v>
      </c>
      <c r="E4529" s="366">
        <v>13.0</v>
      </c>
      <c r="F4529" s="367">
        <v>45995.45833333333</v>
      </c>
      <c r="G4529" s="364" t="s">
        <v>1187</v>
      </c>
      <c r="H4529" s="364" t="s">
        <v>1220</v>
      </c>
    </row>
    <row r="4530" ht="15.75" customHeight="1">
      <c r="A4530" s="364" t="s">
        <v>85</v>
      </c>
      <c r="B4530" s="364" t="s">
        <v>23</v>
      </c>
      <c r="C4530" s="365" t="s">
        <v>733</v>
      </c>
      <c r="D4530" s="364" t="s">
        <v>734</v>
      </c>
      <c r="E4530" s="366">
        <v>14.0</v>
      </c>
      <c r="F4530" s="367">
        <v>46007.54166666667</v>
      </c>
      <c r="G4530" s="364" t="s">
        <v>1187</v>
      </c>
      <c r="H4530" s="364" t="s">
        <v>1220</v>
      </c>
    </row>
    <row r="4531" ht="15.75" customHeight="1">
      <c r="A4531" s="364" t="s">
        <v>85</v>
      </c>
      <c r="B4531" s="364" t="s">
        <v>23</v>
      </c>
      <c r="C4531" s="365" t="s">
        <v>733</v>
      </c>
      <c r="D4531" s="364" t="s">
        <v>734</v>
      </c>
      <c r="E4531" s="366">
        <v>15.0</v>
      </c>
      <c r="F4531" s="367">
        <v>46021.45833333333</v>
      </c>
      <c r="G4531" s="364" t="s">
        <v>1187</v>
      </c>
      <c r="H4531" s="364" t="s">
        <v>1220</v>
      </c>
    </row>
    <row r="4532" ht="15.75" customHeight="1">
      <c r="A4532" s="364" t="s">
        <v>85</v>
      </c>
      <c r="B4532" s="364" t="s">
        <v>23</v>
      </c>
      <c r="C4532" s="365" t="s">
        <v>733</v>
      </c>
      <c r="D4532" s="364" t="s">
        <v>734</v>
      </c>
      <c r="E4532" s="366">
        <v>16.0</v>
      </c>
      <c r="F4532" s="367">
        <v>46051.41666666667</v>
      </c>
      <c r="G4532" s="364" t="s">
        <v>1187</v>
      </c>
      <c r="H4532" s="364" t="s">
        <v>1220</v>
      </c>
    </row>
    <row r="4533" ht="15.75" customHeight="1">
      <c r="A4533" s="364" t="s">
        <v>85</v>
      </c>
      <c r="B4533" s="364" t="s">
        <v>23</v>
      </c>
      <c r="C4533" s="365" t="s">
        <v>735</v>
      </c>
      <c r="D4533" s="364" t="s">
        <v>736</v>
      </c>
      <c r="E4533" s="366">
        <v>1.0</v>
      </c>
      <c r="F4533" s="367">
        <v>45910.54166666667</v>
      </c>
      <c r="G4533" s="364" t="s">
        <v>1187</v>
      </c>
      <c r="H4533" s="364" t="s">
        <v>1220</v>
      </c>
    </row>
    <row r="4534" ht="15.75" customHeight="1">
      <c r="A4534" s="364" t="s">
        <v>85</v>
      </c>
      <c r="B4534" s="364" t="s">
        <v>23</v>
      </c>
      <c r="C4534" s="365" t="s">
        <v>735</v>
      </c>
      <c r="D4534" s="364" t="s">
        <v>736</v>
      </c>
      <c r="E4534" s="366">
        <v>2.0</v>
      </c>
      <c r="F4534" s="367">
        <v>45916.54166666667</v>
      </c>
      <c r="G4534" s="364" t="s">
        <v>1187</v>
      </c>
      <c r="H4534" s="364" t="s">
        <v>1220</v>
      </c>
    </row>
    <row r="4535" ht="15.75" customHeight="1">
      <c r="A4535" s="364" t="s">
        <v>85</v>
      </c>
      <c r="B4535" s="364" t="s">
        <v>23</v>
      </c>
      <c r="C4535" s="365" t="s">
        <v>735</v>
      </c>
      <c r="D4535" s="364" t="s">
        <v>736</v>
      </c>
      <c r="E4535" s="366">
        <v>3.0</v>
      </c>
      <c r="F4535" s="367">
        <v>45924.54166666667</v>
      </c>
      <c r="G4535" s="364" t="s">
        <v>1187</v>
      </c>
      <c r="H4535" s="364" t="s">
        <v>1220</v>
      </c>
    </row>
    <row r="4536" ht="15.75" customHeight="1">
      <c r="A4536" s="364" t="s">
        <v>85</v>
      </c>
      <c r="B4536" s="364" t="s">
        <v>23</v>
      </c>
      <c r="C4536" s="365" t="s">
        <v>735</v>
      </c>
      <c r="D4536" s="364" t="s">
        <v>736</v>
      </c>
      <c r="E4536" s="366">
        <v>4.0</v>
      </c>
      <c r="F4536" s="367">
        <v>45931.54166666667</v>
      </c>
      <c r="G4536" s="364" t="s">
        <v>1187</v>
      </c>
      <c r="H4536" s="364" t="s">
        <v>1220</v>
      </c>
    </row>
    <row r="4537" ht="15.75" customHeight="1">
      <c r="A4537" s="364" t="s">
        <v>85</v>
      </c>
      <c r="B4537" s="364" t="s">
        <v>23</v>
      </c>
      <c r="C4537" s="365" t="s">
        <v>735</v>
      </c>
      <c r="D4537" s="364" t="s">
        <v>736</v>
      </c>
      <c r="E4537" s="366">
        <v>5.0</v>
      </c>
      <c r="F4537" s="367">
        <v>45938.41666666667</v>
      </c>
      <c r="G4537" s="364" t="s">
        <v>1187</v>
      </c>
      <c r="H4537" s="364" t="s">
        <v>1220</v>
      </c>
    </row>
    <row r="4538" ht="15.75" customHeight="1">
      <c r="A4538" s="364" t="s">
        <v>85</v>
      </c>
      <c r="B4538" s="364" t="s">
        <v>23</v>
      </c>
      <c r="C4538" s="365" t="s">
        <v>735</v>
      </c>
      <c r="D4538" s="364" t="s">
        <v>736</v>
      </c>
      <c r="E4538" s="366">
        <v>6.0</v>
      </c>
      <c r="F4538" s="367">
        <v>45951.41666666667</v>
      </c>
      <c r="G4538" s="364" t="s">
        <v>1187</v>
      </c>
      <c r="H4538" s="364" t="s">
        <v>1220</v>
      </c>
    </row>
    <row r="4539" ht="15.75" customHeight="1">
      <c r="A4539" s="364" t="s">
        <v>85</v>
      </c>
      <c r="B4539" s="364" t="s">
        <v>23</v>
      </c>
      <c r="C4539" s="365" t="s">
        <v>735</v>
      </c>
      <c r="D4539" s="364" t="s">
        <v>736</v>
      </c>
      <c r="E4539" s="366">
        <v>7.0</v>
      </c>
      <c r="F4539" s="367">
        <v>45952.41666666667</v>
      </c>
      <c r="G4539" s="364" t="s">
        <v>1187</v>
      </c>
      <c r="H4539" s="364" t="s">
        <v>1220</v>
      </c>
    </row>
    <row r="4540" ht="15.75" customHeight="1">
      <c r="A4540" s="364" t="s">
        <v>85</v>
      </c>
      <c r="B4540" s="364" t="s">
        <v>23</v>
      </c>
      <c r="C4540" s="365" t="s">
        <v>735</v>
      </c>
      <c r="D4540" s="364" t="s">
        <v>736</v>
      </c>
      <c r="E4540" s="366">
        <v>8.0</v>
      </c>
      <c r="F4540" s="367">
        <v>45959.45833333333</v>
      </c>
      <c r="G4540" s="364" t="s">
        <v>1187</v>
      </c>
      <c r="H4540" s="364" t="s">
        <v>1220</v>
      </c>
    </row>
    <row r="4541" ht="15.75" customHeight="1">
      <c r="A4541" s="364" t="s">
        <v>85</v>
      </c>
      <c r="B4541" s="364" t="s">
        <v>23</v>
      </c>
      <c r="C4541" s="365" t="s">
        <v>735</v>
      </c>
      <c r="D4541" s="364" t="s">
        <v>736</v>
      </c>
      <c r="E4541" s="366">
        <v>9.0</v>
      </c>
      <c r="F4541" s="367">
        <v>45967.45833333333</v>
      </c>
      <c r="G4541" s="364" t="s">
        <v>1187</v>
      </c>
      <c r="H4541" s="364" t="s">
        <v>1220</v>
      </c>
    </row>
    <row r="4542" ht="15.75" customHeight="1">
      <c r="A4542" s="364" t="s">
        <v>85</v>
      </c>
      <c r="B4542" s="364" t="s">
        <v>23</v>
      </c>
      <c r="C4542" s="365" t="s">
        <v>735</v>
      </c>
      <c r="D4542" s="364" t="s">
        <v>736</v>
      </c>
      <c r="E4542" s="366">
        <v>10.0</v>
      </c>
      <c r="F4542" s="367">
        <v>45974.45833333333</v>
      </c>
      <c r="G4542" s="364" t="s">
        <v>1187</v>
      </c>
      <c r="H4542" s="364" t="s">
        <v>1220</v>
      </c>
    </row>
    <row r="4543" ht="15.75" customHeight="1">
      <c r="A4543" s="364" t="s">
        <v>85</v>
      </c>
      <c r="B4543" s="364" t="s">
        <v>23</v>
      </c>
      <c r="C4543" s="365" t="s">
        <v>735</v>
      </c>
      <c r="D4543" s="364" t="s">
        <v>736</v>
      </c>
      <c r="E4543" s="366">
        <v>11.0</v>
      </c>
      <c r="F4543" s="367">
        <v>45981.45833333333</v>
      </c>
      <c r="G4543" s="364" t="s">
        <v>1187</v>
      </c>
      <c r="H4543" s="364" t="s">
        <v>1220</v>
      </c>
    </row>
    <row r="4544" ht="15.75" customHeight="1">
      <c r="A4544" s="364" t="s">
        <v>85</v>
      </c>
      <c r="B4544" s="364" t="s">
        <v>23</v>
      </c>
      <c r="C4544" s="365" t="s">
        <v>735</v>
      </c>
      <c r="D4544" s="364" t="s">
        <v>736</v>
      </c>
      <c r="E4544" s="366">
        <v>12.0</v>
      </c>
      <c r="F4544" s="367">
        <v>45988.45833333333</v>
      </c>
      <c r="G4544" s="364" t="s">
        <v>1187</v>
      </c>
      <c r="H4544" s="364" t="s">
        <v>1220</v>
      </c>
    </row>
    <row r="4545" ht="15.75" customHeight="1">
      <c r="A4545" s="364" t="s">
        <v>85</v>
      </c>
      <c r="B4545" s="364" t="s">
        <v>23</v>
      </c>
      <c r="C4545" s="365" t="s">
        <v>735</v>
      </c>
      <c r="D4545" s="364" t="s">
        <v>736</v>
      </c>
      <c r="E4545" s="366">
        <v>13.0</v>
      </c>
      <c r="F4545" s="367">
        <v>45995.45833333333</v>
      </c>
      <c r="G4545" s="364" t="s">
        <v>1187</v>
      </c>
      <c r="H4545" s="364" t="s">
        <v>1220</v>
      </c>
    </row>
    <row r="4546" ht="15.75" customHeight="1">
      <c r="A4546" s="364" t="s">
        <v>85</v>
      </c>
      <c r="B4546" s="364" t="s">
        <v>23</v>
      </c>
      <c r="C4546" s="365" t="s">
        <v>735</v>
      </c>
      <c r="D4546" s="364" t="s">
        <v>736</v>
      </c>
      <c r="E4546" s="366">
        <v>14.0</v>
      </c>
      <c r="F4546" s="367">
        <v>46007.54166666667</v>
      </c>
      <c r="G4546" s="364" t="s">
        <v>1187</v>
      </c>
      <c r="H4546" s="364" t="s">
        <v>1220</v>
      </c>
    </row>
    <row r="4547" ht="15.75" customHeight="1">
      <c r="A4547" s="364" t="s">
        <v>85</v>
      </c>
      <c r="B4547" s="364" t="s">
        <v>23</v>
      </c>
      <c r="C4547" s="365" t="s">
        <v>735</v>
      </c>
      <c r="D4547" s="364" t="s">
        <v>736</v>
      </c>
      <c r="E4547" s="366">
        <v>15.0</v>
      </c>
      <c r="F4547" s="367">
        <v>46021.45833333333</v>
      </c>
      <c r="G4547" s="364" t="s">
        <v>1187</v>
      </c>
      <c r="H4547" s="364" t="s">
        <v>1220</v>
      </c>
    </row>
    <row r="4548" ht="15.75" customHeight="1">
      <c r="A4548" s="364" t="s">
        <v>85</v>
      </c>
      <c r="B4548" s="364" t="s">
        <v>23</v>
      </c>
      <c r="C4548" s="365" t="s">
        <v>735</v>
      </c>
      <c r="D4548" s="364" t="s">
        <v>736</v>
      </c>
      <c r="E4548" s="366">
        <v>16.0</v>
      </c>
      <c r="F4548" s="367">
        <v>46051.41666666667</v>
      </c>
      <c r="G4548" s="364" t="s">
        <v>1187</v>
      </c>
      <c r="H4548" s="364" t="s">
        <v>1220</v>
      </c>
    </row>
    <row r="4549" ht="15.75" customHeight="1">
      <c r="A4549" s="364" t="s">
        <v>85</v>
      </c>
      <c r="B4549" s="364" t="s">
        <v>23</v>
      </c>
      <c r="C4549" s="365" t="s">
        <v>737</v>
      </c>
      <c r="D4549" s="364" t="s">
        <v>738</v>
      </c>
      <c r="E4549" s="366">
        <v>1.0</v>
      </c>
      <c r="F4549" s="367">
        <v>45910.54166666667</v>
      </c>
      <c r="G4549" s="364" t="s">
        <v>1185</v>
      </c>
      <c r="H4549" s="364" t="s">
        <v>1220</v>
      </c>
    </row>
    <row r="4550" ht="15.75" customHeight="1">
      <c r="A4550" s="364" t="s">
        <v>85</v>
      </c>
      <c r="B4550" s="364" t="s">
        <v>23</v>
      </c>
      <c r="C4550" s="365" t="s">
        <v>737</v>
      </c>
      <c r="D4550" s="364" t="s">
        <v>738</v>
      </c>
      <c r="E4550" s="366">
        <v>2.0</v>
      </c>
      <c r="F4550" s="367">
        <v>45916.54166666667</v>
      </c>
      <c r="G4550" s="364" t="s">
        <v>1185</v>
      </c>
      <c r="H4550" s="364" t="s">
        <v>1220</v>
      </c>
    </row>
    <row r="4551" ht="15.75" customHeight="1">
      <c r="A4551" s="364" t="s">
        <v>85</v>
      </c>
      <c r="B4551" s="364" t="s">
        <v>23</v>
      </c>
      <c r="C4551" s="365" t="s">
        <v>737</v>
      </c>
      <c r="D4551" s="364" t="s">
        <v>738</v>
      </c>
      <c r="E4551" s="366">
        <v>3.0</v>
      </c>
      <c r="F4551" s="367">
        <v>45924.54166666667</v>
      </c>
      <c r="G4551" s="364" t="s">
        <v>1185</v>
      </c>
      <c r="H4551" s="364" t="s">
        <v>1220</v>
      </c>
    </row>
    <row r="4552" ht="15.75" customHeight="1">
      <c r="A4552" s="364" t="s">
        <v>85</v>
      </c>
      <c r="B4552" s="364" t="s">
        <v>23</v>
      </c>
      <c r="C4552" s="365" t="s">
        <v>737</v>
      </c>
      <c r="D4552" s="364" t="s">
        <v>738</v>
      </c>
      <c r="E4552" s="366">
        <v>4.0</v>
      </c>
      <c r="F4552" s="367">
        <v>45931.54166666667</v>
      </c>
      <c r="G4552" s="364" t="s">
        <v>1185</v>
      </c>
      <c r="H4552" s="364" t="s">
        <v>1220</v>
      </c>
    </row>
    <row r="4553" ht="15.75" customHeight="1">
      <c r="A4553" s="364" t="s">
        <v>85</v>
      </c>
      <c r="B4553" s="364" t="s">
        <v>23</v>
      </c>
      <c r="C4553" s="365" t="s">
        <v>737</v>
      </c>
      <c r="D4553" s="364" t="s">
        <v>738</v>
      </c>
      <c r="E4553" s="366">
        <v>5.0</v>
      </c>
      <c r="F4553" s="367">
        <v>45938.41666666667</v>
      </c>
      <c r="G4553" s="364" t="s">
        <v>1185</v>
      </c>
      <c r="H4553" s="364" t="s">
        <v>1220</v>
      </c>
    </row>
    <row r="4554" ht="15.75" customHeight="1">
      <c r="A4554" s="364" t="s">
        <v>85</v>
      </c>
      <c r="B4554" s="364" t="s">
        <v>23</v>
      </c>
      <c r="C4554" s="365" t="s">
        <v>737</v>
      </c>
      <c r="D4554" s="364" t="s">
        <v>738</v>
      </c>
      <c r="E4554" s="366">
        <v>6.0</v>
      </c>
      <c r="F4554" s="367">
        <v>45951.41666666667</v>
      </c>
      <c r="G4554" s="364" t="s">
        <v>1185</v>
      </c>
      <c r="H4554" s="364" t="s">
        <v>1220</v>
      </c>
    </row>
    <row r="4555" ht="15.75" customHeight="1">
      <c r="A4555" s="364" t="s">
        <v>85</v>
      </c>
      <c r="B4555" s="364" t="s">
        <v>23</v>
      </c>
      <c r="C4555" s="365" t="s">
        <v>737</v>
      </c>
      <c r="D4555" s="364" t="s">
        <v>738</v>
      </c>
      <c r="E4555" s="366">
        <v>7.0</v>
      </c>
      <c r="F4555" s="367">
        <v>45952.41666666667</v>
      </c>
      <c r="G4555" s="364" t="s">
        <v>1185</v>
      </c>
      <c r="H4555" s="364" t="s">
        <v>1220</v>
      </c>
    </row>
    <row r="4556" ht="15.75" customHeight="1">
      <c r="A4556" s="364" t="s">
        <v>85</v>
      </c>
      <c r="B4556" s="364" t="s">
        <v>23</v>
      </c>
      <c r="C4556" s="365" t="s">
        <v>737</v>
      </c>
      <c r="D4556" s="364" t="s">
        <v>738</v>
      </c>
      <c r="E4556" s="366">
        <v>8.0</v>
      </c>
      <c r="F4556" s="367">
        <v>45959.45833333333</v>
      </c>
      <c r="G4556" s="364" t="s">
        <v>1185</v>
      </c>
      <c r="H4556" s="364" t="s">
        <v>1220</v>
      </c>
    </row>
    <row r="4557" ht="15.75" customHeight="1">
      <c r="A4557" s="364" t="s">
        <v>85</v>
      </c>
      <c r="B4557" s="364" t="s">
        <v>23</v>
      </c>
      <c r="C4557" s="365" t="s">
        <v>737</v>
      </c>
      <c r="D4557" s="364" t="s">
        <v>738</v>
      </c>
      <c r="E4557" s="366">
        <v>9.0</v>
      </c>
      <c r="F4557" s="367">
        <v>45967.45833333333</v>
      </c>
      <c r="G4557" s="364" t="s">
        <v>1185</v>
      </c>
      <c r="H4557" s="364" t="s">
        <v>1220</v>
      </c>
    </row>
    <row r="4558" ht="15.75" customHeight="1">
      <c r="A4558" s="364" t="s">
        <v>85</v>
      </c>
      <c r="B4558" s="364" t="s">
        <v>23</v>
      </c>
      <c r="C4558" s="365" t="s">
        <v>737</v>
      </c>
      <c r="D4558" s="364" t="s">
        <v>738</v>
      </c>
      <c r="E4558" s="366">
        <v>10.0</v>
      </c>
      <c r="F4558" s="367">
        <v>45974.45833333333</v>
      </c>
      <c r="G4558" s="364" t="s">
        <v>1185</v>
      </c>
      <c r="H4558" s="364" t="s">
        <v>1220</v>
      </c>
    </row>
    <row r="4559" ht="15.75" customHeight="1">
      <c r="A4559" s="364" t="s">
        <v>85</v>
      </c>
      <c r="B4559" s="364" t="s">
        <v>23</v>
      </c>
      <c r="C4559" s="365" t="s">
        <v>737</v>
      </c>
      <c r="D4559" s="364" t="s">
        <v>738</v>
      </c>
      <c r="E4559" s="366">
        <v>11.0</v>
      </c>
      <c r="F4559" s="367">
        <v>45981.45833333333</v>
      </c>
      <c r="G4559" s="364" t="s">
        <v>1185</v>
      </c>
      <c r="H4559" s="364" t="s">
        <v>1220</v>
      </c>
    </row>
    <row r="4560" ht="15.75" customHeight="1">
      <c r="A4560" s="364" t="s">
        <v>85</v>
      </c>
      <c r="B4560" s="364" t="s">
        <v>23</v>
      </c>
      <c r="C4560" s="365" t="s">
        <v>737</v>
      </c>
      <c r="D4560" s="364" t="s">
        <v>738</v>
      </c>
      <c r="E4560" s="366">
        <v>12.0</v>
      </c>
      <c r="F4560" s="367">
        <v>45988.45833333333</v>
      </c>
      <c r="G4560" s="364" t="s">
        <v>1185</v>
      </c>
      <c r="H4560" s="364" t="s">
        <v>1220</v>
      </c>
    </row>
    <row r="4561" ht="15.75" customHeight="1">
      <c r="A4561" s="364" t="s">
        <v>85</v>
      </c>
      <c r="B4561" s="364" t="s">
        <v>23</v>
      </c>
      <c r="C4561" s="365" t="s">
        <v>737</v>
      </c>
      <c r="D4561" s="364" t="s">
        <v>738</v>
      </c>
      <c r="E4561" s="366">
        <v>13.0</v>
      </c>
      <c r="F4561" s="367">
        <v>45995.45833333333</v>
      </c>
      <c r="G4561" s="364" t="s">
        <v>1185</v>
      </c>
      <c r="H4561" s="364" t="s">
        <v>1220</v>
      </c>
    </row>
    <row r="4562" ht="15.75" customHeight="1">
      <c r="A4562" s="364" t="s">
        <v>85</v>
      </c>
      <c r="B4562" s="364" t="s">
        <v>23</v>
      </c>
      <c r="C4562" s="365" t="s">
        <v>737</v>
      </c>
      <c r="D4562" s="364" t="s">
        <v>738</v>
      </c>
      <c r="E4562" s="366">
        <v>14.0</v>
      </c>
      <c r="F4562" s="367">
        <v>46007.54166666667</v>
      </c>
      <c r="G4562" s="364" t="s">
        <v>1185</v>
      </c>
      <c r="H4562" s="364" t="s">
        <v>1220</v>
      </c>
    </row>
    <row r="4563" ht="15.75" customHeight="1">
      <c r="A4563" s="364" t="s">
        <v>85</v>
      </c>
      <c r="B4563" s="364" t="s">
        <v>23</v>
      </c>
      <c r="C4563" s="365" t="s">
        <v>737</v>
      </c>
      <c r="D4563" s="364" t="s">
        <v>738</v>
      </c>
      <c r="E4563" s="366">
        <v>15.0</v>
      </c>
      <c r="F4563" s="367">
        <v>46021.45833333333</v>
      </c>
      <c r="G4563" s="364" t="s">
        <v>1185</v>
      </c>
      <c r="H4563" s="364" t="s">
        <v>1220</v>
      </c>
    </row>
    <row r="4564" ht="15.75" customHeight="1">
      <c r="A4564" s="364" t="s">
        <v>85</v>
      </c>
      <c r="B4564" s="364" t="s">
        <v>23</v>
      </c>
      <c r="C4564" s="365" t="s">
        <v>737</v>
      </c>
      <c r="D4564" s="364" t="s">
        <v>738</v>
      </c>
      <c r="E4564" s="366">
        <v>16.0</v>
      </c>
      <c r="F4564" s="367">
        <v>46051.41666666667</v>
      </c>
      <c r="G4564" s="364" t="s">
        <v>1185</v>
      </c>
      <c r="H4564" s="364" t="s">
        <v>1220</v>
      </c>
    </row>
    <row r="4565" ht="15.75" customHeight="1">
      <c r="A4565" s="364" t="s">
        <v>85</v>
      </c>
      <c r="B4565" s="364" t="s">
        <v>23</v>
      </c>
      <c r="C4565" s="365" t="s">
        <v>729</v>
      </c>
      <c r="D4565" s="364" t="s">
        <v>730</v>
      </c>
      <c r="E4565" s="366">
        <v>1.0</v>
      </c>
      <c r="F4565" s="367">
        <v>45910.54166666667</v>
      </c>
      <c r="G4565" s="364" t="s">
        <v>1185</v>
      </c>
      <c r="H4565" s="364" t="s">
        <v>1220</v>
      </c>
    </row>
    <row r="4566" ht="15.75" customHeight="1">
      <c r="A4566" s="364" t="s">
        <v>85</v>
      </c>
      <c r="B4566" s="364" t="s">
        <v>23</v>
      </c>
      <c r="C4566" s="365" t="s">
        <v>729</v>
      </c>
      <c r="D4566" s="364" t="s">
        <v>730</v>
      </c>
      <c r="E4566" s="366">
        <v>2.0</v>
      </c>
      <c r="F4566" s="367">
        <v>45916.54166666667</v>
      </c>
      <c r="G4566" s="364" t="s">
        <v>1185</v>
      </c>
      <c r="H4566" s="364" t="s">
        <v>1220</v>
      </c>
    </row>
    <row r="4567" ht="15.75" customHeight="1">
      <c r="A4567" s="364" t="s">
        <v>85</v>
      </c>
      <c r="B4567" s="364" t="s">
        <v>23</v>
      </c>
      <c r="C4567" s="365" t="s">
        <v>729</v>
      </c>
      <c r="D4567" s="364" t="s">
        <v>730</v>
      </c>
      <c r="E4567" s="366">
        <v>3.0</v>
      </c>
      <c r="F4567" s="367">
        <v>45924.54166666667</v>
      </c>
      <c r="G4567" s="364" t="s">
        <v>1185</v>
      </c>
      <c r="H4567" s="364" t="s">
        <v>1220</v>
      </c>
    </row>
    <row r="4568" ht="15.75" customHeight="1">
      <c r="A4568" s="364" t="s">
        <v>85</v>
      </c>
      <c r="B4568" s="364" t="s">
        <v>23</v>
      </c>
      <c r="C4568" s="365" t="s">
        <v>729</v>
      </c>
      <c r="D4568" s="364" t="s">
        <v>730</v>
      </c>
      <c r="E4568" s="366">
        <v>4.0</v>
      </c>
      <c r="F4568" s="367">
        <v>45931.54166666667</v>
      </c>
      <c r="G4568" s="364" t="s">
        <v>1185</v>
      </c>
      <c r="H4568" s="364" t="s">
        <v>1220</v>
      </c>
    </row>
    <row r="4569" ht="15.75" customHeight="1">
      <c r="A4569" s="364" t="s">
        <v>85</v>
      </c>
      <c r="B4569" s="364" t="s">
        <v>23</v>
      </c>
      <c r="C4569" s="365" t="s">
        <v>729</v>
      </c>
      <c r="D4569" s="364" t="s">
        <v>730</v>
      </c>
      <c r="E4569" s="366">
        <v>5.0</v>
      </c>
      <c r="F4569" s="367">
        <v>45938.41666666667</v>
      </c>
      <c r="G4569" s="364" t="s">
        <v>1185</v>
      </c>
      <c r="H4569" s="364" t="s">
        <v>1220</v>
      </c>
    </row>
    <row r="4570" ht="15.75" customHeight="1">
      <c r="A4570" s="364" t="s">
        <v>85</v>
      </c>
      <c r="B4570" s="364" t="s">
        <v>23</v>
      </c>
      <c r="C4570" s="365" t="s">
        <v>729</v>
      </c>
      <c r="D4570" s="364" t="s">
        <v>730</v>
      </c>
      <c r="E4570" s="366">
        <v>6.0</v>
      </c>
      <c r="F4570" s="367">
        <v>45951.41666666667</v>
      </c>
      <c r="G4570" s="364" t="s">
        <v>1187</v>
      </c>
      <c r="H4570" s="364" t="s">
        <v>1220</v>
      </c>
    </row>
    <row r="4571" ht="15.75" customHeight="1">
      <c r="A4571" s="364" t="s">
        <v>85</v>
      </c>
      <c r="B4571" s="364" t="s">
        <v>23</v>
      </c>
      <c r="C4571" s="365" t="s">
        <v>729</v>
      </c>
      <c r="D4571" s="364" t="s">
        <v>730</v>
      </c>
      <c r="E4571" s="366">
        <v>7.0</v>
      </c>
      <c r="F4571" s="367">
        <v>45952.41666666667</v>
      </c>
      <c r="G4571" s="364" t="s">
        <v>1187</v>
      </c>
      <c r="H4571" s="364" t="s">
        <v>1220</v>
      </c>
    </row>
    <row r="4572" ht="15.75" customHeight="1">
      <c r="A4572" s="364" t="s">
        <v>85</v>
      </c>
      <c r="B4572" s="364" t="s">
        <v>23</v>
      </c>
      <c r="C4572" s="365" t="s">
        <v>729</v>
      </c>
      <c r="D4572" s="364" t="s">
        <v>730</v>
      </c>
      <c r="E4572" s="366">
        <v>8.0</v>
      </c>
      <c r="F4572" s="367">
        <v>45959.45833333333</v>
      </c>
      <c r="G4572" s="364" t="s">
        <v>1185</v>
      </c>
      <c r="H4572" s="364" t="s">
        <v>1220</v>
      </c>
    </row>
    <row r="4573" ht="15.75" customHeight="1">
      <c r="A4573" s="364" t="s">
        <v>85</v>
      </c>
      <c r="B4573" s="364" t="s">
        <v>23</v>
      </c>
      <c r="C4573" s="365" t="s">
        <v>729</v>
      </c>
      <c r="D4573" s="364" t="s">
        <v>730</v>
      </c>
      <c r="E4573" s="366">
        <v>9.0</v>
      </c>
      <c r="F4573" s="367">
        <v>45967.45833333333</v>
      </c>
      <c r="G4573" s="364" t="s">
        <v>1185</v>
      </c>
      <c r="H4573" s="364" t="s">
        <v>1220</v>
      </c>
    </row>
    <row r="4574" ht="15.75" customHeight="1">
      <c r="A4574" s="364" t="s">
        <v>85</v>
      </c>
      <c r="B4574" s="364" t="s">
        <v>23</v>
      </c>
      <c r="C4574" s="365" t="s">
        <v>729</v>
      </c>
      <c r="D4574" s="364" t="s">
        <v>730</v>
      </c>
      <c r="E4574" s="366">
        <v>10.0</v>
      </c>
      <c r="F4574" s="367">
        <v>45974.45833333333</v>
      </c>
      <c r="G4574" s="364" t="s">
        <v>1185</v>
      </c>
      <c r="H4574" s="364" t="s">
        <v>1220</v>
      </c>
    </row>
    <row r="4575" ht="15.75" customHeight="1">
      <c r="A4575" s="364" t="s">
        <v>85</v>
      </c>
      <c r="B4575" s="364" t="s">
        <v>23</v>
      </c>
      <c r="C4575" s="365" t="s">
        <v>731</v>
      </c>
      <c r="D4575" s="364" t="s">
        <v>732</v>
      </c>
      <c r="E4575" s="366">
        <v>1.0</v>
      </c>
      <c r="F4575" s="367">
        <v>45910.54166666667</v>
      </c>
      <c r="G4575" s="364" t="s">
        <v>1185</v>
      </c>
      <c r="H4575" s="364" t="s">
        <v>1220</v>
      </c>
    </row>
    <row r="4576" ht="15.75" customHeight="1">
      <c r="A4576" s="364" t="s">
        <v>85</v>
      </c>
      <c r="B4576" s="364" t="s">
        <v>23</v>
      </c>
      <c r="C4576" s="365" t="s">
        <v>731</v>
      </c>
      <c r="D4576" s="364" t="s">
        <v>732</v>
      </c>
      <c r="E4576" s="366">
        <v>2.0</v>
      </c>
      <c r="F4576" s="367">
        <v>45916.54166666667</v>
      </c>
      <c r="G4576" s="364" t="s">
        <v>1185</v>
      </c>
      <c r="H4576" s="364" t="s">
        <v>1220</v>
      </c>
    </row>
    <row r="4577" ht="15.75" customHeight="1">
      <c r="A4577" s="364" t="s">
        <v>85</v>
      </c>
      <c r="B4577" s="364" t="s">
        <v>23</v>
      </c>
      <c r="C4577" s="365" t="s">
        <v>731</v>
      </c>
      <c r="D4577" s="364" t="s">
        <v>732</v>
      </c>
      <c r="E4577" s="366">
        <v>3.0</v>
      </c>
      <c r="F4577" s="367">
        <v>45924.54166666667</v>
      </c>
      <c r="G4577" s="364" t="s">
        <v>1185</v>
      </c>
      <c r="H4577" s="364" t="s">
        <v>1220</v>
      </c>
    </row>
    <row r="4578" ht="15.75" customHeight="1">
      <c r="A4578" s="364" t="s">
        <v>85</v>
      </c>
      <c r="B4578" s="364" t="s">
        <v>23</v>
      </c>
      <c r="C4578" s="365" t="s">
        <v>731</v>
      </c>
      <c r="D4578" s="364" t="s">
        <v>732</v>
      </c>
      <c r="E4578" s="366">
        <v>4.0</v>
      </c>
      <c r="F4578" s="367">
        <v>45931.54166666667</v>
      </c>
      <c r="G4578" s="364" t="s">
        <v>1185</v>
      </c>
      <c r="H4578" s="364" t="s">
        <v>1220</v>
      </c>
    </row>
    <row r="4579" ht="15.75" customHeight="1">
      <c r="A4579" s="364" t="s">
        <v>85</v>
      </c>
      <c r="B4579" s="364" t="s">
        <v>23</v>
      </c>
      <c r="C4579" s="365" t="s">
        <v>731</v>
      </c>
      <c r="D4579" s="364" t="s">
        <v>732</v>
      </c>
      <c r="E4579" s="366">
        <v>5.0</v>
      </c>
      <c r="F4579" s="367">
        <v>45938.41666666667</v>
      </c>
      <c r="G4579" s="364" t="s">
        <v>1185</v>
      </c>
      <c r="H4579" s="364" t="s">
        <v>1220</v>
      </c>
    </row>
    <row r="4580" ht="15.75" customHeight="1">
      <c r="A4580" s="364" t="s">
        <v>85</v>
      </c>
      <c r="B4580" s="364" t="s">
        <v>23</v>
      </c>
      <c r="C4580" s="365" t="s">
        <v>731</v>
      </c>
      <c r="D4580" s="364" t="s">
        <v>732</v>
      </c>
      <c r="E4580" s="366">
        <v>6.0</v>
      </c>
      <c r="F4580" s="367">
        <v>45951.41666666667</v>
      </c>
      <c r="G4580" s="364" t="s">
        <v>1187</v>
      </c>
      <c r="H4580" s="364" t="s">
        <v>1220</v>
      </c>
    </row>
    <row r="4581" ht="15.75" customHeight="1">
      <c r="A4581" s="364" t="s">
        <v>85</v>
      </c>
      <c r="B4581" s="364" t="s">
        <v>23</v>
      </c>
      <c r="C4581" s="365" t="s">
        <v>731</v>
      </c>
      <c r="D4581" s="364" t="s">
        <v>732</v>
      </c>
      <c r="E4581" s="366">
        <v>7.0</v>
      </c>
      <c r="F4581" s="367">
        <v>45952.41666666667</v>
      </c>
      <c r="G4581" s="364" t="s">
        <v>1187</v>
      </c>
      <c r="H4581" s="364" t="s">
        <v>1220</v>
      </c>
    </row>
    <row r="4582" ht="15.75" customHeight="1">
      <c r="A4582" s="364" t="s">
        <v>85</v>
      </c>
      <c r="B4582" s="364" t="s">
        <v>23</v>
      </c>
      <c r="C4582" s="365" t="s">
        <v>731</v>
      </c>
      <c r="D4582" s="364" t="s">
        <v>732</v>
      </c>
      <c r="E4582" s="366">
        <v>8.0</v>
      </c>
      <c r="F4582" s="367">
        <v>45959.45833333333</v>
      </c>
      <c r="G4582" s="364" t="s">
        <v>1185</v>
      </c>
      <c r="H4582" s="364" t="s">
        <v>1220</v>
      </c>
    </row>
    <row r="4583" ht="15.75" customHeight="1">
      <c r="A4583" s="364" t="s">
        <v>85</v>
      </c>
      <c r="B4583" s="364" t="s">
        <v>23</v>
      </c>
      <c r="C4583" s="365" t="s">
        <v>731</v>
      </c>
      <c r="D4583" s="364" t="s">
        <v>732</v>
      </c>
      <c r="E4583" s="366">
        <v>9.0</v>
      </c>
      <c r="F4583" s="367">
        <v>45967.45833333333</v>
      </c>
      <c r="G4583" s="364" t="s">
        <v>1185</v>
      </c>
      <c r="H4583" s="364" t="s">
        <v>1220</v>
      </c>
    </row>
    <row r="4584" ht="15.75" customHeight="1">
      <c r="A4584" s="364" t="s">
        <v>85</v>
      </c>
      <c r="B4584" s="364" t="s">
        <v>23</v>
      </c>
      <c r="C4584" s="365" t="s">
        <v>731</v>
      </c>
      <c r="D4584" s="364" t="s">
        <v>732</v>
      </c>
      <c r="E4584" s="366">
        <v>10.0</v>
      </c>
      <c r="F4584" s="367">
        <v>45974.45833333333</v>
      </c>
      <c r="G4584" s="364" t="s">
        <v>1185</v>
      </c>
      <c r="H4584" s="364" t="s">
        <v>1220</v>
      </c>
    </row>
    <row r="4585" ht="15.75" customHeight="1">
      <c r="A4585" s="364" t="s">
        <v>85</v>
      </c>
      <c r="B4585" s="364" t="s">
        <v>23</v>
      </c>
      <c r="C4585" s="365" t="s">
        <v>731</v>
      </c>
      <c r="D4585" s="364" t="s">
        <v>732</v>
      </c>
      <c r="E4585" s="366">
        <v>11.0</v>
      </c>
      <c r="F4585" s="367">
        <v>45981.45833333333</v>
      </c>
      <c r="G4585" s="364" t="s">
        <v>1185</v>
      </c>
      <c r="H4585" s="364" t="s">
        <v>1220</v>
      </c>
    </row>
    <row r="4586" ht="15.75" customHeight="1">
      <c r="A4586" s="364" t="s">
        <v>85</v>
      </c>
      <c r="B4586" s="364" t="s">
        <v>23</v>
      </c>
      <c r="C4586" s="365" t="s">
        <v>731</v>
      </c>
      <c r="D4586" s="364" t="s">
        <v>732</v>
      </c>
      <c r="E4586" s="366">
        <v>12.0</v>
      </c>
      <c r="F4586" s="367">
        <v>45988.45833333333</v>
      </c>
      <c r="G4586" s="364" t="s">
        <v>1185</v>
      </c>
      <c r="H4586" s="364" t="s">
        <v>1220</v>
      </c>
    </row>
    <row r="4587" ht="15.75" customHeight="1">
      <c r="A4587" s="364" t="s">
        <v>85</v>
      </c>
      <c r="B4587" s="364" t="s">
        <v>23</v>
      </c>
      <c r="C4587" s="365" t="s">
        <v>731</v>
      </c>
      <c r="D4587" s="364" t="s">
        <v>732</v>
      </c>
      <c r="E4587" s="366">
        <v>13.0</v>
      </c>
      <c r="F4587" s="367">
        <v>45995.45833333333</v>
      </c>
      <c r="G4587" s="364" t="s">
        <v>1185</v>
      </c>
      <c r="H4587" s="364" t="s">
        <v>1220</v>
      </c>
    </row>
    <row r="4588" ht="15.75" customHeight="1">
      <c r="A4588" s="364" t="s">
        <v>85</v>
      </c>
      <c r="B4588" s="364" t="s">
        <v>23</v>
      </c>
      <c r="C4588" s="365" t="s">
        <v>731</v>
      </c>
      <c r="D4588" s="364" t="s">
        <v>732</v>
      </c>
      <c r="E4588" s="366">
        <v>14.0</v>
      </c>
      <c r="F4588" s="367">
        <v>46007.54166666667</v>
      </c>
      <c r="G4588" s="364" t="s">
        <v>1185</v>
      </c>
      <c r="H4588" s="364" t="s">
        <v>1220</v>
      </c>
    </row>
    <row r="4589" ht="15.75" customHeight="1">
      <c r="A4589" s="364" t="s">
        <v>85</v>
      </c>
      <c r="B4589" s="364" t="s">
        <v>23</v>
      </c>
      <c r="C4589" s="365" t="s">
        <v>731</v>
      </c>
      <c r="D4589" s="364" t="s">
        <v>732</v>
      </c>
      <c r="E4589" s="366">
        <v>15.0</v>
      </c>
      <c r="F4589" s="367">
        <v>46021.45833333333</v>
      </c>
      <c r="G4589" s="364" t="s">
        <v>1185</v>
      </c>
      <c r="H4589" s="364" t="s">
        <v>1220</v>
      </c>
    </row>
    <row r="4590" ht="15.75" customHeight="1">
      <c r="A4590" s="364" t="s">
        <v>85</v>
      </c>
      <c r="B4590" s="364" t="s">
        <v>23</v>
      </c>
      <c r="C4590" s="365" t="s">
        <v>731</v>
      </c>
      <c r="D4590" s="364" t="s">
        <v>732</v>
      </c>
      <c r="E4590" s="366">
        <v>16.0</v>
      </c>
      <c r="F4590" s="367">
        <v>46051.41666666667</v>
      </c>
      <c r="G4590" s="364" t="s">
        <v>1185</v>
      </c>
      <c r="H4590" s="364" t="s">
        <v>1220</v>
      </c>
    </row>
    <row r="4591" ht="15.75" customHeight="1">
      <c r="A4591" s="364" t="s">
        <v>85</v>
      </c>
      <c r="B4591" s="364" t="s">
        <v>23</v>
      </c>
      <c r="C4591" s="365" t="s">
        <v>723</v>
      </c>
      <c r="D4591" s="364" t="s">
        <v>724</v>
      </c>
      <c r="E4591" s="366">
        <v>1.0</v>
      </c>
      <c r="F4591" s="367">
        <v>45910.54166666667</v>
      </c>
      <c r="G4591" s="364" t="s">
        <v>1185</v>
      </c>
      <c r="H4591" s="364" t="s">
        <v>1220</v>
      </c>
    </row>
    <row r="4592" ht="15.75" customHeight="1">
      <c r="A4592" s="364" t="s">
        <v>85</v>
      </c>
      <c r="B4592" s="364" t="s">
        <v>23</v>
      </c>
      <c r="C4592" s="365" t="s">
        <v>723</v>
      </c>
      <c r="D4592" s="364" t="s">
        <v>724</v>
      </c>
      <c r="E4592" s="366">
        <v>2.0</v>
      </c>
      <c r="F4592" s="367">
        <v>45916.54166666667</v>
      </c>
      <c r="G4592" s="364" t="s">
        <v>1185</v>
      </c>
      <c r="H4592" s="364" t="s">
        <v>1220</v>
      </c>
    </row>
    <row r="4593" ht="15.75" customHeight="1">
      <c r="A4593" s="364" t="s">
        <v>85</v>
      </c>
      <c r="B4593" s="364" t="s">
        <v>23</v>
      </c>
      <c r="C4593" s="365" t="s">
        <v>723</v>
      </c>
      <c r="D4593" s="364" t="s">
        <v>724</v>
      </c>
      <c r="E4593" s="366">
        <v>3.0</v>
      </c>
      <c r="F4593" s="367">
        <v>45924.54166666667</v>
      </c>
      <c r="G4593" s="364" t="s">
        <v>1185</v>
      </c>
      <c r="H4593" s="364" t="s">
        <v>1220</v>
      </c>
    </row>
    <row r="4594" ht="15.75" customHeight="1">
      <c r="A4594" s="364" t="s">
        <v>85</v>
      </c>
      <c r="B4594" s="364" t="s">
        <v>23</v>
      </c>
      <c r="C4594" s="365" t="s">
        <v>723</v>
      </c>
      <c r="D4594" s="364" t="s">
        <v>724</v>
      </c>
      <c r="E4594" s="366">
        <v>4.0</v>
      </c>
      <c r="F4594" s="367">
        <v>45931.54166666667</v>
      </c>
      <c r="G4594" s="364" t="s">
        <v>1185</v>
      </c>
      <c r="H4594" s="364" t="s">
        <v>1220</v>
      </c>
    </row>
    <row r="4595" ht="15.75" customHeight="1">
      <c r="A4595" s="364" t="s">
        <v>85</v>
      </c>
      <c r="B4595" s="364" t="s">
        <v>23</v>
      </c>
      <c r="C4595" s="365" t="s">
        <v>723</v>
      </c>
      <c r="D4595" s="364" t="s">
        <v>724</v>
      </c>
      <c r="E4595" s="366">
        <v>5.0</v>
      </c>
      <c r="F4595" s="367">
        <v>45938.41666666667</v>
      </c>
      <c r="G4595" s="364" t="s">
        <v>1185</v>
      </c>
      <c r="H4595" s="364" t="s">
        <v>1220</v>
      </c>
    </row>
    <row r="4596" ht="15.75" customHeight="1">
      <c r="A4596" s="364" t="s">
        <v>85</v>
      </c>
      <c r="B4596" s="364" t="s">
        <v>23</v>
      </c>
      <c r="C4596" s="365" t="s">
        <v>723</v>
      </c>
      <c r="D4596" s="364" t="s">
        <v>724</v>
      </c>
      <c r="E4596" s="366">
        <v>6.0</v>
      </c>
      <c r="F4596" s="367">
        <v>45951.41666666667</v>
      </c>
      <c r="G4596" s="364" t="s">
        <v>1185</v>
      </c>
      <c r="H4596" s="364" t="s">
        <v>1220</v>
      </c>
    </row>
    <row r="4597" ht="15.75" customHeight="1">
      <c r="A4597" s="364" t="s">
        <v>85</v>
      </c>
      <c r="B4597" s="364" t="s">
        <v>23</v>
      </c>
      <c r="C4597" s="365" t="s">
        <v>723</v>
      </c>
      <c r="D4597" s="364" t="s">
        <v>724</v>
      </c>
      <c r="E4597" s="366">
        <v>7.0</v>
      </c>
      <c r="F4597" s="367">
        <v>45952.41666666667</v>
      </c>
      <c r="G4597" s="364" t="s">
        <v>1185</v>
      </c>
      <c r="H4597" s="364" t="s">
        <v>1220</v>
      </c>
    </row>
    <row r="4598" ht="15.75" customHeight="1">
      <c r="A4598" s="364" t="s">
        <v>85</v>
      </c>
      <c r="B4598" s="364" t="s">
        <v>23</v>
      </c>
      <c r="C4598" s="365" t="s">
        <v>723</v>
      </c>
      <c r="D4598" s="364" t="s">
        <v>724</v>
      </c>
      <c r="E4598" s="366">
        <v>8.0</v>
      </c>
      <c r="F4598" s="367">
        <v>45959.45833333333</v>
      </c>
      <c r="G4598" s="364" t="s">
        <v>1185</v>
      </c>
      <c r="H4598" s="364" t="s">
        <v>1220</v>
      </c>
    </row>
    <row r="4599" ht="15.75" customHeight="1">
      <c r="A4599" s="364" t="s">
        <v>85</v>
      </c>
      <c r="B4599" s="364" t="s">
        <v>23</v>
      </c>
      <c r="C4599" s="365" t="s">
        <v>723</v>
      </c>
      <c r="D4599" s="364" t="s">
        <v>724</v>
      </c>
      <c r="E4599" s="366">
        <v>9.0</v>
      </c>
      <c r="F4599" s="367">
        <v>45967.45833333333</v>
      </c>
      <c r="G4599" s="364" t="s">
        <v>1185</v>
      </c>
      <c r="H4599" s="364" t="s">
        <v>1220</v>
      </c>
    </row>
    <row r="4600" ht="15.75" customHeight="1">
      <c r="A4600" s="364" t="s">
        <v>85</v>
      </c>
      <c r="B4600" s="364" t="s">
        <v>23</v>
      </c>
      <c r="C4600" s="365" t="s">
        <v>723</v>
      </c>
      <c r="D4600" s="364" t="s">
        <v>724</v>
      </c>
      <c r="E4600" s="366">
        <v>10.0</v>
      </c>
      <c r="F4600" s="367">
        <v>45974.45833333333</v>
      </c>
      <c r="G4600" s="364" t="s">
        <v>1185</v>
      </c>
      <c r="H4600" s="364" t="s">
        <v>1220</v>
      </c>
    </row>
    <row r="4601" ht="15.75" customHeight="1">
      <c r="A4601" s="364" t="s">
        <v>85</v>
      </c>
      <c r="B4601" s="364" t="s">
        <v>23</v>
      </c>
      <c r="C4601" s="365" t="s">
        <v>723</v>
      </c>
      <c r="D4601" s="364" t="s">
        <v>724</v>
      </c>
      <c r="E4601" s="366">
        <v>11.0</v>
      </c>
      <c r="F4601" s="367">
        <v>45981.45833333333</v>
      </c>
      <c r="G4601" s="364" t="s">
        <v>1185</v>
      </c>
      <c r="H4601" s="364" t="s">
        <v>1220</v>
      </c>
    </row>
    <row r="4602" ht="15.75" customHeight="1">
      <c r="A4602" s="364" t="s">
        <v>85</v>
      </c>
      <c r="B4602" s="364" t="s">
        <v>23</v>
      </c>
      <c r="C4602" s="365" t="s">
        <v>723</v>
      </c>
      <c r="D4602" s="364" t="s">
        <v>724</v>
      </c>
      <c r="E4602" s="366">
        <v>12.0</v>
      </c>
      <c r="F4602" s="367">
        <v>45988.45833333333</v>
      </c>
      <c r="G4602" s="364" t="s">
        <v>1185</v>
      </c>
      <c r="H4602" s="364" t="s">
        <v>1220</v>
      </c>
    </row>
    <row r="4603" ht="15.75" customHeight="1">
      <c r="A4603" s="364" t="s">
        <v>85</v>
      </c>
      <c r="B4603" s="364" t="s">
        <v>23</v>
      </c>
      <c r="C4603" s="365" t="s">
        <v>723</v>
      </c>
      <c r="D4603" s="364" t="s">
        <v>724</v>
      </c>
      <c r="E4603" s="366">
        <v>13.0</v>
      </c>
      <c r="F4603" s="367">
        <v>45995.45833333333</v>
      </c>
      <c r="G4603" s="364" t="s">
        <v>1185</v>
      </c>
      <c r="H4603" s="364" t="s">
        <v>1220</v>
      </c>
    </row>
    <row r="4604" ht="15.75" customHeight="1">
      <c r="A4604" s="364" t="s">
        <v>85</v>
      </c>
      <c r="B4604" s="364" t="s">
        <v>23</v>
      </c>
      <c r="C4604" s="365" t="s">
        <v>723</v>
      </c>
      <c r="D4604" s="364" t="s">
        <v>724</v>
      </c>
      <c r="E4604" s="366">
        <v>14.0</v>
      </c>
      <c r="F4604" s="367">
        <v>46007.54166666667</v>
      </c>
      <c r="G4604" s="364" t="s">
        <v>1185</v>
      </c>
      <c r="H4604" s="364" t="s">
        <v>1220</v>
      </c>
    </row>
    <row r="4605" ht="15.75" customHeight="1">
      <c r="A4605" s="364" t="s">
        <v>85</v>
      </c>
      <c r="B4605" s="364" t="s">
        <v>23</v>
      </c>
      <c r="C4605" s="365" t="s">
        <v>723</v>
      </c>
      <c r="D4605" s="364" t="s">
        <v>724</v>
      </c>
      <c r="E4605" s="366">
        <v>15.0</v>
      </c>
      <c r="F4605" s="367">
        <v>46021.45833333333</v>
      </c>
      <c r="G4605" s="364" t="s">
        <v>1185</v>
      </c>
      <c r="H4605" s="364" t="s">
        <v>1220</v>
      </c>
    </row>
    <row r="4606" ht="15.75" customHeight="1">
      <c r="A4606" s="364" t="s">
        <v>85</v>
      </c>
      <c r="B4606" s="364" t="s">
        <v>23</v>
      </c>
      <c r="C4606" s="365" t="s">
        <v>723</v>
      </c>
      <c r="D4606" s="364" t="s">
        <v>724</v>
      </c>
      <c r="E4606" s="366">
        <v>16.0</v>
      </c>
      <c r="F4606" s="367">
        <v>46051.41666666667</v>
      </c>
      <c r="G4606" s="364" t="s">
        <v>1185</v>
      </c>
      <c r="H4606" s="364" t="s">
        <v>1220</v>
      </c>
    </row>
    <row r="4607" ht="15.75" customHeight="1">
      <c r="A4607" s="364" t="s">
        <v>85</v>
      </c>
      <c r="B4607" s="364" t="s">
        <v>23</v>
      </c>
      <c r="C4607" s="365" t="s">
        <v>725</v>
      </c>
      <c r="D4607" s="364" t="s">
        <v>726</v>
      </c>
      <c r="E4607" s="366">
        <v>1.0</v>
      </c>
      <c r="F4607" s="367">
        <v>45910.54166666667</v>
      </c>
      <c r="G4607" s="364" t="s">
        <v>1185</v>
      </c>
      <c r="H4607" s="364" t="s">
        <v>1220</v>
      </c>
    </row>
    <row r="4608" ht="15.75" customHeight="1">
      <c r="A4608" s="364" t="s">
        <v>85</v>
      </c>
      <c r="B4608" s="364" t="s">
        <v>23</v>
      </c>
      <c r="C4608" s="365" t="s">
        <v>725</v>
      </c>
      <c r="D4608" s="364" t="s">
        <v>726</v>
      </c>
      <c r="E4608" s="366">
        <v>2.0</v>
      </c>
      <c r="F4608" s="367">
        <v>45916.54166666667</v>
      </c>
      <c r="G4608" s="364" t="s">
        <v>1185</v>
      </c>
      <c r="H4608" s="364" t="s">
        <v>1220</v>
      </c>
    </row>
    <row r="4609" ht="15.75" customHeight="1">
      <c r="A4609" s="364" t="s">
        <v>85</v>
      </c>
      <c r="B4609" s="364" t="s">
        <v>23</v>
      </c>
      <c r="C4609" s="365" t="s">
        <v>725</v>
      </c>
      <c r="D4609" s="364" t="s">
        <v>726</v>
      </c>
      <c r="E4609" s="366">
        <v>3.0</v>
      </c>
      <c r="F4609" s="367">
        <v>45924.54166666667</v>
      </c>
      <c r="G4609" s="364" t="s">
        <v>1185</v>
      </c>
      <c r="H4609" s="364" t="s">
        <v>1220</v>
      </c>
    </row>
    <row r="4610" ht="15.75" customHeight="1">
      <c r="A4610" s="364" t="s">
        <v>85</v>
      </c>
      <c r="B4610" s="364" t="s">
        <v>23</v>
      </c>
      <c r="C4610" s="365" t="s">
        <v>725</v>
      </c>
      <c r="D4610" s="364" t="s">
        <v>726</v>
      </c>
      <c r="E4610" s="366">
        <v>4.0</v>
      </c>
      <c r="F4610" s="367">
        <v>45931.54166666667</v>
      </c>
      <c r="G4610" s="364" t="s">
        <v>1185</v>
      </c>
      <c r="H4610" s="364" t="s">
        <v>1220</v>
      </c>
    </row>
    <row r="4611" ht="15.75" customHeight="1">
      <c r="A4611" s="364" t="s">
        <v>85</v>
      </c>
      <c r="B4611" s="364" t="s">
        <v>23</v>
      </c>
      <c r="C4611" s="365" t="s">
        <v>725</v>
      </c>
      <c r="D4611" s="364" t="s">
        <v>726</v>
      </c>
      <c r="E4611" s="366">
        <v>5.0</v>
      </c>
      <c r="F4611" s="367">
        <v>45938.41666666667</v>
      </c>
      <c r="G4611" s="364" t="s">
        <v>1185</v>
      </c>
      <c r="H4611" s="364" t="s">
        <v>1220</v>
      </c>
    </row>
    <row r="4612" ht="15.75" customHeight="1">
      <c r="A4612" s="364" t="s">
        <v>85</v>
      </c>
      <c r="B4612" s="364" t="s">
        <v>23</v>
      </c>
      <c r="C4612" s="365" t="s">
        <v>725</v>
      </c>
      <c r="D4612" s="364" t="s">
        <v>726</v>
      </c>
      <c r="E4612" s="366">
        <v>6.0</v>
      </c>
      <c r="F4612" s="367">
        <v>45951.41666666667</v>
      </c>
      <c r="G4612" s="364" t="s">
        <v>1185</v>
      </c>
      <c r="H4612" s="364" t="s">
        <v>1220</v>
      </c>
    </row>
    <row r="4613" ht="15.75" customHeight="1">
      <c r="A4613" s="364" t="s">
        <v>85</v>
      </c>
      <c r="B4613" s="364" t="s">
        <v>23</v>
      </c>
      <c r="C4613" s="365" t="s">
        <v>725</v>
      </c>
      <c r="D4613" s="364" t="s">
        <v>726</v>
      </c>
      <c r="E4613" s="366">
        <v>7.0</v>
      </c>
      <c r="F4613" s="367">
        <v>45952.41666666667</v>
      </c>
      <c r="G4613" s="364" t="s">
        <v>1185</v>
      </c>
      <c r="H4613" s="364" t="s">
        <v>1220</v>
      </c>
    </row>
    <row r="4614" ht="15.75" customHeight="1">
      <c r="A4614" s="364" t="s">
        <v>85</v>
      </c>
      <c r="B4614" s="364" t="s">
        <v>23</v>
      </c>
      <c r="C4614" s="365" t="s">
        <v>725</v>
      </c>
      <c r="D4614" s="364" t="s">
        <v>726</v>
      </c>
      <c r="E4614" s="366">
        <v>8.0</v>
      </c>
      <c r="F4614" s="367">
        <v>45959.45833333333</v>
      </c>
      <c r="G4614" s="364" t="s">
        <v>1185</v>
      </c>
      <c r="H4614" s="364" t="s">
        <v>1220</v>
      </c>
    </row>
    <row r="4615" ht="15.75" customHeight="1">
      <c r="A4615" s="364" t="s">
        <v>85</v>
      </c>
      <c r="B4615" s="364" t="s">
        <v>23</v>
      </c>
      <c r="C4615" s="365" t="s">
        <v>725</v>
      </c>
      <c r="D4615" s="364" t="s">
        <v>726</v>
      </c>
      <c r="E4615" s="366">
        <v>9.0</v>
      </c>
      <c r="F4615" s="367">
        <v>45967.45833333333</v>
      </c>
      <c r="G4615" s="364" t="s">
        <v>1185</v>
      </c>
      <c r="H4615" s="364" t="s">
        <v>1220</v>
      </c>
    </row>
    <row r="4616" ht="15.75" customHeight="1">
      <c r="A4616" s="364" t="s">
        <v>85</v>
      </c>
      <c r="B4616" s="364" t="s">
        <v>23</v>
      </c>
      <c r="C4616" s="365" t="s">
        <v>725</v>
      </c>
      <c r="D4616" s="364" t="s">
        <v>726</v>
      </c>
      <c r="E4616" s="366">
        <v>10.0</v>
      </c>
      <c r="F4616" s="367">
        <v>45974.45833333333</v>
      </c>
      <c r="G4616" s="364" t="s">
        <v>1187</v>
      </c>
      <c r="H4616" s="364" t="s">
        <v>1220</v>
      </c>
    </row>
    <row r="4617" ht="15.75" customHeight="1">
      <c r="A4617" s="364" t="s">
        <v>85</v>
      </c>
      <c r="B4617" s="364" t="s">
        <v>23</v>
      </c>
      <c r="C4617" s="365" t="s">
        <v>725</v>
      </c>
      <c r="D4617" s="364" t="s">
        <v>726</v>
      </c>
      <c r="E4617" s="366">
        <v>11.0</v>
      </c>
      <c r="F4617" s="367">
        <v>45981.45833333333</v>
      </c>
      <c r="G4617" s="364" t="s">
        <v>1185</v>
      </c>
      <c r="H4617" s="364" t="s">
        <v>1220</v>
      </c>
    </row>
    <row r="4618" ht="15.75" customHeight="1">
      <c r="A4618" s="364" t="s">
        <v>85</v>
      </c>
      <c r="B4618" s="364" t="s">
        <v>23</v>
      </c>
      <c r="C4618" s="365" t="s">
        <v>725</v>
      </c>
      <c r="D4618" s="364" t="s">
        <v>726</v>
      </c>
      <c r="E4618" s="366">
        <v>12.0</v>
      </c>
      <c r="F4618" s="367">
        <v>45988.45833333333</v>
      </c>
      <c r="G4618" s="364" t="s">
        <v>1185</v>
      </c>
      <c r="H4618" s="364" t="s">
        <v>1220</v>
      </c>
    </row>
    <row r="4619" ht="15.75" customHeight="1">
      <c r="A4619" s="364" t="s">
        <v>85</v>
      </c>
      <c r="B4619" s="364" t="s">
        <v>23</v>
      </c>
      <c r="C4619" s="365" t="s">
        <v>725</v>
      </c>
      <c r="D4619" s="364" t="s">
        <v>726</v>
      </c>
      <c r="E4619" s="366">
        <v>13.0</v>
      </c>
      <c r="F4619" s="367">
        <v>45995.45833333333</v>
      </c>
      <c r="G4619" s="364" t="s">
        <v>1185</v>
      </c>
      <c r="H4619" s="364" t="s">
        <v>1220</v>
      </c>
    </row>
    <row r="4620" ht="15.75" customHeight="1">
      <c r="A4620" s="364" t="s">
        <v>85</v>
      </c>
      <c r="B4620" s="364" t="s">
        <v>23</v>
      </c>
      <c r="C4620" s="365" t="s">
        <v>725</v>
      </c>
      <c r="D4620" s="364" t="s">
        <v>726</v>
      </c>
      <c r="E4620" s="366">
        <v>14.0</v>
      </c>
      <c r="F4620" s="367">
        <v>46007.54166666667</v>
      </c>
      <c r="G4620" s="364" t="s">
        <v>1185</v>
      </c>
      <c r="H4620" s="364" t="s">
        <v>1220</v>
      </c>
    </row>
    <row r="4621" ht="15.75" customHeight="1">
      <c r="A4621" s="364" t="s">
        <v>85</v>
      </c>
      <c r="B4621" s="364" t="s">
        <v>23</v>
      </c>
      <c r="C4621" s="365" t="s">
        <v>725</v>
      </c>
      <c r="D4621" s="364" t="s">
        <v>726</v>
      </c>
      <c r="E4621" s="366">
        <v>15.0</v>
      </c>
      <c r="F4621" s="367">
        <v>46021.45833333333</v>
      </c>
      <c r="G4621" s="364" t="s">
        <v>1185</v>
      </c>
      <c r="H4621" s="364" t="s">
        <v>1220</v>
      </c>
    </row>
    <row r="4622" ht="15.75" customHeight="1">
      <c r="A4622" s="364" t="s">
        <v>85</v>
      </c>
      <c r="B4622" s="364" t="s">
        <v>23</v>
      </c>
      <c r="C4622" s="365" t="s">
        <v>725</v>
      </c>
      <c r="D4622" s="364" t="s">
        <v>726</v>
      </c>
      <c r="E4622" s="366">
        <v>16.0</v>
      </c>
      <c r="F4622" s="367">
        <v>46051.41666666667</v>
      </c>
      <c r="G4622" s="364" t="s">
        <v>1185</v>
      </c>
      <c r="H4622" s="364" t="s">
        <v>1220</v>
      </c>
    </row>
    <row r="4623" ht="15.75" customHeight="1">
      <c r="A4623" s="364" t="s">
        <v>85</v>
      </c>
      <c r="B4623" s="364" t="s">
        <v>23</v>
      </c>
      <c r="C4623" s="365" t="s">
        <v>739</v>
      </c>
      <c r="D4623" s="364" t="s">
        <v>740</v>
      </c>
      <c r="E4623" s="366">
        <v>1.0</v>
      </c>
      <c r="F4623" s="367">
        <v>45910.54166666667</v>
      </c>
      <c r="G4623" s="364" t="s">
        <v>1185</v>
      </c>
      <c r="H4623" s="364" t="s">
        <v>1220</v>
      </c>
    </row>
    <row r="4624" ht="15.75" customHeight="1">
      <c r="A4624" s="364" t="s">
        <v>85</v>
      </c>
      <c r="B4624" s="364" t="s">
        <v>23</v>
      </c>
      <c r="C4624" s="365" t="s">
        <v>739</v>
      </c>
      <c r="D4624" s="364" t="s">
        <v>740</v>
      </c>
      <c r="E4624" s="366">
        <v>3.0</v>
      </c>
      <c r="F4624" s="367">
        <v>45924.54166666667</v>
      </c>
      <c r="G4624" s="364" t="s">
        <v>1185</v>
      </c>
      <c r="H4624" s="364" t="s">
        <v>1220</v>
      </c>
    </row>
    <row r="4625" ht="15.75" customHeight="1">
      <c r="A4625" s="364" t="s">
        <v>85</v>
      </c>
      <c r="B4625" s="364" t="s">
        <v>23</v>
      </c>
      <c r="C4625" s="365" t="s">
        <v>739</v>
      </c>
      <c r="D4625" s="364" t="s">
        <v>740</v>
      </c>
      <c r="E4625" s="366">
        <v>4.0</v>
      </c>
      <c r="F4625" s="367">
        <v>45931.54166666667</v>
      </c>
      <c r="G4625" s="364" t="s">
        <v>1185</v>
      </c>
      <c r="H4625" s="364" t="s">
        <v>1220</v>
      </c>
    </row>
    <row r="4626" ht="15.75" customHeight="1">
      <c r="A4626" s="364" t="s">
        <v>85</v>
      </c>
      <c r="B4626" s="364" t="s">
        <v>23</v>
      </c>
      <c r="C4626" s="365" t="s">
        <v>739</v>
      </c>
      <c r="D4626" s="364" t="s">
        <v>740</v>
      </c>
      <c r="E4626" s="366">
        <v>5.0</v>
      </c>
      <c r="F4626" s="367">
        <v>45938.41666666667</v>
      </c>
      <c r="G4626" s="364" t="s">
        <v>1185</v>
      </c>
      <c r="H4626" s="364" t="s">
        <v>1220</v>
      </c>
    </row>
    <row r="4627" ht="15.75" customHeight="1">
      <c r="A4627" s="364" t="s">
        <v>85</v>
      </c>
      <c r="B4627" s="364" t="s">
        <v>23</v>
      </c>
      <c r="C4627" s="365" t="s">
        <v>739</v>
      </c>
      <c r="D4627" s="364" t="s">
        <v>740</v>
      </c>
      <c r="E4627" s="366">
        <v>6.0</v>
      </c>
      <c r="F4627" s="367">
        <v>45951.41666666667</v>
      </c>
      <c r="G4627" s="364" t="s">
        <v>1185</v>
      </c>
      <c r="H4627" s="364" t="s">
        <v>1220</v>
      </c>
    </row>
    <row r="4628" ht="15.75" customHeight="1">
      <c r="A4628" s="364" t="s">
        <v>85</v>
      </c>
      <c r="B4628" s="364" t="s">
        <v>23</v>
      </c>
      <c r="C4628" s="365" t="s">
        <v>739</v>
      </c>
      <c r="D4628" s="364" t="s">
        <v>740</v>
      </c>
      <c r="E4628" s="366">
        <v>7.0</v>
      </c>
      <c r="F4628" s="367">
        <v>45952.41666666667</v>
      </c>
      <c r="G4628" s="364" t="s">
        <v>1185</v>
      </c>
      <c r="H4628" s="364" t="s">
        <v>1220</v>
      </c>
    </row>
    <row r="4629" ht="15.75" customHeight="1">
      <c r="A4629" s="364" t="s">
        <v>85</v>
      </c>
      <c r="B4629" s="364" t="s">
        <v>23</v>
      </c>
      <c r="C4629" s="365" t="s">
        <v>739</v>
      </c>
      <c r="D4629" s="364" t="s">
        <v>740</v>
      </c>
      <c r="E4629" s="366">
        <v>8.0</v>
      </c>
      <c r="F4629" s="367">
        <v>45959.45833333333</v>
      </c>
      <c r="G4629" s="364" t="s">
        <v>1185</v>
      </c>
      <c r="H4629" s="364" t="s">
        <v>1220</v>
      </c>
    </row>
    <row r="4630" ht="15.75" customHeight="1">
      <c r="A4630" s="364" t="s">
        <v>85</v>
      </c>
      <c r="B4630" s="364" t="s">
        <v>23</v>
      </c>
      <c r="C4630" s="365" t="s">
        <v>739</v>
      </c>
      <c r="D4630" s="364" t="s">
        <v>740</v>
      </c>
      <c r="E4630" s="366">
        <v>9.0</v>
      </c>
      <c r="F4630" s="367">
        <v>45967.45833333333</v>
      </c>
      <c r="G4630" s="364" t="s">
        <v>1185</v>
      </c>
      <c r="H4630" s="364" t="s">
        <v>1220</v>
      </c>
    </row>
    <row r="4631" ht="15.75" customHeight="1">
      <c r="A4631" s="364" t="s">
        <v>85</v>
      </c>
      <c r="B4631" s="364" t="s">
        <v>23</v>
      </c>
      <c r="C4631" s="365" t="s">
        <v>739</v>
      </c>
      <c r="D4631" s="364" t="s">
        <v>740</v>
      </c>
      <c r="E4631" s="366">
        <v>10.0</v>
      </c>
      <c r="F4631" s="367">
        <v>45974.45833333333</v>
      </c>
      <c r="G4631" s="364" t="s">
        <v>1185</v>
      </c>
      <c r="H4631" s="364" t="s">
        <v>1220</v>
      </c>
    </row>
    <row r="4632" ht="15.75" customHeight="1">
      <c r="A4632" s="364" t="s">
        <v>85</v>
      </c>
      <c r="B4632" s="364" t="s">
        <v>23</v>
      </c>
      <c r="C4632" s="365" t="s">
        <v>739</v>
      </c>
      <c r="D4632" s="364" t="s">
        <v>740</v>
      </c>
      <c r="E4632" s="366">
        <v>11.0</v>
      </c>
      <c r="F4632" s="367">
        <v>45981.45833333333</v>
      </c>
      <c r="G4632" s="364" t="s">
        <v>1185</v>
      </c>
      <c r="H4632" s="364" t="s">
        <v>1220</v>
      </c>
    </row>
    <row r="4633" ht="15.75" customHeight="1">
      <c r="A4633" s="364" t="s">
        <v>85</v>
      </c>
      <c r="B4633" s="364" t="s">
        <v>23</v>
      </c>
      <c r="C4633" s="365" t="s">
        <v>739</v>
      </c>
      <c r="D4633" s="364" t="s">
        <v>740</v>
      </c>
      <c r="E4633" s="366">
        <v>12.0</v>
      </c>
      <c r="F4633" s="367">
        <v>45988.45833333333</v>
      </c>
      <c r="G4633" s="364" t="s">
        <v>1185</v>
      </c>
      <c r="H4633" s="364" t="s">
        <v>1220</v>
      </c>
    </row>
    <row r="4634" ht="15.75" customHeight="1">
      <c r="A4634" s="364" t="s">
        <v>85</v>
      </c>
      <c r="B4634" s="364" t="s">
        <v>23</v>
      </c>
      <c r="C4634" s="365" t="s">
        <v>739</v>
      </c>
      <c r="D4634" s="364" t="s">
        <v>740</v>
      </c>
      <c r="E4634" s="366">
        <v>13.0</v>
      </c>
      <c r="F4634" s="367">
        <v>45995.45833333333</v>
      </c>
      <c r="G4634" s="364" t="s">
        <v>1185</v>
      </c>
      <c r="H4634" s="364" t="s">
        <v>1220</v>
      </c>
    </row>
    <row r="4635" ht="15.75" customHeight="1">
      <c r="A4635" s="364" t="s">
        <v>85</v>
      </c>
      <c r="B4635" s="364" t="s">
        <v>23</v>
      </c>
      <c r="C4635" s="365" t="s">
        <v>739</v>
      </c>
      <c r="D4635" s="364" t="s">
        <v>740</v>
      </c>
      <c r="E4635" s="366">
        <v>14.0</v>
      </c>
      <c r="F4635" s="367">
        <v>46007.54166666667</v>
      </c>
      <c r="G4635" s="364" t="s">
        <v>1185</v>
      </c>
      <c r="H4635" s="364" t="s">
        <v>1220</v>
      </c>
    </row>
    <row r="4636" ht="15.75" customHeight="1">
      <c r="A4636" s="364" t="s">
        <v>85</v>
      </c>
      <c r="B4636" s="364" t="s">
        <v>23</v>
      </c>
      <c r="C4636" s="365" t="s">
        <v>739</v>
      </c>
      <c r="D4636" s="364" t="s">
        <v>740</v>
      </c>
      <c r="E4636" s="366">
        <v>15.0</v>
      </c>
      <c r="F4636" s="367">
        <v>46021.45833333333</v>
      </c>
      <c r="G4636" s="364" t="s">
        <v>1185</v>
      </c>
      <c r="H4636" s="364" t="s">
        <v>1220</v>
      </c>
    </row>
    <row r="4637" ht="15.75" customHeight="1">
      <c r="A4637" s="364" t="s">
        <v>85</v>
      </c>
      <c r="B4637" s="364" t="s">
        <v>23</v>
      </c>
      <c r="C4637" s="365" t="s">
        <v>739</v>
      </c>
      <c r="D4637" s="364" t="s">
        <v>740</v>
      </c>
      <c r="E4637" s="366">
        <v>16.0</v>
      </c>
      <c r="F4637" s="367">
        <v>46051.41666666667</v>
      </c>
      <c r="G4637" s="364" t="s">
        <v>1185</v>
      </c>
      <c r="H4637" s="364" t="s">
        <v>1220</v>
      </c>
    </row>
    <row r="4638" ht="15.75" customHeight="1">
      <c r="A4638" s="364" t="s">
        <v>86</v>
      </c>
      <c r="B4638" s="364" t="s">
        <v>22</v>
      </c>
      <c r="C4638" s="365" t="s">
        <v>553</v>
      </c>
      <c r="D4638" s="364" t="s">
        <v>554</v>
      </c>
      <c r="E4638" s="366">
        <v>2.0</v>
      </c>
      <c r="F4638" s="367">
        <v>45930.41666666667</v>
      </c>
      <c r="G4638" s="364" t="s">
        <v>1185</v>
      </c>
      <c r="H4638" s="364" t="s">
        <v>1221</v>
      </c>
    </row>
    <row r="4639" ht="15.75" customHeight="1">
      <c r="A4639" s="364" t="s">
        <v>86</v>
      </c>
      <c r="B4639" s="364" t="s">
        <v>22</v>
      </c>
      <c r="C4639" s="365" t="s">
        <v>553</v>
      </c>
      <c r="D4639" s="364" t="s">
        <v>554</v>
      </c>
      <c r="E4639" s="366">
        <v>3.0</v>
      </c>
      <c r="F4639" s="367">
        <v>45932.58333333333</v>
      </c>
      <c r="G4639" s="364" t="s">
        <v>1185</v>
      </c>
      <c r="H4639" s="364" t="s">
        <v>1221</v>
      </c>
    </row>
    <row r="4640" ht="15.75" customHeight="1">
      <c r="A4640" s="364" t="s">
        <v>86</v>
      </c>
      <c r="B4640" s="364" t="s">
        <v>22</v>
      </c>
      <c r="C4640" s="365" t="s">
        <v>553</v>
      </c>
      <c r="D4640" s="364" t="s">
        <v>554</v>
      </c>
      <c r="E4640" s="366">
        <v>4.0</v>
      </c>
      <c r="F4640" s="367">
        <v>45937.41666666667</v>
      </c>
      <c r="G4640" s="364" t="s">
        <v>1185</v>
      </c>
      <c r="H4640" s="364" t="s">
        <v>1221</v>
      </c>
    </row>
    <row r="4641" ht="15.75" customHeight="1">
      <c r="A4641" s="364" t="s">
        <v>86</v>
      </c>
      <c r="B4641" s="364" t="s">
        <v>22</v>
      </c>
      <c r="C4641" s="365" t="s">
        <v>553</v>
      </c>
      <c r="D4641" s="364" t="s">
        <v>554</v>
      </c>
      <c r="E4641" s="366">
        <v>5.0</v>
      </c>
      <c r="F4641" s="367">
        <v>45939.625</v>
      </c>
      <c r="G4641" s="364" t="s">
        <v>1185</v>
      </c>
      <c r="H4641" s="364" t="s">
        <v>1221</v>
      </c>
    </row>
    <row r="4642" ht="15.75" customHeight="1">
      <c r="A4642" s="364" t="s">
        <v>86</v>
      </c>
      <c r="B4642" s="364" t="s">
        <v>22</v>
      </c>
      <c r="C4642" s="365" t="s">
        <v>553</v>
      </c>
      <c r="D4642" s="364" t="s">
        <v>554</v>
      </c>
      <c r="E4642" s="366">
        <v>6.0</v>
      </c>
      <c r="F4642" s="367">
        <v>45951.41666666667</v>
      </c>
      <c r="G4642" s="364" t="s">
        <v>1185</v>
      </c>
      <c r="H4642" s="364" t="s">
        <v>1221</v>
      </c>
    </row>
    <row r="4643" ht="15.75" customHeight="1">
      <c r="A4643" s="364" t="s">
        <v>86</v>
      </c>
      <c r="B4643" s="364" t="s">
        <v>22</v>
      </c>
      <c r="C4643" s="365" t="s">
        <v>553</v>
      </c>
      <c r="D4643" s="364" t="s">
        <v>554</v>
      </c>
      <c r="E4643" s="366">
        <v>7.0</v>
      </c>
      <c r="F4643" s="367">
        <v>45953.625</v>
      </c>
      <c r="G4643" s="364" t="s">
        <v>1185</v>
      </c>
      <c r="H4643" s="364" t="s">
        <v>1221</v>
      </c>
    </row>
    <row r="4644" ht="15.75" customHeight="1">
      <c r="A4644" s="364" t="s">
        <v>86</v>
      </c>
      <c r="B4644" s="364" t="s">
        <v>22</v>
      </c>
      <c r="C4644" s="365" t="s">
        <v>553</v>
      </c>
      <c r="D4644" s="364" t="s">
        <v>554</v>
      </c>
      <c r="E4644" s="366">
        <v>8.0</v>
      </c>
      <c r="F4644" s="367">
        <v>45958.41666666667</v>
      </c>
      <c r="G4644" s="364" t="s">
        <v>1185</v>
      </c>
      <c r="H4644" s="364" t="s">
        <v>1221</v>
      </c>
    </row>
    <row r="4645" ht="15.75" customHeight="1">
      <c r="A4645" s="364" t="s">
        <v>86</v>
      </c>
      <c r="B4645" s="364" t="s">
        <v>22</v>
      </c>
      <c r="C4645" s="365" t="s">
        <v>553</v>
      </c>
      <c r="D4645" s="364" t="s">
        <v>554</v>
      </c>
      <c r="E4645" s="366">
        <v>9.0</v>
      </c>
      <c r="F4645" s="367">
        <v>45958.45833333333</v>
      </c>
      <c r="G4645" s="364" t="s">
        <v>1185</v>
      </c>
      <c r="H4645" s="364" t="s">
        <v>1221</v>
      </c>
    </row>
    <row r="4646" ht="15.75" customHeight="1">
      <c r="A4646" s="364" t="s">
        <v>86</v>
      </c>
      <c r="B4646" s="364" t="s">
        <v>22</v>
      </c>
      <c r="C4646" s="365" t="s">
        <v>553</v>
      </c>
      <c r="D4646" s="364" t="s">
        <v>554</v>
      </c>
      <c r="E4646" s="366">
        <v>10.0</v>
      </c>
      <c r="F4646" s="367">
        <v>45965.625</v>
      </c>
      <c r="G4646" s="364" t="s">
        <v>1185</v>
      </c>
      <c r="H4646" s="364" t="s">
        <v>1221</v>
      </c>
    </row>
    <row r="4647" ht="15.75" customHeight="1">
      <c r="A4647" s="364" t="s">
        <v>86</v>
      </c>
      <c r="B4647" s="364" t="s">
        <v>22</v>
      </c>
      <c r="C4647" s="365" t="s">
        <v>553</v>
      </c>
      <c r="D4647" s="364" t="s">
        <v>554</v>
      </c>
      <c r="E4647" s="366">
        <v>11.0</v>
      </c>
      <c r="F4647" s="367">
        <v>45972.625</v>
      </c>
      <c r="G4647" s="364" t="s">
        <v>1187</v>
      </c>
      <c r="H4647" s="364" t="s">
        <v>1221</v>
      </c>
    </row>
    <row r="4648" ht="15.75" customHeight="1">
      <c r="A4648" s="364" t="s">
        <v>86</v>
      </c>
      <c r="B4648" s="364" t="s">
        <v>22</v>
      </c>
      <c r="C4648" s="365" t="s">
        <v>553</v>
      </c>
      <c r="D4648" s="364" t="s">
        <v>554</v>
      </c>
      <c r="E4648" s="366">
        <v>12.0</v>
      </c>
      <c r="F4648" s="367">
        <v>45979.41666666667</v>
      </c>
      <c r="G4648" s="364" t="s">
        <v>1187</v>
      </c>
      <c r="H4648" s="364" t="s">
        <v>1221</v>
      </c>
    </row>
    <row r="4649" ht="15.75" customHeight="1">
      <c r="A4649" s="364" t="s">
        <v>86</v>
      </c>
      <c r="B4649" s="364" t="s">
        <v>22</v>
      </c>
      <c r="C4649" s="365" t="s">
        <v>553</v>
      </c>
      <c r="D4649" s="364" t="s">
        <v>554</v>
      </c>
      <c r="E4649" s="366">
        <v>13.0</v>
      </c>
      <c r="F4649" s="367">
        <v>45979.41666666667</v>
      </c>
      <c r="G4649" s="364" t="s">
        <v>1185</v>
      </c>
      <c r="H4649" s="364" t="s">
        <v>1221</v>
      </c>
    </row>
    <row r="4650" ht="15.75" customHeight="1">
      <c r="A4650" s="364" t="s">
        <v>86</v>
      </c>
      <c r="B4650" s="364" t="s">
        <v>22</v>
      </c>
      <c r="C4650" s="365" t="s">
        <v>553</v>
      </c>
      <c r="D4650" s="364" t="s">
        <v>554</v>
      </c>
      <c r="E4650" s="366">
        <v>14.0</v>
      </c>
      <c r="F4650" s="367">
        <v>45987.625</v>
      </c>
      <c r="G4650" s="364" t="s">
        <v>1185</v>
      </c>
      <c r="H4650" s="364" t="s">
        <v>1221</v>
      </c>
    </row>
    <row r="4651" ht="15.75" customHeight="1">
      <c r="A4651" s="364" t="s">
        <v>86</v>
      </c>
      <c r="B4651" s="364" t="s">
        <v>22</v>
      </c>
      <c r="C4651" s="365" t="s">
        <v>553</v>
      </c>
      <c r="D4651" s="364" t="s">
        <v>554</v>
      </c>
      <c r="E4651" s="366">
        <v>15.0</v>
      </c>
      <c r="F4651" s="367">
        <v>45993.41666666667</v>
      </c>
      <c r="G4651" s="364" t="s">
        <v>1185</v>
      </c>
      <c r="H4651" s="364" t="s">
        <v>1221</v>
      </c>
    </row>
    <row r="4652" ht="15.75" customHeight="1">
      <c r="A4652" s="364" t="s">
        <v>86</v>
      </c>
      <c r="B4652" s="364" t="s">
        <v>22</v>
      </c>
      <c r="C4652" s="365" t="s">
        <v>553</v>
      </c>
      <c r="D4652" s="364" t="s">
        <v>554</v>
      </c>
      <c r="E4652" s="366">
        <v>16.0</v>
      </c>
      <c r="F4652" s="367">
        <v>46000.625</v>
      </c>
      <c r="G4652" s="364" t="s">
        <v>1185</v>
      </c>
      <c r="H4652" s="364" t="s">
        <v>1221</v>
      </c>
    </row>
    <row r="4653" ht="15.75" customHeight="1">
      <c r="A4653" s="364" t="s">
        <v>86</v>
      </c>
      <c r="B4653" s="364" t="s">
        <v>22</v>
      </c>
      <c r="C4653" s="365" t="s">
        <v>555</v>
      </c>
      <c r="D4653" s="364" t="s">
        <v>556</v>
      </c>
      <c r="E4653" s="366">
        <v>2.0</v>
      </c>
      <c r="F4653" s="367">
        <v>45930.41666666667</v>
      </c>
      <c r="G4653" s="364" t="s">
        <v>1185</v>
      </c>
      <c r="H4653" s="364" t="s">
        <v>1221</v>
      </c>
    </row>
    <row r="4654" ht="15.75" customHeight="1">
      <c r="A4654" s="364" t="s">
        <v>86</v>
      </c>
      <c r="B4654" s="364" t="s">
        <v>22</v>
      </c>
      <c r="C4654" s="365" t="s">
        <v>555</v>
      </c>
      <c r="D4654" s="364" t="s">
        <v>556</v>
      </c>
      <c r="E4654" s="366">
        <v>3.0</v>
      </c>
      <c r="F4654" s="367">
        <v>45932.58333333333</v>
      </c>
      <c r="G4654" s="364" t="s">
        <v>1185</v>
      </c>
      <c r="H4654" s="364" t="s">
        <v>1221</v>
      </c>
    </row>
    <row r="4655" ht="15.75" customHeight="1">
      <c r="A4655" s="364" t="s">
        <v>86</v>
      </c>
      <c r="B4655" s="364" t="s">
        <v>22</v>
      </c>
      <c r="C4655" s="365" t="s">
        <v>555</v>
      </c>
      <c r="D4655" s="364" t="s">
        <v>556</v>
      </c>
      <c r="E4655" s="366">
        <v>4.0</v>
      </c>
      <c r="F4655" s="367">
        <v>45937.41666666667</v>
      </c>
      <c r="G4655" s="364" t="s">
        <v>1185</v>
      </c>
      <c r="H4655" s="364" t="s">
        <v>1221</v>
      </c>
    </row>
    <row r="4656" ht="15.75" customHeight="1">
      <c r="A4656" s="364" t="s">
        <v>86</v>
      </c>
      <c r="B4656" s="364" t="s">
        <v>22</v>
      </c>
      <c r="C4656" s="365" t="s">
        <v>555</v>
      </c>
      <c r="D4656" s="364" t="s">
        <v>556</v>
      </c>
      <c r="E4656" s="366">
        <v>5.0</v>
      </c>
      <c r="F4656" s="367">
        <v>45939.625</v>
      </c>
      <c r="G4656" s="364" t="s">
        <v>1187</v>
      </c>
      <c r="H4656" s="364" t="s">
        <v>1221</v>
      </c>
    </row>
    <row r="4657" ht="15.75" customHeight="1">
      <c r="A4657" s="364" t="s">
        <v>86</v>
      </c>
      <c r="B4657" s="364" t="s">
        <v>22</v>
      </c>
      <c r="C4657" s="365" t="s">
        <v>555</v>
      </c>
      <c r="D4657" s="364" t="s">
        <v>556</v>
      </c>
      <c r="E4657" s="366">
        <v>6.0</v>
      </c>
      <c r="F4657" s="367">
        <v>45951.41666666667</v>
      </c>
      <c r="G4657" s="364" t="s">
        <v>1185</v>
      </c>
      <c r="H4657" s="364" t="s">
        <v>1221</v>
      </c>
    </row>
    <row r="4658" ht="15.75" customHeight="1">
      <c r="A4658" s="364" t="s">
        <v>86</v>
      </c>
      <c r="B4658" s="364" t="s">
        <v>22</v>
      </c>
      <c r="C4658" s="365" t="s">
        <v>555</v>
      </c>
      <c r="D4658" s="364" t="s">
        <v>556</v>
      </c>
      <c r="E4658" s="366">
        <v>7.0</v>
      </c>
      <c r="F4658" s="367">
        <v>45953.625</v>
      </c>
      <c r="G4658" s="364" t="s">
        <v>1185</v>
      </c>
      <c r="H4658" s="364" t="s">
        <v>1221</v>
      </c>
    </row>
    <row r="4659" ht="15.75" customHeight="1">
      <c r="A4659" s="364" t="s">
        <v>86</v>
      </c>
      <c r="B4659" s="364" t="s">
        <v>22</v>
      </c>
      <c r="C4659" s="365" t="s">
        <v>555</v>
      </c>
      <c r="D4659" s="364" t="s">
        <v>556</v>
      </c>
      <c r="E4659" s="366">
        <v>8.0</v>
      </c>
      <c r="F4659" s="367">
        <v>45958.41666666667</v>
      </c>
      <c r="G4659" s="364" t="s">
        <v>1187</v>
      </c>
      <c r="H4659" s="364" t="s">
        <v>1221</v>
      </c>
    </row>
    <row r="4660" ht="15.75" customHeight="1">
      <c r="A4660" s="364" t="s">
        <v>86</v>
      </c>
      <c r="B4660" s="364" t="s">
        <v>22</v>
      </c>
      <c r="C4660" s="365" t="s">
        <v>555</v>
      </c>
      <c r="D4660" s="364" t="s">
        <v>556</v>
      </c>
      <c r="E4660" s="366">
        <v>9.0</v>
      </c>
      <c r="F4660" s="367">
        <v>45958.45833333333</v>
      </c>
      <c r="G4660" s="364" t="s">
        <v>1187</v>
      </c>
      <c r="H4660" s="364" t="s">
        <v>1221</v>
      </c>
    </row>
    <row r="4661" ht="15.75" customHeight="1">
      <c r="A4661" s="364" t="s">
        <v>86</v>
      </c>
      <c r="B4661" s="364" t="s">
        <v>22</v>
      </c>
      <c r="C4661" s="365" t="s">
        <v>555</v>
      </c>
      <c r="D4661" s="364" t="s">
        <v>556</v>
      </c>
      <c r="E4661" s="366">
        <v>10.0</v>
      </c>
      <c r="F4661" s="367">
        <v>45965.625</v>
      </c>
      <c r="G4661" s="364" t="s">
        <v>1185</v>
      </c>
      <c r="H4661" s="364" t="s">
        <v>1221</v>
      </c>
    </row>
    <row r="4662" ht="15.75" customHeight="1">
      <c r="A4662" s="364" t="s">
        <v>86</v>
      </c>
      <c r="B4662" s="364" t="s">
        <v>22</v>
      </c>
      <c r="C4662" s="365" t="s">
        <v>555</v>
      </c>
      <c r="D4662" s="364" t="s">
        <v>556</v>
      </c>
      <c r="E4662" s="366">
        <v>11.0</v>
      </c>
      <c r="F4662" s="367">
        <v>45972.625</v>
      </c>
      <c r="G4662" s="364" t="s">
        <v>1187</v>
      </c>
      <c r="H4662" s="364" t="s">
        <v>1221</v>
      </c>
    </row>
    <row r="4663" ht="15.75" customHeight="1">
      <c r="A4663" s="364" t="s">
        <v>86</v>
      </c>
      <c r="B4663" s="364" t="s">
        <v>22</v>
      </c>
      <c r="C4663" s="365" t="s">
        <v>555</v>
      </c>
      <c r="D4663" s="364" t="s">
        <v>556</v>
      </c>
      <c r="E4663" s="366">
        <v>12.0</v>
      </c>
      <c r="F4663" s="367">
        <v>45979.41666666667</v>
      </c>
      <c r="G4663" s="364" t="s">
        <v>1187</v>
      </c>
      <c r="H4663" s="364" t="s">
        <v>1221</v>
      </c>
    </row>
    <row r="4664" ht="15.75" customHeight="1">
      <c r="A4664" s="364" t="s">
        <v>86</v>
      </c>
      <c r="B4664" s="364" t="s">
        <v>22</v>
      </c>
      <c r="C4664" s="365" t="s">
        <v>555</v>
      </c>
      <c r="D4664" s="364" t="s">
        <v>556</v>
      </c>
      <c r="E4664" s="366">
        <v>13.0</v>
      </c>
      <c r="F4664" s="367">
        <v>45979.41666666667</v>
      </c>
      <c r="G4664" s="364" t="s">
        <v>1187</v>
      </c>
      <c r="H4664" s="364" t="s">
        <v>1221</v>
      </c>
    </row>
    <row r="4665" ht="15.75" customHeight="1">
      <c r="A4665" s="364" t="s">
        <v>86</v>
      </c>
      <c r="B4665" s="364" t="s">
        <v>22</v>
      </c>
      <c r="C4665" s="365" t="s">
        <v>555</v>
      </c>
      <c r="D4665" s="364" t="s">
        <v>556</v>
      </c>
      <c r="E4665" s="366">
        <v>14.0</v>
      </c>
      <c r="F4665" s="367">
        <v>45987.625</v>
      </c>
      <c r="G4665" s="364" t="s">
        <v>1187</v>
      </c>
      <c r="H4665" s="364" t="s">
        <v>1221</v>
      </c>
    </row>
    <row r="4666" ht="15.75" customHeight="1">
      <c r="A4666" s="364" t="s">
        <v>86</v>
      </c>
      <c r="B4666" s="364" t="s">
        <v>22</v>
      </c>
      <c r="C4666" s="365" t="s">
        <v>555</v>
      </c>
      <c r="D4666" s="364" t="s">
        <v>556</v>
      </c>
      <c r="E4666" s="366">
        <v>15.0</v>
      </c>
      <c r="F4666" s="367">
        <v>45993.41666666667</v>
      </c>
      <c r="G4666" s="364" t="s">
        <v>1187</v>
      </c>
      <c r="H4666" s="364" t="s">
        <v>1221</v>
      </c>
    </row>
    <row r="4667" ht="15.75" customHeight="1">
      <c r="A4667" s="364" t="s">
        <v>86</v>
      </c>
      <c r="B4667" s="364" t="s">
        <v>22</v>
      </c>
      <c r="C4667" s="365" t="s">
        <v>555</v>
      </c>
      <c r="D4667" s="364" t="s">
        <v>556</v>
      </c>
      <c r="E4667" s="366">
        <v>16.0</v>
      </c>
      <c r="F4667" s="367">
        <v>46000.625</v>
      </c>
      <c r="G4667" s="364" t="s">
        <v>1187</v>
      </c>
      <c r="H4667" s="364" t="s">
        <v>1221</v>
      </c>
    </row>
    <row r="4668" ht="15.75" customHeight="1">
      <c r="A4668" s="364" t="s">
        <v>86</v>
      </c>
      <c r="B4668" s="364" t="s">
        <v>22</v>
      </c>
      <c r="C4668" s="365" t="s">
        <v>544</v>
      </c>
      <c r="D4668" s="364" t="s">
        <v>545</v>
      </c>
      <c r="E4668" s="366">
        <v>2.0</v>
      </c>
      <c r="F4668" s="367">
        <v>45930.41666666667</v>
      </c>
      <c r="G4668" s="364" t="s">
        <v>1185</v>
      </c>
      <c r="H4668" s="364" t="s">
        <v>1221</v>
      </c>
    </row>
    <row r="4669" ht="15.75" customHeight="1">
      <c r="A4669" s="364" t="s">
        <v>86</v>
      </c>
      <c r="B4669" s="364" t="s">
        <v>22</v>
      </c>
      <c r="C4669" s="365" t="s">
        <v>544</v>
      </c>
      <c r="D4669" s="364" t="s">
        <v>545</v>
      </c>
      <c r="E4669" s="366">
        <v>3.0</v>
      </c>
      <c r="F4669" s="367">
        <v>45932.58333333333</v>
      </c>
      <c r="G4669" s="364" t="s">
        <v>1185</v>
      </c>
      <c r="H4669" s="364" t="s">
        <v>1221</v>
      </c>
    </row>
    <row r="4670" ht="15.75" customHeight="1">
      <c r="A4670" s="364" t="s">
        <v>86</v>
      </c>
      <c r="B4670" s="364" t="s">
        <v>22</v>
      </c>
      <c r="C4670" s="365" t="s">
        <v>544</v>
      </c>
      <c r="D4670" s="364" t="s">
        <v>545</v>
      </c>
      <c r="E4670" s="366">
        <v>4.0</v>
      </c>
      <c r="F4670" s="367">
        <v>45937.41666666667</v>
      </c>
      <c r="G4670" s="364" t="s">
        <v>1185</v>
      </c>
      <c r="H4670" s="364" t="s">
        <v>1221</v>
      </c>
    </row>
    <row r="4671" ht="15.75" customHeight="1">
      <c r="A4671" s="364" t="s">
        <v>86</v>
      </c>
      <c r="B4671" s="364" t="s">
        <v>22</v>
      </c>
      <c r="C4671" s="365" t="s">
        <v>544</v>
      </c>
      <c r="D4671" s="364" t="s">
        <v>545</v>
      </c>
      <c r="E4671" s="366">
        <v>5.0</v>
      </c>
      <c r="F4671" s="367">
        <v>45939.54166666667</v>
      </c>
      <c r="G4671" s="364" t="s">
        <v>1185</v>
      </c>
      <c r="H4671" s="364" t="s">
        <v>1221</v>
      </c>
    </row>
    <row r="4672" ht="15.75" customHeight="1">
      <c r="A4672" s="364" t="s">
        <v>86</v>
      </c>
      <c r="B4672" s="364" t="s">
        <v>22</v>
      </c>
      <c r="C4672" s="365" t="s">
        <v>544</v>
      </c>
      <c r="D4672" s="364" t="s">
        <v>545</v>
      </c>
      <c r="E4672" s="366">
        <v>6.0</v>
      </c>
      <c r="F4672" s="367">
        <v>45951.41666666667</v>
      </c>
      <c r="G4672" s="364" t="s">
        <v>1185</v>
      </c>
      <c r="H4672" s="364" t="s">
        <v>1221</v>
      </c>
    </row>
    <row r="4673" ht="15.75" customHeight="1">
      <c r="A4673" s="364" t="s">
        <v>86</v>
      </c>
      <c r="B4673" s="364" t="s">
        <v>22</v>
      </c>
      <c r="C4673" s="365" t="s">
        <v>544</v>
      </c>
      <c r="D4673" s="364" t="s">
        <v>545</v>
      </c>
      <c r="E4673" s="366">
        <v>7.0</v>
      </c>
      <c r="F4673" s="367">
        <v>45953.625</v>
      </c>
      <c r="G4673" s="364" t="s">
        <v>1185</v>
      </c>
      <c r="H4673" s="364" t="s">
        <v>1221</v>
      </c>
    </row>
    <row r="4674" ht="15.75" customHeight="1">
      <c r="A4674" s="364" t="s">
        <v>86</v>
      </c>
      <c r="B4674" s="364" t="s">
        <v>22</v>
      </c>
      <c r="C4674" s="365" t="s">
        <v>544</v>
      </c>
      <c r="D4674" s="364" t="s">
        <v>545</v>
      </c>
      <c r="E4674" s="366">
        <v>8.0</v>
      </c>
      <c r="F4674" s="367">
        <v>45958.41666666667</v>
      </c>
      <c r="G4674" s="364" t="s">
        <v>1185</v>
      </c>
      <c r="H4674" s="364" t="s">
        <v>1221</v>
      </c>
    </row>
    <row r="4675" ht="15.75" customHeight="1">
      <c r="A4675" s="364" t="s">
        <v>86</v>
      </c>
      <c r="B4675" s="364" t="s">
        <v>22</v>
      </c>
      <c r="C4675" s="365" t="s">
        <v>544</v>
      </c>
      <c r="D4675" s="364" t="s">
        <v>545</v>
      </c>
      <c r="E4675" s="366">
        <v>9.0</v>
      </c>
      <c r="F4675" s="367">
        <v>45958.45833333333</v>
      </c>
      <c r="G4675" s="364" t="s">
        <v>1185</v>
      </c>
      <c r="H4675" s="364" t="s">
        <v>1221</v>
      </c>
    </row>
    <row r="4676" ht="15.75" customHeight="1">
      <c r="A4676" s="364" t="s">
        <v>86</v>
      </c>
      <c r="B4676" s="364" t="s">
        <v>22</v>
      </c>
      <c r="C4676" s="365" t="s">
        <v>544</v>
      </c>
      <c r="D4676" s="364" t="s">
        <v>545</v>
      </c>
      <c r="E4676" s="366">
        <v>10.0</v>
      </c>
      <c r="F4676" s="367">
        <v>45965.625</v>
      </c>
      <c r="G4676" s="364" t="s">
        <v>1187</v>
      </c>
      <c r="H4676" s="364" t="s">
        <v>1221</v>
      </c>
    </row>
    <row r="4677" ht="15.75" customHeight="1">
      <c r="A4677" s="364" t="s">
        <v>86</v>
      </c>
      <c r="B4677" s="364" t="s">
        <v>22</v>
      </c>
      <c r="C4677" s="365" t="s">
        <v>544</v>
      </c>
      <c r="D4677" s="364" t="s">
        <v>545</v>
      </c>
      <c r="E4677" s="366">
        <v>11.0</v>
      </c>
      <c r="F4677" s="367">
        <v>45972.625</v>
      </c>
      <c r="G4677" s="364" t="s">
        <v>1185</v>
      </c>
      <c r="H4677" s="364" t="s">
        <v>1221</v>
      </c>
    </row>
    <row r="4678" ht="15.75" customHeight="1">
      <c r="A4678" s="364" t="s">
        <v>86</v>
      </c>
      <c r="B4678" s="364" t="s">
        <v>22</v>
      </c>
      <c r="C4678" s="365" t="s">
        <v>544</v>
      </c>
      <c r="D4678" s="364" t="s">
        <v>545</v>
      </c>
      <c r="E4678" s="366">
        <v>12.0</v>
      </c>
      <c r="F4678" s="367">
        <v>45979.41666666667</v>
      </c>
      <c r="G4678" s="364" t="s">
        <v>1185</v>
      </c>
      <c r="H4678" s="364" t="s">
        <v>1221</v>
      </c>
    </row>
    <row r="4679" ht="15.75" customHeight="1">
      <c r="A4679" s="364" t="s">
        <v>86</v>
      </c>
      <c r="B4679" s="364" t="s">
        <v>22</v>
      </c>
      <c r="C4679" s="365" t="s">
        <v>544</v>
      </c>
      <c r="D4679" s="364" t="s">
        <v>545</v>
      </c>
      <c r="E4679" s="366">
        <v>13.0</v>
      </c>
      <c r="F4679" s="367">
        <v>45979.41666666667</v>
      </c>
      <c r="G4679" s="364" t="s">
        <v>1185</v>
      </c>
      <c r="H4679" s="364" t="s">
        <v>1221</v>
      </c>
    </row>
    <row r="4680" ht="15.75" customHeight="1">
      <c r="A4680" s="364" t="s">
        <v>86</v>
      </c>
      <c r="B4680" s="364" t="s">
        <v>22</v>
      </c>
      <c r="C4680" s="365" t="s">
        <v>544</v>
      </c>
      <c r="D4680" s="364" t="s">
        <v>545</v>
      </c>
      <c r="E4680" s="366">
        <v>14.0</v>
      </c>
      <c r="F4680" s="367">
        <v>45987.625</v>
      </c>
      <c r="G4680" s="364" t="s">
        <v>1185</v>
      </c>
      <c r="H4680" s="364" t="s">
        <v>1221</v>
      </c>
    </row>
    <row r="4681" ht="15.75" customHeight="1">
      <c r="A4681" s="364" t="s">
        <v>86</v>
      </c>
      <c r="B4681" s="364" t="s">
        <v>22</v>
      </c>
      <c r="C4681" s="365" t="s">
        <v>544</v>
      </c>
      <c r="D4681" s="364" t="s">
        <v>545</v>
      </c>
      <c r="E4681" s="366">
        <v>15.0</v>
      </c>
      <c r="F4681" s="367">
        <v>45993.41666666667</v>
      </c>
      <c r="G4681" s="364" t="s">
        <v>1185</v>
      </c>
      <c r="H4681" s="364" t="s">
        <v>1221</v>
      </c>
    </row>
    <row r="4682" ht="15.75" customHeight="1">
      <c r="A4682" s="364" t="s">
        <v>86</v>
      </c>
      <c r="B4682" s="364" t="s">
        <v>22</v>
      </c>
      <c r="C4682" s="365" t="s">
        <v>544</v>
      </c>
      <c r="D4682" s="364" t="s">
        <v>545</v>
      </c>
      <c r="E4682" s="366">
        <v>16.0</v>
      </c>
      <c r="F4682" s="367">
        <v>46000.625</v>
      </c>
      <c r="G4682" s="364" t="s">
        <v>1185</v>
      </c>
      <c r="H4682" s="364" t="s">
        <v>1221</v>
      </c>
    </row>
    <row r="4683" ht="15.75" customHeight="1">
      <c r="A4683" s="364" t="s">
        <v>86</v>
      </c>
      <c r="B4683" s="364" t="s">
        <v>22</v>
      </c>
      <c r="C4683" s="365" t="s">
        <v>546</v>
      </c>
      <c r="D4683" s="364" t="s">
        <v>547</v>
      </c>
      <c r="E4683" s="366">
        <v>2.0</v>
      </c>
      <c r="F4683" s="367">
        <v>45930.41666666667</v>
      </c>
      <c r="G4683" s="364" t="s">
        <v>1185</v>
      </c>
      <c r="H4683" s="364" t="s">
        <v>1221</v>
      </c>
    </row>
    <row r="4684" ht="15.75" customHeight="1">
      <c r="A4684" s="364" t="s">
        <v>86</v>
      </c>
      <c r="B4684" s="364" t="s">
        <v>22</v>
      </c>
      <c r="C4684" s="365" t="s">
        <v>546</v>
      </c>
      <c r="D4684" s="364" t="s">
        <v>547</v>
      </c>
      <c r="E4684" s="366">
        <v>3.0</v>
      </c>
      <c r="F4684" s="367">
        <v>45932.58333333333</v>
      </c>
      <c r="G4684" s="364" t="s">
        <v>1185</v>
      </c>
      <c r="H4684" s="364" t="s">
        <v>1221</v>
      </c>
    </row>
    <row r="4685" ht="15.75" customHeight="1">
      <c r="A4685" s="364" t="s">
        <v>86</v>
      </c>
      <c r="B4685" s="364" t="s">
        <v>22</v>
      </c>
      <c r="C4685" s="365" t="s">
        <v>546</v>
      </c>
      <c r="D4685" s="364" t="s">
        <v>547</v>
      </c>
      <c r="E4685" s="366">
        <v>4.0</v>
      </c>
      <c r="F4685" s="367">
        <v>45937.41666666667</v>
      </c>
      <c r="G4685" s="364" t="s">
        <v>1185</v>
      </c>
      <c r="H4685" s="364" t="s">
        <v>1221</v>
      </c>
    </row>
    <row r="4686" ht="15.75" customHeight="1">
      <c r="A4686" s="364" t="s">
        <v>86</v>
      </c>
      <c r="B4686" s="364" t="s">
        <v>22</v>
      </c>
      <c r="C4686" s="365" t="s">
        <v>546</v>
      </c>
      <c r="D4686" s="364" t="s">
        <v>547</v>
      </c>
      <c r="E4686" s="366">
        <v>5.0</v>
      </c>
      <c r="F4686" s="367">
        <v>45939.625</v>
      </c>
      <c r="G4686" s="364" t="s">
        <v>1185</v>
      </c>
      <c r="H4686" s="364" t="s">
        <v>1221</v>
      </c>
    </row>
    <row r="4687" ht="15.75" customHeight="1">
      <c r="A4687" s="364" t="s">
        <v>86</v>
      </c>
      <c r="B4687" s="364" t="s">
        <v>22</v>
      </c>
      <c r="C4687" s="365" t="s">
        <v>546</v>
      </c>
      <c r="D4687" s="364" t="s">
        <v>547</v>
      </c>
      <c r="E4687" s="366">
        <v>6.0</v>
      </c>
      <c r="F4687" s="367">
        <v>45951.41666666667</v>
      </c>
      <c r="G4687" s="364" t="s">
        <v>1185</v>
      </c>
      <c r="H4687" s="364" t="s">
        <v>1221</v>
      </c>
    </row>
    <row r="4688" ht="15.75" customHeight="1">
      <c r="A4688" s="364" t="s">
        <v>86</v>
      </c>
      <c r="B4688" s="364" t="s">
        <v>22</v>
      </c>
      <c r="C4688" s="365" t="s">
        <v>546</v>
      </c>
      <c r="D4688" s="364" t="s">
        <v>547</v>
      </c>
      <c r="E4688" s="366">
        <v>7.0</v>
      </c>
      <c r="F4688" s="367">
        <v>45953.625</v>
      </c>
      <c r="G4688" s="364" t="s">
        <v>1185</v>
      </c>
      <c r="H4688" s="364" t="s">
        <v>1221</v>
      </c>
    </row>
    <row r="4689" ht="15.75" customHeight="1">
      <c r="A4689" s="364" t="s">
        <v>86</v>
      </c>
      <c r="B4689" s="364" t="s">
        <v>22</v>
      </c>
      <c r="C4689" s="365" t="s">
        <v>546</v>
      </c>
      <c r="D4689" s="364" t="s">
        <v>547</v>
      </c>
      <c r="E4689" s="366">
        <v>8.0</v>
      </c>
      <c r="F4689" s="367">
        <v>45958.41666666667</v>
      </c>
      <c r="G4689" s="364" t="s">
        <v>1185</v>
      </c>
      <c r="H4689" s="364" t="s">
        <v>1221</v>
      </c>
    </row>
    <row r="4690" ht="15.75" customHeight="1">
      <c r="A4690" s="364" t="s">
        <v>86</v>
      </c>
      <c r="B4690" s="364" t="s">
        <v>22</v>
      </c>
      <c r="C4690" s="365" t="s">
        <v>546</v>
      </c>
      <c r="D4690" s="364" t="s">
        <v>547</v>
      </c>
      <c r="E4690" s="366">
        <v>9.0</v>
      </c>
      <c r="F4690" s="367">
        <v>45958.45833333333</v>
      </c>
      <c r="G4690" s="364" t="s">
        <v>1185</v>
      </c>
      <c r="H4690" s="364" t="s">
        <v>1221</v>
      </c>
    </row>
    <row r="4691" ht="15.75" customHeight="1">
      <c r="A4691" s="364" t="s">
        <v>86</v>
      </c>
      <c r="B4691" s="364" t="s">
        <v>22</v>
      </c>
      <c r="C4691" s="365" t="s">
        <v>546</v>
      </c>
      <c r="D4691" s="364" t="s">
        <v>547</v>
      </c>
      <c r="E4691" s="366">
        <v>10.0</v>
      </c>
      <c r="F4691" s="367">
        <v>45965.625</v>
      </c>
      <c r="G4691" s="364" t="s">
        <v>1185</v>
      </c>
      <c r="H4691" s="364" t="s">
        <v>1221</v>
      </c>
    </row>
    <row r="4692" ht="15.75" customHeight="1">
      <c r="A4692" s="364" t="s">
        <v>86</v>
      </c>
      <c r="B4692" s="364" t="s">
        <v>22</v>
      </c>
      <c r="C4692" s="365" t="s">
        <v>546</v>
      </c>
      <c r="D4692" s="364" t="s">
        <v>547</v>
      </c>
      <c r="E4692" s="366">
        <v>11.0</v>
      </c>
      <c r="F4692" s="367">
        <v>45972.625</v>
      </c>
      <c r="G4692" s="364" t="s">
        <v>1187</v>
      </c>
      <c r="H4692" s="364" t="s">
        <v>1221</v>
      </c>
    </row>
    <row r="4693" ht="15.75" customHeight="1">
      <c r="A4693" s="364" t="s">
        <v>86</v>
      </c>
      <c r="B4693" s="364" t="s">
        <v>22</v>
      </c>
      <c r="C4693" s="365" t="s">
        <v>546</v>
      </c>
      <c r="D4693" s="364" t="s">
        <v>547</v>
      </c>
      <c r="E4693" s="366">
        <v>12.0</v>
      </c>
      <c r="F4693" s="367">
        <v>45979.41666666667</v>
      </c>
      <c r="G4693" s="364" t="s">
        <v>1185</v>
      </c>
      <c r="H4693" s="364" t="s">
        <v>1221</v>
      </c>
    </row>
    <row r="4694" ht="15.75" customHeight="1">
      <c r="A4694" s="364" t="s">
        <v>86</v>
      </c>
      <c r="B4694" s="364" t="s">
        <v>22</v>
      </c>
      <c r="C4694" s="365" t="s">
        <v>546</v>
      </c>
      <c r="D4694" s="364" t="s">
        <v>547</v>
      </c>
      <c r="E4694" s="366">
        <v>13.0</v>
      </c>
      <c r="F4694" s="367">
        <v>45979.41666666667</v>
      </c>
      <c r="G4694" s="364" t="s">
        <v>1185</v>
      </c>
      <c r="H4694" s="364" t="s">
        <v>1221</v>
      </c>
    </row>
    <row r="4695" ht="15.75" customHeight="1">
      <c r="A4695" s="364" t="s">
        <v>86</v>
      </c>
      <c r="B4695" s="364" t="s">
        <v>22</v>
      </c>
      <c r="C4695" s="365" t="s">
        <v>546</v>
      </c>
      <c r="D4695" s="364" t="s">
        <v>547</v>
      </c>
      <c r="E4695" s="366">
        <v>14.0</v>
      </c>
      <c r="F4695" s="367">
        <v>45987.625</v>
      </c>
      <c r="G4695" s="364" t="s">
        <v>1185</v>
      </c>
      <c r="H4695" s="364" t="s">
        <v>1221</v>
      </c>
    </row>
    <row r="4696" ht="15.75" customHeight="1">
      <c r="A4696" s="364" t="s">
        <v>86</v>
      </c>
      <c r="B4696" s="364" t="s">
        <v>22</v>
      </c>
      <c r="C4696" s="365" t="s">
        <v>546</v>
      </c>
      <c r="D4696" s="364" t="s">
        <v>547</v>
      </c>
      <c r="E4696" s="366">
        <v>15.0</v>
      </c>
      <c r="F4696" s="367">
        <v>45993.41666666667</v>
      </c>
      <c r="G4696" s="364" t="s">
        <v>1187</v>
      </c>
      <c r="H4696" s="364" t="s">
        <v>1221</v>
      </c>
    </row>
    <row r="4697" ht="15.75" customHeight="1">
      <c r="A4697" s="364" t="s">
        <v>86</v>
      </c>
      <c r="B4697" s="364" t="s">
        <v>22</v>
      </c>
      <c r="C4697" s="365" t="s">
        <v>546</v>
      </c>
      <c r="D4697" s="364" t="s">
        <v>547</v>
      </c>
      <c r="E4697" s="366">
        <v>16.0</v>
      </c>
      <c r="F4697" s="367">
        <v>46000.625</v>
      </c>
      <c r="G4697" s="364" t="s">
        <v>1185</v>
      </c>
      <c r="H4697" s="364" t="s">
        <v>1221</v>
      </c>
    </row>
    <row r="4698" ht="15.75" customHeight="1">
      <c r="A4698" s="364" t="s">
        <v>86</v>
      </c>
      <c r="B4698" s="364" t="s">
        <v>22</v>
      </c>
      <c r="C4698" s="365" t="s">
        <v>548</v>
      </c>
      <c r="D4698" s="364" t="s">
        <v>549</v>
      </c>
      <c r="E4698" s="366">
        <v>2.0</v>
      </c>
      <c r="F4698" s="367">
        <v>45930.41666666667</v>
      </c>
      <c r="G4698" s="364" t="s">
        <v>1185</v>
      </c>
      <c r="H4698" s="364" t="s">
        <v>1221</v>
      </c>
    </row>
    <row r="4699" ht="15.75" customHeight="1">
      <c r="A4699" s="364" t="s">
        <v>86</v>
      </c>
      <c r="B4699" s="364" t="s">
        <v>22</v>
      </c>
      <c r="C4699" s="365" t="s">
        <v>548</v>
      </c>
      <c r="D4699" s="364" t="s">
        <v>549</v>
      </c>
      <c r="E4699" s="366">
        <v>3.0</v>
      </c>
      <c r="F4699" s="367">
        <v>45932.58333333333</v>
      </c>
      <c r="G4699" s="364" t="s">
        <v>1185</v>
      </c>
      <c r="H4699" s="364" t="s">
        <v>1221</v>
      </c>
    </row>
    <row r="4700" ht="15.75" customHeight="1">
      <c r="A4700" s="364" t="s">
        <v>86</v>
      </c>
      <c r="B4700" s="364" t="s">
        <v>22</v>
      </c>
      <c r="C4700" s="365" t="s">
        <v>548</v>
      </c>
      <c r="D4700" s="364" t="s">
        <v>549</v>
      </c>
      <c r="E4700" s="366">
        <v>4.0</v>
      </c>
      <c r="F4700" s="367">
        <v>45937.41666666667</v>
      </c>
      <c r="G4700" s="364" t="s">
        <v>1185</v>
      </c>
      <c r="H4700" s="364" t="s">
        <v>1221</v>
      </c>
    </row>
    <row r="4701" ht="15.75" customHeight="1">
      <c r="A4701" s="364" t="s">
        <v>86</v>
      </c>
      <c r="B4701" s="364" t="s">
        <v>22</v>
      </c>
      <c r="C4701" s="365" t="s">
        <v>548</v>
      </c>
      <c r="D4701" s="364" t="s">
        <v>549</v>
      </c>
      <c r="E4701" s="366">
        <v>5.0</v>
      </c>
      <c r="F4701" s="367">
        <v>45939.625</v>
      </c>
      <c r="G4701" s="364" t="s">
        <v>1185</v>
      </c>
      <c r="H4701" s="364" t="s">
        <v>1221</v>
      </c>
    </row>
    <row r="4702" ht="15.75" customHeight="1">
      <c r="A4702" s="364" t="s">
        <v>86</v>
      </c>
      <c r="B4702" s="364" t="s">
        <v>22</v>
      </c>
      <c r="C4702" s="365" t="s">
        <v>548</v>
      </c>
      <c r="D4702" s="364" t="s">
        <v>549</v>
      </c>
      <c r="E4702" s="366">
        <v>6.0</v>
      </c>
      <c r="F4702" s="367">
        <v>45951.41666666667</v>
      </c>
      <c r="G4702" s="364" t="s">
        <v>1187</v>
      </c>
      <c r="H4702" s="364" t="s">
        <v>1221</v>
      </c>
    </row>
    <row r="4703" ht="15.75" customHeight="1">
      <c r="A4703" s="364" t="s">
        <v>86</v>
      </c>
      <c r="B4703" s="364" t="s">
        <v>22</v>
      </c>
      <c r="C4703" s="365" t="s">
        <v>548</v>
      </c>
      <c r="D4703" s="364" t="s">
        <v>549</v>
      </c>
      <c r="E4703" s="366">
        <v>7.0</v>
      </c>
      <c r="F4703" s="367">
        <v>45953.625</v>
      </c>
      <c r="G4703" s="364" t="s">
        <v>1185</v>
      </c>
      <c r="H4703" s="364" t="s">
        <v>1221</v>
      </c>
    </row>
    <row r="4704" ht="15.75" customHeight="1">
      <c r="A4704" s="364" t="s">
        <v>86</v>
      </c>
      <c r="B4704" s="364" t="s">
        <v>22</v>
      </c>
      <c r="C4704" s="365" t="s">
        <v>548</v>
      </c>
      <c r="D4704" s="364" t="s">
        <v>549</v>
      </c>
      <c r="E4704" s="366">
        <v>8.0</v>
      </c>
      <c r="F4704" s="367">
        <v>45958.41666666667</v>
      </c>
      <c r="G4704" s="364" t="s">
        <v>1185</v>
      </c>
      <c r="H4704" s="364" t="s">
        <v>1221</v>
      </c>
    </row>
    <row r="4705" ht="15.75" customHeight="1">
      <c r="A4705" s="364" t="s">
        <v>86</v>
      </c>
      <c r="B4705" s="364" t="s">
        <v>22</v>
      </c>
      <c r="C4705" s="365" t="s">
        <v>548</v>
      </c>
      <c r="D4705" s="364" t="s">
        <v>549</v>
      </c>
      <c r="E4705" s="366">
        <v>9.0</v>
      </c>
      <c r="F4705" s="367">
        <v>45958.45833333333</v>
      </c>
      <c r="G4705" s="364" t="s">
        <v>1185</v>
      </c>
      <c r="H4705" s="364" t="s">
        <v>1221</v>
      </c>
    </row>
    <row r="4706" ht="15.75" customHeight="1">
      <c r="A4706" s="364" t="s">
        <v>86</v>
      </c>
      <c r="B4706" s="364" t="s">
        <v>22</v>
      </c>
      <c r="C4706" s="365" t="s">
        <v>548</v>
      </c>
      <c r="D4706" s="364" t="s">
        <v>549</v>
      </c>
      <c r="E4706" s="366">
        <v>10.0</v>
      </c>
      <c r="F4706" s="367">
        <v>45965.625</v>
      </c>
      <c r="G4706" s="364" t="s">
        <v>1185</v>
      </c>
      <c r="H4706" s="364" t="s">
        <v>1221</v>
      </c>
    </row>
    <row r="4707" ht="15.75" customHeight="1">
      <c r="A4707" s="364" t="s">
        <v>86</v>
      </c>
      <c r="B4707" s="364" t="s">
        <v>22</v>
      </c>
      <c r="C4707" s="365" t="s">
        <v>548</v>
      </c>
      <c r="D4707" s="364" t="s">
        <v>549</v>
      </c>
      <c r="E4707" s="366">
        <v>11.0</v>
      </c>
      <c r="F4707" s="367">
        <v>45972.625</v>
      </c>
      <c r="G4707" s="364" t="s">
        <v>1185</v>
      </c>
      <c r="H4707" s="364" t="s">
        <v>1221</v>
      </c>
    </row>
    <row r="4708" ht="15.75" customHeight="1">
      <c r="A4708" s="364" t="s">
        <v>86</v>
      </c>
      <c r="B4708" s="364" t="s">
        <v>22</v>
      </c>
      <c r="C4708" s="365" t="s">
        <v>548</v>
      </c>
      <c r="D4708" s="364" t="s">
        <v>549</v>
      </c>
      <c r="E4708" s="366">
        <v>12.0</v>
      </c>
      <c r="F4708" s="367">
        <v>45979.41666666667</v>
      </c>
      <c r="G4708" s="364" t="s">
        <v>1185</v>
      </c>
      <c r="H4708" s="364" t="s">
        <v>1221</v>
      </c>
    </row>
    <row r="4709" ht="15.75" customHeight="1">
      <c r="A4709" s="364" t="s">
        <v>86</v>
      </c>
      <c r="B4709" s="364" t="s">
        <v>22</v>
      </c>
      <c r="C4709" s="365" t="s">
        <v>548</v>
      </c>
      <c r="D4709" s="364" t="s">
        <v>549</v>
      </c>
      <c r="E4709" s="366">
        <v>13.0</v>
      </c>
      <c r="F4709" s="367">
        <v>45979.41666666667</v>
      </c>
      <c r="G4709" s="364" t="s">
        <v>1185</v>
      </c>
      <c r="H4709" s="364" t="s">
        <v>1221</v>
      </c>
    </row>
    <row r="4710" ht="15.75" customHeight="1">
      <c r="A4710" s="364" t="s">
        <v>86</v>
      </c>
      <c r="B4710" s="364" t="s">
        <v>22</v>
      </c>
      <c r="C4710" s="365" t="s">
        <v>548</v>
      </c>
      <c r="D4710" s="364" t="s">
        <v>549</v>
      </c>
      <c r="E4710" s="366">
        <v>14.0</v>
      </c>
      <c r="F4710" s="367">
        <v>45987.625</v>
      </c>
      <c r="G4710" s="364" t="s">
        <v>1185</v>
      </c>
      <c r="H4710" s="364" t="s">
        <v>1221</v>
      </c>
    </row>
    <row r="4711" ht="15.75" customHeight="1">
      <c r="A4711" s="364" t="s">
        <v>86</v>
      </c>
      <c r="B4711" s="364" t="s">
        <v>22</v>
      </c>
      <c r="C4711" s="365" t="s">
        <v>548</v>
      </c>
      <c r="D4711" s="364" t="s">
        <v>549</v>
      </c>
      <c r="E4711" s="366">
        <v>15.0</v>
      </c>
      <c r="F4711" s="367">
        <v>45993.41666666667</v>
      </c>
      <c r="G4711" s="364" t="s">
        <v>1185</v>
      </c>
      <c r="H4711" s="364" t="s">
        <v>1221</v>
      </c>
    </row>
    <row r="4712" ht="15.75" customHeight="1">
      <c r="A4712" s="364" t="s">
        <v>86</v>
      </c>
      <c r="B4712" s="364" t="s">
        <v>22</v>
      </c>
      <c r="C4712" s="365" t="s">
        <v>548</v>
      </c>
      <c r="D4712" s="364" t="s">
        <v>549</v>
      </c>
      <c r="E4712" s="366">
        <v>16.0</v>
      </c>
      <c r="F4712" s="367">
        <v>46000.625</v>
      </c>
      <c r="G4712" s="364" t="s">
        <v>1185</v>
      </c>
      <c r="H4712" s="364" t="s">
        <v>1221</v>
      </c>
    </row>
    <row r="4713" ht="15.75" customHeight="1">
      <c r="A4713" s="364" t="s">
        <v>86</v>
      </c>
      <c r="B4713" s="364" t="s">
        <v>22</v>
      </c>
      <c r="C4713" s="365" t="s">
        <v>557</v>
      </c>
      <c r="D4713" s="364" t="s">
        <v>558</v>
      </c>
      <c r="E4713" s="366">
        <v>2.0</v>
      </c>
      <c r="F4713" s="367">
        <v>45930.41666666667</v>
      </c>
      <c r="G4713" s="364" t="s">
        <v>1185</v>
      </c>
      <c r="H4713" s="364" t="s">
        <v>1221</v>
      </c>
    </row>
    <row r="4714" ht="15.75" customHeight="1">
      <c r="A4714" s="364" t="s">
        <v>86</v>
      </c>
      <c r="B4714" s="364" t="s">
        <v>22</v>
      </c>
      <c r="C4714" s="365" t="s">
        <v>557</v>
      </c>
      <c r="D4714" s="364" t="s">
        <v>558</v>
      </c>
      <c r="E4714" s="366">
        <v>3.0</v>
      </c>
      <c r="F4714" s="367">
        <v>45932.58333333333</v>
      </c>
      <c r="G4714" s="364" t="s">
        <v>1185</v>
      </c>
      <c r="H4714" s="364" t="s">
        <v>1221</v>
      </c>
    </row>
    <row r="4715" ht="15.75" customHeight="1">
      <c r="A4715" s="364" t="s">
        <v>86</v>
      </c>
      <c r="B4715" s="364" t="s">
        <v>22</v>
      </c>
      <c r="C4715" s="365" t="s">
        <v>557</v>
      </c>
      <c r="D4715" s="364" t="s">
        <v>558</v>
      </c>
      <c r="E4715" s="366">
        <v>4.0</v>
      </c>
      <c r="F4715" s="367">
        <v>45937.41666666667</v>
      </c>
      <c r="G4715" s="364" t="s">
        <v>1185</v>
      </c>
      <c r="H4715" s="364" t="s">
        <v>1221</v>
      </c>
    </row>
    <row r="4716" ht="15.75" customHeight="1">
      <c r="A4716" s="364" t="s">
        <v>86</v>
      </c>
      <c r="B4716" s="364" t="s">
        <v>22</v>
      </c>
      <c r="C4716" s="365" t="s">
        <v>557</v>
      </c>
      <c r="D4716" s="364" t="s">
        <v>558</v>
      </c>
      <c r="E4716" s="366">
        <v>5.0</v>
      </c>
      <c r="F4716" s="367">
        <v>45939.625</v>
      </c>
      <c r="G4716" s="364" t="s">
        <v>1185</v>
      </c>
      <c r="H4716" s="364" t="s">
        <v>1221</v>
      </c>
    </row>
    <row r="4717" ht="15.75" customHeight="1">
      <c r="A4717" s="364" t="s">
        <v>86</v>
      </c>
      <c r="B4717" s="364" t="s">
        <v>22</v>
      </c>
      <c r="C4717" s="365" t="s">
        <v>557</v>
      </c>
      <c r="D4717" s="364" t="s">
        <v>558</v>
      </c>
      <c r="E4717" s="366">
        <v>6.0</v>
      </c>
      <c r="F4717" s="367">
        <v>45951.41666666667</v>
      </c>
      <c r="G4717" s="364" t="s">
        <v>1185</v>
      </c>
      <c r="H4717" s="364" t="s">
        <v>1221</v>
      </c>
    </row>
    <row r="4718" ht="15.75" customHeight="1">
      <c r="A4718" s="364" t="s">
        <v>86</v>
      </c>
      <c r="B4718" s="364" t="s">
        <v>22</v>
      </c>
      <c r="C4718" s="365" t="s">
        <v>557</v>
      </c>
      <c r="D4718" s="364" t="s">
        <v>558</v>
      </c>
      <c r="E4718" s="366">
        <v>7.0</v>
      </c>
      <c r="F4718" s="367">
        <v>45953.625</v>
      </c>
      <c r="G4718" s="364" t="s">
        <v>1185</v>
      </c>
      <c r="H4718" s="364" t="s">
        <v>1221</v>
      </c>
    </row>
    <row r="4719" ht="15.75" customHeight="1">
      <c r="A4719" s="364" t="s">
        <v>86</v>
      </c>
      <c r="B4719" s="364" t="s">
        <v>22</v>
      </c>
      <c r="C4719" s="365" t="s">
        <v>557</v>
      </c>
      <c r="D4719" s="364" t="s">
        <v>558</v>
      </c>
      <c r="E4719" s="366">
        <v>8.0</v>
      </c>
      <c r="F4719" s="367">
        <v>45958.41666666667</v>
      </c>
      <c r="G4719" s="364" t="s">
        <v>1185</v>
      </c>
      <c r="H4719" s="364" t="s">
        <v>1221</v>
      </c>
    </row>
    <row r="4720" ht="15.75" customHeight="1">
      <c r="A4720" s="364" t="s">
        <v>86</v>
      </c>
      <c r="B4720" s="364" t="s">
        <v>22</v>
      </c>
      <c r="C4720" s="365" t="s">
        <v>557</v>
      </c>
      <c r="D4720" s="364" t="s">
        <v>558</v>
      </c>
      <c r="E4720" s="366">
        <v>9.0</v>
      </c>
      <c r="F4720" s="367">
        <v>45958.45833333333</v>
      </c>
      <c r="G4720" s="364" t="s">
        <v>1185</v>
      </c>
      <c r="H4720" s="364" t="s">
        <v>1221</v>
      </c>
    </row>
    <row r="4721" ht="15.75" customHeight="1">
      <c r="A4721" s="364" t="s">
        <v>86</v>
      </c>
      <c r="B4721" s="364" t="s">
        <v>22</v>
      </c>
      <c r="C4721" s="365" t="s">
        <v>557</v>
      </c>
      <c r="D4721" s="364" t="s">
        <v>558</v>
      </c>
      <c r="E4721" s="366">
        <v>10.0</v>
      </c>
      <c r="F4721" s="367">
        <v>45965.625</v>
      </c>
      <c r="G4721" s="364" t="s">
        <v>1185</v>
      </c>
      <c r="H4721" s="364" t="s">
        <v>1221</v>
      </c>
    </row>
    <row r="4722" ht="15.75" customHeight="1">
      <c r="A4722" s="364" t="s">
        <v>86</v>
      </c>
      <c r="B4722" s="364" t="s">
        <v>22</v>
      </c>
      <c r="C4722" s="365" t="s">
        <v>557</v>
      </c>
      <c r="D4722" s="364" t="s">
        <v>558</v>
      </c>
      <c r="E4722" s="366">
        <v>11.0</v>
      </c>
      <c r="F4722" s="367">
        <v>45972.625</v>
      </c>
      <c r="G4722" s="364" t="s">
        <v>1185</v>
      </c>
      <c r="H4722" s="364" t="s">
        <v>1221</v>
      </c>
    </row>
    <row r="4723" ht="15.75" customHeight="1">
      <c r="A4723" s="364" t="s">
        <v>86</v>
      </c>
      <c r="B4723" s="364" t="s">
        <v>22</v>
      </c>
      <c r="C4723" s="365" t="s">
        <v>557</v>
      </c>
      <c r="D4723" s="364" t="s">
        <v>558</v>
      </c>
      <c r="E4723" s="366">
        <v>12.0</v>
      </c>
      <c r="F4723" s="367">
        <v>45979.41666666667</v>
      </c>
      <c r="G4723" s="364" t="s">
        <v>1187</v>
      </c>
      <c r="H4723" s="364" t="s">
        <v>1221</v>
      </c>
    </row>
    <row r="4724" ht="15.75" customHeight="1">
      <c r="A4724" s="364" t="s">
        <v>86</v>
      </c>
      <c r="B4724" s="364" t="s">
        <v>22</v>
      </c>
      <c r="C4724" s="365" t="s">
        <v>557</v>
      </c>
      <c r="D4724" s="364" t="s">
        <v>558</v>
      </c>
      <c r="E4724" s="366">
        <v>13.0</v>
      </c>
      <c r="F4724" s="367">
        <v>45979.41666666667</v>
      </c>
      <c r="G4724" s="364" t="s">
        <v>1187</v>
      </c>
      <c r="H4724" s="364" t="s">
        <v>1221</v>
      </c>
    </row>
    <row r="4725" ht="15.75" customHeight="1">
      <c r="A4725" s="364" t="s">
        <v>86</v>
      </c>
      <c r="B4725" s="364" t="s">
        <v>22</v>
      </c>
      <c r="C4725" s="365" t="s">
        <v>557</v>
      </c>
      <c r="D4725" s="364" t="s">
        <v>558</v>
      </c>
      <c r="E4725" s="366">
        <v>14.0</v>
      </c>
      <c r="F4725" s="367">
        <v>45987.625</v>
      </c>
      <c r="G4725" s="364" t="s">
        <v>1187</v>
      </c>
      <c r="H4725" s="364" t="s">
        <v>1221</v>
      </c>
    </row>
    <row r="4726" ht="15.75" customHeight="1">
      <c r="A4726" s="364" t="s">
        <v>86</v>
      </c>
      <c r="B4726" s="364" t="s">
        <v>22</v>
      </c>
      <c r="C4726" s="365" t="s">
        <v>557</v>
      </c>
      <c r="D4726" s="364" t="s">
        <v>558</v>
      </c>
      <c r="E4726" s="366">
        <v>15.0</v>
      </c>
      <c r="F4726" s="367">
        <v>45993.41666666667</v>
      </c>
      <c r="G4726" s="364" t="s">
        <v>1187</v>
      </c>
      <c r="H4726" s="364" t="s">
        <v>1221</v>
      </c>
    </row>
    <row r="4727" ht="15.75" customHeight="1">
      <c r="A4727" s="364" t="s">
        <v>86</v>
      </c>
      <c r="B4727" s="364" t="s">
        <v>22</v>
      </c>
      <c r="C4727" s="365" t="s">
        <v>557</v>
      </c>
      <c r="D4727" s="364" t="s">
        <v>558</v>
      </c>
      <c r="E4727" s="366">
        <v>16.0</v>
      </c>
      <c r="F4727" s="367">
        <v>46000.625</v>
      </c>
      <c r="G4727" s="364" t="s">
        <v>1187</v>
      </c>
      <c r="H4727" s="364" t="s">
        <v>1221</v>
      </c>
    </row>
    <row r="4728" ht="15.75" customHeight="1">
      <c r="A4728" s="364" t="s">
        <v>86</v>
      </c>
      <c r="B4728" s="364" t="s">
        <v>22</v>
      </c>
      <c r="C4728" s="365" t="s">
        <v>559</v>
      </c>
      <c r="D4728" s="364" t="s">
        <v>560</v>
      </c>
      <c r="E4728" s="366">
        <v>2.0</v>
      </c>
      <c r="F4728" s="367">
        <v>45930.41666666667</v>
      </c>
      <c r="G4728" s="364" t="s">
        <v>1185</v>
      </c>
      <c r="H4728" s="364" t="s">
        <v>1221</v>
      </c>
    </row>
    <row r="4729" ht="15.75" customHeight="1">
      <c r="A4729" s="364" t="s">
        <v>86</v>
      </c>
      <c r="B4729" s="364" t="s">
        <v>22</v>
      </c>
      <c r="C4729" s="365" t="s">
        <v>559</v>
      </c>
      <c r="D4729" s="364" t="s">
        <v>560</v>
      </c>
      <c r="E4729" s="366">
        <v>3.0</v>
      </c>
      <c r="F4729" s="367">
        <v>45932.58333333333</v>
      </c>
      <c r="G4729" s="364" t="s">
        <v>1185</v>
      </c>
      <c r="H4729" s="364" t="s">
        <v>1221</v>
      </c>
    </row>
    <row r="4730" ht="15.75" customHeight="1">
      <c r="A4730" s="364" t="s">
        <v>86</v>
      </c>
      <c r="B4730" s="364" t="s">
        <v>22</v>
      </c>
      <c r="C4730" s="365" t="s">
        <v>559</v>
      </c>
      <c r="D4730" s="364" t="s">
        <v>560</v>
      </c>
      <c r="E4730" s="366">
        <v>4.0</v>
      </c>
      <c r="F4730" s="367">
        <v>45937.41666666667</v>
      </c>
      <c r="G4730" s="364" t="s">
        <v>1187</v>
      </c>
      <c r="H4730" s="364" t="s">
        <v>1221</v>
      </c>
    </row>
    <row r="4731" ht="15.75" customHeight="1">
      <c r="A4731" s="364" t="s">
        <v>86</v>
      </c>
      <c r="B4731" s="364" t="s">
        <v>22</v>
      </c>
      <c r="C4731" s="365" t="s">
        <v>559</v>
      </c>
      <c r="D4731" s="364" t="s">
        <v>560</v>
      </c>
      <c r="E4731" s="366">
        <v>5.0</v>
      </c>
      <c r="F4731" s="367">
        <v>45939.625</v>
      </c>
      <c r="G4731" s="364" t="s">
        <v>1185</v>
      </c>
      <c r="H4731" s="364" t="s">
        <v>1221</v>
      </c>
    </row>
    <row r="4732" ht="15.75" customHeight="1">
      <c r="A4732" s="364" t="s">
        <v>86</v>
      </c>
      <c r="B4732" s="364" t="s">
        <v>22</v>
      </c>
      <c r="C4732" s="365" t="s">
        <v>559</v>
      </c>
      <c r="D4732" s="364" t="s">
        <v>560</v>
      </c>
      <c r="E4732" s="366">
        <v>6.0</v>
      </c>
      <c r="F4732" s="367">
        <v>45951.41666666667</v>
      </c>
      <c r="G4732" s="364" t="s">
        <v>1187</v>
      </c>
      <c r="H4732" s="364" t="s">
        <v>1221</v>
      </c>
    </row>
    <row r="4733" ht="15.75" customHeight="1">
      <c r="A4733" s="364" t="s">
        <v>86</v>
      </c>
      <c r="B4733" s="364" t="s">
        <v>22</v>
      </c>
      <c r="C4733" s="365" t="s">
        <v>559</v>
      </c>
      <c r="D4733" s="364" t="s">
        <v>560</v>
      </c>
      <c r="E4733" s="366">
        <v>7.0</v>
      </c>
      <c r="F4733" s="367">
        <v>45953.625</v>
      </c>
      <c r="G4733" s="364" t="s">
        <v>1185</v>
      </c>
      <c r="H4733" s="364" t="s">
        <v>1221</v>
      </c>
    </row>
    <row r="4734" ht="15.75" customHeight="1">
      <c r="A4734" s="364" t="s">
        <v>86</v>
      </c>
      <c r="B4734" s="364" t="s">
        <v>22</v>
      </c>
      <c r="C4734" s="365" t="s">
        <v>559</v>
      </c>
      <c r="D4734" s="364" t="s">
        <v>560</v>
      </c>
      <c r="E4734" s="366">
        <v>8.0</v>
      </c>
      <c r="F4734" s="367">
        <v>45958.41666666667</v>
      </c>
      <c r="G4734" s="364" t="s">
        <v>1187</v>
      </c>
      <c r="H4734" s="364" t="s">
        <v>1221</v>
      </c>
    </row>
    <row r="4735" ht="15.75" customHeight="1">
      <c r="A4735" s="364" t="s">
        <v>86</v>
      </c>
      <c r="B4735" s="364" t="s">
        <v>22</v>
      </c>
      <c r="C4735" s="365" t="s">
        <v>559</v>
      </c>
      <c r="D4735" s="364" t="s">
        <v>560</v>
      </c>
      <c r="E4735" s="366">
        <v>9.0</v>
      </c>
      <c r="F4735" s="367">
        <v>45958.45833333333</v>
      </c>
      <c r="G4735" s="364" t="s">
        <v>1185</v>
      </c>
      <c r="H4735" s="364" t="s">
        <v>1221</v>
      </c>
    </row>
    <row r="4736" ht="15.75" customHeight="1">
      <c r="A4736" s="364" t="s">
        <v>86</v>
      </c>
      <c r="B4736" s="364" t="s">
        <v>22</v>
      </c>
      <c r="C4736" s="365" t="s">
        <v>559</v>
      </c>
      <c r="D4736" s="364" t="s">
        <v>560</v>
      </c>
      <c r="E4736" s="366">
        <v>10.0</v>
      </c>
      <c r="F4736" s="367">
        <v>45965.625</v>
      </c>
      <c r="G4736" s="364" t="s">
        <v>1185</v>
      </c>
      <c r="H4736" s="364" t="s">
        <v>1221</v>
      </c>
    </row>
    <row r="4737" ht="15.75" customHeight="1">
      <c r="A4737" s="364" t="s">
        <v>86</v>
      </c>
      <c r="B4737" s="364" t="s">
        <v>22</v>
      </c>
      <c r="C4737" s="365" t="s">
        <v>559</v>
      </c>
      <c r="D4737" s="364" t="s">
        <v>560</v>
      </c>
      <c r="E4737" s="366">
        <v>11.0</v>
      </c>
      <c r="F4737" s="367">
        <v>45972.625</v>
      </c>
      <c r="G4737" s="364" t="s">
        <v>1187</v>
      </c>
      <c r="H4737" s="364" t="s">
        <v>1221</v>
      </c>
    </row>
    <row r="4738" ht="15.75" customHeight="1">
      <c r="A4738" s="364" t="s">
        <v>86</v>
      </c>
      <c r="B4738" s="364" t="s">
        <v>22</v>
      </c>
      <c r="C4738" s="365" t="s">
        <v>559</v>
      </c>
      <c r="D4738" s="364" t="s">
        <v>560</v>
      </c>
      <c r="E4738" s="366">
        <v>12.0</v>
      </c>
      <c r="F4738" s="367">
        <v>45979.41666666667</v>
      </c>
      <c r="G4738" s="364" t="s">
        <v>1185</v>
      </c>
      <c r="H4738" s="364" t="s">
        <v>1221</v>
      </c>
    </row>
    <row r="4739" ht="15.75" customHeight="1">
      <c r="A4739" s="364" t="s">
        <v>86</v>
      </c>
      <c r="B4739" s="364" t="s">
        <v>22</v>
      </c>
      <c r="C4739" s="365" t="s">
        <v>559</v>
      </c>
      <c r="D4739" s="364" t="s">
        <v>560</v>
      </c>
      <c r="E4739" s="366">
        <v>13.0</v>
      </c>
      <c r="F4739" s="367">
        <v>45979.41666666667</v>
      </c>
      <c r="G4739" s="364" t="s">
        <v>1185</v>
      </c>
      <c r="H4739" s="364" t="s">
        <v>1221</v>
      </c>
    </row>
    <row r="4740" ht="15.75" customHeight="1">
      <c r="A4740" s="364" t="s">
        <v>86</v>
      </c>
      <c r="B4740" s="364" t="s">
        <v>22</v>
      </c>
      <c r="C4740" s="365" t="s">
        <v>559</v>
      </c>
      <c r="D4740" s="364" t="s">
        <v>560</v>
      </c>
      <c r="E4740" s="366">
        <v>14.0</v>
      </c>
      <c r="F4740" s="367">
        <v>45987.625</v>
      </c>
      <c r="G4740" s="364" t="s">
        <v>1185</v>
      </c>
      <c r="H4740" s="364" t="s">
        <v>1221</v>
      </c>
    </row>
    <row r="4741" ht="15.75" customHeight="1">
      <c r="A4741" s="364" t="s">
        <v>86</v>
      </c>
      <c r="B4741" s="364" t="s">
        <v>22</v>
      </c>
      <c r="C4741" s="365" t="s">
        <v>559</v>
      </c>
      <c r="D4741" s="364" t="s">
        <v>560</v>
      </c>
      <c r="E4741" s="366">
        <v>15.0</v>
      </c>
      <c r="F4741" s="367">
        <v>45993.41666666667</v>
      </c>
      <c r="G4741" s="364" t="s">
        <v>1185</v>
      </c>
      <c r="H4741" s="364" t="s">
        <v>1221</v>
      </c>
    </row>
    <row r="4742" ht="15.75" customHeight="1">
      <c r="A4742" s="364" t="s">
        <v>86</v>
      </c>
      <c r="B4742" s="364" t="s">
        <v>22</v>
      </c>
      <c r="C4742" s="365" t="s">
        <v>559</v>
      </c>
      <c r="D4742" s="364" t="s">
        <v>560</v>
      </c>
      <c r="E4742" s="366">
        <v>16.0</v>
      </c>
      <c r="F4742" s="367">
        <v>46000.625</v>
      </c>
      <c r="G4742" s="364" t="s">
        <v>1185</v>
      </c>
      <c r="H4742" s="364" t="s">
        <v>1221</v>
      </c>
    </row>
    <row r="4743" ht="15.75" customHeight="1">
      <c r="A4743" s="364" t="s">
        <v>86</v>
      </c>
      <c r="B4743" s="364" t="s">
        <v>22</v>
      </c>
      <c r="C4743" s="365" t="s">
        <v>551</v>
      </c>
      <c r="D4743" s="364" t="s">
        <v>552</v>
      </c>
      <c r="E4743" s="366">
        <v>2.0</v>
      </c>
      <c r="F4743" s="367">
        <v>45930.41666666667</v>
      </c>
      <c r="G4743" s="364" t="s">
        <v>1185</v>
      </c>
      <c r="H4743" s="364" t="s">
        <v>1221</v>
      </c>
    </row>
    <row r="4744" ht="15.75" customHeight="1">
      <c r="A4744" s="364" t="s">
        <v>86</v>
      </c>
      <c r="B4744" s="364" t="s">
        <v>22</v>
      </c>
      <c r="C4744" s="365" t="s">
        <v>551</v>
      </c>
      <c r="D4744" s="364" t="s">
        <v>552</v>
      </c>
      <c r="E4744" s="366">
        <v>3.0</v>
      </c>
      <c r="F4744" s="367">
        <v>45932.58333333333</v>
      </c>
      <c r="G4744" s="364" t="s">
        <v>1185</v>
      </c>
      <c r="H4744" s="364" t="s">
        <v>1221</v>
      </c>
    </row>
    <row r="4745" ht="15.75" customHeight="1">
      <c r="A4745" s="364" t="s">
        <v>86</v>
      </c>
      <c r="B4745" s="364" t="s">
        <v>22</v>
      </c>
      <c r="C4745" s="365" t="s">
        <v>551</v>
      </c>
      <c r="D4745" s="364" t="s">
        <v>552</v>
      </c>
      <c r="E4745" s="366">
        <v>4.0</v>
      </c>
      <c r="F4745" s="367">
        <v>45937.41666666667</v>
      </c>
      <c r="G4745" s="364" t="s">
        <v>1185</v>
      </c>
      <c r="H4745" s="364" t="s">
        <v>1221</v>
      </c>
    </row>
    <row r="4746" ht="15.75" customHeight="1">
      <c r="A4746" s="364" t="s">
        <v>86</v>
      </c>
      <c r="B4746" s="364" t="s">
        <v>22</v>
      </c>
      <c r="C4746" s="365" t="s">
        <v>551</v>
      </c>
      <c r="D4746" s="364" t="s">
        <v>552</v>
      </c>
      <c r="E4746" s="366">
        <v>5.0</v>
      </c>
      <c r="F4746" s="367">
        <v>45939.625</v>
      </c>
      <c r="G4746" s="364" t="s">
        <v>1185</v>
      </c>
      <c r="H4746" s="364" t="s">
        <v>1221</v>
      </c>
    </row>
    <row r="4747" ht="15.75" customHeight="1">
      <c r="A4747" s="364" t="s">
        <v>86</v>
      </c>
      <c r="B4747" s="364" t="s">
        <v>22</v>
      </c>
      <c r="C4747" s="365" t="s">
        <v>551</v>
      </c>
      <c r="D4747" s="364" t="s">
        <v>552</v>
      </c>
      <c r="E4747" s="366">
        <v>6.0</v>
      </c>
      <c r="F4747" s="367">
        <v>45951.41666666667</v>
      </c>
      <c r="G4747" s="364" t="s">
        <v>1185</v>
      </c>
      <c r="H4747" s="364" t="s">
        <v>1221</v>
      </c>
    </row>
    <row r="4748" ht="15.75" customHeight="1">
      <c r="A4748" s="364" t="s">
        <v>86</v>
      </c>
      <c r="B4748" s="364" t="s">
        <v>22</v>
      </c>
      <c r="C4748" s="365" t="s">
        <v>551</v>
      </c>
      <c r="D4748" s="364" t="s">
        <v>552</v>
      </c>
      <c r="E4748" s="366">
        <v>7.0</v>
      </c>
      <c r="F4748" s="367">
        <v>45953.625</v>
      </c>
      <c r="G4748" s="364" t="s">
        <v>1185</v>
      </c>
      <c r="H4748" s="364" t="s">
        <v>1221</v>
      </c>
    </row>
    <row r="4749" ht="15.75" customHeight="1">
      <c r="A4749" s="364" t="s">
        <v>86</v>
      </c>
      <c r="B4749" s="364" t="s">
        <v>22</v>
      </c>
      <c r="C4749" s="365" t="s">
        <v>551</v>
      </c>
      <c r="D4749" s="364" t="s">
        <v>552</v>
      </c>
      <c r="E4749" s="366">
        <v>8.0</v>
      </c>
      <c r="F4749" s="367">
        <v>45958.41666666667</v>
      </c>
      <c r="G4749" s="364" t="s">
        <v>1187</v>
      </c>
      <c r="H4749" s="364" t="s">
        <v>1221</v>
      </c>
    </row>
    <row r="4750" ht="15.75" customHeight="1">
      <c r="A4750" s="364" t="s">
        <v>86</v>
      </c>
      <c r="B4750" s="364" t="s">
        <v>22</v>
      </c>
      <c r="C4750" s="365" t="s">
        <v>551</v>
      </c>
      <c r="D4750" s="364" t="s">
        <v>552</v>
      </c>
      <c r="E4750" s="366">
        <v>9.0</v>
      </c>
      <c r="F4750" s="367">
        <v>45958.45833333333</v>
      </c>
      <c r="G4750" s="364" t="s">
        <v>1187</v>
      </c>
      <c r="H4750" s="364" t="s">
        <v>1221</v>
      </c>
    </row>
    <row r="4751" ht="15.75" customHeight="1">
      <c r="A4751" s="364" t="s">
        <v>86</v>
      </c>
      <c r="B4751" s="364" t="s">
        <v>22</v>
      </c>
      <c r="C4751" s="365" t="s">
        <v>551</v>
      </c>
      <c r="D4751" s="364" t="s">
        <v>552</v>
      </c>
      <c r="E4751" s="366">
        <v>10.0</v>
      </c>
      <c r="F4751" s="367">
        <v>45965.625</v>
      </c>
      <c r="G4751" s="364" t="s">
        <v>1185</v>
      </c>
      <c r="H4751" s="364" t="s">
        <v>1221</v>
      </c>
    </row>
    <row r="4752" ht="15.75" customHeight="1">
      <c r="A4752" s="364" t="s">
        <v>86</v>
      </c>
      <c r="B4752" s="364" t="s">
        <v>22</v>
      </c>
      <c r="C4752" s="365" t="s">
        <v>551</v>
      </c>
      <c r="D4752" s="364" t="s">
        <v>552</v>
      </c>
      <c r="E4752" s="366">
        <v>11.0</v>
      </c>
      <c r="F4752" s="367">
        <v>45972.625</v>
      </c>
      <c r="G4752" s="364" t="s">
        <v>1185</v>
      </c>
      <c r="H4752" s="364" t="s">
        <v>1221</v>
      </c>
    </row>
    <row r="4753" ht="15.75" customHeight="1">
      <c r="A4753" s="364" t="s">
        <v>86</v>
      </c>
      <c r="B4753" s="364" t="s">
        <v>22</v>
      </c>
      <c r="C4753" s="365" t="s">
        <v>551</v>
      </c>
      <c r="D4753" s="364" t="s">
        <v>552</v>
      </c>
      <c r="E4753" s="366">
        <v>12.0</v>
      </c>
      <c r="F4753" s="367">
        <v>45979.41666666667</v>
      </c>
      <c r="G4753" s="364" t="s">
        <v>1187</v>
      </c>
      <c r="H4753" s="364" t="s">
        <v>1221</v>
      </c>
    </row>
    <row r="4754" ht="15.75" customHeight="1">
      <c r="A4754" s="364" t="s">
        <v>86</v>
      </c>
      <c r="B4754" s="364" t="s">
        <v>22</v>
      </c>
      <c r="C4754" s="365" t="s">
        <v>551</v>
      </c>
      <c r="D4754" s="364" t="s">
        <v>552</v>
      </c>
      <c r="E4754" s="366">
        <v>13.0</v>
      </c>
      <c r="F4754" s="367">
        <v>45979.41666666667</v>
      </c>
      <c r="G4754" s="364" t="s">
        <v>1185</v>
      </c>
      <c r="H4754" s="364" t="s">
        <v>1221</v>
      </c>
    </row>
    <row r="4755" ht="15.75" customHeight="1">
      <c r="A4755" s="364" t="s">
        <v>86</v>
      </c>
      <c r="B4755" s="364" t="s">
        <v>22</v>
      </c>
      <c r="C4755" s="365" t="s">
        <v>551</v>
      </c>
      <c r="D4755" s="364" t="s">
        <v>552</v>
      </c>
      <c r="E4755" s="366">
        <v>14.0</v>
      </c>
      <c r="F4755" s="367">
        <v>45987.625</v>
      </c>
      <c r="G4755" s="364" t="s">
        <v>1185</v>
      </c>
      <c r="H4755" s="364" t="s">
        <v>1221</v>
      </c>
    </row>
    <row r="4756" ht="15.75" customHeight="1">
      <c r="A4756" s="364" t="s">
        <v>86</v>
      </c>
      <c r="B4756" s="364" t="s">
        <v>22</v>
      </c>
      <c r="C4756" s="365" t="s">
        <v>551</v>
      </c>
      <c r="D4756" s="364" t="s">
        <v>552</v>
      </c>
      <c r="E4756" s="366">
        <v>15.0</v>
      </c>
      <c r="F4756" s="367">
        <v>45993.41666666667</v>
      </c>
      <c r="G4756" s="364" t="s">
        <v>1185</v>
      </c>
      <c r="H4756" s="364" t="s">
        <v>1221</v>
      </c>
    </row>
    <row r="4757" ht="15.75" customHeight="1">
      <c r="A4757" s="364" t="s">
        <v>86</v>
      </c>
      <c r="B4757" s="364" t="s">
        <v>22</v>
      </c>
      <c r="C4757" s="365" t="s">
        <v>551</v>
      </c>
      <c r="D4757" s="364" t="s">
        <v>552</v>
      </c>
      <c r="E4757" s="366">
        <v>16.0</v>
      </c>
      <c r="F4757" s="367">
        <v>46000.625</v>
      </c>
      <c r="G4757" s="364" t="s">
        <v>1185</v>
      </c>
      <c r="H4757" s="364" t="s">
        <v>1221</v>
      </c>
    </row>
    <row r="4758" ht="15.75" customHeight="1">
      <c r="A4758" s="364" t="s">
        <v>86</v>
      </c>
      <c r="B4758" s="364" t="s">
        <v>23</v>
      </c>
      <c r="C4758" s="365" t="s">
        <v>544</v>
      </c>
      <c r="D4758" s="364" t="s">
        <v>545</v>
      </c>
      <c r="E4758" s="366">
        <v>1.0</v>
      </c>
      <c r="F4758" s="367">
        <v>46098.625</v>
      </c>
      <c r="G4758" s="364" t="s">
        <v>1185</v>
      </c>
      <c r="H4758" s="364" t="s">
        <v>1221</v>
      </c>
    </row>
    <row r="4759" ht="15.75" customHeight="1">
      <c r="A4759" s="364" t="s">
        <v>86</v>
      </c>
      <c r="B4759" s="364" t="s">
        <v>23</v>
      </c>
      <c r="C4759" s="365" t="s">
        <v>544</v>
      </c>
      <c r="D4759" s="364" t="s">
        <v>545</v>
      </c>
      <c r="E4759" s="366">
        <v>2.0</v>
      </c>
      <c r="F4759" s="367">
        <v>46105.625</v>
      </c>
      <c r="G4759" s="364" t="s">
        <v>1185</v>
      </c>
      <c r="H4759" s="364" t="s">
        <v>1221</v>
      </c>
    </row>
    <row r="4760" ht="15.75" customHeight="1">
      <c r="A4760" s="364" t="s">
        <v>86</v>
      </c>
      <c r="B4760" s="364" t="s">
        <v>23</v>
      </c>
      <c r="C4760" s="365" t="s">
        <v>544</v>
      </c>
      <c r="D4760" s="364" t="s">
        <v>545</v>
      </c>
      <c r="E4760" s="366">
        <v>3.0</v>
      </c>
      <c r="F4760" s="367">
        <v>46112.625</v>
      </c>
      <c r="G4760" s="364" t="s">
        <v>1185</v>
      </c>
      <c r="H4760" s="364" t="s">
        <v>1221</v>
      </c>
    </row>
    <row r="4761" ht="15.75" customHeight="1">
      <c r="A4761" s="364" t="s">
        <v>86</v>
      </c>
      <c r="B4761" s="364" t="s">
        <v>23</v>
      </c>
      <c r="C4761" s="365" t="s">
        <v>544</v>
      </c>
      <c r="D4761" s="364" t="s">
        <v>545</v>
      </c>
      <c r="E4761" s="366">
        <v>4.0</v>
      </c>
      <c r="F4761" s="367">
        <v>46119.625</v>
      </c>
      <c r="G4761" s="364" t="s">
        <v>1185</v>
      </c>
      <c r="H4761" s="364" t="s">
        <v>1221</v>
      </c>
    </row>
    <row r="4762" ht="15.75" customHeight="1">
      <c r="A4762" s="364" t="s">
        <v>86</v>
      </c>
      <c r="B4762" s="364" t="s">
        <v>23</v>
      </c>
      <c r="C4762" s="365" t="s">
        <v>544</v>
      </c>
      <c r="D4762" s="364" t="s">
        <v>545</v>
      </c>
      <c r="E4762" s="366">
        <v>5.0</v>
      </c>
      <c r="F4762" s="367">
        <v>46149.625</v>
      </c>
      <c r="G4762" s="364" t="s">
        <v>1185</v>
      </c>
      <c r="H4762" s="364" t="s">
        <v>1221</v>
      </c>
    </row>
    <row r="4763" ht="15.75" customHeight="1">
      <c r="A4763" s="364" t="s">
        <v>86</v>
      </c>
      <c r="B4763" s="364" t="s">
        <v>23</v>
      </c>
      <c r="C4763" s="365" t="s">
        <v>544</v>
      </c>
      <c r="D4763" s="364" t="s">
        <v>545</v>
      </c>
      <c r="E4763" s="366">
        <v>6.0</v>
      </c>
      <c r="F4763" s="367">
        <v>46156.41666666667</v>
      </c>
      <c r="G4763" s="364" t="s">
        <v>1185</v>
      </c>
      <c r="H4763" s="364" t="s">
        <v>1221</v>
      </c>
    </row>
    <row r="4764" ht="15.75" customHeight="1">
      <c r="A4764" s="364" t="s">
        <v>86</v>
      </c>
      <c r="B4764" s="364" t="s">
        <v>23</v>
      </c>
      <c r="C4764" s="365" t="s">
        <v>544</v>
      </c>
      <c r="D4764" s="364" t="s">
        <v>545</v>
      </c>
      <c r="E4764" s="366">
        <v>7.0</v>
      </c>
      <c r="F4764" s="367">
        <v>46170.58333333333</v>
      </c>
      <c r="G4764" s="364" t="s">
        <v>1185</v>
      </c>
      <c r="H4764" s="364" t="s">
        <v>1221</v>
      </c>
    </row>
    <row r="4765" ht="15.75" customHeight="1">
      <c r="A4765" s="364" t="s">
        <v>86</v>
      </c>
      <c r="B4765" s="364" t="s">
        <v>23</v>
      </c>
      <c r="C4765" s="365" t="s">
        <v>544</v>
      </c>
      <c r="D4765" s="364" t="s">
        <v>545</v>
      </c>
      <c r="E4765" s="366">
        <v>8.0</v>
      </c>
      <c r="F4765" s="367">
        <v>46184.625</v>
      </c>
      <c r="G4765" s="364" t="s">
        <v>1185</v>
      </c>
      <c r="H4765" s="364" t="s">
        <v>1221</v>
      </c>
    </row>
    <row r="4766" ht="15.75" customHeight="1">
      <c r="A4766" s="364" t="s">
        <v>86</v>
      </c>
      <c r="B4766" s="364" t="s">
        <v>23</v>
      </c>
      <c r="C4766" s="365" t="s">
        <v>544</v>
      </c>
      <c r="D4766" s="364" t="s">
        <v>545</v>
      </c>
      <c r="E4766" s="366">
        <v>9.0</v>
      </c>
      <c r="F4766" s="367">
        <v>46196.625</v>
      </c>
      <c r="G4766" s="364" t="s">
        <v>1185</v>
      </c>
      <c r="H4766" s="364" t="s">
        <v>1221</v>
      </c>
    </row>
    <row r="4767" ht="15.75" customHeight="1">
      <c r="A4767" s="364" t="s">
        <v>86</v>
      </c>
      <c r="B4767" s="364" t="s">
        <v>23</v>
      </c>
      <c r="C4767" s="365" t="s">
        <v>544</v>
      </c>
      <c r="D4767" s="364" t="s">
        <v>545</v>
      </c>
      <c r="E4767" s="366">
        <v>10.0</v>
      </c>
      <c r="F4767" s="367">
        <v>46203.625</v>
      </c>
      <c r="G4767" s="364" t="s">
        <v>1185</v>
      </c>
      <c r="H4767" s="364" t="s">
        <v>1221</v>
      </c>
    </row>
    <row r="4768" ht="15.75" customHeight="1">
      <c r="A4768" s="364" t="s">
        <v>86</v>
      </c>
      <c r="B4768" s="364" t="s">
        <v>23</v>
      </c>
      <c r="C4768" s="365" t="s">
        <v>544</v>
      </c>
      <c r="D4768" s="364" t="s">
        <v>545</v>
      </c>
      <c r="E4768" s="366">
        <v>11.0</v>
      </c>
      <c r="F4768" s="367">
        <v>46210.625</v>
      </c>
      <c r="G4768" s="364" t="s">
        <v>1185</v>
      </c>
      <c r="H4768" s="364" t="s">
        <v>1221</v>
      </c>
    </row>
    <row r="4769" ht="15.75" customHeight="1">
      <c r="A4769" s="364" t="s">
        <v>86</v>
      </c>
      <c r="B4769" s="364" t="s">
        <v>23</v>
      </c>
      <c r="C4769" s="365" t="s">
        <v>546</v>
      </c>
      <c r="D4769" s="364" t="s">
        <v>547</v>
      </c>
      <c r="E4769" s="366">
        <v>1.0</v>
      </c>
      <c r="F4769" s="367">
        <v>46098.625</v>
      </c>
      <c r="G4769" s="364" t="s">
        <v>1185</v>
      </c>
      <c r="H4769" s="364" t="s">
        <v>1221</v>
      </c>
    </row>
    <row r="4770" ht="15.75" customHeight="1">
      <c r="A4770" s="364" t="s">
        <v>86</v>
      </c>
      <c r="B4770" s="364" t="s">
        <v>23</v>
      </c>
      <c r="C4770" s="365" t="s">
        <v>546</v>
      </c>
      <c r="D4770" s="364" t="s">
        <v>547</v>
      </c>
      <c r="E4770" s="366">
        <v>2.0</v>
      </c>
      <c r="F4770" s="367">
        <v>46105.625</v>
      </c>
      <c r="G4770" s="364" t="s">
        <v>1185</v>
      </c>
      <c r="H4770" s="364" t="s">
        <v>1221</v>
      </c>
    </row>
    <row r="4771" ht="15.75" customHeight="1">
      <c r="A4771" s="364" t="s">
        <v>86</v>
      </c>
      <c r="B4771" s="364" t="s">
        <v>23</v>
      </c>
      <c r="C4771" s="365" t="s">
        <v>546</v>
      </c>
      <c r="D4771" s="364" t="s">
        <v>547</v>
      </c>
      <c r="E4771" s="366">
        <v>3.0</v>
      </c>
      <c r="F4771" s="367">
        <v>46112.625</v>
      </c>
      <c r="G4771" s="364" t="s">
        <v>1185</v>
      </c>
      <c r="H4771" s="364" t="s">
        <v>1221</v>
      </c>
    </row>
    <row r="4772" ht="15.75" customHeight="1">
      <c r="A4772" s="364" t="s">
        <v>86</v>
      </c>
      <c r="B4772" s="364" t="s">
        <v>23</v>
      </c>
      <c r="C4772" s="365" t="s">
        <v>546</v>
      </c>
      <c r="D4772" s="364" t="s">
        <v>547</v>
      </c>
      <c r="E4772" s="366">
        <v>4.0</v>
      </c>
      <c r="F4772" s="367">
        <v>46119.625</v>
      </c>
      <c r="G4772" s="364" t="s">
        <v>1185</v>
      </c>
      <c r="H4772" s="364" t="s">
        <v>1221</v>
      </c>
    </row>
    <row r="4773" ht="15.75" customHeight="1">
      <c r="A4773" s="364" t="s">
        <v>86</v>
      </c>
      <c r="B4773" s="364" t="s">
        <v>23</v>
      </c>
      <c r="C4773" s="365" t="s">
        <v>546</v>
      </c>
      <c r="D4773" s="364" t="s">
        <v>547</v>
      </c>
      <c r="E4773" s="366">
        <v>5.0</v>
      </c>
      <c r="F4773" s="367">
        <v>46149.625</v>
      </c>
      <c r="G4773" s="364" t="s">
        <v>1185</v>
      </c>
      <c r="H4773" s="364" t="s">
        <v>1221</v>
      </c>
    </row>
    <row r="4774" ht="15.75" customHeight="1">
      <c r="A4774" s="364" t="s">
        <v>86</v>
      </c>
      <c r="B4774" s="364" t="s">
        <v>23</v>
      </c>
      <c r="C4774" s="365" t="s">
        <v>546</v>
      </c>
      <c r="D4774" s="364" t="s">
        <v>547</v>
      </c>
      <c r="E4774" s="366">
        <v>6.0</v>
      </c>
      <c r="F4774" s="367">
        <v>46156.41666666667</v>
      </c>
      <c r="G4774" s="364" t="s">
        <v>1185</v>
      </c>
      <c r="H4774" s="364" t="s">
        <v>1221</v>
      </c>
    </row>
    <row r="4775" ht="15.75" customHeight="1">
      <c r="A4775" s="364" t="s">
        <v>86</v>
      </c>
      <c r="B4775" s="364" t="s">
        <v>23</v>
      </c>
      <c r="C4775" s="365" t="s">
        <v>546</v>
      </c>
      <c r="D4775" s="364" t="s">
        <v>547</v>
      </c>
      <c r="E4775" s="366">
        <v>7.0</v>
      </c>
      <c r="F4775" s="367">
        <v>46170.58333333333</v>
      </c>
      <c r="G4775" s="364" t="s">
        <v>1185</v>
      </c>
      <c r="H4775" s="364" t="s">
        <v>1221</v>
      </c>
    </row>
    <row r="4776" ht="15.75" customHeight="1">
      <c r="A4776" s="364" t="s">
        <v>86</v>
      </c>
      <c r="B4776" s="364" t="s">
        <v>23</v>
      </c>
      <c r="C4776" s="365" t="s">
        <v>546</v>
      </c>
      <c r="D4776" s="364" t="s">
        <v>547</v>
      </c>
      <c r="E4776" s="366">
        <v>8.0</v>
      </c>
      <c r="F4776" s="367">
        <v>46184.625</v>
      </c>
      <c r="G4776" s="364" t="s">
        <v>1185</v>
      </c>
      <c r="H4776" s="364" t="s">
        <v>1221</v>
      </c>
    </row>
    <row r="4777" ht="15.75" customHeight="1">
      <c r="A4777" s="364" t="s">
        <v>86</v>
      </c>
      <c r="B4777" s="364" t="s">
        <v>23</v>
      </c>
      <c r="C4777" s="365" t="s">
        <v>546</v>
      </c>
      <c r="D4777" s="364" t="s">
        <v>547</v>
      </c>
      <c r="E4777" s="366">
        <v>9.0</v>
      </c>
      <c r="F4777" s="367">
        <v>46196.625</v>
      </c>
      <c r="G4777" s="364" t="s">
        <v>1185</v>
      </c>
      <c r="H4777" s="364" t="s">
        <v>1221</v>
      </c>
    </row>
    <row r="4778" ht="15.75" customHeight="1">
      <c r="A4778" s="364" t="s">
        <v>86</v>
      </c>
      <c r="B4778" s="364" t="s">
        <v>23</v>
      </c>
      <c r="C4778" s="365" t="s">
        <v>546</v>
      </c>
      <c r="D4778" s="364" t="s">
        <v>547</v>
      </c>
      <c r="E4778" s="366">
        <v>10.0</v>
      </c>
      <c r="F4778" s="367">
        <v>46203.625</v>
      </c>
      <c r="G4778" s="364" t="s">
        <v>1185</v>
      </c>
      <c r="H4778" s="364" t="s">
        <v>1221</v>
      </c>
    </row>
    <row r="4779" ht="15.75" customHeight="1">
      <c r="A4779" s="364" t="s">
        <v>86</v>
      </c>
      <c r="B4779" s="364" t="s">
        <v>23</v>
      </c>
      <c r="C4779" s="365" t="s">
        <v>546</v>
      </c>
      <c r="D4779" s="364" t="s">
        <v>547</v>
      </c>
      <c r="E4779" s="366">
        <v>11.0</v>
      </c>
      <c r="F4779" s="367">
        <v>46210.625</v>
      </c>
      <c r="G4779" s="364" t="s">
        <v>1185</v>
      </c>
      <c r="H4779" s="364" t="s">
        <v>1221</v>
      </c>
    </row>
    <row r="4780" ht="15.75" customHeight="1">
      <c r="A4780" s="364" t="s">
        <v>86</v>
      </c>
      <c r="B4780" s="364" t="s">
        <v>23</v>
      </c>
      <c r="C4780" s="365" t="s">
        <v>548</v>
      </c>
      <c r="D4780" s="364" t="s">
        <v>549</v>
      </c>
      <c r="E4780" s="366">
        <v>1.0</v>
      </c>
      <c r="F4780" s="367">
        <v>46098.625</v>
      </c>
      <c r="G4780" s="364" t="s">
        <v>1185</v>
      </c>
      <c r="H4780" s="364" t="s">
        <v>1221</v>
      </c>
    </row>
    <row r="4781" ht="15.75" customHeight="1">
      <c r="A4781" s="364" t="s">
        <v>86</v>
      </c>
      <c r="B4781" s="364" t="s">
        <v>23</v>
      </c>
      <c r="C4781" s="365" t="s">
        <v>548</v>
      </c>
      <c r="D4781" s="364" t="s">
        <v>549</v>
      </c>
      <c r="E4781" s="366">
        <v>2.0</v>
      </c>
      <c r="F4781" s="367">
        <v>46105.625</v>
      </c>
      <c r="G4781" s="364" t="s">
        <v>1185</v>
      </c>
      <c r="H4781" s="364" t="s">
        <v>1221</v>
      </c>
    </row>
    <row r="4782" ht="15.75" customHeight="1">
      <c r="A4782" s="364" t="s">
        <v>86</v>
      </c>
      <c r="B4782" s="364" t="s">
        <v>23</v>
      </c>
      <c r="C4782" s="365" t="s">
        <v>548</v>
      </c>
      <c r="D4782" s="364" t="s">
        <v>549</v>
      </c>
      <c r="E4782" s="366">
        <v>3.0</v>
      </c>
      <c r="F4782" s="367">
        <v>46112.625</v>
      </c>
      <c r="G4782" s="364" t="s">
        <v>1185</v>
      </c>
      <c r="H4782" s="364" t="s">
        <v>1221</v>
      </c>
    </row>
    <row r="4783" ht="15.75" customHeight="1">
      <c r="A4783" s="364" t="s">
        <v>86</v>
      </c>
      <c r="B4783" s="364" t="s">
        <v>23</v>
      </c>
      <c r="C4783" s="365" t="s">
        <v>548</v>
      </c>
      <c r="D4783" s="364" t="s">
        <v>549</v>
      </c>
      <c r="E4783" s="366">
        <v>4.0</v>
      </c>
      <c r="F4783" s="367">
        <v>46119.625</v>
      </c>
      <c r="G4783" s="364" t="s">
        <v>1185</v>
      </c>
      <c r="H4783" s="364" t="s">
        <v>1221</v>
      </c>
    </row>
    <row r="4784" ht="15.75" customHeight="1">
      <c r="A4784" s="364" t="s">
        <v>86</v>
      </c>
      <c r="B4784" s="364" t="s">
        <v>23</v>
      </c>
      <c r="C4784" s="365" t="s">
        <v>548</v>
      </c>
      <c r="D4784" s="364" t="s">
        <v>549</v>
      </c>
      <c r="E4784" s="366">
        <v>5.0</v>
      </c>
      <c r="F4784" s="367">
        <v>46149.625</v>
      </c>
      <c r="G4784" s="364" t="s">
        <v>1185</v>
      </c>
      <c r="H4784" s="364" t="s">
        <v>1221</v>
      </c>
    </row>
    <row r="4785" ht="15.75" customHeight="1">
      <c r="A4785" s="364" t="s">
        <v>86</v>
      </c>
      <c r="B4785" s="364" t="s">
        <v>23</v>
      </c>
      <c r="C4785" s="365" t="s">
        <v>548</v>
      </c>
      <c r="D4785" s="364" t="s">
        <v>549</v>
      </c>
      <c r="E4785" s="366">
        <v>6.0</v>
      </c>
      <c r="F4785" s="367">
        <v>46156.41666666667</v>
      </c>
      <c r="G4785" s="364" t="s">
        <v>1185</v>
      </c>
      <c r="H4785" s="364" t="s">
        <v>1221</v>
      </c>
    </row>
    <row r="4786" ht="15.75" customHeight="1">
      <c r="A4786" s="364" t="s">
        <v>86</v>
      </c>
      <c r="B4786" s="364" t="s">
        <v>23</v>
      </c>
      <c r="C4786" s="365" t="s">
        <v>548</v>
      </c>
      <c r="D4786" s="364" t="s">
        <v>549</v>
      </c>
      <c r="E4786" s="366">
        <v>7.0</v>
      </c>
      <c r="F4786" s="367">
        <v>46170.58333333333</v>
      </c>
      <c r="G4786" s="364" t="s">
        <v>1185</v>
      </c>
      <c r="H4786" s="364" t="s">
        <v>1221</v>
      </c>
    </row>
    <row r="4787" ht="15.75" customHeight="1">
      <c r="A4787" s="364" t="s">
        <v>86</v>
      </c>
      <c r="B4787" s="364" t="s">
        <v>23</v>
      </c>
      <c r="C4787" s="365" t="s">
        <v>548</v>
      </c>
      <c r="D4787" s="364" t="s">
        <v>549</v>
      </c>
      <c r="E4787" s="366">
        <v>8.0</v>
      </c>
      <c r="F4787" s="367">
        <v>46184.625</v>
      </c>
      <c r="G4787" s="364" t="s">
        <v>1185</v>
      </c>
      <c r="H4787" s="364" t="s">
        <v>1221</v>
      </c>
    </row>
    <row r="4788" ht="15.75" customHeight="1">
      <c r="A4788" s="364" t="s">
        <v>86</v>
      </c>
      <c r="B4788" s="364" t="s">
        <v>23</v>
      </c>
      <c r="C4788" s="365" t="s">
        <v>548</v>
      </c>
      <c r="D4788" s="364" t="s">
        <v>549</v>
      </c>
      <c r="E4788" s="366">
        <v>9.0</v>
      </c>
      <c r="F4788" s="367">
        <v>46196.625</v>
      </c>
      <c r="G4788" s="364" t="s">
        <v>1185</v>
      </c>
      <c r="H4788" s="364" t="s">
        <v>1221</v>
      </c>
    </row>
    <row r="4789" ht="15.75" customHeight="1">
      <c r="A4789" s="364" t="s">
        <v>86</v>
      </c>
      <c r="B4789" s="364" t="s">
        <v>23</v>
      </c>
      <c r="C4789" s="365" t="s">
        <v>548</v>
      </c>
      <c r="D4789" s="364" t="s">
        <v>549</v>
      </c>
      <c r="E4789" s="366">
        <v>10.0</v>
      </c>
      <c r="F4789" s="367">
        <v>46203.625</v>
      </c>
      <c r="G4789" s="364" t="s">
        <v>1185</v>
      </c>
      <c r="H4789" s="364" t="s">
        <v>1221</v>
      </c>
    </row>
    <row r="4790" ht="15.75" customHeight="1">
      <c r="A4790" s="364" t="s">
        <v>86</v>
      </c>
      <c r="B4790" s="364" t="s">
        <v>23</v>
      </c>
      <c r="C4790" s="365" t="s">
        <v>548</v>
      </c>
      <c r="D4790" s="364" t="s">
        <v>549</v>
      </c>
      <c r="E4790" s="366">
        <v>11.0</v>
      </c>
      <c r="F4790" s="367">
        <v>46210.625</v>
      </c>
      <c r="G4790" s="364" t="s">
        <v>1185</v>
      </c>
      <c r="H4790" s="364" t="s">
        <v>1221</v>
      </c>
    </row>
    <row r="4791" ht="15.75" customHeight="1">
      <c r="A4791" s="364" t="s">
        <v>86</v>
      </c>
      <c r="B4791" s="364" t="s">
        <v>23</v>
      </c>
      <c r="C4791" s="365" t="s">
        <v>551</v>
      </c>
      <c r="D4791" s="364" t="s">
        <v>552</v>
      </c>
      <c r="E4791" s="366">
        <v>1.0</v>
      </c>
      <c r="F4791" s="367">
        <v>46098.625</v>
      </c>
      <c r="G4791" s="364" t="s">
        <v>1185</v>
      </c>
      <c r="H4791" s="364" t="s">
        <v>1221</v>
      </c>
    </row>
    <row r="4792" ht="15.75" customHeight="1">
      <c r="A4792" s="364" t="s">
        <v>86</v>
      </c>
      <c r="B4792" s="364" t="s">
        <v>23</v>
      </c>
      <c r="C4792" s="365" t="s">
        <v>551</v>
      </c>
      <c r="D4792" s="364" t="s">
        <v>552</v>
      </c>
      <c r="E4792" s="366">
        <v>2.0</v>
      </c>
      <c r="F4792" s="367">
        <v>46105.625</v>
      </c>
      <c r="G4792" s="364" t="s">
        <v>1185</v>
      </c>
      <c r="H4792" s="364" t="s">
        <v>1221</v>
      </c>
    </row>
    <row r="4793" ht="15.75" customHeight="1">
      <c r="A4793" s="364" t="s">
        <v>86</v>
      </c>
      <c r="B4793" s="364" t="s">
        <v>23</v>
      </c>
      <c r="C4793" s="365" t="s">
        <v>551</v>
      </c>
      <c r="D4793" s="364" t="s">
        <v>552</v>
      </c>
      <c r="E4793" s="366">
        <v>3.0</v>
      </c>
      <c r="F4793" s="367">
        <v>46112.625</v>
      </c>
      <c r="G4793" s="364" t="s">
        <v>1185</v>
      </c>
      <c r="H4793" s="364" t="s">
        <v>1221</v>
      </c>
    </row>
    <row r="4794" ht="15.75" customHeight="1">
      <c r="A4794" s="364" t="s">
        <v>86</v>
      </c>
      <c r="B4794" s="364" t="s">
        <v>23</v>
      </c>
      <c r="C4794" s="365" t="s">
        <v>551</v>
      </c>
      <c r="D4794" s="364" t="s">
        <v>552</v>
      </c>
      <c r="E4794" s="366">
        <v>4.0</v>
      </c>
      <c r="F4794" s="367">
        <v>46119.625</v>
      </c>
      <c r="G4794" s="364" t="s">
        <v>1185</v>
      </c>
      <c r="H4794" s="364" t="s">
        <v>1221</v>
      </c>
    </row>
    <row r="4795" ht="15.75" customHeight="1">
      <c r="A4795" s="364" t="s">
        <v>86</v>
      </c>
      <c r="B4795" s="364" t="s">
        <v>23</v>
      </c>
      <c r="C4795" s="365" t="s">
        <v>551</v>
      </c>
      <c r="D4795" s="364" t="s">
        <v>552</v>
      </c>
      <c r="E4795" s="366">
        <v>5.0</v>
      </c>
      <c r="F4795" s="367">
        <v>46149.625</v>
      </c>
      <c r="G4795" s="364" t="s">
        <v>1185</v>
      </c>
      <c r="H4795" s="364" t="s">
        <v>1221</v>
      </c>
    </row>
    <row r="4796" ht="15.75" customHeight="1">
      <c r="A4796" s="364" t="s">
        <v>86</v>
      </c>
      <c r="B4796" s="364" t="s">
        <v>23</v>
      </c>
      <c r="C4796" s="365" t="s">
        <v>551</v>
      </c>
      <c r="D4796" s="364" t="s">
        <v>552</v>
      </c>
      <c r="E4796" s="366">
        <v>6.0</v>
      </c>
      <c r="F4796" s="367">
        <v>46156.41666666667</v>
      </c>
      <c r="G4796" s="364" t="s">
        <v>1185</v>
      </c>
      <c r="H4796" s="364" t="s">
        <v>1221</v>
      </c>
    </row>
    <row r="4797" ht="15.75" customHeight="1">
      <c r="A4797" s="364" t="s">
        <v>86</v>
      </c>
      <c r="B4797" s="364" t="s">
        <v>23</v>
      </c>
      <c r="C4797" s="365" t="s">
        <v>551</v>
      </c>
      <c r="D4797" s="364" t="s">
        <v>552</v>
      </c>
      <c r="E4797" s="366">
        <v>7.0</v>
      </c>
      <c r="F4797" s="367">
        <v>46170.58333333333</v>
      </c>
      <c r="G4797" s="364" t="s">
        <v>1185</v>
      </c>
      <c r="H4797" s="364" t="s">
        <v>1221</v>
      </c>
    </row>
    <row r="4798" ht="15.75" customHeight="1">
      <c r="A4798" s="364" t="s">
        <v>86</v>
      </c>
      <c r="B4798" s="364" t="s">
        <v>23</v>
      </c>
      <c r="C4798" s="365" t="s">
        <v>551</v>
      </c>
      <c r="D4798" s="364" t="s">
        <v>552</v>
      </c>
      <c r="E4798" s="366">
        <v>8.0</v>
      </c>
      <c r="F4798" s="367">
        <v>46184.625</v>
      </c>
      <c r="G4798" s="364" t="s">
        <v>1185</v>
      </c>
      <c r="H4798" s="364" t="s">
        <v>1221</v>
      </c>
    </row>
    <row r="4799" ht="15.75" customHeight="1">
      <c r="A4799" s="364" t="s">
        <v>86</v>
      </c>
      <c r="B4799" s="364" t="s">
        <v>23</v>
      </c>
      <c r="C4799" s="365" t="s">
        <v>551</v>
      </c>
      <c r="D4799" s="364" t="s">
        <v>552</v>
      </c>
      <c r="E4799" s="366">
        <v>9.0</v>
      </c>
      <c r="F4799" s="367">
        <v>46196.625</v>
      </c>
      <c r="G4799" s="364" t="s">
        <v>1185</v>
      </c>
      <c r="H4799" s="364" t="s">
        <v>1221</v>
      </c>
    </row>
    <row r="4800" ht="15.75" customHeight="1">
      <c r="A4800" s="364" t="s">
        <v>86</v>
      </c>
      <c r="B4800" s="364" t="s">
        <v>23</v>
      </c>
      <c r="C4800" s="365" t="s">
        <v>551</v>
      </c>
      <c r="D4800" s="364" t="s">
        <v>552</v>
      </c>
      <c r="E4800" s="366">
        <v>10.0</v>
      </c>
      <c r="F4800" s="367">
        <v>46203.625</v>
      </c>
      <c r="G4800" s="364" t="s">
        <v>1185</v>
      </c>
      <c r="H4800" s="364" t="s">
        <v>1221</v>
      </c>
    </row>
    <row r="4801" ht="15.75" customHeight="1">
      <c r="A4801" s="364" t="s">
        <v>86</v>
      </c>
      <c r="B4801" s="364" t="s">
        <v>23</v>
      </c>
      <c r="C4801" s="365" t="s">
        <v>551</v>
      </c>
      <c r="D4801" s="364" t="s">
        <v>552</v>
      </c>
      <c r="E4801" s="366">
        <v>11.0</v>
      </c>
      <c r="F4801" s="367">
        <v>46210.625</v>
      </c>
      <c r="G4801" s="364" t="s">
        <v>1185</v>
      </c>
      <c r="H4801" s="364" t="s">
        <v>1221</v>
      </c>
    </row>
    <row r="4802" ht="15.75" customHeight="1">
      <c r="A4802" s="364" t="s">
        <v>86</v>
      </c>
      <c r="B4802" s="364" t="s">
        <v>23</v>
      </c>
      <c r="C4802" s="365" t="s">
        <v>579</v>
      </c>
      <c r="D4802" s="364" t="s">
        <v>580</v>
      </c>
      <c r="E4802" s="366">
        <v>10.0</v>
      </c>
      <c r="F4802" s="367">
        <v>46203.625</v>
      </c>
      <c r="G4802" s="364" t="s">
        <v>1185</v>
      </c>
      <c r="H4802" s="364" t="s">
        <v>1221</v>
      </c>
    </row>
    <row r="4803" ht="15.75" customHeight="1">
      <c r="A4803" s="364" t="s">
        <v>86</v>
      </c>
      <c r="B4803" s="364" t="s">
        <v>23</v>
      </c>
      <c r="C4803" s="365" t="s">
        <v>579</v>
      </c>
      <c r="D4803" s="364" t="s">
        <v>580</v>
      </c>
      <c r="E4803" s="366">
        <v>11.0</v>
      </c>
      <c r="F4803" s="367">
        <v>46210.625</v>
      </c>
      <c r="G4803" s="364" t="s">
        <v>1185</v>
      </c>
      <c r="H4803" s="364" t="s">
        <v>1221</v>
      </c>
    </row>
    <row r="4804" ht="15.75" customHeight="1">
      <c r="A4804" s="364" t="s">
        <v>86</v>
      </c>
      <c r="B4804" s="364" t="s">
        <v>26</v>
      </c>
      <c r="C4804" s="365" t="s">
        <v>382</v>
      </c>
      <c r="D4804" s="364" t="s">
        <v>383</v>
      </c>
      <c r="E4804" s="366">
        <v>1.0</v>
      </c>
      <c r="F4804" s="367">
        <v>45805.375</v>
      </c>
      <c r="G4804" s="364" t="s">
        <v>1185</v>
      </c>
      <c r="H4804" s="364" t="s">
        <v>1221</v>
      </c>
    </row>
    <row r="4805" ht="15.75" customHeight="1">
      <c r="A4805" s="364" t="s">
        <v>86</v>
      </c>
      <c r="B4805" s="364" t="s">
        <v>26</v>
      </c>
      <c r="C4805" s="365" t="s">
        <v>382</v>
      </c>
      <c r="D4805" s="364" t="s">
        <v>383</v>
      </c>
      <c r="E4805" s="366">
        <v>2.0</v>
      </c>
      <c r="F4805" s="367">
        <v>45811.41666666667</v>
      </c>
      <c r="G4805" s="364" t="s">
        <v>1185</v>
      </c>
      <c r="H4805" s="364" t="s">
        <v>1221</v>
      </c>
    </row>
    <row r="4806" ht="15.75" customHeight="1">
      <c r="A4806" s="364" t="s">
        <v>86</v>
      </c>
      <c r="B4806" s="364" t="s">
        <v>26</v>
      </c>
      <c r="C4806" s="365" t="s">
        <v>382</v>
      </c>
      <c r="D4806" s="364" t="s">
        <v>383</v>
      </c>
      <c r="E4806" s="366">
        <v>3.0</v>
      </c>
      <c r="F4806" s="367">
        <v>45818.41666666667</v>
      </c>
      <c r="G4806" s="364" t="s">
        <v>1185</v>
      </c>
      <c r="H4806" s="364" t="s">
        <v>1221</v>
      </c>
    </row>
    <row r="4807" ht="15.75" customHeight="1">
      <c r="A4807" s="364" t="s">
        <v>86</v>
      </c>
      <c r="B4807" s="364" t="s">
        <v>26</v>
      </c>
      <c r="C4807" s="365" t="s">
        <v>382</v>
      </c>
      <c r="D4807" s="364" t="s">
        <v>383</v>
      </c>
      <c r="E4807" s="366">
        <v>4.0</v>
      </c>
      <c r="F4807" s="367">
        <v>45825.41666666667</v>
      </c>
      <c r="G4807" s="364" t="s">
        <v>1185</v>
      </c>
      <c r="H4807" s="364" t="s">
        <v>1221</v>
      </c>
    </row>
    <row r="4808" ht="15.75" customHeight="1">
      <c r="A4808" s="364" t="s">
        <v>86</v>
      </c>
      <c r="B4808" s="364" t="s">
        <v>26</v>
      </c>
      <c r="C4808" s="365" t="s">
        <v>382</v>
      </c>
      <c r="D4808" s="364" t="s">
        <v>383</v>
      </c>
      <c r="E4808" s="366">
        <v>5.0</v>
      </c>
      <c r="F4808" s="367">
        <v>45839.41666666667</v>
      </c>
      <c r="G4808" s="364" t="s">
        <v>1185</v>
      </c>
      <c r="H4808" s="364" t="s">
        <v>1221</v>
      </c>
    </row>
    <row r="4809" ht="15.75" customHeight="1">
      <c r="A4809" s="364" t="s">
        <v>86</v>
      </c>
      <c r="B4809" s="364" t="s">
        <v>26</v>
      </c>
      <c r="C4809" s="365" t="s">
        <v>382</v>
      </c>
      <c r="D4809" s="364" t="s">
        <v>383</v>
      </c>
      <c r="E4809" s="366">
        <v>6.0</v>
      </c>
      <c r="F4809" s="367">
        <v>45846.41666666667</v>
      </c>
      <c r="G4809" s="364" t="s">
        <v>1185</v>
      </c>
      <c r="H4809" s="364" t="s">
        <v>1221</v>
      </c>
    </row>
    <row r="4810" ht="15.75" customHeight="1">
      <c r="A4810" s="364" t="s">
        <v>86</v>
      </c>
      <c r="B4810" s="364" t="s">
        <v>26</v>
      </c>
      <c r="C4810" s="365" t="s">
        <v>382</v>
      </c>
      <c r="D4810" s="364" t="s">
        <v>383</v>
      </c>
      <c r="E4810" s="366">
        <v>7.0</v>
      </c>
      <c r="F4810" s="367">
        <v>45855.41666666667</v>
      </c>
      <c r="G4810" s="364" t="s">
        <v>1185</v>
      </c>
      <c r="H4810" s="364" t="s">
        <v>1221</v>
      </c>
    </row>
    <row r="4811" ht="15.75" customHeight="1">
      <c r="A4811" s="364" t="s">
        <v>86</v>
      </c>
      <c r="B4811" s="364" t="s">
        <v>26</v>
      </c>
      <c r="C4811" s="365" t="s">
        <v>382</v>
      </c>
      <c r="D4811" s="364" t="s">
        <v>383</v>
      </c>
      <c r="E4811" s="366">
        <v>8.0</v>
      </c>
      <c r="F4811" s="367">
        <v>45860.625</v>
      </c>
      <c r="G4811" s="364" t="s">
        <v>1185</v>
      </c>
      <c r="H4811" s="364" t="s">
        <v>1221</v>
      </c>
    </row>
    <row r="4812" ht="15.75" customHeight="1">
      <c r="A4812" s="364" t="s">
        <v>86</v>
      </c>
      <c r="B4812" s="364" t="s">
        <v>26</v>
      </c>
      <c r="C4812" s="365" t="s">
        <v>382</v>
      </c>
      <c r="D4812" s="364" t="s">
        <v>383</v>
      </c>
      <c r="E4812" s="366">
        <v>9.0</v>
      </c>
      <c r="F4812" s="367">
        <v>45869.45833333333</v>
      </c>
      <c r="G4812" s="364" t="s">
        <v>1185</v>
      </c>
      <c r="H4812" s="364" t="s">
        <v>1221</v>
      </c>
    </row>
    <row r="4813" ht="15.75" customHeight="1">
      <c r="A4813" s="364" t="s">
        <v>86</v>
      </c>
      <c r="B4813" s="364" t="s">
        <v>26</v>
      </c>
      <c r="C4813" s="365" t="s">
        <v>382</v>
      </c>
      <c r="D4813" s="364" t="s">
        <v>383</v>
      </c>
      <c r="E4813" s="366">
        <v>10.0</v>
      </c>
      <c r="F4813" s="367">
        <v>45881.5</v>
      </c>
      <c r="G4813" s="364" t="s">
        <v>1185</v>
      </c>
      <c r="H4813" s="364" t="s">
        <v>1221</v>
      </c>
    </row>
    <row r="4814" ht="15.75" customHeight="1">
      <c r="A4814" s="364" t="s">
        <v>86</v>
      </c>
      <c r="B4814" s="364" t="s">
        <v>26</v>
      </c>
      <c r="C4814" s="365" t="s">
        <v>382</v>
      </c>
      <c r="D4814" s="364" t="s">
        <v>383</v>
      </c>
      <c r="E4814" s="366">
        <v>11.0</v>
      </c>
      <c r="F4814" s="367">
        <v>45888.54166666667</v>
      </c>
      <c r="G4814" s="364" t="s">
        <v>1185</v>
      </c>
      <c r="H4814" s="364" t="s">
        <v>1221</v>
      </c>
    </row>
    <row r="4815" ht="15.75" customHeight="1">
      <c r="A4815" s="364" t="s">
        <v>86</v>
      </c>
      <c r="B4815" s="364" t="s">
        <v>26</v>
      </c>
      <c r="C4815" s="365" t="s">
        <v>382</v>
      </c>
      <c r="D4815" s="364" t="s">
        <v>383</v>
      </c>
      <c r="E4815" s="366">
        <v>12.0</v>
      </c>
      <c r="F4815" s="367">
        <v>45897.45833333333</v>
      </c>
      <c r="G4815" s="364" t="s">
        <v>1185</v>
      </c>
      <c r="H4815" s="364" t="s">
        <v>1221</v>
      </c>
    </row>
    <row r="4816" ht="15.75" customHeight="1">
      <c r="A4816" s="364" t="s">
        <v>86</v>
      </c>
      <c r="B4816" s="364" t="s">
        <v>26</v>
      </c>
      <c r="C4816" s="365" t="s">
        <v>382</v>
      </c>
      <c r="D4816" s="364" t="s">
        <v>383</v>
      </c>
      <c r="E4816" s="366">
        <v>13.0</v>
      </c>
      <c r="F4816" s="367">
        <v>45909.41666666667</v>
      </c>
      <c r="G4816" s="364" t="s">
        <v>1185</v>
      </c>
      <c r="H4816" s="364" t="s">
        <v>1221</v>
      </c>
    </row>
    <row r="4817" ht="15.75" customHeight="1">
      <c r="A4817" s="364" t="s">
        <v>86</v>
      </c>
      <c r="B4817" s="364" t="s">
        <v>26</v>
      </c>
      <c r="C4817" s="365" t="s">
        <v>382</v>
      </c>
      <c r="D4817" s="364" t="s">
        <v>383</v>
      </c>
      <c r="E4817" s="366">
        <v>14.0</v>
      </c>
      <c r="F4817" s="367">
        <v>45923.41666666667</v>
      </c>
      <c r="G4817" s="364" t="s">
        <v>1185</v>
      </c>
      <c r="H4817" s="364" t="s">
        <v>1221</v>
      </c>
    </row>
    <row r="4818" ht="15.75" customHeight="1">
      <c r="A4818" s="364" t="s">
        <v>86</v>
      </c>
      <c r="B4818" s="364" t="s">
        <v>26</v>
      </c>
      <c r="C4818" s="365" t="s">
        <v>382</v>
      </c>
      <c r="D4818" s="364" t="s">
        <v>383</v>
      </c>
      <c r="E4818" s="366">
        <v>15.0</v>
      </c>
      <c r="F4818" s="367">
        <v>45925.625</v>
      </c>
      <c r="G4818" s="364" t="s">
        <v>1185</v>
      </c>
      <c r="H4818" s="364" t="s">
        <v>1221</v>
      </c>
    </row>
    <row r="4819" ht="15.75" customHeight="1">
      <c r="A4819" s="364" t="s">
        <v>86</v>
      </c>
      <c r="B4819" s="364" t="s">
        <v>26</v>
      </c>
      <c r="C4819" s="365" t="s">
        <v>382</v>
      </c>
      <c r="D4819" s="364" t="s">
        <v>383</v>
      </c>
      <c r="E4819" s="366">
        <v>16.0</v>
      </c>
      <c r="F4819" s="367">
        <v>45932.625</v>
      </c>
      <c r="G4819" s="364" t="s">
        <v>1185</v>
      </c>
      <c r="H4819" s="364" t="s">
        <v>1221</v>
      </c>
    </row>
    <row r="4820" ht="15.75" customHeight="1">
      <c r="A4820" s="364" t="s">
        <v>86</v>
      </c>
      <c r="B4820" s="364" t="s">
        <v>26</v>
      </c>
      <c r="C4820" s="365" t="s">
        <v>553</v>
      </c>
      <c r="D4820" s="364" t="s">
        <v>554</v>
      </c>
      <c r="E4820" s="366">
        <v>1.0</v>
      </c>
      <c r="F4820" s="367">
        <v>45805.375</v>
      </c>
      <c r="G4820" s="364" t="s">
        <v>1185</v>
      </c>
      <c r="H4820" s="364" t="s">
        <v>1221</v>
      </c>
    </row>
    <row r="4821" ht="15.75" customHeight="1">
      <c r="A4821" s="364" t="s">
        <v>86</v>
      </c>
      <c r="B4821" s="364" t="s">
        <v>26</v>
      </c>
      <c r="C4821" s="365" t="s">
        <v>553</v>
      </c>
      <c r="D4821" s="364" t="s">
        <v>554</v>
      </c>
      <c r="E4821" s="366">
        <v>2.0</v>
      </c>
      <c r="F4821" s="367">
        <v>45811.41666666667</v>
      </c>
      <c r="G4821" s="364" t="s">
        <v>1185</v>
      </c>
      <c r="H4821" s="364" t="s">
        <v>1221</v>
      </c>
    </row>
    <row r="4822" ht="15.75" customHeight="1">
      <c r="A4822" s="364" t="s">
        <v>86</v>
      </c>
      <c r="B4822" s="364" t="s">
        <v>26</v>
      </c>
      <c r="C4822" s="365" t="s">
        <v>553</v>
      </c>
      <c r="D4822" s="364" t="s">
        <v>554</v>
      </c>
      <c r="E4822" s="366">
        <v>3.0</v>
      </c>
      <c r="F4822" s="367">
        <v>45818.41666666667</v>
      </c>
      <c r="G4822" s="364" t="s">
        <v>1185</v>
      </c>
      <c r="H4822" s="364" t="s">
        <v>1221</v>
      </c>
    </row>
    <row r="4823" ht="15.75" customHeight="1">
      <c r="A4823" s="364" t="s">
        <v>86</v>
      </c>
      <c r="B4823" s="364" t="s">
        <v>26</v>
      </c>
      <c r="C4823" s="365" t="s">
        <v>553</v>
      </c>
      <c r="D4823" s="364" t="s">
        <v>554</v>
      </c>
      <c r="E4823" s="366">
        <v>4.0</v>
      </c>
      <c r="F4823" s="367">
        <v>45825.41666666667</v>
      </c>
      <c r="G4823" s="364" t="s">
        <v>1185</v>
      </c>
      <c r="H4823" s="364" t="s">
        <v>1221</v>
      </c>
    </row>
    <row r="4824" ht="15.75" customHeight="1">
      <c r="A4824" s="364" t="s">
        <v>86</v>
      </c>
      <c r="B4824" s="364" t="s">
        <v>26</v>
      </c>
      <c r="C4824" s="365" t="s">
        <v>553</v>
      </c>
      <c r="D4824" s="364" t="s">
        <v>554</v>
      </c>
      <c r="E4824" s="366">
        <v>5.0</v>
      </c>
      <c r="F4824" s="367">
        <v>45839.41666666667</v>
      </c>
      <c r="G4824" s="364" t="s">
        <v>1185</v>
      </c>
      <c r="H4824" s="364" t="s">
        <v>1221</v>
      </c>
    </row>
    <row r="4825" ht="15.75" customHeight="1">
      <c r="A4825" s="364" t="s">
        <v>86</v>
      </c>
      <c r="B4825" s="364" t="s">
        <v>26</v>
      </c>
      <c r="C4825" s="365" t="s">
        <v>553</v>
      </c>
      <c r="D4825" s="364" t="s">
        <v>554</v>
      </c>
      <c r="E4825" s="366">
        <v>6.0</v>
      </c>
      <c r="F4825" s="367">
        <v>45846.41666666667</v>
      </c>
      <c r="G4825" s="364" t="s">
        <v>1185</v>
      </c>
      <c r="H4825" s="364" t="s">
        <v>1221</v>
      </c>
    </row>
    <row r="4826" ht="15.75" customHeight="1">
      <c r="A4826" s="364" t="s">
        <v>86</v>
      </c>
      <c r="B4826" s="364" t="s">
        <v>26</v>
      </c>
      <c r="C4826" s="365" t="s">
        <v>553</v>
      </c>
      <c r="D4826" s="364" t="s">
        <v>554</v>
      </c>
      <c r="E4826" s="366">
        <v>7.0</v>
      </c>
      <c r="F4826" s="367">
        <v>45855.41666666667</v>
      </c>
      <c r="G4826" s="364" t="s">
        <v>1185</v>
      </c>
      <c r="H4826" s="364" t="s">
        <v>1221</v>
      </c>
    </row>
    <row r="4827" ht="15.75" customHeight="1">
      <c r="A4827" s="364" t="s">
        <v>86</v>
      </c>
      <c r="B4827" s="364" t="s">
        <v>26</v>
      </c>
      <c r="C4827" s="365" t="s">
        <v>553</v>
      </c>
      <c r="D4827" s="364" t="s">
        <v>554</v>
      </c>
      <c r="E4827" s="366">
        <v>8.0</v>
      </c>
      <c r="F4827" s="367">
        <v>45860.625</v>
      </c>
      <c r="G4827" s="364" t="s">
        <v>1185</v>
      </c>
      <c r="H4827" s="364" t="s">
        <v>1221</v>
      </c>
    </row>
    <row r="4828" ht="15.75" customHeight="1">
      <c r="A4828" s="364" t="s">
        <v>86</v>
      </c>
      <c r="B4828" s="364" t="s">
        <v>26</v>
      </c>
      <c r="C4828" s="365" t="s">
        <v>553</v>
      </c>
      <c r="D4828" s="364" t="s">
        <v>554</v>
      </c>
      <c r="E4828" s="366">
        <v>9.0</v>
      </c>
      <c r="F4828" s="367">
        <v>45869.45833333333</v>
      </c>
      <c r="G4828" s="364" t="s">
        <v>1187</v>
      </c>
      <c r="H4828" s="364" t="s">
        <v>1221</v>
      </c>
    </row>
    <row r="4829" ht="15.75" customHeight="1">
      <c r="A4829" s="364" t="s">
        <v>86</v>
      </c>
      <c r="B4829" s="364" t="s">
        <v>26</v>
      </c>
      <c r="C4829" s="365" t="s">
        <v>553</v>
      </c>
      <c r="D4829" s="364" t="s">
        <v>554</v>
      </c>
      <c r="E4829" s="366">
        <v>10.0</v>
      </c>
      <c r="F4829" s="367">
        <v>45881.5</v>
      </c>
      <c r="G4829" s="364" t="s">
        <v>1185</v>
      </c>
      <c r="H4829" s="364" t="s">
        <v>1221</v>
      </c>
    </row>
    <row r="4830" ht="15.75" customHeight="1">
      <c r="A4830" s="364" t="s">
        <v>86</v>
      </c>
      <c r="B4830" s="364" t="s">
        <v>26</v>
      </c>
      <c r="C4830" s="365" t="s">
        <v>553</v>
      </c>
      <c r="D4830" s="364" t="s">
        <v>554</v>
      </c>
      <c r="E4830" s="366">
        <v>11.0</v>
      </c>
      <c r="F4830" s="367">
        <v>45888.54166666667</v>
      </c>
      <c r="G4830" s="364" t="s">
        <v>1185</v>
      </c>
      <c r="H4830" s="364" t="s">
        <v>1221</v>
      </c>
    </row>
    <row r="4831" ht="15.75" customHeight="1">
      <c r="A4831" s="364" t="s">
        <v>86</v>
      </c>
      <c r="B4831" s="364" t="s">
        <v>26</v>
      </c>
      <c r="C4831" s="365" t="s">
        <v>553</v>
      </c>
      <c r="D4831" s="364" t="s">
        <v>554</v>
      </c>
      <c r="E4831" s="366">
        <v>12.0</v>
      </c>
      <c r="F4831" s="367">
        <v>45897.45833333333</v>
      </c>
      <c r="G4831" s="364" t="s">
        <v>1185</v>
      </c>
      <c r="H4831" s="364" t="s">
        <v>1221</v>
      </c>
    </row>
    <row r="4832" ht="15.75" customHeight="1">
      <c r="A4832" s="364" t="s">
        <v>86</v>
      </c>
      <c r="B4832" s="364" t="s">
        <v>26</v>
      </c>
      <c r="C4832" s="365" t="s">
        <v>553</v>
      </c>
      <c r="D4832" s="364" t="s">
        <v>554</v>
      </c>
      <c r="E4832" s="366">
        <v>13.0</v>
      </c>
      <c r="F4832" s="367">
        <v>45909.41666666667</v>
      </c>
      <c r="G4832" s="364" t="s">
        <v>1185</v>
      </c>
      <c r="H4832" s="364" t="s">
        <v>1221</v>
      </c>
    </row>
    <row r="4833" ht="15.75" customHeight="1">
      <c r="A4833" s="364" t="s">
        <v>86</v>
      </c>
      <c r="B4833" s="364" t="s">
        <v>26</v>
      </c>
      <c r="C4833" s="365" t="s">
        <v>553</v>
      </c>
      <c r="D4833" s="364" t="s">
        <v>554</v>
      </c>
      <c r="E4833" s="366">
        <v>14.0</v>
      </c>
      <c r="F4833" s="367">
        <v>45923.41666666667</v>
      </c>
      <c r="G4833" s="364" t="s">
        <v>1185</v>
      </c>
      <c r="H4833" s="364" t="s">
        <v>1221</v>
      </c>
    </row>
    <row r="4834" ht="15.75" customHeight="1">
      <c r="A4834" s="364" t="s">
        <v>86</v>
      </c>
      <c r="B4834" s="364" t="s">
        <v>26</v>
      </c>
      <c r="C4834" s="365" t="s">
        <v>553</v>
      </c>
      <c r="D4834" s="364" t="s">
        <v>554</v>
      </c>
      <c r="E4834" s="366">
        <v>15.0</v>
      </c>
      <c r="F4834" s="367">
        <v>45925.625</v>
      </c>
      <c r="G4834" s="364" t="s">
        <v>1185</v>
      </c>
      <c r="H4834" s="364" t="s">
        <v>1221</v>
      </c>
    </row>
    <row r="4835" ht="15.75" customHeight="1">
      <c r="A4835" s="364" t="s">
        <v>86</v>
      </c>
      <c r="B4835" s="364" t="s">
        <v>26</v>
      </c>
      <c r="C4835" s="365" t="s">
        <v>553</v>
      </c>
      <c r="D4835" s="364" t="s">
        <v>554</v>
      </c>
      <c r="E4835" s="366">
        <v>16.0</v>
      </c>
      <c r="F4835" s="367">
        <v>45932.625</v>
      </c>
      <c r="G4835" s="364" t="s">
        <v>1185</v>
      </c>
      <c r="H4835" s="364" t="s">
        <v>1221</v>
      </c>
    </row>
    <row r="4836" ht="15.75" customHeight="1">
      <c r="A4836" s="364" t="s">
        <v>86</v>
      </c>
      <c r="B4836" s="364" t="s">
        <v>26</v>
      </c>
      <c r="C4836" s="365" t="s">
        <v>555</v>
      </c>
      <c r="D4836" s="364" t="s">
        <v>556</v>
      </c>
      <c r="E4836" s="366">
        <v>1.0</v>
      </c>
      <c r="F4836" s="367">
        <v>45805.375</v>
      </c>
      <c r="G4836" s="364" t="s">
        <v>1185</v>
      </c>
      <c r="H4836" s="364" t="s">
        <v>1221</v>
      </c>
    </row>
    <row r="4837" ht="15.75" customHeight="1">
      <c r="A4837" s="364" t="s">
        <v>86</v>
      </c>
      <c r="B4837" s="364" t="s">
        <v>26</v>
      </c>
      <c r="C4837" s="365" t="s">
        <v>555</v>
      </c>
      <c r="D4837" s="364" t="s">
        <v>556</v>
      </c>
      <c r="E4837" s="366">
        <v>2.0</v>
      </c>
      <c r="F4837" s="367">
        <v>45811.41666666667</v>
      </c>
      <c r="G4837" s="364" t="s">
        <v>1185</v>
      </c>
      <c r="H4837" s="364" t="s">
        <v>1221</v>
      </c>
    </row>
    <row r="4838" ht="15.75" customHeight="1">
      <c r="A4838" s="364" t="s">
        <v>86</v>
      </c>
      <c r="B4838" s="364" t="s">
        <v>26</v>
      </c>
      <c r="C4838" s="365" t="s">
        <v>555</v>
      </c>
      <c r="D4838" s="364" t="s">
        <v>556</v>
      </c>
      <c r="E4838" s="366">
        <v>3.0</v>
      </c>
      <c r="F4838" s="367">
        <v>45818.41666666667</v>
      </c>
      <c r="G4838" s="364" t="s">
        <v>1185</v>
      </c>
      <c r="H4838" s="364" t="s">
        <v>1221</v>
      </c>
    </row>
    <row r="4839" ht="15.75" customHeight="1">
      <c r="A4839" s="364" t="s">
        <v>86</v>
      </c>
      <c r="B4839" s="364" t="s">
        <v>26</v>
      </c>
      <c r="C4839" s="365" t="s">
        <v>555</v>
      </c>
      <c r="D4839" s="364" t="s">
        <v>556</v>
      </c>
      <c r="E4839" s="366">
        <v>4.0</v>
      </c>
      <c r="F4839" s="367">
        <v>45825.41666666667</v>
      </c>
      <c r="G4839" s="364" t="s">
        <v>1185</v>
      </c>
      <c r="H4839" s="364" t="s">
        <v>1221</v>
      </c>
    </row>
    <row r="4840" ht="15.75" customHeight="1">
      <c r="A4840" s="364" t="s">
        <v>86</v>
      </c>
      <c r="B4840" s="364" t="s">
        <v>26</v>
      </c>
      <c r="C4840" s="365" t="s">
        <v>555</v>
      </c>
      <c r="D4840" s="364" t="s">
        <v>556</v>
      </c>
      <c r="E4840" s="366">
        <v>5.0</v>
      </c>
      <c r="F4840" s="367">
        <v>45839.41666666667</v>
      </c>
      <c r="G4840" s="364" t="s">
        <v>1185</v>
      </c>
      <c r="H4840" s="364" t="s">
        <v>1221</v>
      </c>
    </row>
    <row r="4841" ht="15.75" customHeight="1">
      <c r="A4841" s="364" t="s">
        <v>86</v>
      </c>
      <c r="B4841" s="364" t="s">
        <v>26</v>
      </c>
      <c r="C4841" s="365" t="s">
        <v>555</v>
      </c>
      <c r="D4841" s="364" t="s">
        <v>556</v>
      </c>
      <c r="E4841" s="366">
        <v>6.0</v>
      </c>
      <c r="F4841" s="367">
        <v>45846.41666666667</v>
      </c>
      <c r="G4841" s="364" t="s">
        <v>1185</v>
      </c>
      <c r="H4841" s="364" t="s">
        <v>1221</v>
      </c>
    </row>
    <row r="4842" ht="15.75" customHeight="1">
      <c r="A4842" s="364" t="s">
        <v>86</v>
      </c>
      <c r="B4842" s="364" t="s">
        <v>26</v>
      </c>
      <c r="C4842" s="365" t="s">
        <v>555</v>
      </c>
      <c r="D4842" s="364" t="s">
        <v>556</v>
      </c>
      <c r="E4842" s="366">
        <v>7.0</v>
      </c>
      <c r="F4842" s="367">
        <v>45855.41666666667</v>
      </c>
      <c r="G4842" s="364" t="s">
        <v>1185</v>
      </c>
      <c r="H4842" s="364" t="s">
        <v>1221</v>
      </c>
    </row>
    <row r="4843" ht="15.75" customHeight="1">
      <c r="A4843" s="364" t="s">
        <v>86</v>
      </c>
      <c r="B4843" s="364" t="s">
        <v>26</v>
      </c>
      <c r="C4843" s="365" t="s">
        <v>555</v>
      </c>
      <c r="D4843" s="364" t="s">
        <v>556</v>
      </c>
      <c r="E4843" s="366">
        <v>8.0</v>
      </c>
      <c r="F4843" s="367">
        <v>45860.625</v>
      </c>
      <c r="G4843" s="364" t="s">
        <v>1185</v>
      </c>
      <c r="H4843" s="364" t="s">
        <v>1221</v>
      </c>
    </row>
    <row r="4844" ht="15.75" customHeight="1">
      <c r="A4844" s="364" t="s">
        <v>86</v>
      </c>
      <c r="B4844" s="364" t="s">
        <v>26</v>
      </c>
      <c r="C4844" s="365" t="s">
        <v>555</v>
      </c>
      <c r="D4844" s="364" t="s">
        <v>556</v>
      </c>
      <c r="E4844" s="366">
        <v>9.0</v>
      </c>
      <c r="F4844" s="367">
        <v>45869.45833333333</v>
      </c>
      <c r="G4844" s="364" t="s">
        <v>1185</v>
      </c>
      <c r="H4844" s="364" t="s">
        <v>1221</v>
      </c>
    </row>
    <row r="4845" ht="15.75" customHeight="1">
      <c r="A4845" s="364" t="s">
        <v>86</v>
      </c>
      <c r="B4845" s="364" t="s">
        <v>26</v>
      </c>
      <c r="C4845" s="365" t="s">
        <v>555</v>
      </c>
      <c r="D4845" s="364" t="s">
        <v>556</v>
      </c>
      <c r="E4845" s="366">
        <v>10.0</v>
      </c>
      <c r="F4845" s="367">
        <v>45881.5</v>
      </c>
      <c r="G4845" s="364" t="s">
        <v>1185</v>
      </c>
      <c r="H4845" s="364" t="s">
        <v>1221</v>
      </c>
    </row>
    <row r="4846" ht="15.75" customHeight="1">
      <c r="A4846" s="364" t="s">
        <v>86</v>
      </c>
      <c r="B4846" s="364" t="s">
        <v>26</v>
      </c>
      <c r="C4846" s="365" t="s">
        <v>555</v>
      </c>
      <c r="D4846" s="364" t="s">
        <v>556</v>
      </c>
      <c r="E4846" s="366">
        <v>11.0</v>
      </c>
      <c r="F4846" s="367">
        <v>45888.54166666667</v>
      </c>
      <c r="G4846" s="364" t="s">
        <v>1185</v>
      </c>
      <c r="H4846" s="364" t="s">
        <v>1221</v>
      </c>
    </row>
    <row r="4847" ht="15.75" customHeight="1">
      <c r="A4847" s="364" t="s">
        <v>86</v>
      </c>
      <c r="B4847" s="364" t="s">
        <v>26</v>
      </c>
      <c r="C4847" s="365" t="s">
        <v>555</v>
      </c>
      <c r="D4847" s="364" t="s">
        <v>556</v>
      </c>
      <c r="E4847" s="366">
        <v>12.0</v>
      </c>
      <c r="F4847" s="367">
        <v>45897.45833333333</v>
      </c>
      <c r="G4847" s="364" t="s">
        <v>1185</v>
      </c>
      <c r="H4847" s="364" t="s">
        <v>1221</v>
      </c>
    </row>
    <row r="4848" ht="15.75" customHeight="1">
      <c r="A4848" s="364" t="s">
        <v>86</v>
      </c>
      <c r="B4848" s="364" t="s">
        <v>26</v>
      </c>
      <c r="C4848" s="365" t="s">
        <v>555</v>
      </c>
      <c r="D4848" s="364" t="s">
        <v>556</v>
      </c>
      <c r="E4848" s="366">
        <v>13.0</v>
      </c>
      <c r="F4848" s="367">
        <v>45909.41666666667</v>
      </c>
      <c r="G4848" s="364" t="s">
        <v>1187</v>
      </c>
      <c r="H4848" s="364" t="s">
        <v>1221</v>
      </c>
    </row>
    <row r="4849" ht="15.75" customHeight="1">
      <c r="A4849" s="364" t="s">
        <v>86</v>
      </c>
      <c r="B4849" s="364" t="s">
        <v>26</v>
      </c>
      <c r="C4849" s="365" t="s">
        <v>555</v>
      </c>
      <c r="D4849" s="364" t="s">
        <v>556</v>
      </c>
      <c r="E4849" s="366">
        <v>14.0</v>
      </c>
      <c r="F4849" s="367">
        <v>45923.41666666667</v>
      </c>
      <c r="G4849" s="364" t="s">
        <v>1185</v>
      </c>
      <c r="H4849" s="364" t="s">
        <v>1221</v>
      </c>
    </row>
    <row r="4850" ht="15.75" customHeight="1">
      <c r="A4850" s="364" t="s">
        <v>86</v>
      </c>
      <c r="B4850" s="364" t="s">
        <v>26</v>
      </c>
      <c r="C4850" s="365" t="s">
        <v>555</v>
      </c>
      <c r="D4850" s="364" t="s">
        <v>556</v>
      </c>
      <c r="E4850" s="366">
        <v>15.0</v>
      </c>
      <c r="F4850" s="367">
        <v>45925.625</v>
      </c>
      <c r="G4850" s="364" t="s">
        <v>1185</v>
      </c>
      <c r="H4850" s="364" t="s">
        <v>1221</v>
      </c>
    </row>
    <row r="4851" ht="15.75" customHeight="1">
      <c r="A4851" s="364" t="s">
        <v>86</v>
      </c>
      <c r="B4851" s="364" t="s">
        <v>26</v>
      </c>
      <c r="C4851" s="365" t="s">
        <v>555</v>
      </c>
      <c r="D4851" s="364" t="s">
        <v>556</v>
      </c>
      <c r="E4851" s="366">
        <v>16.0</v>
      </c>
      <c r="F4851" s="367">
        <v>45932.625</v>
      </c>
      <c r="G4851" s="364" t="s">
        <v>1185</v>
      </c>
      <c r="H4851" s="364" t="s">
        <v>1221</v>
      </c>
    </row>
    <row r="4852" ht="15.75" customHeight="1">
      <c r="A4852" s="364" t="s">
        <v>86</v>
      </c>
      <c r="B4852" s="364" t="s">
        <v>26</v>
      </c>
      <c r="C4852" s="365" t="s">
        <v>544</v>
      </c>
      <c r="D4852" s="364" t="s">
        <v>545</v>
      </c>
      <c r="E4852" s="366">
        <v>1.0</v>
      </c>
      <c r="F4852" s="367">
        <v>45805.375</v>
      </c>
      <c r="G4852" s="364" t="s">
        <v>1187</v>
      </c>
      <c r="H4852" s="364" t="s">
        <v>1221</v>
      </c>
    </row>
    <row r="4853" ht="15.75" customHeight="1">
      <c r="A4853" s="364" t="s">
        <v>86</v>
      </c>
      <c r="B4853" s="364" t="s">
        <v>26</v>
      </c>
      <c r="C4853" s="365" t="s">
        <v>544</v>
      </c>
      <c r="D4853" s="364" t="s">
        <v>545</v>
      </c>
      <c r="E4853" s="366">
        <v>2.0</v>
      </c>
      <c r="F4853" s="367">
        <v>45811.41666666667</v>
      </c>
      <c r="G4853" s="364" t="s">
        <v>1185</v>
      </c>
      <c r="H4853" s="364" t="s">
        <v>1221</v>
      </c>
    </row>
    <row r="4854" ht="15.75" customHeight="1">
      <c r="A4854" s="364" t="s">
        <v>86</v>
      </c>
      <c r="B4854" s="364" t="s">
        <v>26</v>
      </c>
      <c r="C4854" s="365" t="s">
        <v>544</v>
      </c>
      <c r="D4854" s="364" t="s">
        <v>545</v>
      </c>
      <c r="E4854" s="366">
        <v>3.0</v>
      </c>
      <c r="F4854" s="367">
        <v>45818.41666666667</v>
      </c>
      <c r="G4854" s="364" t="s">
        <v>1185</v>
      </c>
      <c r="H4854" s="364" t="s">
        <v>1221</v>
      </c>
    </row>
    <row r="4855" ht="15.75" customHeight="1">
      <c r="A4855" s="364" t="s">
        <v>86</v>
      </c>
      <c r="B4855" s="364" t="s">
        <v>26</v>
      </c>
      <c r="C4855" s="365" t="s">
        <v>544</v>
      </c>
      <c r="D4855" s="364" t="s">
        <v>545</v>
      </c>
      <c r="E4855" s="366">
        <v>4.0</v>
      </c>
      <c r="F4855" s="367">
        <v>45825.41666666667</v>
      </c>
      <c r="G4855" s="364" t="s">
        <v>1185</v>
      </c>
      <c r="H4855" s="364" t="s">
        <v>1221</v>
      </c>
    </row>
    <row r="4856" ht="15.75" customHeight="1">
      <c r="A4856" s="364" t="s">
        <v>86</v>
      </c>
      <c r="B4856" s="364" t="s">
        <v>26</v>
      </c>
      <c r="C4856" s="365" t="s">
        <v>544</v>
      </c>
      <c r="D4856" s="364" t="s">
        <v>545</v>
      </c>
      <c r="E4856" s="366">
        <v>5.0</v>
      </c>
      <c r="F4856" s="367">
        <v>45839.41666666667</v>
      </c>
      <c r="G4856" s="364" t="s">
        <v>1185</v>
      </c>
      <c r="H4856" s="364" t="s">
        <v>1221</v>
      </c>
    </row>
    <row r="4857" ht="15.75" customHeight="1">
      <c r="A4857" s="364" t="s">
        <v>86</v>
      </c>
      <c r="B4857" s="364" t="s">
        <v>26</v>
      </c>
      <c r="C4857" s="365" t="s">
        <v>544</v>
      </c>
      <c r="D4857" s="364" t="s">
        <v>545</v>
      </c>
      <c r="E4857" s="366">
        <v>6.0</v>
      </c>
      <c r="F4857" s="367">
        <v>45846.41666666667</v>
      </c>
      <c r="G4857" s="364" t="s">
        <v>1185</v>
      </c>
      <c r="H4857" s="364" t="s">
        <v>1221</v>
      </c>
    </row>
    <row r="4858" ht="15.75" customHeight="1">
      <c r="A4858" s="364" t="s">
        <v>86</v>
      </c>
      <c r="B4858" s="364" t="s">
        <v>26</v>
      </c>
      <c r="C4858" s="365" t="s">
        <v>544</v>
      </c>
      <c r="D4858" s="364" t="s">
        <v>545</v>
      </c>
      <c r="E4858" s="366">
        <v>7.0</v>
      </c>
      <c r="F4858" s="367">
        <v>45855.41666666667</v>
      </c>
      <c r="G4858" s="364" t="s">
        <v>1185</v>
      </c>
      <c r="H4858" s="364" t="s">
        <v>1221</v>
      </c>
    </row>
    <row r="4859" ht="15.75" customHeight="1">
      <c r="A4859" s="364" t="s">
        <v>86</v>
      </c>
      <c r="B4859" s="364" t="s">
        <v>26</v>
      </c>
      <c r="C4859" s="365" t="s">
        <v>544</v>
      </c>
      <c r="D4859" s="364" t="s">
        <v>545</v>
      </c>
      <c r="E4859" s="366">
        <v>8.0</v>
      </c>
      <c r="F4859" s="367">
        <v>45860.625</v>
      </c>
      <c r="G4859" s="364" t="s">
        <v>1185</v>
      </c>
      <c r="H4859" s="364" t="s">
        <v>1221</v>
      </c>
    </row>
    <row r="4860" ht="15.75" customHeight="1">
      <c r="A4860" s="364" t="s">
        <v>86</v>
      </c>
      <c r="B4860" s="364" t="s">
        <v>26</v>
      </c>
      <c r="C4860" s="365" t="s">
        <v>544</v>
      </c>
      <c r="D4860" s="364" t="s">
        <v>545</v>
      </c>
      <c r="E4860" s="366">
        <v>9.0</v>
      </c>
      <c r="F4860" s="367">
        <v>45869.45833333333</v>
      </c>
      <c r="G4860" s="364" t="s">
        <v>1185</v>
      </c>
      <c r="H4860" s="364" t="s">
        <v>1221</v>
      </c>
    </row>
    <row r="4861" ht="15.75" customHeight="1">
      <c r="A4861" s="364" t="s">
        <v>86</v>
      </c>
      <c r="B4861" s="364" t="s">
        <v>26</v>
      </c>
      <c r="C4861" s="365" t="s">
        <v>544</v>
      </c>
      <c r="D4861" s="364" t="s">
        <v>545</v>
      </c>
      <c r="E4861" s="366">
        <v>10.0</v>
      </c>
      <c r="F4861" s="367">
        <v>45881.5</v>
      </c>
      <c r="G4861" s="364" t="s">
        <v>1185</v>
      </c>
      <c r="H4861" s="364" t="s">
        <v>1221</v>
      </c>
    </row>
    <row r="4862" ht="15.75" customHeight="1">
      <c r="A4862" s="364" t="s">
        <v>86</v>
      </c>
      <c r="B4862" s="364" t="s">
        <v>26</v>
      </c>
      <c r="C4862" s="365" t="s">
        <v>544</v>
      </c>
      <c r="D4862" s="364" t="s">
        <v>545</v>
      </c>
      <c r="E4862" s="366">
        <v>11.0</v>
      </c>
      <c r="F4862" s="367">
        <v>45888.54166666667</v>
      </c>
      <c r="G4862" s="364" t="s">
        <v>1185</v>
      </c>
      <c r="H4862" s="364" t="s">
        <v>1221</v>
      </c>
    </row>
    <row r="4863" ht="15.75" customHeight="1">
      <c r="A4863" s="364" t="s">
        <v>86</v>
      </c>
      <c r="B4863" s="364" t="s">
        <v>26</v>
      </c>
      <c r="C4863" s="365" t="s">
        <v>544</v>
      </c>
      <c r="D4863" s="364" t="s">
        <v>545</v>
      </c>
      <c r="E4863" s="366">
        <v>12.0</v>
      </c>
      <c r="F4863" s="367">
        <v>45897.45833333333</v>
      </c>
      <c r="G4863" s="364" t="s">
        <v>1185</v>
      </c>
      <c r="H4863" s="364" t="s">
        <v>1221</v>
      </c>
    </row>
    <row r="4864" ht="15.75" customHeight="1">
      <c r="A4864" s="364" t="s">
        <v>86</v>
      </c>
      <c r="B4864" s="364" t="s">
        <v>26</v>
      </c>
      <c r="C4864" s="365" t="s">
        <v>544</v>
      </c>
      <c r="D4864" s="364" t="s">
        <v>545</v>
      </c>
      <c r="E4864" s="366">
        <v>13.0</v>
      </c>
      <c r="F4864" s="367">
        <v>45909.41666666667</v>
      </c>
      <c r="G4864" s="364" t="s">
        <v>1185</v>
      </c>
      <c r="H4864" s="364" t="s">
        <v>1221</v>
      </c>
    </row>
    <row r="4865" ht="15.75" customHeight="1">
      <c r="A4865" s="364" t="s">
        <v>86</v>
      </c>
      <c r="B4865" s="364" t="s">
        <v>26</v>
      </c>
      <c r="C4865" s="365" t="s">
        <v>544</v>
      </c>
      <c r="D4865" s="364" t="s">
        <v>545</v>
      </c>
      <c r="E4865" s="366">
        <v>14.0</v>
      </c>
      <c r="F4865" s="367">
        <v>45923.41666666667</v>
      </c>
      <c r="G4865" s="364" t="s">
        <v>1185</v>
      </c>
      <c r="H4865" s="364" t="s">
        <v>1221</v>
      </c>
    </row>
    <row r="4866" ht="15.75" customHeight="1">
      <c r="A4866" s="364" t="s">
        <v>86</v>
      </c>
      <c r="B4866" s="364" t="s">
        <v>26</v>
      </c>
      <c r="C4866" s="365" t="s">
        <v>544</v>
      </c>
      <c r="D4866" s="364" t="s">
        <v>545</v>
      </c>
      <c r="E4866" s="366">
        <v>15.0</v>
      </c>
      <c r="F4866" s="367">
        <v>45925.625</v>
      </c>
      <c r="G4866" s="364" t="s">
        <v>1185</v>
      </c>
      <c r="H4866" s="364" t="s">
        <v>1221</v>
      </c>
    </row>
    <row r="4867" ht="15.75" customHeight="1">
      <c r="A4867" s="364" t="s">
        <v>86</v>
      </c>
      <c r="B4867" s="364" t="s">
        <v>26</v>
      </c>
      <c r="C4867" s="365" t="s">
        <v>544</v>
      </c>
      <c r="D4867" s="364" t="s">
        <v>545</v>
      </c>
      <c r="E4867" s="366">
        <v>16.0</v>
      </c>
      <c r="F4867" s="367">
        <v>45932.625</v>
      </c>
      <c r="G4867" s="364" t="s">
        <v>1185</v>
      </c>
      <c r="H4867" s="364" t="s">
        <v>1221</v>
      </c>
    </row>
    <row r="4868" ht="15.75" customHeight="1">
      <c r="A4868" s="364" t="s">
        <v>86</v>
      </c>
      <c r="B4868" s="364" t="s">
        <v>26</v>
      </c>
      <c r="C4868" s="365" t="s">
        <v>546</v>
      </c>
      <c r="D4868" s="364" t="s">
        <v>547</v>
      </c>
      <c r="E4868" s="366">
        <v>1.0</v>
      </c>
      <c r="F4868" s="367">
        <v>45805.375</v>
      </c>
      <c r="G4868" s="364" t="s">
        <v>1185</v>
      </c>
      <c r="H4868" s="364" t="s">
        <v>1221</v>
      </c>
    </row>
    <row r="4869" ht="15.75" customHeight="1">
      <c r="A4869" s="364" t="s">
        <v>86</v>
      </c>
      <c r="B4869" s="364" t="s">
        <v>26</v>
      </c>
      <c r="C4869" s="365" t="s">
        <v>546</v>
      </c>
      <c r="D4869" s="364" t="s">
        <v>547</v>
      </c>
      <c r="E4869" s="366">
        <v>2.0</v>
      </c>
      <c r="F4869" s="367">
        <v>45811.41666666667</v>
      </c>
      <c r="G4869" s="364" t="s">
        <v>1185</v>
      </c>
      <c r="H4869" s="364" t="s">
        <v>1221</v>
      </c>
    </row>
    <row r="4870" ht="15.75" customHeight="1">
      <c r="A4870" s="364" t="s">
        <v>86</v>
      </c>
      <c r="B4870" s="364" t="s">
        <v>26</v>
      </c>
      <c r="C4870" s="365" t="s">
        <v>546</v>
      </c>
      <c r="D4870" s="364" t="s">
        <v>547</v>
      </c>
      <c r="E4870" s="366">
        <v>3.0</v>
      </c>
      <c r="F4870" s="367">
        <v>45818.41666666667</v>
      </c>
      <c r="G4870" s="364" t="s">
        <v>1185</v>
      </c>
      <c r="H4870" s="364" t="s">
        <v>1221</v>
      </c>
    </row>
    <row r="4871" ht="15.75" customHeight="1">
      <c r="A4871" s="364" t="s">
        <v>86</v>
      </c>
      <c r="B4871" s="364" t="s">
        <v>26</v>
      </c>
      <c r="C4871" s="365" t="s">
        <v>546</v>
      </c>
      <c r="D4871" s="364" t="s">
        <v>547</v>
      </c>
      <c r="E4871" s="366">
        <v>4.0</v>
      </c>
      <c r="F4871" s="367">
        <v>45825.41666666667</v>
      </c>
      <c r="G4871" s="364" t="s">
        <v>1185</v>
      </c>
      <c r="H4871" s="364" t="s">
        <v>1221</v>
      </c>
    </row>
    <row r="4872" ht="15.75" customHeight="1">
      <c r="A4872" s="364" t="s">
        <v>86</v>
      </c>
      <c r="B4872" s="364" t="s">
        <v>26</v>
      </c>
      <c r="C4872" s="365" t="s">
        <v>546</v>
      </c>
      <c r="D4872" s="364" t="s">
        <v>547</v>
      </c>
      <c r="E4872" s="366">
        <v>5.0</v>
      </c>
      <c r="F4872" s="367">
        <v>45839.41666666667</v>
      </c>
      <c r="G4872" s="364" t="s">
        <v>1185</v>
      </c>
      <c r="H4872" s="364" t="s">
        <v>1221</v>
      </c>
    </row>
    <row r="4873" ht="15.75" customHeight="1">
      <c r="A4873" s="364" t="s">
        <v>86</v>
      </c>
      <c r="B4873" s="364" t="s">
        <v>26</v>
      </c>
      <c r="C4873" s="365" t="s">
        <v>546</v>
      </c>
      <c r="D4873" s="364" t="s">
        <v>547</v>
      </c>
      <c r="E4873" s="366">
        <v>6.0</v>
      </c>
      <c r="F4873" s="367">
        <v>45846.41666666667</v>
      </c>
      <c r="G4873" s="364" t="s">
        <v>1185</v>
      </c>
      <c r="H4873" s="364" t="s">
        <v>1221</v>
      </c>
    </row>
    <row r="4874" ht="15.75" customHeight="1">
      <c r="A4874" s="364" t="s">
        <v>86</v>
      </c>
      <c r="B4874" s="364" t="s">
        <v>26</v>
      </c>
      <c r="C4874" s="365" t="s">
        <v>546</v>
      </c>
      <c r="D4874" s="364" t="s">
        <v>547</v>
      </c>
      <c r="E4874" s="366">
        <v>7.0</v>
      </c>
      <c r="F4874" s="367">
        <v>45855.41666666667</v>
      </c>
      <c r="G4874" s="364" t="s">
        <v>1185</v>
      </c>
      <c r="H4874" s="364" t="s">
        <v>1221</v>
      </c>
    </row>
    <row r="4875" ht="15.75" customHeight="1">
      <c r="A4875" s="364" t="s">
        <v>86</v>
      </c>
      <c r="B4875" s="364" t="s">
        <v>26</v>
      </c>
      <c r="C4875" s="365" t="s">
        <v>546</v>
      </c>
      <c r="D4875" s="364" t="s">
        <v>547</v>
      </c>
      <c r="E4875" s="366">
        <v>8.0</v>
      </c>
      <c r="F4875" s="367">
        <v>45860.625</v>
      </c>
      <c r="G4875" s="364" t="s">
        <v>1187</v>
      </c>
      <c r="H4875" s="364" t="s">
        <v>1221</v>
      </c>
    </row>
    <row r="4876" ht="15.75" customHeight="1">
      <c r="A4876" s="364" t="s">
        <v>86</v>
      </c>
      <c r="B4876" s="364" t="s">
        <v>26</v>
      </c>
      <c r="C4876" s="365" t="s">
        <v>546</v>
      </c>
      <c r="D4876" s="364" t="s">
        <v>547</v>
      </c>
      <c r="E4876" s="366">
        <v>9.0</v>
      </c>
      <c r="F4876" s="367">
        <v>45869.45833333333</v>
      </c>
      <c r="G4876" s="364" t="s">
        <v>1185</v>
      </c>
      <c r="H4876" s="364" t="s">
        <v>1221</v>
      </c>
    </row>
    <row r="4877" ht="15.75" customHeight="1">
      <c r="A4877" s="364" t="s">
        <v>86</v>
      </c>
      <c r="B4877" s="364" t="s">
        <v>26</v>
      </c>
      <c r="C4877" s="365" t="s">
        <v>546</v>
      </c>
      <c r="D4877" s="364" t="s">
        <v>547</v>
      </c>
      <c r="E4877" s="366">
        <v>10.0</v>
      </c>
      <c r="F4877" s="367">
        <v>45881.5</v>
      </c>
      <c r="G4877" s="364" t="s">
        <v>1185</v>
      </c>
      <c r="H4877" s="364" t="s">
        <v>1221</v>
      </c>
    </row>
    <row r="4878" ht="15.75" customHeight="1">
      <c r="A4878" s="364" t="s">
        <v>86</v>
      </c>
      <c r="B4878" s="364" t="s">
        <v>26</v>
      </c>
      <c r="C4878" s="365" t="s">
        <v>546</v>
      </c>
      <c r="D4878" s="364" t="s">
        <v>547</v>
      </c>
      <c r="E4878" s="366">
        <v>11.0</v>
      </c>
      <c r="F4878" s="367">
        <v>45888.54166666667</v>
      </c>
      <c r="G4878" s="364" t="s">
        <v>1185</v>
      </c>
      <c r="H4878" s="364" t="s">
        <v>1221</v>
      </c>
    </row>
    <row r="4879" ht="15.75" customHeight="1">
      <c r="A4879" s="364" t="s">
        <v>86</v>
      </c>
      <c r="B4879" s="364" t="s">
        <v>26</v>
      </c>
      <c r="C4879" s="365" t="s">
        <v>546</v>
      </c>
      <c r="D4879" s="364" t="s">
        <v>547</v>
      </c>
      <c r="E4879" s="366">
        <v>12.0</v>
      </c>
      <c r="F4879" s="367">
        <v>45897.45833333333</v>
      </c>
      <c r="G4879" s="364" t="s">
        <v>1187</v>
      </c>
      <c r="H4879" s="364" t="s">
        <v>1221</v>
      </c>
    </row>
    <row r="4880" ht="15.75" customHeight="1">
      <c r="A4880" s="364" t="s">
        <v>86</v>
      </c>
      <c r="B4880" s="364" t="s">
        <v>26</v>
      </c>
      <c r="C4880" s="365" t="s">
        <v>546</v>
      </c>
      <c r="D4880" s="364" t="s">
        <v>547</v>
      </c>
      <c r="E4880" s="366">
        <v>13.0</v>
      </c>
      <c r="F4880" s="367">
        <v>45909.41666666667</v>
      </c>
      <c r="G4880" s="364" t="s">
        <v>1185</v>
      </c>
      <c r="H4880" s="364" t="s">
        <v>1221</v>
      </c>
    </row>
    <row r="4881" ht="15.75" customHeight="1">
      <c r="A4881" s="364" t="s">
        <v>86</v>
      </c>
      <c r="B4881" s="364" t="s">
        <v>26</v>
      </c>
      <c r="C4881" s="365" t="s">
        <v>546</v>
      </c>
      <c r="D4881" s="364" t="s">
        <v>547</v>
      </c>
      <c r="E4881" s="366">
        <v>14.0</v>
      </c>
      <c r="F4881" s="367">
        <v>45923.41666666667</v>
      </c>
      <c r="G4881" s="364" t="s">
        <v>1187</v>
      </c>
      <c r="H4881" s="364" t="s">
        <v>1221</v>
      </c>
    </row>
    <row r="4882" ht="15.75" customHeight="1">
      <c r="A4882" s="364" t="s">
        <v>86</v>
      </c>
      <c r="B4882" s="364" t="s">
        <v>26</v>
      </c>
      <c r="C4882" s="365" t="s">
        <v>546</v>
      </c>
      <c r="D4882" s="364" t="s">
        <v>547</v>
      </c>
      <c r="E4882" s="366">
        <v>15.0</v>
      </c>
      <c r="F4882" s="367">
        <v>45925.625</v>
      </c>
      <c r="G4882" s="364" t="s">
        <v>1185</v>
      </c>
      <c r="H4882" s="364" t="s">
        <v>1221</v>
      </c>
    </row>
    <row r="4883" ht="15.75" customHeight="1">
      <c r="A4883" s="364" t="s">
        <v>86</v>
      </c>
      <c r="B4883" s="364" t="s">
        <v>26</v>
      </c>
      <c r="C4883" s="365" t="s">
        <v>546</v>
      </c>
      <c r="D4883" s="364" t="s">
        <v>547</v>
      </c>
      <c r="E4883" s="366">
        <v>16.0</v>
      </c>
      <c r="F4883" s="367">
        <v>45932.625</v>
      </c>
      <c r="G4883" s="364" t="s">
        <v>1185</v>
      </c>
      <c r="H4883" s="364" t="s">
        <v>1221</v>
      </c>
    </row>
    <row r="4884" ht="15.75" customHeight="1">
      <c r="A4884" s="364" t="s">
        <v>86</v>
      </c>
      <c r="B4884" s="364" t="s">
        <v>26</v>
      </c>
      <c r="C4884" s="365" t="s">
        <v>548</v>
      </c>
      <c r="D4884" s="364" t="s">
        <v>549</v>
      </c>
      <c r="E4884" s="366">
        <v>1.0</v>
      </c>
      <c r="F4884" s="367">
        <v>45805.375</v>
      </c>
      <c r="G4884" s="364" t="s">
        <v>1185</v>
      </c>
      <c r="H4884" s="364" t="s">
        <v>1221</v>
      </c>
    </row>
    <row r="4885" ht="15.75" customHeight="1">
      <c r="A4885" s="364" t="s">
        <v>86</v>
      </c>
      <c r="B4885" s="364" t="s">
        <v>26</v>
      </c>
      <c r="C4885" s="365" t="s">
        <v>548</v>
      </c>
      <c r="D4885" s="364" t="s">
        <v>549</v>
      </c>
      <c r="E4885" s="366">
        <v>2.0</v>
      </c>
      <c r="F4885" s="367">
        <v>45811.41666666667</v>
      </c>
      <c r="G4885" s="364" t="s">
        <v>1185</v>
      </c>
      <c r="H4885" s="364" t="s">
        <v>1221</v>
      </c>
    </row>
    <row r="4886" ht="15.75" customHeight="1">
      <c r="A4886" s="364" t="s">
        <v>86</v>
      </c>
      <c r="B4886" s="364" t="s">
        <v>26</v>
      </c>
      <c r="C4886" s="365" t="s">
        <v>548</v>
      </c>
      <c r="D4886" s="364" t="s">
        <v>549</v>
      </c>
      <c r="E4886" s="366">
        <v>3.0</v>
      </c>
      <c r="F4886" s="367">
        <v>45818.41666666667</v>
      </c>
      <c r="G4886" s="364" t="s">
        <v>1185</v>
      </c>
      <c r="H4886" s="364" t="s">
        <v>1221</v>
      </c>
    </row>
    <row r="4887" ht="15.75" customHeight="1">
      <c r="A4887" s="364" t="s">
        <v>86</v>
      </c>
      <c r="B4887" s="364" t="s">
        <v>26</v>
      </c>
      <c r="C4887" s="365" t="s">
        <v>548</v>
      </c>
      <c r="D4887" s="364" t="s">
        <v>549</v>
      </c>
      <c r="E4887" s="366">
        <v>4.0</v>
      </c>
      <c r="F4887" s="367">
        <v>45825.41666666667</v>
      </c>
      <c r="G4887" s="364" t="s">
        <v>1185</v>
      </c>
      <c r="H4887" s="364" t="s">
        <v>1221</v>
      </c>
    </row>
    <row r="4888" ht="15.75" customHeight="1">
      <c r="A4888" s="364" t="s">
        <v>86</v>
      </c>
      <c r="B4888" s="364" t="s">
        <v>26</v>
      </c>
      <c r="C4888" s="365" t="s">
        <v>548</v>
      </c>
      <c r="D4888" s="364" t="s">
        <v>549</v>
      </c>
      <c r="E4888" s="366">
        <v>5.0</v>
      </c>
      <c r="F4888" s="367">
        <v>45839.41666666667</v>
      </c>
      <c r="G4888" s="364" t="s">
        <v>1185</v>
      </c>
      <c r="H4888" s="364" t="s">
        <v>1221</v>
      </c>
    </row>
    <row r="4889" ht="15.75" customHeight="1">
      <c r="A4889" s="364" t="s">
        <v>86</v>
      </c>
      <c r="B4889" s="364" t="s">
        <v>26</v>
      </c>
      <c r="C4889" s="365" t="s">
        <v>548</v>
      </c>
      <c r="D4889" s="364" t="s">
        <v>549</v>
      </c>
      <c r="E4889" s="366">
        <v>6.0</v>
      </c>
      <c r="F4889" s="367">
        <v>45846.41666666667</v>
      </c>
      <c r="G4889" s="364" t="s">
        <v>1185</v>
      </c>
      <c r="H4889" s="364" t="s">
        <v>1221</v>
      </c>
    </row>
    <row r="4890" ht="15.75" customHeight="1">
      <c r="A4890" s="364" t="s">
        <v>86</v>
      </c>
      <c r="B4890" s="364" t="s">
        <v>26</v>
      </c>
      <c r="C4890" s="365" t="s">
        <v>548</v>
      </c>
      <c r="D4890" s="364" t="s">
        <v>549</v>
      </c>
      <c r="E4890" s="366">
        <v>7.0</v>
      </c>
      <c r="F4890" s="367">
        <v>45855.41666666667</v>
      </c>
      <c r="G4890" s="364" t="s">
        <v>1185</v>
      </c>
      <c r="H4890" s="364" t="s">
        <v>1221</v>
      </c>
    </row>
    <row r="4891" ht="15.75" customHeight="1">
      <c r="A4891" s="364" t="s">
        <v>86</v>
      </c>
      <c r="B4891" s="364" t="s">
        <v>26</v>
      </c>
      <c r="C4891" s="365" t="s">
        <v>548</v>
      </c>
      <c r="D4891" s="364" t="s">
        <v>549</v>
      </c>
      <c r="E4891" s="366">
        <v>8.0</v>
      </c>
      <c r="F4891" s="367">
        <v>45860.625</v>
      </c>
      <c r="G4891" s="364" t="s">
        <v>1185</v>
      </c>
      <c r="H4891" s="364" t="s">
        <v>1221</v>
      </c>
    </row>
    <row r="4892" ht="15.75" customHeight="1">
      <c r="A4892" s="364" t="s">
        <v>86</v>
      </c>
      <c r="B4892" s="364" t="s">
        <v>26</v>
      </c>
      <c r="C4892" s="365" t="s">
        <v>548</v>
      </c>
      <c r="D4892" s="364" t="s">
        <v>549</v>
      </c>
      <c r="E4892" s="366">
        <v>9.0</v>
      </c>
      <c r="F4892" s="367">
        <v>45869.45833333333</v>
      </c>
      <c r="G4892" s="364" t="s">
        <v>1185</v>
      </c>
      <c r="H4892" s="364" t="s">
        <v>1221</v>
      </c>
    </row>
    <row r="4893" ht="15.75" customHeight="1">
      <c r="A4893" s="364" t="s">
        <v>86</v>
      </c>
      <c r="B4893" s="364" t="s">
        <v>26</v>
      </c>
      <c r="C4893" s="365" t="s">
        <v>548</v>
      </c>
      <c r="D4893" s="364" t="s">
        <v>549</v>
      </c>
      <c r="E4893" s="366">
        <v>10.0</v>
      </c>
      <c r="F4893" s="367">
        <v>45881.5</v>
      </c>
      <c r="G4893" s="364" t="s">
        <v>1185</v>
      </c>
      <c r="H4893" s="364" t="s">
        <v>1221</v>
      </c>
    </row>
    <row r="4894" ht="15.75" customHeight="1">
      <c r="A4894" s="364" t="s">
        <v>86</v>
      </c>
      <c r="B4894" s="364" t="s">
        <v>26</v>
      </c>
      <c r="C4894" s="365" t="s">
        <v>548</v>
      </c>
      <c r="D4894" s="364" t="s">
        <v>549</v>
      </c>
      <c r="E4894" s="366">
        <v>11.0</v>
      </c>
      <c r="F4894" s="367">
        <v>45888.54166666667</v>
      </c>
      <c r="G4894" s="364" t="s">
        <v>1185</v>
      </c>
      <c r="H4894" s="364" t="s">
        <v>1221</v>
      </c>
    </row>
    <row r="4895" ht="15.75" customHeight="1">
      <c r="A4895" s="364" t="s">
        <v>86</v>
      </c>
      <c r="B4895" s="364" t="s">
        <v>26</v>
      </c>
      <c r="C4895" s="365" t="s">
        <v>548</v>
      </c>
      <c r="D4895" s="364" t="s">
        <v>549</v>
      </c>
      <c r="E4895" s="366">
        <v>12.0</v>
      </c>
      <c r="F4895" s="367">
        <v>45897.45833333333</v>
      </c>
      <c r="G4895" s="364" t="s">
        <v>1187</v>
      </c>
      <c r="H4895" s="364" t="s">
        <v>1221</v>
      </c>
    </row>
    <row r="4896" ht="15.75" customHeight="1">
      <c r="A4896" s="364" t="s">
        <v>86</v>
      </c>
      <c r="B4896" s="364" t="s">
        <v>26</v>
      </c>
      <c r="C4896" s="365" t="s">
        <v>548</v>
      </c>
      <c r="D4896" s="364" t="s">
        <v>549</v>
      </c>
      <c r="E4896" s="366">
        <v>13.0</v>
      </c>
      <c r="F4896" s="367">
        <v>45909.41666666667</v>
      </c>
      <c r="G4896" s="364" t="s">
        <v>1185</v>
      </c>
      <c r="H4896" s="364" t="s">
        <v>1221</v>
      </c>
    </row>
    <row r="4897" ht="15.75" customHeight="1">
      <c r="A4897" s="364" t="s">
        <v>86</v>
      </c>
      <c r="B4897" s="364" t="s">
        <v>26</v>
      </c>
      <c r="C4897" s="365" t="s">
        <v>548</v>
      </c>
      <c r="D4897" s="364" t="s">
        <v>549</v>
      </c>
      <c r="E4897" s="366">
        <v>14.0</v>
      </c>
      <c r="F4897" s="367">
        <v>45923.41666666667</v>
      </c>
      <c r="G4897" s="364" t="s">
        <v>1185</v>
      </c>
      <c r="H4897" s="364" t="s">
        <v>1221</v>
      </c>
    </row>
    <row r="4898" ht="15.75" customHeight="1">
      <c r="A4898" s="364" t="s">
        <v>86</v>
      </c>
      <c r="B4898" s="364" t="s">
        <v>26</v>
      </c>
      <c r="C4898" s="365" t="s">
        <v>548</v>
      </c>
      <c r="D4898" s="364" t="s">
        <v>549</v>
      </c>
      <c r="E4898" s="366">
        <v>15.0</v>
      </c>
      <c r="F4898" s="367">
        <v>45925.625</v>
      </c>
      <c r="G4898" s="364" t="s">
        <v>1185</v>
      </c>
      <c r="H4898" s="364" t="s">
        <v>1221</v>
      </c>
    </row>
    <row r="4899" ht="15.75" customHeight="1">
      <c r="A4899" s="364" t="s">
        <v>86</v>
      </c>
      <c r="B4899" s="364" t="s">
        <v>26</v>
      </c>
      <c r="C4899" s="365" t="s">
        <v>548</v>
      </c>
      <c r="D4899" s="364" t="s">
        <v>549</v>
      </c>
      <c r="E4899" s="366">
        <v>16.0</v>
      </c>
      <c r="F4899" s="367">
        <v>45932.625</v>
      </c>
      <c r="G4899" s="364" t="s">
        <v>1185</v>
      </c>
      <c r="H4899" s="364" t="s">
        <v>1221</v>
      </c>
    </row>
    <row r="4900" ht="15.75" customHeight="1">
      <c r="A4900" s="364" t="s">
        <v>86</v>
      </c>
      <c r="B4900" s="364" t="s">
        <v>26</v>
      </c>
      <c r="C4900" s="365" t="s">
        <v>557</v>
      </c>
      <c r="D4900" s="364" t="s">
        <v>558</v>
      </c>
      <c r="E4900" s="366">
        <v>1.0</v>
      </c>
      <c r="F4900" s="367">
        <v>45805.375</v>
      </c>
      <c r="G4900" s="364" t="s">
        <v>1185</v>
      </c>
      <c r="H4900" s="364" t="s">
        <v>1221</v>
      </c>
    </row>
    <row r="4901" ht="15.75" customHeight="1">
      <c r="A4901" s="364" t="s">
        <v>86</v>
      </c>
      <c r="B4901" s="364" t="s">
        <v>26</v>
      </c>
      <c r="C4901" s="365" t="s">
        <v>557</v>
      </c>
      <c r="D4901" s="364" t="s">
        <v>558</v>
      </c>
      <c r="E4901" s="366">
        <v>2.0</v>
      </c>
      <c r="F4901" s="367">
        <v>45811.41666666667</v>
      </c>
      <c r="G4901" s="364" t="s">
        <v>1185</v>
      </c>
      <c r="H4901" s="364" t="s">
        <v>1221</v>
      </c>
    </row>
    <row r="4902" ht="15.75" customHeight="1">
      <c r="A4902" s="364" t="s">
        <v>86</v>
      </c>
      <c r="B4902" s="364" t="s">
        <v>26</v>
      </c>
      <c r="C4902" s="365" t="s">
        <v>557</v>
      </c>
      <c r="D4902" s="364" t="s">
        <v>558</v>
      </c>
      <c r="E4902" s="366">
        <v>3.0</v>
      </c>
      <c r="F4902" s="367">
        <v>45818.41666666667</v>
      </c>
      <c r="G4902" s="364" t="s">
        <v>1185</v>
      </c>
      <c r="H4902" s="364" t="s">
        <v>1221</v>
      </c>
    </row>
    <row r="4903" ht="15.75" customHeight="1">
      <c r="A4903" s="364" t="s">
        <v>86</v>
      </c>
      <c r="B4903" s="364" t="s">
        <v>26</v>
      </c>
      <c r="C4903" s="365" t="s">
        <v>557</v>
      </c>
      <c r="D4903" s="364" t="s">
        <v>558</v>
      </c>
      <c r="E4903" s="366">
        <v>4.0</v>
      </c>
      <c r="F4903" s="367">
        <v>45825.41666666667</v>
      </c>
      <c r="G4903" s="364" t="s">
        <v>1185</v>
      </c>
      <c r="H4903" s="364" t="s">
        <v>1221</v>
      </c>
    </row>
    <row r="4904" ht="15.75" customHeight="1">
      <c r="A4904" s="364" t="s">
        <v>86</v>
      </c>
      <c r="B4904" s="364" t="s">
        <v>26</v>
      </c>
      <c r="C4904" s="365" t="s">
        <v>557</v>
      </c>
      <c r="D4904" s="364" t="s">
        <v>558</v>
      </c>
      <c r="E4904" s="366">
        <v>5.0</v>
      </c>
      <c r="F4904" s="367">
        <v>45839.41666666667</v>
      </c>
      <c r="G4904" s="364" t="s">
        <v>1185</v>
      </c>
      <c r="H4904" s="364" t="s">
        <v>1221</v>
      </c>
    </row>
    <row r="4905" ht="15.75" customHeight="1">
      <c r="A4905" s="364" t="s">
        <v>86</v>
      </c>
      <c r="B4905" s="364" t="s">
        <v>26</v>
      </c>
      <c r="C4905" s="365" t="s">
        <v>557</v>
      </c>
      <c r="D4905" s="364" t="s">
        <v>558</v>
      </c>
      <c r="E4905" s="366">
        <v>6.0</v>
      </c>
      <c r="F4905" s="367">
        <v>45846.41666666667</v>
      </c>
      <c r="G4905" s="364" t="s">
        <v>1185</v>
      </c>
      <c r="H4905" s="364" t="s">
        <v>1221</v>
      </c>
    </row>
    <row r="4906" ht="15.75" customHeight="1">
      <c r="A4906" s="364" t="s">
        <v>86</v>
      </c>
      <c r="B4906" s="364" t="s">
        <v>26</v>
      </c>
      <c r="C4906" s="365" t="s">
        <v>557</v>
      </c>
      <c r="D4906" s="364" t="s">
        <v>558</v>
      </c>
      <c r="E4906" s="366">
        <v>7.0</v>
      </c>
      <c r="F4906" s="367">
        <v>45855.41666666667</v>
      </c>
      <c r="G4906" s="364" t="s">
        <v>1185</v>
      </c>
      <c r="H4906" s="364" t="s">
        <v>1221</v>
      </c>
    </row>
    <row r="4907" ht="15.75" customHeight="1">
      <c r="A4907" s="364" t="s">
        <v>86</v>
      </c>
      <c r="B4907" s="364" t="s">
        <v>26</v>
      </c>
      <c r="C4907" s="365" t="s">
        <v>557</v>
      </c>
      <c r="D4907" s="364" t="s">
        <v>558</v>
      </c>
      <c r="E4907" s="366">
        <v>8.0</v>
      </c>
      <c r="F4907" s="367">
        <v>45860.625</v>
      </c>
      <c r="G4907" s="364" t="s">
        <v>1185</v>
      </c>
      <c r="H4907" s="364" t="s">
        <v>1221</v>
      </c>
    </row>
    <row r="4908" ht="15.75" customHeight="1">
      <c r="A4908" s="364" t="s">
        <v>86</v>
      </c>
      <c r="B4908" s="364" t="s">
        <v>26</v>
      </c>
      <c r="C4908" s="365" t="s">
        <v>557</v>
      </c>
      <c r="D4908" s="364" t="s">
        <v>558</v>
      </c>
      <c r="E4908" s="366">
        <v>9.0</v>
      </c>
      <c r="F4908" s="367">
        <v>45869.45833333333</v>
      </c>
      <c r="G4908" s="364" t="s">
        <v>1185</v>
      </c>
      <c r="H4908" s="364" t="s">
        <v>1221</v>
      </c>
    </row>
    <row r="4909" ht="15.75" customHeight="1">
      <c r="A4909" s="364" t="s">
        <v>86</v>
      </c>
      <c r="B4909" s="364" t="s">
        <v>26</v>
      </c>
      <c r="C4909" s="365" t="s">
        <v>557</v>
      </c>
      <c r="D4909" s="364" t="s">
        <v>558</v>
      </c>
      <c r="E4909" s="366">
        <v>10.0</v>
      </c>
      <c r="F4909" s="367">
        <v>45881.5</v>
      </c>
      <c r="G4909" s="364" t="s">
        <v>1185</v>
      </c>
      <c r="H4909" s="364" t="s">
        <v>1221</v>
      </c>
    </row>
    <row r="4910" ht="15.75" customHeight="1">
      <c r="A4910" s="364" t="s">
        <v>86</v>
      </c>
      <c r="B4910" s="364" t="s">
        <v>26</v>
      </c>
      <c r="C4910" s="365" t="s">
        <v>557</v>
      </c>
      <c r="D4910" s="364" t="s">
        <v>558</v>
      </c>
      <c r="E4910" s="366">
        <v>11.0</v>
      </c>
      <c r="F4910" s="367">
        <v>45888.54166666667</v>
      </c>
      <c r="G4910" s="364" t="s">
        <v>1185</v>
      </c>
      <c r="H4910" s="364" t="s">
        <v>1221</v>
      </c>
    </row>
    <row r="4911" ht="15.75" customHeight="1">
      <c r="A4911" s="364" t="s">
        <v>86</v>
      </c>
      <c r="B4911" s="364" t="s">
        <v>26</v>
      </c>
      <c r="C4911" s="365" t="s">
        <v>557</v>
      </c>
      <c r="D4911" s="364" t="s">
        <v>558</v>
      </c>
      <c r="E4911" s="366">
        <v>12.0</v>
      </c>
      <c r="F4911" s="367">
        <v>45897.45833333333</v>
      </c>
      <c r="G4911" s="364" t="s">
        <v>1185</v>
      </c>
      <c r="H4911" s="364" t="s">
        <v>1221</v>
      </c>
    </row>
    <row r="4912" ht="15.75" customHeight="1">
      <c r="A4912" s="364" t="s">
        <v>86</v>
      </c>
      <c r="B4912" s="364" t="s">
        <v>26</v>
      </c>
      <c r="C4912" s="365" t="s">
        <v>557</v>
      </c>
      <c r="D4912" s="364" t="s">
        <v>558</v>
      </c>
      <c r="E4912" s="366">
        <v>13.0</v>
      </c>
      <c r="F4912" s="367">
        <v>45909.41666666667</v>
      </c>
      <c r="G4912" s="364" t="s">
        <v>1185</v>
      </c>
      <c r="H4912" s="364" t="s">
        <v>1221</v>
      </c>
    </row>
    <row r="4913" ht="15.75" customHeight="1">
      <c r="A4913" s="364" t="s">
        <v>86</v>
      </c>
      <c r="B4913" s="364" t="s">
        <v>26</v>
      </c>
      <c r="C4913" s="365" t="s">
        <v>557</v>
      </c>
      <c r="D4913" s="364" t="s">
        <v>558</v>
      </c>
      <c r="E4913" s="366">
        <v>14.0</v>
      </c>
      <c r="F4913" s="367">
        <v>45923.41666666667</v>
      </c>
      <c r="G4913" s="364" t="s">
        <v>1185</v>
      </c>
      <c r="H4913" s="364" t="s">
        <v>1221</v>
      </c>
    </row>
    <row r="4914" ht="15.75" customHeight="1">
      <c r="A4914" s="364" t="s">
        <v>86</v>
      </c>
      <c r="B4914" s="364" t="s">
        <v>26</v>
      </c>
      <c r="C4914" s="365" t="s">
        <v>557</v>
      </c>
      <c r="D4914" s="364" t="s">
        <v>558</v>
      </c>
      <c r="E4914" s="366">
        <v>15.0</v>
      </c>
      <c r="F4914" s="367">
        <v>45925.625</v>
      </c>
      <c r="G4914" s="364" t="s">
        <v>1185</v>
      </c>
      <c r="H4914" s="364" t="s">
        <v>1221</v>
      </c>
    </row>
    <row r="4915" ht="15.75" customHeight="1">
      <c r="A4915" s="364" t="s">
        <v>86</v>
      </c>
      <c r="B4915" s="364" t="s">
        <v>26</v>
      </c>
      <c r="C4915" s="365" t="s">
        <v>557</v>
      </c>
      <c r="D4915" s="364" t="s">
        <v>558</v>
      </c>
      <c r="E4915" s="366">
        <v>16.0</v>
      </c>
      <c r="F4915" s="367">
        <v>45932.625</v>
      </c>
      <c r="G4915" s="364" t="s">
        <v>1185</v>
      </c>
      <c r="H4915" s="364" t="s">
        <v>1221</v>
      </c>
    </row>
    <row r="4916" ht="15.75" customHeight="1">
      <c r="A4916" s="364" t="s">
        <v>86</v>
      </c>
      <c r="B4916" s="364" t="s">
        <v>26</v>
      </c>
      <c r="C4916" s="365" t="s">
        <v>559</v>
      </c>
      <c r="D4916" s="364" t="s">
        <v>560</v>
      </c>
      <c r="E4916" s="366">
        <v>1.0</v>
      </c>
      <c r="F4916" s="367">
        <v>45805.375</v>
      </c>
      <c r="G4916" s="364" t="s">
        <v>1185</v>
      </c>
      <c r="H4916" s="364" t="s">
        <v>1221</v>
      </c>
    </row>
    <row r="4917" ht="15.75" customHeight="1">
      <c r="A4917" s="364" t="s">
        <v>86</v>
      </c>
      <c r="B4917" s="364" t="s">
        <v>26</v>
      </c>
      <c r="C4917" s="365" t="s">
        <v>559</v>
      </c>
      <c r="D4917" s="364" t="s">
        <v>560</v>
      </c>
      <c r="E4917" s="366">
        <v>2.0</v>
      </c>
      <c r="F4917" s="367">
        <v>45811.41666666667</v>
      </c>
      <c r="G4917" s="364" t="s">
        <v>1185</v>
      </c>
      <c r="H4917" s="364" t="s">
        <v>1221</v>
      </c>
    </row>
    <row r="4918" ht="15.75" customHeight="1">
      <c r="A4918" s="364" t="s">
        <v>86</v>
      </c>
      <c r="B4918" s="364" t="s">
        <v>26</v>
      </c>
      <c r="C4918" s="365" t="s">
        <v>559</v>
      </c>
      <c r="D4918" s="364" t="s">
        <v>560</v>
      </c>
      <c r="E4918" s="366">
        <v>3.0</v>
      </c>
      <c r="F4918" s="367">
        <v>45818.41666666667</v>
      </c>
      <c r="G4918" s="364" t="s">
        <v>1185</v>
      </c>
      <c r="H4918" s="364" t="s">
        <v>1221</v>
      </c>
    </row>
    <row r="4919" ht="15.75" customHeight="1">
      <c r="A4919" s="364" t="s">
        <v>86</v>
      </c>
      <c r="B4919" s="364" t="s">
        <v>26</v>
      </c>
      <c r="C4919" s="365" t="s">
        <v>559</v>
      </c>
      <c r="D4919" s="364" t="s">
        <v>560</v>
      </c>
      <c r="E4919" s="366">
        <v>4.0</v>
      </c>
      <c r="F4919" s="367">
        <v>45825.41666666667</v>
      </c>
      <c r="G4919" s="364" t="s">
        <v>1185</v>
      </c>
      <c r="H4919" s="364" t="s">
        <v>1221</v>
      </c>
    </row>
    <row r="4920" ht="15.75" customHeight="1">
      <c r="A4920" s="364" t="s">
        <v>86</v>
      </c>
      <c r="B4920" s="364" t="s">
        <v>26</v>
      </c>
      <c r="C4920" s="365" t="s">
        <v>559</v>
      </c>
      <c r="D4920" s="364" t="s">
        <v>560</v>
      </c>
      <c r="E4920" s="366">
        <v>5.0</v>
      </c>
      <c r="F4920" s="367">
        <v>45839.41666666667</v>
      </c>
      <c r="G4920" s="364" t="s">
        <v>1185</v>
      </c>
      <c r="H4920" s="364" t="s">
        <v>1221</v>
      </c>
    </row>
    <row r="4921" ht="15.75" customHeight="1">
      <c r="A4921" s="364" t="s">
        <v>86</v>
      </c>
      <c r="B4921" s="364" t="s">
        <v>26</v>
      </c>
      <c r="C4921" s="365" t="s">
        <v>559</v>
      </c>
      <c r="D4921" s="364" t="s">
        <v>560</v>
      </c>
      <c r="E4921" s="366">
        <v>6.0</v>
      </c>
      <c r="F4921" s="367">
        <v>45846.41666666667</v>
      </c>
      <c r="G4921" s="364" t="s">
        <v>1185</v>
      </c>
      <c r="H4921" s="364" t="s">
        <v>1221</v>
      </c>
    </row>
    <row r="4922" ht="15.75" customHeight="1">
      <c r="A4922" s="364" t="s">
        <v>86</v>
      </c>
      <c r="B4922" s="364" t="s">
        <v>26</v>
      </c>
      <c r="C4922" s="365" t="s">
        <v>559</v>
      </c>
      <c r="D4922" s="364" t="s">
        <v>560</v>
      </c>
      <c r="E4922" s="366">
        <v>7.0</v>
      </c>
      <c r="F4922" s="367">
        <v>45855.41666666667</v>
      </c>
      <c r="G4922" s="364" t="s">
        <v>1185</v>
      </c>
      <c r="H4922" s="364" t="s">
        <v>1221</v>
      </c>
    </row>
    <row r="4923" ht="15.75" customHeight="1">
      <c r="A4923" s="364" t="s">
        <v>86</v>
      </c>
      <c r="B4923" s="364" t="s">
        <v>26</v>
      </c>
      <c r="C4923" s="365" t="s">
        <v>559</v>
      </c>
      <c r="D4923" s="364" t="s">
        <v>560</v>
      </c>
      <c r="E4923" s="366">
        <v>8.0</v>
      </c>
      <c r="F4923" s="367">
        <v>45860.625</v>
      </c>
      <c r="G4923" s="364" t="s">
        <v>1187</v>
      </c>
      <c r="H4923" s="364" t="s">
        <v>1221</v>
      </c>
    </row>
    <row r="4924" ht="15.75" customHeight="1">
      <c r="A4924" s="364" t="s">
        <v>86</v>
      </c>
      <c r="B4924" s="364" t="s">
        <v>26</v>
      </c>
      <c r="C4924" s="365" t="s">
        <v>559</v>
      </c>
      <c r="D4924" s="364" t="s">
        <v>560</v>
      </c>
      <c r="E4924" s="366">
        <v>9.0</v>
      </c>
      <c r="F4924" s="367">
        <v>45869.45833333333</v>
      </c>
      <c r="G4924" s="364" t="s">
        <v>1185</v>
      </c>
      <c r="H4924" s="364" t="s">
        <v>1221</v>
      </c>
    </row>
    <row r="4925" ht="15.75" customHeight="1">
      <c r="A4925" s="364" t="s">
        <v>86</v>
      </c>
      <c r="B4925" s="364" t="s">
        <v>26</v>
      </c>
      <c r="C4925" s="365" t="s">
        <v>559</v>
      </c>
      <c r="D4925" s="364" t="s">
        <v>560</v>
      </c>
      <c r="E4925" s="366">
        <v>10.0</v>
      </c>
      <c r="F4925" s="367">
        <v>45881.5</v>
      </c>
      <c r="G4925" s="364" t="s">
        <v>1185</v>
      </c>
      <c r="H4925" s="364" t="s">
        <v>1221</v>
      </c>
    </row>
    <row r="4926" ht="15.75" customHeight="1">
      <c r="A4926" s="364" t="s">
        <v>86</v>
      </c>
      <c r="B4926" s="364" t="s">
        <v>26</v>
      </c>
      <c r="C4926" s="365" t="s">
        <v>559</v>
      </c>
      <c r="D4926" s="364" t="s">
        <v>560</v>
      </c>
      <c r="E4926" s="366">
        <v>11.0</v>
      </c>
      <c r="F4926" s="367">
        <v>45888.54166666667</v>
      </c>
      <c r="G4926" s="364" t="s">
        <v>1185</v>
      </c>
      <c r="H4926" s="364" t="s">
        <v>1221</v>
      </c>
    </row>
    <row r="4927" ht="15.75" customHeight="1">
      <c r="A4927" s="364" t="s">
        <v>86</v>
      </c>
      <c r="B4927" s="364" t="s">
        <v>26</v>
      </c>
      <c r="C4927" s="365" t="s">
        <v>559</v>
      </c>
      <c r="D4927" s="364" t="s">
        <v>560</v>
      </c>
      <c r="E4927" s="366">
        <v>12.0</v>
      </c>
      <c r="F4927" s="367">
        <v>45897.45833333333</v>
      </c>
      <c r="G4927" s="364" t="s">
        <v>1185</v>
      </c>
      <c r="H4927" s="364" t="s">
        <v>1221</v>
      </c>
    </row>
    <row r="4928" ht="15.75" customHeight="1">
      <c r="A4928" s="364" t="s">
        <v>86</v>
      </c>
      <c r="B4928" s="364" t="s">
        <v>26</v>
      </c>
      <c r="C4928" s="365" t="s">
        <v>559</v>
      </c>
      <c r="D4928" s="364" t="s">
        <v>560</v>
      </c>
      <c r="E4928" s="366">
        <v>13.0</v>
      </c>
      <c r="F4928" s="367">
        <v>45909.41666666667</v>
      </c>
      <c r="G4928" s="364" t="s">
        <v>1185</v>
      </c>
      <c r="H4928" s="364" t="s">
        <v>1221</v>
      </c>
    </row>
    <row r="4929" ht="15.75" customHeight="1">
      <c r="A4929" s="364" t="s">
        <v>86</v>
      </c>
      <c r="B4929" s="364" t="s">
        <v>26</v>
      </c>
      <c r="C4929" s="365" t="s">
        <v>559</v>
      </c>
      <c r="D4929" s="364" t="s">
        <v>560</v>
      </c>
      <c r="E4929" s="366">
        <v>14.0</v>
      </c>
      <c r="F4929" s="367">
        <v>45923.41666666667</v>
      </c>
      <c r="G4929" s="364" t="s">
        <v>1185</v>
      </c>
      <c r="H4929" s="364" t="s">
        <v>1221</v>
      </c>
    </row>
    <row r="4930" ht="15.75" customHeight="1">
      <c r="A4930" s="364" t="s">
        <v>86</v>
      </c>
      <c r="B4930" s="364" t="s">
        <v>26</v>
      </c>
      <c r="C4930" s="365" t="s">
        <v>559</v>
      </c>
      <c r="D4930" s="364" t="s">
        <v>560</v>
      </c>
      <c r="E4930" s="366">
        <v>15.0</v>
      </c>
      <c r="F4930" s="367">
        <v>45925.625</v>
      </c>
      <c r="G4930" s="364" t="s">
        <v>1187</v>
      </c>
      <c r="H4930" s="364" t="s">
        <v>1221</v>
      </c>
    </row>
    <row r="4931" ht="15.75" customHeight="1">
      <c r="A4931" s="364" t="s">
        <v>86</v>
      </c>
      <c r="B4931" s="364" t="s">
        <v>26</v>
      </c>
      <c r="C4931" s="365" t="s">
        <v>559</v>
      </c>
      <c r="D4931" s="364" t="s">
        <v>560</v>
      </c>
      <c r="E4931" s="366">
        <v>16.0</v>
      </c>
      <c r="F4931" s="367">
        <v>45932.625</v>
      </c>
      <c r="G4931" s="364" t="s">
        <v>1185</v>
      </c>
      <c r="H4931" s="364" t="s">
        <v>1221</v>
      </c>
    </row>
    <row r="4932" ht="15.75" customHeight="1">
      <c r="A4932" s="364" t="s">
        <v>86</v>
      </c>
      <c r="B4932" s="364" t="s">
        <v>26</v>
      </c>
      <c r="C4932" s="365" t="s">
        <v>551</v>
      </c>
      <c r="D4932" s="364" t="s">
        <v>552</v>
      </c>
      <c r="E4932" s="366">
        <v>1.0</v>
      </c>
      <c r="F4932" s="367">
        <v>45805.375</v>
      </c>
      <c r="G4932" s="364" t="s">
        <v>1185</v>
      </c>
      <c r="H4932" s="364" t="s">
        <v>1221</v>
      </c>
    </row>
    <row r="4933" ht="15.75" customHeight="1">
      <c r="A4933" s="364" t="s">
        <v>86</v>
      </c>
      <c r="B4933" s="364" t="s">
        <v>26</v>
      </c>
      <c r="C4933" s="365" t="s">
        <v>551</v>
      </c>
      <c r="D4933" s="364" t="s">
        <v>552</v>
      </c>
      <c r="E4933" s="366">
        <v>2.0</v>
      </c>
      <c r="F4933" s="367">
        <v>45811.41666666667</v>
      </c>
      <c r="G4933" s="364" t="s">
        <v>1185</v>
      </c>
      <c r="H4933" s="364" t="s">
        <v>1221</v>
      </c>
    </row>
    <row r="4934" ht="15.75" customHeight="1">
      <c r="A4934" s="364" t="s">
        <v>86</v>
      </c>
      <c r="B4934" s="364" t="s">
        <v>26</v>
      </c>
      <c r="C4934" s="365" t="s">
        <v>551</v>
      </c>
      <c r="D4934" s="364" t="s">
        <v>552</v>
      </c>
      <c r="E4934" s="366">
        <v>3.0</v>
      </c>
      <c r="F4934" s="367">
        <v>45818.41666666667</v>
      </c>
      <c r="G4934" s="364" t="s">
        <v>1185</v>
      </c>
      <c r="H4934" s="364" t="s">
        <v>1221</v>
      </c>
    </row>
    <row r="4935" ht="15.75" customHeight="1">
      <c r="A4935" s="364" t="s">
        <v>86</v>
      </c>
      <c r="B4935" s="364" t="s">
        <v>26</v>
      </c>
      <c r="C4935" s="365" t="s">
        <v>551</v>
      </c>
      <c r="D4935" s="364" t="s">
        <v>552</v>
      </c>
      <c r="E4935" s="366">
        <v>4.0</v>
      </c>
      <c r="F4935" s="367">
        <v>45825.41666666667</v>
      </c>
      <c r="G4935" s="364" t="s">
        <v>1185</v>
      </c>
      <c r="H4935" s="364" t="s">
        <v>1221</v>
      </c>
    </row>
    <row r="4936" ht="15.75" customHeight="1">
      <c r="A4936" s="364" t="s">
        <v>86</v>
      </c>
      <c r="B4936" s="364" t="s">
        <v>26</v>
      </c>
      <c r="C4936" s="365" t="s">
        <v>551</v>
      </c>
      <c r="D4936" s="364" t="s">
        <v>552</v>
      </c>
      <c r="E4936" s="366">
        <v>5.0</v>
      </c>
      <c r="F4936" s="367">
        <v>45839.41666666667</v>
      </c>
      <c r="G4936" s="364" t="s">
        <v>1185</v>
      </c>
      <c r="H4936" s="364" t="s">
        <v>1221</v>
      </c>
    </row>
    <row r="4937" ht="15.75" customHeight="1">
      <c r="A4937" s="364" t="s">
        <v>86</v>
      </c>
      <c r="B4937" s="364" t="s">
        <v>26</v>
      </c>
      <c r="C4937" s="365" t="s">
        <v>551</v>
      </c>
      <c r="D4937" s="364" t="s">
        <v>552</v>
      </c>
      <c r="E4937" s="366">
        <v>6.0</v>
      </c>
      <c r="F4937" s="367">
        <v>45846.41666666667</v>
      </c>
      <c r="G4937" s="364" t="s">
        <v>1185</v>
      </c>
      <c r="H4937" s="364" t="s">
        <v>1221</v>
      </c>
    </row>
    <row r="4938" ht="15.75" customHeight="1">
      <c r="A4938" s="364" t="s">
        <v>86</v>
      </c>
      <c r="B4938" s="364" t="s">
        <v>26</v>
      </c>
      <c r="C4938" s="365" t="s">
        <v>551</v>
      </c>
      <c r="D4938" s="364" t="s">
        <v>552</v>
      </c>
      <c r="E4938" s="366">
        <v>7.0</v>
      </c>
      <c r="F4938" s="367">
        <v>45855.41666666667</v>
      </c>
      <c r="G4938" s="364" t="s">
        <v>1185</v>
      </c>
      <c r="H4938" s="364" t="s">
        <v>1221</v>
      </c>
    </row>
    <row r="4939" ht="15.75" customHeight="1">
      <c r="A4939" s="364" t="s">
        <v>86</v>
      </c>
      <c r="B4939" s="364" t="s">
        <v>26</v>
      </c>
      <c r="C4939" s="365" t="s">
        <v>551</v>
      </c>
      <c r="D4939" s="364" t="s">
        <v>552</v>
      </c>
      <c r="E4939" s="366">
        <v>8.0</v>
      </c>
      <c r="F4939" s="367">
        <v>45860.625</v>
      </c>
      <c r="G4939" s="364" t="s">
        <v>1185</v>
      </c>
      <c r="H4939" s="364" t="s">
        <v>1221</v>
      </c>
    </row>
    <row r="4940" ht="15.75" customHeight="1">
      <c r="A4940" s="364" t="s">
        <v>86</v>
      </c>
      <c r="B4940" s="364" t="s">
        <v>26</v>
      </c>
      <c r="C4940" s="365" t="s">
        <v>551</v>
      </c>
      <c r="D4940" s="364" t="s">
        <v>552</v>
      </c>
      <c r="E4940" s="366">
        <v>9.0</v>
      </c>
      <c r="F4940" s="367">
        <v>45869.45833333333</v>
      </c>
      <c r="G4940" s="364" t="s">
        <v>1185</v>
      </c>
      <c r="H4940" s="364" t="s">
        <v>1221</v>
      </c>
    </row>
    <row r="4941" ht="15.75" customHeight="1">
      <c r="A4941" s="364" t="s">
        <v>86</v>
      </c>
      <c r="B4941" s="364" t="s">
        <v>26</v>
      </c>
      <c r="C4941" s="365" t="s">
        <v>551</v>
      </c>
      <c r="D4941" s="364" t="s">
        <v>552</v>
      </c>
      <c r="E4941" s="366">
        <v>10.0</v>
      </c>
      <c r="F4941" s="367">
        <v>45881.5</v>
      </c>
      <c r="G4941" s="364" t="s">
        <v>1187</v>
      </c>
      <c r="H4941" s="364" t="s">
        <v>1221</v>
      </c>
    </row>
    <row r="4942" ht="15.75" customHeight="1">
      <c r="A4942" s="364" t="s">
        <v>86</v>
      </c>
      <c r="B4942" s="364" t="s">
        <v>26</v>
      </c>
      <c r="C4942" s="365" t="s">
        <v>551</v>
      </c>
      <c r="D4942" s="364" t="s">
        <v>552</v>
      </c>
      <c r="E4942" s="366">
        <v>11.0</v>
      </c>
      <c r="F4942" s="367">
        <v>45888.54166666667</v>
      </c>
      <c r="G4942" s="364" t="s">
        <v>1185</v>
      </c>
      <c r="H4942" s="364" t="s">
        <v>1221</v>
      </c>
    </row>
    <row r="4943" ht="15.75" customHeight="1">
      <c r="A4943" s="364" t="s">
        <v>86</v>
      </c>
      <c r="B4943" s="364" t="s">
        <v>26</v>
      </c>
      <c r="C4943" s="365" t="s">
        <v>551</v>
      </c>
      <c r="D4943" s="364" t="s">
        <v>552</v>
      </c>
      <c r="E4943" s="366">
        <v>12.0</v>
      </c>
      <c r="F4943" s="367">
        <v>45897.45833333333</v>
      </c>
      <c r="G4943" s="364" t="s">
        <v>1185</v>
      </c>
      <c r="H4943" s="364" t="s">
        <v>1221</v>
      </c>
    </row>
    <row r="4944" ht="15.75" customHeight="1">
      <c r="A4944" s="364" t="s">
        <v>86</v>
      </c>
      <c r="B4944" s="364" t="s">
        <v>26</v>
      </c>
      <c r="C4944" s="365" t="s">
        <v>551</v>
      </c>
      <c r="D4944" s="364" t="s">
        <v>552</v>
      </c>
      <c r="E4944" s="366">
        <v>13.0</v>
      </c>
      <c r="F4944" s="367">
        <v>45909.41666666667</v>
      </c>
      <c r="G4944" s="364" t="s">
        <v>1185</v>
      </c>
      <c r="H4944" s="364" t="s">
        <v>1221</v>
      </c>
    </row>
    <row r="4945" ht="15.75" customHeight="1">
      <c r="A4945" s="364" t="s">
        <v>86</v>
      </c>
      <c r="B4945" s="364" t="s">
        <v>26</v>
      </c>
      <c r="C4945" s="365" t="s">
        <v>551</v>
      </c>
      <c r="D4945" s="364" t="s">
        <v>552</v>
      </c>
      <c r="E4945" s="366">
        <v>14.0</v>
      </c>
      <c r="F4945" s="367">
        <v>45923.41666666667</v>
      </c>
      <c r="G4945" s="364" t="s">
        <v>1185</v>
      </c>
      <c r="H4945" s="364" t="s">
        <v>1221</v>
      </c>
    </row>
    <row r="4946" ht="15.75" customHeight="1">
      <c r="A4946" s="364" t="s">
        <v>86</v>
      </c>
      <c r="B4946" s="364" t="s">
        <v>26</v>
      </c>
      <c r="C4946" s="365" t="s">
        <v>551</v>
      </c>
      <c r="D4946" s="364" t="s">
        <v>552</v>
      </c>
      <c r="E4946" s="366">
        <v>15.0</v>
      </c>
      <c r="F4946" s="367">
        <v>45925.625</v>
      </c>
      <c r="G4946" s="364" t="s">
        <v>1187</v>
      </c>
      <c r="H4946" s="364" t="s">
        <v>1221</v>
      </c>
    </row>
    <row r="4947" ht="15.75" customHeight="1">
      <c r="A4947" s="364" t="s">
        <v>86</v>
      </c>
      <c r="B4947" s="364" t="s">
        <v>26</v>
      </c>
      <c r="C4947" s="365" t="s">
        <v>551</v>
      </c>
      <c r="D4947" s="364" t="s">
        <v>552</v>
      </c>
      <c r="E4947" s="366">
        <v>16.0</v>
      </c>
      <c r="F4947" s="367">
        <v>45932.625</v>
      </c>
      <c r="G4947" s="364" t="s">
        <v>1185</v>
      </c>
      <c r="H4947" s="364" t="s">
        <v>1221</v>
      </c>
    </row>
    <row r="4948" ht="15.75" customHeight="1">
      <c r="A4948" s="364" t="s">
        <v>87</v>
      </c>
      <c r="B4948" s="364" t="s">
        <v>22</v>
      </c>
      <c r="C4948" s="365" t="s">
        <v>409</v>
      </c>
      <c r="D4948" s="364" t="s">
        <v>410</v>
      </c>
      <c r="E4948" s="366">
        <v>1.0</v>
      </c>
      <c r="F4948" s="367">
        <v>45813.45833333333</v>
      </c>
      <c r="G4948" s="364" t="s">
        <v>1185</v>
      </c>
      <c r="H4948" s="364" t="s">
        <v>1222</v>
      </c>
    </row>
    <row r="4949" ht="15.75" customHeight="1">
      <c r="A4949" s="364" t="s">
        <v>87</v>
      </c>
      <c r="B4949" s="364" t="s">
        <v>22</v>
      </c>
      <c r="C4949" s="365" t="s">
        <v>409</v>
      </c>
      <c r="D4949" s="364" t="s">
        <v>410</v>
      </c>
      <c r="E4949" s="366">
        <v>2.0</v>
      </c>
      <c r="F4949" s="367">
        <v>45820.45833333333</v>
      </c>
      <c r="G4949" s="364" t="s">
        <v>1185</v>
      </c>
      <c r="H4949" s="364" t="s">
        <v>1222</v>
      </c>
    </row>
    <row r="4950" ht="15.75" customHeight="1">
      <c r="A4950" s="364" t="s">
        <v>87</v>
      </c>
      <c r="B4950" s="364" t="s">
        <v>22</v>
      </c>
      <c r="C4950" s="365" t="s">
        <v>409</v>
      </c>
      <c r="D4950" s="364" t="s">
        <v>410</v>
      </c>
      <c r="E4950" s="366">
        <v>3.0</v>
      </c>
      <c r="F4950" s="367">
        <v>45841.625</v>
      </c>
      <c r="G4950" s="364" t="s">
        <v>1185</v>
      </c>
      <c r="H4950" s="364" t="s">
        <v>1222</v>
      </c>
    </row>
    <row r="4951" ht="15.75" customHeight="1">
      <c r="A4951" s="364" t="s">
        <v>87</v>
      </c>
      <c r="B4951" s="364" t="s">
        <v>22</v>
      </c>
      <c r="C4951" s="365" t="s">
        <v>409</v>
      </c>
      <c r="D4951" s="364" t="s">
        <v>410</v>
      </c>
      <c r="E4951" s="366">
        <v>4.0</v>
      </c>
      <c r="F4951" s="367">
        <v>45849.41666666667</v>
      </c>
      <c r="G4951" s="364" t="s">
        <v>1185</v>
      </c>
      <c r="H4951" s="364" t="s">
        <v>1222</v>
      </c>
    </row>
    <row r="4952" ht="15.75" customHeight="1">
      <c r="A4952" s="364" t="s">
        <v>87</v>
      </c>
      <c r="B4952" s="364" t="s">
        <v>22</v>
      </c>
      <c r="C4952" s="365" t="s">
        <v>409</v>
      </c>
      <c r="D4952" s="364" t="s">
        <v>410</v>
      </c>
      <c r="E4952" s="366">
        <v>5.0</v>
      </c>
      <c r="F4952" s="367">
        <v>45855.625</v>
      </c>
      <c r="G4952" s="364" t="s">
        <v>1185</v>
      </c>
      <c r="H4952" s="364" t="s">
        <v>1222</v>
      </c>
    </row>
    <row r="4953" ht="15.75" customHeight="1">
      <c r="A4953" s="364" t="s">
        <v>87</v>
      </c>
      <c r="B4953" s="364" t="s">
        <v>22</v>
      </c>
      <c r="C4953" s="365" t="s">
        <v>409</v>
      </c>
      <c r="D4953" s="364" t="s">
        <v>410</v>
      </c>
      <c r="E4953" s="366">
        <v>6.0</v>
      </c>
      <c r="F4953" s="367">
        <v>45890.45833333333</v>
      </c>
      <c r="G4953" s="364" t="s">
        <v>1185</v>
      </c>
      <c r="H4953" s="364" t="s">
        <v>1222</v>
      </c>
    </row>
    <row r="4954" ht="15.75" customHeight="1">
      <c r="A4954" s="364" t="s">
        <v>87</v>
      </c>
      <c r="B4954" s="364" t="s">
        <v>22</v>
      </c>
      <c r="C4954" s="365" t="s">
        <v>409</v>
      </c>
      <c r="D4954" s="364" t="s">
        <v>410</v>
      </c>
      <c r="E4954" s="366">
        <v>7.0</v>
      </c>
      <c r="F4954" s="367">
        <v>45911.625</v>
      </c>
      <c r="G4954" s="364" t="s">
        <v>1185</v>
      </c>
      <c r="H4954" s="364" t="s">
        <v>1222</v>
      </c>
    </row>
    <row r="4955" ht="15.75" customHeight="1">
      <c r="A4955" s="364" t="s">
        <v>87</v>
      </c>
      <c r="B4955" s="364" t="s">
        <v>22</v>
      </c>
      <c r="C4955" s="365" t="s">
        <v>409</v>
      </c>
      <c r="D4955" s="364" t="s">
        <v>410</v>
      </c>
      <c r="E4955" s="366">
        <v>8.0</v>
      </c>
      <c r="F4955" s="367">
        <v>45912.54166666667</v>
      </c>
      <c r="G4955" s="364" t="s">
        <v>1185</v>
      </c>
      <c r="H4955" s="364" t="s">
        <v>1222</v>
      </c>
    </row>
    <row r="4956" ht="15.75" customHeight="1">
      <c r="A4956" s="364" t="s">
        <v>87</v>
      </c>
      <c r="B4956" s="364" t="s">
        <v>22</v>
      </c>
      <c r="C4956" s="365" t="s">
        <v>409</v>
      </c>
      <c r="D4956" s="364" t="s">
        <v>410</v>
      </c>
      <c r="E4956" s="366">
        <v>9.0</v>
      </c>
      <c r="F4956" s="367">
        <v>45918.625</v>
      </c>
      <c r="G4956" s="364" t="s">
        <v>1185</v>
      </c>
      <c r="H4956" s="364" t="s">
        <v>1222</v>
      </c>
    </row>
    <row r="4957" ht="15.75" customHeight="1">
      <c r="A4957" s="364" t="s">
        <v>87</v>
      </c>
      <c r="B4957" s="364" t="s">
        <v>22</v>
      </c>
      <c r="C4957" s="365" t="s">
        <v>409</v>
      </c>
      <c r="D4957" s="364" t="s">
        <v>410</v>
      </c>
      <c r="E4957" s="366">
        <v>10.0</v>
      </c>
      <c r="F4957" s="367">
        <v>45996.45833333333</v>
      </c>
      <c r="G4957" s="364" t="s">
        <v>1185</v>
      </c>
      <c r="H4957" s="364" t="s">
        <v>1222</v>
      </c>
    </row>
    <row r="4958" ht="15.75" customHeight="1">
      <c r="A4958" s="364" t="s">
        <v>87</v>
      </c>
      <c r="B4958" s="364" t="s">
        <v>22</v>
      </c>
      <c r="C4958" s="365" t="s">
        <v>411</v>
      </c>
      <c r="D4958" s="364" t="s">
        <v>412</v>
      </c>
      <c r="E4958" s="366">
        <v>1.0</v>
      </c>
      <c r="F4958" s="367">
        <v>45813.45833333333</v>
      </c>
      <c r="G4958" s="364" t="s">
        <v>1185</v>
      </c>
      <c r="H4958" s="364" t="s">
        <v>1222</v>
      </c>
    </row>
    <row r="4959" ht="15.75" customHeight="1">
      <c r="A4959" s="364" t="s">
        <v>87</v>
      </c>
      <c r="B4959" s="364" t="s">
        <v>22</v>
      </c>
      <c r="C4959" s="365" t="s">
        <v>411</v>
      </c>
      <c r="D4959" s="364" t="s">
        <v>412</v>
      </c>
      <c r="E4959" s="366">
        <v>2.0</v>
      </c>
      <c r="F4959" s="367">
        <v>45820.45833333333</v>
      </c>
      <c r="G4959" s="364" t="s">
        <v>1185</v>
      </c>
      <c r="H4959" s="364" t="s">
        <v>1222</v>
      </c>
    </row>
    <row r="4960" ht="15.75" customHeight="1">
      <c r="A4960" s="364" t="s">
        <v>87</v>
      </c>
      <c r="B4960" s="364" t="s">
        <v>22</v>
      </c>
      <c r="C4960" s="365" t="s">
        <v>411</v>
      </c>
      <c r="D4960" s="364" t="s">
        <v>412</v>
      </c>
      <c r="E4960" s="366">
        <v>3.0</v>
      </c>
      <c r="F4960" s="367">
        <v>45841.625</v>
      </c>
      <c r="G4960" s="364" t="s">
        <v>1185</v>
      </c>
      <c r="H4960" s="364" t="s">
        <v>1222</v>
      </c>
    </row>
    <row r="4961" ht="15.75" customHeight="1">
      <c r="A4961" s="364" t="s">
        <v>87</v>
      </c>
      <c r="B4961" s="364" t="s">
        <v>22</v>
      </c>
      <c r="C4961" s="365" t="s">
        <v>411</v>
      </c>
      <c r="D4961" s="364" t="s">
        <v>412</v>
      </c>
      <c r="E4961" s="366">
        <v>4.0</v>
      </c>
      <c r="F4961" s="367">
        <v>45849.41666666667</v>
      </c>
      <c r="G4961" s="364" t="s">
        <v>1185</v>
      </c>
      <c r="H4961" s="364" t="s">
        <v>1222</v>
      </c>
    </row>
    <row r="4962" ht="15.75" customHeight="1">
      <c r="A4962" s="364" t="s">
        <v>87</v>
      </c>
      <c r="B4962" s="364" t="s">
        <v>22</v>
      </c>
      <c r="C4962" s="365" t="s">
        <v>411</v>
      </c>
      <c r="D4962" s="364" t="s">
        <v>412</v>
      </c>
      <c r="E4962" s="366">
        <v>5.0</v>
      </c>
      <c r="F4962" s="367">
        <v>45855.625</v>
      </c>
      <c r="G4962" s="364" t="s">
        <v>1185</v>
      </c>
      <c r="H4962" s="364" t="s">
        <v>1222</v>
      </c>
    </row>
    <row r="4963" ht="15.75" customHeight="1">
      <c r="A4963" s="364" t="s">
        <v>87</v>
      </c>
      <c r="B4963" s="364" t="s">
        <v>22</v>
      </c>
      <c r="C4963" s="365" t="s">
        <v>411</v>
      </c>
      <c r="D4963" s="364" t="s">
        <v>412</v>
      </c>
      <c r="E4963" s="366">
        <v>6.0</v>
      </c>
      <c r="F4963" s="367">
        <v>45890.45833333333</v>
      </c>
      <c r="G4963" s="364" t="s">
        <v>1185</v>
      </c>
      <c r="H4963" s="364" t="s">
        <v>1222</v>
      </c>
    </row>
    <row r="4964" ht="15.75" customHeight="1">
      <c r="A4964" s="364" t="s">
        <v>87</v>
      </c>
      <c r="B4964" s="364" t="s">
        <v>22</v>
      </c>
      <c r="C4964" s="365" t="s">
        <v>411</v>
      </c>
      <c r="D4964" s="364" t="s">
        <v>412</v>
      </c>
      <c r="E4964" s="366">
        <v>7.0</v>
      </c>
      <c r="F4964" s="367">
        <v>45911.625</v>
      </c>
      <c r="G4964" s="364" t="s">
        <v>1185</v>
      </c>
      <c r="H4964" s="364" t="s">
        <v>1222</v>
      </c>
    </row>
    <row r="4965" ht="15.75" customHeight="1">
      <c r="A4965" s="364" t="s">
        <v>87</v>
      </c>
      <c r="B4965" s="364" t="s">
        <v>22</v>
      </c>
      <c r="C4965" s="365" t="s">
        <v>411</v>
      </c>
      <c r="D4965" s="364" t="s">
        <v>412</v>
      </c>
      <c r="E4965" s="366">
        <v>8.0</v>
      </c>
      <c r="F4965" s="367">
        <v>45912.54166666667</v>
      </c>
      <c r="G4965" s="364" t="s">
        <v>1185</v>
      </c>
      <c r="H4965" s="364" t="s">
        <v>1222</v>
      </c>
    </row>
    <row r="4966" ht="15.75" customHeight="1">
      <c r="A4966" s="364" t="s">
        <v>87</v>
      </c>
      <c r="B4966" s="364" t="s">
        <v>22</v>
      </c>
      <c r="C4966" s="365" t="s">
        <v>411</v>
      </c>
      <c r="D4966" s="364" t="s">
        <v>412</v>
      </c>
      <c r="E4966" s="366">
        <v>9.0</v>
      </c>
      <c r="F4966" s="367">
        <v>45918.625</v>
      </c>
      <c r="G4966" s="364" t="s">
        <v>1185</v>
      </c>
      <c r="H4966" s="364" t="s">
        <v>1222</v>
      </c>
    </row>
    <row r="4967" ht="15.75" customHeight="1">
      <c r="A4967" s="364" t="s">
        <v>87</v>
      </c>
      <c r="B4967" s="364" t="s">
        <v>22</v>
      </c>
      <c r="C4967" s="365" t="s">
        <v>411</v>
      </c>
      <c r="D4967" s="364" t="s">
        <v>412</v>
      </c>
      <c r="E4967" s="366">
        <v>10.0</v>
      </c>
      <c r="F4967" s="367">
        <v>45996.45833333333</v>
      </c>
      <c r="G4967" s="364" t="s">
        <v>1185</v>
      </c>
      <c r="H4967" s="364" t="s">
        <v>1222</v>
      </c>
    </row>
    <row r="4968" ht="15.75" customHeight="1">
      <c r="A4968" s="364" t="s">
        <v>87</v>
      </c>
      <c r="B4968" s="364" t="s">
        <v>22</v>
      </c>
      <c r="C4968" s="365" t="s">
        <v>413</v>
      </c>
      <c r="D4968" s="364" t="s">
        <v>414</v>
      </c>
      <c r="E4968" s="366">
        <v>1.0</v>
      </c>
      <c r="F4968" s="367">
        <v>45813.45833333333</v>
      </c>
      <c r="G4968" s="364" t="s">
        <v>1185</v>
      </c>
      <c r="H4968" s="364" t="s">
        <v>1222</v>
      </c>
    </row>
    <row r="4969" ht="15.75" customHeight="1">
      <c r="A4969" s="364" t="s">
        <v>87</v>
      </c>
      <c r="B4969" s="364" t="s">
        <v>22</v>
      </c>
      <c r="C4969" s="365" t="s">
        <v>413</v>
      </c>
      <c r="D4969" s="364" t="s">
        <v>414</v>
      </c>
      <c r="E4969" s="366">
        <v>2.0</v>
      </c>
      <c r="F4969" s="367">
        <v>45820.45833333333</v>
      </c>
      <c r="G4969" s="364" t="s">
        <v>1185</v>
      </c>
      <c r="H4969" s="364" t="s">
        <v>1222</v>
      </c>
    </row>
    <row r="4970" ht="15.75" customHeight="1">
      <c r="A4970" s="364" t="s">
        <v>87</v>
      </c>
      <c r="B4970" s="364" t="s">
        <v>22</v>
      </c>
      <c r="C4970" s="365" t="s">
        <v>413</v>
      </c>
      <c r="D4970" s="364" t="s">
        <v>414</v>
      </c>
      <c r="E4970" s="366">
        <v>3.0</v>
      </c>
      <c r="F4970" s="367">
        <v>45841.625</v>
      </c>
      <c r="G4970" s="364" t="s">
        <v>1187</v>
      </c>
      <c r="H4970" s="364" t="s">
        <v>1222</v>
      </c>
    </row>
    <row r="4971" ht="15.75" customHeight="1">
      <c r="A4971" s="364" t="s">
        <v>87</v>
      </c>
      <c r="B4971" s="364" t="s">
        <v>22</v>
      </c>
      <c r="C4971" s="365" t="s">
        <v>413</v>
      </c>
      <c r="D4971" s="364" t="s">
        <v>414</v>
      </c>
      <c r="E4971" s="366">
        <v>4.0</v>
      </c>
      <c r="F4971" s="367">
        <v>45849.41666666667</v>
      </c>
      <c r="G4971" s="364" t="s">
        <v>1185</v>
      </c>
      <c r="H4971" s="364" t="s">
        <v>1222</v>
      </c>
    </row>
    <row r="4972" ht="15.75" customHeight="1">
      <c r="A4972" s="364" t="s">
        <v>87</v>
      </c>
      <c r="B4972" s="364" t="s">
        <v>22</v>
      </c>
      <c r="C4972" s="365" t="s">
        <v>413</v>
      </c>
      <c r="D4972" s="364" t="s">
        <v>414</v>
      </c>
      <c r="E4972" s="366">
        <v>5.0</v>
      </c>
      <c r="F4972" s="367">
        <v>45855.625</v>
      </c>
      <c r="G4972" s="364" t="s">
        <v>1187</v>
      </c>
      <c r="H4972" s="364" t="s">
        <v>1222</v>
      </c>
    </row>
    <row r="4973" ht="15.75" customHeight="1">
      <c r="A4973" s="364" t="s">
        <v>87</v>
      </c>
      <c r="B4973" s="364" t="s">
        <v>22</v>
      </c>
      <c r="C4973" s="365" t="s">
        <v>413</v>
      </c>
      <c r="D4973" s="364" t="s">
        <v>414</v>
      </c>
      <c r="E4973" s="366">
        <v>6.0</v>
      </c>
      <c r="F4973" s="367">
        <v>45890.45833333333</v>
      </c>
      <c r="G4973" s="364" t="s">
        <v>1185</v>
      </c>
      <c r="H4973" s="364" t="s">
        <v>1222</v>
      </c>
    </row>
    <row r="4974" ht="15.75" customHeight="1">
      <c r="A4974" s="364" t="s">
        <v>87</v>
      </c>
      <c r="B4974" s="364" t="s">
        <v>22</v>
      </c>
      <c r="C4974" s="365" t="s">
        <v>413</v>
      </c>
      <c r="D4974" s="364" t="s">
        <v>414</v>
      </c>
      <c r="E4974" s="366">
        <v>7.0</v>
      </c>
      <c r="F4974" s="367">
        <v>45911.625</v>
      </c>
      <c r="G4974" s="364" t="s">
        <v>1185</v>
      </c>
      <c r="H4974" s="364" t="s">
        <v>1222</v>
      </c>
    </row>
    <row r="4975" ht="15.75" customHeight="1">
      <c r="A4975" s="364" t="s">
        <v>87</v>
      </c>
      <c r="B4975" s="364" t="s">
        <v>22</v>
      </c>
      <c r="C4975" s="365" t="s">
        <v>413</v>
      </c>
      <c r="D4975" s="364" t="s">
        <v>414</v>
      </c>
      <c r="E4975" s="366">
        <v>8.0</v>
      </c>
      <c r="F4975" s="367">
        <v>45912.54166666667</v>
      </c>
      <c r="G4975" s="364" t="s">
        <v>1185</v>
      </c>
      <c r="H4975" s="364" t="s">
        <v>1222</v>
      </c>
    </row>
    <row r="4976" ht="15.75" customHeight="1">
      <c r="A4976" s="364" t="s">
        <v>87</v>
      </c>
      <c r="B4976" s="364" t="s">
        <v>22</v>
      </c>
      <c r="C4976" s="365" t="s">
        <v>413</v>
      </c>
      <c r="D4976" s="364" t="s">
        <v>414</v>
      </c>
      <c r="E4976" s="366">
        <v>9.0</v>
      </c>
      <c r="F4976" s="367">
        <v>45918.625</v>
      </c>
      <c r="G4976" s="364" t="s">
        <v>1185</v>
      </c>
      <c r="H4976" s="364" t="s">
        <v>1222</v>
      </c>
    </row>
    <row r="4977" ht="15.75" customHeight="1">
      <c r="A4977" s="364" t="s">
        <v>87</v>
      </c>
      <c r="B4977" s="364" t="s">
        <v>22</v>
      </c>
      <c r="C4977" s="365" t="s">
        <v>413</v>
      </c>
      <c r="D4977" s="364" t="s">
        <v>414</v>
      </c>
      <c r="E4977" s="366">
        <v>10.0</v>
      </c>
      <c r="F4977" s="367">
        <v>45996.45833333333</v>
      </c>
      <c r="G4977" s="364" t="s">
        <v>1185</v>
      </c>
      <c r="H4977" s="364" t="s">
        <v>1222</v>
      </c>
    </row>
    <row r="4978" ht="15.75" customHeight="1">
      <c r="A4978" s="364" t="s">
        <v>87</v>
      </c>
      <c r="B4978" s="364" t="s">
        <v>22</v>
      </c>
      <c r="C4978" s="365" t="s">
        <v>415</v>
      </c>
      <c r="D4978" s="364" t="s">
        <v>416</v>
      </c>
      <c r="E4978" s="366">
        <v>1.0</v>
      </c>
      <c r="F4978" s="367">
        <v>45813.45833333333</v>
      </c>
      <c r="G4978" s="364" t="s">
        <v>1185</v>
      </c>
      <c r="H4978" s="364" t="s">
        <v>1222</v>
      </c>
    </row>
    <row r="4979" ht="15.75" customHeight="1">
      <c r="A4979" s="364" t="s">
        <v>87</v>
      </c>
      <c r="B4979" s="364" t="s">
        <v>22</v>
      </c>
      <c r="C4979" s="365" t="s">
        <v>415</v>
      </c>
      <c r="D4979" s="364" t="s">
        <v>416</v>
      </c>
      <c r="E4979" s="366">
        <v>2.0</v>
      </c>
      <c r="F4979" s="367">
        <v>45820.45833333333</v>
      </c>
      <c r="G4979" s="364" t="s">
        <v>1185</v>
      </c>
      <c r="H4979" s="364" t="s">
        <v>1222</v>
      </c>
    </row>
    <row r="4980" ht="15.75" customHeight="1">
      <c r="A4980" s="364" t="s">
        <v>87</v>
      </c>
      <c r="B4980" s="364" t="s">
        <v>22</v>
      </c>
      <c r="C4980" s="365" t="s">
        <v>415</v>
      </c>
      <c r="D4980" s="364" t="s">
        <v>416</v>
      </c>
      <c r="E4980" s="366">
        <v>3.0</v>
      </c>
      <c r="F4980" s="367">
        <v>45841.625</v>
      </c>
      <c r="G4980" s="364" t="s">
        <v>1185</v>
      </c>
      <c r="H4980" s="364" t="s">
        <v>1222</v>
      </c>
    </row>
    <row r="4981" ht="15.75" customHeight="1">
      <c r="A4981" s="364" t="s">
        <v>87</v>
      </c>
      <c r="B4981" s="364" t="s">
        <v>22</v>
      </c>
      <c r="C4981" s="365" t="s">
        <v>415</v>
      </c>
      <c r="D4981" s="364" t="s">
        <v>416</v>
      </c>
      <c r="E4981" s="366">
        <v>4.0</v>
      </c>
      <c r="F4981" s="367">
        <v>45849.41666666667</v>
      </c>
      <c r="G4981" s="364" t="s">
        <v>1185</v>
      </c>
      <c r="H4981" s="364" t="s">
        <v>1222</v>
      </c>
    </row>
    <row r="4982" ht="15.75" customHeight="1">
      <c r="A4982" s="364" t="s">
        <v>87</v>
      </c>
      <c r="B4982" s="364" t="s">
        <v>22</v>
      </c>
      <c r="C4982" s="365" t="s">
        <v>415</v>
      </c>
      <c r="D4982" s="364" t="s">
        <v>416</v>
      </c>
      <c r="E4982" s="366">
        <v>5.0</v>
      </c>
      <c r="F4982" s="367">
        <v>45855.625</v>
      </c>
      <c r="G4982" s="364" t="s">
        <v>1185</v>
      </c>
      <c r="H4982" s="364" t="s">
        <v>1222</v>
      </c>
    </row>
    <row r="4983" ht="15.75" customHeight="1">
      <c r="A4983" s="364" t="s">
        <v>87</v>
      </c>
      <c r="B4983" s="364" t="s">
        <v>22</v>
      </c>
      <c r="C4983" s="365" t="s">
        <v>415</v>
      </c>
      <c r="D4983" s="364" t="s">
        <v>416</v>
      </c>
      <c r="E4983" s="366">
        <v>6.0</v>
      </c>
      <c r="F4983" s="367">
        <v>45890.45833333333</v>
      </c>
      <c r="G4983" s="364" t="s">
        <v>1185</v>
      </c>
      <c r="H4983" s="364" t="s">
        <v>1222</v>
      </c>
    </row>
    <row r="4984" ht="15.75" customHeight="1">
      <c r="A4984" s="364" t="s">
        <v>87</v>
      </c>
      <c r="B4984" s="364" t="s">
        <v>22</v>
      </c>
      <c r="C4984" s="365" t="s">
        <v>415</v>
      </c>
      <c r="D4984" s="364" t="s">
        <v>416</v>
      </c>
      <c r="E4984" s="366">
        <v>7.0</v>
      </c>
      <c r="F4984" s="367">
        <v>45911.625</v>
      </c>
      <c r="G4984" s="364" t="s">
        <v>1187</v>
      </c>
      <c r="H4984" s="364" t="s">
        <v>1222</v>
      </c>
    </row>
    <row r="4985" ht="15.75" customHeight="1">
      <c r="A4985" s="364" t="s">
        <v>87</v>
      </c>
      <c r="B4985" s="364" t="s">
        <v>22</v>
      </c>
      <c r="C4985" s="365" t="s">
        <v>415</v>
      </c>
      <c r="D4985" s="364" t="s">
        <v>416</v>
      </c>
      <c r="E4985" s="366">
        <v>8.0</v>
      </c>
      <c r="F4985" s="367">
        <v>45912.54166666667</v>
      </c>
      <c r="G4985" s="364" t="s">
        <v>1185</v>
      </c>
      <c r="H4985" s="364" t="s">
        <v>1222</v>
      </c>
    </row>
    <row r="4986" ht="15.75" customHeight="1">
      <c r="A4986" s="364" t="s">
        <v>87</v>
      </c>
      <c r="B4986" s="364" t="s">
        <v>22</v>
      </c>
      <c r="C4986" s="365" t="s">
        <v>415</v>
      </c>
      <c r="D4986" s="364" t="s">
        <v>416</v>
      </c>
      <c r="E4986" s="366">
        <v>9.0</v>
      </c>
      <c r="F4986" s="367">
        <v>45918.625</v>
      </c>
      <c r="G4986" s="364" t="s">
        <v>1185</v>
      </c>
      <c r="H4986" s="364" t="s">
        <v>1222</v>
      </c>
    </row>
    <row r="4987" ht="15.75" customHeight="1">
      <c r="A4987" s="364" t="s">
        <v>87</v>
      </c>
      <c r="B4987" s="364" t="s">
        <v>22</v>
      </c>
      <c r="C4987" s="365" t="s">
        <v>415</v>
      </c>
      <c r="D4987" s="364" t="s">
        <v>416</v>
      </c>
      <c r="E4987" s="366">
        <v>10.0</v>
      </c>
      <c r="F4987" s="367">
        <v>45996.45833333333</v>
      </c>
      <c r="G4987" s="364" t="s">
        <v>1185</v>
      </c>
      <c r="H4987" s="364" t="s">
        <v>1222</v>
      </c>
    </row>
    <row r="4988" ht="15.75" customHeight="1">
      <c r="A4988" s="364" t="s">
        <v>87</v>
      </c>
      <c r="B4988" s="364" t="s">
        <v>23</v>
      </c>
      <c r="C4988" s="365" t="s">
        <v>409</v>
      </c>
      <c r="D4988" s="364" t="s">
        <v>410</v>
      </c>
      <c r="E4988" s="366">
        <v>1.0</v>
      </c>
      <c r="F4988" s="367">
        <v>46038.41666666667</v>
      </c>
      <c r="G4988" s="364" t="s">
        <v>1185</v>
      </c>
      <c r="H4988" s="364" t="s">
        <v>1222</v>
      </c>
    </row>
    <row r="4989" ht="15.75" customHeight="1">
      <c r="A4989" s="364" t="s">
        <v>87</v>
      </c>
      <c r="B4989" s="364" t="s">
        <v>23</v>
      </c>
      <c r="C4989" s="365" t="s">
        <v>409</v>
      </c>
      <c r="D4989" s="364" t="s">
        <v>410</v>
      </c>
      <c r="E4989" s="366">
        <v>2.0</v>
      </c>
      <c r="F4989" s="367">
        <v>46044.45833333333</v>
      </c>
      <c r="G4989" s="364" t="s">
        <v>1185</v>
      </c>
      <c r="H4989" s="364" t="s">
        <v>1222</v>
      </c>
    </row>
    <row r="4990" ht="15.75" customHeight="1">
      <c r="A4990" s="364" t="s">
        <v>87</v>
      </c>
      <c r="B4990" s="364" t="s">
        <v>23</v>
      </c>
      <c r="C4990" s="365" t="s">
        <v>409</v>
      </c>
      <c r="D4990" s="364" t="s">
        <v>410</v>
      </c>
      <c r="E4990" s="366">
        <v>3.0</v>
      </c>
      <c r="F4990" s="367">
        <v>46051.58333333333</v>
      </c>
      <c r="G4990" s="364" t="s">
        <v>1185</v>
      </c>
      <c r="H4990" s="364" t="s">
        <v>1222</v>
      </c>
    </row>
    <row r="4991" ht="15.75" customHeight="1">
      <c r="A4991" s="364" t="s">
        <v>87</v>
      </c>
      <c r="B4991" s="364" t="s">
        <v>23</v>
      </c>
      <c r="C4991" s="365" t="s">
        <v>409</v>
      </c>
      <c r="D4991" s="364" t="s">
        <v>410</v>
      </c>
      <c r="E4991" s="366">
        <v>4.0</v>
      </c>
      <c r="F4991" s="367">
        <v>46052.45833333333</v>
      </c>
      <c r="G4991" s="364" t="s">
        <v>1185</v>
      </c>
      <c r="H4991" s="364" t="s">
        <v>1222</v>
      </c>
    </row>
    <row r="4992" ht="15.75" customHeight="1">
      <c r="A4992" s="364" t="s">
        <v>87</v>
      </c>
      <c r="B4992" s="364" t="s">
        <v>23</v>
      </c>
      <c r="C4992" s="365" t="s">
        <v>409</v>
      </c>
      <c r="D4992" s="364" t="s">
        <v>410</v>
      </c>
      <c r="E4992" s="366">
        <v>5.0</v>
      </c>
      <c r="F4992" s="367">
        <v>46086.54166666667</v>
      </c>
      <c r="G4992" s="364" t="s">
        <v>1185</v>
      </c>
      <c r="H4992" s="364" t="s">
        <v>1222</v>
      </c>
    </row>
    <row r="4993" ht="15.75" customHeight="1">
      <c r="A4993" s="364" t="s">
        <v>87</v>
      </c>
      <c r="B4993" s="364" t="s">
        <v>23</v>
      </c>
      <c r="C4993" s="365" t="s">
        <v>411</v>
      </c>
      <c r="D4993" s="364" t="s">
        <v>412</v>
      </c>
      <c r="E4993" s="366">
        <v>1.0</v>
      </c>
      <c r="F4993" s="367">
        <v>46038.41666666667</v>
      </c>
      <c r="G4993" s="364" t="s">
        <v>1185</v>
      </c>
      <c r="H4993" s="364" t="s">
        <v>1222</v>
      </c>
    </row>
    <row r="4994" ht="15.75" customHeight="1">
      <c r="A4994" s="364" t="s">
        <v>87</v>
      </c>
      <c r="B4994" s="364" t="s">
        <v>23</v>
      </c>
      <c r="C4994" s="365" t="s">
        <v>411</v>
      </c>
      <c r="D4994" s="364" t="s">
        <v>412</v>
      </c>
      <c r="E4994" s="366">
        <v>2.0</v>
      </c>
      <c r="F4994" s="367">
        <v>46044.45833333333</v>
      </c>
      <c r="G4994" s="364" t="s">
        <v>1185</v>
      </c>
      <c r="H4994" s="364" t="s">
        <v>1222</v>
      </c>
    </row>
    <row r="4995" ht="15.75" customHeight="1">
      <c r="A4995" s="364" t="s">
        <v>87</v>
      </c>
      <c r="B4995" s="364" t="s">
        <v>23</v>
      </c>
      <c r="C4995" s="365" t="s">
        <v>411</v>
      </c>
      <c r="D4995" s="364" t="s">
        <v>412</v>
      </c>
      <c r="E4995" s="366">
        <v>3.0</v>
      </c>
      <c r="F4995" s="367">
        <v>46051.58333333333</v>
      </c>
      <c r="G4995" s="364" t="s">
        <v>1185</v>
      </c>
      <c r="H4995" s="364" t="s">
        <v>1222</v>
      </c>
    </row>
    <row r="4996" ht="15.75" customHeight="1">
      <c r="A4996" s="364" t="s">
        <v>87</v>
      </c>
      <c r="B4996" s="364" t="s">
        <v>23</v>
      </c>
      <c r="C4996" s="365" t="s">
        <v>411</v>
      </c>
      <c r="D4996" s="364" t="s">
        <v>412</v>
      </c>
      <c r="E4996" s="366">
        <v>4.0</v>
      </c>
      <c r="F4996" s="367">
        <v>46052.45833333333</v>
      </c>
      <c r="G4996" s="364" t="s">
        <v>1185</v>
      </c>
      <c r="H4996" s="364" t="s">
        <v>1222</v>
      </c>
    </row>
    <row r="4997" ht="15.75" customHeight="1">
      <c r="A4997" s="364" t="s">
        <v>87</v>
      </c>
      <c r="B4997" s="364" t="s">
        <v>23</v>
      </c>
      <c r="C4997" s="365" t="s">
        <v>411</v>
      </c>
      <c r="D4997" s="364" t="s">
        <v>412</v>
      </c>
      <c r="E4997" s="366">
        <v>5.0</v>
      </c>
      <c r="F4997" s="367">
        <v>46086.54166666667</v>
      </c>
      <c r="G4997" s="364" t="s">
        <v>1185</v>
      </c>
      <c r="H4997" s="364" t="s">
        <v>1222</v>
      </c>
    </row>
    <row r="4998" ht="15.75" customHeight="1">
      <c r="A4998" s="364" t="s">
        <v>87</v>
      </c>
      <c r="B4998" s="364" t="s">
        <v>23</v>
      </c>
      <c r="C4998" s="365" t="s">
        <v>413</v>
      </c>
      <c r="D4998" s="364" t="s">
        <v>414</v>
      </c>
      <c r="E4998" s="366">
        <v>1.0</v>
      </c>
      <c r="F4998" s="367">
        <v>46038.41666666667</v>
      </c>
      <c r="G4998" s="364" t="s">
        <v>1185</v>
      </c>
      <c r="H4998" s="364" t="s">
        <v>1222</v>
      </c>
    </row>
    <row r="4999" ht="15.75" customHeight="1">
      <c r="A4999" s="364" t="s">
        <v>87</v>
      </c>
      <c r="B4999" s="364" t="s">
        <v>23</v>
      </c>
      <c r="C4999" s="365" t="s">
        <v>413</v>
      </c>
      <c r="D4999" s="364" t="s">
        <v>414</v>
      </c>
      <c r="E4999" s="366">
        <v>2.0</v>
      </c>
      <c r="F4999" s="367">
        <v>46044.45833333333</v>
      </c>
      <c r="G4999" s="364" t="s">
        <v>1185</v>
      </c>
      <c r="H4999" s="364" t="s">
        <v>1222</v>
      </c>
    </row>
    <row r="5000" ht="15.75" customHeight="1">
      <c r="A5000" s="364" t="s">
        <v>87</v>
      </c>
      <c r="B5000" s="364" t="s">
        <v>23</v>
      </c>
      <c r="C5000" s="365" t="s">
        <v>413</v>
      </c>
      <c r="D5000" s="364" t="s">
        <v>414</v>
      </c>
      <c r="E5000" s="366">
        <v>3.0</v>
      </c>
      <c r="F5000" s="367">
        <v>46051.58333333333</v>
      </c>
      <c r="G5000" s="364" t="s">
        <v>1185</v>
      </c>
      <c r="H5000" s="364" t="s">
        <v>1222</v>
      </c>
    </row>
    <row r="5001" ht="15.75" customHeight="1">
      <c r="A5001" s="364" t="s">
        <v>87</v>
      </c>
      <c r="B5001" s="364" t="s">
        <v>23</v>
      </c>
      <c r="C5001" s="365" t="s">
        <v>413</v>
      </c>
      <c r="D5001" s="364" t="s">
        <v>414</v>
      </c>
      <c r="E5001" s="366">
        <v>4.0</v>
      </c>
      <c r="F5001" s="367">
        <v>46052.45833333333</v>
      </c>
      <c r="G5001" s="364" t="s">
        <v>1185</v>
      </c>
      <c r="H5001" s="364" t="s">
        <v>1222</v>
      </c>
    </row>
    <row r="5002" ht="15.75" customHeight="1">
      <c r="A5002" s="364" t="s">
        <v>87</v>
      </c>
      <c r="B5002" s="364" t="s">
        <v>23</v>
      </c>
      <c r="C5002" s="365" t="s">
        <v>413</v>
      </c>
      <c r="D5002" s="364" t="s">
        <v>414</v>
      </c>
      <c r="E5002" s="366">
        <v>5.0</v>
      </c>
      <c r="F5002" s="367">
        <v>46086.54166666667</v>
      </c>
      <c r="G5002" s="364" t="s">
        <v>1187</v>
      </c>
      <c r="H5002" s="364" t="s">
        <v>1222</v>
      </c>
    </row>
    <row r="5003" ht="15.75" customHeight="1">
      <c r="A5003" s="364" t="s">
        <v>87</v>
      </c>
      <c r="B5003" s="364" t="s">
        <v>23</v>
      </c>
      <c r="C5003" s="365" t="s">
        <v>415</v>
      </c>
      <c r="D5003" s="364" t="s">
        <v>416</v>
      </c>
      <c r="E5003" s="366">
        <v>1.0</v>
      </c>
      <c r="F5003" s="367">
        <v>46038.41666666667</v>
      </c>
      <c r="G5003" s="364" t="s">
        <v>1185</v>
      </c>
      <c r="H5003" s="364" t="s">
        <v>1222</v>
      </c>
    </row>
    <row r="5004" ht="15.75" customHeight="1">
      <c r="A5004" s="364" t="s">
        <v>87</v>
      </c>
      <c r="B5004" s="364" t="s">
        <v>23</v>
      </c>
      <c r="C5004" s="365" t="s">
        <v>415</v>
      </c>
      <c r="D5004" s="364" t="s">
        <v>416</v>
      </c>
      <c r="E5004" s="366">
        <v>2.0</v>
      </c>
      <c r="F5004" s="367">
        <v>46044.45833333333</v>
      </c>
      <c r="G5004" s="364" t="s">
        <v>1187</v>
      </c>
      <c r="H5004" s="364" t="s">
        <v>1222</v>
      </c>
    </row>
    <row r="5005" ht="15.75" customHeight="1">
      <c r="A5005" s="364" t="s">
        <v>87</v>
      </c>
      <c r="B5005" s="364" t="s">
        <v>23</v>
      </c>
      <c r="C5005" s="365" t="s">
        <v>415</v>
      </c>
      <c r="D5005" s="364" t="s">
        <v>416</v>
      </c>
      <c r="E5005" s="366">
        <v>3.0</v>
      </c>
      <c r="F5005" s="367">
        <v>46051.58333333333</v>
      </c>
      <c r="G5005" s="364" t="s">
        <v>1185</v>
      </c>
      <c r="H5005" s="364" t="s">
        <v>1222</v>
      </c>
    </row>
    <row r="5006" ht="15.75" customHeight="1">
      <c r="A5006" s="364" t="s">
        <v>87</v>
      </c>
      <c r="B5006" s="364" t="s">
        <v>23</v>
      </c>
      <c r="C5006" s="365" t="s">
        <v>415</v>
      </c>
      <c r="D5006" s="364" t="s">
        <v>416</v>
      </c>
      <c r="E5006" s="366">
        <v>4.0</v>
      </c>
      <c r="F5006" s="367">
        <v>46052.45833333333</v>
      </c>
      <c r="G5006" s="364" t="s">
        <v>1185</v>
      </c>
      <c r="H5006" s="364" t="s">
        <v>1222</v>
      </c>
    </row>
    <row r="5007" ht="15.75" customHeight="1">
      <c r="A5007" s="364" t="s">
        <v>87</v>
      </c>
      <c r="B5007" s="364" t="s">
        <v>23</v>
      </c>
      <c r="C5007" s="365" t="s">
        <v>415</v>
      </c>
      <c r="D5007" s="364" t="s">
        <v>416</v>
      </c>
      <c r="E5007" s="366">
        <v>5.0</v>
      </c>
      <c r="F5007" s="367">
        <v>46086.54166666667</v>
      </c>
      <c r="G5007" s="364" t="s">
        <v>1185</v>
      </c>
      <c r="H5007" s="364" t="s">
        <v>1222</v>
      </c>
    </row>
    <row r="5008" ht="15.75" customHeight="1">
      <c r="A5008" s="364" t="s">
        <v>88</v>
      </c>
      <c r="B5008" s="364" t="s">
        <v>22</v>
      </c>
      <c r="C5008" s="365" t="s">
        <v>316</v>
      </c>
      <c r="D5008" s="364" t="s">
        <v>317</v>
      </c>
      <c r="E5008" s="366">
        <v>6.0</v>
      </c>
      <c r="F5008" s="367">
        <v>45889.58333333333</v>
      </c>
      <c r="G5008" s="364" t="s">
        <v>1185</v>
      </c>
      <c r="H5008" s="364" t="s">
        <v>1223</v>
      </c>
    </row>
    <row r="5009" ht="15.75" customHeight="1">
      <c r="A5009" s="364" t="s">
        <v>88</v>
      </c>
      <c r="B5009" s="364" t="s">
        <v>22</v>
      </c>
      <c r="C5009" s="365" t="s">
        <v>316</v>
      </c>
      <c r="D5009" s="364" t="s">
        <v>317</v>
      </c>
      <c r="E5009" s="366">
        <v>7.0</v>
      </c>
      <c r="F5009" s="367">
        <v>45896.58333333333</v>
      </c>
      <c r="G5009" s="364" t="s">
        <v>1187</v>
      </c>
      <c r="H5009" s="364" t="s">
        <v>1223</v>
      </c>
    </row>
    <row r="5010" ht="15.75" customHeight="1">
      <c r="A5010" s="364" t="s">
        <v>88</v>
      </c>
      <c r="B5010" s="364" t="s">
        <v>22</v>
      </c>
      <c r="C5010" s="365" t="s">
        <v>316</v>
      </c>
      <c r="D5010" s="364" t="s">
        <v>317</v>
      </c>
      <c r="E5010" s="366">
        <v>8.0</v>
      </c>
      <c r="F5010" s="367">
        <v>45910.625</v>
      </c>
      <c r="G5010" s="364" t="s">
        <v>1185</v>
      </c>
      <c r="H5010" s="364" t="s">
        <v>1223</v>
      </c>
    </row>
    <row r="5011" ht="15.75" customHeight="1">
      <c r="A5011" s="364" t="s">
        <v>88</v>
      </c>
      <c r="B5011" s="364" t="s">
        <v>22</v>
      </c>
      <c r="C5011" s="365" t="s">
        <v>316</v>
      </c>
      <c r="D5011" s="364" t="s">
        <v>317</v>
      </c>
      <c r="E5011" s="366">
        <v>9.0</v>
      </c>
      <c r="F5011" s="367">
        <v>45916.375</v>
      </c>
      <c r="G5011" s="364" t="s">
        <v>1185</v>
      </c>
      <c r="H5011" s="364" t="s">
        <v>1223</v>
      </c>
    </row>
    <row r="5012" ht="15.75" customHeight="1">
      <c r="A5012" s="364" t="s">
        <v>88</v>
      </c>
      <c r="B5012" s="364" t="s">
        <v>22</v>
      </c>
      <c r="C5012" s="365" t="s">
        <v>316</v>
      </c>
      <c r="D5012" s="364" t="s">
        <v>317</v>
      </c>
      <c r="E5012" s="366">
        <v>10.0</v>
      </c>
      <c r="F5012" s="367">
        <v>45959.41666666667</v>
      </c>
      <c r="G5012" s="364" t="s">
        <v>1185</v>
      </c>
      <c r="H5012" s="364" t="s">
        <v>1223</v>
      </c>
    </row>
    <row r="5013" ht="15.75" customHeight="1">
      <c r="A5013" s="364" t="s">
        <v>88</v>
      </c>
      <c r="B5013" s="364" t="s">
        <v>22</v>
      </c>
      <c r="C5013" s="365" t="s">
        <v>766</v>
      </c>
      <c r="D5013" s="364" t="s">
        <v>767</v>
      </c>
      <c r="E5013" s="366">
        <v>5.0</v>
      </c>
      <c r="F5013" s="367">
        <v>45882.54166666667</v>
      </c>
      <c r="G5013" s="364" t="s">
        <v>1185</v>
      </c>
      <c r="H5013" s="364" t="s">
        <v>1223</v>
      </c>
    </row>
    <row r="5014" ht="15.75" customHeight="1">
      <c r="A5014" s="364" t="s">
        <v>88</v>
      </c>
      <c r="B5014" s="364" t="s">
        <v>22</v>
      </c>
      <c r="C5014" s="365" t="s">
        <v>766</v>
      </c>
      <c r="D5014" s="364" t="s">
        <v>767</v>
      </c>
      <c r="E5014" s="366">
        <v>6.0</v>
      </c>
      <c r="F5014" s="367">
        <v>45889.58333333333</v>
      </c>
      <c r="G5014" s="364" t="s">
        <v>1185</v>
      </c>
      <c r="H5014" s="364" t="s">
        <v>1223</v>
      </c>
    </row>
    <row r="5015" ht="15.75" customHeight="1">
      <c r="A5015" s="364" t="s">
        <v>88</v>
      </c>
      <c r="B5015" s="364" t="s">
        <v>22</v>
      </c>
      <c r="C5015" s="365" t="s">
        <v>766</v>
      </c>
      <c r="D5015" s="364" t="s">
        <v>767</v>
      </c>
      <c r="E5015" s="366">
        <v>7.0</v>
      </c>
      <c r="F5015" s="367">
        <v>45896.58333333333</v>
      </c>
      <c r="G5015" s="364" t="s">
        <v>1185</v>
      </c>
      <c r="H5015" s="364" t="s">
        <v>1223</v>
      </c>
    </row>
    <row r="5016" ht="15.75" customHeight="1">
      <c r="A5016" s="364" t="s">
        <v>88</v>
      </c>
      <c r="B5016" s="364" t="s">
        <v>22</v>
      </c>
      <c r="C5016" s="365" t="s">
        <v>766</v>
      </c>
      <c r="D5016" s="364" t="s">
        <v>767</v>
      </c>
      <c r="E5016" s="366">
        <v>8.0</v>
      </c>
      <c r="F5016" s="367">
        <v>45910.625</v>
      </c>
      <c r="G5016" s="364" t="s">
        <v>1187</v>
      </c>
      <c r="H5016" s="364" t="s">
        <v>1223</v>
      </c>
    </row>
    <row r="5017" ht="15.75" customHeight="1">
      <c r="A5017" s="364" t="s">
        <v>88</v>
      </c>
      <c r="B5017" s="364" t="s">
        <v>22</v>
      </c>
      <c r="C5017" s="365" t="s">
        <v>766</v>
      </c>
      <c r="D5017" s="364" t="s">
        <v>767</v>
      </c>
      <c r="E5017" s="366">
        <v>9.0</v>
      </c>
      <c r="F5017" s="367">
        <v>45916.375</v>
      </c>
      <c r="G5017" s="364" t="s">
        <v>1187</v>
      </c>
      <c r="H5017" s="364" t="s">
        <v>1223</v>
      </c>
    </row>
    <row r="5018" ht="15.75" customHeight="1">
      <c r="A5018" s="364" t="s">
        <v>88</v>
      </c>
      <c r="B5018" s="364" t="s">
        <v>22</v>
      </c>
      <c r="C5018" s="365" t="s">
        <v>766</v>
      </c>
      <c r="D5018" s="364" t="s">
        <v>767</v>
      </c>
      <c r="E5018" s="366">
        <v>10.0</v>
      </c>
      <c r="F5018" s="367">
        <v>45959.41666666667</v>
      </c>
      <c r="G5018" s="364" t="s">
        <v>1187</v>
      </c>
      <c r="H5018" s="364" t="s">
        <v>1223</v>
      </c>
    </row>
    <row r="5019" ht="15.75" customHeight="1">
      <c r="A5019" s="364" t="s">
        <v>88</v>
      </c>
      <c r="B5019" s="364" t="s">
        <v>22</v>
      </c>
      <c r="C5019" s="365" t="s">
        <v>322</v>
      </c>
      <c r="D5019" s="364" t="s">
        <v>323</v>
      </c>
      <c r="E5019" s="366">
        <v>5.0</v>
      </c>
      <c r="F5019" s="367">
        <v>45882.54166666667</v>
      </c>
      <c r="G5019" s="364" t="s">
        <v>1185</v>
      </c>
      <c r="H5019" s="364" t="s">
        <v>1223</v>
      </c>
    </row>
    <row r="5020" ht="15.75" customHeight="1">
      <c r="A5020" s="364" t="s">
        <v>88</v>
      </c>
      <c r="B5020" s="364" t="s">
        <v>22</v>
      </c>
      <c r="C5020" s="365" t="s">
        <v>322</v>
      </c>
      <c r="D5020" s="364" t="s">
        <v>323</v>
      </c>
      <c r="E5020" s="366">
        <v>6.0</v>
      </c>
      <c r="F5020" s="367">
        <v>45889.58333333333</v>
      </c>
      <c r="G5020" s="364" t="s">
        <v>1187</v>
      </c>
      <c r="H5020" s="364" t="s">
        <v>1223</v>
      </c>
    </row>
    <row r="5021" ht="15.75" customHeight="1">
      <c r="A5021" s="364" t="s">
        <v>88</v>
      </c>
      <c r="B5021" s="364" t="s">
        <v>22</v>
      </c>
      <c r="C5021" s="365" t="s">
        <v>322</v>
      </c>
      <c r="D5021" s="364" t="s">
        <v>323</v>
      </c>
      <c r="E5021" s="366">
        <v>7.0</v>
      </c>
      <c r="F5021" s="367">
        <v>45896.58333333333</v>
      </c>
      <c r="G5021" s="364" t="s">
        <v>1185</v>
      </c>
      <c r="H5021" s="364" t="s">
        <v>1223</v>
      </c>
    </row>
    <row r="5022" ht="15.75" customHeight="1">
      <c r="A5022" s="364" t="s">
        <v>88</v>
      </c>
      <c r="B5022" s="364" t="s">
        <v>22</v>
      </c>
      <c r="C5022" s="365" t="s">
        <v>322</v>
      </c>
      <c r="D5022" s="364" t="s">
        <v>323</v>
      </c>
      <c r="E5022" s="366">
        <v>8.0</v>
      </c>
      <c r="F5022" s="367">
        <v>45910.625</v>
      </c>
      <c r="G5022" s="364" t="s">
        <v>1185</v>
      </c>
      <c r="H5022" s="364" t="s">
        <v>1223</v>
      </c>
    </row>
    <row r="5023" ht="15.75" customHeight="1">
      <c r="A5023" s="364" t="s">
        <v>88</v>
      </c>
      <c r="B5023" s="364" t="s">
        <v>22</v>
      </c>
      <c r="C5023" s="365" t="s">
        <v>322</v>
      </c>
      <c r="D5023" s="364" t="s">
        <v>323</v>
      </c>
      <c r="E5023" s="366">
        <v>9.0</v>
      </c>
      <c r="F5023" s="367">
        <v>45916.375</v>
      </c>
      <c r="G5023" s="364" t="s">
        <v>1185</v>
      </c>
      <c r="H5023" s="364" t="s">
        <v>1223</v>
      </c>
    </row>
    <row r="5024" ht="15.75" customHeight="1">
      <c r="A5024" s="364" t="s">
        <v>88</v>
      </c>
      <c r="B5024" s="364" t="s">
        <v>22</v>
      </c>
      <c r="C5024" s="365" t="s">
        <v>322</v>
      </c>
      <c r="D5024" s="364" t="s">
        <v>323</v>
      </c>
      <c r="E5024" s="366">
        <v>10.0</v>
      </c>
      <c r="F5024" s="367">
        <v>45959.41666666667</v>
      </c>
      <c r="G5024" s="364" t="s">
        <v>1185</v>
      </c>
      <c r="H5024" s="364" t="s">
        <v>1223</v>
      </c>
    </row>
    <row r="5025" ht="15.75" customHeight="1">
      <c r="A5025" s="364" t="s">
        <v>88</v>
      </c>
      <c r="B5025" s="364" t="s">
        <v>22</v>
      </c>
      <c r="C5025" s="365" t="s">
        <v>318</v>
      </c>
      <c r="D5025" s="364" t="s">
        <v>319</v>
      </c>
      <c r="E5025" s="366">
        <v>6.0</v>
      </c>
      <c r="F5025" s="367">
        <v>45889.58333333333</v>
      </c>
      <c r="G5025" s="364" t="s">
        <v>1187</v>
      </c>
      <c r="H5025" s="364" t="s">
        <v>1223</v>
      </c>
    </row>
    <row r="5026" ht="15.75" customHeight="1">
      <c r="A5026" s="364" t="s">
        <v>88</v>
      </c>
      <c r="B5026" s="364" t="s">
        <v>22</v>
      </c>
      <c r="C5026" s="365" t="s">
        <v>318</v>
      </c>
      <c r="D5026" s="364" t="s">
        <v>319</v>
      </c>
      <c r="E5026" s="366">
        <v>7.0</v>
      </c>
      <c r="F5026" s="367">
        <v>45896.58333333333</v>
      </c>
      <c r="G5026" s="364" t="s">
        <v>1185</v>
      </c>
      <c r="H5026" s="364" t="s">
        <v>1223</v>
      </c>
    </row>
    <row r="5027" ht="15.75" customHeight="1">
      <c r="A5027" s="364" t="s">
        <v>88</v>
      </c>
      <c r="B5027" s="364" t="s">
        <v>22</v>
      </c>
      <c r="C5027" s="365" t="s">
        <v>318</v>
      </c>
      <c r="D5027" s="364" t="s">
        <v>319</v>
      </c>
      <c r="E5027" s="366">
        <v>8.0</v>
      </c>
      <c r="F5027" s="367">
        <v>45910.625</v>
      </c>
      <c r="G5027" s="364" t="s">
        <v>1185</v>
      </c>
      <c r="H5027" s="364" t="s">
        <v>1223</v>
      </c>
    </row>
    <row r="5028" ht="15.75" customHeight="1">
      <c r="A5028" s="364" t="s">
        <v>88</v>
      </c>
      <c r="B5028" s="364" t="s">
        <v>22</v>
      </c>
      <c r="C5028" s="365" t="s">
        <v>318</v>
      </c>
      <c r="D5028" s="364" t="s">
        <v>319</v>
      </c>
      <c r="E5028" s="366">
        <v>9.0</v>
      </c>
      <c r="F5028" s="367">
        <v>45916.375</v>
      </c>
      <c r="G5028" s="364" t="s">
        <v>1185</v>
      </c>
      <c r="H5028" s="364" t="s">
        <v>1223</v>
      </c>
    </row>
    <row r="5029" ht="15.75" customHeight="1">
      <c r="A5029" s="364" t="s">
        <v>88</v>
      </c>
      <c r="B5029" s="364" t="s">
        <v>22</v>
      </c>
      <c r="C5029" s="365" t="s">
        <v>318</v>
      </c>
      <c r="D5029" s="364" t="s">
        <v>319</v>
      </c>
      <c r="E5029" s="366">
        <v>10.0</v>
      </c>
      <c r="F5029" s="367">
        <v>45959.41666666667</v>
      </c>
      <c r="G5029" s="364" t="s">
        <v>1185</v>
      </c>
      <c r="H5029" s="364" t="s">
        <v>1223</v>
      </c>
    </row>
    <row r="5030" ht="15.75" customHeight="1">
      <c r="A5030" s="364" t="s">
        <v>88</v>
      </c>
      <c r="B5030" s="364" t="s">
        <v>22</v>
      </c>
      <c r="C5030" s="365" t="s">
        <v>324</v>
      </c>
      <c r="D5030" s="364" t="s">
        <v>325</v>
      </c>
      <c r="E5030" s="366">
        <v>5.0</v>
      </c>
      <c r="F5030" s="367">
        <v>45882.54166666667</v>
      </c>
      <c r="G5030" s="364" t="s">
        <v>1185</v>
      </c>
      <c r="H5030" s="364" t="s">
        <v>1223</v>
      </c>
    </row>
    <row r="5031" ht="15.75" customHeight="1">
      <c r="A5031" s="364" t="s">
        <v>88</v>
      </c>
      <c r="B5031" s="364" t="s">
        <v>22</v>
      </c>
      <c r="C5031" s="365" t="s">
        <v>324</v>
      </c>
      <c r="D5031" s="364" t="s">
        <v>325</v>
      </c>
      <c r="E5031" s="366">
        <v>6.0</v>
      </c>
      <c r="F5031" s="367">
        <v>45889.58333333333</v>
      </c>
      <c r="G5031" s="364" t="s">
        <v>1185</v>
      </c>
      <c r="H5031" s="364" t="s">
        <v>1223</v>
      </c>
    </row>
    <row r="5032" ht="15.75" customHeight="1">
      <c r="A5032" s="364" t="s">
        <v>88</v>
      </c>
      <c r="B5032" s="364" t="s">
        <v>22</v>
      </c>
      <c r="C5032" s="365" t="s">
        <v>324</v>
      </c>
      <c r="D5032" s="364" t="s">
        <v>325</v>
      </c>
      <c r="E5032" s="366">
        <v>7.0</v>
      </c>
      <c r="F5032" s="367">
        <v>45896.58333333333</v>
      </c>
      <c r="G5032" s="364" t="s">
        <v>1185</v>
      </c>
      <c r="H5032" s="364" t="s">
        <v>1223</v>
      </c>
    </row>
    <row r="5033" ht="15.75" customHeight="1">
      <c r="A5033" s="364" t="s">
        <v>88</v>
      </c>
      <c r="B5033" s="364" t="s">
        <v>22</v>
      </c>
      <c r="C5033" s="365" t="s">
        <v>324</v>
      </c>
      <c r="D5033" s="364" t="s">
        <v>325</v>
      </c>
      <c r="E5033" s="366">
        <v>8.0</v>
      </c>
      <c r="F5033" s="367">
        <v>45910.625</v>
      </c>
      <c r="G5033" s="364" t="s">
        <v>1187</v>
      </c>
      <c r="H5033" s="364" t="s">
        <v>1223</v>
      </c>
    </row>
    <row r="5034" ht="15.75" customHeight="1">
      <c r="A5034" s="364" t="s">
        <v>88</v>
      </c>
      <c r="B5034" s="364" t="s">
        <v>22</v>
      </c>
      <c r="C5034" s="365" t="s">
        <v>324</v>
      </c>
      <c r="D5034" s="364" t="s">
        <v>325</v>
      </c>
      <c r="E5034" s="366">
        <v>9.0</v>
      </c>
      <c r="F5034" s="367">
        <v>45916.375</v>
      </c>
      <c r="G5034" s="364" t="s">
        <v>1187</v>
      </c>
      <c r="H5034" s="364" t="s">
        <v>1223</v>
      </c>
    </row>
    <row r="5035" ht="15.75" customHeight="1">
      <c r="A5035" s="364" t="s">
        <v>88</v>
      </c>
      <c r="B5035" s="364" t="s">
        <v>22</v>
      </c>
      <c r="C5035" s="365" t="s">
        <v>324</v>
      </c>
      <c r="D5035" s="364" t="s">
        <v>325</v>
      </c>
      <c r="E5035" s="366">
        <v>10.0</v>
      </c>
      <c r="F5035" s="367">
        <v>45959.41666666667</v>
      </c>
      <c r="G5035" s="364" t="s">
        <v>1187</v>
      </c>
      <c r="H5035" s="364" t="s">
        <v>1223</v>
      </c>
    </row>
    <row r="5036" ht="15.75" customHeight="1">
      <c r="A5036" s="364" t="s">
        <v>88</v>
      </c>
      <c r="B5036" s="364" t="s">
        <v>22</v>
      </c>
      <c r="C5036" s="365" t="s">
        <v>320</v>
      </c>
      <c r="D5036" s="364" t="s">
        <v>321</v>
      </c>
      <c r="E5036" s="366">
        <v>5.0</v>
      </c>
      <c r="F5036" s="367">
        <v>45882.54166666667</v>
      </c>
      <c r="G5036" s="364" t="s">
        <v>1185</v>
      </c>
      <c r="H5036" s="364" t="s">
        <v>1223</v>
      </c>
    </row>
    <row r="5037" ht="15.75" customHeight="1">
      <c r="A5037" s="364" t="s">
        <v>88</v>
      </c>
      <c r="B5037" s="364" t="s">
        <v>22</v>
      </c>
      <c r="C5037" s="365" t="s">
        <v>320</v>
      </c>
      <c r="D5037" s="364" t="s">
        <v>321</v>
      </c>
      <c r="E5037" s="366">
        <v>6.0</v>
      </c>
      <c r="F5037" s="367">
        <v>45889.58333333333</v>
      </c>
      <c r="G5037" s="364" t="s">
        <v>1185</v>
      </c>
      <c r="H5037" s="364" t="s">
        <v>1223</v>
      </c>
    </row>
    <row r="5038" ht="15.75" customHeight="1">
      <c r="A5038" s="364" t="s">
        <v>88</v>
      </c>
      <c r="B5038" s="364" t="s">
        <v>22</v>
      </c>
      <c r="C5038" s="365" t="s">
        <v>320</v>
      </c>
      <c r="D5038" s="364" t="s">
        <v>321</v>
      </c>
      <c r="E5038" s="366">
        <v>7.0</v>
      </c>
      <c r="F5038" s="367">
        <v>45896.58333333333</v>
      </c>
      <c r="G5038" s="364" t="s">
        <v>1185</v>
      </c>
      <c r="H5038" s="364" t="s">
        <v>1223</v>
      </c>
    </row>
    <row r="5039" ht="15.75" customHeight="1">
      <c r="A5039" s="364" t="s">
        <v>88</v>
      </c>
      <c r="B5039" s="364" t="s">
        <v>22</v>
      </c>
      <c r="C5039" s="365" t="s">
        <v>320</v>
      </c>
      <c r="D5039" s="364" t="s">
        <v>321</v>
      </c>
      <c r="E5039" s="366">
        <v>8.0</v>
      </c>
      <c r="F5039" s="367">
        <v>45910.58333333333</v>
      </c>
      <c r="G5039" s="364" t="s">
        <v>1185</v>
      </c>
      <c r="H5039" s="364" t="s">
        <v>1223</v>
      </c>
    </row>
    <row r="5040" ht="15.75" customHeight="1">
      <c r="A5040" s="364" t="s">
        <v>88</v>
      </c>
      <c r="B5040" s="364" t="s">
        <v>22</v>
      </c>
      <c r="C5040" s="365" t="s">
        <v>320</v>
      </c>
      <c r="D5040" s="364" t="s">
        <v>321</v>
      </c>
      <c r="E5040" s="366">
        <v>9.0</v>
      </c>
      <c r="F5040" s="367">
        <v>45916.375</v>
      </c>
      <c r="G5040" s="364" t="s">
        <v>1185</v>
      </c>
      <c r="H5040" s="364" t="s">
        <v>1223</v>
      </c>
    </row>
    <row r="5041" ht="15.75" customHeight="1">
      <c r="A5041" s="364" t="s">
        <v>88</v>
      </c>
      <c r="B5041" s="364" t="s">
        <v>22</v>
      </c>
      <c r="C5041" s="365" t="s">
        <v>320</v>
      </c>
      <c r="D5041" s="364" t="s">
        <v>321</v>
      </c>
      <c r="E5041" s="366">
        <v>10.0</v>
      </c>
      <c r="F5041" s="367">
        <v>45959.41666666667</v>
      </c>
      <c r="G5041" s="364" t="s">
        <v>1185</v>
      </c>
      <c r="H5041" s="364" t="s">
        <v>1223</v>
      </c>
    </row>
    <row r="5042" ht="15.75" customHeight="1">
      <c r="A5042" s="364" t="s">
        <v>88</v>
      </c>
      <c r="B5042" s="364" t="s">
        <v>22</v>
      </c>
      <c r="C5042" s="365" t="s">
        <v>326</v>
      </c>
      <c r="D5042" s="364" t="s">
        <v>327</v>
      </c>
      <c r="E5042" s="366">
        <v>5.0</v>
      </c>
      <c r="F5042" s="367">
        <v>45882.54166666667</v>
      </c>
      <c r="G5042" s="364" t="s">
        <v>1185</v>
      </c>
      <c r="H5042" s="364" t="s">
        <v>1223</v>
      </c>
    </row>
    <row r="5043" ht="15.75" customHeight="1">
      <c r="A5043" s="364" t="s">
        <v>88</v>
      </c>
      <c r="B5043" s="364" t="s">
        <v>22</v>
      </c>
      <c r="C5043" s="365" t="s">
        <v>326</v>
      </c>
      <c r="D5043" s="364" t="s">
        <v>327</v>
      </c>
      <c r="E5043" s="366">
        <v>6.0</v>
      </c>
      <c r="F5043" s="367">
        <v>45889.58333333333</v>
      </c>
      <c r="G5043" s="364" t="s">
        <v>1185</v>
      </c>
      <c r="H5043" s="364" t="s">
        <v>1223</v>
      </c>
    </row>
    <row r="5044" ht="15.75" customHeight="1">
      <c r="A5044" s="364" t="s">
        <v>88</v>
      </c>
      <c r="B5044" s="364" t="s">
        <v>22</v>
      </c>
      <c r="C5044" s="365" t="s">
        <v>326</v>
      </c>
      <c r="D5044" s="364" t="s">
        <v>327</v>
      </c>
      <c r="E5044" s="366">
        <v>7.0</v>
      </c>
      <c r="F5044" s="367">
        <v>45896.58333333333</v>
      </c>
      <c r="G5044" s="364" t="s">
        <v>1185</v>
      </c>
      <c r="H5044" s="364" t="s">
        <v>1223</v>
      </c>
    </row>
    <row r="5045" ht="15.75" customHeight="1">
      <c r="A5045" s="364" t="s">
        <v>88</v>
      </c>
      <c r="B5045" s="364" t="s">
        <v>22</v>
      </c>
      <c r="C5045" s="365" t="s">
        <v>326</v>
      </c>
      <c r="D5045" s="364" t="s">
        <v>327</v>
      </c>
      <c r="E5045" s="366">
        <v>8.0</v>
      </c>
      <c r="F5045" s="367">
        <v>45910.625</v>
      </c>
      <c r="G5045" s="364" t="s">
        <v>1185</v>
      </c>
      <c r="H5045" s="364" t="s">
        <v>1223</v>
      </c>
    </row>
    <row r="5046" ht="15.75" customHeight="1">
      <c r="A5046" s="364" t="s">
        <v>88</v>
      </c>
      <c r="B5046" s="364" t="s">
        <v>22</v>
      </c>
      <c r="C5046" s="365" t="s">
        <v>326</v>
      </c>
      <c r="D5046" s="364" t="s">
        <v>327</v>
      </c>
      <c r="E5046" s="366">
        <v>9.0</v>
      </c>
      <c r="F5046" s="367">
        <v>45916.375</v>
      </c>
      <c r="G5046" s="364" t="s">
        <v>1185</v>
      </c>
      <c r="H5046" s="364" t="s">
        <v>1223</v>
      </c>
    </row>
    <row r="5047" ht="15.75" customHeight="1">
      <c r="A5047" s="364" t="s">
        <v>88</v>
      </c>
      <c r="B5047" s="364" t="s">
        <v>22</v>
      </c>
      <c r="C5047" s="365" t="s">
        <v>326</v>
      </c>
      <c r="D5047" s="364" t="s">
        <v>327</v>
      </c>
      <c r="E5047" s="366">
        <v>10.0</v>
      </c>
      <c r="F5047" s="367">
        <v>45959.41666666667</v>
      </c>
      <c r="G5047" s="364" t="s">
        <v>1185</v>
      </c>
      <c r="H5047" s="364" t="s">
        <v>1223</v>
      </c>
    </row>
    <row r="5048" ht="15.75" customHeight="1">
      <c r="A5048" s="364" t="s">
        <v>88</v>
      </c>
      <c r="B5048" s="364" t="s">
        <v>22</v>
      </c>
      <c r="C5048" s="365" t="s">
        <v>329</v>
      </c>
      <c r="D5048" s="364" t="s">
        <v>330</v>
      </c>
      <c r="E5048" s="366">
        <v>5.0</v>
      </c>
      <c r="F5048" s="367">
        <v>45882.54166666667</v>
      </c>
      <c r="G5048" s="364" t="s">
        <v>1185</v>
      </c>
      <c r="H5048" s="364" t="s">
        <v>1223</v>
      </c>
    </row>
    <row r="5049" ht="15.75" customHeight="1">
      <c r="A5049" s="364" t="s">
        <v>88</v>
      </c>
      <c r="B5049" s="364" t="s">
        <v>22</v>
      </c>
      <c r="C5049" s="365" t="s">
        <v>329</v>
      </c>
      <c r="D5049" s="364" t="s">
        <v>330</v>
      </c>
      <c r="E5049" s="366">
        <v>6.0</v>
      </c>
      <c r="F5049" s="367">
        <v>45889.58333333333</v>
      </c>
      <c r="G5049" s="364" t="s">
        <v>1185</v>
      </c>
      <c r="H5049" s="364" t="s">
        <v>1223</v>
      </c>
    </row>
    <row r="5050" ht="15.75" customHeight="1">
      <c r="A5050" s="364" t="s">
        <v>88</v>
      </c>
      <c r="B5050" s="364" t="s">
        <v>22</v>
      </c>
      <c r="C5050" s="365" t="s">
        <v>329</v>
      </c>
      <c r="D5050" s="364" t="s">
        <v>330</v>
      </c>
      <c r="E5050" s="366">
        <v>7.0</v>
      </c>
      <c r="F5050" s="367">
        <v>45896.58333333333</v>
      </c>
      <c r="G5050" s="364" t="s">
        <v>1185</v>
      </c>
      <c r="H5050" s="364" t="s">
        <v>1223</v>
      </c>
    </row>
    <row r="5051" ht="15.75" customHeight="1">
      <c r="A5051" s="364" t="s">
        <v>88</v>
      </c>
      <c r="B5051" s="364" t="s">
        <v>22</v>
      </c>
      <c r="C5051" s="365" t="s">
        <v>329</v>
      </c>
      <c r="D5051" s="364" t="s">
        <v>330</v>
      </c>
      <c r="E5051" s="366">
        <v>8.0</v>
      </c>
      <c r="F5051" s="367">
        <v>45910.625</v>
      </c>
      <c r="G5051" s="364" t="s">
        <v>1185</v>
      </c>
      <c r="H5051" s="364" t="s">
        <v>1223</v>
      </c>
    </row>
    <row r="5052" ht="15.75" customHeight="1">
      <c r="A5052" s="364" t="s">
        <v>88</v>
      </c>
      <c r="B5052" s="364" t="s">
        <v>22</v>
      </c>
      <c r="C5052" s="365" t="s">
        <v>329</v>
      </c>
      <c r="D5052" s="364" t="s">
        <v>330</v>
      </c>
      <c r="E5052" s="366">
        <v>9.0</v>
      </c>
      <c r="F5052" s="367">
        <v>45916.375</v>
      </c>
      <c r="G5052" s="364" t="s">
        <v>1185</v>
      </c>
      <c r="H5052" s="364" t="s">
        <v>1223</v>
      </c>
    </row>
    <row r="5053" ht="15.75" customHeight="1">
      <c r="A5053" s="364" t="s">
        <v>88</v>
      </c>
      <c r="B5053" s="364" t="s">
        <v>22</v>
      </c>
      <c r="C5053" s="365" t="s">
        <v>329</v>
      </c>
      <c r="D5053" s="364" t="s">
        <v>330</v>
      </c>
      <c r="E5053" s="366">
        <v>10.0</v>
      </c>
      <c r="F5053" s="367">
        <v>45959.41666666667</v>
      </c>
      <c r="G5053" s="364" t="s">
        <v>1185</v>
      </c>
      <c r="H5053" s="364" t="s">
        <v>1223</v>
      </c>
    </row>
    <row r="5054" ht="15.75" customHeight="1">
      <c r="A5054" s="364" t="s">
        <v>89</v>
      </c>
      <c r="B5054" s="364" t="s">
        <v>27</v>
      </c>
      <c r="C5054" s="365" t="s">
        <v>631</v>
      </c>
      <c r="D5054" s="364" t="s">
        <v>632</v>
      </c>
      <c r="E5054" s="366">
        <v>1.0</v>
      </c>
      <c r="F5054" s="367">
        <v>46126.58333333333</v>
      </c>
      <c r="G5054" s="364" t="s">
        <v>1185</v>
      </c>
      <c r="H5054" s="364" t="s">
        <v>1224</v>
      </c>
    </row>
    <row r="5055" ht="15.75" customHeight="1">
      <c r="A5055" s="364" t="s">
        <v>89</v>
      </c>
      <c r="B5055" s="364" t="s">
        <v>27</v>
      </c>
      <c r="C5055" s="365" t="s">
        <v>631</v>
      </c>
      <c r="D5055" s="364" t="s">
        <v>632</v>
      </c>
      <c r="E5055" s="366">
        <v>2.0</v>
      </c>
      <c r="F5055" s="367">
        <v>46129.58333333333</v>
      </c>
      <c r="G5055" s="364" t="s">
        <v>1185</v>
      </c>
      <c r="H5055" s="364" t="s">
        <v>1224</v>
      </c>
    </row>
    <row r="5056" ht="15.75" customHeight="1">
      <c r="A5056" s="364" t="s">
        <v>89</v>
      </c>
      <c r="B5056" s="364" t="s">
        <v>27</v>
      </c>
      <c r="C5056" s="365" t="s">
        <v>631</v>
      </c>
      <c r="D5056" s="364" t="s">
        <v>632</v>
      </c>
      <c r="E5056" s="366">
        <v>3.0</v>
      </c>
      <c r="F5056" s="367">
        <v>46147.58333333333</v>
      </c>
      <c r="G5056" s="364" t="s">
        <v>1185</v>
      </c>
      <c r="H5056" s="364" t="s">
        <v>1224</v>
      </c>
    </row>
    <row r="5057" ht="15.75" customHeight="1">
      <c r="A5057" s="364" t="s">
        <v>89</v>
      </c>
      <c r="B5057" s="364" t="s">
        <v>27</v>
      </c>
      <c r="C5057" s="365" t="s">
        <v>631</v>
      </c>
      <c r="D5057" s="364" t="s">
        <v>632</v>
      </c>
      <c r="E5057" s="366">
        <v>4.0</v>
      </c>
      <c r="F5057" s="367">
        <v>46150.58333333333</v>
      </c>
      <c r="G5057" s="364" t="s">
        <v>1185</v>
      </c>
      <c r="H5057" s="364" t="s">
        <v>1224</v>
      </c>
    </row>
    <row r="5058" ht="15.75" customHeight="1">
      <c r="A5058" s="364" t="s">
        <v>89</v>
      </c>
      <c r="B5058" s="364" t="s">
        <v>27</v>
      </c>
      <c r="C5058" s="365" t="s">
        <v>631</v>
      </c>
      <c r="D5058" s="364" t="s">
        <v>632</v>
      </c>
      <c r="E5058" s="366">
        <v>5.0</v>
      </c>
      <c r="F5058" s="367">
        <v>46154.58333333333</v>
      </c>
      <c r="G5058" s="364" t="s">
        <v>1185</v>
      </c>
      <c r="H5058" s="364" t="s">
        <v>1224</v>
      </c>
    </row>
    <row r="5059" ht="15.75" customHeight="1">
      <c r="A5059" s="364" t="s">
        <v>89</v>
      </c>
      <c r="B5059" s="364" t="s">
        <v>27</v>
      </c>
      <c r="C5059" s="365" t="s">
        <v>631</v>
      </c>
      <c r="D5059" s="364" t="s">
        <v>632</v>
      </c>
      <c r="E5059" s="366">
        <v>6.0</v>
      </c>
      <c r="F5059" s="367">
        <v>46157.58333333333</v>
      </c>
      <c r="G5059" s="364" t="s">
        <v>1185</v>
      </c>
      <c r="H5059" s="364" t="s">
        <v>1224</v>
      </c>
    </row>
    <row r="5060" ht="15.75" customHeight="1">
      <c r="A5060" s="364" t="s">
        <v>89</v>
      </c>
      <c r="B5060" s="364" t="s">
        <v>27</v>
      </c>
      <c r="C5060" s="365" t="s">
        <v>633</v>
      </c>
      <c r="D5060" s="364" t="s">
        <v>634</v>
      </c>
      <c r="E5060" s="366">
        <v>1.0</v>
      </c>
      <c r="F5060" s="367">
        <v>46126.58333333333</v>
      </c>
      <c r="G5060" s="364" t="s">
        <v>1185</v>
      </c>
      <c r="H5060" s="364" t="s">
        <v>1224</v>
      </c>
    </row>
    <row r="5061" ht="15.75" customHeight="1">
      <c r="A5061" s="364" t="s">
        <v>89</v>
      </c>
      <c r="B5061" s="364" t="s">
        <v>27</v>
      </c>
      <c r="C5061" s="365" t="s">
        <v>633</v>
      </c>
      <c r="D5061" s="364" t="s">
        <v>634</v>
      </c>
      <c r="E5061" s="366">
        <v>2.0</v>
      </c>
      <c r="F5061" s="367">
        <v>46129.58333333333</v>
      </c>
      <c r="G5061" s="364" t="s">
        <v>1185</v>
      </c>
      <c r="H5061" s="364" t="s">
        <v>1224</v>
      </c>
    </row>
    <row r="5062" ht="15.75" customHeight="1">
      <c r="A5062" s="364" t="s">
        <v>89</v>
      </c>
      <c r="B5062" s="364" t="s">
        <v>27</v>
      </c>
      <c r="C5062" s="365" t="s">
        <v>633</v>
      </c>
      <c r="D5062" s="364" t="s">
        <v>634</v>
      </c>
      <c r="E5062" s="366">
        <v>3.0</v>
      </c>
      <c r="F5062" s="367">
        <v>46147.58333333333</v>
      </c>
      <c r="G5062" s="364" t="s">
        <v>1185</v>
      </c>
      <c r="H5062" s="364" t="s">
        <v>1224</v>
      </c>
    </row>
    <row r="5063" ht="15.75" customHeight="1">
      <c r="A5063" s="364" t="s">
        <v>89</v>
      </c>
      <c r="B5063" s="364" t="s">
        <v>27</v>
      </c>
      <c r="C5063" s="365" t="s">
        <v>633</v>
      </c>
      <c r="D5063" s="364" t="s">
        <v>634</v>
      </c>
      <c r="E5063" s="366">
        <v>4.0</v>
      </c>
      <c r="F5063" s="367">
        <v>46150.58333333333</v>
      </c>
      <c r="G5063" s="364" t="s">
        <v>1185</v>
      </c>
      <c r="H5063" s="364" t="s">
        <v>1224</v>
      </c>
    </row>
    <row r="5064" ht="15.75" customHeight="1">
      <c r="A5064" s="364" t="s">
        <v>89</v>
      </c>
      <c r="B5064" s="364" t="s">
        <v>27</v>
      </c>
      <c r="C5064" s="365" t="s">
        <v>633</v>
      </c>
      <c r="D5064" s="364" t="s">
        <v>634</v>
      </c>
      <c r="E5064" s="366">
        <v>5.0</v>
      </c>
      <c r="F5064" s="367">
        <v>46154.58333333333</v>
      </c>
      <c r="G5064" s="364" t="s">
        <v>1187</v>
      </c>
      <c r="H5064" s="364" t="s">
        <v>1224</v>
      </c>
    </row>
    <row r="5065" ht="15.75" customHeight="1">
      <c r="A5065" s="364" t="s">
        <v>89</v>
      </c>
      <c r="B5065" s="364" t="s">
        <v>27</v>
      </c>
      <c r="C5065" s="365" t="s">
        <v>633</v>
      </c>
      <c r="D5065" s="364" t="s">
        <v>634</v>
      </c>
      <c r="E5065" s="366">
        <v>6.0</v>
      </c>
      <c r="F5065" s="367">
        <v>46157.58333333333</v>
      </c>
      <c r="G5065" s="364" t="s">
        <v>1185</v>
      </c>
      <c r="H5065" s="364" t="s">
        <v>1224</v>
      </c>
    </row>
    <row r="5066" ht="15.75" customHeight="1">
      <c r="A5066" s="364" t="s">
        <v>89</v>
      </c>
      <c r="B5066" s="364" t="s">
        <v>27</v>
      </c>
      <c r="C5066" s="365" t="s">
        <v>635</v>
      </c>
      <c r="D5066" s="364" t="s">
        <v>636</v>
      </c>
      <c r="E5066" s="366">
        <v>1.0</v>
      </c>
      <c r="F5066" s="367">
        <v>46126.58333333333</v>
      </c>
      <c r="G5066" s="364" t="s">
        <v>1185</v>
      </c>
      <c r="H5066" s="364" t="s">
        <v>1224</v>
      </c>
    </row>
    <row r="5067" ht="15.75" customHeight="1">
      <c r="A5067" s="364" t="s">
        <v>89</v>
      </c>
      <c r="B5067" s="364" t="s">
        <v>27</v>
      </c>
      <c r="C5067" s="365" t="s">
        <v>635</v>
      </c>
      <c r="D5067" s="364" t="s">
        <v>636</v>
      </c>
      <c r="E5067" s="366">
        <v>2.0</v>
      </c>
      <c r="F5067" s="367">
        <v>46129.58333333333</v>
      </c>
      <c r="G5067" s="364" t="s">
        <v>1185</v>
      </c>
      <c r="H5067" s="364" t="s">
        <v>1224</v>
      </c>
    </row>
    <row r="5068" ht="15.75" customHeight="1">
      <c r="A5068" s="364" t="s">
        <v>89</v>
      </c>
      <c r="B5068" s="364" t="s">
        <v>27</v>
      </c>
      <c r="C5068" s="365" t="s">
        <v>635</v>
      </c>
      <c r="D5068" s="364" t="s">
        <v>636</v>
      </c>
      <c r="E5068" s="366">
        <v>3.0</v>
      </c>
      <c r="F5068" s="367">
        <v>46147.58333333333</v>
      </c>
      <c r="G5068" s="364" t="s">
        <v>1185</v>
      </c>
      <c r="H5068" s="364" t="s">
        <v>1224</v>
      </c>
    </row>
    <row r="5069" ht="15.75" customHeight="1">
      <c r="A5069" s="364" t="s">
        <v>89</v>
      </c>
      <c r="B5069" s="364" t="s">
        <v>27</v>
      </c>
      <c r="C5069" s="365" t="s">
        <v>635</v>
      </c>
      <c r="D5069" s="364" t="s">
        <v>636</v>
      </c>
      <c r="E5069" s="366">
        <v>4.0</v>
      </c>
      <c r="F5069" s="367">
        <v>46150.58333333333</v>
      </c>
      <c r="G5069" s="364" t="s">
        <v>1185</v>
      </c>
      <c r="H5069" s="364" t="s">
        <v>1224</v>
      </c>
    </row>
    <row r="5070" ht="15.75" customHeight="1">
      <c r="A5070" s="364" t="s">
        <v>89</v>
      </c>
      <c r="B5070" s="364" t="s">
        <v>27</v>
      </c>
      <c r="C5070" s="365" t="s">
        <v>635</v>
      </c>
      <c r="D5070" s="364" t="s">
        <v>636</v>
      </c>
      <c r="E5070" s="366">
        <v>5.0</v>
      </c>
      <c r="F5070" s="367">
        <v>46154.58333333333</v>
      </c>
      <c r="G5070" s="364" t="s">
        <v>1185</v>
      </c>
      <c r="H5070" s="364" t="s">
        <v>1224</v>
      </c>
    </row>
    <row r="5071" ht="15.75" customHeight="1">
      <c r="A5071" s="364" t="s">
        <v>89</v>
      </c>
      <c r="B5071" s="364" t="s">
        <v>27</v>
      </c>
      <c r="C5071" s="365" t="s">
        <v>635</v>
      </c>
      <c r="D5071" s="364" t="s">
        <v>636</v>
      </c>
      <c r="E5071" s="366">
        <v>6.0</v>
      </c>
      <c r="F5071" s="367">
        <v>46157.58333333333</v>
      </c>
      <c r="G5071" s="364" t="s">
        <v>1185</v>
      </c>
      <c r="H5071" s="364" t="s">
        <v>1224</v>
      </c>
    </row>
    <row r="5072" ht="15.75" customHeight="1">
      <c r="A5072" s="364" t="s">
        <v>89</v>
      </c>
      <c r="B5072" s="364" t="s">
        <v>26</v>
      </c>
      <c r="C5072" s="365" t="s">
        <v>705</v>
      </c>
      <c r="D5072" s="364" t="s">
        <v>706</v>
      </c>
      <c r="E5072" s="366">
        <v>1.0</v>
      </c>
      <c r="F5072" s="367">
        <v>45916.45833333333</v>
      </c>
      <c r="G5072" s="364" t="s">
        <v>1187</v>
      </c>
      <c r="H5072" s="364" t="s">
        <v>1224</v>
      </c>
    </row>
    <row r="5073" ht="15.75" customHeight="1">
      <c r="A5073" s="364" t="s">
        <v>89</v>
      </c>
      <c r="B5073" s="364" t="s">
        <v>26</v>
      </c>
      <c r="C5073" s="365" t="s">
        <v>705</v>
      </c>
      <c r="D5073" s="364" t="s">
        <v>706</v>
      </c>
      <c r="E5073" s="366">
        <v>2.0</v>
      </c>
      <c r="F5073" s="367">
        <v>45925.54166666667</v>
      </c>
      <c r="G5073" s="364" t="s">
        <v>1187</v>
      </c>
      <c r="H5073" s="364" t="s">
        <v>1224</v>
      </c>
    </row>
    <row r="5074" ht="15.75" customHeight="1">
      <c r="A5074" s="364" t="s">
        <v>89</v>
      </c>
      <c r="B5074" s="364" t="s">
        <v>26</v>
      </c>
      <c r="C5074" s="365" t="s">
        <v>705</v>
      </c>
      <c r="D5074" s="364" t="s">
        <v>706</v>
      </c>
      <c r="E5074" s="366">
        <v>3.0</v>
      </c>
      <c r="F5074" s="367">
        <v>45931.58333333333</v>
      </c>
      <c r="G5074" s="364" t="s">
        <v>1187</v>
      </c>
      <c r="H5074" s="364" t="s">
        <v>1224</v>
      </c>
    </row>
    <row r="5075" ht="15.75" customHeight="1">
      <c r="A5075" s="364" t="s">
        <v>89</v>
      </c>
      <c r="B5075" s="364" t="s">
        <v>26</v>
      </c>
      <c r="C5075" s="365" t="s">
        <v>705</v>
      </c>
      <c r="D5075" s="364" t="s">
        <v>706</v>
      </c>
      <c r="E5075" s="366">
        <v>4.0</v>
      </c>
      <c r="F5075" s="367">
        <v>45938.54166666667</v>
      </c>
      <c r="G5075" s="364" t="s">
        <v>1187</v>
      </c>
      <c r="H5075" s="364" t="s">
        <v>1224</v>
      </c>
    </row>
    <row r="5076" ht="15.75" customHeight="1">
      <c r="A5076" s="364" t="s">
        <v>89</v>
      </c>
      <c r="B5076" s="364" t="s">
        <v>26</v>
      </c>
      <c r="C5076" s="365" t="s">
        <v>705</v>
      </c>
      <c r="D5076" s="364" t="s">
        <v>706</v>
      </c>
      <c r="E5076" s="366">
        <v>5.0</v>
      </c>
      <c r="F5076" s="367">
        <v>45953.54166666667</v>
      </c>
      <c r="G5076" s="364" t="s">
        <v>1185</v>
      </c>
      <c r="H5076" s="364" t="s">
        <v>1224</v>
      </c>
    </row>
    <row r="5077" ht="15.75" customHeight="1">
      <c r="A5077" s="364" t="s">
        <v>89</v>
      </c>
      <c r="B5077" s="364" t="s">
        <v>26</v>
      </c>
      <c r="C5077" s="365" t="s">
        <v>705</v>
      </c>
      <c r="D5077" s="364" t="s">
        <v>706</v>
      </c>
      <c r="E5077" s="366">
        <v>6.0</v>
      </c>
      <c r="F5077" s="367">
        <v>45960.54166666667</v>
      </c>
      <c r="G5077" s="364" t="s">
        <v>1185</v>
      </c>
      <c r="H5077" s="364" t="s">
        <v>1224</v>
      </c>
    </row>
    <row r="5078" ht="15.75" customHeight="1">
      <c r="A5078" s="364" t="s">
        <v>89</v>
      </c>
      <c r="B5078" s="364" t="s">
        <v>26</v>
      </c>
      <c r="C5078" s="365" t="s">
        <v>705</v>
      </c>
      <c r="D5078" s="364" t="s">
        <v>706</v>
      </c>
      <c r="E5078" s="366">
        <v>7.0</v>
      </c>
      <c r="F5078" s="367">
        <v>45967.54166666667</v>
      </c>
      <c r="G5078" s="364" t="s">
        <v>1185</v>
      </c>
      <c r="H5078" s="364" t="s">
        <v>1224</v>
      </c>
    </row>
    <row r="5079" ht="15.75" customHeight="1">
      <c r="A5079" s="364" t="s">
        <v>89</v>
      </c>
      <c r="B5079" s="364" t="s">
        <v>26</v>
      </c>
      <c r="C5079" s="365" t="s">
        <v>705</v>
      </c>
      <c r="D5079" s="364" t="s">
        <v>706</v>
      </c>
      <c r="E5079" s="366">
        <v>8.0</v>
      </c>
      <c r="F5079" s="367">
        <v>45982.54166666667</v>
      </c>
      <c r="G5079" s="364" t="s">
        <v>1185</v>
      </c>
      <c r="H5079" s="364" t="s">
        <v>1224</v>
      </c>
    </row>
    <row r="5080" ht="15.75" customHeight="1">
      <c r="A5080" s="364" t="s">
        <v>89</v>
      </c>
      <c r="B5080" s="364" t="s">
        <v>26</v>
      </c>
      <c r="C5080" s="365" t="s">
        <v>705</v>
      </c>
      <c r="D5080" s="364" t="s">
        <v>706</v>
      </c>
      <c r="E5080" s="366">
        <v>9.0</v>
      </c>
      <c r="F5080" s="367">
        <v>45989.54166666667</v>
      </c>
      <c r="G5080" s="364" t="s">
        <v>1185</v>
      </c>
      <c r="H5080" s="364" t="s">
        <v>1224</v>
      </c>
    </row>
    <row r="5081" ht="15.75" customHeight="1">
      <c r="A5081" s="364" t="s">
        <v>89</v>
      </c>
      <c r="B5081" s="364" t="s">
        <v>26</v>
      </c>
      <c r="C5081" s="365" t="s">
        <v>705</v>
      </c>
      <c r="D5081" s="364" t="s">
        <v>706</v>
      </c>
      <c r="E5081" s="366">
        <v>10.0</v>
      </c>
      <c r="F5081" s="367">
        <v>45996.54166666667</v>
      </c>
      <c r="G5081" s="364" t="s">
        <v>1185</v>
      </c>
      <c r="H5081" s="364" t="s">
        <v>1224</v>
      </c>
    </row>
    <row r="5082" ht="15.75" customHeight="1">
      <c r="A5082" s="364" t="s">
        <v>89</v>
      </c>
      <c r="B5082" s="364" t="s">
        <v>26</v>
      </c>
      <c r="C5082" s="365" t="s">
        <v>705</v>
      </c>
      <c r="D5082" s="364" t="s">
        <v>706</v>
      </c>
      <c r="E5082" s="366">
        <v>11.0</v>
      </c>
      <c r="F5082" s="367">
        <v>46010.54166666667</v>
      </c>
      <c r="G5082" s="364" t="s">
        <v>1185</v>
      </c>
      <c r="H5082" s="364" t="s">
        <v>1224</v>
      </c>
    </row>
    <row r="5083" ht="15.75" customHeight="1">
      <c r="A5083" s="364" t="s">
        <v>89</v>
      </c>
      <c r="B5083" s="364" t="s">
        <v>26</v>
      </c>
      <c r="C5083" s="365" t="s">
        <v>705</v>
      </c>
      <c r="D5083" s="364" t="s">
        <v>706</v>
      </c>
      <c r="E5083" s="366">
        <v>12.0</v>
      </c>
      <c r="F5083" s="367">
        <v>46038.54166666667</v>
      </c>
      <c r="G5083" s="364" t="s">
        <v>1185</v>
      </c>
      <c r="H5083" s="364" t="s">
        <v>1224</v>
      </c>
    </row>
    <row r="5084" ht="15.75" customHeight="1">
      <c r="A5084" s="364" t="s">
        <v>89</v>
      </c>
      <c r="B5084" s="364" t="s">
        <v>26</v>
      </c>
      <c r="C5084" s="365" t="s">
        <v>705</v>
      </c>
      <c r="D5084" s="364" t="s">
        <v>706</v>
      </c>
      <c r="E5084" s="366">
        <v>13.0</v>
      </c>
      <c r="F5084" s="367">
        <v>46049.58333333333</v>
      </c>
      <c r="G5084" s="364" t="s">
        <v>1185</v>
      </c>
      <c r="H5084" s="364" t="s">
        <v>1224</v>
      </c>
    </row>
    <row r="5085" ht="15.75" customHeight="1">
      <c r="A5085" s="364" t="s">
        <v>89</v>
      </c>
      <c r="B5085" s="364" t="s">
        <v>26</v>
      </c>
      <c r="C5085" s="365" t="s">
        <v>705</v>
      </c>
      <c r="D5085" s="364" t="s">
        <v>706</v>
      </c>
      <c r="E5085" s="366">
        <v>14.0</v>
      </c>
      <c r="F5085" s="367">
        <v>46049.58333333333</v>
      </c>
      <c r="G5085" s="364" t="s">
        <v>1185</v>
      </c>
      <c r="H5085" s="364" t="s">
        <v>1224</v>
      </c>
    </row>
    <row r="5086" ht="15.75" customHeight="1">
      <c r="A5086" s="364" t="s">
        <v>89</v>
      </c>
      <c r="B5086" s="364" t="s">
        <v>26</v>
      </c>
      <c r="C5086" s="365" t="s">
        <v>705</v>
      </c>
      <c r="D5086" s="364" t="s">
        <v>706</v>
      </c>
      <c r="E5086" s="366">
        <v>15.0</v>
      </c>
      <c r="F5086" s="367">
        <v>46052.54166666667</v>
      </c>
      <c r="G5086" s="364" t="s">
        <v>1185</v>
      </c>
      <c r="H5086" s="364" t="s">
        <v>1224</v>
      </c>
    </row>
    <row r="5087" ht="15.75" customHeight="1">
      <c r="A5087" s="364" t="s">
        <v>89</v>
      </c>
      <c r="B5087" s="364" t="s">
        <v>26</v>
      </c>
      <c r="C5087" s="365" t="s">
        <v>705</v>
      </c>
      <c r="D5087" s="364" t="s">
        <v>706</v>
      </c>
      <c r="E5087" s="366">
        <v>16.0</v>
      </c>
      <c r="F5087" s="367">
        <v>46108.54166666667</v>
      </c>
      <c r="G5087" s="364" t="s">
        <v>1185</v>
      </c>
      <c r="H5087" s="364" t="s">
        <v>1224</v>
      </c>
    </row>
    <row r="5088" ht="15.75" customHeight="1">
      <c r="A5088" s="364" t="s">
        <v>89</v>
      </c>
      <c r="B5088" s="364" t="s">
        <v>26</v>
      </c>
      <c r="C5088" s="365" t="s">
        <v>709</v>
      </c>
      <c r="D5088" s="364" t="s">
        <v>710</v>
      </c>
      <c r="E5088" s="366">
        <v>1.0</v>
      </c>
      <c r="F5088" s="367">
        <v>45916.45833333333</v>
      </c>
      <c r="G5088" s="364" t="s">
        <v>1185</v>
      </c>
      <c r="H5088" s="364" t="s">
        <v>1224</v>
      </c>
    </row>
    <row r="5089" ht="15.75" customHeight="1">
      <c r="A5089" s="364" t="s">
        <v>89</v>
      </c>
      <c r="B5089" s="364" t="s">
        <v>26</v>
      </c>
      <c r="C5089" s="365" t="s">
        <v>709</v>
      </c>
      <c r="D5089" s="364" t="s">
        <v>710</v>
      </c>
      <c r="E5089" s="366">
        <v>2.0</v>
      </c>
      <c r="F5089" s="367">
        <v>45925.54166666667</v>
      </c>
      <c r="G5089" s="364" t="s">
        <v>1185</v>
      </c>
      <c r="H5089" s="364" t="s">
        <v>1224</v>
      </c>
    </row>
    <row r="5090" ht="15.75" customHeight="1">
      <c r="A5090" s="364" t="s">
        <v>89</v>
      </c>
      <c r="B5090" s="364" t="s">
        <v>26</v>
      </c>
      <c r="C5090" s="365" t="s">
        <v>709</v>
      </c>
      <c r="D5090" s="364" t="s">
        <v>710</v>
      </c>
      <c r="E5090" s="366">
        <v>3.0</v>
      </c>
      <c r="F5090" s="367">
        <v>45931.58333333333</v>
      </c>
      <c r="G5090" s="364" t="s">
        <v>1185</v>
      </c>
      <c r="H5090" s="364" t="s">
        <v>1224</v>
      </c>
    </row>
    <row r="5091" ht="15.75" customHeight="1">
      <c r="A5091" s="364" t="s">
        <v>89</v>
      </c>
      <c r="B5091" s="364" t="s">
        <v>26</v>
      </c>
      <c r="C5091" s="365" t="s">
        <v>709</v>
      </c>
      <c r="D5091" s="364" t="s">
        <v>710</v>
      </c>
      <c r="E5091" s="366">
        <v>4.0</v>
      </c>
      <c r="F5091" s="367">
        <v>45938.54166666667</v>
      </c>
      <c r="G5091" s="364" t="s">
        <v>1185</v>
      </c>
      <c r="H5091" s="364" t="s">
        <v>1224</v>
      </c>
    </row>
    <row r="5092" ht="15.75" customHeight="1">
      <c r="A5092" s="364" t="s">
        <v>89</v>
      </c>
      <c r="B5092" s="364" t="s">
        <v>26</v>
      </c>
      <c r="C5092" s="365" t="s">
        <v>709</v>
      </c>
      <c r="D5092" s="364" t="s">
        <v>710</v>
      </c>
      <c r="E5092" s="366">
        <v>5.0</v>
      </c>
      <c r="F5092" s="367">
        <v>45953.54166666667</v>
      </c>
      <c r="G5092" s="364" t="s">
        <v>1185</v>
      </c>
      <c r="H5092" s="364" t="s">
        <v>1224</v>
      </c>
    </row>
    <row r="5093" ht="15.75" customHeight="1">
      <c r="A5093" s="364" t="s">
        <v>89</v>
      </c>
      <c r="B5093" s="364" t="s">
        <v>26</v>
      </c>
      <c r="C5093" s="365" t="s">
        <v>709</v>
      </c>
      <c r="D5093" s="364" t="s">
        <v>710</v>
      </c>
      <c r="E5093" s="366">
        <v>6.0</v>
      </c>
      <c r="F5093" s="367">
        <v>45960.54166666667</v>
      </c>
      <c r="G5093" s="364" t="s">
        <v>1185</v>
      </c>
      <c r="H5093" s="364" t="s">
        <v>1224</v>
      </c>
    </row>
    <row r="5094" ht="15.75" customHeight="1">
      <c r="A5094" s="364" t="s">
        <v>89</v>
      </c>
      <c r="B5094" s="364" t="s">
        <v>26</v>
      </c>
      <c r="C5094" s="365" t="s">
        <v>709</v>
      </c>
      <c r="D5094" s="364" t="s">
        <v>710</v>
      </c>
      <c r="E5094" s="366">
        <v>7.0</v>
      </c>
      <c r="F5094" s="367">
        <v>45967.54166666667</v>
      </c>
      <c r="G5094" s="364" t="s">
        <v>1185</v>
      </c>
      <c r="H5094" s="364" t="s">
        <v>1224</v>
      </c>
    </row>
    <row r="5095" ht="15.75" customHeight="1">
      <c r="A5095" s="364" t="s">
        <v>89</v>
      </c>
      <c r="B5095" s="364" t="s">
        <v>26</v>
      </c>
      <c r="C5095" s="365" t="s">
        <v>709</v>
      </c>
      <c r="D5095" s="364" t="s">
        <v>710</v>
      </c>
      <c r="E5095" s="366">
        <v>8.0</v>
      </c>
      <c r="F5095" s="367">
        <v>45982.54166666667</v>
      </c>
      <c r="G5095" s="364" t="s">
        <v>1185</v>
      </c>
      <c r="H5095" s="364" t="s">
        <v>1224</v>
      </c>
    </row>
    <row r="5096" ht="15.75" customHeight="1">
      <c r="A5096" s="364" t="s">
        <v>89</v>
      </c>
      <c r="B5096" s="364" t="s">
        <v>26</v>
      </c>
      <c r="C5096" s="365" t="s">
        <v>709</v>
      </c>
      <c r="D5096" s="364" t="s">
        <v>710</v>
      </c>
      <c r="E5096" s="366">
        <v>9.0</v>
      </c>
      <c r="F5096" s="367">
        <v>45989.54166666667</v>
      </c>
      <c r="G5096" s="364" t="s">
        <v>1185</v>
      </c>
      <c r="H5096" s="364" t="s">
        <v>1224</v>
      </c>
    </row>
    <row r="5097" ht="15.75" customHeight="1">
      <c r="A5097" s="364" t="s">
        <v>89</v>
      </c>
      <c r="B5097" s="364" t="s">
        <v>26</v>
      </c>
      <c r="C5097" s="365" t="s">
        <v>709</v>
      </c>
      <c r="D5097" s="364" t="s">
        <v>710</v>
      </c>
      <c r="E5097" s="366">
        <v>10.0</v>
      </c>
      <c r="F5097" s="367">
        <v>45996.54166666667</v>
      </c>
      <c r="G5097" s="364" t="s">
        <v>1185</v>
      </c>
      <c r="H5097" s="364" t="s">
        <v>1224</v>
      </c>
    </row>
    <row r="5098" ht="15.75" customHeight="1">
      <c r="A5098" s="364" t="s">
        <v>89</v>
      </c>
      <c r="B5098" s="364" t="s">
        <v>26</v>
      </c>
      <c r="C5098" s="365" t="s">
        <v>709</v>
      </c>
      <c r="D5098" s="364" t="s">
        <v>710</v>
      </c>
      <c r="E5098" s="366">
        <v>11.0</v>
      </c>
      <c r="F5098" s="367">
        <v>46010.54166666667</v>
      </c>
      <c r="G5098" s="364" t="s">
        <v>1185</v>
      </c>
      <c r="H5098" s="364" t="s">
        <v>1224</v>
      </c>
    </row>
    <row r="5099" ht="15.75" customHeight="1">
      <c r="A5099" s="364" t="s">
        <v>89</v>
      </c>
      <c r="B5099" s="364" t="s">
        <v>26</v>
      </c>
      <c r="C5099" s="365" t="s">
        <v>709</v>
      </c>
      <c r="D5099" s="364" t="s">
        <v>710</v>
      </c>
      <c r="E5099" s="366">
        <v>12.0</v>
      </c>
      <c r="F5099" s="367">
        <v>46038.54166666667</v>
      </c>
      <c r="G5099" s="364" t="s">
        <v>1185</v>
      </c>
      <c r="H5099" s="364" t="s">
        <v>1224</v>
      </c>
    </row>
    <row r="5100" ht="15.75" customHeight="1">
      <c r="A5100" s="364" t="s">
        <v>89</v>
      </c>
      <c r="B5100" s="364" t="s">
        <v>26</v>
      </c>
      <c r="C5100" s="365" t="s">
        <v>709</v>
      </c>
      <c r="D5100" s="364" t="s">
        <v>710</v>
      </c>
      <c r="E5100" s="366">
        <v>13.0</v>
      </c>
      <c r="F5100" s="367">
        <v>46049.58333333333</v>
      </c>
      <c r="G5100" s="364" t="s">
        <v>1185</v>
      </c>
      <c r="H5100" s="364" t="s">
        <v>1224</v>
      </c>
    </row>
    <row r="5101" ht="15.75" customHeight="1">
      <c r="A5101" s="364" t="s">
        <v>89</v>
      </c>
      <c r="B5101" s="364" t="s">
        <v>26</v>
      </c>
      <c r="C5101" s="365" t="s">
        <v>709</v>
      </c>
      <c r="D5101" s="364" t="s">
        <v>710</v>
      </c>
      <c r="E5101" s="366">
        <v>14.0</v>
      </c>
      <c r="F5101" s="367">
        <v>46049.58333333333</v>
      </c>
      <c r="G5101" s="364" t="s">
        <v>1185</v>
      </c>
      <c r="H5101" s="364" t="s">
        <v>1224</v>
      </c>
    </row>
    <row r="5102" ht="15.75" customHeight="1">
      <c r="A5102" s="364" t="s">
        <v>89</v>
      </c>
      <c r="B5102" s="364" t="s">
        <v>26</v>
      </c>
      <c r="C5102" s="365" t="s">
        <v>709</v>
      </c>
      <c r="D5102" s="364" t="s">
        <v>710</v>
      </c>
      <c r="E5102" s="366">
        <v>15.0</v>
      </c>
      <c r="F5102" s="367">
        <v>46052.54166666667</v>
      </c>
      <c r="G5102" s="364" t="s">
        <v>1185</v>
      </c>
      <c r="H5102" s="364" t="s">
        <v>1224</v>
      </c>
    </row>
    <row r="5103" ht="15.75" customHeight="1">
      <c r="A5103" s="364" t="s">
        <v>89</v>
      </c>
      <c r="B5103" s="364" t="s">
        <v>26</v>
      </c>
      <c r="C5103" s="365" t="s">
        <v>709</v>
      </c>
      <c r="D5103" s="364" t="s">
        <v>710</v>
      </c>
      <c r="E5103" s="366">
        <v>16.0</v>
      </c>
      <c r="F5103" s="367">
        <v>46108.54166666667</v>
      </c>
      <c r="G5103" s="364" t="s">
        <v>1185</v>
      </c>
      <c r="H5103" s="364" t="s">
        <v>1224</v>
      </c>
    </row>
    <row r="5104" ht="15.75" customHeight="1">
      <c r="A5104" s="364" t="s">
        <v>89</v>
      </c>
      <c r="B5104" s="364" t="s">
        <v>26</v>
      </c>
      <c r="C5104" s="365" t="s">
        <v>637</v>
      </c>
      <c r="D5104" s="364" t="s">
        <v>638</v>
      </c>
      <c r="E5104" s="366">
        <v>1.0</v>
      </c>
      <c r="F5104" s="367">
        <v>45916.45833333333</v>
      </c>
      <c r="G5104" s="364" t="s">
        <v>1185</v>
      </c>
      <c r="H5104" s="364" t="s">
        <v>1224</v>
      </c>
    </row>
    <row r="5105" ht="15.75" customHeight="1">
      <c r="A5105" s="364" t="s">
        <v>89</v>
      </c>
      <c r="B5105" s="364" t="s">
        <v>26</v>
      </c>
      <c r="C5105" s="365" t="s">
        <v>637</v>
      </c>
      <c r="D5105" s="364" t="s">
        <v>638</v>
      </c>
      <c r="E5105" s="366">
        <v>2.0</v>
      </c>
      <c r="F5105" s="367">
        <v>45925.54166666667</v>
      </c>
      <c r="G5105" s="364" t="s">
        <v>1185</v>
      </c>
      <c r="H5105" s="364" t="s">
        <v>1224</v>
      </c>
    </row>
    <row r="5106" ht="15.75" customHeight="1">
      <c r="A5106" s="364" t="s">
        <v>89</v>
      </c>
      <c r="B5106" s="364" t="s">
        <v>26</v>
      </c>
      <c r="C5106" s="365" t="s">
        <v>637</v>
      </c>
      <c r="D5106" s="364" t="s">
        <v>638</v>
      </c>
      <c r="E5106" s="366">
        <v>3.0</v>
      </c>
      <c r="F5106" s="367">
        <v>45931.58333333333</v>
      </c>
      <c r="G5106" s="364" t="s">
        <v>1185</v>
      </c>
      <c r="H5106" s="364" t="s">
        <v>1224</v>
      </c>
    </row>
    <row r="5107" ht="15.75" customHeight="1">
      <c r="A5107" s="364" t="s">
        <v>89</v>
      </c>
      <c r="B5107" s="364" t="s">
        <v>26</v>
      </c>
      <c r="C5107" s="365" t="s">
        <v>637</v>
      </c>
      <c r="D5107" s="364" t="s">
        <v>638</v>
      </c>
      <c r="E5107" s="366">
        <v>4.0</v>
      </c>
      <c r="F5107" s="367">
        <v>45938.54166666667</v>
      </c>
      <c r="G5107" s="364" t="s">
        <v>1185</v>
      </c>
      <c r="H5107" s="364" t="s">
        <v>1224</v>
      </c>
    </row>
    <row r="5108" ht="15.75" customHeight="1">
      <c r="A5108" s="364" t="s">
        <v>89</v>
      </c>
      <c r="B5108" s="364" t="s">
        <v>26</v>
      </c>
      <c r="C5108" s="365" t="s">
        <v>637</v>
      </c>
      <c r="D5108" s="364" t="s">
        <v>638</v>
      </c>
      <c r="E5108" s="366">
        <v>5.0</v>
      </c>
      <c r="F5108" s="367">
        <v>45953.54166666667</v>
      </c>
      <c r="G5108" s="364" t="s">
        <v>1185</v>
      </c>
      <c r="H5108" s="364" t="s">
        <v>1224</v>
      </c>
    </row>
    <row r="5109" ht="15.75" customHeight="1">
      <c r="A5109" s="364" t="s">
        <v>89</v>
      </c>
      <c r="B5109" s="364" t="s">
        <v>26</v>
      </c>
      <c r="C5109" s="365" t="s">
        <v>637</v>
      </c>
      <c r="D5109" s="364" t="s">
        <v>638</v>
      </c>
      <c r="E5109" s="366">
        <v>6.0</v>
      </c>
      <c r="F5109" s="367">
        <v>45960.54166666667</v>
      </c>
      <c r="G5109" s="364" t="s">
        <v>1185</v>
      </c>
      <c r="H5109" s="364" t="s">
        <v>1224</v>
      </c>
    </row>
    <row r="5110" ht="15.75" customHeight="1">
      <c r="A5110" s="364" t="s">
        <v>89</v>
      </c>
      <c r="B5110" s="364" t="s">
        <v>26</v>
      </c>
      <c r="C5110" s="365" t="s">
        <v>637</v>
      </c>
      <c r="D5110" s="364" t="s">
        <v>638</v>
      </c>
      <c r="E5110" s="366">
        <v>7.0</v>
      </c>
      <c r="F5110" s="367">
        <v>45967.54166666667</v>
      </c>
      <c r="G5110" s="364" t="s">
        <v>1185</v>
      </c>
      <c r="H5110" s="364" t="s">
        <v>1224</v>
      </c>
    </row>
    <row r="5111" ht="15.75" customHeight="1">
      <c r="A5111" s="364" t="s">
        <v>89</v>
      </c>
      <c r="B5111" s="364" t="s">
        <v>26</v>
      </c>
      <c r="C5111" s="365" t="s">
        <v>637</v>
      </c>
      <c r="D5111" s="364" t="s">
        <v>638</v>
      </c>
      <c r="E5111" s="366">
        <v>8.0</v>
      </c>
      <c r="F5111" s="367">
        <v>45982.54166666667</v>
      </c>
      <c r="G5111" s="364" t="s">
        <v>1185</v>
      </c>
      <c r="H5111" s="364" t="s">
        <v>1224</v>
      </c>
    </row>
    <row r="5112" ht="15.75" customHeight="1">
      <c r="A5112" s="364" t="s">
        <v>89</v>
      </c>
      <c r="B5112" s="364" t="s">
        <v>26</v>
      </c>
      <c r="C5112" s="365" t="s">
        <v>637</v>
      </c>
      <c r="D5112" s="364" t="s">
        <v>638</v>
      </c>
      <c r="E5112" s="366">
        <v>9.0</v>
      </c>
      <c r="F5112" s="367">
        <v>45989.54166666667</v>
      </c>
      <c r="G5112" s="364" t="s">
        <v>1185</v>
      </c>
      <c r="H5112" s="364" t="s">
        <v>1224</v>
      </c>
    </row>
    <row r="5113" ht="15.75" customHeight="1">
      <c r="A5113" s="364" t="s">
        <v>89</v>
      </c>
      <c r="B5113" s="364" t="s">
        <v>26</v>
      </c>
      <c r="C5113" s="365" t="s">
        <v>637</v>
      </c>
      <c r="D5113" s="364" t="s">
        <v>638</v>
      </c>
      <c r="E5113" s="366">
        <v>10.0</v>
      </c>
      <c r="F5113" s="367">
        <v>45996.54166666667</v>
      </c>
      <c r="G5113" s="364" t="s">
        <v>1185</v>
      </c>
      <c r="H5113" s="364" t="s">
        <v>1224</v>
      </c>
    </row>
    <row r="5114" ht="15.75" customHeight="1">
      <c r="A5114" s="364" t="s">
        <v>89</v>
      </c>
      <c r="B5114" s="364" t="s">
        <v>26</v>
      </c>
      <c r="C5114" s="365" t="s">
        <v>637</v>
      </c>
      <c r="D5114" s="364" t="s">
        <v>638</v>
      </c>
      <c r="E5114" s="366">
        <v>11.0</v>
      </c>
      <c r="F5114" s="367">
        <v>46010.54166666667</v>
      </c>
      <c r="G5114" s="364" t="s">
        <v>1185</v>
      </c>
      <c r="H5114" s="364" t="s">
        <v>1224</v>
      </c>
    </row>
    <row r="5115" ht="15.75" customHeight="1">
      <c r="A5115" s="364" t="s">
        <v>89</v>
      </c>
      <c r="B5115" s="364" t="s">
        <v>26</v>
      </c>
      <c r="C5115" s="365" t="s">
        <v>637</v>
      </c>
      <c r="D5115" s="364" t="s">
        <v>638</v>
      </c>
      <c r="E5115" s="366">
        <v>12.0</v>
      </c>
      <c r="F5115" s="367">
        <v>46038.54166666667</v>
      </c>
      <c r="G5115" s="364" t="s">
        <v>1187</v>
      </c>
      <c r="H5115" s="364" t="s">
        <v>1224</v>
      </c>
    </row>
    <row r="5116" ht="15.75" customHeight="1">
      <c r="A5116" s="364" t="s">
        <v>89</v>
      </c>
      <c r="B5116" s="364" t="s">
        <v>26</v>
      </c>
      <c r="C5116" s="365" t="s">
        <v>637</v>
      </c>
      <c r="D5116" s="364" t="s">
        <v>638</v>
      </c>
      <c r="E5116" s="366">
        <v>13.0</v>
      </c>
      <c r="F5116" s="367">
        <v>46049.58333333333</v>
      </c>
      <c r="G5116" s="364" t="s">
        <v>1187</v>
      </c>
      <c r="H5116" s="364" t="s">
        <v>1224</v>
      </c>
    </row>
    <row r="5117" ht="15.75" customHeight="1">
      <c r="A5117" s="364" t="s">
        <v>89</v>
      </c>
      <c r="B5117" s="364" t="s">
        <v>26</v>
      </c>
      <c r="C5117" s="365" t="s">
        <v>637</v>
      </c>
      <c r="D5117" s="364" t="s">
        <v>638</v>
      </c>
      <c r="E5117" s="366">
        <v>14.0</v>
      </c>
      <c r="F5117" s="367">
        <v>46049.58333333333</v>
      </c>
      <c r="G5117" s="364" t="s">
        <v>1187</v>
      </c>
      <c r="H5117" s="364" t="s">
        <v>1224</v>
      </c>
    </row>
    <row r="5118" ht="15.75" customHeight="1">
      <c r="A5118" s="364" t="s">
        <v>89</v>
      </c>
      <c r="B5118" s="364" t="s">
        <v>26</v>
      </c>
      <c r="C5118" s="365" t="s">
        <v>637</v>
      </c>
      <c r="D5118" s="364" t="s">
        <v>638</v>
      </c>
      <c r="E5118" s="366">
        <v>15.0</v>
      </c>
      <c r="F5118" s="367">
        <v>46052.54166666667</v>
      </c>
      <c r="G5118" s="364" t="s">
        <v>1187</v>
      </c>
      <c r="H5118" s="364" t="s">
        <v>1224</v>
      </c>
    </row>
    <row r="5119" ht="15.75" customHeight="1">
      <c r="A5119" s="364" t="s">
        <v>89</v>
      </c>
      <c r="B5119" s="364" t="s">
        <v>26</v>
      </c>
      <c r="C5119" s="365" t="s">
        <v>637</v>
      </c>
      <c r="D5119" s="364" t="s">
        <v>638</v>
      </c>
      <c r="E5119" s="366">
        <v>16.0</v>
      </c>
      <c r="F5119" s="367">
        <v>46108.54166666667</v>
      </c>
      <c r="G5119" s="364" t="s">
        <v>1187</v>
      </c>
      <c r="H5119" s="364" t="s">
        <v>1224</v>
      </c>
    </row>
    <row r="5120" ht="15.75" customHeight="1">
      <c r="A5120" s="364" t="s">
        <v>89</v>
      </c>
      <c r="B5120" s="364" t="s">
        <v>26</v>
      </c>
      <c r="C5120" s="365" t="s">
        <v>711</v>
      </c>
      <c r="D5120" s="364" t="s">
        <v>712</v>
      </c>
      <c r="E5120" s="366">
        <v>1.0</v>
      </c>
      <c r="F5120" s="367">
        <v>45916.45833333333</v>
      </c>
      <c r="G5120" s="364" t="s">
        <v>1185</v>
      </c>
      <c r="H5120" s="364" t="s">
        <v>1224</v>
      </c>
    </row>
    <row r="5121" ht="15.75" customHeight="1">
      <c r="A5121" s="364" t="s">
        <v>89</v>
      </c>
      <c r="B5121" s="364" t="s">
        <v>26</v>
      </c>
      <c r="C5121" s="365" t="s">
        <v>711</v>
      </c>
      <c r="D5121" s="364" t="s">
        <v>712</v>
      </c>
      <c r="E5121" s="366">
        <v>2.0</v>
      </c>
      <c r="F5121" s="367">
        <v>45925.54166666667</v>
      </c>
      <c r="G5121" s="364" t="s">
        <v>1185</v>
      </c>
      <c r="H5121" s="364" t="s">
        <v>1224</v>
      </c>
    </row>
    <row r="5122" ht="15.75" customHeight="1">
      <c r="A5122" s="364" t="s">
        <v>89</v>
      </c>
      <c r="B5122" s="364" t="s">
        <v>26</v>
      </c>
      <c r="C5122" s="365" t="s">
        <v>711</v>
      </c>
      <c r="D5122" s="364" t="s">
        <v>712</v>
      </c>
      <c r="E5122" s="366">
        <v>3.0</v>
      </c>
      <c r="F5122" s="367">
        <v>45931.58333333333</v>
      </c>
      <c r="G5122" s="364" t="s">
        <v>1185</v>
      </c>
      <c r="H5122" s="364" t="s">
        <v>1224</v>
      </c>
    </row>
    <row r="5123" ht="15.75" customHeight="1">
      <c r="A5123" s="364" t="s">
        <v>89</v>
      </c>
      <c r="B5123" s="364" t="s">
        <v>26</v>
      </c>
      <c r="C5123" s="365" t="s">
        <v>711</v>
      </c>
      <c r="D5123" s="364" t="s">
        <v>712</v>
      </c>
      <c r="E5123" s="366">
        <v>4.0</v>
      </c>
      <c r="F5123" s="367">
        <v>45938.54166666667</v>
      </c>
      <c r="G5123" s="364" t="s">
        <v>1187</v>
      </c>
      <c r="H5123" s="364" t="s">
        <v>1224</v>
      </c>
    </row>
    <row r="5124" ht="15.75" customHeight="1">
      <c r="A5124" s="364" t="s">
        <v>89</v>
      </c>
      <c r="B5124" s="364" t="s">
        <v>26</v>
      </c>
      <c r="C5124" s="365" t="s">
        <v>711</v>
      </c>
      <c r="D5124" s="364" t="s">
        <v>712</v>
      </c>
      <c r="E5124" s="366">
        <v>5.0</v>
      </c>
      <c r="F5124" s="367">
        <v>45953.54166666667</v>
      </c>
      <c r="G5124" s="364" t="s">
        <v>1185</v>
      </c>
      <c r="H5124" s="364" t="s">
        <v>1224</v>
      </c>
    </row>
    <row r="5125" ht="15.75" customHeight="1">
      <c r="A5125" s="364" t="s">
        <v>89</v>
      </c>
      <c r="B5125" s="364" t="s">
        <v>26</v>
      </c>
      <c r="C5125" s="365" t="s">
        <v>711</v>
      </c>
      <c r="D5125" s="364" t="s">
        <v>712</v>
      </c>
      <c r="E5125" s="366">
        <v>6.0</v>
      </c>
      <c r="F5125" s="367">
        <v>45960.54166666667</v>
      </c>
      <c r="G5125" s="364" t="s">
        <v>1185</v>
      </c>
      <c r="H5125" s="364" t="s">
        <v>1224</v>
      </c>
    </row>
    <row r="5126" ht="15.75" customHeight="1">
      <c r="A5126" s="364" t="s">
        <v>89</v>
      </c>
      <c r="B5126" s="364" t="s">
        <v>26</v>
      </c>
      <c r="C5126" s="365" t="s">
        <v>711</v>
      </c>
      <c r="D5126" s="364" t="s">
        <v>712</v>
      </c>
      <c r="E5126" s="366">
        <v>7.0</v>
      </c>
      <c r="F5126" s="367">
        <v>45967.54166666667</v>
      </c>
      <c r="G5126" s="364" t="s">
        <v>1185</v>
      </c>
      <c r="H5126" s="364" t="s">
        <v>1224</v>
      </c>
    </row>
    <row r="5127" ht="15.75" customHeight="1">
      <c r="A5127" s="364" t="s">
        <v>89</v>
      </c>
      <c r="B5127" s="364" t="s">
        <v>26</v>
      </c>
      <c r="C5127" s="365" t="s">
        <v>711</v>
      </c>
      <c r="D5127" s="364" t="s">
        <v>712</v>
      </c>
      <c r="E5127" s="366">
        <v>8.0</v>
      </c>
      <c r="F5127" s="367">
        <v>45982.54166666667</v>
      </c>
      <c r="G5127" s="364" t="s">
        <v>1185</v>
      </c>
      <c r="H5127" s="364" t="s">
        <v>1224</v>
      </c>
    </row>
    <row r="5128" ht="15.75" customHeight="1">
      <c r="A5128" s="364" t="s">
        <v>89</v>
      </c>
      <c r="B5128" s="364" t="s">
        <v>26</v>
      </c>
      <c r="C5128" s="365" t="s">
        <v>711</v>
      </c>
      <c r="D5128" s="364" t="s">
        <v>712</v>
      </c>
      <c r="E5128" s="366">
        <v>9.0</v>
      </c>
      <c r="F5128" s="367">
        <v>45989.54166666667</v>
      </c>
      <c r="G5128" s="364" t="s">
        <v>1185</v>
      </c>
      <c r="H5128" s="364" t="s">
        <v>1224</v>
      </c>
    </row>
    <row r="5129" ht="15.75" customHeight="1">
      <c r="A5129" s="364" t="s">
        <v>89</v>
      </c>
      <c r="B5129" s="364" t="s">
        <v>26</v>
      </c>
      <c r="C5129" s="365" t="s">
        <v>711</v>
      </c>
      <c r="D5129" s="364" t="s">
        <v>712</v>
      </c>
      <c r="E5129" s="366">
        <v>10.0</v>
      </c>
      <c r="F5129" s="367">
        <v>45996.54166666667</v>
      </c>
      <c r="G5129" s="364" t="s">
        <v>1185</v>
      </c>
      <c r="H5129" s="364" t="s">
        <v>1224</v>
      </c>
    </row>
    <row r="5130" ht="15.75" customHeight="1">
      <c r="A5130" s="364" t="s">
        <v>89</v>
      </c>
      <c r="B5130" s="364" t="s">
        <v>26</v>
      </c>
      <c r="C5130" s="365" t="s">
        <v>711</v>
      </c>
      <c r="D5130" s="364" t="s">
        <v>712</v>
      </c>
      <c r="E5130" s="366">
        <v>11.0</v>
      </c>
      <c r="F5130" s="367">
        <v>46010.54166666667</v>
      </c>
      <c r="G5130" s="364" t="s">
        <v>1185</v>
      </c>
      <c r="H5130" s="364" t="s">
        <v>1224</v>
      </c>
    </row>
    <row r="5131" ht="15.75" customHeight="1">
      <c r="A5131" s="364" t="s">
        <v>89</v>
      </c>
      <c r="B5131" s="364" t="s">
        <v>26</v>
      </c>
      <c r="C5131" s="365" t="s">
        <v>711</v>
      </c>
      <c r="D5131" s="364" t="s">
        <v>712</v>
      </c>
      <c r="E5131" s="366">
        <v>12.0</v>
      </c>
      <c r="F5131" s="367">
        <v>46038.54166666667</v>
      </c>
      <c r="G5131" s="364" t="s">
        <v>1185</v>
      </c>
      <c r="H5131" s="364" t="s">
        <v>1224</v>
      </c>
    </row>
    <row r="5132" ht="15.75" customHeight="1">
      <c r="A5132" s="364" t="s">
        <v>89</v>
      </c>
      <c r="B5132" s="364" t="s">
        <v>26</v>
      </c>
      <c r="C5132" s="365" t="s">
        <v>711</v>
      </c>
      <c r="D5132" s="364" t="s">
        <v>712</v>
      </c>
      <c r="E5132" s="366">
        <v>13.0</v>
      </c>
      <c r="F5132" s="367">
        <v>46049.58333333333</v>
      </c>
      <c r="G5132" s="364" t="s">
        <v>1185</v>
      </c>
      <c r="H5132" s="364" t="s">
        <v>1224</v>
      </c>
    </row>
    <row r="5133" ht="15.75" customHeight="1">
      <c r="A5133" s="364" t="s">
        <v>89</v>
      </c>
      <c r="B5133" s="364" t="s">
        <v>26</v>
      </c>
      <c r="C5133" s="365" t="s">
        <v>711</v>
      </c>
      <c r="D5133" s="364" t="s">
        <v>712</v>
      </c>
      <c r="E5133" s="366">
        <v>14.0</v>
      </c>
      <c r="F5133" s="367">
        <v>46049.58333333333</v>
      </c>
      <c r="G5133" s="364" t="s">
        <v>1185</v>
      </c>
      <c r="H5133" s="364" t="s">
        <v>1224</v>
      </c>
    </row>
    <row r="5134" ht="15.75" customHeight="1">
      <c r="A5134" s="364" t="s">
        <v>89</v>
      </c>
      <c r="B5134" s="364" t="s">
        <v>26</v>
      </c>
      <c r="C5134" s="365" t="s">
        <v>711</v>
      </c>
      <c r="D5134" s="364" t="s">
        <v>712</v>
      </c>
      <c r="E5134" s="366">
        <v>15.0</v>
      </c>
      <c r="F5134" s="367">
        <v>46052.54166666667</v>
      </c>
      <c r="G5134" s="364" t="s">
        <v>1185</v>
      </c>
      <c r="H5134" s="364" t="s">
        <v>1224</v>
      </c>
    </row>
    <row r="5135" ht="15.75" customHeight="1">
      <c r="A5135" s="364" t="s">
        <v>89</v>
      </c>
      <c r="B5135" s="364" t="s">
        <v>26</v>
      </c>
      <c r="C5135" s="365" t="s">
        <v>711</v>
      </c>
      <c r="D5135" s="364" t="s">
        <v>712</v>
      </c>
      <c r="E5135" s="366">
        <v>16.0</v>
      </c>
      <c r="F5135" s="367">
        <v>46108.54166666667</v>
      </c>
      <c r="G5135" s="364" t="s">
        <v>1185</v>
      </c>
      <c r="H5135" s="364" t="s">
        <v>1224</v>
      </c>
    </row>
    <row r="5136" ht="15.75" customHeight="1">
      <c r="A5136" s="364" t="s">
        <v>89</v>
      </c>
      <c r="B5136" s="364" t="s">
        <v>26</v>
      </c>
      <c r="C5136" s="365" t="s">
        <v>715</v>
      </c>
      <c r="D5136" s="364" t="s">
        <v>716</v>
      </c>
      <c r="E5136" s="366">
        <v>1.0</v>
      </c>
      <c r="F5136" s="367">
        <v>45916.45833333333</v>
      </c>
      <c r="G5136" s="364" t="s">
        <v>1185</v>
      </c>
      <c r="H5136" s="364" t="s">
        <v>1224</v>
      </c>
    </row>
    <row r="5137" ht="15.75" customHeight="1">
      <c r="A5137" s="364" t="s">
        <v>89</v>
      </c>
      <c r="B5137" s="364" t="s">
        <v>26</v>
      </c>
      <c r="C5137" s="365" t="s">
        <v>715</v>
      </c>
      <c r="D5137" s="364" t="s">
        <v>716</v>
      </c>
      <c r="E5137" s="366">
        <v>2.0</v>
      </c>
      <c r="F5137" s="367">
        <v>45925.54166666667</v>
      </c>
      <c r="G5137" s="364" t="s">
        <v>1187</v>
      </c>
      <c r="H5137" s="364" t="s">
        <v>1224</v>
      </c>
    </row>
    <row r="5138" ht="15.75" customHeight="1">
      <c r="A5138" s="364" t="s">
        <v>89</v>
      </c>
      <c r="B5138" s="364" t="s">
        <v>26</v>
      </c>
      <c r="C5138" s="365" t="s">
        <v>715</v>
      </c>
      <c r="D5138" s="364" t="s">
        <v>716</v>
      </c>
      <c r="E5138" s="366">
        <v>3.0</v>
      </c>
      <c r="F5138" s="367">
        <v>45931.58333333333</v>
      </c>
      <c r="G5138" s="364" t="s">
        <v>1185</v>
      </c>
      <c r="H5138" s="364" t="s">
        <v>1224</v>
      </c>
    </row>
    <row r="5139" ht="15.75" customHeight="1">
      <c r="A5139" s="364" t="s">
        <v>89</v>
      </c>
      <c r="B5139" s="364" t="s">
        <v>26</v>
      </c>
      <c r="C5139" s="365" t="s">
        <v>715</v>
      </c>
      <c r="D5139" s="364" t="s">
        <v>716</v>
      </c>
      <c r="E5139" s="366">
        <v>4.0</v>
      </c>
      <c r="F5139" s="367">
        <v>45938.54166666667</v>
      </c>
      <c r="G5139" s="364" t="s">
        <v>1185</v>
      </c>
      <c r="H5139" s="364" t="s">
        <v>1224</v>
      </c>
    </row>
    <row r="5140" ht="15.75" customHeight="1">
      <c r="A5140" s="364" t="s">
        <v>89</v>
      </c>
      <c r="B5140" s="364" t="s">
        <v>26</v>
      </c>
      <c r="C5140" s="365" t="s">
        <v>715</v>
      </c>
      <c r="D5140" s="364" t="s">
        <v>716</v>
      </c>
      <c r="E5140" s="366">
        <v>5.0</v>
      </c>
      <c r="F5140" s="367">
        <v>45953.54166666667</v>
      </c>
      <c r="G5140" s="364" t="s">
        <v>1185</v>
      </c>
      <c r="H5140" s="364" t="s">
        <v>1224</v>
      </c>
    </row>
    <row r="5141" ht="15.75" customHeight="1">
      <c r="A5141" s="364" t="s">
        <v>89</v>
      </c>
      <c r="B5141" s="364" t="s">
        <v>26</v>
      </c>
      <c r="C5141" s="365" t="s">
        <v>715</v>
      </c>
      <c r="D5141" s="364" t="s">
        <v>716</v>
      </c>
      <c r="E5141" s="366">
        <v>6.0</v>
      </c>
      <c r="F5141" s="367">
        <v>45960.54166666667</v>
      </c>
      <c r="G5141" s="364" t="s">
        <v>1187</v>
      </c>
      <c r="H5141" s="364" t="s">
        <v>1224</v>
      </c>
    </row>
    <row r="5142" ht="15.75" customHeight="1">
      <c r="A5142" s="364" t="s">
        <v>89</v>
      </c>
      <c r="B5142" s="364" t="s">
        <v>26</v>
      </c>
      <c r="C5142" s="365" t="s">
        <v>715</v>
      </c>
      <c r="D5142" s="364" t="s">
        <v>716</v>
      </c>
      <c r="E5142" s="366">
        <v>7.0</v>
      </c>
      <c r="F5142" s="367">
        <v>45967.54166666667</v>
      </c>
      <c r="G5142" s="364" t="s">
        <v>1185</v>
      </c>
      <c r="H5142" s="364" t="s">
        <v>1224</v>
      </c>
    </row>
    <row r="5143" ht="15.75" customHeight="1">
      <c r="A5143" s="364" t="s">
        <v>89</v>
      </c>
      <c r="B5143" s="364" t="s">
        <v>26</v>
      </c>
      <c r="C5143" s="365" t="s">
        <v>715</v>
      </c>
      <c r="D5143" s="364" t="s">
        <v>716</v>
      </c>
      <c r="E5143" s="366">
        <v>8.0</v>
      </c>
      <c r="F5143" s="367">
        <v>45982.54166666667</v>
      </c>
      <c r="G5143" s="364" t="s">
        <v>1185</v>
      </c>
      <c r="H5143" s="364" t="s">
        <v>1224</v>
      </c>
    </row>
    <row r="5144" ht="15.75" customHeight="1">
      <c r="A5144" s="364" t="s">
        <v>89</v>
      </c>
      <c r="B5144" s="364" t="s">
        <v>26</v>
      </c>
      <c r="C5144" s="365" t="s">
        <v>715</v>
      </c>
      <c r="D5144" s="364" t="s">
        <v>716</v>
      </c>
      <c r="E5144" s="366">
        <v>9.0</v>
      </c>
      <c r="F5144" s="367">
        <v>45989.54166666667</v>
      </c>
      <c r="G5144" s="364" t="s">
        <v>1185</v>
      </c>
      <c r="H5144" s="364" t="s">
        <v>1224</v>
      </c>
    </row>
    <row r="5145" ht="15.75" customHeight="1">
      <c r="A5145" s="364" t="s">
        <v>89</v>
      </c>
      <c r="B5145" s="364" t="s">
        <v>26</v>
      </c>
      <c r="C5145" s="365" t="s">
        <v>715</v>
      </c>
      <c r="D5145" s="364" t="s">
        <v>716</v>
      </c>
      <c r="E5145" s="366">
        <v>10.0</v>
      </c>
      <c r="F5145" s="367">
        <v>45996.54166666667</v>
      </c>
      <c r="G5145" s="364" t="s">
        <v>1185</v>
      </c>
      <c r="H5145" s="364" t="s">
        <v>1224</v>
      </c>
    </row>
    <row r="5146" ht="15.75" customHeight="1">
      <c r="A5146" s="364" t="s">
        <v>89</v>
      </c>
      <c r="B5146" s="364" t="s">
        <v>26</v>
      </c>
      <c r="C5146" s="365" t="s">
        <v>715</v>
      </c>
      <c r="D5146" s="364" t="s">
        <v>716</v>
      </c>
      <c r="E5146" s="366">
        <v>11.0</v>
      </c>
      <c r="F5146" s="367">
        <v>46010.54166666667</v>
      </c>
      <c r="G5146" s="364" t="s">
        <v>1185</v>
      </c>
      <c r="H5146" s="364" t="s">
        <v>1224</v>
      </c>
    </row>
    <row r="5147" ht="15.75" customHeight="1">
      <c r="A5147" s="364" t="s">
        <v>89</v>
      </c>
      <c r="B5147" s="364" t="s">
        <v>26</v>
      </c>
      <c r="C5147" s="365" t="s">
        <v>715</v>
      </c>
      <c r="D5147" s="364" t="s">
        <v>716</v>
      </c>
      <c r="E5147" s="366">
        <v>12.0</v>
      </c>
      <c r="F5147" s="367">
        <v>46038.54166666667</v>
      </c>
      <c r="G5147" s="364" t="s">
        <v>1185</v>
      </c>
      <c r="H5147" s="364" t="s">
        <v>1224</v>
      </c>
    </row>
    <row r="5148" ht="15.75" customHeight="1">
      <c r="A5148" s="364" t="s">
        <v>89</v>
      </c>
      <c r="B5148" s="364" t="s">
        <v>26</v>
      </c>
      <c r="C5148" s="365" t="s">
        <v>715</v>
      </c>
      <c r="D5148" s="364" t="s">
        <v>716</v>
      </c>
      <c r="E5148" s="366">
        <v>13.0</v>
      </c>
      <c r="F5148" s="367">
        <v>46049.58333333333</v>
      </c>
      <c r="G5148" s="364" t="s">
        <v>1187</v>
      </c>
      <c r="H5148" s="364" t="s">
        <v>1224</v>
      </c>
    </row>
    <row r="5149" ht="15.75" customHeight="1">
      <c r="A5149" s="364" t="s">
        <v>89</v>
      </c>
      <c r="B5149" s="364" t="s">
        <v>26</v>
      </c>
      <c r="C5149" s="365" t="s">
        <v>715</v>
      </c>
      <c r="D5149" s="364" t="s">
        <v>716</v>
      </c>
      <c r="E5149" s="366">
        <v>14.0</v>
      </c>
      <c r="F5149" s="367">
        <v>46049.58333333333</v>
      </c>
      <c r="G5149" s="364" t="s">
        <v>1187</v>
      </c>
      <c r="H5149" s="364" t="s">
        <v>1224</v>
      </c>
    </row>
    <row r="5150" ht="15.75" customHeight="1">
      <c r="A5150" s="364" t="s">
        <v>89</v>
      </c>
      <c r="B5150" s="364" t="s">
        <v>26</v>
      </c>
      <c r="C5150" s="365" t="s">
        <v>715</v>
      </c>
      <c r="D5150" s="364" t="s">
        <v>716</v>
      </c>
      <c r="E5150" s="366">
        <v>15.0</v>
      </c>
      <c r="F5150" s="367">
        <v>46052.54166666667</v>
      </c>
      <c r="G5150" s="364" t="s">
        <v>1185</v>
      </c>
      <c r="H5150" s="364" t="s">
        <v>1224</v>
      </c>
    </row>
    <row r="5151" ht="15.75" customHeight="1">
      <c r="A5151" s="364" t="s">
        <v>89</v>
      </c>
      <c r="B5151" s="364" t="s">
        <v>26</v>
      </c>
      <c r="C5151" s="365" t="s">
        <v>715</v>
      </c>
      <c r="D5151" s="364" t="s">
        <v>716</v>
      </c>
      <c r="E5151" s="366">
        <v>16.0</v>
      </c>
      <c r="F5151" s="367">
        <v>46108.54166666667</v>
      </c>
      <c r="G5151" s="364" t="s">
        <v>1185</v>
      </c>
      <c r="H5151" s="364" t="s">
        <v>1224</v>
      </c>
    </row>
    <row r="5152" ht="15.75" customHeight="1">
      <c r="A5152" s="364" t="s">
        <v>89</v>
      </c>
      <c r="B5152" s="364" t="s">
        <v>26</v>
      </c>
      <c r="C5152" s="365" t="s">
        <v>631</v>
      </c>
      <c r="D5152" s="364" t="s">
        <v>632</v>
      </c>
      <c r="E5152" s="366">
        <v>1.0</v>
      </c>
      <c r="F5152" s="367">
        <v>45916.45833333333</v>
      </c>
      <c r="G5152" s="364" t="s">
        <v>1185</v>
      </c>
      <c r="H5152" s="364" t="s">
        <v>1224</v>
      </c>
    </row>
    <row r="5153" ht="15.75" customHeight="1">
      <c r="A5153" s="364" t="s">
        <v>89</v>
      </c>
      <c r="B5153" s="364" t="s">
        <v>26</v>
      </c>
      <c r="C5153" s="365" t="s">
        <v>631</v>
      </c>
      <c r="D5153" s="364" t="s">
        <v>632</v>
      </c>
      <c r="E5153" s="366">
        <v>2.0</v>
      </c>
      <c r="F5153" s="367">
        <v>45925.54166666667</v>
      </c>
      <c r="G5153" s="364" t="s">
        <v>1185</v>
      </c>
      <c r="H5153" s="364" t="s">
        <v>1224</v>
      </c>
    </row>
    <row r="5154" ht="15.75" customHeight="1">
      <c r="A5154" s="364" t="s">
        <v>89</v>
      </c>
      <c r="B5154" s="364" t="s">
        <v>26</v>
      </c>
      <c r="C5154" s="365" t="s">
        <v>631</v>
      </c>
      <c r="D5154" s="364" t="s">
        <v>632</v>
      </c>
      <c r="E5154" s="366">
        <v>3.0</v>
      </c>
      <c r="F5154" s="367">
        <v>45931.58333333333</v>
      </c>
      <c r="G5154" s="364" t="s">
        <v>1187</v>
      </c>
      <c r="H5154" s="364" t="s">
        <v>1224</v>
      </c>
    </row>
    <row r="5155" ht="15.75" customHeight="1">
      <c r="A5155" s="364" t="s">
        <v>89</v>
      </c>
      <c r="B5155" s="364" t="s">
        <v>26</v>
      </c>
      <c r="C5155" s="365" t="s">
        <v>631</v>
      </c>
      <c r="D5155" s="364" t="s">
        <v>632</v>
      </c>
      <c r="E5155" s="366">
        <v>4.0</v>
      </c>
      <c r="F5155" s="367">
        <v>45938.54166666667</v>
      </c>
      <c r="G5155" s="364" t="s">
        <v>1185</v>
      </c>
      <c r="H5155" s="364" t="s">
        <v>1224</v>
      </c>
    </row>
    <row r="5156" ht="15.75" customHeight="1">
      <c r="A5156" s="364" t="s">
        <v>89</v>
      </c>
      <c r="B5156" s="364" t="s">
        <v>26</v>
      </c>
      <c r="C5156" s="365" t="s">
        <v>631</v>
      </c>
      <c r="D5156" s="364" t="s">
        <v>632</v>
      </c>
      <c r="E5156" s="366">
        <v>5.0</v>
      </c>
      <c r="F5156" s="367">
        <v>45953.54166666667</v>
      </c>
      <c r="G5156" s="364" t="s">
        <v>1185</v>
      </c>
      <c r="H5156" s="364" t="s">
        <v>1224</v>
      </c>
    </row>
    <row r="5157" ht="15.75" customHeight="1">
      <c r="A5157" s="364" t="s">
        <v>89</v>
      </c>
      <c r="B5157" s="364" t="s">
        <v>26</v>
      </c>
      <c r="C5157" s="365" t="s">
        <v>631</v>
      </c>
      <c r="D5157" s="364" t="s">
        <v>632</v>
      </c>
      <c r="E5157" s="366">
        <v>6.0</v>
      </c>
      <c r="F5157" s="367">
        <v>45960.54166666667</v>
      </c>
      <c r="G5157" s="364" t="s">
        <v>1185</v>
      </c>
      <c r="H5157" s="364" t="s">
        <v>1224</v>
      </c>
    </row>
    <row r="5158" ht="15.75" customHeight="1">
      <c r="A5158" s="364" t="s">
        <v>89</v>
      </c>
      <c r="B5158" s="364" t="s">
        <v>26</v>
      </c>
      <c r="C5158" s="365" t="s">
        <v>631</v>
      </c>
      <c r="D5158" s="364" t="s">
        <v>632</v>
      </c>
      <c r="E5158" s="366">
        <v>7.0</v>
      </c>
      <c r="F5158" s="367">
        <v>45967.54166666667</v>
      </c>
      <c r="G5158" s="364" t="s">
        <v>1185</v>
      </c>
      <c r="H5158" s="364" t="s">
        <v>1224</v>
      </c>
    </row>
    <row r="5159" ht="15.75" customHeight="1">
      <c r="A5159" s="364" t="s">
        <v>89</v>
      </c>
      <c r="B5159" s="364" t="s">
        <v>26</v>
      </c>
      <c r="C5159" s="365" t="s">
        <v>631</v>
      </c>
      <c r="D5159" s="364" t="s">
        <v>632</v>
      </c>
      <c r="E5159" s="366">
        <v>8.0</v>
      </c>
      <c r="F5159" s="367">
        <v>45982.54166666667</v>
      </c>
      <c r="G5159" s="364" t="s">
        <v>1185</v>
      </c>
      <c r="H5159" s="364" t="s">
        <v>1224</v>
      </c>
    </row>
    <row r="5160" ht="15.75" customHeight="1">
      <c r="A5160" s="364" t="s">
        <v>89</v>
      </c>
      <c r="B5160" s="364" t="s">
        <v>26</v>
      </c>
      <c r="C5160" s="365" t="s">
        <v>631</v>
      </c>
      <c r="D5160" s="364" t="s">
        <v>632</v>
      </c>
      <c r="E5160" s="366">
        <v>9.0</v>
      </c>
      <c r="F5160" s="367">
        <v>45989.54166666667</v>
      </c>
      <c r="G5160" s="364" t="s">
        <v>1185</v>
      </c>
      <c r="H5160" s="364" t="s">
        <v>1224</v>
      </c>
    </row>
    <row r="5161" ht="15.75" customHeight="1">
      <c r="A5161" s="364" t="s">
        <v>89</v>
      </c>
      <c r="B5161" s="364" t="s">
        <v>26</v>
      </c>
      <c r="C5161" s="365" t="s">
        <v>631</v>
      </c>
      <c r="D5161" s="364" t="s">
        <v>632</v>
      </c>
      <c r="E5161" s="366">
        <v>10.0</v>
      </c>
      <c r="F5161" s="367">
        <v>45996.54166666667</v>
      </c>
      <c r="G5161" s="364" t="s">
        <v>1185</v>
      </c>
      <c r="H5161" s="364" t="s">
        <v>1224</v>
      </c>
    </row>
    <row r="5162" ht="15.75" customHeight="1">
      <c r="A5162" s="364" t="s">
        <v>89</v>
      </c>
      <c r="B5162" s="364" t="s">
        <v>26</v>
      </c>
      <c r="C5162" s="365" t="s">
        <v>631</v>
      </c>
      <c r="D5162" s="364" t="s">
        <v>632</v>
      </c>
      <c r="E5162" s="366">
        <v>11.0</v>
      </c>
      <c r="F5162" s="367">
        <v>46010.54166666667</v>
      </c>
      <c r="G5162" s="364" t="s">
        <v>1185</v>
      </c>
      <c r="H5162" s="364" t="s">
        <v>1224</v>
      </c>
    </row>
    <row r="5163" ht="15.75" customHeight="1">
      <c r="A5163" s="364" t="s">
        <v>89</v>
      </c>
      <c r="B5163" s="364" t="s">
        <v>26</v>
      </c>
      <c r="C5163" s="365" t="s">
        <v>631</v>
      </c>
      <c r="D5163" s="364" t="s">
        <v>632</v>
      </c>
      <c r="E5163" s="366">
        <v>12.0</v>
      </c>
      <c r="F5163" s="367">
        <v>46038.54166666667</v>
      </c>
      <c r="G5163" s="364" t="s">
        <v>1185</v>
      </c>
      <c r="H5163" s="364" t="s">
        <v>1224</v>
      </c>
    </row>
    <row r="5164" ht="15.75" customHeight="1">
      <c r="A5164" s="364" t="s">
        <v>89</v>
      </c>
      <c r="B5164" s="364" t="s">
        <v>26</v>
      </c>
      <c r="C5164" s="365" t="s">
        <v>631</v>
      </c>
      <c r="D5164" s="364" t="s">
        <v>632</v>
      </c>
      <c r="E5164" s="366">
        <v>13.0</v>
      </c>
      <c r="F5164" s="367">
        <v>46049.58333333333</v>
      </c>
      <c r="G5164" s="364" t="s">
        <v>1185</v>
      </c>
      <c r="H5164" s="364" t="s">
        <v>1224</v>
      </c>
    </row>
    <row r="5165" ht="15.75" customHeight="1">
      <c r="A5165" s="364" t="s">
        <v>89</v>
      </c>
      <c r="B5165" s="364" t="s">
        <v>26</v>
      </c>
      <c r="C5165" s="365" t="s">
        <v>631</v>
      </c>
      <c r="D5165" s="364" t="s">
        <v>632</v>
      </c>
      <c r="E5165" s="366">
        <v>14.0</v>
      </c>
      <c r="F5165" s="367">
        <v>46049.58333333333</v>
      </c>
      <c r="G5165" s="364" t="s">
        <v>1185</v>
      </c>
      <c r="H5165" s="364" t="s">
        <v>1224</v>
      </c>
    </row>
    <row r="5166" ht="15.75" customHeight="1">
      <c r="A5166" s="364" t="s">
        <v>89</v>
      </c>
      <c r="B5166" s="364" t="s">
        <v>26</v>
      </c>
      <c r="C5166" s="365" t="s">
        <v>631</v>
      </c>
      <c r="D5166" s="364" t="s">
        <v>632</v>
      </c>
      <c r="E5166" s="366">
        <v>15.0</v>
      </c>
      <c r="F5166" s="367">
        <v>46052.54166666667</v>
      </c>
      <c r="G5166" s="364" t="s">
        <v>1185</v>
      </c>
      <c r="H5166" s="364" t="s">
        <v>1224</v>
      </c>
    </row>
    <row r="5167" ht="15.75" customHeight="1">
      <c r="A5167" s="364" t="s">
        <v>89</v>
      </c>
      <c r="B5167" s="364" t="s">
        <v>26</v>
      </c>
      <c r="C5167" s="365" t="s">
        <v>631</v>
      </c>
      <c r="D5167" s="364" t="s">
        <v>632</v>
      </c>
      <c r="E5167" s="366">
        <v>16.0</v>
      </c>
      <c r="F5167" s="367">
        <v>46108.54166666667</v>
      </c>
      <c r="G5167" s="364" t="s">
        <v>1185</v>
      </c>
      <c r="H5167" s="364" t="s">
        <v>1224</v>
      </c>
    </row>
    <row r="5168" ht="15.75" customHeight="1">
      <c r="A5168" s="364" t="s">
        <v>89</v>
      </c>
      <c r="B5168" s="364" t="s">
        <v>26</v>
      </c>
      <c r="C5168" s="365" t="s">
        <v>633</v>
      </c>
      <c r="D5168" s="364" t="s">
        <v>634</v>
      </c>
      <c r="E5168" s="366">
        <v>1.0</v>
      </c>
      <c r="F5168" s="367">
        <v>45916.45833333333</v>
      </c>
      <c r="G5168" s="364" t="s">
        <v>1185</v>
      </c>
      <c r="H5168" s="364" t="s">
        <v>1224</v>
      </c>
    </row>
    <row r="5169" ht="15.75" customHeight="1">
      <c r="A5169" s="364" t="s">
        <v>89</v>
      </c>
      <c r="B5169" s="364" t="s">
        <v>26</v>
      </c>
      <c r="C5169" s="365" t="s">
        <v>633</v>
      </c>
      <c r="D5169" s="364" t="s">
        <v>634</v>
      </c>
      <c r="E5169" s="366">
        <v>2.0</v>
      </c>
      <c r="F5169" s="367">
        <v>45925.54166666667</v>
      </c>
      <c r="G5169" s="364" t="s">
        <v>1185</v>
      </c>
      <c r="H5169" s="364" t="s">
        <v>1224</v>
      </c>
    </row>
    <row r="5170" ht="15.75" customHeight="1">
      <c r="A5170" s="364" t="s">
        <v>89</v>
      </c>
      <c r="B5170" s="364" t="s">
        <v>26</v>
      </c>
      <c r="C5170" s="365" t="s">
        <v>633</v>
      </c>
      <c r="D5170" s="364" t="s">
        <v>634</v>
      </c>
      <c r="E5170" s="366">
        <v>3.0</v>
      </c>
      <c r="F5170" s="367">
        <v>45931.58333333333</v>
      </c>
      <c r="G5170" s="364" t="s">
        <v>1185</v>
      </c>
      <c r="H5170" s="364" t="s">
        <v>1224</v>
      </c>
    </row>
    <row r="5171" ht="15.75" customHeight="1">
      <c r="A5171" s="364" t="s">
        <v>89</v>
      </c>
      <c r="B5171" s="364" t="s">
        <v>26</v>
      </c>
      <c r="C5171" s="365" t="s">
        <v>633</v>
      </c>
      <c r="D5171" s="364" t="s">
        <v>634</v>
      </c>
      <c r="E5171" s="366">
        <v>4.0</v>
      </c>
      <c r="F5171" s="367">
        <v>45938.54166666667</v>
      </c>
      <c r="G5171" s="364" t="s">
        <v>1185</v>
      </c>
      <c r="H5171" s="364" t="s">
        <v>1224</v>
      </c>
    </row>
    <row r="5172" ht="15.75" customHeight="1">
      <c r="A5172" s="364" t="s">
        <v>89</v>
      </c>
      <c r="B5172" s="364" t="s">
        <v>26</v>
      </c>
      <c r="C5172" s="365" t="s">
        <v>633</v>
      </c>
      <c r="D5172" s="364" t="s">
        <v>634</v>
      </c>
      <c r="E5172" s="366">
        <v>5.0</v>
      </c>
      <c r="F5172" s="367">
        <v>45953.54166666667</v>
      </c>
      <c r="G5172" s="364" t="s">
        <v>1185</v>
      </c>
      <c r="H5172" s="364" t="s">
        <v>1224</v>
      </c>
    </row>
    <row r="5173" ht="15.75" customHeight="1">
      <c r="A5173" s="364" t="s">
        <v>89</v>
      </c>
      <c r="B5173" s="364" t="s">
        <v>26</v>
      </c>
      <c r="C5173" s="365" t="s">
        <v>633</v>
      </c>
      <c r="D5173" s="364" t="s">
        <v>634</v>
      </c>
      <c r="E5173" s="366">
        <v>6.0</v>
      </c>
      <c r="F5173" s="367">
        <v>45960.54166666667</v>
      </c>
      <c r="G5173" s="364" t="s">
        <v>1185</v>
      </c>
      <c r="H5173" s="364" t="s">
        <v>1224</v>
      </c>
    </row>
    <row r="5174" ht="15.75" customHeight="1">
      <c r="A5174" s="364" t="s">
        <v>89</v>
      </c>
      <c r="B5174" s="364" t="s">
        <v>26</v>
      </c>
      <c r="C5174" s="365" t="s">
        <v>633</v>
      </c>
      <c r="D5174" s="364" t="s">
        <v>634</v>
      </c>
      <c r="E5174" s="366">
        <v>7.0</v>
      </c>
      <c r="F5174" s="367">
        <v>45967.54166666667</v>
      </c>
      <c r="G5174" s="364" t="s">
        <v>1185</v>
      </c>
      <c r="H5174" s="364" t="s">
        <v>1224</v>
      </c>
    </row>
    <row r="5175" ht="15.75" customHeight="1">
      <c r="A5175" s="364" t="s">
        <v>89</v>
      </c>
      <c r="B5175" s="364" t="s">
        <v>26</v>
      </c>
      <c r="C5175" s="365" t="s">
        <v>633</v>
      </c>
      <c r="D5175" s="364" t="s">
        <v>634</v>
      </c>
      <c r="E5175" s="366">
        <v>8.0</v>
      </c>
      <c r="F5175" s="367">
        <v>45982.54166666667</v>
      </c>
      <c r="G5175" s="364" t="s">
        <v>1185</v>
      </c>
      <c r="H5175" s="364" t="s">
        <v>1224</v>
      </c>
    </row>
    <row r="5176" ht="15.75" customHeight="1">
      <c r="A5176" s="364" t="s">
        <v>89</v>
      </c>
      <c r="B5176" s="364" t="s">
        <v>26</v>
      </c>
      <c r="C5176" s="365" t="s">
        <v>633</v>
      </c>
      <c r="D5176" s="364" t="s">
        <v>634</v>
      </c>
      <c r="E5176" s="366">
        <v>9.0</v>
      </c>
      <c r="F5176" s="367">
        <v>45989.54166666667</v>
      </c>
      <c r="G5176" s="364" t="s">
        <v>1185</v>
      </c>
      <c r="H5176" s="364" t="s">
        <v>1224</v>
      </c>
    </row>
    <row r="5177" ht="15.75" customHeight="1">
      <c r="A5177" s="364" t="s">
        <v>89</v>
      </c>
      <c r="B5177" s="364" t="s">
        <v>26</v>
      </c>
      <c r="C5177" s="365" t="s">
        <v>633</v>
      </c>
      <c r="D5177" s="364" t="s">
        <v>634</v>
      </c>
      <c r="E5177" s="366">
        <v>10.0</v>
      </c>
      <c r="F5177" s="367">
        <v>45996.54166666667</v>
      </c>
      <c r="G5177" s="364" t="s">
        <v>1185</v>
      </c>
      <c r="H5177" s="364" t="s">
        <v>1224</v>
      </c>
    </row>
    <row r="5178" ht="15.75" customHeight="1">
      <c r="A5178" s="364" t="s">
        <v>89</v>
      </c>
      <c r="B5178" s="364" t="s">
        <v>26</v>
      </c>
      <c r="C5178" s="365" t="s">
        <v>633</v>
      </c>
      <c r="D5178" s="364" t="s">
        <v>634</v>
      </c>
      <c r="E5178" s="366">
        <v>11.0</v>
      </c>
      <c r="F5178" s="367">
        <v>46010.54166666667</v>
      </c>
      <c r="G5178" s="364" t="s">
        <v>1185</v>
      </c>
      <c r="H5178" s="364" t="s">
        <v>1224</v>
      </c>
    </row>
    <row r="5179" ht="15.75" customHeight="1">
      <c r="A5179" s="364" t="s">
        <v>89</v>
      </c>
      <c r="B5179" s="364" t="s">
        <v>26</v>
      </c>
      <c r="C5179" s="365" t="s">
        <v>633</v>
      </c>
      <c r="D5179" s="364" t="s">
        <v>634</v>
      </c>
      <c r="E5179" s="366">
        <v>12.0</v>
      </c>
      <c r="F5179" s="367">
        <v>46038.54166666667</v>
      </c>
      <c r="G5179" s="364" t="s">
        <v>1185</v>
      </c>
      <c r="H5179" s="364" t="s">
        <v>1224</v>
      </c>
    </row>
    <row r="5180" ht="15.75" customHeight="1">
      <c r="A5180" s="364" t="s">
        <v>89</v>
      </c>
      <c r="B5180" s="364" t="s">
        <v>26</v>
      </c>
      <c r="C5180" s="365" t="s">
        <v>633</v>
      </c>
      <c r="D5180" s="364" t="s">
        <v>634</v>
      </c>
      <c r="E5180" s="366">
        <v>13.0</v>
      </c>
      <c r="F5180" s="367">
        <v>46049.58333333333</v>
      </c>
      <c r="G5180" s="364" t="s">
        <v>1185</v>
      </c>
      <c r="H5180" s="364" t="s">
        <v>1224</v>
      </c>
    </row>
    <row r="5181" ht="15.75" customHeight="1">
      <c r="A5181" s="364" t="s">
        <v>89</v>
      </c>
      <c r="B5181" s="364" t="s">
        <v>26</v>
      </c>
      <c r="C5181" s="365" t="s">
        <v>633</v>
      </c>
      <c r="D5181" s="364" t="s">
        <v>634</v>
      </c>
      <c r="E5181" s="366">
        <v>14.0</v>
      </c>
      <c r="F5181" s="367">
        <v>46049.58333333333</v>
      </c>
      <c r="G5181" s="364" t="s">
        <v>1185</v>
      </c>
      <c r="H5181" s="364" t="s">
        <v>1224</v>
      </c>
    </row>
    <row r="5182" ht="15.75" customHeight="1">
      <c r="A5182" s="364" t="s">
        <v>89</v>
      </c>
      <c r="B5182" s="364" t="s">
        <v>26</v>
      </c>
      <c r="C5182" s="365" t="s">
        <v>633</v>
      </c>
      <c r="D5182" s="364" t="s">
        <v>634</v>
      </c>
      <c r="E5182" s="366">
        <v>15.0</v>
      </c>
      <c r="F5182" s="367">
        <v>46052.54166666667</v>
      </c>
      <c r="G5182" s="364" t="s">
        <v>1187</v>
      </c>
      <c r="H5182" s="364" t="s">
        <v>1224</v>
      </c>
    </row>
    <row r="5183" ht="15.75" customHeight="1">
      <c r="A5183" s="364" t="s">
        <v>89</v>
      </c>
      <c r="B5183" s="364" t="s">
        <v>26</v>
      </c>
      <c r="C5183" s="365" t="s">
        <v>633</v>
      </c>
      <c r="D5183" s="364" t="s">
        <v>634</v>
      </c>
      <c r="E5183" s="366">
        <v>16.0</v>
      </c>
      <c r="F5183" s="367">
        <v>46108.54166666667</v>
      </c>
      <c r="G5183" s="364" t="s">
        <v>1185</v>
      </c>
      <c r="H5183" s="364" t="s">
        <v>1224</v>
      </c>
    </row>
    <row r="5184" ht="15.75" customHeight="1">
      <c r="A5184" s="364" t="s">
        <v>89</v>
      </c>
      <c r="B5184" s="364" t="s">
        <v>26</v>
      </c>
      <c r="C5184" s="365" t="s">
        <v>635</v>
      </c>
      <c r="D5184" s="364" t="s">
        <v>636</v>
      </c>
      <c r="E5184" s="366">
        <v>1.0</v>
      </c>
      <c r="F5184" s="367">
        <v>45916.45833333333</v>
      </c>
      <c r="G5184" s="364" t="s">
        <v>1185</v>
      </c>
      <c r="H5184" s="364" t="s">
        <v>1224</v>
      </c>
    </row>
    <row r="5185" ht="15.75" customHeight="1">
      <c r="A5185" s="364" t="s">
        <v>89</v>
      </c>
      <c r="B5185" s="364" t="s">
        <v>26</v>
      </c>
      <c r="C5185" s="365" t="s">
        <v>635</v>
      </c>
      <c r="D5185" s="364" t="s">
        <v>636</v>
      </c>
      <c r="E5185" s="366">
        <v>2.0</v>
      </c>
      <c r="F5185" s="367">
        <v>45925.54166666667</v>
      </c>
      <c r="G5185" s="364" t="s">
        <v>1185</v>
      </c>
      <c r="H5185" s="364" t="s">
        <v>1224</v>
      </c>
    </row>
    <row r="5186" ht="15.75" customHeight="1">
      <c r="A5186" s="364" t="s">
        <v>89</v>
      </c>
      <c r="B5186" s="364" t="s">
        <v>26</v>
      </c>
      <c r="C5186" s="365" t="s">
        <v>635</v>
      </c>
      <c r="D5186" s="364" t="s">
        <v>636</v>
      </c>
      <c r="E5186" s="366">
        <v>3.0</v>
      </c>
      <c r="F5186" s="367">
        <v>45931.58333333333</v>
      </c>
      <c r="G5186" s="364" t="s">
        <v>1187</v>
      </c>
      <c r="H5186" s="364" t="s">
        <v>1224</v>
      </c>
    </row>
    <row r="5187" ht="15.75" customHeight="1">
      <c r="A5187" s="364" t="s">
        <v>89</v>
      </c>
      <c r="B5187" s="364" t="s">
        <v>26</v>
      </c>
      <c r="C5187" s="365" t="s">
        <v>635</v>
      </c>
      <c r="D5187" s="364" t="s">
        <v>636</v>
      </c>
      <c r="E5187" s="366">
        <v>4.0</v>
      </c>
      <c r="F5187" s="367">
        <v>45938.54166666667</v>
      </c>
      <c r="G5187" s="364" t="s">
        <v>1185</v>
      </c>
      <c r="H5187" s="364" t="s">
        <v>1224</v>
      </c>
    </row>
    <row r="5188" ht="15.75" customHeight="1">
      <c r="A5188" s="364" t="s">
        <v>89</v>
      </c>
      <c r="B5188" s="364" t="s">
        <v>26</v>
      </c>
      <c r="C5188" s="365" t="s">
        <v>635</v>
      </c>
      <c r="D5188" s="364" t="s">
        <v>636</v>
      </c>
      <c r="E5188" s="366">
        <v>5.0</v>
      </c>
      <c r="F5188" s="367">
        <v>45953.54166666667</v>
      </c>
      <c r="G5188" s="364" t="s">
        <v>1185</v>
      </c>
      <c r="H5188" s="364" t="s">
        <v>1224</v>
      </c>
    </row>
    <row r="5189" ht="15.75" customHeight="1">
      <c r="A5189" s="364" t="s">
        <v>89</v>
      </c>
      <c r="B5189" s="364" t="s">
        <v>26</v>
      </c>
      <c r="C5189" s="365" t="s">
        <v>635</v>
      </c>
      <c r="D5189" s="364" t="s">
        <v>636</v>
      </c>
      <c r="E5189" s="366">
        <v>6.0</v>
      </c>
      <c r="F5189" s="367">
        <v>45960.54166666667</v>
      </c>
      <c r="G5189" s="364" t="s">
        <v>1185</v>
      </c>
      <c r="H5189" s="364" t="s">
        <v>1224</v>
      </c>
    </row>
    <row r="5190" ht="15.75" customHeight="1">
      <c r="A5190" s="364" t="s">
        <v>89</v>
      </c>
      <c r="B5190" s="364" t="s">
        <v>26</v>
      </c>
      <c r="C5190" s="365" t="s">
        <v>635</v>
      </c>
      <c r="D5190" s="364" t="s">
        <v>636</v>
      </c>
      <c r="E5190" s="366">
        <v>7.0</v>
      </c>
      <c r="F5190" s="367">
        <v>45967.54166666667</v>
      </c>
      <c r="G5190" s="364" t="s">
        <v>1185</v>
      </c>
      <c r="H5190" s="364" t="s">
        <v>1224</v>
      </c>
    </row>
    <row r="5191" ht="15.75" customHeight="1">
      <c r="A5191" s="364" t="s">
        <v>89</v>
      </c>
      <c r="B5191" s="364" t="s">
        <v>26</v>
      </c>
      <c r="C5191" s="365" t="s">
        <v>635</v>
      </c>
      <c r="D5191" s="364" t="s">
        <v>636</v>
      </c>
      <c r="E5191" s="366">
        <v>8.0</v>
      </c>
      <c r="F5191" s="367">
        <v>45982.54166666667</v>
      </c>
      <c r="G5191" s="364" t="s">
        <v>1185</v>
      </c>
      <c r="H5191" s="364" t="s">
        <v>1224</v>
      </c>
    </row>
    <row r="5192" ht="15.75" customHeight="1">
      <c r="A5192" s="364" t="s">
        <v>89</v>
      </c>
      <c r="B5192" s="364" t="s">
        <v>26</v>
      </c>
      <c r="C5192" s="365" t="s">
        <v>635</v>
      </c>
      <c r="D5192" s="364" t="s">
        <v>636</v>
      </c>
      <c r="E5192" s="366">
        <v>9.0</v>
      </c>
      <c r="F5192" s="367">
        <v>45989.54166666667</v>
      </c>
      <c r="G5192" s="364" t="s">
        <v>1185</v>
      </c>
      <c r="H5192" s="364" t="s">
        <v>1224</v>
      </c>
    </row>
    <row r="5193" ht="15.75" customHeight="1">
      <c r="A5193" s="364" t="s">
        <v>89</v>
      </c>
      <c r="B5193" s="364" t="s">
        <v>26</v>
      </c>
      <c r="C5193" s="365" t="s">
        <v>635</v>
      </c>
      <c r="D5193" s="364" t="s">
        <v>636</v>
      </c>
      <c r="E5193" s="366">
        <v>10.0</v>
      </c>
      <c r="F5193" s="367">
        <v>45996.54166666667</v>
      </c>
      <c r="G5193" s="364" t="s">
        <v>1185</v>
      </c>
      <c r="H5193" s="364" t="s">
        <v>1224</v>
      </c>
    </row>
    <row r="5194" ht="15.75" customHeight="1">
      <c r="A5194" s="364" t="s">
        <v>89</v>
      </c>
      <c r="B5194" s="364" t="s">
        <v>26</v>
      </c>
      <c r="C5194" s="365" t="s">
        <v>635</v>
      </c>
      <c r="D5194" s="364" t="s">
        <v>636</v>
      </c>
      <c r="E5194" s="366">
        <v>11.0</v>
      </c>
      <c r="F5194" s="367">
        <v>46010.54166666667</v>
      </c>
      <c r="G5194" s="364" t="s">
        <v>1185</v>
      </c>
      <c r="H5194" s="364" t="s">
        <v>1224</v>
      </c>
    </row>
    <row r="5195" ht="15.75" customHeight="1">
      <c r="A5195" s="364" t="s">
        <v>89</v>
      </c>
      <c r="B5195" s="364" t="s">
        <v>26</v>
      </c>
      <c r="C5195" s="365" t="s">
        <v>635</v>
      </c>
      <c r="D5195" s="364" t="s">
        <v>636</v>
      </c>
      <c r="E5195" s="366">
        <v>12.0</v>
      </c>
      <c r="F5195" s="367">
        <v>46038.54166666667</v>
      </c>
      <c r="G5195" s="364" t="s">
        <v>1185</v>
      </c>
      <c r="H5195" s="364" t="s">
        <v>1224</v>
      </c>
    </row>
    <row r="5196" ht="15.75" customHeight="1">
      <c r="A5196" s="364" t="s">
        <v>89</v>
      </c>
      <c r="B5196" s="364" t="s">
        <v>26</v>
      </c>
      <c r="C5196" s="365" t="s">
        <v>635</v>
      </c>
      <c r="D5196" s="364" t="s">
        <v>636</v>
      </c>
      <c r="E5196" s="366">
        <v>13.0</v>
      </c>
      <c r="F5196" s="367">
        <v>46049.58333333333</v>
      </c>
      <c r="G5196" s="364" t="s">
        <v>1185</v>
      </c>
      <c r="H5196" s="364" t="s">
        <v>1224</v>
      </c>
    </row>
    <row r="5197" ht="15.75" customHeight="1">
      <c r="A5197" s="364" t="s">
        <v>89</v>
      </c>
      <c r="B5197" s="364" t="s">
        <v>26</v>
      </c>
      <c r="C5197" s="365" t="s">
        <v>635</v>
      </c>
      <c r="D5197" s="364" t="s">
        <v>636</v>
      </c>
      <c r="E5197" s="366">
        <v>14.0</v>
      </c>
      <c r="F5197" s="367">
        <v>46049.58333333333</v>
      </c>
      <c r="G5197" s="364" t="s">
        <v>1185</v>
      </c>
      <c r="H5197" s="364" t="s">
        <v>1224</v>
      </c>
    </row>
    <row r="5198" ht="15.75" customHeight="1">
      <c r="A5198" s="364" t="s">
        <v>89</v>
      </c>
      <c r="B5198" s="364" t="s">
        <v>26</v>
      </c>
      <c r="C5198" s="365" t="s">
        <v>635</v>
      </c>
      <c r="D5198" s="364" t="s">
        <v>636</v>
      </c>
      <c r="E5198" s="366">
        <v>15.0</v>
      </c>
      <c r="F5198" s="367">
        <v>46052.54166666667</v>
      </c>
      <c r="G5198" s="364" t="s">
        <v>1185</v>
      </c>
      <c r="H5198" s="364" t="s">
        <v>1224</v>
      </c>
    </row>
    <row r="5199" ht="15.75" customHeight="1">
      <c r="A5199" s="364" t="s">
        <v>89</v>
      </c>
      <c r="B5199" s="364" t="s">
        <v>26</v>
      </c>
      <c r="C5199" s="365" t="s">
        <v>635</v>
      </c>
      <c r="D5199" s="364" t="s">
        <v>636</v>
      </c>
      <c r="E5199" s="366">
        <v>16.0</v>
      </c>
      <c r="F5199" s="367">
        <v>46108.54166666667</v>
      </c>
      <c r="G5199" s="364" t="s">
        <v>1185</v>
      </c>
      <c r="H5199" s="364" t="s">
        <v>1224</v>
      </c>
    </row>
    <row r="5200" ht="15.75" customHeight="1">
      <c r="A5200" s="364" t="s">
        <v>90</v>
      </c>
      <c r="B5200" s="364" t="s">
        <v>22</v>
      </c>
      <c r="C5200" s="365" t="s">
        <v>498</v>
      </c>
      <c r="D5200" s="364" t="s">
        <v>499</v>
      </c>
      <c r="E5200" s="366">
        <v>1.0</v>
      </c>
      <c r="F5200" s="367">
        <v>45917.58333333333</v>
      </c>
      <c r="G5200" s="364" t="s">
        <v>1185</v>
      </c>
      <c r="H5200" s="364" t="s">
        <v>1225</v>
      </c>
    </row>
    <row r="5201" ht="15.75" customHeight="1">
      <c r="A5201" s="364" t="s">
        <v>90</v>
      </c>
      <c r="B5201" s="364" t="s">
        <v>22</v>
      </c>
      <c r="C5201" s="365" t="s">
        <v>498</v>
      </c>
      <c r="D5201" s="364" t="s">
        <v>499</v>
      </c>
      <c r="E5201" s="366">
        <v>2.0</v>
      </c>
      <c r="F5201" s="367">
        <v>45923.54166666667</v>
      </c>
      <c r="G5201" s="364" t="s">
        <v>1185</v>
      </c>
      <c r="H5201" s="364" t="s">
        <v>1225</v>
      </c>
    </row>
    <row r="5202" ht="15.75" customHeight="1">
      <c r="A5202" s="364" t="s">
        <v>90</v>
      </c>
      <c r="B5202" s="364" t="s">
        <v>22</v>
      </c>
      <c r="C5202" s="365" t="s">
        <v>498</v>
      </c>
      <c r="D5202" s="364" t="s">
        <v>499</v>
      </c>
      <c r="E5202" s="366">
        <v>3.0</v>
      </c>
      <c r="F5202" s="367">
        <v>45930.54166666667</v>
      </c>
      <c r="G5202" s="364" t="s">
        <v>1185</v>
      </c>
      <c r="H5202" s="364" t="s">
        <v>1225</v>
      </c>
    </row>
    <row r="5203" ht="15.75" customHeight="1">
      <c r="A5203" s="364" t="s">
        <v>90</v>
      </c>
      <c r="B5203" s="364" t="s">
        <v>22</v>
      </c>
      <c r="C5203" s="365" t="s">
        <v>498</v>
      </c>
      <c r="D5203" s="364" t="s">
        <v>499</v>
      </c>
      <c r="E5203" s="366">
        <v>4.0</v>
      </c>
      <c r="F5203" s="367">
        <v>45937.54166666667</v>
      </c>
      <c r="G5203" s="364" t="s">
        <v>1185</v>
      </c>
      <c r="H5203" s="364" t="s">
        <v>1225</v>
      </c>
    </row>
    <row r="5204" ht="15.75" customHeight="1">
      <c r="A5204" s="364" t="s">
        <v>90</v>
      </c>
      <c r="B5204" s="364" t="s">
        <v>22</v>
      </c>
      <c r="C5204" s="365" t="s">
        <v>498</v>
      </c>
      <c r="D5204" s="364" t="s">
        <v>499</v>
      </c>
      <c r="E5204" s="366">
        <v>5.0</v>
      </c>
      <c r="F5204" s="367">
        <v>45944.54166666667</v>
      </c>
      <c r="G5204" s="364" t="s">
        <v>1187</v>
      </c>
      <c r="H5204" s="364" t="s">
        <v>1225</v>
      </c>
    </row>
    <row r="5205" ht="15.75" customHeight="1">
      <c r="A5205" s="364" t="s">
        <v>90</v>
      </c>
      <c r="B5205" s="364" t="s">
        <v>22</v>
      </c>
      <c r="C5205" s="365" t="s">
        <v>498</v>
      </c>
      <c r="D5205" s="364" t="s">
        <v>499</v>
      </c>
      <c r="E5205" s="366">
        <v>6.0</v>
      </c>
      <c r="F5205" s="367">
        <v>45958.54166666667</v>
      </c>
      <c r="G5205" s="364" t="s">
        <v>1187</v>
      </c>
      <c r="H5205" s="364" t="s">
        <v>1225</v>
      </c>
    </row>
    <row r="5206" ht="15.75" customHeight="1">
      <c r="A5206" s="364" t="s">
        <v>90</v>
      </c>
      <c r="B5206" s="364" t="s">
        <v>22</v>
      </c>
      <c r="C5206" s="365" t="s">
        <v>498</v>
      </c>
      <c r="D5206" s="364" t="s">
        <v>499</v>
      </c>
      <c r="E5206" s="366">
        <v>7.0</v>
      </c>
      <c r="F5206" s="367">
        <v>45965.58333333333</v>
      </c>
      <c r="G5206" s="364" t="s">
        <v>1187</v>
      </c>
      <c r="H5206" s="364" t="s">
        <v>1225</v>
      </c>
    </row>
    <row r="5207" ht="15.75" customHeight="1">
      <c r="A5207" s="364" t="s">
        <v>90</v>
      </c>
      <c r="B5207" s="364" t="s">
        <v>22</v>
      </c>
      <c r="C5207" s="365" t="s">
        <v>498</v>
      </c>
      <c r="D5207" s="364" t="s">
        <v>499</v>
      </c>
      <c r="E5207" s="366">
        <v>8.0</v>
      </c>
      <c r="F5207" s="367">
        <v>45979.58333333333</v>
      </c>
      <c r="G5207" s="364" t="s">
        <v>1187</v>
      </c>
      <c r="H5207" s="364" t="s">
        <v>1225</v>
      </c>
    </row>
    <row r="5208" ht="15.75" customHeight="1">
      <c r="A5208" s="364" t="s">
        <v>90</v>
      </c>
      <c r="B5208" s="364" t="s">
        <v>22</v>
      </c>
      <c r="C5208" s="365" t="s">
        <v>498</v>
      </c>
      <c r="D5208" s="364" t="s">
        <v>499</v>
      </c>
      <c r="E5208" s="366">
        <v>9.0</v>
      </c>
      <c r="F5208" s="367">
        <v>45986.58333333333</v>
      </c>
      <c r="G5208" s="364" t="s">
        <v>1187</v>
      </c>
      <c r="H5208" s="364" t="s">
        <v>1225</v>
      </c>
    </row>
    <row r="5209" ht="15.75" customHeight="1">
      <c r="A5209" s="364" t="s">
        <v>90</v>
      </c>
      <c r="B5209" s="364" t="s">
        <v>22</v>
      </c>
      <c r="C5209" s="365" t="s">
        <v>498</v>
      </c>
      <c r="D5209" s="364" t="s">
        <v>499</v>
      </c>
      <c r="E5209" s="366">
        <v>10.0</v>
      </c>
      <c r="F5209" s="367">
        <v>45993.58333333333</v>
      </c>
      <c r="G5209" s="364" t="s">
        <v>1187</v>
      </c>
      <c r="H5209" s="364" t="s">
        <v>1225</v>
      </c>
    </row>
    <row r="5210" ht="15.75" customHeight="1">
      <c r="A5210" s="364" t="s">
        <v>90</v>
      </c>
      <c r="B5210" s="364" t="s">
        <v>22</v>
      </c>
      <c r="C5210" s="365" t="s">
        <v>500</v>
      </c>
      <c r="D5210" s="364" t="s">
        <v>501</v>
      </c>
      <c r="E5210" s="366">
        <v>1.0</v>
      </c>
      <c r="F5210" s="367">
        <v>45917.58333333333</v>
      </c>
      <c r="G5210" s="364" t="s">
        <v>1185</v>
      </c>
      <c r="H5210" s="364" t="s">
        <v>1225</v>
      </c>
    </row>
    <row r="5211" ht="15.75" customHeight="1">
      <c r="A5211" s="364" t="s">
        <v>90</v>
      </c>
      <c r="B5211" s="364" t="s">
        <v>22</v>
      </c>
      <c r="C5211" s="365" t="s">
        <v>500</v>
      </c>
      <c r="D5211" s="364" t="s">
        <v>501</v>
      </c>
      <c r="E5211" s="366">
        <v>2.0</v>
      </c>
      <c r="F5211" s="367">
        <v>45923.54166666667</v>
      </c>
      <c r="G5211" s="364" t="s">
        <v>1185</v>
      </c>
      <c r="H5211" s="364" t="s">
        <v>1225</v>
      </c>
    </row>
    <row r="5212" ht="15.75" customHeight="1">
      <c r="A5212" s="364" t="s">
        <v>90</v>
      </c>
      <c r="B5212" s="364" t="s">
        <v>22</v>
      </c>
      <c r="C5212" s="365" t="s">
        <v>500</v>
      </c>
      <c r="D5212" s="364" t="s">
        <v>501</v>
      </c>
      <c r="E5212" s="366">
        <v>3.0</v>
      </c>
      <c r="F5212" s="367">
        <v>45930.54166666667</v>
      </c>
      <c r="G5212" s="364" t="s">
        <v>1185</v>
      </c>
      <c r="H5212" s="364" t="s">
        <v>1225</v>
      </c>
    </row>
    <row r="5213" ht="15.75" customHeight="1">
      <c r="A5213" s="364" t="s">
        <v>90</v>
      </c>
      <c r="B5213" s="364" t="s">
        <v>22</v>
      </c>
      <c r="C5213" s="365" t="s">
        <v>500</v>
      </c>
      <c r="D5213" s="364" t="s">
        <v>501</v>
      </c>
      <c r="E5213" s="366">
        <v>4.0</v>
      </c>
      <c r="F5213" s="367">
        <v>45937.54166666667</v>
      </c>
      <c r="G5213" s="364" t="s">
        <v>1185</v>
      </c>
      <c r="H5213" s="364" t="s">
        <v>1225</v>
      </c>
    </row>
    <row r="5214" ht="15.75" customHeight="1">
      <c r="A5214" s="364" t="s">
        <v>90</v>
      </c>
      <c r="B5214" s="364" t="s">
        <v>22</v>
      </c>
      <c r="C5214" s="365" t="s">
        <v>500</v>
      </c>
      <c r="D5214" s="364" t="s">
        <v>501</v>
      </c>
      <c r="E5214" s="366">
        <v>5.0</v>
      </c>
      <c r="F5214" s="367">
        <v>45944.54166666667</v>
      </c>
      <c r="G5214" s="364" t="s">
        <v>1187</v>
      </c>
      <c r="H5214" s="364" t="s">
        <v>1225</v>
      </c>
    </row>
    <row r="5215" ht="15.75" customHeight="1">
      <c r="A5215" s="364" t="s">
        <v>90</v>
      </c>
      <c r="B5215" s="364" t="s">
        <v>22</v>
      </c>
      <c r="C5215" s="365" t="s">
        <v>500</v>
      </c>
      <c r="D5215" s="364" t="s">
        <v>501</v>
      </c>
      <c r="E5215" s="366">
        <v>6.0</v>
      </c>
      <c r="F5215" s="367">
        <v>45958.54166666667</v>
      </c>
      <c r="G5215" s="364" t="s">
        <v>1185</v>
      </c>
      <c r="H5215" s="364" t="s">
        <v>1225</v>
      </c>
    </row>
    <row r="5216" ht="15.75" customHeight="1">
      <c r="A5216" s="364" t="s">
        <v>90</v>
      </c>
      <c r="B5216" s="364" t="s">
        <v>22</v>
      </c>
      <c r="C5216" s="365" t="s">
        <v>500</v>
      </c>
      <c r="D5216" s="364" t="s">
        <v>501</v>
      </c>
      <c r="E5216" s="366">
        <v>7.0</v>
      </c>
      <c r="F5216" s="367">
        <v>45965.58333333333</v>
      </c>
      <c r="G5216" s="364" t="s">
        <v>1185</v>
      </c>
      <c r="H5216" s="364" t="s">
        <v>1225</v>
      </c>
    </row>
    <row r="5217" ht="15.75" customHeight="1">
      <c r="A5217" s="364" t="s">
        <v>90</v>
      </c>
      <c r="B5217" s="364" t="s">
        <v>22</v>
      </c>
      <c r="C5217" s="365" t="s">
        <v>500</v>
      </c>
      <c r="D5217" s="364" t="s">
        <v>501</v>
      </c>
      <c r="E5217" s="366">
        <v>8.0</v>
      </c>
      <c r="F5217" s="367">
        <v>45979.58333333333</v>
      </c>
      <c r="G5217" s="364" t="s">
        <v>1185</v>
      </c>
      <c r="H5217" s="364" t="s">
        <v>1225</v>
      </c>
    </row>
    <row r="5218" ht="15.75" customHeight="1">
      <c r="A5218" s="364" t="s">
        <v>90</v>
      </c>
      <c r="B5218" s="364" t="s">
        <v>22</v>
      </c>
      <c r="C5218" s="365" t="s">
        <v>500</v>
      </c>
      <c r="D5218" s="364" t="s">
        <v>501</v>
      </c>
      <c r="E5218" s="366">
        <v>9.0</v>
      </c>
      <c r="F5218" s="367">
        <v>45986.58333333333</v>
      </c>
      <c r="G5218" s="364" t="s">
        <v>1185</v>
      </c>
      <c r="H5218" s="364" t="s">
        <v>1225</v>
      </c>
    </row>
    <row r="5219" ht="15.75" customHeight="1">
      <c r="A5219" s="364" t="s">
        <v>90</v>
      </c>
      <c r="B5219" s="364" t="s">
        <v>22</v>
      </c>
      <c r="C5219" s="365" t="s">
        <v>500</v>
      </c>
      <c r="D5219" s="364" t="s">
        <v>501</v>
      </c>
      <c r="E5219" s="366">
        <v>10.0</v>
      </c>
      <c r="F5219" s="367">
        <v>45993.58333333333</v>
      </c>
      <c r="G5219" s="364" t="s">
        <v>1185</v>
      </c>
      <c r="H5219" s="364" t="s">
        <v>1225</v>
      </c>
    </row>
    <row r="5220" ht="15.75" customHeight="1">
      <c r="A5220" s="364" t="s">
        <v>90</v>
      </c>
      <c r="B5220" s="364" t="s">
        <v>22</v>
      </c>
      <c r="C5220" s="365" t="s">
        <v>502</v>
      </c>
      <c r="D5220" s="364" t="s">
        <v>503</v>
      </c>
      <c r="E5220" s="366">
        <v>1.0</v>
      </c>
      <c r="F5220" s="367">
        <v>45917.58333333333</v>
      </c>
      <c r="G5220" s="364" t="s">
        <v>1187</v>
      </c>
      <c r="H5220" s="364" t="s">
        <v>1225</v>
      </c>
    </row>
    <row r="5221" ht="15.75" customHeight="1">
      <c r="A5221" s="364" t="s">
        <v>90</v>
      </c>
      <c r="B5221" s="364" t="s">
        <v>22</v>
      </c>
      <c r="C5221" s="365" t="s">
        <v>502</v>
      </c>
      <c r="D5221" s="364" t="s">
        <v>503</v>
      </c>
      <c r="E5221" s="366">
        <v>2.0</v>
      </c>
      <c r="F5221" s="367">
        <v>45923.54166666667</v>
      </c>
      <c r="G5221" s="364" t="s">
        <v>1187</v>
      </c>
      <c r="H5221" s="364" t="s">
        <v>1225</v>
      </c>
    </row>
    <row r="5222" ht="15.75" customHeight="1">
      <c r="A5222" s="364" t="s">
        <v>90</v>
      </c>
      <c r="B5222" s="364" t="s">
        <v>22</v>
      </c>
      <c r="C5222" s="365" t="s">
        <v>502</v>
      </c>
      <c r="D5222" s="364" t="s">
        <v>503</v>
      </c>
      <c r="E5222" s="366">
        <v>3.0</v>
      </c>
      <c r="F5222" s="367">
        <v>45930.54166666667</v>
      </c>
      <c r="G5222" s="364" t="s">
        <v>1185</v>
      </c>
      <c r="H5222" s="364" t="s">
        <v>1225</v>
      </c>
    </row>
    <row r="5223" ht="15.75" customHeight="1">
      <c r="A5223" s="364" t="s">
        <v>90</v>
      </c>
      <c r="B5223" s="364" t="s">
        <v>22</v>
      </c>
      <c r="C5223" s="365" t="s">
        <v>502</v>
      </c>
      <c r="D5223" s="364" t="s">
        <v>503</v>
      </c>
      <c r="E5223" s="366">
        <v>4.0</v>
      </c>
      <c r="F5223" s="367">
        <v>45937.54166666667</v>
      </c>
      <c r="G5223" s="364" t="s">
        <v>1187</v>
      </c>
      <c r="H5223" s="364" t="s">
        <v>1225</v>
      </c>
    </row>
    <row r="5224" ht="15.75" customHeight="1">
      <c r="A5224" s="364" t="s">
        <v>90</v>
      </c>
      <c r="B5224" s="364" t="s">
        <v>22</v>
      </c>
      <c r="C5224" s="365" t="s">
        <v>502</v>
      </c>
      <c r="D5224" s="364" t="s">
        <v>503</v>
      </c>
      <c r="E5224" s="366">
        <v>5.0</v>
      </c>
      <c r="F5224" s="367">
        <v>45944.54166666667</v>
      </c>
      <c r="G5224" s="364" t="s">
        <v>1187</v>
      </c>
      <c r="H5224" s="364" t="s">
        <v>1225</v>
      </c>
    </row>
    <row r="5225" ht="15.75" customHeight="1">
      <c r="A5225" s="364" t="s">
        <v>90</v>
      </c>
      <c r="B5225" s="364" t="s">
        <v>22</v>
      </c>
      <c r="C5225" s="365" t="s">
        <v>502</v>
      </c>
      <c r="D5225" s="364" t="s">
        <v>503</v>
      </c>
      <c r="E5225" s="366">
        <v>6.0</v>
      </c>
      <c r="F5225" s="367">
        <v>45958.54166666667</v>
      </c>
      <c r="G5225" s="364" t="s">
        <v>1187</v>
      </c>
      <c r="H5225" s="364" t="s">
        <v>1225</v>
      </c>
    </row>
    <row r="5226" ht="15.75" customHeight="1">
      <c r="A5226" s="364" t="s">
        <v>90</v>
      </c>
      <c r="B5226" s="364" t="s">
        <v>22</v>
      </c>
      <c r="C5226" s="365" t="s">
        <v>502</v>
      </c>
      <c r="D5226" s="364" t="s">
        <v>503</v>
      </c>
      <c r="E5226" s="366">
        <v>7.0</v>
      </c>
      <c r="F5226" s="367">
        <v>45965.58333333333</v>
      </c>
      <c r="G5226" s="364" t="s">
        <v>1187</v>
      </c>
      <c r="H5226" s="364" t="s">
        <v>1225</v>
      </c>
    </row>
    <row r="5227" ht="15.75" customHeight="1">
      <c r="A5227" s="364" t="s">
        <v>90</v>
      </c>
      <c r="B5227" s="364" t="s">
        <v>22</v>
      </c>
      <c r="C5227" s="365" t="s">
        <v>502</v>
      </c>
      <c r="D5227" s="364" t="s">
        <v>503</v>
      </c>
      <c r="E5227" s="366">
        <v>8.0</v>
      </c>
      <c r="F5227" s="367">
        <v>45979.58333333333</v>
      </c>
      <c r="G5227" s="364" t="s">
        <v>1187</v>
      </c>
      <c r="H5227" s="364" t="s">
        <v>1225</v>
      </c>
    </row>
    <row r="5228" ht="15.75" customHeight="1">
      <c r="A5228" s="364" t="s">
        <v>90</v>
      </c>
      <c r="B5228" s="364" t="s">
        <v>22</v>
      </c>
      <c r="C5228" s="365" t="s">
        <v>502</v>
      </c>
      <c r="D5228" s="364" t="s">
        <v>503</v>
      </c>
      <c r="E5228" s="366">
        <v>9.0</v>
      </c>
      <c r="F5228" s="367">
        <v>45986.58333333333</v>
      </c>
      <c r="G5228" s="364" t="s">
        <v>1187</v>
      </c>
      <c r="H5228" s="364" t="s">
        <v>1225</v>
      </c>
    </row>
    <row r="5229" ht="15.75" customHeight="1">
      <c r="A5229" s="364" t="s">
        <v>90</v>
      </c>
      <c r="B5229" s="364" t="s">
        <v>22</v>
      </c>
      <c r="C5229" s="365" t="s">
        <v>502</v>
      </c>
      <c r="D5229" s="364" t="s">
        <v>503</v>
      </c>
      <c r="E5229" s="366">
        <v>10.0</v>
      </c>
      <c r="F5229" s="367">
        <v>45993.58333333333</v>
      </c>
      <c r="G5229" s="364" t="s">
        <v>1187</v>
      </c>
      <c r="H5229" s="364" t="s">
        <v>1225</v>
      </c>
    </row>
    <row r="5230" ht="15.75" customHeight="1">
      <c r="A5230" s="364" t="s">
        <v>90</v>
      </c>
      <c r="B5230" s="364" t="s">
        <v>22</v>
      </c>
      <c r="C5230" s="365" t="s">
        <v>504</v>
      </c>
      <c r="D5230" s="364" t="s">
        <v>279</v>
      </c>
      <c r="E5230" s="366">
        <v>1.0</v>
      </c>
      <c r="F5230" s="367">
        <v>45917.58333333333</v>
      </c>
      <c r="G5230" s="364" t="s">
        <v>1185</v>
      </c>
      <c r="H5230" s="364" t="s">
        <v>1225</v>
      </c>
    </row>
    <row r="5231" ht="15.75" customHeight="1">
      <c r="A5231" s="364" t="s">
        <v>90</v>
      </c>
      <c r="B5231" s="364" t="s">
        <v>22</v>
      </c>
      <c r="C5231" s="365" t="s">
        <v>504</v>
      </c>
      <c r="D5231" s="364" t="s">
        <v>279</v>
      </c>
      <c r="E5231" s="366">
        <v>2.0</v>
      </c>
      <c r="F5231" s="367">
        <v>45923.54166666667</v>
      </c>
      <c r="G5231" s="364" t="s">
        <v>1185</v>
      </c>
      <c r="H5231" s="364" t="s">
        <v>1225</v>
      </c>
    </row>
    <row r="5232" ht="15.75" customHeight="1">
      <c r="A5232" s="364" t="s">
        <v>90</v>
      </c>
      <c r="B5232" s="364" t="s">
        <v>22</v>
      </c>
      <c r="C5232" s="365" t="s">
        <v>504</v>
      </c>
      <c r="D5232" s="364" t="s">
        <v>279</v>
      </c>
      <c r="E5232" s="366">
        <v>3.0</v>
      </c>
      <c r="F5232" s="367">
        <v>45930.54166666667</v>
      </c>
      <c r="G5232" s="364" t="s">
        <v>1185</v>
      </c>
      <c r="H5232" s="364" t="s">
        <v>1225</v>
      </c>
    </row>
    <row r="5233" ht="15.75" customHeight="1">
      <c r="A5233" s="364" t="s">
        <v>90</v>
      </c>
      <c r="B5233" s="364" t="s">
        <v>22</v>
      </c>
      <c r="C5233" s="365" t="s">
        <v>504</v>
      </c>
      <c r="D5233" s="364" t="s">
        <v>279</v>
      </c>
      <c r="E5233" s="366">
        <v>4.0</v>
      </c>
      <c r="F5233" s="367">
        <v>45937.54166666667</v>
      </c>
      <c r="G5233" s="364" t="s">
        <v>1185</v>
      </c>
      <c r="H5233" s="364" t="s">
        <v>1225</v>
      </c>
    </row>
    <row r="5234" ht="15.75" customHeight="1">
      <c r="A5234" s="364" t="s">
        <v>90</v>
      </c>
      <c r="B5234" s="364" t="s">
        <v>22</v>
      </c>
      <c r="C5234" s="365" t="s">
        <v>504</v>
      </c>
      <c r="D5234" s="364" t="s">
        <v>279</v>
      </c>
      <c r="E5234" s="366">
        <v>5.0</v>
      </c>
      <c r="F5234" s="367">
        <v>45944.54166666667</v>
      </c>
      <c r="G5234" s="364" t="s">
        <v>1185</v>
      </c>
      <c r="H5234" s="364" t="s">
        <v>1225</v>
      </c>
    </row>
    <row r="5235" ht="15.75" customHeight="1">
      <c r="A5235" s="364" t="s">
        <v>90</v>
      </c>
      <c r="B5235" s="364" t="s">
        <v>22</v>
      </c>
      <c r="C5235" s="365" t="s">
        <v>504</v>
      </c>
      <c r="D5235" s="364" t="s">
        <v>279</v>
      </c>
      <c r="E5235" s="366">
        <v>6.0</v>
      </c>
      <c r="F5235" s="367">
        <v>45958.54166666667</v>
      </c>
      <c r="G5235" s="364" t="s">
        <v>1185</v>
      </c>
      <c r="H5235" s="364" t="s">
        <v>1225</v>
      </c>
    </row>
    <row r="5236" ht="15.75" customHeight="1">
      <c r="A5236" s="364" t="s">
        <v>90</v>
      </c>
      <c r="B5236" s="364" t="s">
        <v>22</v>
      </c>
      <c r="C5236" s="365" t="s">
        <v>504</v>
      </c>
      <c r="D5236" s="364" t="s">
        <v>279</v>
      </c>
      <c r="E5236" s="366">
        <v>7.0</v>
      </c>
      <c r="F5236" s="367">
        <v>45965.58333333333</v>
      </c>
      <c r="G5236" s="364" t="s">
        <v>1185</v>
      </c>
      <c r="H5236" s="364" t="s">
        <v>1225</v>
      </c>
    </row>
    <row r="5237" ht="15.75" customHeight="1">
      <c r="A5237" s="364" t="s">
        <v>90</v>
      </c>
      <c r="B5237" s="364" t="s">
        <v>22</v>
      </c>
      <c r="C5237" s="365" t="s">
        <v>504</v>
      </c>
      <c r="D5237" s="364" t="s">
        <v>279</v>
      </c>
      <c r="E5237" s="366">
        <v>8.0</v>
      </c>
      <c r="F5237" s="367">
        <v>45979.58333333333</v>
      </c>
      <c r="G5237" s="364" t="s">
        <v>1185</v>
      </c>
      <c r="H5237" s="364" t="s">
        <v>1225</v>
      </c>
    </row>
    <row r="5238" ht="15.75" customHeight="1">
      <c r="A5238" s="364" t="s">
        <v>90</v>
      </c>
      <c r="B5238" s="364" t="s">
        <v>22</v>
      </c>
      <c r="C5238" s="365" t="s">
        <v>504</v>
      </c>
      <c r="D5238" s="364" t="s">
        <v>279</v>
      </c>
      <c r="E5238" s="366">
        <v>9.0</v>
      </c>
      <c r="F5238" s="367">
        <v>45986.58333333333</v>
      </c>
      <c r="G5238" s="364" t="s">
        <v>1185</v>
      </c>
      <c r="H5238" s="364" t="s">
        <v>1225</v>
      </c>
    </row>
    <row r="5239" ht="15.75" customHeight="1">
      <c r="A5239" s="364" t="s">
        <v>90</v>
      </c>
      <c r="B5239" s="364" t="s">
        <v>22</v>
      </c>
      <c r="C5239" s="365" t="s">
        <v>504</v>
      </c>
      <c r="D5239" s="364" t="s">
        <v>279</v>
      </c>
      <c r="E5239" s="366">
        <v>10.0</v>
      </c>
      <c r="F5239" s="367">
        <v>45993.58333333333</v>
      </c>
      <c r="G5239" s="364" t="s">
        <v>1185</v>
      </c>
      <c r="H5239" s="364" t="s">
        <v>1225</v>
      </c>
    </row>
    <row r="5240" ht="15.75" customHeight="1">
      <c r="A5240" s="364" t="s">
        <v>90</v>
      </c>
      <c r="B5240" s="364" t="s">
        <v>22</v>
      </c>
      <c r="C5240" s="365" t="s">
        <v>506</v>
      </c>
      <c r="D5240" s="364" t="s">
        <v>507</v>
      </c>
      <c r="E5240" s="366">
        <v>1.0</v>
      </c>
      <c r="F5240" s="367">
        <v>45917.58333333333</v>
      </c>
      <c r="G5240" s="364" t="s">
        <v>1187</v>
      </c>
      <c r="H5240" s="364" t="s">
        <v>1225</v>
      </c>
    </row>
    <row r="5241" ht="15.75" customHeight="1">
      <c r="A5241" s="364" t="s">
        <v>90</v>
      </c>
      <c r="B5241" s="364" t="s">
        <v>22</v>
      </c>
      <c r="C5241" s="365" t="s">
        <v>506</v>
      </c>
      <c r="D5241" s="364" t="s">
        <v>507</v>
      </c>
      <c r="E5241" s="366">
        <v>2.0</v>
      </c>
      <c r="F5241" s="367">
        <v>45923.54166666667</v>
      </c>
      <c r="G5241" s="364" t="s">
        <v>1185</v>
      </c>
      <c r="H5241" s="364" t="s">
        <v>1225</v>
      </c>
    </row>
    <row r="5242" ht="15.75" customHeight="1">
      <c r="A5242" s="364" t="s">
        <v>90</v>
      </c>
      <c r="B5242" s="364" t="s">
        <v>22</v>
      </c>
      <c r="C5242" s="365" t="s">
        <v>506</v>
      </c>
      <c r="D5242" s="364" t="s">
        <v>507</v>
      </c>
      <c r="E5242" s="366">
        <v>3.0</v>
      </c>
      <c r="F5242" s="367">
        <v>45930.54166666667</v>
      </c>
      <c r="G5242" s="364" t="s">
        <v>1185</v>
      </c>
      <c r="H5242" s="364" t="s">
        <v>1225</v>
      </c>
    </row>
    <row r="5243" ht="15.75" customHeight="1">
      <c r="A5243" s="364" t="s">
        <v>90</v>
      </c>
      <c r="B5243" s="364" t="s">
        <v>22</v>
      </c>
      <c r="C5243" s="365" t="s">
        <v>506</v>
      </c>
      <c r="D5243" s="364" t="s">
        <v>507</v>
      </c>
      <c r="E5243" s="366">
        <v>4.0</v>
      </c>
      <c r="F5243" s="367">
        <v>45937.54166666667</v>
      </c>
      <c r="G5243" s="364" t="s">
        <v>1187</v>
      </c>
      <c r="H5243" s="364" t="s">
        <v>1225</v>
      </c>
    </row>
    <row r="5244" ht="15.75" customHeight="1">
      <c r="A5244" s="364" t="s">
        <v>90</v>
      </c>
      <c r="B5244" s="364" t="s">
        <v>22</v>
      </c>
      <c r="C5244" s="365" t="s">
        <v>506</v>
      </c>
      <c r="D5244" s="364" t="s">
        <v>507</v>
      </c>
      <c r="E5244" s="366">
        <v>5.0</v>
      </c>
      <c r="F5244" s="367">
        <v>45944.54166666667</v>
      </c>
      <c r="G5244" s="364" t="s">
        <v>1185</v>
      </c>
      <c r="H5244" s="364" t="s">
        <v>1225</v>
      </c>
    </row>
    <row r="5245" ht="15.75" customHeight="1">
      <c r="A5245" s="364" t="s">
        <v>90</v>
      </c>
      <c r="B5245" s="364" t="s">
        <v>22</v>
      </c>
      <c r="C5245" s="365" t="s">
        <v>506</v>
      </c>
      <c r="D5245" s="364" t="s">
        <v>507</v>
      </c>
      <c r="E5245" s="366">
        <v>6.0</v>
      </c>
      <c r="F5245" s="367">
        <v>45958.54166666667</v>
      </c>
      <c r="G5245" s="364" t="s">
        <v>1185</v>
      </c>
      <c r="H5245" s="364" t="s">
        <v>1225</v>
      </c>
    </row>
    <row r="5246" ht="15.75" customHeight="1">
      <c r="A5246" s="364" t="s">
        <v>90</v>
      </c>
      <c r="B5246" s="364" t="s">
        <v>22</v>
      </c>
      <c r="C5246" s="365" t="s">
        <v>506</v>
      </c>
      <c r="D5246" s="364" t="s">
        <v>507</v>
      </c>
      <c r="E5246" s="366">
        <v>7.0</v>
      </c>
      <c r="F5246" s="367">
        <v>45965.58333333333</v>
      </c>
      <c r="G5246" s="364" t="s">
        <v>1187</v>
      </c>
      <c r="H5246" s="364" t="s">
        <v>1225</v>
      </c>
    </row>
    <row r="5247" ht="15.75" customHeight="1">
      <c r="A5247" s="364" t="s">
        <v>90</v>
      </c>
      <c r="B5247" s="364" t="s">
        <v>22</v>
      </c>
      <c r="C5247" s="365" t="s">
        <v>506</v>
      </c>
      <c r="D5247" s="364" t="s">
        <v>507</v>
      </c>
      <c r="E5247" s="366">
        <v>8.0</v>
      </c>
      <c r="F5247" s="367">
        <v>45979.58333333333</v>
      </c>
      <c r="G5247" s="364" t="s">
        <v>1187</v>
      </c>
      <c r="H5247" s="364" t="s">
        <v>1225</v>
      </c>
    </row>
    <row r="5248" ht="15.75" customHeight="1">
      <c r="A5248" s="364" t="s">
        <v>90</v>
      </c>
      <c r="B5248" s="364" t="s">
        <v>22</v>
      </c>
      <c r="C5248" s="365" t="s">
        <v>506</v>
      </c>
      <c r="D5248" s="364" t="s">
        <v>507</v>
      </c>
      <c r="E5248" s="366">
        <v>9.0</v>
      </c>
      <c r="F5248" s="367">
        <v>45986.58333333333</v>
      </c>
      <c r="G5248" s="364" t="s">
        <v>1187</v>
      </c>
      <c r="H5248" s="364" t="s">
        <v>1225</v>
      </c>
    </row>
    <row r="5249" ht="15.75" customHeight="1">
      <c r="A5249" s="364" t="s">
        <v>90</v>
      </c>
      <c r="B5249" s="364" t="s">
        <v>22</v>
      </c>
      <c r="C5249" s="365" t="s">
        <v>506</v>
      </c>
      <c r="D5249" s="364" t="s">
        <v>507</v>
      </c>
      <c r="E5249" s="366">
        <v>10.0</v>
      </c>
      <c r="F5249" s="367">
        <v>45993.58333333333</v>
      </c>
      <c r="G5249" s="364" t="s">
        <v>1187</v>
      </c>
      <c r="H5249" s="364" t="s">
        <v>1225</v>
      </c>
    </row>
    <row r="5250" ht="15.75" customHeight="1">
      <c r="A5250" s="364" t="s">
        <v>90</v>
      </c>
      <c r="B5250" s="364" t="s">
        <v>22</v>
      </c>
      <c r="C5250" s="365" t="s">
        <v>508</v>
      </c>
      <c r="D5250" s="364" t="s">
        <v>509</v>
      </c>
      <c r="E5250" s="366">
        <v>1.0</v>
      </c>
      <c r="F5250" s="367">
        <v>45917.58333333333</v>
      </c>
      <c r="G5250" s="364" t="s">
        <v>1187</v>
      </c>
      <c r="H5250" s="364" t="s">
        <v>1225</v>
      </c>
    </row>
    <row r="5251" ht="15.75" customHeight="1">
      <c r="A5251" s="364" t="s">
        <v>90</v>
      </c>
      <c r="B5251" s="364" t="s">
        <v>22</v>
      </c>
      <c r="C5251" s="365" t="s">
        <v>508</v>
      </c>
      <c r="D5251" s="364" t="s">
        <v>509</v>
      </c>
      <c r="E5251" s="366">
        <v>2.0</v>
      </c>
      <c r="F5251" s="367">
        <v>45923.54166666667</v>
      </c>
      <c r="G5251" s="364" t="s">
        <v>1185</v>
      </c>
      <c r="H5251" s="364" t="s">
        <v>1225</v>
      </c>
    </row>
    <row r="5252" ht="15.75" customHeight="1">
      <c r="A5252" s="364" t="s">
        <v>90</v>
      </c>
      <c r="B5252" s="364" t="s">
        <v>22</v>
      </c>
      <c r="C5252" s="365" t="s">
        <v>508</v>
      </c>
      <c r="D5252" s="364" t="s">
        <v>509</v>
      </c>
      <c r="E5252" s="366">
        <v>3.0</v>
      </c>
      <c r="F5252" s="367">
        <v>45930.54166666667</v>
      </c>
      <c r="G5252" s="364" t="s">
        <v>1187</v>
      </c>
      <c r="H5252" s="364" t="s">
        <v>1225</v>
      </c>
    </row>
    <row r="5253" ht="15.75" customHeight="1">
      <c r="A5253" s="364" t="s">
        <v>90</v>
      </c>
      <c r="B5253" s="364" t="s">
        <v>22</v>
      </c>
      <c r="C5253" s="365" t="s">
        <v>508</v>
      </c>
      <c r="D5253" s="364" t="s">
        <v>509</v>
      </c>
      <c r="E5253" s="366">
        <v>4.0</v>
      </c>
      <c r="F5253" s="367">
        <v>45937.54166666667</v>
      </c>
      <c r="G5253" s="364" t="s">
        <v>1185</v>
      </c>
      <c r="H5253" s="364" t="s">
        <v>1225</v>
      </c>
    </row>
    <row r="5254" ht="15.75" customHeight="1">
      <c r="A5254" s="364" t="s">
        <v>90</v>
      </c>
      <c r="B5254" s="364" t="s">
        <v>22</v>
      </c>
      <c r="C5254" s="365" t="s">
        <v>508</v>
      </c>
      <c r="D5254" s="364" t="s">
        <v>509</v>
      </c>
      <c r="E5254" s="366">
        <v>5.0</v>
      </c>
      <c r="F5254" s="367">
        <v>45944.54166666667</v>
      </c>
      <c r="G5254" s="364" t="s">
        <v>1185</v>
      </c>
      <c r="H5254" s="364" t="s">
        <v>1225</v>
      </c>
    </row>
    <row r="5255" ht="15.75" customHeight="1">
      <c r="A5255" s="364" t="s">
        <v>90</v>
      </c>
      <c r="B5255" s="364" t="s">
        <v>22</v>
      </c>
      <c r="C5255" s="365" t="s">
        <v>508</v>
      </c>
      <c r="D5255" s="364" t="s">
        <v>509</v>
      </c>
      <c r="E5255" s="366">
        <v>6.0</v>
      </c>
      <c r="F5255" s="367">
        <v>45958.54166666667</v>
      </c>
      <c r="G5255" s="364" t="s">
        <v>1187</v>
      </c>
      <c r="H5255" s="364" t="s">
        <v>1225</v>
      </c>
    </row>
    <row r="5256" ht="15.75" customHeight="1">
      <c r="A5256" s="364" t="s">
        <v>90</v>
      </c>
      <c r="B5256" s="364" t="s">
        <v>22</v>
      </c>
      <c r="C5256" s="365" t="s">
        <v>508</v>
      </c>
      <c r="D5256" s="364" t="s">
        <v>509</v>
      </c>
      <c r="E5256" s="366">
        <v>7.0</v>
      </c>
      <c r="F5256" s="367">
        <v>45965.58333333333</v>
      </c>
      <c r="G5256" s="364" t="s">
        <v>1187</v>
      </c>
      <c r="H5256" s="364" t="s">
        <v>1225</v>
      </c>
    </row>
    <row r="5257" ht="15.75" customHeight="1">
      <c r="A5257" s="364" t="s">
        <v>90</v>
      </c>
      <c r="B5257" s="364" t="s">
        <v>22</v>
      </c>
      <c r="C5257" s="365" t="s">
        <v>508</v>
      </c>
      <c r="D5257" s="364" t="s">
        <v>509</v>
      </c>
      <c r="E5257" s="366">
        <v>8.0</v>
      </c>
      <c r="F5257" s="367">
        <v>45979.58333333333</v>
      </c>
      <c r="G5257" s="364" t="s">
        <v>1187</v>
      </c>
      <c r="H5257" s="364" t="s">
        <v>1225</v>
      </c>
    </row>
    <row r="5258" ht="15.75" customHeight="1">
      <c r="A5258" s="364" t="s">
        <v>90</v>
      </c>
      <c r="B5258" s="364" t="s">
        <v>22</v>
      </c>
      <c r="C5258" s="365" t="s">
        <v>508</v>
      </c>
      <c r="D5258" s="364" t="s">
        <v>509</v>
      </c>
      <c r="E5258" s="366">
        <v>9.0</v>
      </c>
      <c r="F5258" s="367">
        <v>45986.58333333333</v>
      </c>
      <c r="G5258" s="364" t="s">
        <v>1187</v>
      </c>
      <c r="H5258" s="364" t="s">
        <v>1225</v>
      </c>
    </row>
    <row r="5259" ht="15.75" customHeight="1">
      <c r="A5259" s="364" t="s">
        <v>90</v>
      </c>
      <c r="B5259" s="364" t="s">
        <v>22</v>
      </c>
      <c r="C5259" s="365" t="s">
        <v>508</v>
      </c>
      <c r="D5259" s="364" t="s">
        <v>509</v>
      </c>
      <c r="E5259" s="366">
        <v>10.0</v>
      </c>
      <c r="F5259" s="367">
        <v>45993.58333333333</v>
      </c>
      <c r="G5259" s="364" t="s">
        <v>1187</v>
      </c>
      <c r="H5259" s="364" t="s">
        <v>1225</v>
      </c>
    </row>
    <row r="5260" ht="15.75" customHeight="1">
      <c r="A5260" s="364" t="s">
        <v>90</v>
      </c>
      <c r="B5260" s="364" t="s">
        <v>22</v>
      </c>
      <c r="C5260" s="365" t="s">
        <v>629</v>
      </c>
      <c r="D5260" s="364" t="s">
        <v>630</v>
      </c>
      <c r="E5260" s="366">
        <v>1.0</v>
      </c>
      <c r="F5260" s="367">
        <v>45917.58333333333</v>
      </c>
      <c r="G5260" s="364" t="s">
        <v>1185</v>
      </c>
      <c r="H5260" s="364" t="s">
        <v>1225</v>
      </c>
    </row>
    <row r="5261" ht="15.75" customHeight="1">
      <c r="A5261" s="364" t="s">
        <v>90</v>
      </c>
      <c r="B5261" s="364" t="s">
        <v>22</v>
      </c>
      <c r="C5261" s="365" t="s">
        <v>629</v>
      </c>
      <c r="D5261" s="364" t="s">
        <v>630</v>
      </c>
      <c r="E5261" s="366">
        <v>2.0</v>
      </c>
      <c r="F5261" s="367">
        <v>45923.54166666667</v>
      </c>
      <c r="G5261" s="364" t="s">
        <v>1185</v>
      </c>
      <c r="H5261" s="364" t="s">
        <v>1225</v>
      </c>
    </row>
    <row r="5262" ht="15.75" customHeight="1">
      <c r="A5262" s="364" t="s">
        <v>90</v>
      </c>
      <c r="B5262" s="364" t="s">
        <v>22</v>
      </c>
      <c r="C5262" s="365" t="s">
        <v>629</v>
      </c>
      <c r="D5262" s="364" t="s">
        <v>630</v>
      </c>
      <c r="E5262" s="366">
        <v>3.0</v>
      </c>
      <c r="F5262" s="367">
        <v>45930.54166666667</v>
      </c>
      <c r="G5262" s="364" t="s">
        <v>1185</v>
      </c>
      <c r="H5262" s="364" t="s">
        <v>1225</v>
      </c>
    </row>
    <row r="5263" ht="15.75" customHeight="1">
      <c r="A5263" s="364" t="s">
        <v>90</v>
      </c>
      <c r="B5263" s="364" t="s">
        <v>22</v>
      </c>
      <c r="C5263" s="365" t="s">
        <v>629</v>
      </c>
      <c r="D5263" s="364" t="s">
        <v>630</v>
      </c>
      <c r="E5263" s="366">
        <v>4.0</v>
      </c>
      <c r="F5263" s="367">
        <v>45937.54166666667</v>
      </c>
      <c r="G5263" s="364" t="s">
        <v>1185</v>
      </c>
      <c r="H5263" s="364" t="s">
        <v>1225</v>
      </c>
    </row>
    <row r="5264" ht="15.75" customHeight="1">
      <c r="A5264" s="364" t="s">
        <v>90</v>
      </c>
      <c r="B5264" s="364" t="s">
        <v>22</v>
      </c>
      <c r="C5264" s="365" t="s">
        <v>629</v>
      </c>
      <c r="D5264" s="364" t="s">
        <v>630</v>
      </c>
      <c r="E5264" s="366">
        <v>5.0</v>
      </c>
      <c r="F5264" s="367">
        <v>45944.54166666667</v>
      </c>
      <c r="G5264" s="364" t="s">
        <v>1185</v>
      </c>
      <c r="H5264" s="364" t="s">
        <v>1225</v>
      </c>
    </row>
    <row r="5265" ht="15.75" customHeight="1">
      <c r="A5265" s="364" t="s">
        <v>90</v>
      </c>
      <c r="B5265" s="364" t="s">
        <v>22</v>
      </c>
      <c r="C5265" s="365" t="s">
        <v>629</v>
      </c>
      <c r="D5265" s="364" t="s">
        <v>630</v>
      </c>
      <c r="E5265" s="366">
        <v>6.0</v>
      </c>
      <c r="F5265" s="367">
        <v>45958.54166666667</v>
      </c>
      <c r="G5265" s="364" t="s">
        <v>1185</v>
      </c>
      <c r="H5265" s="364" t="s">
        <v>1225</v>
      </c>
    </row>
    <row r="5266" ht="15.75" customHeight="1">
      <c r="A5266" s="364" t="s">
        <v>90</v>
      </c>
      <c r="B5266" s="364" t="s">
        <v>22</v>
      </c>
      <c r="C5266" s="365" t="s">
        <v>629</v>
      </c>
      <c r="D5266" s="364" t="s">
        <v>630</v>
      </c>
      <c r="E5266" s="366">
        <v>7.0</v>
      </c>
      <c r="F5266" s="367">
        <v>45965.58333333333</v>
      </c>
      <c r="G5266" s="364" t="s">
        <v>1185</v>
      </c>
      <c r="H5266" s="364" t="s">
        <v>1225</v>
      </c>
    </row>
    <row r="5267" ht="15.75" customHeight="1">
      <c r="A5267" s="364" t="s">
        <v>90</v>
      </c>
      <c r="B5267" s="364" t="s">
        <v>22</v>
      </c>
      <c r="C5267" s="365" t="s">
        <v>629</v>
      </c>
      <c r="D5267" s="364" t="s">
        <v>630</v>
      </c>
      <c r="E5267" s="366">
        <v>8.0</v>
      </c>
      <c r="F5267" s="367">
        <v>45979.58333333333</v>
      </c>
      <c r="G5267" s="364" t="s">
        <v>1185</v>
      </c>
      <c r="H5267" s="364" t="s">
        <v>1225</v>
      </c>
    </row>
    <row r="5268" ht="15.75" customHeight="1">
      <c r="A5268" s="364" t="s">
        <v>90</v>
      </c>
      <c r="B5268" s="364" t="s">
        <v>22</v>
      </c>
      <c r="C5268" s="365" t="s">
        <v>629</v>
      </c>
      <c r="D5268" s="364" t="s">
        <v>630</v>
      </c>
      <c r="E5268" s="366">
        <v>9.0</v>
      </c>
      <c r="F5268" s="367">
        <v>45986.58333333333</v>
      </c>
      <c r="G5268" s="364" t="s">
        <v>1185</v>
      </c>
      <c r="H5268" s="364" t="s">
        <v>1225</v>
      </c>
    </row>
    <row r="5269" ht="15.75" customHeight="1">
      <c r="A5269" s="364" t="s">
        <v>90</v>
      </c>
      <c r="B5269" s="364" t="s">
        <v>22</v>
      </c>
      <c r="C5269" s="365" t="s">
        <v>629</v>
      </c>
      <c r="D5269" s="364" t="s">
        <v>630</v>
      </c>
      <c r="E5269" s="366">
        <v>10.0</v>
      </c>
      <c r="F5269" s="367">
        <v>45993.58333333333</v>
      </c>
      <c r="G5269" s="364" t="s">
        <v>1185</v>
      </c>
      <c r="H5269" s="364" t="s">
        <v>1225</v>
      </c>
    </row>
    <row r="5270" ht="15.75" customHeight="1">
      <c r="A5270" s="364" t="s">
        <v>90</v>
      </c>
      <c r="B5270" s="364" t="s">
        <v>22</v>
      </c>
      <c r="C5270" s="365" t="s">
        <v>510</v>
      </c>
      <c r="D5270" s="364" t="s">
        <v>511</v>
      </c>
      <c r="E5270" s="366">
        <v>1.0</v>
      </c>
      <c r="F5270" s="367">
        <v>45917.58333333333</v>
      </c>
      <c r="G5270" s="364" t="s">
        <v>1185</v>
      </c>
      <c r="H5270" s="364" t="s">
        <v>1225</v>
      </c>
    </row>
    <row r="5271" ht="15.75" customHeight="1">
      <c r="A5271" s="364" t="s">
        <v>90</v>
      </c>
      <c r="B5271" s="364" t="s">
        <v>22</v>
      </c>
      <c r="C5271" s="365" t="s">
        <v>510</v>
      </c>
      <c r="D5271" s="364" t="s">
        <v>511</v>
      </c>
      <c r="E5271" s="366">
        <v>2.0</v>
      </c>
      <c r="F5271" s="367">
        <v>45923.54166666667</v>
      </c>
      <c r="G5271" s="364" t="s">
        <v>1185</v>
      </c>
      <c r="H5271" s="364" t="s">
        <v>1225</v>
      </c>
    </row>
    <row r="5272" ht="15.75" customHeight="1">
      <c r="A5272" s="364" t="s">
        <v>90</v>
      </c>
      <c r="B5272" s="364" t="s">
        <v>22</v>
      </c>
      <c r="C5272" s="365" t="s">
        <v>510</v>
      </c>
      <c r="D5272" s="364" t="s">
        <v>511</v>
      </c>
      <c r="E5272" s="366">
        <v>3.0</v>
      </c>
      <c r="F5272" s="367">
        <v>45930.54166666667</v>
      </c>
      <c r="G5272" s="364" t="s">
        <v>1185</v>
      </c>
      <c r="H5272" s="364" t="s">
        <v>1225</v>
      </c>
    </row>
    <row r="5273" ht="15.75" customHeight="1">
      <c r="A5273" s="364" t="s">
        <v>90</v>
      </c>
      <c r="B5273" s="364" t="s">
        <v>22</v>
      </c>
      <c r="C5273" s="365" t="s">
        <v>510</v>
      </c>
      <c r="D5273" s="364" t="s">
        <v>511</v>
      </c>
      <c r="E5273" s="366">
        <v>4.0</v>
      </c>
      <c r="F5273" s="367">
        <v>45937.54166666667</v>
      </c>
      <c r="G5273" s="364" t="s">
        <v>1185</v>
      </c>
      <c r="H5273" s="364" t="s">
        <v>1225</v>
      </c>
    </row>
    <row r="5274" ht="15.75" customHeight="1">
      <c r="A5274" s="364" t="s">
        <v>90</v>
      </c>
      <c r="B5274" s="364" t="s">
        <v>22</v>
      </c>
      <c r="C5274" s="365" t="s">
        <v>510</v>
      </c>
      <c r="D5274" s="364" t="s">
        <v>511</v>
      </c>
      <c r="E5274" s="366">
        <v>5.0</v>
      </c>
      <c r="F5274" s="367">
        <v>45944.54166666667</v>
      </c>
      <c r="G5274" s="364" t="s">
        <v>1187</v>
      </c>
      <c r="H5274" s="364" t="s">
        <v>1225</v>
      </c>
    </row>
    <row r="5275" ht="15.75" customHeight="1">
      <c r="A5275" s="364" t="s">
        <v>90</v>
      </c>
      <c r="B5275" s="364" t="s">
        <v>22</v>
      </c>
      <c r="C5275" s="365" t="s">
        <v>510</v>
      </c>
      <c r="D5275" s="364" t="s">
        <v>511</v>
      </c>
      <c r="E5275" s="366">
        <v>6.0</v>
      </c>
      <c r="F5275" s="367">
        <v>45958.54166666667</v>
      </c>
      <c r="G5275" s="364" t="s">
        <v>1185</v>
      </c>
      <c r="H5275" s="364" t="s">
        <v>1225</v>
      </c>
    </row>
    <row r="5276" ht="15.75" customHeight="1">
      <c r="A5276" s="364" t="s">
        <v>90</v>
      </c>
      <c r="B5276" s="364" t="s">
        <v>22</v>
      </c>
      <c r="C5276" s="365" t="s">
        <v>510</v>
      </c>
      <c r="D5276" s="364" t="s">
        <v>511</v>
      </c>
      <c r="E5276" s="366">
        <v>7.0</v>
      </c>
      <c r="F5276" s="367">
        <v>45965.58333333333</v>
      </c>
      <c r="G5276" s="364" t="s">
        <v>1185</v>
      </c>
      <c r="H5276" s="364" t="s">
        <v>1225</v>
      </c>
    </row>
    <row r="5277" ht="15.75" customHeight="1">
      <c r="A5277" s="364" t="s">
        <v>90</v>
      </c>
      <c r="B5277" s="364" t="s">
        <v>22</v>
      </c>
      <c r="C5277" s="365" t="s">
        <v>510</v>
      </c>
      <c r="D5277" s="364" t="s">
        <v>511</v>
      </c>
      <c r="E5277" s="366">
        <v>8.0</v>
      </c>
      <c r="F5277" s="367">
        <v>45979.58333333333</v>
      </c>
      <c r="G5277" s="364" t="s">
        <v>1185</v>
      </c>
      <c r="H5277" s="364" t="s">
        <v>1225</v>
      </c>
    </row>
    <row r="5278" ht="15.75" customHeight="1">
      <c r="A5278" s="364" t="s">
        <v>90</v>
      </c>
      <c r="B5278" s="364" t="s">
        <v>22</v>
      </c>
      <c r="C5278" s="365" t="s">
        <v>510</v>
      </c>
      <c r="D5278" s="364" t="s">
        <v>511</v>
      </c>
      <c r="E5278" s="366">
        <v>9.0</v>
      </c>
      <c r="F5278" s="367">
        <v>45986.58333333333</v>
      </c>
      <c r="G5278" s="364" t="s">
        <v>1185</v>
      </c>
      <c r="H5278" s="364" t="s">
        <v>1225</v>
      </c>
    </row>
    <row r="5279" ht="15.75" customHeight="1">
      <c r="A5279" s="364" t="s">
        <v>90</v>
      </c>
      <c r="B5279" s="364" t="s">
        <v>22</v>
      </c>
      <c r="C5279" s="365" t="s">
        <v>510</v>
      </c>
      <c r="D5279" s="364" t="s">
        <v>511</v>
      </c>
      <c r="E5279" s="366">
        <v>10.0</v>
      </c>
      <c r="F5279" s="367">
        <v>45993.58333333333</v>
      </c>
      <c r="G5279" s="364" t="s">
        <v>1185</v>
      </c>
      <c r="H5279" s="364" t="s">
        <v>1225</v>
      </c>
    </row>
    <row r="5280" ht="15.75" customHeight="1">
      <c r="A5280" s="364" t="s">
        <v>91</v>
      </c>
      <c r="B5280" s="364" t="s">
        <v>22</v>
      </c>
      <c r="C5280" s="365" t="s">
        <v>756</v>
      </c>
      <c r="D5280" s="364" t="s">
        <v>757</v>
      </c>
      <c r="E5280" s="366">
        <v>1.0</v>
      </c>
      <c r="F5280" s="367">
        <v>45909.54166666667</v>
      </c>
      <c r="G5280" s="364" t="s">
        <v>1185</v>
      </c>
      <c r="H5280" s="364" t="s">
        <v>1226</v>
      </c>
    </row>
    <row r="5281" ht="15.75" customHeight="1">
      <c r="A5281" s="364" t="s">
        <v>91</v>
      </c>
      <c r="B5281" s="364" t="s">
        <v>22</v>
      </c>
      <c r="C5281" s="365" t="s">
        <v>756</v>
      </c>
      <c r="D5281" s="364" t="s">
        <v>757</v>
      </c>
      <c r="E5281" s="366">
        <v>3.0</v>
      </c>
      <c r="F5281" s="367">
        <v>45912.625</v>
      </c>
      <c r="G5281" s="364" t="s">
        <v>1185</v>
      </c>
      <c r="H5281" s="364" t="s">
        <v>1226</v>
      </c>
    </row>
    <row r="5282" ht="15.75" customHeight="1">
      <c r="A5282" s="364" t="s">
        <v>91</v>
      </c>
      <c r="B5282" s="364" t="s">
        <v>22</v>
      </c>
      <c r="C5282" s="365" t="s">
        <v>756</v>
      </c>
      <c r="D5282" s="364" t="s">
        <v>757</v>
      </c>
      <c r="E5282" s="366">
        <v>4.0</v>
      </c>
      <c r="F5282" s="367">
        <v>45916.58333333333</v>
      </c>
      <c r="G5282" s="364" t="s">
        <v>1185</v>
      </c>
      <c r="H5282" s="364" t="s">
        <v>1226</v>
      </c>
    </row>
    <row r="5283" ht="15.75" customHeight="1">
      <c r="A5283" s="364" t="s">
        <v>91</v>
      </c>
      <c r="B5283" s="364" t="s">
        <v>22</v>
      </c>
      <c r="C5283" s="365" t="s">
        <v>756</v>
      </c>
      <c r="D5283" s="364" t="s">
        <v>757</v>
      </c>
      <c r="E5283" s="366">
        <v>5.0</v>
      </c>
      <c r="F5283" s="367">
        <v>45925.375</v>
      </c>
      <c r="G5283" s="364" t="s">
        <v>1185</v>
      </c>
      <c r="H5283" s="364" t="s">
        <v>1226</v>
      </c>
    </row>
    <row r="5284" ht="15.75" customHeight="1">
      <c r="A5284" s="364" t="s">
        <v>91</v>
      </c>
      <c r="B5284" s="364" t="s">
        <v>22</v>
      </c>
      <c r="C5284" s="365" t="s">
        <v>756</v>
      </c>
      <c r="D5284" s="364" t="s">
        <v>757</v>
      </c>
      <c r="E5284" s="366">
        <v>6.0</v>
      </c>
      <c r="F5284" s="367">
        <v>45932.54166666667</v>
      </c>
      <c r="G5284" s="364" t="s">
        <v>1185</v>
      </c>
      <c r="H5284" s="364" t="s">
        <v>1226</v>
      </c>
    </row>
    <row r="5285" ht="15.75" customHeight="1">
      <c r="A5285" s="364" t="s">
        <v>91</v>
      </c>
      <c r="B5285" s="364" t="s">
        <v>22</v>
      </c>
      <c r="C5285" s="365" t="s">
        <v>756</v>
      </c>
      <c r="D5285" s="364" t="s">
        <v>757</v>
      </c>
      <c r="E5285" s="366">
        <v>7.0</v>
      </c>
      <c r="F5285" s="367">
        <v>45939.54166666667</v>
      </c>
      <c r="G5285" s="364" t="s">
        <v>1185</v>
      </c>
      <c r="H5285" s="364" t="s">
        <v>1226</v>
      </c>
    </row>
    <row r="5286" ht="15.75" customHeight="1">
      <c r="A5286" s="364" t="s">
        <v>91</v>
      </c>
      <c r="B5286" s="364" t="s">
        <v>22</v>
      </c>
      <c r="C5286" s="365" t="s">
        <v>756</v>
      </c>
      <c r="D5286" s="364" t="s">
        <v>757</v>
      </c>
      <c r="E5286" s="366">
        <v>8.0</v>
      </c>
      <c r="F5286" s="367">
        <v>45946.54166666667</v>
      </c>
      <c r="G5286" s="364" t="s">
        <v>1185</v>
      </c>
      <c r="H5286" s="364" t="s">
        <v>1226</v>
      </c>
    </row>
    <row r="5287" ht="15.75" customHeight="1">
      <c r="A5287" s="364" t="s">
        <v>91</v>
      </c>
      <c r="B5287" s="364" t="s">
        <v>22</v>
      </c>
      <c r="C5287" s="365" t="s">
        <v>756</v>
      </c>
      <c r="D5287" s="364" t="s">
        <v>757</v>
      </c>
      <c r="E5287" s="366">
        <v>9.0</v>
      </c>
      <c r="F5287" s="367">
        <v>45952.54166666667</v>
      </c>
      <c r="G5287" s="364" t="s">
        <v>1185</v>
      </c>
      <c r="H5287" s="364" t="s">
        <v>1226</v>
      </c>
    </row>
    <row r="5288" ht="15.75" customHeight="1">
      <c r="A5288" s="364" t="s">
        <v>91</v>
      </c>
      <c r="B5288" s="364" t="s">
        <v>22</v>
      </c>
      <c r="C5288" s="365" t="s">
        <v>756</v>
      </c>
      <c r="D5288" s="364" t="s">
        <v>757</v>
      </c>
      <c r="E5288" s="366">
        <v>10.0</v>
      </c>
      <c r="F5288" s="367">
        <v>45959.54166666667</v>
      </c>
      <c r="G5288" s="364" t="s">
        <v>1185</v>
      </c>
      <c r="H5288" s="364" t="s">
        <v>1226</v>
      </c>
    </row>
    <row r="5289" ht="15.75" customHeight="1">
      <c r="A5289" s="364" t="s">
        <v>91</v>
      </c>
      <c r="B5289" s="364" t="s">
        <v>22</v>
      </c>
      <c r="C5289" s="365" t="s">
        <v>756</v>
      </c>
      <c r="D5289" s="364" t="s">
        <v>757</v>
      </c>
      <c r="E5289" s="366">
        <v>11.0</v>
      </c>
      <c r="F5289" s="367">
        <v>45964.54166666667</v>
      </c>
      <c r="G5289" s="364" t="s">
        <v>1185</v>
      </c>
      <c r="H5289" s="364" t="s">
        <v>1226</v>
      </c>
    </row>
    <row r="5290" ht="15.75" customHeight="1">
      <c r="A5290" s="364" t="s">
        <v>91</v>
      </c>
      <c r="B5290" s="364" t="s">
        <v>22</v>
      </c>
      <c r="C5290" s="365" t="s">
        <v>756</v>
      </c>
      <c r="D5290" s="364" t="s">
        <v>757</v>
      </c>
      <c r="E5290" s="366">
        <v>12.0</v>
      </c>
      <c r="F5290" s="367">
        <v>45979.54166666667</v>
      </c>
      <c r="G5290" s="364" t="s">
        <v>1185</v>
      </c>
      <c r="H5290" s="364" t="s">
        <v>1226</v>
      </c>
    </row>
    <row r="5291" ht="15.75" customHeight="1">
      <c r="A5291" s="364" t="s">
        <v>91</v>
      </c>
      <c r="B5291" s="364" t="s">
        <v>22</v>
      </c>
      <c r="C5291" s="365" t="s">
        <v>756</v>
      </c>
      <c r="D5291" s="364" t="s">
        <v>757</v>
      </c>
      <c r="E5291" s="366">
        <v>13.0</v>
      </c>
      <c r="F5291" s="367">
        <v>45988.54166666667</v>
      </c>
      <c r="G5291" s="364" t="s">
        <v>1185</v>
      </c>
      <c r="H5291" s="364" t="s">
        <v>1226</v>
      </c>
    </row>
    <row r="5292" ht="15.75" customHeight="1">
      <c r="A5292" s="364" t="s">
        <v>91</v>
      </c>
      <c r="B5292" s="364" t="s">
        <v>22</v>
      </c>
      <c r="C5292" s="365" t="s">
        <v>756</v>
      </c>
      <c r="D5292" s="364" t="s">
        <v>757</v>
      </c>
      <c r="E5292" s="366">
        <v>14.0</v>
      </c>
      <c r="F5292" s="367">
        <v>45995.54166666667</v>
      </c>
      <c r="G5292" s="364" t="s">
        <v>1187</v>
      </c>
      <c r="H5292" s="364" t="s">
        <v>1226</v>
      </c>
    </row>
    <row r="5293" ht="15.75" customHeight="1">
      <c r="A5293" s="364" t="s">
        <v>91</v>
      </c>
      <c r="B5293" s="364" t="s">
        <v>22</v>
      </c>
      <c r="C5293" s="365" t="s">
        <v>756</v>
      </c>
      <c r="D5293" s="364" t="s">
        <v>757</v>
      </c>
      <c r="E5293" s="366">
        <v>15.0</v>
      </c>
      <c r="F5293" s="367">
        <v>46000.54166666667</v>
      </c>
      <c r="G5293" s="364" t="s">
        <v>1185</v>
      </c>
      <c r="H5293" s="364" t="s">
        <v>1226</v>
      </c>
    </row>
    <row r="5294" ht="15.75" customHeight="1">
      <c r="A5294" s="364" t="s">
        <v>91</v>
      </c>
      <c r="B5294" s="364" t="s">
        <v>22</v>
      </c>
      <c r="C5294" s="365" t="s">
        <v>756</v>
      </c>
      <c r="D5294" s="364" t="s">
        <v>757</v>
      </c>
      <c r="E5294" s="366">
        <v>16.0</v>
      </c>
      <c r="F5294" s="367">
        <v>46036.54166666667</v>
      </c>
      <c r="G5294" s="364" t="s">
        <v>1185</v>
      </c>
      <c r="H5294" s="364" t="s">
        <v>1226</v>
      </c>
    </row>
    <row r="5295" ht="15.75" customHeight="1">
      <c r="A5295" s="364" t="s">
        <v>91</v>
      </c>
      <c r="B5295" s="364" t="s">
        <v>22</v>
      </c>
      <c r="C5295" s="365" t="s">
        <v>758</v>
      </c>
      <c r="D5295" s="364" t="s">
        <v>759</v>
      </c>
      <c r="E5295" s="366">
        <v>1.0</v>
      </c>
      <c r="F5295" s="367">
        <v>45909.54166666667</v>
      </c>
      <c r="G5295" s="364" t="s">
        <v>1185</v>
      </c>
      <c r="H5295" s="364" t="s">
        <v>1226</v>
      </c>
    </row>
    <row r="5296" ht="15.75" customHeight="1">
      <c r="A5296" s="364" t="s">
        <v>91</v>
      </c>
      <c r="B5296" s="364" t="s">
        <v>22</v>
      </c>
      <c r="C5296" s="365" t="s">
        <v>758</v>
      </c>
      <c r="D5296" s="364" t="s">
        <v>759</v>
      </c>
      <c r="E5296" s="366">
        <v>3.0</v>
      </c>
      <c r="F5296" s="367">
        <v>45912.625</v>
      </c>
      <c r="G5296" s="364" t="s">
        <v>1185</v>
      </c>
      <c r="H5296" s="364" t="s">
        <v>1226</v>
      </c>
    </row>
    <row r="5297" ht="15.75" customHeight="1">
      <c r="A5297" s="364" t="s">
        <v>91</v>
      </c>
      <c r="B5297" s="364" t="s">
        <v>22</v>
      </c>
      <c r="C5297" s="365" t="s">
        <v>758</v>
      </c>
      <c r="D5297" s="364" t="s">
        <v>759</v>
      </c>
      <c r="E5297" s="366">
        <v>4.0</v>
      </c>
      <c r="F5297" s="367">
        <v>45916.58333333333</v>
      </c>
      <c r="G5297" s="364" t="s">
        <v>1185</v>
      </c>
      <c r="H5297" s="364" t="s">
        <v>1226</v>
      </c>
    </row>
    <row r="5298" ht="15.75" customHeight="1">
      <c r="A5298" s="364" t="s">
        <v>91</v>
      </c>
      <c r="B5298" s="364" t="s">
        <v>22</v>
      </c>
      <c r="C5298" s="365" t="s">
        <v>758</v>
      </c>
      <c r="D5298" s="364" t="s">
        <v>759</v>
      </c>
      <c r="E5298" s="366">
        <v>5.0</v>
      </c>
      <c r="F5298" s="367">
        <v>45925.375</v>
      </c>
      <c r="G5298" s="364" t="s">
        <v>1185</v>
      </c>
      <c r="H5298" s="364" t="s">
        <v>1226</v>
      </c>
    </row>
    <row r="5299" ht="15.75" customHeight="1">
      <c r="A5299" s="364" t="s">
        <v>91</v>
      </c>
      <c r="B5299" s="364" t="s">
        <v>22</v>
      </c>
      <c r="C5299" s="365" t="s">
        <v>758</v>
      </c>
      <c r="D5299" s="364" t="s">
        <v>759</v>
      </c>
      <c r="E5299" s="366">
        <v>6.0</v>
      </c>
      <c r="F5299" s="367">
        <v>45932.54166666667</v>
      </c>
      <c r="G5299" s="364" t="s">
        <v>1185</v>
      </c>
      <c r="H5299" s="364" t="s">
        <v>1226</v>
      </c>
    </row>
    <row r="5300" ht="15.75" customHeight="1">
      <c r="A5300" s="364" t="s">
        <v>91</v>
      </c>
      <c r="B5300" s="364" t="s">
        <v>22</v>
      </c>
      <c r="C5300" s="365" t="s">
        <v>758</v>
      </c>
      <c r="D5300" s="364" t="s">
        <v>759</v>
      </c>
      <c r="E5300" s="366">
        <v>7.0</v>
      </c>
      <c r="F5300" s="367">
        <v>45939.54166666667</v>
      </c>
      <c r="G5300" s="364" t="s">
        <v>1185</v>
      </c>
      <c r="H5300" s="364" t="s">
        <v>1226</v>
      </c>
    </row>
    <row r="5301" ht="15.75" customHeight="1">
      <c r="A5301" s="364" t="s">
        <v>91</v>
      </c>
      <c r="B5301" s="364" t="s">
        <v>22</v>
      </c>
      <c r="C5301" s="365" t="s">
        <v>758</v>
      </c>
      <c r="D5301" s="364" t="s">
        <v>759</v>
      </c>
      <c r="E5301" s="366">
        <v>8.0</v>
      </c>
      <c r="F5301" s="367">
        <v>45946.54166666667</v>
      </c>
      <c r="G5301" s="364" t="s">
        <v>1185</v>
      </c>
      <c r="H5301" s="364" t="s">
        <v>1226</v>
      </c>
    </row>
    <row r="5302" ht="15.75" customHeight="1">
      <c r="A5302" s="364" t="s">
        <v>91</v>
      </c>
      <c r="B5302" s="364" t="s">
        <v>22</v>
      </c>
      <c r="C5302" s="365" t="s">
        <v>758</v>
      </c>
      <c r="D5302" s="364" t="s">
        <v>759</v>
      </c>
      <c r="E5302" s="366">
        <v>9.0</v>
      </c>
      <c r="F5302" s="367">
        <v>45952.54166666667</v>
      </c>
      <c r="G5302" s="364" t="s">
        <v>1185</v>
      </c>
      <c r="H5302" s="364" t="s">
        <v>1226</v>
      </c>
    </row>
    <row r="5303" ht="15.75" customHeight="1">
      <c r="A5303" s="364" t="s">
        <v>91</v>
      </c>
      <c r="B5303" s="364" t="s">
        <v>22</v>
      </c>
      <c r="C5303" s="365" t="s">
        <v>758</v>
      </c>
      <c r="D5303" s="364" t="s">
        <v>759</v>
      </c>
      <c r="E5303" s="366">
        <v>10.0</v>
      </c>
      <c r="F5303" s="367">
        <v>45959.54166666667</v>
      </c>
      <c r="G5303" s="364" t="s">
        <v>1185</v>
      </c>
      <c r="H5303" s="364" t="s">
        <v>1226</v>
      </c>
    </row>
    <row r="5304" ht="15.75" customHeight="1">
      <c r="A5304" s="364" t="s">
        <v>91</v>
      </c>
      <c r="B5304" s="364" t="s">
        <v>22</v>
      </c>
      <c r="C5304" s="365" t="s">
        <v>758</v>
      </c>
      <c r="D5304" s="364" t="s">
        <v>759</v>
      </c>
      <c r="E5304" s="366">
        <v>11.0</v>
      </c>
      <c r="F5304" s="367">
        <v>45964.54166666667</v>
      </c>
      <c r="G5304" s="364" t="s">
        <v>1185</v>
      </c>
      <c r="H5304" s="364" t="s">
        <v>1226</v>
      </c>
    </row>
    <row r="5305" ht="15.75" customHeight="1">
      <c r="A5305" s="364" t="s">
        <v>91</v>
      </c>
      <c r="B5305" s="364" t="s">
        <v>22</v>
      </c>
      <c r="C5305" s="365" t="s">
        <v>758</v>
      </c>
      <c r="D5305" s="364" t="s">
        <v>759</v>
      </c>
      <c r="E5305" s="366">
        <v>12.0</v>
      </c>
      <c r="F5305" s="367">
        <v>45979.54166666667</v>
      </c>
      <c r="G5305" s="364" t="s">
        <v>1185</v>
      </c>
      <c r="H5305" s="364" t="s">
        <v>1226</v>
      </c>
    </row>
    <row r="5306" ht="15.75" customHeight="1">
      <c r="A5306" s="364" t="s">
        <v>91</v>
      </c>
      <c r="B5306" s="364" t="s">
        <v>22</v>
      </c>
      <c r="C5306" s="365" t="s">
        <v>758</v>
      </c>
      <c r="D5306" s="364" t="s">
        <v>759</v>
      </c>
      <c r="E5306" s="366">
        <v>13.0</v>
      </c>
      <c r="F5306" s="367">
        <v>45988.54166666667</v>
      </c>
      <c r="G5306" s="364" t="s">
        <v>1187</v>
      </c>
      <c r="H5306" s="364" t="s">
        <v>1226</v>
      </c>
    </row>
    <row r="5307" ht="15.75" customHeight="1">
      <c r="A5307" s="364" t="s">
        <v>91</v>
      </c>
      <c r="B5307" s="364" t="s">
        <v>22</v>
      </c>
      <c r="C5307" s="365" t="s">
        <v>758</v>
      </c>
      <c r="D5307" s="364" t="s">
        <v>759</v>
      </c>
      <c r="E5307" s="366">
        <v>14.0</v>
      </c>
      <c r="F5307" s="367">
        <v>45995.54166666667</v>
      </c>
      <c r="G5307" s="364" t="s">
        <v>1185</v>
      </c>
      <c r="H5307" s="364" t="s">
        <v>1226</v>
      </c>
    </row>
    <row r="5308" ht="15.75" customHeight="1">
      <c r="A5308" s="364" t="s">
        <v>91</v>
      </c>
      <c r="B5308" s="364" t="s">
        <v>22</v>
      </c>
      <c r="C5308" s="365" t="s">
        <v>758</v>
      </c>
      <c r="D5308" s="364" t="s">
        <v>759</v>
      </c>
      <c r="E5308" s="366">
        <v>15.0</v>
      </c>
      <c r="F5308" s="367">
        <v>46000.54166666667</v>
      </c>
      <c r="G5308" s="364" t="s">
        <v>1185</v>
      </c>
      <c r="H5308" s="364" t="s">
        <v>1226</v>
      </c>
    </row>
    <row r="5309" ht="15.75" customHeight="1">
      <c r="A5309" s="364" t="s">
        <v>91</v>
      </c>
      <c r="B5309" s="364" t="s">
        <v>22</v>
      </c>
      <c r="C5309" s="365" t="s">
        <v>758</v>
      </c>
      <c r="D5309" s="364" t="s">
        <v>759</v>
      </c>
      <c r="E5309" s="366">
        <v>16.0</v>
      </c>
      <c r="F5309" s="367">
        <v>46036.54166666667</v>
      </c>
      <c r="G5309" s="364" t="s">
        <v>1185</v>
      </c>
      <c r="H5309" s="364" t="s">
        <v>1226</v>
      </c>
    </row>
    <row r="5310" ht="15.75" customHeight="1">
      <c r="A5310" s="364" t="s">
        <v>91</v>
      </c>
      <c r="B5310" s="364" t="s">
        <v>22</v>
      </c>
      <c r="C5310" s="365" t="s">
        <v>766</v>
      </c>
      <c r="D5310" s="364" t="s">
        <v>767</v>
      </c>
      <c r="E5310" s="366">
        <v>1.0</v>
      </c>
      <c r="F5310" s="367">
        <v>45909.54166666667</v>
      </c>
      <c r="G5310" s="364" t="s">
        <v>1185</v>
      </c>
      <c r="H5310" s="364" t="s">
        <v>1226</v>
      </c>
    </row>
    <row r="5311" ht="15.75" customHeight="1">
      <c r="A5311" s="364" t="s">
        <v>91</v>
      </c>
      <c r="B5311" s="364" t="s">
        <v>22</v>
      </c>
      <c r="C5311" s="365" t="s">
        <v>766</v>
      </c>
      <c r="D5311" s="364" t="s">
        <v>767</v>
      </c>
      <c r="E5311" s="366">
        <v>3.0</v>
      </c>
      <c r="F5311" s="367">
        <v>45912.625</v>
      </c>
      <c r="G5311" s="364" t="s">
        <v>1187</v>
      </c>
      <c r="H5311" s="364" t="s">
        <v>1226</v>
      </c>
    </row>
    <row r="5312" ht="15.75" customHeight="1">
      <c r="A5312" s="364" t="s">
        <v>91</v>
      </c>
      <c r="B5312" s="364" t="s">
        <v>22</v>
      </c>
      <c r="C5312" s="365" t="s">
        <v>766</v>
      </c>
      <c r="D5312" s="364" t="s">
        <v>767</v>
      </c>
      <c r="E5312" s="366">
        <v>4.0</v>
      </c>
      <c r="F5312" s="367">
        <v>45916.58333333333</v>
      </c>
      <c r="G5312" s="364" t="s">
        <v>1187</v>
      </c>
      <c r="H5312" s="364" t="s">
        <v>1226</v>
      </c>
    </row>
    <row r="5313" ht="15.75" customHeight="1">
      <c r="A5313" s="364" t="s">
        <v>91</v>
      </c>
      <c r="B5313" s="364" t="s">
        <v>22</v>
      </c>
      <c r="C5313" s="365" t="s">
        <v>766</v>
      </c>
      <c r="D5313" s="364" t="s">
        <v>767</v>
      </c>
      <c r="E5313" s="366">
        <v>5.0</v>
      </c>
      <c r="F5313" s="367">
        <v>45925.375</v>
      </c>
      <c r="G5313" s="364" t="s">
        <v>1185</v>
      </c>
      <c r="H5313" s="364" t="s">
        <v>1226</v>
      </c>
    </row>
    <row r="5314" ht="15.75" customHeight="1">
      <c r="A5314" s="364" t="s">
        <v>91</v>
      </c>
      <c r="B5314" s="364" t="s">
        <v>22</v>
      </c>
      <c r="C5314" s="365" t="s">
        <v>766</v>
      </c>
      <c r="D5314" s="364" t="s">
        <v>767</v>
      </c>
      <c r="E5314" s="366">
        <v>6.0</v>
      </c>
      <c r="F5314" s="367">
        <v>45932.54166666667</v>
      </c>
      <c r="G5314" s="364" t="s">
        <v>1187</v>
      </c>
      <c r="H5314" s="364" t="s">
        <v>1226</v>
      </c>
    </row>
    <row r="5315" ht="15.75" customHeight="1">
      <c r="A5315" s="364" t="s">
        <v>91</v>
      </c>
      <c r="B5315" s="364" t="s">
        <v>22</v>
      </c>
      <c r="C5315" s="365" t="s">
        <v>766</v>
      </c>
      <c r="D5315" s="364" t="s">
        <v>767</v>
      </c>
      <c r="E5315" s="366">
        <v>7.0</v>
      </c>
      <c r="F5315" s="367">
        <v>45939.54166666667</v>
      </c>
      <c r="G5315" s="364" t="s">
        <v>1187</v>
      </c>
      <c r="H5315" s="364" t="s">
        <v>1226</v>
      </c>
    </row>
    <row r="5316" ht="15.75" customHeight="1">
      <c r="A5316" s="364" t="s">
        <v>91</v>
      </c>
      <c r="B5316" s="364" t="s">
        <v>22</v>
      </c>
      <c r="C5316" s="365" t="s">
        <v>766</v>
      </c>
      <c r="D5316" s="364" t="s">
        <v>767</v>
      </c>
      <c r="E5316" s="366">
        <v>8.0</v>
      </c>
      <c r="F5316" s="367">
        <v>45946.54166666667</v>
      </c>
      <c r="G5316" s="364" t="s">
        <v>1185</v>
      </c>
      <c r="H5316" s="364" t="s">
        <v>1226</v>
      </c>
    </row>
    <row r="5317" ht="15.75" customHeight="1">
      <c r="A5317" s="364" t="s">
        <v>91</v>
      </c>
      <c r="B5317" s="364" t="s">
        <v>22</v>
      </c>
      <c r="C5317" s="365" t="s">
        <v>766</v>
      </c>
      <c r="D5317" s="364" t="s">
        <v>767</v>
      </c>
      <c r="E5317" s="366">
        <v>9.0</v>
      </c>
      <c r="F5317" s="367">
        <v>45952.54166666667</v>
      </c>
      <c r="G5317" s="364" t="s">
        <v>1185</v>
      </c>
      <c r="H5317" s="364" t="s">
        <v>1226</v>
      </c>
    </row>
    <row r="5318" ht="15.75" customHeight="1">
      <c r="A5318" s="364" t="s">
        <v>91</v>
      </c>
      <c r="B5318" s="364" t="s">
        <v>22</v>
      </c>
      <c r="C5318" s="365" t="s">
        <v>766</v>
      </c>
      <c r="D5318" s="364" t="s">
        <v>767</v>
      </c>
      <c r="E5318" s="366">
        <v>10.0</v>
      </c>
      <c r="F5318" s="367">
        <v>45959.54166666667</v>
      </c>
      <c r="G5318" s="364" t="s">
        <v>1185</v>
      </c>
      <c r="H5318" s="364" t="s">
        <v>1226</v>
      </c>
    </row>
    <row r="5319" ht="15.75" customHeight="1">
      <c r="A5319" s="364" t="s">
        <v>91</v>
      </c>
      <c r="B5319" s="364" t="s">
        <v>22</v>
      </c>
      <c r="C5319" s="365" t="s">
        <v>766</v>
      </c>
      <c r="D5319" s="364" t="s">
        <v>767</v>
      </c>
      <c r="E5319" s="366">
        <v>11.0</v>
      </c>
      <c r="F5319" s="367">
        <v>45964.54166666667</v>
      </c>
      <c r="G5319" s="364" t="s">
        <v>1185</v>
      </c>
      <c r="H5319" s="364" t="s">
        <v>1226</v>
      </c>
    </row>
    <row r="5320" ht="15.75" customHeight="1">
      <c r="A5320" s="364" t="s">
        <v>91</v>
      </c>
      <c r="B5320" s="364" t="s">
        <v>22</v>
      </c>
      <c r="C5320" s="365" t="s">
        <v>766</v>
      </c>
      <c r="D5320" s="364" t="s">
        <v>767</v>
      </c>
      <c r="E5320" s="366">
        <v>12.0</v>
      </c>
      <c r="F5320" s="367">
        <v>45979.54166666667</v>
      </c>
      <c r="G5320" s="364" t="s">
        <v>1185</v>
      </c>
      <c r="H5320" s="364" t="s">
        <v>1226</v>
      </c>
    </row>
    <row r="5321" ht="15.75" customHeight="1">
      <c r="A5321" s="364" t="s">
        <v>91</v>
      </c>
      <c r="B5321" s="364" t="s">
        <v>22</v>
      </c>
      <c r="C5321" s="365" t="s">
        <v>766</v>
      </c>
      <c r="D5321" s="364" t="s">
        <v>767</v>
      </c>
      <c r="E5321" s="366">
        <v>13.0</v>
      </c>
      <c r="F5321" s="367">
        <v>45988.54166666667</v>
      </c>
      <c r="G5321" s="364" t="s">
        <v>1187</v>
      </c>
      <c r="H5321" s="364" t="s">
        <v>1226</v>
      </c>
    </row>
    <row r="5322" ht="15.75" customHeight="1">
      <c r="A5322" s="364" t="s">
        <v>91</v>
      </c>
      <c r="B5322" s="364" t="s">
        <v>22</v>
      </c>
      <c r="C5322" s="365" t="s">
        <v>766</v>
      </c>
      <c r="D5322" s="364" t="s">
        <v>767</v>
      </c>
      <c r="E5322" s="366">
        <v>14.0</v>
      </c>
      <c r="F5322" s="367">
        <v>45995.54166666667</v>
      </c>
      <c r="G5322" s="364" t="s">
        <v>1185</v>
      </c>
      <c r="H5322" s="364" t="s">
        <v>1226</v>
      </c>
    </row>
    <row r="5323" ht="15.75" customHeight="1">
      <c r="A5323" s="364" t="s">
        <v>91</v>
      </c>
      <c r="B5323" s="364" t="s">
        <v>22</v>
      </c>
      <c r="C5323" s="365" t="s">
        <v>766</v>
      </c>
      <c r="D5323" s="364" t="s">
        <v>767</v>
      </c>
      <c r="E5323" s="366">
        <v>15.0</v>
      </c>
      <c r="F5323" s="367">
        <v>46000.54166666667</v>
      </c>
      <c r="G5323" s="364" t="s">
        <v>1185</v>
      </c>
      <c r="H5323" s="364" t="s">
        <v>1226</v>
      </c>
    </row>
    <row r="5324" ht="15.75" customHeight="1">
      <c r="A5324" s="364" t="s">
        <v>91</v>
      </c>
      <c r="B5324" s="364" t="s">
        <v>22</v>
      </c>
      <c r="C5324" s="365" t="s">
        <v>766</v>
      </c>
      <c r="D5324" s="364" t="s">
        <v>767</v>
      </c>
      <c r="E5324" s="366">
        <v>16.0</v>
      </c>
      <c r="F5324" s="367">
        <v>46036.54166666667</v>
      </c>
      <c r="G5324" s="364" t="s">
        <v>1185</v>
      </c>
      <c r="H5324" s="364" t="s">
        <v>1226</v>
      </c>
    </row>
    <row r="5325" ht="15.75" customHeight="1">
      <c r="A5325" s="364" t="s">
        <v>91</v>
      </c>
      <c r="B5325" s="364" t="s">
        <v>22</v>
      </c>
      <c r="C5325" s="365" t="s">
        <v>760</v>
      </c>
      <c r="D5325" s="364" t="s">
        <v>761</v>
      </c>
      <c r="E5325" s="366">
        <v>1.0</v>
      </c>
      <c r="F5325" s="367">
        <v>45909.54166666667</v>
      </c>
      <c r="G5325" s="364" t="s">
        <v>1185</v>
      </c>
      <c r="H5325" s="364" t="s">
        <v>1226</v>
      </c>
    </row>
    <row r="5326" ht="15.75" customHeight="1">
      <c r="A5326" s="364" t="s">
        <v>91</v>
      </c>
      <c r="B5326" s="364" t="s">
        <v>22</v>
      </c>
      <c r="C5326" s="365" t="s">
        <v>760</v>
      </c>
      <c r="D5326" s="364" t="s">
        <v>761</v>
      </c>
      <c r="E5326" s="366">
        <v>3.0</v>
      </c>
      <c r="F5326" s="367">
        <v>45912.625</v>
      </c>
      <c r="G5326" s="364" t="s">
        <v>1185</v>
      </c>
      <c r="H5326" s="364" t="s">
        <v>1226</v>
      </c>
    </row>
    <row r="5327" ht="15.75" customHeight="1">
      <c r="A5327" s="368" t="s">
        <v>91</v>
      </c>
      <c r="B5327" s="368" t="s">
        <v>22</v>
      </c>
      <c r="C5327" s="369" t="s">
        <v>760</v>
      </c>
      <c r="D5327" s="368" t="s">
        <v>761</v>
      </c>
      <c r="E5327" s="370">
        <v>4.0</v>
      </c>
      <c r="F5327" s="371">
        <v>45916.58333333333</v>
      </c>
      <c r="G5327" s="368" t="s">
        <v>1185</v>
      </c>
      <c r="H5327" s="368" t="s">
        <v>1226</v>
      </c>
    </row>
    <row r="5328" ht="15.75" customHeight="1">
      <c r="A5328" s="368" t="s">
        <v>91</v>
      </c>
      <c r="B5328" s="368" t="s">
        <v>22</v>
      </c>
      <c r="C5328" s="369" t="s">
        <v>760</v>
      </c>
      <c r="D5328" s="368" t="s">
        <v>761</v>
      </c>
      <c r="E5328" s="370">
        <v>5.0</v>
      </c>
      <c r="F5328" s="371">
        <v>45925.375</v>
      </c>
      <c r="G5328" s="368" t="s">
        <v>1185</v>
      </c>
      <c r="H5328" s="368" t="s">
        <v>1226</v>
      </c>
    </row>
    <row r="5329" ht="15.75" customHeight="1">
      <c r="A5329" s="368" t="s">
        <v>91</v>
      </c>
      <c r="B5329" s="368" t="s">
        <v>22</v>
      </c>
      <c r="C5329" s="369" t="s">
        <v>760</v>
      </c>
      <c r="D5329" s="368" t="s">
        <v>761</v>
      </c>
      <c r="E5329" s="370">
        <v>6.0</v>
      </c>
      <c r="F5329" s="371">
        <v>45932.54166666667</v>
      </c>
      <c r="G5329" s="368" t="s">
        <v>1185</v>
      </c>
      <c r="H5329" s="368" t="s">
        <v>1226</v>
      </c>
    </row>
    <row r="5330" ht="15.75" customHeight="1">
      <c r="A5330" s="368" t="s">
        <v>91</v>
      </c>
      <c r="B5330" s="368" t="s">
        <v>22</v>
      </c>
      <c r="C5330" s="369" t="s">
        <v>760</v>
      </c>
      <c r="D5330" s="368" t="s">
        <v>761</v>
      </c>
      <c r="E5330" s="370">
        <v>7.0</v>
      </c>
      <c r="F5330" s="371">
        <v>45939.54166666667</v>
      </c>
      <c r="G5330" s="368" t="s">
        <v>1185</v>
      </c>
      <c r="H5330" s="368" t="s">
        <v>1226</v>
      </c>
    </row>
    <row r="5331" ht="15.75" customHeight="1">
      <c r="A5331" s="368" t="s">
        <v>91</v>
      </c>
      <c r="B5331" s="368" t="s">
        <v>22</v>
      </c>
      <c r="C5331" s="369" t="s">
        <v>760</v>
      </c>
      <c r="D5331" s="368" t="s">
        <v>761</v>
      </c>
      <c r="E5331" s="370">
        <v>8.0</v>
      </c>
      <c r="F5331" s="371">
        <v>45946.54166666667</v>
      </c>
      <c r="G5331" s="368" t="s">
        <v>1185</v>
      </c>
      <c r="H5331" s="368" t="s">
        <v>1226</v>
      </c>
    </row>
    <row r="5332" ht="15.75" customHeight="1">
      <c r="A5332" s="368" t="s">
        <v>91</v>
      </c>
      <c r="B5332" s="368" t="s">
        <v>22</v>
      </c>
      <c r="C5332" s="369" t="s">
        <v>760</v>
      </c>
      <c r="D5332" s="368" t="s">
        <v>761</v>
      </c>
      <c r="E5332" s="370">
        <v>9.0</v>
      </c>
      <c r="F5332" s="371">
        <v>45952.54166666667</v>
      </c>
      <c r="G5332" s="368" t="s">
        <v>1185</v>
      </c>
      <c r="H5332" s="368" t="s">
        <v>1226</v>
      </c>
    </row>
    <row r="5333" ht="15.75" customHeight="1">
      <c r="A5333" s="368" t="s">
        <v>91</v>
      </c>
      <c r="B5333" s="368" t="s">
        <v>22</v>
      </c>
      <c r="C5333" s="369" t="s">
        <v>760</v>
      </c>
      <c r="D5333" s="368" t="s">
        <v>761</v>
      </c>
      <c r="E5333" s="370">
        <v>10.0</v>
      </c>
      <c r="F5333" s="371">
        <v>45959.54166666667</v>
      </c>
      <c r="G5333" s="368" t="s">
        <v>1185</v>
      </c>
      <c r="H5333" s="368" t="s">
        <v>1226</v>
      </c>
    </row>
    <row r="5334" ht="15.75" customHeight="1">
      <c r="A5334" s="368" t="s">
        <v>91</v>
      </c>
      <c r="B5334" s="368" t="s">
        <v>22</v>
      </c>
      <c r="C5334" s="369" t="s">
        <v>760</v>
      </c>
      <c r="D5334" s="368" t="s">
        <v>761</v>
      </c>
      <c r="E5334" s="370">
        <v>11.0</v>
      </c>
      <c r="F5334" s="371">
        <v>45964.54166666667</v>
      </c>
      <c r="G5334" s="368" t="s">
        <v>1185</v>
      </c>
      <c r="H5334" s="368" t="s">
        <v>1226</v>
      </c>
    </row>
    <row r="5335" ht="15.75" customHeight="1">
      <c r="A5335" s="368" t="s">
        <v>91</v>
      </c>
      <c r="B5335" s="368" t="s">
        <v>22</v>
      </c>
      <c r="C5335" s="369" t="s">
        <v>760</v>
      </c>
      <c r="D5335" s="368" t="s">
        <v>761</v>
      </c>
      <c r="E5335" s="370">
        <v>12.0</v>
      </c>
      <c r="F5335" s="371">
        <v>45979.54166666667</v>
      </c>
      <c r="G5335" s="368" t="s">
        <v>1185</v>
      </c>
      <c r="H5335" s="368" t="s">
        <v>1226</v>
      </c>
    </row>
    <row r="5336" ht="15.75" customHeight="1">
      <c r="A5336" s="368" t="s">
        <v>91</v>
      </c>
      <c r="B5336" s="368" t="s">
        <v>22</v>
      </c>
      <c r="C5336" s="369" t="s">
        <v>760</v>
      </c>
      <c r="D5336" s="368" t="s">
        <v>761</v>
      </c>
      <c r="E5336" s="370">
        <v>13.0</v>
      </c>
      <c r="F5336" s="371">
        <v>45988.54166666667</v>
      </c>
      <c r="G5336" s="368" t="s">
        <v>1185</v>
      </c>
      <c r="H5336" s="368" t="s">
        <v>1226</v>
      </c>
    </row>
    <row r="5337" ht="15.75" customHeight="1">
      <c r="A5337" s="368" t="s">
        <v>91</v>
      </c>
      <c r="B5337" s="368" t="s">
        <v>22</v>
      </c>
      <c r="C5337" s="369" t="s">
        <v>760</v>
      </c>
      <c r="D5337" s="368" t="s">
        <v>761</v>
      </c>
      <c r="E5337" s="370">
        <v>14.0</v>
      </c>
      <c r="F5337" s="371">
        <v>45995.54166666667</v>
      </c>
      <c r="G5337" s="368" t="s">
        <v>1187</v>
      </c>
      <c r="H5337" s="368" t="s">
        <v>1226</v>
      </c>
    </row>
    <row r="5338" ht="15.75" customHeight="1">
      <c r="A5338" s="368" t="s">
        <v>91</v>
      </c>
      <c r="B5338" s="368" t="s">
        <v>22</v>
      </c>
      <c r="C5338" s="369" t="s">
        <v>760</v>
      </c>
      <c r="D5338" s="368" t="s">
        <v>761</v>
      </c>
      <c r="E5338" s="370">
        <v>15.0</v>
      </c>
      <c r="F5338" s="371">
        <v>46000.54166666667</v>
      </c>
      <c r="G5338" s="368" t="s">
        <v>1185</v>
      </c>
      <c r="H5338" s="368" t="s">
        <v>1226</v>
      </c>
    </row>
    <row r="5339" ht="15.75" customHeight="1">
      <c r="A5339" s="368" t="s">
        <v>91</v>
      </c>
      <c r="B5339" s="368" t="s">
        <v>22</v>
      </c>
      <c r="C5339" s="369" t="s">
        <v>760</v>
      </c>
      <c r="D5339" s="368" t="s">
        <v>761</v>
      </c>
      <c r="E5339" s="370">
        <v>16.0</v>
      </c>
      <c r="F5339" s="371">
        <v>46036.54166666667</v>
      </c>
      <c r="G5339" s="368" t="s">
        <v>1185</v>
      </c>
      <c r="H5339" s="368" t="s">
        <v>1226</v>
      </c>
    </row>
    <row r="5340" ht="15.75" customHeight="1">
      <c r="A5340" s="368" t="s">
        <v>91</v>
      </c>
      <c r="B5340" s="368" t="s">
        <v>22</v>
      </c>
      <c r="C5340" s="369" t="s">
        <v>762</v>
      </c>
      <c r="D5340" s="368" t="s">
        <v>763</v>
      </c>
      <c r="E5340" s="370">
        <v>1.0</v>
      </c>
      <c r="F5340" s="371">
        <v>45909.54166666667</v>
      </c>
      <c r="G5340" s="368" t="s">
        <v>1185</v>
      </c>
      <c r="H5340" s="368" t="s">
        <v>1226</v>
      </c>
    </row>
    <row r="5341" ht="15.75" customHeight="1">
      <c r="A5341" s="368" t="s">
        <v>91</v>
      </c>
      <c r="B5341" s="368" t="s">
        <v>22</v>
      </c>
      <c r="C5341" s="369" t="s">
        <v>762</v>
      </c>
      <c r="D5341" s="368" t="s">
        <v>763</v>
      </c>
      <c r="E5341" s="370">
        <v>3.0</v>
      </c>
      <c r="F5341" s="371">
        <v>45912.625</v>
      </c>
      <c r="G5341" s="368" t="s">
        <v>1185</v>
      </c>
      <c r="H5341" s="368" t="s">
        <v>1226</v>
      </c>
    </row>
    <row r="5342" ht="15.75" customHeight="1">
      <c r="A5342" s="368" t="s">
        <v>91</v>
      </c>
      <c r="B5342" s="368" t="s">
        <v>22</v>
      </c>
      <c r="C5342" s="369" t="s">
        <v>762</v>
      </c>
      <c r="D5342" s="368" t="s">
        <v>763</v>
      </c>
      <c r="E5342" s="370">
        <v>4.0</v>
      </c>
      <c r="F5342" s="371">
        <v>45916.58333333333</v>
      </c>
      <c r="G5342" s="368" t="s">
        <v>1185</v>
      </c>
      <c r="H5342" s="368" t="s">
        <v>1226</v>
      </c>
    </row>
    <row r="5343" ht="15.75" customHeight="1">
      <c r="A5343" s="368" t="s">
        <v>91</v>
      </c>
      <c r="B5343" s="368" t="s">
        <v>22</v>
      </c>
      <c r="C5343" s="369" t="s">
        <v>762</v>
      </c>
      <c r="D5343" s="368" t="s">
        <v>763</v>
      </c>
      <c r="E5343" s="370">
        <v>5.0</v>
      </c>
      <c r="F5343" s="371">
        <v>45925.375</v>
      </c>
      <c r="G5343" s="368" t="s">
        <v>1185</v>
      </c>
      <c r="H5343" s="368" t="s">
        <v>1226</v>
      </c>
    </row>
    <row r="5344" ht="15.75" customHeight="1">
      <c r="A5344" s="368" t="s">
        <v>91</v>
      </c>
      <c r="B5344" s="368" t="s">
        <v>22</v>
      </c>
      <c r="C5344" s="369" t="s">
        <v>762</v>
      </c>
      <c r="D5344" s="368" t="s">
        <v>763</v>
      </c>
      <c r="E5344" s="370">
        <v>6.0</v>
      </c>
      <c r="F5344" s="371">
        <v>45932.54166666667</v>
      </c>
      <c r="G5344" s="368" t="s">
        <v>1185</v>
      </c>
      <c r="H5344" s="368" t="s">
        <v>1226</v>
      </c>
    </row>
    <row r="5345" ht="15.75" customHeight="1">
      <c r="A5345" s="368" t="s">
        <v>91</v>
      </c>
      <c r="B5345" s="368" t="s">
        <v>22</v>
      </c>
      <c r="C5345" s="369" t="s">
        <v>762</v>
      </c>
      <c r="D5345" s="368" t="s">
        <v>763</v>
      </c>
      <c r="E5345" s="370">
        <v>7.0</v>
      </c>
      <c r="F5345" s="371">
        <v>45939.54166666667</v>
      </c>
      <c r="G5345" s="368" t="s">
        <v>1185</v>
      </c>
      <c r="H5345" s="368" t="s">
        <v>1226</v>
      </c>
    </row>
    <row r="5346" ht="15.75" customHeight="1">
      <c r="A5346" s="368" t="s">
        <v>91</v>
      </c>
      <c r="B5346" s="368" t="s">
        <v>22</v>
      </c>
      <c r="C5346" s="369" t="s">
        <v>762</v>
      </c>
      <c r="D5346" s="368" t="s">
        <v>763</v>
      </c>
      <c r="E5346" s="370">
        <v>8.0</v>
      </c>
      <c r="F5346" s="371">
        <v>45946.54166666667</v>
      </c>
      <c r="G5346" s="368" t="s">
        <v>1185</v>
      </c>
      <c r="H5346" s="368" t="s">
        <v>1226</v>
      </c>
    </row>
    <row r="5347" ht="15.75" customHeight="1">
      <c r="A5347" s="368" t="s">
        <v>91</v>
      </c>
      <c r="B5347" s="368" t="s">
        <v>22</v>
      </c>
      <c r="C5347" s="369" t="s">
        <v>762</v>
      </c>
      <c r="D5347" s="368" t="s">
        <v>763</v>
      </c>
      <c r="E5347" s="370">
        <v>9.0</v>
      </c>
      <c r="F5347" s="371">
        <v>45952.54166666667</v>
      </c>
      <c r="G5347" s="368" t="s">
        <v>1185</v>
      </c>
      <c r="H5347" s="368" t="s">
        <v>1226</v>
      </c>
    </row>
    <row r="5348" ht="15.75" customHeight="1">
      <c r="A5348" s="368" t="s">
        <v>91</v>
      </c>
      <c r="B5348" s="368" t="s">
        <v>22</v>
      </c>
      <c r="C5348" s="369" t="s">
        <v>762</v>
      </c>
      <c r="D5348" s="368" t="s">
        <v>763</v>
      </c>
      <c r="E5348" s="370">
        <v>10.0</v>
      </c>
      <c r="F5348" s="371">
        <v>45959.54166666667</v>
      </c>
      <c r="G5348" s="368" t="s">
        <v>1185</v>
      </c>
      <c r="H5348" s="368" t="s">
        <v>1226</v>
      </c>
    </row>
    <row r="5349" ht="15.75" customHeight="1">
      <c r="A5349" s="368" t="s">
        <v>91</v>
      </c>
      <c r="B5349" s="368" t="s">
        <v>22</v>
      </c>
      <c r="C5349" s="369" t="s">
        <v>762</v>
      </c>
      <c r="D5349" s="368" t="s">
        <v>763</v>
      </c>
      <c r="E5349" s="370">
        <v>11.0</v>
      </c>
      <c r="F5349" s="371">
        <v>45964.54166666667</v>
      </c>
      <c r="G5349" s="368" t="s">
        <v>1185</v>
      </c>
      <c r="H5349" s="368" t="s">
        <v>1226</v>
      </c>
    </row>
    <row r="5350" ht="15.75" customHeight="1">
      <c r="A5350" s="368" t="s">
        <v>91</v>
      </c>
      <c r="B5350" s="368" t="s">
        <v>22</v>
      </c>
      <c r="C5350" s="369" t="s">
        <v>762</v>
      </c>
      <c r="D5350" s="368" t="s">
        <v>763</v>
      </c>
      <c r="E5350" s="370">
        <v>12.0</v>
      </c>
      <c r="F5350" s="371">
        <v>45979.54166666667</v>
      </c>
      <c r="G5350" s="368" t="s">
        <v>1185</v>
      </c>
      <c r="H5350" s="368" t="s">
        <v>1226</v>
      </c>
    </row>
    <row r="5351" ht="15.75" customHeight="1">
      <c r="A5351" s="368" t="s">
        <v>91</v>
      </c>
      <c r="B5351" s="368" t="s">
        <v>22</v>
      </c>
      <c r="C5351" s="369" t="s">
        <v>762</v>
      </c>
      <c r="D5351" s="368" t="s">
        <v>763</v>
      </c>
      <c r="E5351" s="370">
        <v>13.0</v>
      </c>
      <c r="F5351" s="371">
        <v>45988.54166666667</v>
      </c>
      <c r="G5351" s="368" t="s">
        <v>1185</v>
      </c>
      <c r="H5351" s="368" t="s">
        <v>1226</v>
      </c>
    </row>
    <row r="5352" ht="15.75" customHeight="1">
      <c r="A5352" s="368" t="s">
        <v>91</v>
      </c>
      <c r="B5352" s="368" t="s">
        <v>22</v>
      </c>
      <c r="C5352" s="369" t="s">
        <v>762</v>
      </c>
      <c r="D5352" s="368" t="s">
        <v>763</v>
      </c>
      <c r="E5352" s="370">
        <v>14.0</v>
      </c>
      <c r="F5352" s="371">
        <v>45995.54166666667</v>
      </c>
      <c r="G5352" s="368" t="s">
        <v>1185</v>
      </c>
      <c r="H5352" s="368" t="s">
        <v>1226</v>
      </c>
    </row>
    <row r="5353" ht="15.75" customHeight="1">
      <c r="A5353" s="368" t="s">
        <v>91</v>
      </c>
      <c r="B5353" s="368" t="s">
        <v>22</v>
      </c>
      <c r="C5353" s="369" t="s">
        <v>762</v>
      </c>
      <c r="D5353" s="368" t="s">
        <v>763</v>
      </c>
      <c r="E5353" s="370">
        <v>15.0</v>
      </c>
      <c r="F5353" s="371">
        <v>46000.54166666667</v>
      </c>
      <c r="G5353" s="368" t="s">
        <v>1185</v>
      </c>
      <c r="H5353" s="368" t="s">
        <v>1226</v>
      </c>
    </row>
    <row r="5354" ht="15.75" customHeight="1">
      <c r="A5354" s="368" t="s">
        <v>91</v>
      </c>
      <c r="B5354" s="368" t="s">
        <v>22</v>
      </c>
      <c r="C5354" s="369" t="s">
        <v>762</v>
      </c>
      <c r="D5354" s="368" t="s">
        <v>763</v>
      </c>
      <c r="E5354" s="370">
        <v>16.0</v>
      </c>
      <c r="F5354" s="371">
        <v>46036.54166666667</v>
      </c>
      <c r="G5354" s="368" t="s">
        <v>1185</v>
      </c>
      <c r="H5354" s="368" t="s">
        <v>1226</v>
      </c>
    </row>
    <row r="5355" ht="15.75" customHeight="1">
      <c r="A5355" s="368" t="s">
        <v>91</v>
      </c>
      <c r="B5355" s="368" t="s">
        <v>22</v>
      </c>
      <c r="C5355" s="369" t="s">
        <v>764</v>
      </c>
      <c r="D5355" s="368" t="s">
        <v>765</v>
      </c>
      <c r="E5355" s="370">
        <v>1.0</v>
      </c>
      <c r="F5355" s="371">
        <v>45909.54166666667</v>
      </c>
      <c r="G5355" s="368" t="s">
        <v>1185</v>
      </c>
      <c r="H5355" s="368" t="s">
        <v>1226</v>
      </c>
    </row>
    <row r="5356" ht="15.75" customHeight="1">
      <c r="A5356" s="368" t="s">
        <v>91</v>
      </c>
      <c r="B5356" s="368" t="s">
        <v>22</v>
      </c>
      <c r="C5356" s="369" t="s">
        <v>764</v>
      </c>
      <c r="D5356" s="368" t="s">
        <v>765</v>
      </c>
      <c r="E5356" s="370">
        <v>3.0</v>
      </c>
      <c r="F5356" s="371">
        <v>45912.625</v>
      </c>
      <c r="G5356" s="368" t="s">
        <v>1185</v>
      </c>
      <c r="H5356" s="368" t="s">
        <v>1226</v>
      </c>
    </row>
    <row r="5357" ht="15.75" customHeight="1">
      <c r="A5357" s="368" t="s">
        <v>91</v>
      </c>
      <c r="B5357" s="368" t="s">
        <v>22</v>
      </c>
      <c r="C5357" s="369" t="s">
        <v>764</v>
      </c>
      <c r="D5357" s="368" t="s">
        <v>765</v>
      </c>
      <c r="E5357" s="370">
        <v>4.0</v>
      </c>
      <c r="F5357" s="371">
        <v>45916.58333333333</v>
      </c>
      <c r="G5357" s="368" t="s">
        <v>1185</v>
      </c>
      <c r="H5357" s="368" t="s">
        <v>1226</v>
      </c>
    </row>
    <row r="5358" ht="15.75" customHeight="1">
      <c r="A5358" s="368" t="s">
        <v>91</v>
      </c>
      <c r="B5358" s="368" t="s">
        <v>22</v>
      </c>
      <c r="C5358" s="369" t="s">
        <v>764</v>
      </c>
      <c r="D5358" s="368" t="s">
        <v>765</v>
      </c>
      <c r="E5358" s="370">
        <v>5.0</v>
      </c>
      <c r="F5358" s="371">
        <v>45925.375</v>
      </c>
      <c r="G5358" s="368" t="s">
        <v>1185</v>
      </c>
      <c r="H5358" s="368" t="s">
        <v>1226</v>
      </c>
    </row>
    <row r="5359" ht="15.75" customHeight="1">
      <c r="A5359" s="368" t="s">
        <v>91</v>
      </c>
      <c r="B5359" s="368" t="s">
        <v>22</v>
      </c>
      <c r="C5359" s="369" t="s">
        <v>764</v>
      </c>
      <c r="D5359" s="368" t="s">
        <v>765</v>
      </c>
      <c r="E5359" s="370">
        <v>6.0</v>
      </c>
      <c r="F5359" s="371">
        <v>45932.54166666667</v>
      </c>
      <c r="G5359" s="368" t="s">
        <v>1185</v>
      </c>
      <c r="H5359" s="368" t="s">
        <v>1226</v>
      </c>
    </row>
    <row r="5360" ht="15.75" customHeight="1">
      <c r="A5360" s="368" t="s">
        <v>91</v>
      </c>
      <c r="B5360" s="368" t="s">
        <v>22</v>
      </c>
      <c r="C5360" s="369" t="s">
        <v>764</v>
      </c>
      <c r="D5360" s="368" t="s">
        <v>765</v>
      </c>
      <c r="E5360" s="370">
        <v>7.0</v>
      </c>
      <c r="F5360" s="371">
        <v>45939.54166666667</v>
      </c>
      <c r="G5360" s="368" t="s">
        <v>1185</v>
      </c>
      <c r="H5360" s="368" t="s">
        <v>1226</v>
      </c>
    </row>
    <row r="5361" ht="15.75" customHeight="1">
      <c r="A5361" s="368" t="s">
        <v>91</v>
      </c>
      <c r="B5361" s="368" t="s">
        <v>22</v>
      </c>
      <c r="C5361" s="369" t="s">
        <v>764</v>
      </c>
      <c r="D5361" s="368" t="s">
        <v>765</v>
      </c>
      <c r="E5361" s="370">
        <v>8.0</v>
      </c>
      <c r="F5361" s="371">
        <v>45946.54166666667</v>
      </c>
      <c r="G5361" s="368" t="s">
        <v>1185</v>
      </c>
      <c r="H5361" s="368" t="s">
        <v>1226</v>
      </c>
    </row>
    <row r="5362" ht="15.75" customHeight="1">
      <c r="A5362" s="368" t="s">
        <v>91</v>
      </c>
      <c r="B5362" s="368" t="s">
        <v>22</v>
      </c>
      <c r="C5362" s="369" t="s">
        <v>764</v>
      </c>
      <c r="D5362" s="368" t="s">
        <v>765</v>
      </c>
      <c r="E5362" s="370">
        <v>9.0</v>
      </c>
      <c r="F5362" s="371">
        <v>45952.54166666667</v>
      </c>
      <c r="G5362" s="368" t="s">
        <v>1185</v>
      </c>
      <c r="H5362" s="368" t="s">
        <v>1226</v>
      </c>
    </row>
    <row r="5363" ht="15.75" customHeight="1">
      <c r="A5363" s="368" t="s">
        <v>91</v>
      </c>
      <c r="B5363" s="368" t="s">
        <v>22</v>
      </c>
      <c r="C5363" s="369" t="s">
        <v>764</v>
      </c>
      <c r="D5363" s="368" t="s">
        <v>765</v>
      </c>
      <c r="E5363" s="370">
        <v>10.0</v>
      </c>
      <c r="F5363" s="371">
        <v>45959.54166666667</v>
      </c>
      <c r="G5363" s="368" t="s">
        <v>1185</v>
      </c>
      <c r="H5363" s="368" t="s">
        <v>1226</v>
      </c>
    </row>
    <row r="5364" ht="15.75" customHeight="1">
      <c r="A5364" s="368" t="s">
        <v>91</v>
      </c>
      <c r="B5364" s="368" t="s">
        <v>22</v>
      </c>
      <c r="C5364" s="369" t="s">
        <v>764</v>
      </c>
      <c r="D5364" s="368" t="s">
        <v>765</v>
      </c>
      <c r="E5364" s="370">
        <v>11.0</v>
      </c>
      <c r="F5364" s="371">
        <v>45964.54166666667</v>
      </c>
      <c r="G5364" s="368" t="s">
        <v>1185</v>
      </c>
      <c r="H5364" s="368" t="s">
        <v>1226</v>
      </c>
    </row>
    <row r="5365" ht="15.75" customHeight="1">
      <c r="A5365" s="368" t="s">
        <v>91</v>
      </c>
      <c r="B5365" s="368" t="s">
        <v>22</v>
      </c>
      <c r="C5365" s="369" t="s">
        <v>764</v>
      </c>
      <c r="D5365" s="368" t="s">
        <v>765</v>
      </c>
      <c r="E5365" s="370">
        <v>12.0</v>
      </c>
      <c r="F5365" s="371">
        <v>45979.54166666667</v>
      </c>
      <c r="G5365" s="368" t="s">
        <v>1185</v>
      </c>
      <c r="H5365" s="368" t="s">
        <v>1226</v>
      </c>
    </row>
    <row r="5366" ht="15.75" customHeight="1">
      <c r="A5366" s="368" t="s">
        <v>91</v>
      </c>
      <c r="B5366" s="368" t="s">
        <v>22</v>
      </c>
      <c r="C5366" s="369" t="s">
        <v>764</v>
      </c>
      <c r="D5366" s="368" t="s">
        <v>765</v>
      </c>
      <c r="E5366" s="370">
        <v>13.0</v>
      </c>
      <c r="F5366" s="371">
        <v>45988.54166666667</v>
      </c>
      <c r="G5366" s="368" t="s">
        <v>1185</v>
      </c>
      <c r="H5366" s="368" t="s">
        <v>1226</v>
      </c>
    </row>
    <row r="5367" ht="15.75" customHeight="1">
      <c r="A5367" s="368" t="s">
        <v>91</v>
      </c>
      <c r="B5367" s="368" t="s">
        <v>22</v>
      </c>
      <c r="C5367" s="369" t="s">
        <v>764</v>
      </c>
      <c r="D5367" s="368" t="s">
        <v>765</v>
      </c>
      <c r="E5367" s="370">
        <v>14.0</v>
      </c>
      <c r="F5367" s="371">
        <v>45995.54166666667</v>
      </c>
      <c r="G5367" s="368" t="s">
        <v>1185</v>
      </c>
      <c r="H5367" s="368" t="s">
        <v>1226</v>
      </c>
    </row>
    <row r="5368" ht="15.75" customHeight="1">
      <c r="A5368" s="368" t="s">
        <v>91</v>
      </c>
      <c r="B5368" s="368" t="s">
        <v>22</v>
      </c>
      <c r="C5368" s="369" t="s">
        <v>764</v>
      </c>
      <c r="D5368" s="368" t="s">
        <v>765</v>
      </c>
      <c r="E5368" s="370">
        <v>15.0</v>
      </c>
      <c r="F5368" s="371">
        <v>46000.54166666667</v>
      </c>
      <c r="G5368" s="368" t="s">
        <v>1185</v>
      </c>
      <c r="H5368" s="368" t="s">
        <v>1226</v>
      </c>
    </row>
    <row r="5369" ht="15.75" customHeight="1">
      <c r="A5369" s="368" t="s">
        <v>91</v>
      </c>
      <c r="B5369" s="368" t="s">
        <v>22</v>
      </c>
      <c r="C5369" s="369" t="s">
        <v>764</v>
      </c>
      <c r="D5369" s="368" t="s">
        <v>765</v>
      </c>
      <c r="E5369" s="370">
        <v>16.0</v>
      </c>
      <c r="F5369" s="371">
        <v>46036.54166666667</v>
      </c>
      <c r="G5369" s="368" t="s">
        <v>1185</v>
      </c>
      <c r="H5369" s="368" t="s">
        <v>1226</v>
      </c>
    </row>
    <row r="5370" ht="15.75" customHeight="1">
      <c r="A5370" s="368" t="s">
        <v>91</v>
      </c>
      <c r="B5370" s="368" t="s">
        <v>23</v>
      </c>
      <c r="C5370" s="369" t="s">
        <v>756</v>
      </c>
      <c r="D5370" s="368" t="s">
        <v>757</v>
      </c>
      <c r="E5370" s="370">
        <v>1.0</v>
      </c>
      <c r="F5370" s="371">
        <v>46093.54166666667</v>
      </c>
      <c r="G5370" s="368" t="s">
        <v>1185</v>
      </c>
      <c r="H5370" s="368" t="s">
        <v>1226</v>
      </c>
    </row>
    <row r="5371" ht="15.75" customHeight="1">
      <c r="A5371" s="368" t="s">
        <v>91</v>
      </c>
      <c r="B5371" s="368" t="s">
        <v>23</v>
      </c>
      <c r="C5371" s="369" t="s">
        <v>756</v>
      </c>
      <c r="D5371" s="368" t="s">
        <v>757</v>
      </c>
      <c r="E5371" s="370">
        <v>2.0</v>
      </c>
      <c r="F5371" s="371">
        <v>46107.54166666667</v>
      </c>
      <c r="G5371" s="368" t="s">
        <v>1185</v>
      </c>
      <c r="H5371" s="368" t="s">
        <v>1226</v>
      </c>
    </row>
    <row r="5372" ht="15.75" customHeight="1">
      <c r="A5372" s="368" t="s">
        <v>91</v>
      </c>
      <c r="B5372" s="368" t="s">
        <v>23</v>
      </c>
      <c r="C5372" s="369" t="s">
        <v>756</v>
      </c>
      <c r="D5372" s="368" t="s">
        <v>757</v>
      </c>
      <c r="E5372" s="370">
        <v>3.0</v>
      </c>
      <c r="F5372" s="371">
        <v>46128.54166666667</v>
      </c>
      <c r="G5372" s="368" t="s">
        <v>1185</v>
      </c>
      <c r="H5372" s="368" t="s">
        <v>1226</v>
      </c>
    </row>
    <row r="5373" ht="15.75" customHeight="1">
      <c r="A5373" s="368" t="s">
        <v>91</v>
      </c>
      <c r="B5373" s="368" t="s">
        <v>23</v>
      </c>
      <c r="C5373" s="369" t="s">
        <v>756</v>
      </c>
      <c r="D5373" s="368" t="s">
        <v>757</v>
      </c>
      <c r="E5373" s="370">
        <v>4.0</v>
      </c>
      <c r="F5373" s="371">
        <v>46134.54166666667</v>
      </c>
      <c r="G5373" s="368" t="s">
        <v>1185</v>
      </c>
      <c r="H5373" s="368" t="s">
        <v>1226</v>
      </c>
    </row>
    <row r="5374" ht="15.75" customHeight="1">
      <c r="A5374" s="368" t="s">
        <v>91</v>
      </c>
      <c r="B5374" s="368" t="s">
        <v>23</v>
      </c>
      <c r="C5374" s="369" t="s">
        <v>756</v>
      </c>
      <c r="D5374" s="368" t="s">
        <v>757</v>
      </c>
      <c r="E5374" s="370">
        <v>5.0</v>
      </c>
      <c r="F5374" s="371">
        <v>46149.54166666667</v>
      </c>
      <c r="G5374" s="368" t="s">
        <v>1185</v>
      </c>
      <c r="H5374" s="368" t="s">
        <v>1226</v>
      </c>
    </row>
    <row r="5375" ht="15.75" customHeight="1">
      <c r="A5375" s="368" t="s">
        <v>91</v>
      </c>
      <c r="B5375" s="368" t="s">
        <v>23</v>
      </c>
      <c r="C5375" s="369" t="s">
        <v>756</v>
      </c>
      <c r="D5375" s="368" t="s">
        <v>757</v>
      </c>
      <c r="E5375" s="370">
        <v>6.0</v>
      </c>
      <c r="F5375" s="371">
        <v>46163.54166666667</v>
      </c>
      <c r="G5375" s="368" t="s">
        <v>1185</v>
      </c>
      <c r="H5375" s="368" t="s">
        <v>1226</v>
      </c>
    </row>
    <row r="5376" ht="15.75" customHeight="1">
      <c r="A5376" s="368" t="s">
        <v>91</v>
      </c>
      <c r="B5376" s="368" t="s">
        <v>23</v>
      </c>
      <c r="C5376" s="369" t="s">
        <v>756</v>
      </c>
      <c r="D5376" s="368" t="s">
        <v>757</v>
      </c>
      <c r="E5376" s="370">
        <v>7.0</v>
      </c>
      <c r="F5376" s="371">
        <v>46170.54166666667</v>
      </c>
      <c r="G5376" s="368" t="s">
        <v>1185</v>
      </c>
      <c r="H5376" s="368" t="s">
        <v>1226</v>
      </c>
    </row>
    <row r="5377" ht="15.75" customHeight="1">
      <c r="A5377" s="368" t="s">
        <v>91</v>
      </c>
      <c r="B5377" s="368" t="s">
        <v>23</v>
      </c>
      <c r="C5377" s="369" t="s">
        <v>756</v>
      </c>
      <c r="D5377" s="368" t="s">
        <v>757</v>
      </c>
      <c r="E5377" s="370">
        <v>9.0</v>
      </c>
      <c r="F5377" s="371">
        <v>46198.54166666667</v>
      </c>
      <c r="G5377" s="368" t="s">
        <v>1185</v>
      </c>
      <c r="H5377" s="368" t="s">
        <v>1226</v>
      </c>
    </row>
    <row r="5378" ht="15.75" customHeight="1">
      <c r="A5378" s="368" t="s">
        <v>91</v>
      </c>
      <c r="B5378" s="368" t="s">
        <v>23</v>
      </c>
      <c r="C5378" s="369" t="s">
        <v>758</v>
      </c>
      <c r="D5378" s="368" t="s">
        <v>759</v>
      </c>
      <c r="E5378" s="370">
        <v>1.0</v>
      </c>
      <c r="F5378" s="371">
        <v>46093.54166666667</v>
      </c>
      <c r="G5378" s="368" t="s">
        <v>1185</v>
      </c>
      <c r="H5378" s="368" t="s">
        <v>1226</v>
      </c>
    </row>
    <row r="5379" ht="15.75" customHeight="1">
      <c r="A5379" s="368" t="s">
        <v>91</v>
      </c>
      <c r="B5379" s="368" t="s">
        <v>23</v>
      </c>
      <c r="C5379" s="369" t="s">
        <v>758</v>
      </c>
      <c r="D5379" s="368" t="s">
        <v>759</v>
      </c>
      <c r="E5379" s="370">
        <v>2.0</v>
      </c>
      <c r="F5379" s="371">
        <v>46107.54166666667</v>
      </c>
      <c r="G5379" s="368" t="s">
        <v>1185</v>
      </c>
      <c r="H5379" s="368" t="s">
        <v>1226</v>
      </c>
    </row>
    <row r="5380" ht="15.75" customHeight="1">
      <c r="A5380" s="368" t="s">
        <v>91</v>
      </c>
      <c r="B5380" s="368" t="s">
        <v>23</v>
      </c>
      <c r="C5380" s="369" t="s">
        <v>758</v>
      </c>
      <c r="D5380" s="368" t="s">
        <v>759</v>
      </c>
      <c r="E5380" s="370">
        <v>3.0</v>
      </c>
      <c r="F5380" s="371">
        <v>46128.54166666667</v>
      </c>
      <c r="G5380" s="368" t="s">
        <v>1185</v>
      </c>
      <c r="H5380" s="368" t="s">
        <v>1226</v>
      </c>
    </row>
    <row r="5381" ht="15.75" customHeight="1">
      <c r="A5381" s="368" t="s">
        <v>91</v>
      </c>
      <c r="B5381" s="368" t="s">
        <v>23</v>
      </c>
      <c r="C5381" s="369" t="s">
        <v>758</v>
      </c>
      <c r="D5381" s="368" t="s">
        <v>759</v>
      </c>
      <c r="E5381" s="370">
        <v>4.0</v>
      </c>
      <c r="F5381" s="371">
        <v>46134.54166666667</v>
      </c>
      <c r="G5381" s="368" t="s">
        <v>1185</v>
      </c>
      <c r="H5381" s="368" t="s">
        <v>1226</v>
      </c>
    </row>
    <row r="5382" ht="15.75" customHeight="1">
      <c r="A5382" s="368" t="s">
        <v>91</v>
      </c>
      <c r="B5382" s="368" t="s">
        <v>23</v>
      </c>
      <c r="C5382" s="369" t="s">
        <v>758</v>
      </c>
      <c r="D5382" s="368" t="s">
        <v>759</v>
      </c>
      <c r="E5382" s="370">
        <v>5.0</v>
      </c>
      <c r="F5382" s="371">
        <v>46149.54166666667</v>
      </c>
      <c r="G5382" s="368" t="s">
        <v>1185</v>
      </c>
      <c r="H5382" s="368" t="s">
        <v>1226</v>
      </c>
    </row>
    <row r="5383" ht="15.75" customHeight="1">
      <c r="A5383" s="368" t="s">
        <v>91</v>
      </c>
      <c r="B5383" s="368" t="s">
        <v>23</v>
      </c>
      <c r="C5383" s="369" t="s">
        <v>758</v>
      </c>
      <c r="D5383" s="368" t="s">
        <v>759</v>
      </c>
      <c r="E5383" s="370">
        <v>6.0</v>
      </c>
      <c r="F5383" s="371">
        <v>46163.54166666667</v>
      </c>
      <c r="G5383" s="368" t="s">
        <v>1185</v>
      </c>
      <c r="H5383" s="368" t="s">
        <v>1226</v>
      </c>
    </row>
    <row r="5384" ht="15.75" customHeight="1">
      <c r="A5384" s="368" t="s">
        <v>91</v>
      </c>
      <c r="B5384" s="368" t="s">
        <v>23</v>
      </c>
      <c r="C5384" s="369" t="s">
        <v>758</v>
      </c>
      <c r="D5384" s="368" t="s">
        <v>759</v>
      </c>
      <c r="E5384" s="370">
        <v>7.0</v>
      </c>
      <c r="F5384" s="371">
        <v>46170.54166666667</v>
      </c>
      <c r="G5384" s="368" t="s">
        <v>1187</v>
      </c>
      <c r="H5384" s="368" t="s">
        <v>1226</v>
      </c>
    </row>
    <row r="5385" ht="15.75" customHeight="1">
      <c r="A5385" s="368" t="s">
        <v>91</v>
      </c>
      <c r="B5385" s="368" t="s">
        <v>23</v>
      </c>
      <c r="C5385" s="369" t="s">
        <v>758</v>
      </c>
      <c r="D5385" s="368" t="s">
        <v>759</v>
      </c>
      <c r="E5385" s="370">
        <v>9.0</v>
      </c>
      <c r="F5385" s="371">
        <v>46198.54166666667</v>
      </c>
      <c r="G5385" s="368" t="s">
        <v>1185</v>
      </c>
      <c r="H5385" s="368" t="s">
        <v>1226</v>
      </c>
    </row>
    <row r="5386" ht="15.75" customHeight="1">
      <c r="A5386" s="368" t="s">
        <v>91</v>
      </c>
      <c r="B5386" s="368" t="s">
        <v>23</v>
      </c>
      <c r="C5386" s="369" t="s">
        <v>760</v>
      </c>
      <c r="D5386" s="368" t="s">
        <v>761</v>
      </c>
      <c r="E5386" s="370">
        <v>1.0</v>
      </c>
      <c r="F5386" s="371">
        <v>46093.54166666667</v>
      </c>
      <c r="G5386" s="368" t="s">
        <v>1185</v>
      </c>
      <c r="H5386" s="368" t="s">
        <v>1226</v>
      </c>
    </row>
    <row r="5387" ht="15.75" customHeight="1">
      <c r="A5387" s="368" t="s">
        <v>91</v>
      </c>
      <c r="B5387" s="368" t="s">
        <v>23</v>
      </c>
      <c r="C5387" s="369" t="s">
        <v>760</v>
      </c>
      <c r="D5387" s="368" t="s">
        <v>761</v>
      </c>
      <c r="E5387" s="370">
        <v>2.0</v>
      </c>
      <c r="F5387" s="371">
        <v>46107.54166666667</v>
      </c>
      <c r="G5387" s="368" t="s">
        <v>1185</v>
      </c>
      <c r="H5387" s="368" t="s">
        <v>1226</v>
      </c>
    </row>
    <row r="5388" ht="15.75" customHeight="1">
      <c r="A5388" s="368" t="s">
        <v>91</v>
      </c>
      <c r="B5388" s="368" t="s">
        <v>23</v>
      </c>
      <c r="C5388" s="369" t="s">
        <v>760</v>
      </c>
      <c r="D5388" s="368" t="s">
        <v>761</v>
      </c>
      <c r="E5388" s="370">
        <v>3.0</v>
      </c>
      <c r="F5388" s="371">
        <v>46128.54166666667</v>
      </c>
      <c r="G5388" s="368" t="s">
        <v>1185</v>
      </c>
      <c r="H5388" s="368" t="s">
        <v>1226</v>
      </c>
    </row>
    <row r="5389" ht="15.75" customHeight="1">
      <c r="A5389" s="368" t="s">
        <v>91</v>
      </c>
      <c r="B5389" s="368" t="s">
        <v>23</v>
      </c>
      <c r="C5389" s="369" t="s">
        <v>760</v>
      </c>
      <c r="D5389" s="368" t="s">
        <v>761</v>
      </c>
      <c r="E5389" s="370">
        <v>4.0</v>
      </c>
      <c r="F5389" s="371">
        <v>46134.54166666667</v>
      </c>
      <c r="G5389" s="368" t="s">
        <v>1185</v>
      </c>
      <c r="H5389" s="368" t="s">
        <v>1226</v>
      </c>
    </row>
    <row r="5390" ht="15.75" customHeight="1">
      <c r="A5390" s="368" t="s">
        <v>91</v>
      </c>
      <c r="B5390" s="368" t="s">
        <v>23</v>
      </c>
      <c r="C5390" s="369" t="s">
        <v>760</v>
      </c>
      <c r="D5390" s="368" t="s">
        <v>761</v>
      </c>
      <c r="E5390" s="370">
        <v>5.0</v>
      </c>
      <c r="F5390" s="371">
        <v>46149.54166666667</v>
      </c>
      <c r="G5390" s="368" t="s">
        <v>1185</v>
      </c>
      <c r="H5390" s="368" t="s">
        <v>1226</v>
      </c>
    </row>
    <row r="5391" ht="15.75" customHeight="1">
      <c r="A5391" s="368" t="s">
        <v>91</v>
      </c>
      <c r="B5391" s="368" t="s">
        <v>23</v>
      </c>
      <c r="C5391" s="369" t="s">
        <v>760</v>
      </c>
      <c r="D5391" s="368" t="s">
        <v>761</v>
      </c>
      <c r="E5391" s="370">
        <v>6.0</v>
      </c>
      <c r="F5391" s="371">
        <v>46163.54166666667</v>
      </c>
      <c r="G5391" s="368" t="s">
        <v>1187</v>
      </c>
      <c r="H5391" s="368" t="s">
        <v>1226</v>
      </c>
    </row>
    <row r="5392" ht="15.75" customHeight="1">
      <c r="A5392" s="368" t="s">
        <v>91</v>
      </c>
      <c r="B5392" s="368" t="s">
        <v>23</v>
      </c>
      <c r="C5392" s="369" t="s">
        <v>760</v>
      </c>
      <c r="D5392" s="368" t="s">
        <v>761</v>
      </c>
      <c r="E5392" s="370">
        <v>7.0</v>
      </c>
      <c r="F5392" s="371">
        <v>46170.54166666667</v>
      </c>
      <c r="G5392" s="368" t="s">
        <v>1185</v>
      </c>
      <c r="H5392" s="368" t="s">
        <v>1226</v>
      </c>
    </row>
    <row r="5393" ht="15.75" customHeight="1">
      <c r="A5393" s="368" t="s">
        <v>91</v>
      </c>
      <c r="B5393" s="368" t="s">
        <v>23</v>
      </c>
      <c r="C5393" s="369" t="s">
        <v>760</v>
      </c>
      <c r="D5393" s="368" t="s">
        <v>761</v>
      </c>
      <c r="E5393" s="370">
        <v>9.0</v>
      </c>
      <c r="F5393" s="371">
        <v>46198.54166666667</v>
      </c>
      <c r="G5393" s="368" t="s">
        <v>1185</v>
      </c>
      <c r="H5393" s="368" t="s">
        <v>1226</v>
      </c>
    </row>
    <row r="5394" ht="15.75" customHeight="1">
      <c r="A5394" s="368" t="s">
        <v>91</v>
      </c>
      <c r="B5394" s="368" t="s">
        <v>23</v>
      </c>
      <c r="C5394" s="369" t="s">
        <v>762</v>
      </c>
      <c r="D5394" s="368" t="s">
        <v>763</v>
      </c>
      <c r="E5394" s="370">
        <v>1.0</v>
      </c>
      <c r="F5394" s="371">
        <v>46093.54166666667</v>
      </c>
      <c r="G5394" s="368" t="s">
        <v>1187</v>
      </c>
      <c r="H5394" s="368" t="s">
        <v>1226</v>
      </c>
    </row>
    <row r="5395" ht="15.75" customHeight="1">
      <c r="A5395" s="368" t="s">
        <v>91</v>
      </c>
      <c r="B5395" s="368" t="s">
        <v>23</v>
      </c>
      <c r="C5395" s="369" t="s">
        <v>762</v>
      </c>
      <c r="D5395" s="368" t="s">
        <v>763</v>
      </c>
      <c r="E5395" s="370">
        <v>2.0</v>
      </c>
      <c r="F5395" s="371">
        <v>46107.54166666667</v>
      </c>
      <c r="G5395" s="368" t="s">
        <v>1185</v>
      </c>
      <c r="H5395" s="368" t="s">
        <v>1226</v>
      </c>
    </row>
    <row r="5396" ht="15.75" customHeight="1">
      <c r="A5396" s="368" t="s">
        <v>91</v>
      </c>
      <c r="B5396" s="368" t="s">
        <v>23</v>
      </c>
      <c r="C5396" s="369" t="s">
        <v>762</v>
      </c>
      <c r="D5396" s="368" t="s">
        <v>763</v>
      </c>
      <c r="E5396" s="370">
        <v>3.0</v>
      </c>
      <c r="F5396" s="371">
        <v>46128.54166666667</v>
      </c>
      <c r="G5396" s="368" t="s">
        <v>1185</v>
      </c>
      <c r="H5396" s="368" t="s">
        <v>1226</v>
      </c>
    </row>
    <row r="5397" ht="15.75" customHeight="1">
      <c r="A5397" s="368" t="s">
        <v>91</v>
      </c>
      <c r="B5397" s="368" t="s">
        <v>23</v>
      </c>
      <c r="C5397" s="369" t="s">
        <v>762</v>
      </c>
      <c r="D5397" s="368" t="s">
        <v>763</v>
      </c>
      <c r="E5397" s="370">
        <v>4.0</v>
      </c>
      <c r="F5397" s="371">
        <v>46134.54166666667</v>
      </c>
      <c r="G5397" s="368" t="s">
        <v>1187</v>
      </c>
      <c r="H5397" s="368" t="s">
        <v>1226</v>
      </c>
    </row>
    <row r="5398" ht="15.75" customHeight="1">
      <c r="A5398" s="368" t="s">
        <v>91</v>
      </c>
      <c r="B5398" s="368" t="s">
        <v>23</v>
      </c>
      <c r="C5398" s="369" t="s">
        <v>762</v>
      </c>
      <c r="D5398" s="368" t="s">
        <v>763</v>
      </c>
      <c r="E5398" s="370">
        <v>5.0</v>
      </c>
      <c r="F5398" s="371">
        <v>46149.54166666667</v>
      </c>
      <c r="G5398" s="368" t="s">
        <v>1185</v>
      </c>
      <c r="H5398" s="368" t="s">
        <v>1226</v>
      </c>
    </row>
    <row r="5399" ht="15.75" customHeight="1">
      <c r="A5399" s="368" t="s">
        <v>91</v>
      </c>
      <c r="B5399" s="368" t="s">
        <v>23</v>
      </c>
      <c r="C5399" s="369" t="s">
        <v>762</v>
      </c>
      <c r="D5399" s="368" t="s">
        <v>763</v>
      </c>
      <c r="E5399" s="370">
        <v>6.0</v>
      </c>
      <c r="F5399" s="371">
        <v>46163.54166666667</v>
      </c>
      <c r="G5399" s="368" t="s">
        <v>1185</v>
      </c>
      <c r="H5399" s="368" t="s">
        <v>1226</v>
      </c>
    </row>
    <row r="5400" ht="15.75" customHeight="1">
      <c r="A5400" s="368" t="s">
        <v>91</v>
      </c>
      <c r="B5400" s="368" t="s">
        <v>23</v>
      </c>
      <c r="C5400" s="369" t="s">
        <v>762</v>
      </c>
      <c r="D5400" s="368" t="s">
        <v>763</v>
      </c>
      <c r="E5400" s="370">
        <v>7.0</v>
      </c>
      <c r="F5400" s="371">
        <v>46170.54166666667</v>
      </c>
      <c r="G5400" s="368" t="s">
        <v>1185</v>
      </c>
      <c r="H5400" s="368" t="s">
        <v>1226</v>
      </c>
    </row>
    <row r="5401" ht="15.75" customHeight="1">
      <c r="A5401" s="368" t="s">
        <v>91</v>
      </c>
      <c r="B5401" s="368" t="s">
        <v>23</v>
      </c>
      <c r="C5401" s="369" t="s">
        <v>762</v>
      </c>
      <c r="D5401" s="368" t="s">
        <v>763</v>
      </c>
      <c r="E5401" s="370">
        <v>9.0</v>
      </c>
      <c r="F5401" s="371">
        <v>46198.54166666667</v>
      </c>
      <c r="G5401" s="368" t="s">
        <v>1185</v>
      </c>
      <c r="H5401" s="368" t="s">
        <v>1226</v>
      </c>
    </row>
    <row r="5402" ht="15.75" customHeight="1">
      <c r="A5402" s="368" t="s">
        <v>91</v>
      </c>
      <c r="B5402" s="368" t="s">
        <v>23</v>
      </c>
      <c r="C5402" s="369" t="s">
        <v>764</v>
      </c>
      <c r="D5402" s="368" t="s">
        <v>765</v>
      </c>
      <c r="E5402" s="370">
        <v>1.0</v>
      </c>
      <c r="F5402" s="371">
        <v>46093.54166666667</v>
      </c>
      <c r="G5402" s="368" t="s">
        <v>1185</v>
      </c>
      <c r="H5402" s="368" t="s">
        <v>1226</v>
      </c>
    </row>
    <row r="5403" ht="15.75" customHeight="1">
      <c r="A5403" s="368" t="s">
        <v>91</v>
      </c>
      <c r="B5403" s="368" t="s">
        <v>23</v>
      </c>
      <c r="C5403" s="369" t="s">
        <v>764</v>
      </c>
      <c r="D5403" s="368" t="s">
        <v>765</v>
      </c>
      <c r="E5403" s="370">
        <v>2.0</v>
      </c>
      <c r="F5403" s="371">
        <v>46107.54166666667</v>
      </c>
      <c r="G5403" s="368" t="s">
        <v>1185</v>
      </c>
      <c r="H5403" s="368" t="s">
        <v>1226</v>
      </c>
    </row>
    <row r="5404" ht="15.75" customHeight="1">
      <c r="A5404" s="368" t="s">
        <v>91</v>
      </c>
      <c r="B5404" s="368" t="s">
        <v>23</v>
      </c>
      <c r="C5404" s="369" t="s">
        <v>764</v>
      </c>
      <c r="D5404" s="368" t="s">
        <v>765</v>
      </c>
      <c r="E5404" s="370">
        <v>3.0</v>
      </c>
      <c r="F5404" s="371">
        <v>46128.54166666667</v>
      </c>
      <c r="G5404" s="368" t="s">
        <v>1185</v>
      </c>
      <c r="H5404" s="368" t="s">
        <v>1226</v>
      </c>
    </row>
    <row r="5405" ht="15.75" customHeight="1">
      <c r="A5405" s="368" t="s">
        <v>91</v>
      </c>
      <c r="B5405" s="368" t="s">
        <v>23</v>
      </c>
      <c r="C5405" s="369" t="s">
        <v>764</v>
      </c>
      <c r="D5405" s="368" t="s">
        <v>765</v>
      </c>
      <c r="E5405" s="370">
        <v>4.0</v>
      </c>
      <c r="F5405" s="371">
        <v>46134.54166666667</v>
      </c>
      <c r="G5405" s="368" t="s">
        <v>1185</v>
      </c>
      <c r="H5405" s="368" t="s">
        <v>1226</v>
      </c>
    </row>
    <row r="5406" ht="15.75" customHeight="1">
      <c r="A5406" s="368" t="s">
        <v>91</v>
      </c>
      <c r="B5406" s="368" t="s">
        <v>23</v>
      </c>
      <c r="C5406" s="369" t="s">
        <v>764</v>
      </c>
      <c r="D5406" s="368" t="s">
        <v>765</v>
      </c>
      <c r="E5406" s="370">
        <v>5.0</v>
      </c>
      <c r="F5406" s="371">
        <v>46149.54166666667</v>
      </c>
      <c r="G5406" s="368" t="s">
        <v>1185</v>
      </c>
      <c r="H5406" s="368" t="s">
        <v>1226</v>
      </c>
    </row>
    <row r="5407" ht="15.75" customHeight="1">
      <c r="A5407" s="368" t="s">
        <v>91</v>
      </c>
      <c r="B5407" s="368" t="s">
        <v>23</v>
      </c>
      <c r="C5407" s="369" t="s">
        <v>764</v>
      </c>
      <c r="D5407" s="368" t="s">
        <v>765</v>
      </c>
      <c r="E5407" s="370">
        <v>6.0</v>
      </c>
      <c r="F5407" s="371">
        <v>46163.54166666667</v>
      </c>
      <c r="G5407" s="368" t="s">
        <v>1185</v>
      </c>
      <c r="H5407" s="368" t="s">
        <v>1226</v>
      </c>
    </row>
    <row r="5408" ht="15.75" customHeight="1">
      <c r="A5408" s="368" t="s">
        <v>91</v>
      </c>
      <c r="B5408" s="368" t="s">
        <v>23</v>
      </c>
      <c r="C5408" s="369" t="s">
        <v>764</v>
      </c>
      <c r="D5408" s="368" t="s">
        <v>765</v>
      </c>
      <c r="E5408" s="370">
        <v>7.0</v>
      </c>
      <c r="F5408" s="371">
        <v>46170.54166666667</v>
      </c>
      <c r="G5408" s="368" t="s">
        <v>1185</v>
      </c>
      <c r="H5408" s="368" t="s">
        <v>1226</v>
      </c>
    </row>
    <row r="5409" ht="15.75" customHeight="1">
      <c r="A5409" s="368" t="s">
        <v>91</v>
      </c>
      <c r="B5409" s="368" t="s">
        <v>23</v>
      </c>
      <c r="C5409" s="369" t="s">
        <v>764</v>
      </c>
      <c r="D5409" s="368" t="s">
        <v>765</v>
      </c>
      <c r="E5409" s="370">
        <v>9.0</v>
      </c>
      <c r="F5409" s="371">
        <v>46198.54166666667</v>
      </c>
      <c r="G5409" s="368" t="s">
        <v>1185</v>
      </c>
      <c r="H5409" s="368" t="s">
        <v>1226</v>
      </c>
    </row>
    <row r="5410" ht="15.75" customHeight="1">
      <c r="A5410" s="368" t="s">
        <v>91</v>
      </c>
      <c r="B5410" s="368" t="s">
        <v>23</v>
      </c>
      <c r="C5410" s="369" t="s">
        <v>766</v>
      </c>
      <c r="D5410" s="368" t="s">
        <v>767</v>
      </c>
      <c r="E5410" s="370">
        <v>1.0</v>
      </c>
      <c r="F5410" s="371">
        <v>46093.54166666667</v>
      </c>
      <c r="G5410" s="368" t="s">
        <v>1185</v>
      </c>
      <c r="H5410" s="368" t="s">
        <v>1226</v>
      </c>
    </row>
    <row r="5411" ht="15.75" customHeight="1">
      <c r="A5411" s="368" t="s">
        <v>91</v>
      </c>
      <c r="B5411" s="368" t="s">
        <v>23</v>
      </c>
      <c r="C5411" s="369" t="s">
        <v>766</v>
      </c>
      <c r="D5411" s="368" t="s">
        <v>767</v>
      </c>
      <c r="E5411" s="370">
        <v>2.0</v>
      </c>
      <c r="F5411" s="371">
        <v>46107.54166666667</v>
      </c>
      <c r="G5411" s="368" t="s">
        <v>1185</v>
      </c>
      <c r="H5411" s="368" t="s">
        <v>1226</v>
      </c>
    </row>
    <row r="5412" ht="15.75" customHeight="1">
      <c r="A5412" s="368" t="s">
        <v>91</v>
      </c>
      <c r="B5412" s="368" t="s">
        <v>23</v>
      </c>
      <c r="C5412" s="369" t="s">
        <v>766</v>
      </c>
      <c r="D5412" s="368" t="s">
        <v>767</v>
      </c>
      <c r="E5412" s="370">
        <v>3.0</v>
      </c>
      <c r="F5412" s="371">
        <v>46128.54166666667</v>
      </c>
      <c r="G5412" s="368" t="s">
        <v>1187</v>
      </c>
      <c r="H5412" s="368" t="s">
        <v>1226</v>
      </c>
    </row>
    <row r="5413" ht="15.75" customHeight="1">
      <c r="A5413" s="368" t="s">
        <v>91</v>
      </c>
      <c r="B5413" s="368" t="s">
        <v>23</v>
      </c>
      <c r="C5413" s="369" t="s">
        <v>766</v>
      </c>
      <c r="D5413" s="368" t="s">
        <v>767</v>
      </c>
      <c r="E5413" s="370">
        <v>4.0</v>
      </c>
      <c r="F5413" s="371">
        <v>46134.54166666667</v>
      </c>
      <c r="G5413" s="368" t="s">
        <v>1187</v>
      </c>
      <c r="H5413" s="368" t="s">
        <v>1226</v>
      </c>
    </row>
    <row r="5414" ht="15.75" customHeight="1">
      <c r="A5414" s="368" t="s">
        <v>91</v>
      </c>
      <c r="B5414" s="368" t="s">
        <v>23</v>
      </c>
      <c r="C5414" s="369" t="s">
        <v>766</v>
      </c>
      <c r="D5414" s="368" t="s">
        <v>767</v>
      </c>
      <c r="E5414" s="370">
        <v>5.0</v>
      </c>
      <c r="F5414" s="371">
        <v>46149.54166666667</v>
      </c>
      <c r="G5414" s="368" t="s">
        <v>1187</v>
      </c>
      <c r="H5414" s="368" t="s">
        <v>1226</v>
      </c>
    </row>
    <row r="5415" ht="15.75" customHeight="1">
      <c r="A5415" s="368" t="s">
        <v>91</v>
      </c>
      <c r="B5415" s="368" t="s">
        <v>23</v>
      </c>
      <c r="C5415" s="369" t="s">
        <v>766</v>
      </c>
      <c r="D5415" s="368" t="s">
        <v>767</v>
      </c>
      <c r="E5415" s="370">
        <v>6.0</v>
      </c>
      <c r="F5415" s="371">
        <v>46163.54166666667</v>
      </c>
      <c r="G5415" s="368" t="s">
        <v>1187</v>
      </c>
      <c r="H5415" s="368" t="s">
        <v>1226</v>
      </c>
    </row>
    <row r="5416" ht="15.75" customHeight="1">
      <c r="A5416" s="368" t="s">
        <v>91</v>
      </c>
      <c r="B5416" s="368" t="s">
        <v>23</v>
      </c>
      <c r="C5416" s="369" t="s">
        <v>766</v>
      </c>
      <c r="D5416" s="368" t="s">
        <v>767</v>
      </c>
      <c r="E5416" s="370">
        <v>7.0</v>
      </c>
      <c r="F5416" s="371">
        <v>46170.54166666667</v>
      </c>
      <c r="G5416" s="368" t="s">
        <v>1187</v>
      </c>
      <c r="H5416" s="368" t="s">
        <v>1226</v>
      </c>
    </row>
    <row r="5417" ht="15.75" customHeight="1">
      <c r="A5417" s="368" t="s">
        <v>91</v>
      </c>
      <c r="B5417" s="368" t="s">
        <v>23</v>
      </c>
      <c r="C5417" s="369" t="s">
        <v>766</v>
      </c>
      <c r="D5417" s="368" t="s">
        <v>767</v>
      </c>
      <c r="E5417" s="370">
        <v>9.0</v>
      </c>
      <c r="F5417" s="371">
        <v>46198.54166666667</v>
      </c>
      <c r="G5417" s="368" t="s">
        <v>1187</v>
      </c>
      <c r="H5417" s="368" t="s">
        <v>1226</v>
      </c>
    </row>
    <row r="5418" ht="15.75" customHeight="1">
      <c r="A5418" s="368" t="s">
        <v>92</v>
      </c>
      <c r="B5418" s="368" t="s">
        <v>26</v>
      </c>
      <c r="C5418" s="369" t="s">
        <v>382</v>
      </c>
      <c r="D5418" s="368" t="s">
        <v>383</v>
      </c>
      <c r="E5418" s="370">
        <v>4.0</v>
      </c>
      <c r="F5418" s="371">
        <v>45938.58333333333</v>
      </c>
      <c r="G5418" s="368" t="s">
        <v>1185</v>
      </c>
      <c r="H5418" s="368" t="s">
        <v>1227</v>
      </c>
    </row>
    <row r="5419" ht="15.75" customHeight="1">
      <c r="A5419" s="368" t="s">
        <v>92</v>
      </c>
      <c r="B5419" s="368" t="s">
        <v>26</v>
      </c>
      <c r="C5419" s="369" t="s">
        <v>382</v>
      </c>
      <c r="D5419" s="368" t="s">
        <v>383</v>
      </c>
      <c r="E5419" s="370">
        <v>5.0</v>
      </c>
      <c r="F5419" s="371">
        <v>45947.54166666667</v>
      </c>
      <c r="G5419" s="368" t="s">
        <v>1187</v>
      </c>
      <c r="H5419" s="368" t="s">
        <v>1227</v>
      </c>
    </row>
    <row r="5420" ht="15.75" customHeight="1">
      <c r="A5420" s="368" t="s">
        <v>92</v>
      </c>
      <c r="B5420" s="368" t="s">
        <v>26</v>
      </c>
      <c r="C5420" s="369" t="s">
        <v>382</v>
      </c>
      <c r="D5420" s="368" t="s">
        <v>383</v>
      </c>
      <c r="E5420" s="370">
        <v>6.0</v>
      </c>
      <c r="F5420" s="371">
        <v>45952.625</v>
      </c>
      <c r="G5420" s="368" t="s">
        <v>1185</v>
      </c>
      <c r="H5420" s="368" t="s">
        <v>1227</v>
      </c>
    </row>
    <row r="5421" ht="15.75" customHeight="1">
      <c r="A5421" s="368" t="s">
        <v>92</v>
      </c>
      <c r="B5421" s="368" t="s">
        <v>26</v>
      </c>
      <c r="C5421" s="369" t="s">
        <v>382</v>
      </c>
      <c r="D5421" s="368" t="s">
        <v>383</v>
      </c>
      <c r="E5421" s="370">
        <v>7.0</v>
      </c>
      <c r="F5421" s="371">
        <v>45961.58333333333</v>
      </c>
      <c r="G5421" s="368" t="s">
        <v>1185</v>
      </c>
      <c r="H5421" s="368" t="s">
        <v>1227</v>
      </c>
    </row>
    <row r="5422" ht="15.75" customHeight="1">
      <c r="A5422" s="368" t="s">
        <v>92</v>
      </c>
      <c r="B5422" s="368" t="s">
        <v>26</v>
      </c>
      <c r="C5422" s="369" t="s">
        <v>382</v>
      </c>
      <c r="D5422" s="368" t="s">
        <v>383</v>
      </c>
      <c r="E5422" s="370">
        <v>8.0</v>
      </c>
      <c r="F5422" s="371">
        <v>45966.625</v>
      </c>
      <c r="G5422" s="368" t="s">
        <v>1185</v>
      </c>
      <c r="H5422" s="368" t="s">
        <v>1227</v>
      </c>
    </row>
    <row r="5423" ht="15.75" customHeight="1">
      <c r="A5423" s="368" t="s">
        <v>92</v>
      </c>
      <c r="B5423" s="368" t="s">
        <v>26</v>
      </c>
      <c r="C5423" s="369" t="s">
        <v>382</v>
      </c>
      <c r="D5423" s="368" t="s">
        <v>383</v>
      </c>
      <c r="E5423" s="370">
        <v>9.0</v>
      </c>
      <c r="F5423" s="371">
        <v>45974.58333333333</v>
      </c>
      <c r="G5423" s="368" t="s">
        <v>1185</v>
      </c>
      <c r="H5423" s="368" t="s">
        <v>1227</v>
      </c>
    </row>
    <row r="5424" ht="15.75" customHeight="1">
      <c r="A5424" s="368" t="s">
        <v>92</v>
      </c>
      <c r="B5424" s="368" t="s">
        <v>26</v>
      </c>
      <c r="C5424" s="369" t="s">
        <v>382</v>
      </c>
      <c r="D5424" s="368" t="s">
        <v>383</v>
      </c>
      <c r="E5424" s="370">
        <v>10.0</v>
      </c>
      <c r="F5424" s="371">
        <v>45982.625</v>
      </c>
      <c r="G5424" s="368" t="s">
        <v>1187</v>
      </c>
      <c r="H5424" s="368" t="s">
        <v>1227</v>
      </c>
    </row>
    <row r="5425" ht="15.75" customHeight="1">
      <c r="A5425" s="368" t="s">
        <v>92</v>
      </c>
      <c r="B5425" s="368" t="s">
        <v>26</v>
      </c>
      <c r="C5425" s="369" t="s">
        <v>382</v>
      </c>
      <c r="D5425" s="368" t="s">
        <v>383</v>
      </c>
      <c r="E5425" s="370">
        <v>11.0</v>
      </c>
      <c r="F5425" s="371">
        <v>45989.58333333333</v>
      </c>
      <c r="G5425" s="368" t="s">
        <v>1185</v>
      </c>
      <c r="H5425" s="368" t="s">
        <v>1227</v>
      </c>
    </row>
    <row r="5426" ht="15.75" customHeight="1">
      <c r="A5426" s="368" t="s">
        <v>92</v>
      </c>
      <c r="B5426" s="368" t="s">
        <v>26</v>
      </c>
      <c r="C5426" s="369" t="s">
        <v>382</v>
      </c>
      <c r="D5426" s="368" t="s">
        <v>383</v>
      </c>
      <c r="E5426" s="370">
        <v>12.0</v>
      </c>
      <c r="F5426" s="371">
        <v>45994.54166666667</v>
      </c>
      <c r="G5426" s="368" t="s">
        <v>1185</v>
      </c>
      <c r="H5426" s="368" t="s">
        <v>1227</v>
      </c>
    </row>
    <row r="5427" ht="15.75" customHeight="1">
      <c r="A5427" s="368" t="s">
        <v>92</v>
      </c>
      <c r="B5427" s="368" t="s">
        <v>26</v>
      </c>
      <c r="C5427" s="369" t="s">
        <v>382</v>
      </c>
      <c r="D5427" s="368" t="s">
        <v>383</v>
      </c>
      <c r="E5427" s="370">
        <v>13.0</v>
      </c>
      <c r="F5427" s="371">
        <v>46010.58333333333</v>
      </c>
      <c r="G5427" s="368" t="s">
        <v>1187</v>
      </c>
      <c r="H5427" s="368" t="s">
        <v>1227</v>
      </c>
    </row>
    <row r="5428" ht="15.75" customHeight="1">
      <c r="A5428" s="368" t="s">
        <v>92</v>
      </c>
      <c r="B5428" s="368" t="s">
        <v>26</v>
      </c>
      <c r="C5428" s="369" t="s">
        <v>382</v>
      </c>
      <c r="D5428" s="368" t="s">
        <v>383</v>
      </c>
      <c r="E5428" s="370">
        <v>14.0</v>
      </c>
      <c r="F5428" s="371">
        <v>46049.54166666667</v>
      </c>
      <c r="G5428" s="368" t="s">
        <v>1185</v>
      </c>
      <c r="H5428" s="368" t="s">
        <v>1227</v>
      </c>
    </row>
    <row r="5429" ht="15.75" customHeight="1">
      <c r="A5429" s="368" t="s">
        <v>92</v>
      </c>
      <c r="B5429" s="368" t="s">
        <v>26</v>
      </c>
      <c r="C5429" s="369" t="s">
        <v>382</v>
      </c>
      <c r="D5429" s="368" t="s">
        <v>383</v>
      </c>
      <c r="E5429" s="370">
        <v>15.0</v>
      </c>
      <c r="F5429" s="371">
        <v>46052.58333333333</v>
      </c>
      <c r="G5429" s="368" t="s">
        <v>1187</v>
      </c>
      <c r="H5429" s="368" t="s">
        <v>1227</v>
      </c>
    </row>
    <row r="5430" ht="15.75" customHeight="1">
      <c r="A5430" s="368" t="s">
        <v>92</v>
      </c>
      <c r="B5430" s="368" t="s">
        <v>26</v>
      </c>
      <c r="C5430" s="369" t="s">
        <v>382</v>
      </c>
      <c r="D5430" s="368" t="s">
        <v>383</v>
      </c>
      <c r="E5430" s="370">
        <v>16.0</v>
      </c>
      <c r="F5430" s="371">
        <v>46083.58333333333</v>
      </c>
      <c r="G5430" s="368" t="s">
        <v>1185</v>
      </c>
      <c r="H5430" s="368" t="s">
        <v>1227</v>
      </c>
    </row>
    <row r="5431" ht="15.75" customHeight="1">
      <c r="A5431" s="368" t="s">
        <v>92</v>
      </c>
      <c r="B5431" s="368" t="s">
        <v>26</v>
      </c>
      <c r="C5431" s="369" t="s">
        <v>707</v>
      </c>
      <c r="D5431" s="368" t="s">
        <v>708</v>
      </c>
      <c r="E5431" s="370">
        <v>4.0</v>
      </c>
      <c r="F5431" s="371">
        <v>45938.58333333333</v>
      </c>
      <c r="G5431" s="368" t="s">
        <v>1187</v>
      </c>
      <c r="H5431" s="368" t="s">
        <v>1227</v>
      </c>
    </row>
    <row r="5432" ht="15.75" customHeight="1">
      <c r="A5432" s="368" t="s">
        <v>92</v>
      </c>
      <c r="B5432" s="368" t="s">
        <v>26</v>
      </c>
      <c r="C5432" s="369" t="s">
        <v>707</v>
      </c>
      <c r="D5432" s="368" t="s">
        <v>708</v>
      </c>
      <c r="E5432" s="370">
        <v>5.0</v>
      </c>
      <c r="F5432" s="371">
        <v>45947.54166666667</v>
      </c>
      <c r="G5432" s="368" t="s">
        <v>1185</v>
      </c>
      <c r="H5432" s="368" t="s">
        <v>1227</v>
      </c>
    </row>
    <row r="5433" ht="15.75" customHeight="1">
      <c r="A5433" s="368" t="s">
        <v>92</v>
      </c>
      <c r="B5433" s="368" t="s">
        <v>26</v>
      </c>
      <c r="C5433" s="369" t="s">
        <v>707</v>
      </c>
      <c r="D5433" s="368" t="s">
        <v>708</v>
      </c>
      <c r="E5433" s="370">
        <v>6.0</v>
      </c>
      <c r="F5433" s="371">
        <v>45952.625</v>
      </c>
      <c r="G5433" s="368" t="s">
        <v>1185</v>
      </c>
      <c r="H5433" s="368" t="s">
        <v>1227</v>
      </c>
    </row>
    <row r="5434" ht="15.75" customHeight="1">
      <c r="A5434" s="368" t="s">
        <v>92</v>
      </c>
      <c r="B5434" s="368" t="s">
        <v>26</v>
      </c>
      <c r="C5434" s="369" t="s">
        <v>707</v>
      </c>
      <c r="D5434" s="368" t="s">
        <v>708</v>
      </c>
      <c r="E5434" s="370">
        <v>7.0</v>
      </c>
      <c r="F5434" s="371">
        <v>45961.58333333333</v>
      </c>
      <c r="G5434" s="368" t="s">
        <v>1185</v>
      </c>
      <c r="H5434" s="368" t="s">
        <v>1227</v>
      </c>
    </row>
    <row r="5435" ht="15.75" customHeight="1">
      <c r="A5435" s="368" t="s">
        <v>92</v>
      </c>
      <c r="B5435" s="368" t="s">
        <v>26</v>
      </c>
      <c r="C5435" s="369" t="s">
        <v>707</v>
      </c>
      <c r="D5435" s="368" t="s">
        <v>708</v>
      </c>
      <c r="E5435" s="370">
        <v>8.0</v>
      </c>
      <c r="F5435" s="371">
        <v>45966.625</v>
      </c>
      <c r="G5435" s="368" t="s">
        <v>1187</v>
      </c>
      <c r="H5435" s="368" t="s">
        <v>1227</v>
      </c>
    </row>
    <row r="5436" ht="15.75" customHeight="1">
      <c r="A5436" s="368" t="s">
        <v>92</v>
      </c>
      <c r="B5436" s="368" t="s">
        <v>26</v>
      </c>
      <c r="C5436" s="369" t="s">
        <v>707</v>
      </c>
      <c r="D5436" s="368" t="s">
        <v>708</v>
      </c>
      <c r="E5436" s="370">
        <v>9.0</v>
      </c>
      <c r="F5436" s="371">
        <v>45974.58333333333</v>
      </c>
      <c r="G5436" s="368" t="s">
        <v>1185</v>
      </c>
      <c r="H5436" s="368" t="s">
        <v>1227</v>
      </c>
    </row>
    <row r="5437" ht="15.75" customHeight="1">
      <c r="A5437" s="368" t="s">
        <v>92</v>
      </c>
      <c r="B5437" s="368" t="s">
        <v>26</v>
      </c>
      <c r="C5437" s="369" t="s">
        <v>707</v>
      </c>
      <c r="D5437" s="368" t="s">
        <v>708</v>
      </c>
      <c r="E5437" s="370">
        <v>10.0</v>
      </c>
      <c r="F5437" s="371">
        <v>45982.625</v>
      </c>
      <c r="G5437" s="368" t="s">
        <v>1185</v>
      </c>
      <c r="H5437" s="368" t="s">
        <v>1227</v>
      </c>
    </row>
    <row r="5438" ht="15.75" customHeight="1">
      <c r="A5438" s="368" t="s">
        <v>92</v>
      </c>
      <c r="B5438" s="368" t="s">
        <v>26</v>
      </c>
      <c r="C5438" s="369" t="s">
        <v>707</v>
      </c>
      <c r="D5438" s="368" t="s">
        <v>708</v>
      </c>
      <c r="E5438" s="370">
        <v>11.0</v>
      </c>
      <c r="F5438" s="371">
        <v>45989.58333333333</v>
      </c>
      <c r="G5438" s="368" t="s">
        <v>1185</v>
      </c>
      <c r="H5438" s="368" t="s">
        <v>1227</v>
      </c>
    </row>
    <row r="5439" ht="15.75" customHeight="1">
      <c r="A5439" s="368" t="s">
        <v>92</v>
      </c>
      <c r="B5439" s="368" t="s">
        <v>26</v>
      </c>
      <c r="C5439" s="369" t="s">
        <v>707</v>
      </c>
      <c r="D5439" s="368" t="s">
        <v>708</v>
      </c>
      <c r="E5439" s="370">
        <v>12.0</v>
      </c>
      <c r="F5439" s="371">
        <v>45994.54166666667</v>
      </c>
      <c r="G5439" s="368" t="s">
        <v>1185</v>
      </c>
      <c r="H5439" s="368" t="s">
        <v>1227</v>
      </c>
    </row>
    <row r="5440" ht="15.75" customHeight="1">
      <c r="A5440" s="368" t="s">
        <v>92</v>
      </c>
      <c r="B5440" s="368" t="s">
        <v>26</v>
      </c>
      <c r="C5440" s="369" t="s">
        <v>707</v>
      </c>
      <c r="D5440" s="368" t="s">
        <v>708</v>
      </c>
      <c r="E5440" s="370">
        <v>13.0</v>
      </c>
      <c r="F5440" s="371">
        <v>46010.58333333333</v>
      </c>
      <c r="G5440" s="368" t="s">
        <v>1185</v>
      </c>
      <c r="H5440" s="368" t="s">
        <v>1227</v>
      </c>
    </row>
    <row r="5441" ht="15.75" customHeight="1">
      <c r="A5441" s="368" t="s">
        <v>92</v>
      </c>
      <c r="B5441" s="368" t="s">
        <v>26</v>
      </c>
      <c r="C5441" s="369" t="s">
        <v>707</v>
      </c>
      <c r="D5441" s="368" t="s">
        <v>708</v>
      </c>
      <c r="E5441" s="370">
        <v>14.0</v>
      </c>
      <c r="F5441" s="371">
        <v>46049.54166666667</v>
      </c>
      <c r="G5441" s="368" t="s">
        <v>1185</v>
      </c>
      <c r="H5441" s="368" t="s">
        <v>1227</v>
      </c>
    </row>
    <row r="5442" ht="15.75" customHeight="1">
      <c r="A5442" s="368" t="s">
        <v>92</v>
      </c>
      <c r="B5442" s="368" t="s">
        <v>26</v>
      </c>
      <c r="C5442" s="369" t="s">
        <v>707</v>
      </c>
      <c r="D5442" s="368" t="s">
        <v>708</v>
      </c>
      <c r="E5442" s="370">
        <v>15.0</v>
      </c>
      <c r="F5442" s="371">
        <v>46052.58333333333</v>
      </c>
      <c r="G5442" s="368" t="s">
        <v>1185</v>
      </c>
      <c r="H5442" s="368" t="s">
        <v>1227</v>
      </c>
    </row>
    <row r="5443" ht="15.75" customHeight="1">
      <c r="A5443" s="368" t="s">
        <v>92</v>
      </c>
      <c r="B5443" s="368" t="s">
        <v>26</v>
      </c>
      <c r="C5443" s="369" t="s">
        <v>707</v>
      </c>
      <c r="D5443" s="368" t="s">
        <v>708</v>
      </c>
      <c r="E5443" s="370">
        <v>16.0</v>
      </c>
      <c r="F5443" s="371">
        <v>46083.58333333333</v>
      </c>
      <c r="G5443" s="368" t="s">
        <v>1185</v>
      </c>
      <c r="H5443" s="368" t="s">
        <v>1227</v>
      </c>
    </row>
    <row r="5444" ht="15.75" customHeight="1">
      <c r="A5444" s="368" t="s">
        <v>92</v>
      </c>
      <c r="B5444" s="368" t="s">
        <v>26</v>
      </c>
      <c r="C5444" s="369" t="s">
        <v>391</v>
      </c>
      <c r="D5444" s="368" t="s">
        <v>392</v>
      </c>
      <c r="E5444" s="370">
        <v>4.0</v>
      </c>
      <c r="F5444" s="371">
        <v>45938.58333333333</v>
      </c>
      <c r="G5444" s="368" t="s">
        <v>1185</v>
      </c>
      <c r="H5444" s="368" t="s">
        <v>1227</v>
      </c>
    </row>
    <row r="5445" ht="15.75" customHeight="1">
      <c r="A5445" s="368" t="s">
        <v>92</v>
      </c>
      <c r="B5445" s="368" t="s">
        <v>26</v>
      </c>
      <c r="C5445" s="369" t="s">
        <v>391</v>
      </c>
      <c r="D5445" s="368" t="s">
        <v>392</v>
      </c>
      <c r="E5445" s="370">
        <v>5.0</v>
      </c>
      <c r="F5445" s="371">
        <v>45947.54166666667</v>
      </c>
      <c r="G5445" s="368" t="s">
        <v>1185</v>
      </c>
      <c r="H5445" s="368" t="s">
        <v>1227</v>
      </c>
    </row>
    <row r="5446" ht="15.75" customHeight="1">
      <c r="A5446" s="368" t="s">
        <v>92</v>
      </c>
      <c r="B5446" s="368" t="s">
        <v>26</v>
      </c>
      <c r="C5446" s="369" t="s">
        <v>391</v>
      </c>
      <c r="D5446" s="368" t="s">
        <v>392</v>
      </c>
      <c r="E5446" s="370">
        <v>6.0</v>
      </c>
      <c r="F5446" s="371">
        <v>45952.625</v>
      </c>
      <c r="G5446" s="368" t="s">
        <v>1185</v>
      </c>
      <c r="H5446" s="368" t="s">
        <v>1227</v>
      </c>
    </row>
    <row r="5447" ht="15.75" customHeight="1">
      <c r="A5447" s="368" t="s">
        <v>92</v>
      </c>
      <c r="B5447" s="368" t="s">
        <v>26</v>
      </c>
      <c r="C5447" s="369" t="s">
        <v>391</v>
      </c>
      <c r="D5447" s="368" t="s">
        <v>392</v>
      </c>
      <c r="E5447" s="370">
        <v>7.0</v>
      </c>
      <c r="F5447" s="371">
        <v>45961.58333333333</v>
      </c>
      <c r="G5447" s="368" t="s">
        <v>1185</v>
      </c>
      <c r="H5447" s="368" t="s">
        <v>1227</v>
      </c>
    </row>
    <row r="5448" ht="15.75" customHeight="1">
      <c r="A5448" s="368" t="s">
        <v>92</v>
      </c>
      <c r="B5448" s="368" t="s">
        <v>26</v>
      </c>
      <c r="C5448" s="369" t="s">
        <v>391</v>
      </c>
      <c r="D5448" s="368" t="s">
        <v>392</v>
      </c>
      <c r="E5448" s="370">
        <v>8.0</v>
      </c>
      <c r="F5448" s="371">
        <v>45966.625</v>
      </c>
      <c r="G5448" s="368" t="s">
        <v>1187</v>
      </c>
      <c r="H5448" s="368" t="s">
        <v>1227</v>
      </c>
    </row>
    <row r="5449" ht="15.75" customHeight="1">
      <c r="A5449" s="368" t="s">
        <v>92</v>
      </c>
      <c r="B5449" s="368" t="s">
        <v>26</v>
      </c>
      <c r="C5449" s="369" t="s">
        <v>391</v>
      </c>
      <c r="D5449" s="368" t="s">
        <v>392</v>
      </c>
      <c r="E5449" s="370">
        <v>9.0</v>
      </c>
      <c r="F5449" s="371">
        <v>45974.58333333333</v>
      </c>
      <c r="G5449" s="368" t="s">
        <v>1185</v>
      </c>
      <c r="H5449" s="368" t="s">
        <v>1227</v>
      </c>
    </row>
    <row r="5450" ht="15.75" customHeight="1">
      <c r="A5450" s="368" t="s">
        <v>92</v>
      </c>
      <c r="B5450" s="368" t="s">
        <v>26</v>
      </c>
      <c r="C5450" s="369" t="s">
        <v>391</v>
      </c>
      <c r="D5450" s="368" t="s">
        <v>392</v>
      </c>
      <c r="E5450" s="370">
        <v>10.0</v>
      </c>
      <c r="F5450" s="371">
        <v>45982.625</v>
      </c>
      <c r="G5450" s="368" t="s">
        <v>1187</v>
      </c>
      <c r="H5450" s="368" t="s">
        <v>1227</v>
      </c>
    </row>
    <row r="5451" ht="15.75" customHeight="1">
      <c r="A5451" s="368" t="s">
        <v>92</v>
      </c>
      <c r="B5451" s="368" t="s">
        <v>26</v>
      </c>
      <c r="C5451" s="369" t="s">
        <v>391</v>
      </c>
      <c r="D5451" s="368" t="s">
        <v>392</v>
      </c>
      <c r="E5451" s="370">
        <v>11.0</v>
      </c>
      <c r="F5451" s="371">
        <v>45989.58333333333</v>
      </c>
      <c r="G5451" s="368" t="s">
        <v>1185</v>
      </c>
      <c r="H5451" s="368" t="s">
        <v>1227</v>
      </c>
    </row>
    <row r="5452" ht="15.75" customHeight="1">
      <c r="A5452" s="368" t="s">
        <v>92</v>
      </c>
      <c r="B5452" s="368" t="s">
        <v>26</v>
      </c>
      <c r="C5452" s="369" t="s">
        <v>391</v>
      </c>
      <c r="D5452" s="368" t="s">
        <v>392</v>
      </c>
      <c r="E5452" s="370">
        <v>12.0</v>
      </c>
      <c r="F5452" s="371">
        <v>45994.54166666667</v>
      </c>
      <c r="G5452" s="368" t="s">
        <v>1185</v>
      </c>
      <c r="H5452" s="368" t="s">
        <v>1227</v>
      </c>
    </row>
    <row r="5453" ht="15.75" customHeight="1">
      <c r="A5453" s="368" t="s">
        <v>92</v>
      </c>
      <c r="B5453" s="368" t="s">
        <v>26</v>
      </c>
      <c r="C5453" s="369" t="s">
        <v>391</v>
      </c>
      <c r="D5453" s="368" t="s">
        <v>392</v>
      </c>
      <c r="E5453" s="370">
        <v>13.0</v>
      </c>
      <c r="F5453" s="371">
        <v>46010.58333333333</v>
      </c>
      <c r="G5453" s="368" t="s">
        <v>1185</v>
      </c>
      <c r="H5453" s="368" t="s">
        <v>1227</v>
      </c>
    </row>
    <row r="5454" ht="15.75" customHeight="1">
      <c r="A5454" s="368" t="s">
        <v>92</v>
      </c>
      <c r="B5454" s="368" t="s">
        <v>26</v>
      </c>
      <c r="C5454" s="369" t="s">
        <v>391</v>
      </c>
      <c r="D5454" s="368" t="s">
        <v>392</v>
      </c>
      <c r="E5454" s="370">
        <v>14.0</v>
      </c>
      <c r="F5454" s="371">
        <v>46049.54166666667</v>
      </c>
      <c r="G5454" s="368" t="s">
        <v>1185</v>
      </c>
      <c r="H5454" s="368" t="s">
        <v>1227</v>
      </c>
    </row>
    <row r="5455" ht="15.75" customHeight="1">
      <c r="A5455" s="368" t="s">
        <v>92</v>
      </c>
      <c r="B5455" s="368" t="s">
        <v>26</v>
      </c>
      <c r="C5455" s="369" t="s">
        <v>391</v>
      </c>
      <c r="D5455" s="368" t="s">
        <v>392</v>
      </c>
      <c r="E5455" s="370">
        <v>15.0</v>
      </c>
      <c r="F5455" s="371">
        <v>46052.58333333333</v>
      </c>
      <c r="G5455" s="368" t="s">
        <v>1185</v>
      </c>
      <c r="H5455" s="368" t="s">
        <v>1227</v>
      </c>
    </row>
    <row r="5456" ht="15.75" customHeight="1">
      <c r="A5456" s="368" t="s">
        <v>92</v>
      </c>
      <c r="B5456" s="368" t="s">
        <v>26</v>
      </c>
      <c r="C5456" s="369" t="s">
        <v>391</v>
      </c>
      <c r="D5456" s="368" t="s">
        <v>392</v>
      </c>
      <c r="E5456" s="370">
        <v>16.0</v>
      </c>
      <c r="F5456" s="371">
        <v>46083.58333333333</v>
      </c>
      <c r="G5456" s="368" t="s">
        <v>1187</v>
      </c>
      <c r="H5456" s="368" t="s">
        <v>1227</v>
      </c>
    </row>
    <row r="5457" ht="15.75" customHeight="1">
      <c r="A5457" s="368" t="s">
        <v>92</v>
      </c>
      <c r="B5457" s="368" t="s">
        <v>26</v>
      </c>
      <c r="C5457" s="369" t="s">
        <v>384</v>
      </c>
      <c r="D5457" s="368" t="s">
        <v>385</v>
      </c>
      <c r="E5457" s="370">
        <v>4.0</v>
      </c>
      <c r="F5457" s="371">
        <v>45938.58333333333</v>
      </c>
      <c r="G5457" s="368" t="s">
        <v>1187</v>
      </c>
      <c r="H5457" s="368" t="s">
        <v>1227</v>
      </c>
    </row>
    <row r="5458" ht="15.75" customHeight="1">
      <c r="A5458" s="368" t="s">
        <v>92</v>
      </c>
      <c r="B5458" s="368" t="s">
        <v>26</v>
      </c>
      <c r="C5458" s="369" t="s">
        <v>384</v>
      </c>
      <c r="D5458" s="368" t="s">
        <v>385</v>
      </c>
      <c r="E5458" s="370">
        <v>5.0</v>
      </c>
      <c r="F5458" s="371">
        <v>45947.54166666667</v>
      </c>
      <c r="G5458" s="368" t="s">
        <v>1187</v>
      </c>
      <c r="H5458" s="368" t="s">
        <v>1227</v>
      </c>
    </row>
    <row r="5459" ht="15.75" customHeight="1">
      <c r="A5459" s="368" t="s">
        <v>92</v>
      </c>
      <c r="B5459" s="368" t="s">
        <v>26</v>
      </c>
      <c r="C5459" s="369" t="s">
        <v>384</v>
      </c>
      <c r="D5459" s="368" t="s">
        <v>385</v>
      </c>
      <c r="E5459" s="370">
        <v>6.0</v>
      </c>
      <c r="F5459" s="371">
        <v>45952.625</v>
      </c>
      <c r="G5459" s="368" t="s">
        <v>1185</v>
      </c>
      <c r="H5459" s="368" t="s">
        <v>1227</v>
      </c>
    </row>
    <row r="5460" ht="15.75" customHeight="1">
      <c r="A5460" s="368" t="s">
        <v>92</v>
      </c>
      <c r="B5460" s="368" t="s">
        <v>26</v>
      </c>
      <c r="C5460" s="369" t="s">
        <v>384</v>
      </c>
      <c r="D5460" s="368" t="s">
        <v>385</v>
      </c>
      <c r="E5460" s="370">
        <v>7.0</v>
      </c>
      <c r="F5460" s="371">
        <v>45961.58333333333</v>
      </c>
      <c r="G5460" s="368" t="s">
        <v>1185</v>
      </c>
      <c r="H5460" s="368" t="s">
        <v>1227</v>
      </c>
    </row>
    <row r="5461" ht="15.75" customHeight="1">
      <c r="A5461" s="368" t="s">
        <v>92</v>
      </c>
      <c r="B5461" s="368" t="s">
        <v>26</v>
      </c>
      <c r="C5461" s="369" t="s">
        <v>384</v>
      </c>
      <c r="D5461" s="368" t="s">
        <v>385</v>
      </c>
      <c r="E5461" s="370">
        <v>8.0</v>
      </c>
      <c r="F5461" s="371">
        <v>45966.625</v>
      </c>
      <c r="G5461" s="368" t="s">
        <v>1187</v>
      </c>
      <c r="H5461" s="368" t="s">
        <v>1227</v>
      </c>
    </row>
    <row r="5462" ht="15.75" customHeight="1">
      <c r="A5462" s="368" t="s">
        <v>92</v>
      </c>
      <c r="B5462" s="368" t="s">
        <v>26</v>
      </c>
      <c r="C5462" s="369" t="s">
        <v>384</v>
      </c>
      <c r="D5462" s="368" t="s">
        <v>385</v>
      </c>
      <c r="E5462" s="370">
        <v>9.0</v>
      </c>
      <c r="F5462" s="371">
        <v>45974.58333333333</v>
      </c>
      <c r="G5462" s="368" t="s">
        <v>1187</v>
      </c>
      <c r="H5462" s="368" t="s">
        <v>1227</v>
      </c>
    </row>
    <row r="5463" ht="15.75" customHeight="1">
      <c r="A5463" s="368" t="s">
        <v>92</v>
      </c>
      <c r="B5463" s="368" t="s">
        <v>26</v>
      </c>
      <c r="C5463" s="369" t="s">
        <v>384</v>
      </c>
      <c r="D5463" s="368" t="s">
        <v>385</v>
      </c>
      <c r="E5463" s="370">
        <v>10.0</v>
      </c>
      <c r="F5463" s="371">
        <v>45982.625</v>
      </c>
      <c r="G5463" s="368" t="s">
        <v>1185</v>
      </c>
      <c r="H5463" s="368" t="s">
        <v>1227</v>
      </c>
    </row>
    <row r="5464" ht="15.75" customHeight="1">
      <c r="A5464" s="368" t="s">
        <v>92</v>
      </c>
      <c r="B5464" s="368" t="s">
        <v>26</v>
      </c>
      <c r="C5464" s="369" t="s">
        <v>384</v>
      </c>
      <c r="D5464" s="368" t="s">
        <v>385</v>
      </c>
      <c r="E5464" s="370">
        <v>11.0</v>
      </c>
      <c r="F5464" s="371">
        <v>45989.58333333333</v>
      </c>
      <c r="G5464" s="368" t="s">
        <v>1185</v>
      </c>
      <c r="H5464" s="368" t="s">
        <v>1227</v>
      </c>
    </row>
    <row r="5465" ht="15.75" customHeight="1">
      <c r="A5465" s="368" t="s">
        <v>92</v>
      </c>
      <c r="B5465" s="368" t="s">
        <v>26</v>
      </c>
      <c r="C5465" s="369" t="s">
        <v>384</v>
      </c>
      <c r="D5465" s="368" t="s">
        <v>385</v>
      </c>
      <c r="E5465" s="370">
        <v>12.0</v>
      </c>
      <c r="F5465" s="371">
        <v>45994.54166666667</v>
      </c>
      <c r="G5465" s="368" t="s">
        <v>1187</v>
      </c>
      <c r="H5465" s="368" t="s">
        <v>1227</v>
      </c>
    </row>
    <row r="5466" ht="15.75" customHeight="1">
      <c r="A5466" s="368" t="s">
        <v>92</v>
      </c>
      <c r="B5466" s="368" t="s">
        <v>26</v>
      </c>
      <c r="C5466" s="369" t="s">
        <v>384</v>
      </c>
      <c r="D5466" s="368" t="s">
        <v>385</v>
      </c>
      <c r="E5466" s="370">
        <v>13.0</v>
      </c>
      <c r="F5466" s="371">
        <v>46010.58333333333</v>
      </c>
      <c r="G5466" s="368" t="s">
        <v>1185</v>
      </c>
      <c r="H5466" s="368" t="s">
        <v>1227</v>
      </c>
    </row>
    <row r="5467" ht="15.75" customHeight="1">
      <c r="A5467" s="368" t="s">
        <v>92</v>
      </c>
      <c r="B5467" s="368" t="s">
        <v>26</v>
      </c>
      <c r="C5467" s="369" t="s">
        <v>384</v>
      </c>
      <c r="D5467" s="368" t="s">
        <v>385</v>
      </c>
      <c r="E5467" s="370">
        <v>14.0</v>
      </c>
      <c r="F5467" s="371">
        <v>46049.54166666667</v>
      </c>
      <c r="G5467" s="368" t="s">
        <v>1185</v>
      </c>
      <c r="H5467" s="368" t="s">
        <v>1227</v>
      </c>
    </row>
    <row r="5468" ht="15.75" customHeight="1">
      <c r="A5468" s="368" t="s">
        <v>92</v>
      </c>
      <c r="B5468" s="368" t="s">
        <v>26</v>
      </c>
      <c r="C5468" s="369" t="s">
        <v>384</v>
      </c>
      <c r="D5468" s="368" t="s">
        <v>385</v>
      </c>
      <c r="E5468" s="370">
        <v>15.0</v>
      </c>
      <c r="F5468" s="371">
        <v>46052.58333333333</v>
      </c>
      <c r="G5468" s="368" t="s">
        <v>1185</v>
      </c>
      <c r="H5468" s="368" t="s">
        <v>1227</v>
      </c>
    </row>
    <row r="5469" ht="15.75" customHeight="1">
      <c r="A5469" s="368" t="s">
        <v>92</v>
      </c>
      <c r="B5469" s="368" t="s">
        <v>26</v>
      </c>
      <c r="C5469" s="369" t="s">
        <v>384</v>
      </c>
      <c r="D5469" s="368" t="s">
        <v>385</v>
      </c>
      <c r="E5469" s="370">
        <v>16.0</v>
      </c>
      <c r="F5469" s="371">
        <v>46083.58333333333</v>
      </c>
      <c r="G5469" s="368" t="s">
        <v>1185</v>
      </c>
      <c r="H5469" s="368" t="s">
        <v>1227</v>
      </c>
    </row>
    <row r="5470" ht="15.75" customHeight="1">
      <c r="A5470" s="368" t="s">
        <v>92</v>
      </c>
      <c r="B5470" s="368" t="s">
        <v>26</v>
      </c>
      <c r="C5470" s="369" t="s">
        <v>393</v>
      </c>
      <c r="D5470" s="368" t="s">
        <v>394</v>
      </c>
      <c r="E5470" s="370">
        <v>4.0</v>
      </c>
      <c r="F5470" s="371">
        <v>45938.58333333333</v>
      </c>
      <c r="G5470" s="368" t="s">
        <v>1185</v>
      </c>
      <c r="H5470" s="368" t="s">
        <v>1227</v>
      </c>
    </row>
    <row r="5471" ht="15.75" customHeight="1">
      <c r="A5471" s="368" t="s">
        <v>92</v>
      </c>
      <c r="B5471" s="368" t="s">
        <v>26</v>
      </c>
      <c r="C5471" s="369" t="s">
        <v>393</v>
      </c>
      <c r="D5471" s="368" t="s">
        <v>394</v>
      </c>
      <c r="E5471" s="370">
        <v>5.0</v>
      </c>
      <c r="F5471" s="371">
        <v>45947.54166666667</v>
      </c>
      <c r="G5471" s="368" t="s">
        <v>1185</v>
      </c>
      <c r="H5471" s="368" t="s">
        <v>1227</v>
      </c>
    </row>
    <row r="5472" ht="15.75" customHeight="1">
      <c r="A5472" s="368" t="s">
        <v>92</v>
      </c>
      <c r="B5472" s="368" t="s">
        <v>26</v>
      </c>
      <c r="C5472" s="369" t="s">
        <v>393</v>
      </c>
      <c r="D5472" s="368" t="s">
        <v>394</v>
      </c>
      <c r="E5472" s="370">
        <v>6.0</v>
      </c>
      <c r="F5472" s="371">
        <v>45952.625</v>
      </c>
      <c r="G5472" s="368" t="s">
        <v>1185</v>
      </c>
      <c r="H5472" s="368" t="s">
        <v>1227</v>
      </c>
    </row>
    <row r="5473" ht="15.75" customHeight="1">
      <c r="A5473" s="368" t="s">
        <v>92</v>
      </c>
      <c r="B5473" s="368" t="s">
        <v>26</v>
      </c>
      <c r="C5473" s="369" t="s">
        <v>393</v>
      </c>
      <c r="D5473" s="368" t="s">
        <v>394</v>
      </c>
      <c r="E5473" s="370">
        <v>7.0</v>
      </c>
      <c r="F5473" s="371">
        <v>45961.58333333333</v>
      </c>
      <c r="G5473" s="368" t="s">
        <v>1185</v>
      </c>
      <c r="H5473" s="368" t="s">
        <v>1227</v>
      </c>
    </row>
    <row r="5474" ht="15.75" customHeight="1">
      <c r="A5474" s="368" t="s">
        <v>92</v>
      </c>
      <c r="B5474" s="368" t="s">
        <v>26</v>
      </c>
      <c r="C5474" s="369" t="s">
        <v>393</v>
      </c>
      <c r="D5474" s="368" t="s">
        <v>394</v>
      </c>
      <c r="E5474" s="370">
        <v>8.0</v>
      </c>
      <c r="F5474" s="371">
        <v>45966.625</v>
      </c>
      <c r="G5474" s="368" t="s">
        <v>1187</v>
      </c>
      <c r="H5474" s="368" t="s">
        <v>1227</v>
      </c>
    </row>
    <row r="5475" ht="15.75" customHeight="1">
      <c r="A5475" s="368" t="s">
        <v>92</v>
      </c>
      <c r="B5475" s="368" t="s">
        <v>26</v>
      </c>
      <c r="C5475" s="369" t="s">
        <v>393</v>
      </c>
      <c r="D5475" s="368" t="s">
        <v>394</v>
      </c>
      <c r="E5475" s="370">
        <v>9.0</v>
      </c>
      <c r="F5475" s="371">
        <v>45974.58333333333</v>
      </c>
      <c r="G5475" s="368" t="s">
        <v>1185</v>
      </c>
      <c r="H5475" s="368" t="s">
        <v>1227</v>
      </c>
    </row>
    <row r="5476" ht="15.75" customHeight="1">
      <c r="A5476" s="368" t="s">
        <v>92</v>
      </c>
      <c r="B5476" s="368" t="s">
        <v>26</v>
      </c>
      <c r="C5476" s="369" t="s">
        <v>393</v>
      </c>
      <c r="D5476" s="368" t="s">
        <v>394</v>
      </c>
      <c r="E5476" s="370">
        <v>10.0</v>
      </c>
      <c r="F5476" s="371">
        <v>45982.625</v>
      </c>
      <c r="G5476" s="368" t="s">
        <v>1187</v>
      </c>
      <c r="H5476" s="368" t="s">
        <v>1227</v>
      </c>
    </row>
    <row r="5477" ht="15.75" customHeight="1">
      <c r="A5477" s="368" t="s">
        <v>92</v>
      </c>
      <c r="B5477" s="368" t="s">
        <v>26</v>
      </c>
      <c r="C5477" s="369" t="s">
        <v>393</v>
      </c>
      <c r="D5477" s="368" t="s">
        <v>394</v>
      </c>
      <c r="E5477" s="370">
        <v>11.0</v>
      </c>
      <c r="F5477" s="371">
        <v>45989.58333333333</v>
      </c>
      <c r="G5477" s="368" t="s">
        <v>1185</v>
      </c>
      <c r="H5477" s="368" t="s">
        <v>1227</v>
      </c>
    </row>
    <row r="5478" ht="15.75" customHeight="1">
      <c r="A5478" s="368" t="s">
        <v>92</v>
      </c>
      <c r="B5478" s="368" t="s">
        <v>26</v>
      </c>
      <c r="C5478" s="369" t="s">
        <v>393</v>
      </c>
      <c r="D5478" s="368" t="s">
        <v>394</v>
      </c>
      <c r="E5478" s="370">
        <v>12.0</v>
      </c>
      <c r="F5478" s="371">
        <v>45994.54166666667</v>
      </c>
      <c r="G5478" s="368" t="s">
        <v>1187</v>
      </c>
      <c r="H5478" s="368" t="s">
        <v>1227</v>
      </c>
    </row>
    <row r="5479" ht="15.75" customHeight="1">
      <c r="A5479" s="368" t="s">
        <v>92</v>
      </c>
      <c r="B5479" s="368" t="s">
        <v>26</v>
      </c>
      <c r="C5479" s="369" t="s">
        <v>393</v>
      </c>
      <c r="D5479" s="368" t="s">
        <v>394</v>
      </c>
      <c r="E5479" s="370">
        <v>13.0</v>
      </c>
      <c r="F5479" s="371">
        <v>46010.58333333333</v>
      </c>
      <c r="G5479" s="368" t="s">
        <v>1185</v>
      </c>
      <c r="H5479" s="368" t="s">
        <v>1227</v>
      </c>
    </row>
    <row r="5480" ht="15.75" customHeight="1">
      <c r="A5480" s="368" t="s">
        <v>92</v>
      </c>
      <c r="B5480" s="368" t="s">
        <v>26</v>
      </c>
      <c r="C5480" s="369" t="s">
        <v>393</v>
      </c>
      <c r="D5480" s="368" t="s">
        <v>394</v>
      </c>
      <c r="E5480" s="370">
        <v>14.0</v>
      </c>
      <c r="F5480" s="371">
        <v>46049.54166666667</v>
      </c>
      <c r="G5480" s="368" t="s">
        <v>1187</v>
      </c>
      <c r="H5480" s="368" t="s">
        <v>1227</v>
      </c>
    </row>
    <row r="5481" ht="15.75" customHeight="1">
      <c r="A5481" s="368" t="s">
        <v>92</v>
      </c>
      <c r="B5481" s="368" t="s">
        <v>26</v>
      </c>
      <c r="C5481" s="369" t="s">
        <v>393</v>
      </c>
      <c r="D5481" s="368" t="s">
        <v>394</v>
      </c>
      <c r="E5481" s="370">
        <v>15.0</v>
      </c>
      <c r="F5481" s="371">
        <v>46052.58333333333</v>
      </c>
      <c r="G5481" s="368" t="s">
        <v>1185</v>
      </c>
      <c r="H5481" s="368" t="s">
        <v>1227</v>
      </c>
    </row>
    <row r="5482" ht="15.75" customHeight="1">
      <c r="A5482" s="368" t="s">
        <v>92</v>
      </c>
      <c r="B5482" s="368" t="s">
        <v>26</v>
      </c>
      <c r="C5482" s="369" t="s">
        <v>393</v>
      </c>
      <c r="D5482" s="368" t="s">
        <v>394</v>
      </c>
      <c r="E5482" s="370">
        <v>16.0</v>
      </c>
      <c r="F5482" s="371">
        <v>46083.58333333333</v>
      </c>
      <c r="G5482" s="368" t="s">
        <v>1185</v>
      </c>
      <c r="H5482" s="368" t="s">
        <v>1227</v>
      </c>
    </row>
    <row r="5483" ht="15.75" customHeight="1">
      <c r="A5483" s="368" t="s">
        <v>92</v>
      </c>
      <c r="B5483" s="368" t="s">
        <v>26</v>
      </c>
      <c r="C5483" s="369" t="s">
        <v>387</v>
      </c>
      <c r="D5483" s="368" t="s">
        <v>388</v>
      </c>
      <c r="E5483" s="370">
        <v>1.0</v>
      </c>
      <c r="F5483" s="371">
        <v>45917.58333333333</v>
      </c>
      <c r="G5483" s="368" t="s">
        <v>1185</v>
      </c>
      <c r="H5483" s="368" t="s">
        <v>1227</v>
      </c>
    </row>
    <row r="5484" ht="15.75" customHeight="1">
      <c r="A5484" s="368" t="s">
        <v>92</v>
      </c>
      <c r="B5484" s="368" t="s">
        <v>26</v>
      </c>
      <c r="C5484" s="369" t="s">
        <v>387</v>
      </c>
      <c r="D5484" s="368" t="s">
        <v>388</v>
      </c>
      <c r="E5484" s="370">
        <v>2.0</v>
      </c>
      <c r="F5484" s="371">
        <v>45925.54166666667</v>
      </c>
      <c r="G5484" s="368" t="s">
        <v>1185</v>
      </c>
      <c r="H5484" s="368" t="s">
        <v>1227</v>
      </c>
    </row>
    <row r="5485" ht="15.75" customHeight="1">
      <c r="A5485" s="368" t="s">
        <v>92</v>
      </c>
      <c r="B5485" s="368" t="s">
        <v>26</v>
      </c>
      <c r="C5485" s="369" t="s">
        <v>387</v>
      </c>
      <c r="D5485" s="368" t="s">
        <v>388</v>
      </c>
      <c r="E5485" s="370">
        <v>4.0</v>
      </c>
      <c r="F5485" s="371">
        <v>45938.58333333333</v>
      </c>
      <c r="G5485" s="368" t="s">
        <v>1185</v>
      </c>
      <c r="H5485" s="368" t="s">
        <v>1227</v>
      </c>
    </row>
    <row r="5486" ht="15.75" customHeight="1">
      <c r="A5486" s="368" t="s">
        <v>92</v>
      </c>
      <c r="B5486" s="368" t="s">
        <v>26</v>
      </c>
      <c r="C5486" s="369" t="s">
        <v>387</v>
      </c>
      <c r="D5486" s="368" t="s">
        <v>388</v>
      </c>
      <c r="E5486" s="370">
        <v>5.0</v>
      </c>
      <c r="F5486" s="371">
        <v>45947.54166666667</v>
      </c>
      <c r="G5486" s="368" t="s">
        <v>1187</v>
      </c>
      <c r="H5486" s="368" t="s">
        <v>1227</v>
      </c>
    </row>
    <row r="5487" ht="15.75" customHeight="1">
      <c r="A5487" s="368" t="s">
        <v>92</v>
      </c>
      <c r="B5487" s="368" t="s">
        <v>26</v>
      </c>
      <c r="C5487" s="369" t="s">
        <v>387</v>
      </c>
      <c r="D5487" s="368" t="s">
        <v>388</v>
      </c>
      <c r="E5487" s="370">
        <v>6.0</v>
      </c>
      <c r="F5487" s="371">
        <v>45952.625</v>
      </c>
      <c r="G5487" s="368" t="s">
        <v>1185</v>
      </c>
      <c r="H5487" s="368" t="s">
        <v>1227</v>
      </c>
    </row>
    <row r="5488" ht="15.75" customHeight="1">
      <c r="A5488" s="368" t="s">
        <v>92</v>
      </c>
      <c r="B5488" s="368" t="s">
        <v>26</v>
      </c>
      <c r="C5488" s="369" t="s">
        <v>387</v>
      </c>
      <c r="D5488" s="368" t="s">
        <v>388</v>
      </c>
      <c r="E5488" s="370">
        <v>7.0</v>
      </c>
      <c r="F5488" s="371">
        <v>45961.58333333333</v>
      </c>
      <c r="G5488" s="368" t="s">
        <v>1185</v>
      </c>
      <c r="H5488" s="368" t="s">
        <v>1227</v>
      </c>
    </row>
    <row r="5489" ht="15.75" customHeight="1">
      <c r="A5489" s="368" t="s">
        <v>92</v>
      </c>
      <c r="B5489" s="368" t="s">
        <v>26</v>
      </c>
      <c r="C5489" s="369" t="s">
        <v>387</v>
      </c>
      <c r="D5489" s="368" t="s">
        <v>388</v>
      </c>
      <c r="E5489" s="370">
        <v>8.0</v>
      </c>
      <c r="F5489" s="371">
        <v>45966.625</v>
      </c>
      <c r="G5489" s="368" t="s">
        <v>1185</v>
      </c>
      <c r="H5489" s="368" t="s">
        <v>1227</v>
      </c>
    </row>
    <row r="5490" ht="15.75" customHeight="1">
      <c r="A5490" s="368" t="s">
        <v>92</v>
      </c>
      <c r="B5490" s="368" t="s">
        <v>26</v>
      </c>
      <c r="C5490" s="369" t="s">
        <v>387</v>
      </c>
      <c r="D5490" s="368" t="s">
        <v>388</v>
      </c>
      <c r="E5490" s="370">
        <v>9.0</v>
      </c>
      <c r="F5490" s="371">
        <v>45974.58333333333</v>
      </c>
      <c r="G5490" s="368" t="s">
        <v>1185</v>
      </c>
      <c r="H5490" s="368" t="s">
        <v>1227</v>
      </c>
    </row>
    <row r="5491" ht="15.75" customHeight="1">
      <c r="A5491" s="368" t="s">
        <v>92</v>
      </c>
      <c r="B5491" s="368" t="s">
        <v>26</v>
      </c>
      <c r="C5491" s="369" t="s">
        <v>387</v>
      </c>
      <c r="D5491" s="368" t="s">
        <v>388</v>
      </c>
      <c r="E5491" s="370">
        <v>10.0</v>
      </c>
      <c r="F5491" s="371">
        <v>45982.625</v>
      </c>
      <c r="G5491" s="368" t="s">
        <v>1187</v>
      </c>
      <c r="H5491" s="368" t="s">
        <v>1227</v>
      </c>
    </row>
    <row r="5492" ht="15.75" customHeight="1">
      <c r="A5492" s="368" t="s">
        <v>92</v>
      </c>
      <c r="B5492" s="368" t="s">
        <v>26</v>
      </c>
      <c r="C5492" s="369" t="s">
        <v>387</v>
      </c>
      <c r="D5492" s="368" t="s">
        <v>388</v>
      </c>
      <c r="E5492" s="370">
        <v>11.0</v>
      </c>
      <c r="F5492" s="371">
        <v>45989.58333333333</v>
      </c>
      <c r="G5492" s="368" t="s">
        <v>1187</v>
      </c>
      <c r="H5492" s="368" t="s">
        <v>1227</v>
      </c>
    </row>
    <row r="5493" ht="15.75" customHeight="1">
      <c r="A5493" s="368" t="s">
        <v>92</v>
      </c>
      <c r="B5493" s="368" t="s">
        <v>26</v>
      </c>
      <c r="C5493" s="369" t="s">
        <v>387</v>
      </c>
      <c r="D5493" s="368" t="s">
        <v>388</v>
      </c>
      <c r="E5493" s="370">
        <v>13.0</v>
      </c>
      <c r="F5493" s="371">
        <v>46010.58333333333</v>
      </c>
      <c r="G5493" s="368" t="s">
        <v>1185</v>
      </c>
      <c r="H5493" s="368" t="s">
        <v>1227</v>
      </c>
    </row>
    <row r="5494" ht="15.75" customHeight="1">
      <c r="A5494" s="368" t="s">
        <v>92</v>
      </c>
      <c r="B5494" s="368" t="s">
        <v>26</v>
      </c>
      <c r="C5494" s="369" t="s">
        <v>387</v>
      </c>
      <c r="D5494" s="368" t="s">
        <v>388</v>
      </c>
      <c r="E5494" s="370">
        <v>14.0</v>
      </c>
      <c r="F5494" s="371">
        <v>46049.54166666667</v>
      </c>
      <c r="G5494" s="368" t="s">
        <v>1187</v>
      </c>
      <c r="H5494" s="368" t="s">
        <v>1227</v>
      </c>
    </row>
    <row r="5495" ht="15.75" customHeight="1">
      <c r="A5495" s="368" t="s">
        <v>92</v>
      </c>
      <c r="B5495" s="368" t="s">
        <v>26</v>
      </c>
      <c r="C5495" s="369" t="s">
        <v>387</v>
      </c>
      <c r="D5495" s="368" t="s">
        <v>388</v>
      </c>
      <c r="E5495" s="370">
        <v>15.0</v>
      </c>
      <c r="F5495" s="371">
        <v>46052.58333333333</v>
      </c>
      <c r="G5495" s="368" t="s">
        <v>1185</v>
      </c>
      <c r="H5495" s="368" t="s">
        <v>1227</v>
      </c>
    </row>
    <row r="5496" ht="15.75" customHeight="1">
      <c r="A5496" s="368" t="s">
        <v>92</v>
      </c>
      <c r="B5496" s="368" t="s">
        <v>26</v>
      </c>
      <c r="C5496" s="369" t="s">
        <v>387</v>
      </c>
      <c r="D5496" s="368" t="s">
        <v>388</v>
      </c>
      <c r="E5496" s="370">
        <v>16.0</v>
      </c>
      <c r="F5496" s="371">
        <v>46083.58333333333</v>
      </c>
      <c r="G5496" s="368" t="s">
        <v>1185</v>
      </c>
      <c r="H5496" s="368" t="s">
        <v>1227</v>
      </c>
    </row>
    <row r="5497" ht="15.75" customHeight="1">
      <c r="A5497" s="368" t="s">
        <v>92</v>
      </c>
      <c r="B5497" s="368" t="s">
        <v>26</v>
      </c>
      <c r="C5497" s="369" t="s">
        <v>713</v>
      </c>
      <c r="D5497" s="368" t="s">
        <v>714</v>
      </c>
      <c r="E5497" s="370">
        <v>1.0</v>
      </c>
      <c r="F5497" s="371">
        <v>45917.58333333333</v>
      </c>
      <c r="G5497" s="368" t="s">
        <v>1185</v>
      </c>
      <c r="H5497" s="368" t="s">
        <v>1227</v>
      </c>
    </row>
    <row r="5498" ht="15.75" customHeight="1">
      <c r="A5498" s="368" t="s">
        <v>92</v>
      </c>
      <c r="B5498" s="368" t="s">
        <v>26</v>
      </c>
      <c r="C5498" s="369" t="s">
        <v>713</v>
      </c>
      <c r="D5498" s="368" t="s">
        <v>714</v>
      </c>
      <c r="E5498" s="370">
        <v>2.0</v>
      </c>
      <c r="F5498" s="371">
        <v>45925.54166666667</v>
      </c>
      <c r="G5498" s="368" t="s">
        <v>1185</v>
      </c>
      <c r="H5498" s="368" t="s">
        <v>1227</v>
      </c>
    </row>
    <row r="5499" ht="15.75" customHeight="1">
      <c r="A5499" s="368" t="s">
        <v>92</v>
      </c>
      <c r="B5499" s="368" t="s">
        <v>26</v>
      </c>
      <c r="C5499" s="369" t="s">
        <v>713</v>
      </c>
      <c r="D5499" s="368" t="s">
        <v>714</v>
      </c>
      <c r="E5499" s="370">
        <v>4.0</v>
      </c>
      <c r="F5499" s="371">
        <v>45938.58333333333</v>
      </c>
      <c r="G5499" s="368" t="s">
        <v>1185</v>
      </c>
      <c r="H5499" s="368" t="s">
        <v>1227</v>
      </c>
    </row>
    <row r="5500" ht="15.75" customHeight="1">
      <c r="A5500" s="368" t="s">
        <v>92</v>
      </c>
      <c r="B5500" s="368" t="s">
        <v>26</v>
      </c>
      <c r="C5500" s="369" t="s">
        <v>713</v>
      </c>
      <c r="D5500" s="368" t="s">
        <v>714</v>
      </c>
      <c r="E5500" s="370">
        <v>5.0</v>
      </c>
      <c r="F5500" s="371">
        <v>45947.54166666667</v>
      </c>
      <c r="G5500" s="368" t="s">
        <v>1185</v>
      </c>
      <c r="H5500" s="368" t="s">
        <v>1227</v>
      </c>
    </row>
    <row r="5501" ht="15.75" customHeight="1">
      <c r="A5501" s="368" t="s">
        <v>92</v>
      </c>
      <c r="B5501" s="368" t="s">
        <v>26</v>
      </c>
      <c r="C5501" s="369" t="s">
        <v>713</v>
      </c>
      <c r="D5501" s="368" t="s">
        <v>714</v>
      </c>
      <c r="E5501" s="370">
        <v>6.0</v>
      </c>
      <c r="F5501" s="371">
        <v>45952.625</v>
      </c>
      <c r="G5501" s="368" t="s">
        <v>1185</v>
      </c>
      <c r="H5501" s="368" t="s">
        <v>1227</v>
      </c>
    </row>
    <row r="5502" ht="15.75" customHeight="1">
      <c r="A5502" s="368" t="s">
        <v>92</v>
      </c>
      <c r="B5502" s="368" t="s">
        <v>26</v>
      </c>
      <c r="C5502" s="369" t="s">
        <v>713</v>
      </c>
      <c r="D5502" s="368" t="s">
        <v>714</v>
      </c>
      <c r="E5502" s="370">
        <v>7.0</v>
      </c>
      <c r="F5502" s="371">
        <v>45961.58333333333</v>
      </c>
      <c r="G5502" s="368" t="s">
        <v>1187</v>
      </c>
      <c r="H5502" s="368" t="s">
        <v>1227</v>
      </c>
    </row>
    <row r="5503" ht="15.75" customHeight="1">
      <c r="A5503" s="368" t="s">
        <v>92</v>
      </c>
      <c r="B5503" s="368" t="s">
        <v>26</v>
      </c>
      <c r="C5503" s="369" t="s">
        <v>713</v>
      </c>
      <c r="D5503" s="368" t="s">
        <v>714</v>
      </c>
      <c r="E5503" s="370">
        <v>8.0</v>
      </c>
      <c r="F5503" s="371">
        <v>45966.625</v>
      </c>
      <c r="G5503" s="368" t="s">
        <v>1185</v>
      </c>
      <c r="H5503" s="368" t="s">
        <v>1227</v>
      </c>
    </row>
    <row r="5504" ht="15.75" customHeight="1">
      <c r="A5504" s="368" t="s">
        <v>92</v>
      </c>
      <c r="B5504" s="368" t="s">
        <v>26</v>
      </c>
      <c r="C5504" s="369" t="s">
        <v>713</v>
      </c>
      <c r="D5504" s="368" t="s">
        <v>714</v>
      </c>
      <c r="E5504" s="370">
        <v>9.0</v>
      </c>
      <c r="F5504" s="371">
        <v>45974.58333333333</v>
      </c>
      <c r="G5504" s="368" t="s">
        <v>1185</v>
      </c>
      <c r="H5504" s="368" t="s">
        <v>1227</v>
      </c>
    </row>
    <row r="5505" ht="15.75" customHeight="1">
      <c r="A5505" s="368" t="s">
        <v>92</v>
      </c>
      <c r="B5505" s="368" t="s">
        <v>26</v>
      </c>
      <c r="C5505" s="369" t="s">
        <v>713</v>
      </c>
      <c r="D5505" s="368" t="s">
        <v>714</v>
      </c>
      <c r="E5505" s="370">
        <v>10.0</v>
      </c>
      <c r="F5505" s="371">
        <v>45982.625</v>
      </c>
      <c r="G5505" s="368" t="s">
        <v>1185</v>
      </c>
      <c r="H5505" s="368" t="s">
        <v>1227</v>
      </c>
    </row>
    <row r="5506" ht="15.75" customHeight="1">
      <c r="A5506" s="368" t="s">
        <v>92</v>
      </c>
      <c r="B5506" s="368" t="s">
        <v>26</v>
      </c>
      <c r="C5506" s="369" t="s">
        <v>713</v>
      </c>
      <c r="D5506" s="368" t="s">
        <v>714</v>
      </c>
      <c r="E5506" s="370">
        <v>11.0</v>
      </c>
      <c r="F5506" s="371">
        <v>45989.58333333333</v>
      </c>
      <c r="G5506" s="368" t="s">
        <v>1185</v>
      </c>
      <c r="H5506" s="368" t="s">
        <v>1227</v>
      </c>
    </row>
    <row r="5507" ht="15.75" customHeight="1">
      <c r="A5507" s="368" t="s">
        <v>92</v>
      </c>
      <c r="B5507" s="368" t="s">
        <v>26</v>
      </c>
      <c r="C5507" s="369" t="s">
        <v>713</v>
      </c>
      <c r="D5507" s="368" t="s">
        <v>714</v>
      </c>
      <c r="E5507" s="370">
        <v>12.0</v>
      </c>
      <c r="F5507" s="371">
        <v>45994.54166666667</v>
      </c>
      <c r="G5507" s="368" t="s">
        <v>1187</v>
      </c>
      <c r="H5507" s="368" t="s">
        <v>1227</v>
      </c>
    </row>
    <row r="5508" ht="15.75" customHeight="1">
      <c r="A5508" s="368" t="s">
        <v>92</v>
      </c>
      <c r="B5508" s="368" t="s">
        <v>26</v>
      </c>
      <c r="C5508" s="369" t="s">
        <v>713</v>
      </c>
      <c r="D5508" s="368" t="s">
        <v>714</v>
      </c>
      <c r="E5508" s="370">
        <v>13.0</v>
      </c>
      <c r="F5508" s="371">
        <v>46010.58333333333</v>
      </c>
      <c r="G5508" s="368" t="s">
        <v>1185</v>
      </c>
      <c r="H5508" s="368" t="s">
        <v>1227</v>
      </c>
    </row>
    <row r="5509" ht="15.75" customHeight="1">
      <c r="A5509" s="368" t="s">
        <v>92</v>
      </c>
      <c r="B5509" s="368" t="s">
        <v>26</v>
      </c>
      <c r="C5509" s="369" t="s">
        <v>713</v>
      </c>
      <c r="D5509" s="368" t="s">
        <v>714</v>
      </c>
      <c r="E5509" s="370">
        <v>14.0</v>
      </c>
      <c r="F5509" s="371">
        <v>46049.54166666667</v>
      </c>
      <c r="G5509" s="368" t="s">
        <v>1185</v>
      </c>
      <c r="H5509" s="368" t="s">
        <v>1227</v>
      </c>
    </row>
    <row r="5510" ht="15.75" customHeight="1">
      <c r="A5510" s="368" t="s">
        <v>92</v>
      </c>
      <c r="B5510" s="368" t="s">
        <v>26</v>
      </c>
      <c r="C5510" s="369" t="s">
        <v>713</v>
      </c>
      <c r="D5510" s="368" t="s">
        <v>714</v>
      </c>
      <c r="E5510" s="370">
        <v>15.0</v>
      </c>
      <c r="F5510" s="371">
        <v>46052.58333333333</v>
      </c>
      <c r="G5510" s="368" t="s">
        <v>1185</v>
      </c>
      <c r="H5510" s="368" t="s">
        <v>1227</v>
      </c>
    </row>
    <row r="5511" ht="15.75" customHeight="1">
      <c r="A5511" s="368" t="s">
        <v>92</v>
      </c>
      <c r="B5511" s="368" t="s">
        <v>26</v>
      </c>
      <c r="C5511" s="369" t="s">
        <v>713</v>
      </c>
      <c r="D5511" s="368" t="s">
        <v>714</v>
      </c>
      <c r="E5511" s="370">
        <v>16.0</v>
      </c>
      <c r="F5511" s="371">
        <v>46083.58333333333</v>
      </c>
      <c r="G5511" s="368" t="s">
        <v>1185</v>
      </c>
      <c r="H5511" s="368" t="s">
        <v>1227</v>
      </c>
    </row>
    <row r="5512" ht="15.75" customHeight="1">
      <c r="A5512" s="368" t="s">
        <v>92</v>
      </c>
      <c r="B5512" s="368" t="s">
        <v>26</v>
      </c>
      <c r="C5512" s="369" t="s">
        <v>389</v>
      </c>
      <c r="D5512" s="368" t="s">
        <v>390</v>
      </c>
      <c r="E5512" s="370">
        <v>1.0</v>
      </c>
      <c r="F5512" s="371">
        <v>45917.58333333333</v>
      </c>
      <c r="G5512" s="368" t="s">
        <v>1185</v>
      </c>
      <c r="H5512" s="368" t="s">
        <v>1227</v>
      </c>
    </row>
    <row r="5513" ht="15.75" customHeight="1">
      <c r="A5513" s="368" t="s">
        <v>92</v>
      </c>
      <c r="B5513" s="368" t="s">
        <v>26</v>
      </c>
      <c r="C5513" s="369" t="s">
        <v>389</v>
      </c>
      <c r="D5513" s="368" t="s">
        <v>390</v>
      </c>
      <c r="E5513" s="370">
        <v>2.0</v>
      </c>
      <c r="F5513" s="371">
        <v>45925.54166666667</v>
      </c>
      <c r="G5513" s="368" t="s">
        <v>1185</v>
      </c>
      <c r="H5513" s="368" t="s">
        <v>1227</v>
      </c>
    </row>
    <row r="5514" ht="15.75" customHeight="1">
      <c r="A5514" s="368" t="s">
        <v>92</v>
      </c>
      <c r="B5514" s="368" t="s">
        <v>26</v>
      </c>
      <c r="C5514" s="369" t="s">
        <v>389</v>
      </c>
      <c r="D5514" s="368" t="s">
        <v>390</v>
      </c>
      <c r="E5514" s="370">
        <v>4.0</v>
      </c>
      <c r="F5514" s="371">
        <v>45938.58333333333</v>
      </c>
      <c r="G5514" s="368" t="s">
        <v>1185</v>
      </c>
      <c r="H5514" s="368" t="s">
        <v>1227</v>
      </c>
    </row>
    <row r="5515" ht="15.75" customHeight="1">
      <c r="A5515" s="368" t="s">
        <v>92</v>
      </c>
      <c r="B5515" s="368" t="s">
        <v>26</v>
      </c>
      <c r="C5515" s="369" t="s">
        <v>389</v>
      </c>
      <c r="D5515" s="368" t="s">
        <v>390</v>
      </c>
      <c r="E5515" s="370">
        <v>5.0</v>
      </c>
      <c r="F5515" s="371">
        <v>45947.54166666667</v>
      </c>
      <c r="G5515" s="368" t="s">
        <v>1185</v>
      </c>
      <c r="H5515" s="368" t="s">
        <v>1227</v>
      </c>
    </row>
    <row r="5516" ht="15.75" customHeight="1">
      <c r="A5516" s="368" t="s">
        <v>92</v>
      </c>
      <c r="B5516" s="368" t="s">
        <v>26</v>
      </c>
      <c r="C5516" s="369" t="s">
        <v>389</v>
      </c>
      <c r="D5516" s="368" t="s">
        <v>390</v>
      </c>
      <c r="E5516" s="370">
        <v>6.0</v>
      </c>
      <c r="F5516" s="371">
        <v>45952.625</v>
      </c>
      <c r="G5516" s="368" t="s">
        <v>1187</v>
      </c>
      <c r="H5516" s="368" t="s">
        <v>1227</v>
      </c>
    </row>
    <row r="5517" ht="15.75" customHeight="1">
      <c r="A5517" s="368" t="s">
        <v>92</v>
      </c>
      <c r="B5517" s="368" t="s">
        <v>26</v>
      </c>
      <c r="C5517" s="369" t="s">
        <v>389</v>
      </c>
      <c r="D5517" s="368" t="s">
        <v>390</v>
      </c>
      <c r="E5517" s="370">
        <v>7.0</v>
      </c>
      <c r="F5517" s="371">
        <v>45961.58333333333</v>
      </c>
      <c r="G5517" s="368" t="s">
        <v>1185</v>
      </c>
      <c r="H5517" s="368" t="s">
        <v>1227</v>
      </c>
    </row>
    <row r="5518" ht="15.75" customHeight="1">
      <c r="A5518" s="368" t="s">
        <v>92</v>
      </c>
      <c r="B5518" s="368" t="s">
        <v>26</v>
      </c>
      <c r="C5518" s="369" t="s">
        <v>389</v>
      </c>
      <c r="D5518" s="368" t="s">
        <v>390</v>
      </c>
      <c r="E5518" s="370">
        <v>8.0</v>
      </c>
      <c r="F5518" s="371">
        <v>45966.625</v>
      </c>
      <c r="G5518" s="368" t="s">
        <v>1185</v>
      </c>
      <c r="H5518" s="368" t="s">
        <v>1227</v>
      </c>
    </row>
    <row r="5519" ht="15.75" customHeight="1">
      <c r="A5519" s="368" t="s">
        <v>92</v>
      </c>
      <c r="B5519" s="368" t="s">
        <v>26</v>
      </c>
      <c r="C5519" s="369" t="s">
        <v>389</v>
      </c>
      <c r="D5519" s="368" t="s">
        <v>390</v>
      </c>
      <c r="E5519" s="370">
        <v>9.0</v>
      </c>
      <c r="F5519" s="371">
        <v>45974.58333333333</v>
      </c>
      <c r="G5519" s="368" t="s">
        <v>1185</v>
      </c>
      <c r="H5519" s="368" t="s">
        <v>1227</v>
      </c>
    </row>
    <row r="5520" ht="15.75" customHeight="1">
      <c r="A5520" s="368" t="s">
        <v>92</v>
      </c>
      <c r="B5520" s="368" t="s">
        <v>26</v>
      </c>
      <c r="C5520" s="369" t="s">
        <v>389</v>
      </c>
      <c r="D5520" s="368" t="s">
        <v>390</v>
      </c>
      <c r="E5520" s="370">
        <v>10.0</v>
      </c>
      <c r="F5520" s="371">
        <v>45982.625</v>
      </c>
      <c r="G5520" s="368" t="s">
        <v>1185</v>
      </c>
      <c r="H5520" s="368" t="s">
        <v>1227</v>
      </c>
    </row>
    <row r="5521" ht="15.75" customHeight="1">
      <c r="A5521" s="368" t="s">
        <v>92</v>
      </c>
      <c r="B5521" s="368" t="s">
        <v>26</v>
      </c>
      <c r="C5521" s="369" t="s">
        <v>389</v>
      </c>
      <c r="D5521" s="368" t="s">
        <v>390</v>
      </c>
      <c r="E5521" s="370">
        <v>11.0</v>
      </c>
      <c r="F5521" s="371">
        <v>45989.58333333333</v>
      </c>
      <c r="G5521" s="368" t="s">
        <v>1187</v>
      </c>
      <c r="H5521" s="368" t="s">
        <v>1227</v>
      </c>
    </row>
    <row r="5522" ht="15.75" customHeight="1">
      <c r="A5522" s="368" t="s">
        <v>92</v>
      </c>
      <c r="B5522" s="368" t="s">
        <v>26</v>
      </c>
      <c r="C5522" s="369" t="s">
        <v>389</v>
      </c>
      <c r="D5522" s="368" t="s">
        <v>390</v>
      </c>
      <c r="E5522" s="370">
        <v>12.0</v>
      </c>
      <c r="F5522" s="371">
        <v>45994.54166666667</v>
      </c>
      <c r="G5522" s="368" t="s">
        <v>1187</v>
      </c>
      <c r="H5522" s="368" t="s">
        <v>1227</v>
      </c>
    </row>
    <row r="5523" ht="15.75" customHeight="1">
      <c r="A5523" s="368" t="s">
        <v>92</v>
      </c>
      <c r="B5523" s="368" t="s">
        <v>26</v>
      </c>
      <c r="C5523" s="369" t="s">
        <v>389</v>
      </c>
      <c r="D5523" s="368" t="s">
        <v>390</v>
      </c>
      <c r="E5523" s="370">
        <v>13.0</v>
      </c>
      <c r="F5523" s="371">
        <v>46010.58333333333</v>
      </c>
      <c r="G5523" s="368" t="s">
        <v>1185</v>
      </c>
      <c r="H5523" s="368" t="s">
        <v>1227</v>
      </c>
    </row>
    <row r="5524" ht="15.75" customHeight="1">
      <c r="A5524" s="368" t="s">
        <v>92</v>
      </c>
      <c r="B5524" s="368" t="s">
        <v>26</v>
      </c>
      <c r="C5524" s="369" t="s">
        <v>389</v>
      </c>
      <c r="D5524" s="368" t="s">
        <v>390</v>
      </c>
      <c r="E5524" s="370">
        <v>14.0</v>
      </c>
      <c r="F5524" s="371">
        <v>46049.54166666667</v>
      </c>
      <c r="G5524" s="368" t="s">
        <v>1185</v>
      </c>
      <c r="H5524" s="368" t="s">
        <v>1227</v>
      </c>
    </row>
    <row r="5525" ht="15.75" customHeight="1">
      <c r="A5525" s="368" t="s">
        <v>92</v>
      </c>
      <c r="B5525" s="368" t="s">
        <v>26</v>
      </c>
      <c r="C5525" s="369" t="s">
        <v>389</v>
      </c>
      <c r="D5525" s="368" t="s">
        <v>390</v>
      </c>
      <c r="E5525" s="370">
        <v>15.0</v>
      </c>
      <c r="F5525" s="371">
        <v>46052.58333333333</v>
      </c>
      <c r="G5525" s="368" t="s">
        <v>1185</v>
      </c>
      <c r="H5525" s="368" t="s">
        <v>1227</v>
      </c>
    </row>
    <row r="5526" ht="15.75" customHeight="1">
      <c r="A5526" s="368" t="s">
        <v>92</v>
      </c>
      <c r="B5526" s="368" t="s">
        <v>26</v>
      </c>
      <c r="C5526" s="369" t="s">
        <v>389</v>
      </c>
      <c r="D5526" s="368" t="s">
        <v>390</v>
      </c>
      <c r="E5526" s="370">
        <v>16.0</v>
      </c>
      <c r="F5526" s="371">
        <v>46083.58333333333</v>
      </c>
      <c r="G5526" s="368" t="s">
        <v>1185</v>
      </c>
      <c r="H5526" s="368" t="s">
        <v>1227</v>
      </c>
    </row>
    <row r="5527" ht="15.75" customHeight="1">
      <c r="A5527" s="368" t="s">
        <v>93</v>
      </c>
      <c r="B5527" s="368" t="s">
        <v>22</v>
      </c>
      <c r="C5527" s="369" t="s">
        <v>391</v>
      </c>
      <c r="D5527" s="368" t="s">
        <v>392</v>
      </c>
      <c r="E5527" s="370">
        <v>1.0</v>
      </c>
      <c r="F5527" s="371">
        <v>45929.58333333333</v>
      </c>
      <c r="G5527" s="368" t="s">
        <v>1185</v>
      </c>
      <c r="H5527" s="368" t="s">
        <v>1228</v>
      </c>
    </row>
    <row r="5528" ht="15.75" customHeight="1">
      <c r="A5528" s="368" t="s">
        <v>93</v>
      </c>
      <c r="B5528" s="368" t="s">
        <v>22</v>
      </c>
      <c r="C5528" s="369" t="s">
        <v>391</v>
      </c>
      <c r="D5528" s="368" t="s">
        <v>392</v>
      </c>
      <c r="E5528" s="370">
        <v>2.0</v>
      </c>
      <c r="F5528" s="371">
        <v>45938.58333333333</v>
      </c>
      <c r="G5528" s="368" t="s">
        <v>1187</v>
      </c>
      <c r="H5528" s="368" t="s">
        <v>1228</v>
      </c>
    </row>
    <row r="5529" ht="15.75" customHeight="1">
      <c r="A5529" s="368" t="s">
        <v>93</v>
      </c>
      <c r="B5529" s="368" t="s">
        <v>22</v>
      </c>
      <c r="C5529" s="369" t="s">
        <v>391</v>
      </c>
      <c r="D5529" s="368" t="s">
        <v>392</v>
      </c>
      <c r="E5529" s="370">
        <v>3.0</v>
      </c>
      <c r="F5529" s="371">
        <v>45950.54166666667</v>
      </c>
      <c r="G5529" s="368" t="s">
        <v>1187</v>
      </c>
      <c r="H5529" s="368" t="s">
        <v>1228</v>
      </c>
    </row>
    <row r="5530" ht="15.75" customHeight="1">
      <c r="A5530" s="368" t="s">
        <v>93</v>
      </c>
      <c r="B5530" s="368" t="s">
        <v>22</v>
      </c>
      <c r="C5530" s="369" t="s">
        <v>391</v>
      </c>
      <c r="D5530" s="368" t="s">
        <v>392</v>
      </c>
      <c r="E5530" s="370">
        <v>4.0</v>
      </c>
      <c r="F5530" s="371">
        <v>45952.58333333333</v>
      </c>
      <c r="G5530" s="368" t="s">
        <v>1187</v>
      </c>
      <c r="H5530" s="368" t="s">
        <v>1228</v>
      </c>
    </row>
    <row r="5531" ht="15.75" customHeight="1">
      <c r="A5531" s="368" t="s">
        <v>93</v>
      </c>
      <c r="B5531" s="368" t="s">
        <v>22</v>
      </c>
      <c r="C5531" s="369" t="s">
        <v>391</v>
      </c>
      <c r="D5531" s="368" t="s">
        <v>392</v>
      </c>
      <c r="E5531" s="370">
        <v>5.0</v>
      </c>
      <c r="F5531" s="371">
        <v>45959.58333333333</v>
      </c>
      <c r="G5531" s="368" t="s">
        <v>1187</v>
      </c>
      <c r="H5531" s="368" t="s">
        <v>1228</v>
      </c>
    </row>
    <row r="5532" ht="15.75" customHeight="1">
      <c r="A5532" s="368" t="s">
        <v>93</v>
      </c>
      <c r="B5532" s="368" t="s">
        <v>22</v>
      </c>
      <c r="C5532" s="369" t="s">
        <v>391</v>
      </c>
      <c r="D5532" s="368" t="s">
        <v>392</v>
      </c>
      <c r="E5532" s="370">
        <v>6.0</v>
      </c>
      <c r="F5532" s="371">
        <v>45966.54166666667</v>
      </c>
      <c r="G5532" s="368" t="s">
        <v>1187</v>
      </c>
      <c r="H5532" s="368" t="s">
        <v>1228</v>
      </c>
    </row>
    <row r="5533" ht="15.75" customHeight="1">
      <c r="A5533" s="368" t="s">
        <v>93</v>
      </c>
      <c r="B5533" s="368" t="s">
        <v>22</v>
      </c>
      <c r="C5533" s="369" t="s">
        <v>391</v>
      </c>
      <c r="D5533" s="368" t="s">
        <v>392</v>
      </c>
      <c r="E5533" s="370">
        <v>7.0</v>
      </c>
      <c r="F5533" s="371">
        <v>45985.54166666667</v>
      </c>
      <c r="G5533" s="368" t="s">
        <v>1187</v>
      </c>
      <c r="H5533" s="368" t="s">
        <v>1228</v>
      </c>
    </row>
    <row r="5534" ht="15.75" customHeight="1">
      <c r="A5534" s="368" t="s">
        <v>93</v>
      </c>
      <c r="B5534" s="368" t="s">
        <v>22</v>
      </c>
      <c r="C5534" s="369" t="s">
        <v>393</v>
      </c>
      <c r="D5534" s="368" t="s">
        <v>394</v>
      </c>
      <c r="E5534" s="370">
        <v>1.0</v>
      </c>
      <c r="F5534" s="371">
        <v>45929.58333333333</v>
      </c>
      <c r="G5534" s="368" t="s">
        <v>1185</v>
      </c>
      <c r="H5534" s="368" t="s">
        <v>1228</v>
      </c>
    </row>
    <row r="5535" ht="15.75" customHeight="1">
      <c r="A5535" s="368" t="s">
        <v>93</v>
      </c>
      <c r="B5535" s="368" t="s">
        <v>22</v>
      </c>
      <c r="C5535" s="369" t="s">
        <v>393</v>
      </c>
      <c r="D5535" s="368" t="s">
        <v>394</v>
      </c>
      <c r="E5535" s="370">
        <v>2.0</v>
      </c>
      <c r="F5535" s="371">
        <v>45938.58333333333</v>
      </c>
      <c r="G5535" s="368" t="s">
        <v>1187</v>
      </c>
      <c r="H5535" s="368" t="s">
        <v>1228</v>
      </c>
    </row>
    <row r="5536" ht="15.75" customHeight="1">
      <c r="A5536" s="368" t="s">
        <v>93</v>
      </c>
      <c r="B5536" s="368" t="s">
        <v>22</v>
      </c>
      <c r="C5536" s="369" t="s">
        <v>393</v>
      </c>
      <c r="D5536" s="368" t="s">
        <v>394</v>
      </c>
      <c r="E5536" s="370">
        <v>3.0</v>
      </c>
      <c r="F5536" s="371">
        <v>45950.54166666667</v>
      </c>
      <c r="G5536" s="368" t="s">
        <v>1187</v>
      </c>
      <c r="H5536" s="368" t="s">
        <v>1228</v>
      </c>
    </row>
    <row r="5537" ht="15.75" customHeight="1">
      <c r="A5537" s="368" t="s">
        <v>93</v>
      </c>
      <c r="B5537" s="368" t="s">
        <v>22</v>
      </c>
      <c r="C5537" s="369" t="s">
        <v>393</v>
      </c>
      <c r="D5537" s="368" t="s">
        <v>394</v>
      </c>
      <c r="E5537" s="370">
        <v>4.0</v>
      </c>
      <c r="F5537" s="371">
        <v>45952.58333333333</v>
      </c>
      <c r="G5537" s="368" t="s">
        <v>1187</v>
      </c>
      <c r="H5537" s="368" t="s">
        <v>1228</v>
      </c>
    </row>
    <row r="5538" ht="15.75" customHeight="1">
      <c r="A5538" s="368" t="s">
        <v>93</v>
      </c>
      <c r="B5538" s="368" t="s">
        <v>22</v>
      </c>
      <c r="C5538" s="369" t="s">
        <v>393</v>
      </c>
      <c r="D5538" s="368" t="s">
        <v>394</v>
      </c>
      <c r="E5538" s="370">
        <v>5.0</v>
      </c>
      <c r="F5538" s="371">
        <v>45959.58333333333</v>
      </c>
      <c r="G5538" s="368" t="s">
        <v>1187</v>
      </c>
      <c r="H5538" s="368" t="s">
        <v>1228</v>
      </c>
    </row>
    <row r="5539" ht="15.75" customHeight="1">
      <c r="A5539" s="368" t="s">
        <v>93</v>
      </c>
      <c r="B5539" s="368" t="s">
        <v>22</v>
      </c>
      <c r="C5539" s="369" t="s">
        <v>393</v>
      </c>
      <c r="D5539" s="368" t="s">
        <v>394</v>
      </c>
      <c r="E5539" s="370">
        <v>6.0</v>
      </c>
      <c r="F5539" s="371">
        <v>45966.54166666667</v>
      </c>
      <c r="G5539" s="368" t="s">
        <v>1187</v>
      </c>
      <c r="H5539" s="368" t="s">
        <v>1228</v>
      </c>
    </row>
    <row r="5540" ht="15.75" customHeight="1">
      <c r="A5540" s="368" t="s">
        <v>93</v>
      </c>
      <c r="B5540" s="368" t="s">
        <v>22</v>
      </c>
      <c r="C5540" s="369" t="s">
        <v>393</v>
      </c>
      <c r="D5540" s="368" t="s">
        <v>394</v>
      </c>
      <c r="E5540" s="370">
        <v>7.0</v>
      </c>
      <c r="F5540" s="371">
        <v>45985.54166666667</v>
      </c>
      <c r="G5540" s="368" t="s">
        <v>1187</v>
      </c>
      <c r="H5540" s="368" t="s">
        <v>1228</v>
      </c>
    </row>
    <row r="5541" ht="15.75" customHeight="1">
      <c r="A5541" s="368" t="s">
        <v>93</v>
      </c>
      <c r="B5541" s="368" t="s">
        <v>22</v>
      </c>
      <c r="C5541" s="369" t="s">
        <v>569</v>
      </c>
      <c r="D5541" s="368" t="s">
        <v>570</v>
      </c>
      <c r="E5541" s="370">
        <v>1.0</v>
      </c>
      <c r="F5541" s="371">
        <v>45929.58333333333</v>
      </c>
      <c r="G5541" s="368" t="s">
        <v>1185</v>
      </c>
      <c r="H5541" s="368" t="s">
        <v>1228</v>
      </c>
    </row>
    <row r="5542" ht="15.75" customHeight="1">
      <c r="A5542" s="368" t="s">
        <v>93</v>
      </c>
      <c r="B5542" s="368" t="s">
        <v>22</v>
      </c>
      <c r="C5542" s="369" t="s">
        <v>569</v>
      </c>
      <c r="D5542" s="368" t="s">
        <v>570</v>
      </c>
      <c r="E5542" s="370">
        <v>2.0</v>
      </c>
      <c r="F5542" s="371">
        <v>45938.58333333333</v>
      </c>
      <c r="G5542" s="368" t="s">
        <v>1185</v>
      </c>
      <c r="H5542" s="368" t="s">
        <v>1228</v>
      </c>
    </row>
    <row r="5543" ht="15.75" customHeight="1">
      <c r="A5543" s="368" t="s">
        <v>93</v>
      </c>
      <c r="B5543" s="368" t="s">
        <v>22</v>
      </c>
      <c r="C5543" s="369" t="s">
        <v>569</v>
      </c>
      <c r="D5543" s="368" t="s">
        <v>570</v>
      </c>
      <c r="E5543" s="370">
        <v>3.0</v>
      </c>
      <c r="F5543" s="371">
        <v>45950.54166666667</v>
      </c>
      <c r="G5543" s="368" t="s">
        <v>1185</v>
      </c>
      <c r="H5543" s="368" t="s">
        <v>1228</v>
      </c>
    </row>
    <row r="5544" ht="15.75" customHeight="1">
      <c r="A5544" s="368" t="s">
        <v>93</v>
      </c>
      <c r="B5544" s="368" t="s">
        <v>22</v>
      </c>
      <c r="C5544" s="369" t="s">
        <v>569</v>
      </c>
      <c r="D5544" s="368" t="s">
        <v>570</v>
      </c>
      <c r="E5544" s="370">
        <v>4.0</v>
      </c>
      <c r="F5544" s="371">
        <v>45952.58333333333</v>
      </c>
      <c r="G5544" s="368" t="s">
        <v>1185</v>
      </c>
      <c r="H5544" s="368" t="s">
        <v>1228</v>
      </c>
    </row>
    <row r="5545" ht="15.75" customHeight="1">
      <c r="A5545" s="368" t="s">
        <v>93</v>
      </c>
      <c r="B5545" s="368" t="s">
        <v>22</v>
      </c>
      <c r="C5545" s="369" t="s">
        <v>569</v>
      </c>
      <c r="D5545" s="368" t="s">
        <v>570</v>
      </c>
      <c r="E5545" s="370">
        <v>5.0</v>
      </c>
      <c r="F5545" s="371">
        <v>45959.58333333333</v>
      </c>
      <c r="G5545" s="368" t="s">
        <v>1185</v>
      </c>
      <c r="H5545" s="368" t="s">
        <v>1228</v>
      </c>
    </row>
    <row r="5546" ht="15.75" customHeight="1">
      <c r="A5546" s="368" t="s">
        <v>93</v>
      </c>
      <c r="B5546" s="368" t="s">
        <v>22</v>
      </c>
      <c r="C5546" s="369" t="s">
        <v>569</v>
      </c>
      <c r="D5546" s="368" t="s">
        <v>570</v>
      </c>
      <c r="E5546" s="370">
        <v>6.0</v>
      </c>
      <c r="F5546" s="371">
        <v>45966.54166666667</v>
      </c>
      <c r="G5546" s="368" t="s">
        <v>1185</v>
      </c>
      <c r="H5546" s="368" t="s">
        <v>1228</v>
      </c>
    </row>
    <row r="5547" ht="15.75" customHeight="1">
      <c r="A5547" s="368" t="s">
        <v>93</v>
      </c>
      <c r="B5547" s="368" t="s">
        <v>22</v>
      </c>
      <c r="C5547" s="369" t="s">
        <v>569</v>
      </c>
      <c r="D5547" s="368" t="s">
        <v>570</v>
      </c>
      <c r="E5547" s="370">
        <v>7.0</v>
      </c>
      <c r="F5547" s="371">
        <v>45985.54166666667</v>
      </c>
      <c r="G5547" s="368" t="s">
        <v>1185</v>
      </c>
      <c r="H5547" s="368" t="s">
        <v>1228</v>
      </c>
    </row>
    <row r="5548" ht="15.75" customHeight="1">
      <c r="A5548" s="368" t="s">
        <v>93</v>
      </c>
      <c r="B5548" s="368" t="s">
        <v>22</v>
      </c>
      <c r="C5548" s="369" t="s">
        <v>569</v>
      </c>
      <c r="D5548" s="368" t="s">
        <v>570</v>
      </c>
      <c r="E5548" s="370">
        <v>8.0</v>
      </c>
      <c r="F5548" s="371">
        <v>45999.54166666667</v>
      </c>
      <c r="G5548" s="368" t="s">
        <v>1185</v>
      </c>
      <c r="H5548" s="368" t="s">
        <v>1228</v>
      </c>
    </row>
    <row r="5549" ht="15.75" customHeight="1">
      <c r="A5549" s="368" t="s">
        <v>93</v>
      </c>
      <c r="B5549" s="368" t="s">
        <v>22</v>
      </c>
      <c r="C5549" s="369" t="s">
        <v>569</v>
      </c>
      <c r="D5549" s="368" t="s">
        <v>570</v>
      </c>
      <c r="E5549" s="370">
        <v>9.0</v>
      </c>
      <c r="F5549" s="371">
        <v>46006.54166666667</v>
      </c>
      <c r="G5549" s="368" t="s">
        <v>1185</v>
      </c>
      <c r="H5549" s="368" t="s">
        <v>1228</v>
      </c>
    </row>
    <row r="5550" ht="15.75" customHeight="1">
      <c r="A5550" s="368" t="s">
        <v>93</v>
      </c>
      <c r="B5550" s="368" t="s">
        <v>22</v>
      </c>
      <c r="C5550" s="369" t="s">
        <v>569</v>
      </c>
      <c r="D5550" s="368" t="s">
        <v>570</v>
      </c>
      <c r="E5550" s="370">
        <v>10.0</v>
      </c>
      <c r="F5550" s="371">
        <v>46008.54166666667</v>
      </c>
      <c r="G5550" s="368" t="s">
        <v>1185</v>
      </c>
      <c r="H5550" s="368" t="s">
        <v>1228</v>
      </c>
    </row>
    <row r="5551" ht="15.75" customHeight="1">
      <c r="A5551" s="368" t="s">
        <v>93</v>
      </c>
      <c r="B5551" s="368" t="s">
        <v>22</v>
      </c>
      <c r="C5551" s="369" t="s">
        <v>569</v>
      </c>
      <c r="D5551" s="368" t="s">
        <v>570</v>
      </c>
      <c r="E5551" s="370">
        <v>11.0</v>
      </c>
      <c r="F5551" s="371">
        <v>46013.54166666667</v>
      </c>
      <c r="G5551" s="368" t="s">
        <v>1185</v>
      </c>
      <c r="H5551" s="368" t="s">
        <v>1228</v>
      </c>
    </row>
    <row r="5552" ht="15.75" customHeight="1">
      <c r="A5552" s="368" t="s">
        <v>93</v>
      </c>
      <c r="B5552" s="368" t="s">
        <v>22</v>
      </c>
      <c r="C5552" s="369" t="s">
        <v>569</v>
      </c>
      <c r="D5552" s="368" t="s">
        <v>570</v>
      </c>
      <c r="E5552" s="370">
        <v>12.0</v>
      </c>
      <c r="F5552" s="371">
        <v>46041.58333333333</v>
      </c>
      <c r="G5552" s="368" t="s">
        <v>1185</v>
      </c>
      <c r="H5552" s="368" t="s">
        <v>1228</v>
      </c>
    </row>
    <row r="5553" ht="15.75" customHeight="1">
      <c r="A5553" s="368" t="s">
        <v>93</v>
      </c>
      <c r="B5553" s="368" t="s">
        <v>22</v>
      </c>
      <c r="C5553" s="369" t="s">
        <v>569</v>
      </c>
      <c r="D5553" s="368" t="s">
        <v>570</v>
      </c>
      <c r="E5553" s="370">
        <v>13.0</v>
      </c>
      <c r="F5553" s="371">
        <v>46048.58333333333</v>
      </c>
      <c r="G5553" s="368" t="s">
        <v>1185</v>
      </c>
      <c r="H5553" s="368" t="s">
        <v>1228</v>
      </c>
    </row>
    <row r="5554" ht="15.75" customHeight="1">
      <c r="A5554" s="368" t="s">
        <v>93</v>
      </c>
      <c r="B5554" s="368" t="s">
        <v>22</v>
      </c>
      <c r="C5554" s="369" t="s">
        <v>569</v>
      </c>
      <c r="D5554" s="368" t="s">
        <v>570</v>
      </c>
      <c r="E5554" s="370">
        <v>14.0</v>
      </c>
      <c r="F5554" s="371">
        <v>46087.54166666667</v>
      </c>
      <c r="G5554" s="368" t="s">
        <v>1185</v>
      </c>
      <c r="H5554" s="368" t="s">
        <v>1228</v>
      </c>
    </row>
    <row r="5555" ht="15.75" customHeight="1">
      <c r="A5555" s="368" t="s">
        <v>93</v>
      </c>
      <c r="B5555" s="368" t="s">
        <v>22</v>
      </c>
      <c r="C5555" s="369" t="s">
        <v>569</v>
      </c>
      <c r="D5555" s="368" t="s">
        <v>570</v>
      </c>
      <c r="E5555" s="370">
        <v>15.0</v>
      </c>
      <c r="F5555" s="371">
        <v>46094.54166666667</v>
      </c>
      <c r="G5555" s="368" t="s">
        <v>1185</v>
      </c>
      <c r="H5555" s="368" t="s">
        <v>1228</v>
      </c>
    </row>
    <row r="5556" ht="15.75" customHeight="1">
      <c r="A5556" s="368" t="s">
        <v>93</v>
      </c>
      <c r="B5556" s="368" t="s">
        <v>22</v>
      </c>
      <c r="C5556" s="369" t="s">
        <v>571</v>
      </c>
      <c r="D5556" s="368" t="s">
        <v>572</v>
      </c>
      <c r="E5556" s="370">
        <v>1.0</v>
      </c>
      <c r="F5556" s="371">
        <v>45929.58333333333</v>
      </c>
      <c r="G5556" s="368" t="s">
        <v>1185</v>
      </c>
      <c r="H5556" s="368" t="s">
        <v>1228</v>
      </c>
    </row>
    <row r="5557" ht="15.75" customHeight="1">
      <c r="A5557" s="368" t="s">
        <v>93</v>
      </c>
      <c r="B5557" s="368" t="s">
        <v>22</v>
      </c>
      <c r="C5557" s="369" t="s">
        <v>571</v>
      </c>
      <c r="D5557" s="368" t="s">
        <v>572</v>
      </c>
      <c r="E5557" s="370">
        <v>2.0</v>
      </c>
      <c r="F5557" s="371">
        <v>45938.58333333333</v>
      </c>
      <c r="G5557" s="368" t="s">
        <v>1185</v>
      </c>
      <c r="H5557" s="368" t="s">
        <v>1228</v>
      </c>
    </row>
    <row r="5558" ht="15.75" customHeight="1">
      <c r="A5558" s="368" t="s">
        <v>93</v>
      </c>
      <c r="B5558" s="368" t="s">
        <v>22</v>
      </c>
      <c r="C5558" s="369" t="s">
        <v>571</v>
      </c>
      <c r="D5558" s="368" t="s">
        <v>572</v>
      </c>
      <c r="E5558" s="370">
        <v>3.0</v>
      </c>
      <c r="F5558" s="371">
        <v>45950.54166666667</v>
      </c>
      <c r="G5558" s="368" t="s">
        <v>1185</v>
      </c>
      <c r="H5558" s="368" t="s">
        <v>1228</v>
      </c>
    </row>
    <row r="5559" ht="15.75" customHeight="1">
      <c r="A5559" s="368" t="s">
        <v>93</v>
      </c>
      <c r="B5559" s="368" t="s">
        <v>22</v>
      </c>
      <c r="C5559" s="369" t="s">
        <v>571</v>
      </c>
      <c r="D5559" s="368" t="s">
        <v>572</v>
      </c>
      <c r="E5559" s="370">
        <v>4.0</v>
      </c>
      <c r="F5559" s="371">
        <v>45952.58333333333</v>
      </c>
      <c r="G5559" s="368" t="s">
        <v>1185</v>
      </c>
      <c r="H5559" s="368" t="s">
        <v>1228</v>
      </c>
    </row>
    <row r="5560" ht="15.75" customHeight="1">
      <c r="A5560" s="368" t="s">
        <v>93</v>
      </c>
      <c r="B5560" s="368" t="s">
        <v>22</v>
      </c>
      <c r="C5560" s="369" t="s">
        <v>571</v>
      </c>
      <c r="D5560" s="368" t="s">
        <v>572</v>
      </c>
      <c r="E5560" s="370">
        <v>5.0</v>
      </c>
      <c r="F5560" s="371">
        <v>45959.58333333333</v>
      </c>
      <c r="G5560" s="368" t="s">
        <v>1185</v>
      </c>
      <c r="H5560" s="368" t="s">
        <v>1228</v>
      </c>
    </row>
    <row r="5561" ht="15.75" customHeight="1">
      <c r="A5561" s="368" t="s">
        <v>93</v>
      </c>
      <c r="B5561" s="368" t="s">
        <v>22</v>
      </c>
      <c r="C5561" s="369" t="s">
        <v>571</v>
      </c>
      <c r="D5561" s="368" t="s">
        <v>572</v>
      </c>
      <c r="E5561" s="370">
        <v>6.0</v>
      </c>
      <c r="F5561" s="371">
        <v>45966.54166666667</v>
      </c>
      <c r="G5561" s="368" t="s">
        <v>1185</v>
      </c>
      <c r="H5561" s="368" t="s">
        <v>1228</v>
      </c>
    </row>
    <row r="5562" ht="15.75" customHeight="1">
      <c r="A5562" s="368" t="s">
        <v>93</v>
      </c>
      <c r="B5562" s="368" t="s">
        <v>22</v>
      </c>
      <c r="C5562" s="369" t="s">
        <v>571</v>
      </c>
      <c r="D5562" s="368" t="s">
        <v>572</v>
      </c>
      <c r="E5562" s="370">
        <v>7.0</v>
      </c>
      <c r="F5562" s="371">
        <v>45985.54166666667</v>
      </c>
      <c r="G5562" s="368" t="s">
        <v>1185</v>
      </c>
      <c r="H5562" s="368" t="s">
        <v>1228</v>
      </c>
    </row>
    <row r="5563" ht="15.75" customHeight="1">
      <c r="A5563" s="368" t="s">
        <v>93</v>
      </c>
      <c r="B5563" s="368" t="s">
        <v>22</v>
      </c>
      <c r="C5563" s="369" t="s">
        <v>571</v>
      </c>
      <c r="D5563" s="368" t="s">
        <v>572</v>
      </c>
      <c r="E5563" s="370">
        <v>8.0</v>
      </c>
      <c r="F5563" s="371">
        <v>45999.54166666667</v>
      </c>
      <c r="G5563" s="368" t="s">
        <v>1185</v>
      </c>
      <c r="H5563" s="368" t="s">
        <v>1228</v>
      </c>
    </row>
    <row r="5564" ht="15.75" customHeight="1">
      <c r="A5564" s="368" t="s">
        <v>93</v>
      </c>
      <c r="B5564" s="368" t="s">
        <v>22</v>
      </c>
      <c r="C5564" s="369" t="s">
        <v>571</v>
      </c>
      <c r="D5564" s="368" t="s">
        <v>572</v>
      </c>
      <c r="E5564" s="370">
        <v>9.0</v>
      </c>
      <c r="F5564" s="371">
        <v>46006.54166666667</v>
      </c>
      <c r="G5564" s="368" t="s">
        <v>1185</v>
      </c>
      <c r="H5564" s="368" t="s">
        <v>1228</v>
      </c>
    </row>
    <row r="5565" ht="15.75" customHeight="1">
      <c r="A5565" s="368" t="s">
        <v>93</v>
      </c>
      <c r="B5565" s="368" t="s">
        <v>22</v>
      </c>
      <c r="C5565" s="369" t="s">
        <v>571</v>
      </c>
      <c r="D5565" s="368" t="s">
        <v>572</v>
      </c>
      <c r="E5565" s="370">
        <v>10.0</v>
      </c>
      <c r="F5565" s="371">
        <v>46008.54166666667</v>
      </c>
      <c r="G5565" s="368" t="s">
        <v>1185</v>
      </c>
      <c r="H5565" s="368" t="s">
        <v>1228</v>
      </c>
    </row>
    <row r="5566" ht="15.75" customHeight="1">
      <c r="A5566" s="368" t="s">
        <v>93</v>
      </c>
      <c r="B5566" s="368" t="s">
        <v>22</v>
      </c>
      <c r="C5566" s="369" t="s">
        <v>571</v>
      </c>
      <c r="D5566" s="368" t="s">
        <v>572</v>
      </c>
      <c r="E5566" s="370">
        <v>11.0</v>
      </c>
      <c r="F5566" s="371">
        <v>46013.54166666667</v>
      </c>
      <c r="G5566" s="368" t="s">
        <v>1185</v>
      </c>
      <c r="H5566" s="368" t="s">
        <v>1228</v>
      </c>
    </row>
    <row r="5567" ht="15.75" customHeight="1">
      <c r="A5567" s="368" t="s">
        <v>93</v>
      </c>
      <c r="B5567" s="368" t="s">
        <v>22</v>
      </c>
      <c r="C5567" s="369" t="s">
        <v>571</v>
      </c>
      <c r="D5567" s="368" t="s">
        <v>572</v>
      </c>
      <c r="E5567" s="370">
        <v>12.0</v>
      </c>
      <c r="F5567" s="371">
        <v>46041.58333333333</v>
      </c>
      <c r="G5567" s="368" t="s">
        <v>1185</v>
      </c>
      <c r="H5567" s="368" t="s">
        <v>1228</v>
      </c>
    </row>
    <row r="5568" ht="15.75" customHeight="1">
      <c r="A5568" s="368" t="s">
        <v>93</v>
      </c>
      <c r="B5568" s="368" t="s">
        <v>22</v>
      </c>
      <c r="C5568" s="369" t="s">
        <v>571</v>
      </c>
      <c r="D5568" s="368" t="s">
        <v>572</v>
      </c>
      <c r="E5568" s="370">
        <v>13.0</v>
      </c>
      <c r="F5568" s="371">
        <v>46048.58333333333</v>
      </c>
      <c r="G5568" s="368" t="s">
        <v>1185</v>
      </c>
      <c r="H5568" s="368" t="s">
        <v>1228</v>
      </c>
    </row>
    <row r="5569" ht="15.75" customHeight="1">
      <c r="A5569" s="368" t="s">
        <v>93</v>
      </c>
      <c r="B5569" s="368" t="s">
        <v>22</v>
      </c>
      <c r="C5569" s="369" t="s">
        <v>571</v>
      </c>
      <c r="D5569" s="368" t="s">
        <v>572</v>
      </c>
      <c r="E5569" s="370">
        <v>14.0</v>
      </c>
      <c r="F5569" s="371">
        <v>46087.54166666667</v>
      </c>
      <c r="G5569" s="368" t="s">
        <v>1185</v>
      </c>
      <c r="H5569" s="368" t="s">
        <v>1228</v>
      </c>
    </row>
    <row r="5570" ht="15.75" customHeight="1">
      <c r="A5570" s="368" t="s">
        <v>93</v>
      </c>
      <c r="B5570" s="368" t="s">
        <v>22</v>
      </c>
      <c r="C5570" s="369" t="s">
        <v>571</v>
      </c>
      <c r="D5570" s="368" t="s">
        <v>572</v>
      </c>
      <c r="E5570" s="370">
        <v>15.0</v>
      </c>
      <c r="F5570" s="371">
        <v>46094.54166666667</v>
      </c>
      <c r="G5570" s="368" t="s">
        <v>1185</v>
      </c>
      <c r="H5570" s="368" t="s">
        <v>1228</v>
      </c>
    </row>
    <row r="5571" ht="15.75" customHeight="1">
      <c r="A5571" s="368" t="s">
        <v>93</v>
      </c>
      <c r="B5571" s="368" t="s">
        <v>22</v>
      </c>
      <c r="C5571" s="369" t="s">
        <v>573</v>
      </c>
      <c r="D5571" s="368" t="s">
        <v>574</v>
      </c>
      <c r="E5571" s="370">
        <v>1.0</v>
      </c>
      <c r="F5571" s="371">
        <v>45929.58333333333</v>
      </c>
      <c r="G5571" s="368" t="s">
        <v>1185</v>
      </c>
      <c r="H5571" s="368" t="s">
        <v>1228</v>
      </c>
    </row>
    <row r="5572" ht="15.75" customHeight="1">
      <c r="A5572" s="368" t="s">
        <v>93</v>
      </c>
      <c r="B5572" s="368" t="s">
        <v>22</v>
      </c>
      <c r="C5572" s="369" t="s">
        <v>573</v>
      </c>
      <c r="D5572" s="368" t="s">
        <v>574</v>
      </c>
      <c r="E5572" s="370">
        <v>2.0</v>
      </c>
      <c r="F5572" s="371">
        <v>45938.58333333333</v>
      </c>
      <c r="G5572" s="368" t="s">
        <v>1185</v>
      </c>
      <c r="H5572" s="368" t="s">
        <v>1228</v>
      </c>
    </row>
    <row r="5573" ht="15.75" customHeight="1">
      <c r="A5573" s="368" t="s">
        <v>93</v>
      </c>
      <c r="B5573" s="368" t="s">
        <v>22</v>
      </c>
      <c r="C5573" s="369" t="s">
        <v>573</v>
      </c>
      <c r="D5573" s="368" t="s">
        <v>574</v>
      </c>
      <c r="E5573" s="370">
        <v>3.0</v>
      </c>
      <c r="F5573" s="371">
        <v>45950.54166666667</v>
      </c>
      <c r="G5573" s="368" t="s">
        <v>1185</v>
      </c>
      <c r="H5573" s="368" t="s">
        <v>1228</v>
      </c>
    </row>
    <row r="5574" ht="15.75" customHeight="1">
      <c r="A5574" s="368" t="s">
        <v>93</v>
      </c>
      <c r="B5574" s="368" t="s">
        <v>22</v>
      </c>
      <c r="C5574" s="369" t="s">
        <v>573</v>
      </c>
      <c r="D5574" s="368" t="s">
        <v>574</v>
      </c>
      <c r="E5574" s="370">
        <v>4.0</v>
      </c>
      <c r="F5574" s="371">
        <v>45952.58333333333</v>
      </c>
      <c r="G5574" s="368" t="s">
        <v>1185</v>
      </c>
      <c r="H5574" s="368" t="s">
        <v>1228</v>
      </c>
    </row>
    <row r="5575" ht="15.75" customHeight="1">
      <c r="A5575" s="368" t="s">
        <v>93</v>
      </c>
      <c r="B5575" s="368" t="s">
        <v>22</v>
      </c>
      <c r="C5575" s="369" t="s">
        <v>573</v>
      </c>
      <c r="D5575" s="368" t="s">
        <v>574</v>
      </c>
      <c r="E5575" s="370">
        <v>5.0</v>
      </c>
      <c r="F5575" s="371">
        <v>45959.58333333333</v>
      </c>
      <c r="G5575" s="368" t="s">
        <v>1187</v>
      </c>
      <c r="H5575" s="368" t="s">
        <v>1228</v>
      </c>
    </row>
    <row r="5576" ht="15.75" customHeight="1">
      <c r="A5576" s="368" t="s">
        <v>93</v>
      </c>
      <c r="B5576" s="368" t="s">
        <v>22</v>
      </c>
      <c r="C5576" s="369" t="s">
        <v>573</v>
      </c>
      <c r="D5576" s="368" t="s">
        <v>574</v>
      </c>
      <c r="E5576" s="370">
        <v>6.0</v>
      </c>
      <c r="F5576" s="371">
        <v>45966.54166666667</v>
      </c>
      <c r="G5576" s="368" t="s">
        <v>1185</v>
      </c>
      <c r="H5576" s="368" t="s">
        <v>1228</v>
      </c>
    </row>
    <row r="5577" ht="15.75" customHeight="1">
      <c r="A5577" s="368" t="s">
        <v>93</v>
      </c>
      <c r="B5577" s="368" t="s">
        <v>22</v>
      </c>
      <c r="C5577" s="369" t="s">
        <v>573</v>
      </c>
      <c r="D5577" s="368" t="s">
        <v>574</v>
      </c>
      <c r="E5577" s="370">
        <v>7.0</v>
      </c>
      <c r="F5577" s="371">
        <v>45985.54166666667</v>
      </c>
      <c r="G5577" s="368" t="s">
        <v>1185</v>
      </c>
      <c r="H5577" s="368" t="s">
        <v>1228</v>
      </c>
    </row>
    <row r="5578" ht="15.75" customHeight="1">
      <c r="A5578" s="368" t="s">
        <v>93</v>
      </c>
      <c r="B5578" s="368" t="s">
        <v>22</v>
      </c>
      <c r="C5578" s="369" t="s">
        <v>573</v>
      </c>
      <c r="D5578" s="368" t="s">
        <v>574</v>
      </c>
      <c r="E5578" s="370">
        <v>8.0</v>
      </c>
      <c r="F5578" s="371">
        <v>45999.54166666667</v>
      </c>
      <c r="G5578" s="368" t="s">
        <v>1185</v>
      </c>
      <c r="H5578" s="368" t="s">
        <v>1228</v>
      </c>
    </row>
    <row r="5579" ht="15.75" customHeight="1">
      <c r="A5579" s="368" t="s">
        <v>93</v>
      </c>
      <c r="B5579" s="368" t="s">
        <v>22</v>
      </c>
      <c r="C5579" s="369" t="s">
        <v>573</v>
      </c>
      <c r="D5579" s="368" t="s">
        <v>574</v>
      </c>
      <c r="E5579" s="370">
        <v>9.0</v>
      </c>
      <c r="F5579" s="371">
        <v>46006.54166666667</v>
      </c>
      <c r="G5579" s="368" t="s">
        <v>1185</v>
      </c>
      <c r="H5579" s="368" t="s">
        <v>1228</v>
      </c>
    </row>
    <row r="5580" ht="15.75" customHeight="1">
      <c r="A5580" s="368" t="s">
        <v>93</v>
      </c>
      <c r="B5580" s="368" t="s">
        <v>22</v>
      </c>
      <c r="C5580" s="369" t="s">
        <v>573</v>
      </c>
      <c r="D5580" s="368" t="s">
        <v>574</v>
      </c>
      <c r="E5580" s="370">
        <v>10.0</v>
      </c>
      <c r="F5580" s="371">
        <v>46008.54166666667</v>
      </c>
      <c r="G5580" s="368" t="s">
        <v>1185</v>
      </c>
      <c r="H5580" s="368" t="s">
        <v>1228</v>
      </c>
    </row>
    <row r="5581" ht="15.75" customHeight="1">
      <c r="A5581" s="368" t="s">
        <v>93</v>
      </c>
      <c r="B5581" s="368" t="s">
        <v>22</v>
      </c>
      <c r="C5581" s="369" t="s">
        <v>573</v>
      </c>
      <c r="D5581" s="368" t="s">
        <v>574</v>
      </c>
      <c r="E5581" s="370">
        <v>11.0</v>
      </c>
      <c r="F5581" s="371">
        <v>46013.54166666667</v>
      </c>
      <c r="G5581" s="368" t="s">
        <v>1185</v>
      </c>
      <c r="H5581" s="368" t="s">
        <v>1228</v>
      </c>
    </row>
    <row r="5582" ht="15.75" customHeight="1">
      <c r="A5582" s="368" t="s">
        <v>93</v>
      </c>
      <c r="B5582" s="368" t="s">
        <v>22</v>
      </c>
      <c r="C5582" s="369" t="s">
        <v>573</v>
      </c>
      <c r="D5582" s="368" t="s">
        <v>574</v>
      </c>
      <c r="E5582" s="370">
        <v>12.0</v>
      </c>
      <c r="F5582" s="371">
        <v>46041.58333333333</v>
      </c>
      <c r="G5582" s="368" t="s">
        <v>1185</v>
      </c>
      <c r="H5582" s="368" t="s">
        <v>1228</v>
      </c>
    </row>
    <row r="5583" ht="15.75" customHeight="1">
      <c r="A5583" s="368" t="s">
        <v>93</v>
      </c>
      <c r="B5583" s="368" t="s">
        <v>22</v>
      </c>
      <c r="C5583" s="369" t="s">
        <v>573</v>
      </c>
      <c r="D5583" s="368" t="s">
        <v>574</v>
      </c>
      <c r="E5583" s="370">
        <v>13.0</v>
      </c>
      <c r="F5583" s="371">
        <v>46048.58333333333</v>
      </c>
      <c r="G5583" s="368" t="s">
        <v>1185</v>
      </c>
      <c r="H5583" s="368" t="s">
        <v>1228</v>
      </c>
    </row>
    <row r="5584" ht="15.75" customHeight="1">
      <c r="A5584" s="368" t="s">
        <v>93</v>
      </c>
      <c r="B5584" s="368" t="s">
        <v>22</v>
      </c>
      <c r="C5584" s="369" t="s">
        <v>573</v>
      </c>
      <c r="D5584" s="368" t="s">
        <v>574</v>
      </c>
      <c r="E5584" s="370">
        <v>14.0</v>
      </c>
      <c r="F5584" s="371">
        <v>46087.54166666667</v>
      </c>
      <c r="G5584" s="368" t="s">
        <v>1185</v>
      </c>
      <c r="H5584" s="368" t="s">
        <v>1228</v>
      </c>
    </row>
    <row r="5585" ht="15.75" customHeight="1">
      <c r="A5585" s="368" t="s">
        <v>93</v>
      </c>
      <c r="B5585" s="368" t="s">
        <v>22</v>
      </c>
      <c r="C5585" s="369" t="s">
        <v>573</v>
      </c>
      <c r="D5585" s="368" t="s">
        <v>574</v>
      </c>
      <c r="E5585" s="370">
        <v>15.0</v>
      </c>
      <c r="F5585" s="371">
        <v>46094.54166666667</v>
      </c>
      <c r="G5585" s="368" t="s">
        <v>1185</v>
      </c>
      <c r="H5585" s="368" t="s">
        <v>1228</v>
      </c>
    </row>
    <row r="5586" ht="15.75" customHeight="1">
      <c r="A5586" s="368" t="s">
        <v>93</v>
      </c>
      <c r="B5586" s="368" t="s">
        <v>22</v>
      </c>
      <c r="C5586" s="369" t="s">
        <v>575</v>
      </c>
      <c r="D5586" s="368" t="s">
        <v>576</v>
      </c>
      <c r="E5586" s="370">
        <v>1.0</v>
      </c>
      <c r="F5586" s="371">
        <v>45929.58333333333</v>
      </c>
      <c r="G5586" s="368" t="s">
        <v>1185</v>
      </c>
      <c r="H5586" s="368" t="s">
        <v>1228</v>
      </c>
    </row>
    <row r="5587" ht="15.75" customHeight="1">
      <c r="A5587" s="368" t="s">
        <v>93</v>
      </c>
      <c r="B5587" s="368" t="s">
        <v>22</v>
      </c>
      <c r="C5587" s="369" t="s">
        <v>575</v>
      </c>
      <c r="D5587" s="368" t="s">
        <v>576</v>
      </c>
      <c r="E5587" s="370">
        <v>2.0</v>
      </c>
      <c r="F5587" s="371">
        <v>45938.58333333333</v>
      </c>
      <c r="G5587" s="368" t="s">
        <v>1185</v>
      </c>
      <c r="H5587" s="368" t="s">
        <v>1228</v>
      </c>
    </row>
    <row r="5588" ht="15.75" customHeight="1">
      <c r="A5588" s="368" t="s">
        <v>93</v>
      </c>
      <c r="B5588" s="368" t="s">
        <v>22</v>
      </c>
      <c r="C5588" s="369" t="s">
        <v>575</v>
      </c>
      <c r="D5588" s="368" t="s">
        <v>576</v>
      </c>
      <c r="E5588" s="370">
        <v>3.0</v>
      </c>
      <c r="F5588" s="371">
        <v>45950.54166666667</v>
      </c>
      <c r="G5588" s="368" t="s">
        <v>1185</v>
      </c>
      <c r="H5588" s="368" t="s">
        <v>1228</v>
      </c>
    </row>
    <row r="5589" ht="15.75" customHeight="1">
      <c r="A5589" s="368" t="s">
        <v>93</v>
      </c>
      <c r="B5589" s="368" t="s">
        <v>22</v>
      </c>
      <c r="C5589" s="369" t="s">
        <v>575</v>
      </c>
      <c r="D5589" s="368" t="s">
        <v>576</v>
      </c>
      <c r="E5589" s="370">
        <v>4.0</v>
      </c>
      <c r="F5589" s="371">
        <v>45952.58333333333</v>
      </c>
      <c r="G5589" s="368" t="s">
        <v>1185</v>
      </c>
      <c r="H5589" s="368" t="s">
        <v>1228</v>
      </c>
    </row>
    <row r="5590" ht="15.75" customHeight="1">
      <c r="A5590" s="368" t="s">
        <v>93</v>
      </c>
      <c r="B5590" s="368" t="s">
        <v>22</v>
      </c>
      <c r="C5590" s="369" t="s">
        <v>575</v>
      </c>
      <c r="D5590" s="368" t="s">
        <v>576</v>
      </c>
      <c r="E5590" s="370">
        <v>5.0</v>
      </c>
      <c r="F5590" s="371">
        <v>45959.58333333333</v>
      </c>
      <c r="G5590" s="368" t="s">
        <v>1185</v>
      </c>
      <c r="H5590" s="368" t="s">
        <v>1228</v>
      </c>
    </row>
    <row r="5591" ht="15.75" customHeight="1">
      <c r="A5591" s="368" t="s">
        <v>93</v>
      </c>
      <c r="B5591" s="368" t="s">
        <v>22</v>
      </c>
      <c r="C5591" s="369" t="s">
        <v>575</v>
      </c>
      <c r="D5591" s="368" t="s">
        <v>576</v>
      </c>
      <c r="E5591" s="370">
        <v>6.0</v>
      </c>
      <c r="F5591" s="371">
        <v>45966.54166666667</v>
      </c>
      <c r="G5591" s="368" t="s">
        <v>1185</v>
      </c>
      <c r="H5591" s="368" t="s">
        <v>1228</v>
      </c>
    </row>
    <row r="5592" ht="15.75" customHeight="1">
      <c r="A5592" s="368" t="s">
        <v>93</v>
      </c>
      <c r="B5592" s="368" t="s">
        <v>22</v>
      </c>
      <c r="C5592" s="369" t="s">
        <v>575</v>
      </c>
      <c r="D5592" s="368" t="s">
        <v>576</v>
      </c>
      <c r="E5592" s="370">
        <v>7.0</v>
      </c>
      <c r="F5592" s="371">
        <v>45985.54166666667</v>
      </c>
      <c r="G5592" s="368" t="s">
        <v>1185</v>
      </c>
      <c r="H5592" s="368" t="s">
        <v>1228</v>
      </c>
    </row>
    <row r="5593" ht="15.75" customHeight="1">
      <c r="A5593" s="368" t="s">
        <v>93</v>
      </c>
      <c r="B5593" s="368" t="s">
        <v>22</v>
      </c>
      <c r="C5593" s="369" t="s">
        <v>575</v>
      </c>
      <c r="D5593" s="368" t="s">
        <v>576</v>
      </c>
      <c r="E5593" s="370">
        <v>8.0</v>
      </c>
      <c r="F5593" s="371">
        <v>45999.54166666667</v>
      </c>
      <c r="G5593" s="368" t="s">
        <v>1185</v>
      </c>
      <c r="H5593" s="368" t="s">
        <v>1228</v>
      </c>
    </row>
    <row r="5594" ht="15.75" customHeight="1">
      <c r="A5594" s="368" t="s">
        <v>93</v>
      </c>
      <c r="B5594" s="368" t="s">
        <v>22</v>
      </c>
      <c r="C5594" s="369" t="s">
        <v>575</v>
      </c>
      <c r="D5594" s="368" t="s">
        <v>576</v>
      </c>
      <c r="E5594" s="370">
        <v>9.0</v>
      </c>
      <c r="F5594" s="371">
        <v>46006.54166666667</v>
      </c>
      <c r="G5594" s="368" t="s">
        <v>1185</v>
      </c>
      <c r="H5594" s="368" t="s">
        <v>1228</v>
      </c>
    </row>
    <row r="5595" ht="15.75" customHeight="1">
      <c r="A5595" s="368" t="s">
        <v>93</v>
      </c>
      <c r="B5595" s="368" t="s">
        <v>22</v>
      </c>
      <c r="C5595" s="369" t="s">
        <v>575</v>
      </c>
      <c r="D5595" s="368" t="s">
        <v>576</v>
      </c>
      <c r="E5595" s="370">
        <v>10.0</v>
      </c>
      <c r="F5595" s="371">
        <v>46008.54166666667</v>
      </c>
      <c r="G5595" s="368" t="s">
        <v>1187</v>
      </c>
      <c r="H5595" s="368" t="s">
        <v>1228</v>
      </c>
    </row>
    <row r="5596" ht="15.75" customHeight="1">
      <c r="A5596" s="368" t="s">
        <v>93</v>
      </c>
      <c r="B5596" s="368" t="s">
        <v>22</v>
      </c>
      <c r="C5596" s="369" t="s">
        <v>575</v>
      </c>
      <c r="D5596" s="368" t="s">
        <v>576</v>
      </c>
      <c r="E5596" s="370">
        <v>11.0</v>
      </c>
      <c r="F5596" s="371">
        <v>46013.54166666667</v>
      </c>
      <c r="G5596" s="368" t="s">
        <v>1187</v>
      </c>
      <c r="H5596" s="368" t="s">
        <v>1228</v>
      </c>
    </row>
    <row r="5597" ht="15.75" customHeight="1">
      <c r="A5597" s="368" t="s">
        <v>93</v>
      </c>
      <c r="B5597" s="368" t="s">
        <v>22</v>
      </c>
      <c r="C5597" s="369" t="s">
        <v>575</v>
      </c>
      <c r="D5597" s="368" t="s">
        <v>576</v>
      </c>
      <c r="E5597" s="370">
        <v>12.0</v>
      </c>
      <c r="F5597" s="371">
        <v>46041.58333333333</v>
      </c>
      <c r="G5597" s="368" t="s">
        <v>1187</v>
      </c>
      <c r="H5597" s="368" t="s">
        <v>1228</v>
      </c>
    </row>
    <row r="5598" ht="15.75" customHeight="1">
      <c r="A5598" s="368" t="s">
        <v>93</v>
      </c>
      <c r="B5598" s="368" t="s">
        <v>22</v>
      </c>
      <c r="C5598" s="369" t="s">
        <v>575</v>
      </c>
      <c r="D5598" s="368" t="s">
        <v>576</v>
      </c>
      <c r="E5598" s="370">
        <v>13.0</v>
      </c>
      <c r="F5598" s="371">
        <v>46048.58333333333</v>
      </c>
      <c r="G5598" s="368" t="s">
        <v>1187</v>
      </c>
      <c r="H5598" s="368" t="s">
        <v>1228</v>
      </c>
    </row>
    <row r="5599" ht="15.75" customHeight="1">
      <c r="A5599" s="368" t="s">
        <v>93</v>
      </c>
      <c r="B5599" s="368" t="s">
        <v>22</v>
      </c>
      <c r="C5599" s="369" t="s">
        <v>575</v>
      </c>
      <c r="D5599" s="368" t="s">
        <v>576</v>
      </c>
      <c r="E5599" s="370">
        <v>14.0</v>
      </c>
      <c r="F5599" s="371">
        <v>46087.54166666667</v>
      </c>
      <c r="G5599" s="368" t="s">
        <v>1187</v>
      </c>
      <c r="H5599" s="368" t="s">
        <v>1228</v>
      </c>
    </row>
    <row r="5600" ht="15.75" customHeight="1">
      <c r="A5600" s="368" t="s">
        <v>94</v>
      </c>
      <c r="B5600" s="368" t="s">
        <v>22</v>
      </c>
      <c r="C5600" s="369" t="s">
        <v>530</v>
      </c>
      <c r="D5600" s="368" t="s">
        <v>531</v>
      </c>
      <c r="E5600" s="370">
        <v>3.0</v>
      </c>
      <c r="F5600" s="371">
        <v>46098.41666666667</v>
      </c>
      <c r="G5600" s="368" t="s">
        <v>1185</v>
      </c>
      <c r="H5600" s="368" t="s">
        <v>1229</v>
      </c>
    </row>
    <row r="5601" ht="15.75" customHeight="1">
      <c r="A5601" s="368" t="s">
        <v>94</v>
      </c>
      <c r="B5601" s="368" t="s">
        <v>22</v>
      </c>
      <c r="C5601" s="369" t="s">
        <v>530</v>
      </c>
      <c r="D5601" s="368" t="s">
        <v>531</v>
      </c>
      <c r="E5601" s="370">
        <v>4.0</v>
      </c>
      <c r="F5601" s="371">
        <v>46104.54166666667</v>
      </c>
      <c r="G5601" s="368" t="s">
        <v>1185</v>
      </c>
      <c r="H5601" s="368" t="s">
        <v>1229</v>
      </c>
    </row>
    <row r="5602" ht="15.75" customHeight="1">
      <c r="A5602" s="368" t="s">
        <v>94</v>
      </c>
      <c r="B5602" s="368" t="s">
        <v>22</v>
      </c>
      <c r="C5602" s="369" t="s">
        <v>530</v>
      </c>
      <c r="D5602" s="368" t="s">
        <v>531</v>
      </c>
      <c r="E5602" s="370">
        <v>5.0</v>
      </c>
      <c r="F5602" s="371">
        <v>46112.45833333333</v>
      </c>
      <c r="G5602" s="368" t="s">
        <v>1185</v>
      </c>
      <c r="H5602" s="368" t="s">
        <v>1229</v>
      </c>
    </row>
    <row r="5603" ht="15.75" customHeight="1">
      <c r="A5603" s="368" t="s">
        <v>94</v>
      </c>
      <c r="B5603" s="368" t="s">
        <v>22</v>
      </c>
      <c r="C5603" s="369" t="s">
        <v>530</v>
      </c>
      <c r="D5603" s="368" t="s">
        <v>531</v>
      </c>
      <c r="E5603" s="370">
        <v>6.0</v>
      </c>
      <c r="F5603" s="371">
        <v>46119.41666666667</v>
      </c>
      <c r="G5603" s="368" t="s">
        <v>1185</v>
      </c>
      <c r="H5603" s="368" t="s">
        <v>1229</v>
      </c>
    </row>
    <row r="5604" ht="15.75" customHeight="1">
      <c r="A5604" s="368" t="s">
        <v>94</v>
      </c>
      <c r="B5604" s="368" t="s">
        <v>22</v>
      </c>
      <c r="C5604" s="369" t="s">
        <v>530</v>
      </c>
      <c r="D5604" s="368" t="s">
        <v>531</v>
      </c>
      <c r="E5604" s="370">
        <v>7.0</v>
      </c>
      <c r="F5604" s="371">
        <v>46126.45833333333</v>
      </c>
      <c r="G5604" s="368" t="s">
        <v>1185</v>
      </c>
      <c r="H5604" s="368" t="s">
        <v>1229</v>
      </c>
    </row>
    <row r="5605" ht="15.75" customHeight="1">
      <c r="A5605" s="368" t="s">
        <v>94</v>
      </c>
      <c r="B5605" s="368" t="s">
        <v>22</v>
      </c>
      <c r="C5605" s="369" t="s">
        <v>530</v>
      </c>
      <c r="D5605" s="368" t="s">
        <v>531</v>
      </c>
      <c r="E5605" s="370">
        <v>8.0</v>
      </c>
      <c r="F5605" s="371">
        <v>46147.41666666667</v>
      </c>
      <c r="G5605" s="368" t="s">
        <v>1185</v>
      </c>
      <c r="H5605" s="368" t="s">
        <v>1229</v>
      </c>
    </row>
    <row r="5606" ht="15.75" customHeight="1">
      <c r="A5606" s="368" t="s">
        <v>94</v>
      </c>
      <c r="B5606" s="368" t="s">
        <v>22</v>
      </c>
      <c r="C5606" s="369" t="s">
        <v>530</v>
      </c>
      <c r="D5606" s="368" t="s">
        <v>531</v>
      </c>
      <c r="E5606" s="370">
        <v>9.0</v>
      </c>
      <c r="F5606" s="371">
        <v>46147.45833333333</v>
      </c>
      <c r="G5606" s="368" t="s">
        <v>1185</v>
      </c>
      <c r="H5606" s="368" t="s">
        <v>1229</v>
      </c>
    </row>
    <row r="5607" ht="15.75" customHeight="1">
      <c r="A5607" s="368" t="s">
        <v>94</v>
      </c>
      <c r="B5607" s="368" t="s">
        <v>22</v>
      </c>
      <c r="C5607" s="369" t="s">
        <v>530</v>
      </c>
      <c r="D5607" s="368" t="s">
        <v>531</v>
      </c>
      <c r="E5607" s="370">
        <v>10.0</v>
      </c>
      <c r="F5607" s="371">
        <v>46154.45833333333</v>
      </c>
      <c r="G5607" s="368" t="s">
        <v>1185</v>
      </c>
      <c r="H5607" s="368" t="s">
        <v>1229</v>
      </c>
    </row>
    <row r="5608" ht="15.75" customHeight="1">
      <c r="A5608" s="368" t="s">
        <v>94</v>
      </c>
      <c r="B5608" s="368" t="s">
        <v>22</v>
      </c>
      <c r="C5608" s="369" t="s">
        <v>530</v>
      </c>
      <c r="D5608" s="368" t="s">
        <v>531</v>
      </c>
      <c r="E5608" s="370">
        <v>11.0</v>
      </c>
      <c r="F5608" s="371">
        <v>46161.45833333333</v>
      </c>
      <c r="G5608" s="368" t="s">
        <v>1185</v>
      </c>
      <c r="H5608" s="368" t="s">
        <v>1229</v>
      </c>
    </row>
    <row r="5609" ht="15.75" customHeight="1">
      <c r="A5609" s="368" t="s">
        <v>94</v>
      </c>
      <c r="B5609" s="368" t="s">
        <v>22</v>
      </c>
      <c r="C5609" s="369" t="s">
        <v>530</v>
      </c>
      <c r="D5609" s="368" t="s">
        <v>531</v>
      </c>
      <c r="E5609" s="370">
        <v>12.0</v>
      </c>
      <c r="F5609" s="371">
        <v>46168.45833333333</v>
      </c>
      <c r="G5609" s="368" t="s">
        <v>1185</v>
      </c>
      <c r="H5609" s="368" t="s">
        <v>1229</v>
      </c>
    </row>
    <row r="5610" ht="15.75" customHeight="1">
      <c r="A5610" s="368" t="s">
        <v>94</v>
      </c>
      <c r="B5610" s="368" t="s">
        <v>22</v>
      </c>
      <c r="C5610" s="369" t="s">
        <v>530</v>
      </c>
      <c r="D5610" s="368" t="s">
        <v>531</v>
      </c>
      <c r="E5610" s="370">
        <v>13.0</v>
      </c>
      <c r="F5610" s="371">
        <v>46182.45833333333</v>
      </c>
      <c r="G5610" s="368" t="s">
        <v>1187</v>
      </c>
      <c r="H5610" s="368" t="s">
        <v>1229</v>
      </c>
    </row>
    <row r="5611" ht="15.75" customHeight="1">
      <c r="A5611" s="368" t="s">
        <v>94</v>
      </c>
      <c r="B5611" s="368" t="s">
        <v>22</v>
      </c>
      <c r="C5611" s="369" t="s">
        <v>530</v>
      </c>
      <c r="D5611" s="368" t="s">
        <v>531</v>
      </c>
      <c r="E5611" s="370">
        <v>14.0</v>
      </c>
      <c r="F5611" s="371">
        <v>46210.45833333333</v>
      </c>
      <c r="G5611" s="368" t="s">
        <v>1185</v>
      </c>
      <c r="H5611" s="368" t="s">
        <v>1229</v>
      </c>
    </row>
    <row r="5612" ht="15.75" customHeight="1">
      <c r="A5612" s="368" t="s">
        <v>94</v>
      </c>
      <c r="B5612" s="368" t="s">
        <v>22</v>
      </c>
      <c r="C5612" s="369" t="s">
        <v>532</v>
      </c>
      <c r="D5612" s="368" t="s">
        <v>533</v>
      </c>
      <c r="E5612" s="370">
        <v>1.0</v>
      </c>
      <c r="F5612" s="371">
        <v>46083.625</v>
      </c>
      <c r="G5612" s="368" t="s">
        <v>1185</v>
      </c>
      <c r="H5612" s="368" t="s">
        <v>1229</v>
      </c>
    </row>
    <row r="5613" ht="15.75" customHeight="1">
      <c r="A5613" s="368" t="s">
        <v>94</v>
      </c>
      <c r="B5613" s="368" t="s">
        <v>22</v>
      </c>
      <c r="C5613" s="369" t="s">
        <v>532</v>
      </c>
      <c r="D5613" s="368" t="s">
        <v>533</v>
      </c>
      <c r="E5613" s="370">
        <v>2.0</v>
      </c>
      <c r="F5613" s="371">
        <v>46091.41666666667</v>
      </c>
      <c r="G5613" s="368" t="s">
        <v>1185</v>
      </c>
      <c r="H5613" s="368" t="s">
        <v>1229</v>
      </c>
    </row>
    <row r="5614" ht="15.75" customHeight="1">
      <c r="A5614" s="368" t="s">
        <v>94</v>
      </c>
      <c r="B5614" s="368" t="s">
        <v>22</v>
      </c>
      <c r="C5614" s="369" t="s">
        <v>532</v>
      </c>
      <c r="D5614" s="368" t="s">
        <v>533</v>
      </c>
      <c r="E5614" s="370">
        <v>3.0</v>
      </c>
      <c r="F5614" s="371">
        <v>46098.41666666667</v>
      </c>
      <c r="G5614" s="368" t="s">
        <v>1185</v>
      </c>
      <c r="H5614" s="368" t="s">
        <v>1229</v>
      </c>
    </row>
    <row r="5615" ht="15.75" customHeight="1">
      <c r="A5615" s="368" t="s">
        <v>94</v>
      </c>
      <c r="B5615" s="368" t="s">
        <v>22</v>
      </c>
      <c r="C5615" s="369" t="s">
        <v>532</v>
      </c>
      <c r="D5615" s="368" t="s">
        <v>533</v>
      </c>
      <c r="E5615" s="370">
        <v>4.0</v>
      </c>
      <c r="F5615" s="371">
        <v>46104.54166666667</v>
      </c>
      <c r="G5615" s="368" t="s">
        <v>1185</v>
      </c>
      <c r="H5615" s="368" t="s">
        <v>1229</v>
      </c>
    </row>
    <row r="5616" ht="15.75" customHeight="1">
      <c r="A5616" s="368" t="s">
        <v>94</v>
      </c>
      <c r="B5616" s="368" t="s">
        <v>22</v>
      </c>
      <c r="C5616" s="369" t="s">
        <v>532</v>
      </c>
      <c r="D5616" s="368" t="s">
        <v>533</v>
      </c>
      <c r="E5616" s="370">
        <v>5.0</v>
      </c>
      <c r="F5616" s="371">
        <v>46112.45833333333</v>
      </c>
      <c r="G5616" s="368" t="s">
        <v>1185</v>
      </c>
      <c r="H5616" s="368" t="s">
        <v>1229</v>
      </c>
    </row>
    <row r="5617" ht="15.75" customHeight="1">
      <c r="A5617" s="368" t="s">
        <v>94</v>
      </c>
      <c r="B5617" s="368" t="s">
        <v>22</v>
      </c>
      <c r="C5617" s="369" t="s">
        <v>532</v>
      </c>
      <c r="D5617" s="368" t="s">
        <v>533</v>
      </c>
      <c r="E5617" s="370">
        <v>6.0</v>
      </c>
      <c r="F5617" s="371">
        <v>46119.41666666667</v>
      </c>
      <c r="G5617" s="368" t="s">
        <v>1185</v>
      </c>
      <c r="H5617" s="368" t="s">
        <v>1229</v>
      </c>
    </row>
    <row r="5618" ht="15.75" customHeight="1">
      <c r="A5618" s="368" t="s">
        <v>94</v>
      </c>
      <c r="B5618" s="368" t="s">
        <v>22</v>
      </c>
      <c r="C5618" s="369" t="s">
        <v>532</v>
      </c>
      <c r="D5618" s="368" t="s">
        <v>533</v>
      </c>
      <c r="E5618" s="370">
        <v>7.0</v>
      </c>
      <c r="F5618" s="371">
        <v>46126.45833333333</v>
      </c>
      <c r="G5618" s="368" t="s">
        <v>1185</v>
      </c>
      <c r="H5618" s="368" t="s">
        <v>1229</v>
      </c>
    </row>
    <row r="5619" ht="15.75" customHeight="1">
      <c r="A5619" s="368" t="s">
        <v>94</v>
      </c>
      <c r="B5619" s="368" t="s">
        <v>22</v>
      </c>
      <c r="C5619" s="369" t="s">
        <v>532</v>
      </c>
      <c r="D5619" s="368" t="s">
        <v>533</v>
      </c>
      <c r="E5619" s="370">
        <v>8.0</v>
      </c>
      <c r="F5619" s="371">
        <v>46147.41666666667</v>
      </c>
      <c r="G5619" s="368" t="s">
        <v>1185</v>
      </c>
      <c r="H5619" s="368" t="s">
        <v>1229</v>
      </c>
    </row>
    <row r="5620" ht="15.75" customHeight="1">
      <c r="A5620" s="368" t="s">
        <v>94</v>
      </c>
      <c r="B5620" s="368" t="s">
        <v>22</v>
      </c>
      <c r="C5620" s="369" t="s">
        <v>532</v>
      </c>
      <c r="D5620" s="368" t="s">
        <v>533</v>
      </c>
      <c r="E5620" s="370">
        <v>9.0</v>
      </c>
      <c r="F5620" s="371">
        <v>46147.45833333333</v>
      </c>
      <c r="G5620" s="368" t="s">
        <v>1185</v>
      </c>
      <c r="H5620" s="368" t="s">
        <v>1229</v>
      </c>
    </row>
    <row r="5621" ht="15.75" customHeight="1">
      <c r="A5621" s="368" t="s">
        <v>94</v>
      </c>
      <c r="B5621" s="368" t="s">
        <v>22</v>
      </c>
      <c r="C5621" s="369" t="s">
        <v>532</v>
      </c>
      <c r="D5621" s="368" t="s">
        <v>533</v>
      </c>
      <c r="E5621" s="370">
        <v>10.0</v>
      </c>
      <c r="F5621" s="371">
        <v>46154.45833333333</v>
      </c>
      <c r="G5621" s="368" t="s">
        <v>1185</v>
      </c>
      <c r="H5621" s="368" t="s">
        <v>1229</v>
      </c>
    </row>
    <row r="5622" ht="15.75" customHeight="1">
      <c r="A5622" s="368" t="s">
        <v>94</v>
      </c>
      <c r="B5622" s="368" t="s">
        <v>22</v>
      </c>
      <c r="C5622" s="369" t="s">
        <v>532</v>
      </c>
      <c r="D5622" s="368" t="s">
        <v>533</v>
      </c>
      <c r="E5622" s="370">
        <v>11.0</v>
      </c>
      <c r="F5622" s="371">
        <v>46161.45833333333</v>
      </c>
      <c r="G5622" s="368" t="s">
        <v>1185</v>
      </c>
      <c r="H5622" s="368" t="s">
        <v>1229</v>
      </c>
    </row>
    <row r="5623" ht="15.75" customHeight="1">
      <c r="A5623" s="368" t="s">
        <v>94</v>
      </c>
      <c r="B5623" s="368" t="s">
        <v>22</v>
      </c>
      <c r="C5623" s="369" t="s">
        <v>532</v>
      </c>
      <c r="D5623" s="368" t="s">
        <v>533</v>
      </c>
      <c r="E5623" s="370">
        <v>12.0</v>
      </c>
      <c r="F5623" s="371">
        <v>46168.45833333333</v>
      </c>
      <c r="G5623" s="368" t="s">
        <v>1185</v>
      </c>
      <c r="H5623" s="368" t="s">
        <v>1229</v>
      </c>
    </row>
    <row r="5624" ht="15.75" customHeight="1">
      <c r="A5624" s="368" t="s">
        <v>94</v>
      </c>
      <c r="B5624" s="368" t="s">
        <v>22</v>
      </c>
      <c r="C5624" s="369" t="s">
        <v>532</v>
      </c>
      <c r="D5624" s="368" t="s">
        <v>533</v>
      </c>
      <c r="E5624" s="370">
        <v>13.0</v>
      </c>
      <c r="F5624" s="371">
        <v>46182.45833333333</v>
      </c>
      <c r="G5624" s="368" t="s">
        <v>1185</v>
      </c>
      <c r="H5624" s="368" t="s">
        <v>1229</v>
      </c>
    </row>
    <row r="5625" ht="15.75" customHeight="1">
      <c r="A5625" s="368" t="s">
        <v>94</v>
      </c>
      <c r="B5625" s="368" t="s">
        <v>22</v>
      </c>
      <c r="C5625" s="369" t="s">
        <v>532</v>
      </c>
      <c r="D5625" s="368" t="s">
        <v>533</v>
      </c>
      <c r="E5625" s="370">
        <v>14.0</v>
      </c>
      <c r="F5625" s="371">
        <v>46210.45833333333</v>
      </c>
      <c r="G5625" s="368" t="s">
        <v>1185</v>
      </c>
      <c r="H5625" s="368" t="s">
        <v>1229</v>
      </c>
    </row>
    <row r="5626" ht="15.75" customHeight="1">
      <c r="A5626" s="368" t="s">
        <v>94</v>
      </c>
      <c r="B5626" s="368" t="s">
        <v>22</v>
      </c>
      <c r="C5626" s="369" t="s">
        <v>534</v>
      </c>
      <c r="D5626" s="368" t="s">
        <v>535</v>
      </c>
      <c r="E5626" s="370">
        <v>1.0</v>
      </c>
      <c r="F5626" s="371">
        <v>46083.625</v>
      </c>
      <c r="G5626" s="368" t="s">
        <v>1185</v>
      </c>
      <c r="H5626" s="368" t="s">
        <v>1229</v>
      </c>
    </row>
    <row r="5627" ht="15.75" customHeight="1">
      <c r="A5627" s="368" t="s">
        <v>94</v>
      </c>
      <c r="B5627" s="368" t="s">
        <v>22</v>
      </c>
      <c r="C5627" s="369" t="s">
        <v>534</v>
      </c>
      <c r="D5627" s="368" t="s">
        <v>535</v>
      </c>
      <c r="E5627" s="370">
        <v>2.0</v>
      </c>
      <c r="F5627" s="371">
        <v>46091.41666666667</v>
      </c>
      <c r="G5627" s="368" t="s">
        <v>1185</v>
      </c>
      <c r="H5627" s="368" t="s">
        <v>1229</v>
      </c>
    </row>
    <row r="5628" ht="15.75" customHeight="1">
      <c r="A5628" s="368" t="s">
        <v>94</v>
      </c>
      <c r="B5628" s="368" t="s">
        <v>22</v>
      </c>
      <c r="C5628" s="369" t="s">
        <v>534</v>
      </c>
      <c r="D5628" s="368" t="s">
        <v>535</v>
      </c>
      <c r="E5628" s="370">
        <v>3.0</v>
      </c>
      <c r="F5628" s="371">
        <v>46098.41666666667</v>
      </c>
      <c r="G5628" s="368" t="s">
        <v>1185</v>
      </c>
      <c r="H5628" s="368" t="s">
        <v>1229</v>
      </c>
    </row>
    <row r="5629" ht="15.75" customHeight="1">
      <c r="A5629" s="368" t="s">
        <v>94</v>
      </c>
      <c r="B5629" s="368" t="s">
        <v>22</v>
      </c>
      <c r="C5629" s="369" t="s">
        <v>534</v>
      </c>
      <c r="D5629" s="368" t="s">
        <v>535</v>
      </c>
      <c r="E5629" s="370">
        <v>4.0</v>
      </c>
      <c r="F5629" s="371">
        <v>46104.54166666667</v>
      </c>
      <c r="G5629" s="368" t="s">
        <v>1185</v>
      </c>
      <c r="H5629" s="368" t="s">
        <v>1229</v>
      </c>
    </row>
    <row r="5630" ht="15.75" customHeight="1">
      <c r="A5630" s="368" t="s">
        <v>94</v>
      </c>
      <c r="B5630" s="368" t="s">
        <v>22</v>
      </c>
      <c r="C5630" s="369" t="s">
        <v>534</v>
      </c>
      <c r="D5630" s="368" t="s">
        <v>535</v>
      </c>
      <c r="E5630" s="370">
        <v>5.0</v>
      </c>
      <c r="F5630" s="371">
        <v>46112.45833333333</v>
      </c>
      <c r="G5630" s="368" t="s">
        <v>1185</v>
      </c>
      <c r="H5630" s="368" t="s">
        <v>1229</v>
      </c>
    </row>
    <row r="5631" ht="15.75" customHeight="1">
      <c r="A5631" s="368" t="s">
        <v>94</v>
      </c>
      <c r="B5631" s="368" t="s">
        <v>22</v>
      </c>
      <c r="C5631" s="369" t="s">
        <v>534</v>
      </c>
      <c r="D5631" s="368" t="s">
        <v>535</v>
      </c>
      <c r="E5631" s="370">
        <v>6.0</v>
      </c>
      <c r="F5631" s="371">
        <v>46119.41666666667</v>
      </c>
      <c r="G5631" s="368" t="s">
        <v>1185</v>
      </c>
      <c r="H5631" s="368" t="s">
        <v>1229</v>
      </c>
    </row>
    <row r="5632" ht="15.75" customHeight="1">
      <c r="A5632" s="368" t="s">
        <v>94</v>
      </c>
      <c r="B5632" s="368" t="s">
        <v>22</v>
      </c>
      <c r="C5632" s="369" t="s">
        <v>534</v>
      </c>
      <c r="D5632" s="368" t="s">
        <v>535</v>
      </c>
      <c r="E5632" s="370">
        <v>7.0</v>
      </c>
      <c r="F5632" s="371">
        <v>46126.45833333333</v>
      </c>
      <c r="G5632" s="368" t="s">
        <v>1187</v>
      </c>
      <c r="H5632" s="368" t="s">
        <v>1229</v>
      </c>
    </row>
    <row r="5633" ht="15.75" customHeight="1">
      <c r="A5633" s="368" t="s">
        <v>94</v>
      </c>
      <c r="B5633" s="368" t="s">
        <v>22</v>
      </c>
      <c r="C5633" s="369" t="s">
        <v>534</v>
      </c>
      <c r="D5633" s="368" t="s">
        <v>535</v>
      </c>
      <c r="E5633" s="370">
        <v>8.0</v>
      </c>
      <c r="F5633" s="371">
        <v>46147.41666666667</v>
      </c>
      <c r="G5633" s="368" t="s">
        <v>1185</v>
      </c>
      <c r="H5633" s="368" t="s">
        <v>1229</v>
      </c>
    </row>
    <row r="5634" ht="15.75" customHeight="1">
      <c r="A5634" s="368" t="s">
        <v>94</v>
      </c>
      <c r="B5634" s="368" t="s">
        <v>22</v>
      </c>
      <c r="C5634" s="369" t="s">
        <v>534</v>
      </c>
      <c r="D5634" s="368" t="s">
        <v>535</v>
      </c>
      <c r="E5634" s="370">
        <v>9.0</v>
      </c>
      <c r="F5634" s="371">
        <v>46147.45833333333</v>
      </c>
      <c r="G5634" s="368" t="s">
        <v>1185</v>
      </c>
      <c r="H5634" s="368" t="s">
        <v>1229</v>
      </c>
    </row>
    <row r="5635" ht="15.75" customHeight="1">
      <c r="A5635" s="368" t="s">
        <v>94</v>
      </c>
      <c r="B5635" s="368" t="s">
        <v>22</v>
      </c>
      <c r="C5635" s="369" t="s">
        <v>534</v>
      </c>
      <c r="D5635" s="368" t="s">
        <v>535</v>
      </c>
      <c r="E5635" s="370">
        <v>10.0</v>
      </c>
      <c r="F5635" s="371">
        <v>46154.45833333333</v>
      </c>
      <c r="G5635" s="368" t="s">
        <v>1185</v>
      </c>
      <c r="H5635" s="368" t="s">
        <v>1229</v>
      </c>
    </row>
    <row r="5636" ht="15.75" customHeight="1">
      <c r="A5636" s="368" t="s">
        <v>94</v>
      </c>
      <c r="B5636" s="368" t="s">
        <v>22</v>
      </c>
      <c r="C5636" s="369" t="s">
        <v>534</v>
      </c>
      <c r="D5636" s="368" t="s">
        <v>535</v>
      </c>
      <c r="E5636" s="370">
        <v>11.0</v>
      </c>
      <c r="F5636" s="371">
        <v>46161.45833333333</v>
      </c>
      <c r="G5636" s="368" t="s">
        <v>1185</v>
      </c>
      <c r="H5636" s="368" t="s">
        <v>1229</v>
      </c>
    </row>
    <row r="5637" ht="15.75" customHeight="1">
      <c r="A5637" s="368" t="s">
        <v>94</v>
      </c>
      <c r="B5637" s="368" t="s">
        <v>22</v>
      </c>
      <c r="C5637" s="369" t="s">
        <v>534</v>
      </c>
      <c r="D5637" s="368" t="s">
        <v>535</v>
      </c>
      <c r="E5637" s="370">
        <v>12.0</v>
      </c>
      <c r="F5637" s="371">
        <v>46168.45833333333</v>
      </c>
      <c r="G5637" s="368" t="s">
        <v>1185</v>
      </c>
      <c r="H5637" s="368" t="s">
        <v>1229</v>
      </c>
    </row>
    <row r="5638" ht="15.75" customHeight="1">
      <c r="A5638" s="368" t="s">
        <v>94</v>
      </c>
      <c r="B5638" s="368" t="s">
        <v>22</v>
      </c>
      <c r="C5638" s="369" t="s">
        <v>534</v>
      </c>
      <c r="D5638" s="368" t="s">
        <v>535</v>
      </c>
      <c r="E5638" s="370">
        <v>13.0</v>
      </c>
      <c r="F5638" s="371">
        <v>46182.45833333333</v>
      </c>
      <c r="G5638" s="368" t="s">
        <v>1185</v>
      </c>
      <c r="H5638" s="368" t="s">
        <v>1229</v>
      </c>
    </row>
    <row r="5639" ht="15.75" customHeight="1">
      <c r="A5639" s="368" t="s">
        <v>94</v>
      </c>
      <c r="B5639" s="368" t="s">
        <v>22</v>
      </c>
      <c r="C5639" s="369" t="s">
        <v>534</v>
      </c>
      <c r="D5639" s="368" t="s">
        <v>535</v>
      </c>
      <c r="E5639" s="370">
        <v>14.0</v>
      </c>
      <c r="F5639" s="371">
        <v>46210.45833333333</v>
      </c>
      <c r="G5639" s="368" t="s">
        <v>1185</v>
      </c>
      <c r="H5639" s="368" t="s">
        <v>1229</v>
      </c>
    </row>
    <row r="5640" ht="15.75" customHeight="1">
      <c r="A5640" s="368" t="s">
        <v>94</v>
      </c>
      <c r="B5640" s="368" t="s">
        <v>22</v>
      </c>
      <c r="C5640" s="369" t="s">
        <v>536</v>
      </c>
      <c r="D5640" s="368" t="s">
        <v>537</v>
      </c>
      <c r="E5640" s="370">
        <v>1.0</v>
      </c>
      <c r="F5640" s="371">
        <v>46083.625</v>
      </c>
      <c r="G5640" s="368" t="s">
        <v>1185</v>
      </c>
      <c r="H5640" s="368" t="s">
        <v>1229</v>
      </c>
    </row>
    <row r="5641" ht="15.75" customHeight="1">
      <c r="A5641" s="368" t="s">
        <v>94</v>
      </c>
      <c r="B5641" s="368" t="s">
        <v>22</v>
      </c>
      <c r="C5641" s="369" t="s">
        <v>536</v>
      </c>
      <c r="D5641" s="368" t="s">
        <v>537</v>
      </c>
      <c r="E5641" s="370">
        <v>2.0</v>
      </c>
      <c r="F5641" s="371">
        <v>46091.41666666667</v>
      </c>
      <c r="G5641" s="368" t="s">
        <v>1187</v>
      </c>
      <c r="H5641" s="368" t="s">
        <v>1229</v>
      </c>
    </row>
    <row r="5642" ht="15.75" customHeight="1">
      <c r="A5642" s="368" t="s">
        <v>94</v>
      </c>
      <c r="B5642" s="368" t="s">
        <v>22</v>
      </c>
      <c r="C5642" s="369" t="s">
        <v>536</v>
      </c>
      <c r="D5642" s="368" t="s">
        <v>537</v>
      </c>
      <c r="E5642" s="370">
        <v>3.0</v>
      </c>
      <c r="F5642" s="371">
        <v>46098.41666666667</v>
      </c>
      <c r="G5642" s="368" t="s">
        <v>1185</v>
      </c>
      <c r="H5642" s="368" t="s">
        <v>1229</v>
      </c>
    </row>
    <row r="5643" ht="15.75" customHeight="1">
      <c r="A5643" s="368" t="s">
        <v>94</v>
      </c>
      <c r="B5643" s="368" t="s">
        <v>22</v>
      </c>
      <c r="C5643" s="369" t="s">
        <v>536</v>
      </c>
      <c r="D5643" s="368" t="s">
        <v>537</v>
      </c>
      <c r="E5643" s="370">
        <v>4.0</v>
      </c>
      <c r="F5643" s="371">
        <v>46104.54166666667</v>
      </c>
      <c r="G5643" s="368" t="s">
        <v>1185</v>
      </c>
      <c r="H5643" s="368" t="s">
        <v>1229</v>
      </c>
    </row>
    <row r="5644" ht="15.75" customHeight="1">
      <c r="A5644" s="368" t="s">
        <v>94</v>
      </c>
      <c r="B5644" s="368" t="s">
        <v>22</v>
      </c>
      <c r="C5644" s="369" t="s">
        <v>536</v>
      </c>
      <c r="D5644" s="368" t="s">
        <v>537</v>
      </c>
      <c r="E5644" s="370">
        <v>5.0</v>
      </c>
      <c r="F5644" s="371">
        <v>46112.45833333333</v>
      </c>
      <c r="G5644" s="368" t="s">
        <v>1185</v>
      </c>
      <c r="H5644" s="368" t="s">
        <v>1229</v>
      </c>
    </row>
    <row r="5645" ht="15.75" customHeight="1">
      <c r="A5645" s="368" t="s">
        <v>94</v>
      </c>
      <c r="B5645" s="368" t="s">
        <v>22</v>
      </c>
      <c r="C5645" s="369" t="s">
        <v>536</v>
      </c>
      <c r="D5645" s="368" t="s">
        <v>537</v>
      </c>
      <c r="E5645" s="370">
        <v>6.0</v>
      </c>
      <c r="F5645" s="371">
        <v>46119.41666666667</v>
      </c>
      <c r="G5645" s="368" t="s">
        <v>1185</v>
      </c>
      <c r="H5645" s="368" t="s">
        <v>1229</v>
      </c>
    </row>
    <row r="5646" ht="15.75" customHeight="1">
      <c r="A5646" s="368" t="s">
        <v>94</v>
      </c>
      <c r="B5646" s="368" t="s">
        <v>22</v>
      </c>
      <c r="C5646" s="369" t="s">
        <v>536</v>
      </c>
      <c r="D5646" s="368" t="s">
        <v>537</v>
      </c>
      <c r="E5646" s="370">
        <v>7.0</v>
      </c>
      <c r="F5646" s="371">
        <v>46126.45833333333</v>
      </c>
      <c r="G5646" s="368" t="s">
        <v>1185</v>
      </c>
      <c r="H5646" s="368" t="s">
        <v>1229</v>
      </c>
    </row>
    <row r="5647" ht="15.75" customHeight="1">
      <c r="A5647" s="368" t="s">
        <v>94</v>
      </c>
      <c r="B5647" s="368" t="s">
        <v>22</v>
      </c>
      <c r="C5647" s="369" t="s">
        <v>536</v>
      </c>
      <c r="D5647" s="368" t="s">
        <v>537</v>
      </c>
      <c r="E5647" s="370">
        <v>8.0</v>
      </c>
      <c r="F5647" s="371">
        <v>46147.41666666667</v>
      </c>
      <c r="G5647" s="368" t="s">
        <v>1185</v>
      </c>
      <c r="H5647" s="368" t="s">
        <v>1229</v>
      </c>
    </row>
    <row r="5648" ht="15.75" customHeight="1">
      <c r="A5648" s="368" t="s">
        <v>94</v>
      </c>
      <c r="B5648" s="368" t="s">
        <v>22</v>
      </c>
      <c r="C5648" s="369" t="s">
        <v>536</v>
      </c>
      <c r="D5648" s="368" t="s">
        <v>537</v>
      </c>
      <c r="E5648" s="370">
        <v>9.0</v>
      </c>
      <c r="F5648" s="371">
        <v>46147.45833333333</v>
      </c>
      <c r="G5648" s="368" t="s">
        <v>1185</v>
      </c>
      <c r="H5648" s="368" t="s">
        <v>1229</v>
      </c>
    </row>
    <row r="5649" ht="15.75" customHeight="1">
      <c r="A5649" s="368" t="s">
        <v>94</v>
      </c>
      <c r="B5649" s="368" t="s">
        <v>22</v>
      </c>
      <c r="C5649" s="369" t="s">
        <v>536</v>
      </c>
      <c r="D5649" s="368" t="s">
        <v>537</v>
      </c>
      <c r="E5649" s="370">
        <v>10.0</v>
      </c>
      <c r="F5649" s="371">
        <v>46154.45833333333</v>
      </c>
      <c r="G5649" s="368" t="s">
        <v>1185</v>
      </c>
      <c r="H5649" s="368" t="s">
        <v>1229</v>
      </c>
    </row>
    <row r="5650" ht="15.75" customHeight="1">
      <c r="A5650" s="368" t="s">
        <v>94</v>
      </c>
      <c r="B5650" s="368" t="s">
        <v>22</v>
      </c>
      <c r="C5650" s="369" t="s">
        <v>536</v>
      </c>
      <c r="D5650" s="368" t="s">
        <v>537</v>
      </c>
      <c r="E5650" s="370">
        <v>11.0</v>
      </c>
      <c r="F5650" s="371">
        <v>46161.45833333333</v>
      </c>
      <c r="G5650" s="368" t="s">
        <v>1185</v>
      </c>
      <c r="H5650" s="368" t="s">
        <v>1229</v>
      </c>
    </row>
    <row r="5651" ht="15.75" customHeight="1">
      <c r="A5651" s="368" t="s">
        <v>94</v>
      </c>
      <c r="B5651" s="368" t="s">
        <v>22</v>
      </c>
      <c r="C5651" s="369" t="s">
        <v>536</v>
      </c>
      <c r="D5651" s="368" t="s">
        <v>537</v>
      </c>
      <c r="E5651" s="370">
        <v>12.0</v>
      </c>
      <c r="F5651" s="371">
        <v>46168.45833333333</v>
      </c>
      <c r="G5651" s="368" t="s">
        <v>1185</v>
      </c>
      <c r="H5651" s="368" t="s">
        <v>1229</v>
      </c>
    </row>
    <row r="5652" ht="15.75" customHeight="1">
      <c r="A5652" s="368" t="s">
        <v>94</v>
      </c>
      <c r="B5652" s="368" t="s">
        <v>22</v>
      </c>
      <c r="C5652" s="369" t="s">
        <v>536</v>
      </c>
      <c r="D5652" s="368" t="s">
        <v>537</v>
      </c>
      <c r="E5652" s="370">
        <v>13.0</v>
      </c>
      <c r="F5652" s="371">
        <v>46182.45833333333</v>
      </c>
      <c r="G5652" s="368" t="s">
        <v>1185</v>
      </c>
      <c r="H5652" s="368" t="s">
        <v>1229</v>
      </c>
    </row>
    <row r="5653" ht="15.75" customHeight="1">
      <c r="A5653" s="368" t="s">
        <v>94</v>
      </c>
      <c r="B5653" s="368" t="s">
        <v>22</v>
      </c>
      <c r="C5653" s="369" t="s">
        <v>536</v>
      </c>
      <c r="D5653" s="368" t="s">
        <v>537</v>
      </c>
      <c r="E5653" s="370">
        <v>14.0</v>
      </c>
      <c r="F5653" s="371">
        <v>46210.45833333333</v>
      </c>
      <c r="G5653" s="368" t="s">
        <v>1185</v>
      </c>
      <c r="H5653" s="368" t="s">
        <v>1229</v>
      </c>
    </row>
    <row r="5654" ht="15.75" customHeight="1">
      <c r="A5654" s="368" t="s">
        <v>94</v>
      </c>
      <c r="B5654" s="368" t="s">
        <v>22</v>
      </c>
      <c r="C5654" s="369" t="s">
        <v>538</v>
      </c>
      <c r="D5654" s="368" t="s">
        <v>539</v>
      </c>
      <c r="E5654" s="370">
        <v>1.0</v>
      </c>
      <c r="F5654" s="371">
        <v>46083.625</v>
      </c>
      <c r="G5654" s="368" t="s">
        <v>1185</v>
      </c>
      <c r="H5654" s="368" t="s">
        <v>1229</v>
      </c>
    </row>
    <row r="5655" ht="15.75" customHeight="1">
      <c r="A5655" s="368" t="s">
        <v>94</v>
      </c>
      <c r="B5655" s="368" t="s">
        <v>22</v>
      </c>
      <c r="C5655" s="369" t="s">
        <v>538</v>
      </c>
      <c r="D5655" s="368" t="s">
        <v>539</v>
      </c>
      <c r="E5655" s="370">
        <v>2.0</v>
      </c>
      <c r="F5655" s="371">
        <v>46091.41666666667</v>
      </c>
      <c r="G5655" s="368" t="s">
        <v>1185</v>
      </c>
      <c r="H5655" s="368" t="s">
        <v>1229</v>
      </c>
    </row>
    <row r="5656" ht="15.75" customHeight="1">
      <c r="A5656" s="368" t="s">
        <v>94</v>
      </c>
      <c r="B5656" s="368" t="s">
        <v>22</v>
      </c>
      <c r="C5656" s="369" t="s">
        <v>538</v>
      </c>
      <c r="D5656" s="368" t="s">
        <v>539</v>
      </c>
      <c r="E5656" s="370">
        <v>3.0</v>
      </c>
      <c r="F5656" s="371">
        <v>46098.41666666667</v>
      </c>
      <c r="G5656" s="368" t="s">
        <v>1185</v>
      </c>
      <c r="H5656" s="368" t="s">
        <v>1229</v>
      </c>
    </row>
    <row r="5657" ht="15.75" customHeight="1">
      <c r="A5657" s="368" t="s">
        <v>94</v>
      </c>
      <c r="B5657" s="368" t="s">
        <v>22</v>
      </c>
      <c r="C5657" s="369" t="s">
        <v>538</v>
      </c>
      <c r="D5657" s="368" t="s">
        <v>539</v>
      </c>
      <c r="E5657" s="370">
        <v>4.0</v>
      </c>
      <c r="F5657" s="371">
        <v>46104.54166666667</v>
      </c>
      <c r="G5657" s="368" t="s">
        <v>1187</v>
      </c>
      <c r="H5657" s="368" t="s">
        <v>1229</v>
      </c>
    </row>
    <row r="5658" ht="15.75" customHeight="1">
      <c r="A5658" s="368" t="s">
        <v>94</v>
      </c>
      <c r="B5658" s="368" t="s">
        <v>22</v>
      </c>
      <c r="C5658" s="369" t="s">
        <v>538</v>
      </c>
      <c r="D5658" s="368" t="s">
        <v>539</v>
      </c>
      <c r="E5658" s="370">
        <v>5.0</v>
      </c>
      <c r="F5658" s="371">
        <v>46112.45833333333</v>
      </c>
      <c r="G5658" s="368" t="s">
        <v>1185</v>
      </c>
      <c r="H5658" s="368" t="s">
        <v>1229</v>
      </c>
    </row>
    <row r="5659" ht="15.75" customHeight="1">
      <c r="A5659" s="368" t="s">
        <v>94</v>
      </c>
      <c r="B5659" s="368" t="s">
        <v>22</v>
      </c>
      <c r="C5659" s="369" t="s">
        <v>538</v>
      </c>
      <c r="D5659" s="368" t="s">
        <v>539</v>
      </c>
      <c r="E5659" s="370">
        <v>6.0</v>
      </c>
      <c r="F5659" s="371">
        <v>46119.41666666667</v>
      </c>
      <c r="G5659" s="368" t="s">
        <v>1187</v>
      </c>
      <c r="H5659" s="368" t="s">
        <v>1229</v>
      </c>
    </row>
    <row r="5660" ht="15.75" customHeight="1">
      <c r="A5660" s="368" t="s">
        <v>94</v>
      </c>
      <c r="B5660" s="368" t="s">
        <v>22</v>
      </c>
      <c r="C5660" s="369" t="s">
        <v>538</v>
      </c>
      <c r="D5660" s="368" t="s">
        <v>539</v>
      </c>
      <c r="E5660" s="370">
        <v>7.0</v>
      </c>
      <c r="F5660" s="371">
        <v>46126.45833333333</v>
      </c>
      <c r="G5660" s="368" t="s">
        <v>1187</v>
      </c>
      <c r="H5660" s="368" t="s">
        <v>1229</v>
      </c>
    </row>
    <row r="5661" ht="15.75" customHeight="1">
      <c r="A5661" s="368" t="s">
        <v>94</v>
      </c>
      <c r="B5661" s="368" t="s">
        <v>22</v>
      </c>
      <c r="C5661" s="369" t="s">
        <v>538</v>
      </c>
      <c r="D5661" s="368" t="s">
        <v>539</v>
      </c>
      <c r="E5661" s="370">
        <v>8.0</v>
      </c>
      <c r="F5661" s="371">
        <v>46147.41666666667</v>
      </c>
      <c r="G5661" s="368" t="s">
        <v>1185</v>
      </c>
      <c r="H5661" s="368" t="s">
        <v>1229</v>
      </c>
    </row>
    <row r="5662" ht="15.75" customHeight="1">
      <c r="A5662" s="368" t="s">
        <v>94</v>
      </c>
      <c r="B5662" s="368" t="s">
        <v>22</v>
      </c>
      <c r="C5662" s="369" t="s">
        <v>538</v>
      </c>
      <c r="D5662" s="368" t="s">
        <v>539</v>
      </c>
      <c r="E5662" s="370">
        <v>9.0</v>
      </c>
      <c r="F5662" s="371">
        <v>46147.45833333333</v>
      </c>
      <c r="G5662" s="368" t="s">
        <v>1185</v>
      </c>
      <c r="H5662" s="368" t="s">
        <v>1229</v>
      </c>
    </row>
    <row r="5663" ht="15.75" customHeight="1">
      <c r="A5663" s="368" t="s">
        <v>94</v>
      </c>
      <c r="B5663" s="368" t="s">
        <v>22</v>
      </c>
      <c r="C5663" s="369" t="s">
        <v>538</v>
      </c>
      <c r="D5663" s="368" t="s">
        <v>539</v>
      </c>
      <c r="E5663" s="370">
        <v>10.0</v>
      </c>
      <c r="F5663" s="371">
        <v>46154.45833333333</v>
      </c>
      <c r="G5663" s="368" t="s">
        <v>1185</v>
      </c>
      <c r="H5663" s="368" t="s">
        <v>1229</v>
      </c>
    </row>
    <row r="5664" ht="15.75" customHeight="1">
      <c r="A5664" s="368" t="s">
        <v>94</v>
      </c>
      <c r="B5664" s="368" t="s">
        <v>22</v>
      </c>
      <c r="C5664" s="369" t="s">
        <v>538</v>
      </c>
      <c r="D5664" s="368" t="s">
        <v>539</v>
      </c>
      <c r="E5664" s="370">
        <v>11.0</v>
      </c>
      <c r="F5664" s="371">
        <v>46161.45833333333</v>
      </c>
      <c r="G5664" s="368" t="s">
        <v>1185</v>
      </c>
      <c r="H5664" s="368" t="s">
        <v>1229</v>
      </c>
    </row>
    <row r="5665" ht="15.75" customHeight="1">
      <c r="A5665" s="368" t="s">
        <v>94</v>
      </c>
      <c r="B5665" s="368" t="s">
        <v>22</v>
      </c>
      <c r="C5665" s="369" t="s">
        <v>538</v>
      </c>
      <c r="D5665" s="368" t="s">
        <v>539</v>
      </c>
      <c r="E5665" s="370">
        <v>12.0</v>
      </c>
      <c r="F5665" s="371">
        <v>46168.45833333333</v>
      </c>
      <c r="G5665" s="368" t="s">
        <v>1185</v>
      </c>
      <c r="H5665" s="368" t="s">
        <v>1229</v>
      </c>
    </row>
    <row r="5666" ht="15.75" customHeight="1">
      <c r="A5666" s="368" t="s">
        <v>94</v>
      </c>
      <c r="B5666" s="368" t="s">
        <v>22</v>
      </c>
      <c r="C5666" s="369" t="s">
        <v>538</v>
      </c>
      <c r="D5666" s="368" t="s">
        <v>539</v>
      </c>
      <c r="E5666" s="370">
        <v>13.0</v>
      </c>
      <c r="F5666" s="371">
        <v>46182.45833333333</v>
      </c>
      <c r="G5666" s="368" t="s">
        <v>1185</v>
      </c>
      <c r="H5666" s="368" t="s">
        <v>1229</v>
      </c>
    </row>
    <row r="5667" ht="15.75" customHeight="1">
      <c r="A5667" s="368" t="s">
        <v>94</v>
      </c>
      <c r="B5667" s="368" t="s">
        <v>22</v>
      </c>
      <c r="C5667" s="369" t="s">
        <v>538</v>
      </c>
      <c r="D5667" s="368" t="s">
        <v>539</v>
      </c>
      <c r="E5667" s="370">
        <v>14.0</v>
      </c>
      <c r="F5667" s="371">
        <v>46210.45833333333</v>
      </c>
      <c r="G5667" s="368" t="s">
        <v>1185</v>
      </c>
      <c r="H5667" s="368" t="s">
        <v>1229</v>
      </c>
    </row>
    <row r="5668" ht="15.75" customHeight="1">
      <c r="A5668" s="368" t="s">
        <v>94</v>
      </c>
      <c r="B5668" s="368" t="s">
        <v>22</v>
      </c>
      <c r="C5668" s="369" t="s">
        <v>540</v>
      </c>
      <c r="D5668" s="368" t="s">
        <v>541</v>
      </c>
      <c r="E5668" s="370">
        <v>1.0</v>
      </c>
      <c r="F5668" s="371">
        <v>46083.625</v>
      </c>
      <c r="G5668" s="368" t="s">
        <v>1185</v>
      </c>
      <c r="H5668" s="368" t="s">
        <v>1229</v>
      </c>
    </row>
    <row r="5669" ht="15.75" customHeight="1">
      <c r="A5669" s="368" t="s">
        <v>94</v>
      </c>
      <c r="B5669" s="368" t="s">
        <v>22</v>
      </c>
      <c r="C5669" s="369" t="s">
        <v>540</v>
      </c>
      <c r="D5669" s="368" t="s">
        <v>541</v>
      </c>
      <c r="E5669" s="370">
        <v>2.0</v>
      </c>
      <c r="F5669" s="371">
        <v>46091.41666666667</v>
      </c>
      <c r="G5669" s="368" t="s">
        <v>1185</v>
      </c>
      <c r="H5669" s="368" t="s">
        <v>1229</v>
      </c>
    </row>
    <row r="5670" ht="15.75" customHeight="1">
      <c r="A5670" s="368" t="s">
        <v>94</v>
      </c>
      <c r="B5670" s="368" t="s">
        <v>22</v>
      </c>
      <c r="C5670" s="369" t="s">
        <v>540</v>
      </c>
      <c r="D5670" s="368" t="s">
        <v>541</v>
      </c>
      <c r="E5670" s="370">
        <v>3.0</v>
      </c>
      <c r="F5670" s="371">
        <v>46098.41666666667</v>
      </c>
      <c r="G5670" s="368" t="s">
        <v>1185</v>
      </c>
      <c r="H5670" s="368" t="s">
        <v>1229</v>
      </c>
    </row>
    <row r="5671" ht="15.75" customHeight="1">
      <c r="A5671" s="368" t="s">
        <v>94</v>
      </c>
      <c r="B5671" s="368" t="s">
        <v>22</v>
      </c>
      <c r="C5671" s="369" t="s">
        <v>540</v>
      </c>
      <c r="D5671" s="368" t="s">
        <v>541</v>
      </c>
      <c r="E5671" s="370">
        <v>4.0</v>
      </c>
      <c r="F5671" s="371">
        <v>46104.54166666667</v>
      </c>
      <c r="G5671" s="368" t="s">
        <v>1185</v>
      </c>
      <c r="H5671" s="368" t="s">
        <v>1229</v>
      </c>
    </row>
    <row r="5672" ht="15.75" customHeight="1">
      <c r="A5672" s="368" t="s">
        <v>94</v>
      </c>
      <c r="B5672" s="368" t="s">
        <v>22</v>
      </c>
      <c r="C5672" s="369" t="s">
        <v>540</v>
      </c>
      <c r="D5672" s="368" t="s">
        <v>541</v>
      </c>
      <c r="E5672" s="370">
        <v>5.0</v>
      </c>
      <c r="F5672" s="371">
        <v>46112.45833333333</v>
      </c>
      <c r="G5672" s="368" t="s">
        <v>1185</v>
      </c>
      <c r="H5672" s="368" t="s">
        <v>1229</v>
      </c>
    </row>
    <row r="5673" ht="15.75" customHeight="1">
      <c r="A5673" s="368" t="s">
        <v>94</v>
      </c>
      <c r="B5673" s="368" t="s">
        <v>22</v>
      </c>
      <c r="C5673" s="369" t="s">
        <v>540</v>
      </c>
      <c r="D5673" s="368" t="s">
        <v>541</v>
      </c>
      <c r="E5673" s="370">
        <v>6.0</v>
      </c>
      <c r="F5673" s="371">
        <v>46119.41666666667</v>
      </c>
      <c r="G5673" s="368" t="s">
        <v>1185</v>
      </c>
      <c r="H5673" s="368" t="s">
        <v>1229</v>
      </c>
    </row>
    <row r="5674" ht="15.75" customHeight="1">
      <c r="A5674" s="368" t="s">
        <v>94</v>
      </c>
      <c r="B5674" s="368" t="s">
        <v>22</v>
      </c>
      <c r="C5674" s="369" t="s">
        <v>540</v>
      </c>
      <c r="D5674" s="368" t="s">
        <v>541</v>
      </c>
      <c r="E5674" s="370">
        <v>7.0</v>
      </c>
      <c r="F5674" s="371">
        <v>46126.45833333333</v>
      </c>
      <c r="G5674" s="368" t="s">
        <v>1185</v>
      </c>
      <c r="H5674" s="368" t="s">
        <v>1229</v>
      </c>
    </row>
    <row r="5675" ht="15.75" customHeight="1">
      <c r="A5675" s="368" t="s">
        <v>94</v>
      </c>
      <c r="B5675" s="368" t="s">
        <v>22</v>
      </c>
      <c r="C5675" s="369" t="s">
        <v>540</v>
      </c>
      <c r="D5675" s="368" t="s">
        <v>541</v>
      </c>
      <c r="E5675" s="370">
        <v>8.0</v>
      </c>
      <c r="F5675" s="371">
        <v>46147.41666666667</v>
      </c>
      <c r="G5675" s="368" t="s">
        <v>1185</v>
      </c>
      <c r="H5675" s="368" t="s">
        <v>1229</v>
      </c>
    </row>
    <row r="5676" ht="15.75" customHeight="1">
      <c r="A5676" s="368" t="s">
        <v>94</v>
      </c>
      <c r="B5676" s="368" t="s">
        <v>22</v>
      </c>
      <c r="C5676" s="369" t="s">
        <v>540</v>
      </c>
      <c r="D5676" s="368" t="s">
        <v>541</v>
      </c>
      <c r="E5676" s="370">
        <v>9.0</v>
      </c>
      <c r="F5676" s="371">
        <v>46147.45833333333</v>
      </c>
      <c r="G5676" s="368" t="s">
        <v>1185</v>
      </c>
      <c r="H5676" s="368" t="s">
        <v>1229</v>
      </c>
    </row>
    <row r="5677" ht="15.75" customHeight="1">
      <c r="A5677" s="368" t="s">
        <v>94</v>
      </c>
      <c r="B5677" s="368" t="s">
        <v>22</v>
      </c>
      <c r="C5677" s="369" t="s">
        <v>540</v>
      </c>
      <c r="D5677" s="368" t="s">
        <v>541</v>
      </c>
      <c r="E5677" s="370">
        <v>10.0</v>
      </c>
      <c r="F5677" s="371">
        <v>46154.45833333333</v>
      </c>
      <c r="G5677" s="368" t="s">
        <v>1185</v>
      </c>
      <c r="H5677" s="368" t="s">
        <v>1229</v>
      </c>
    </row>
    <row r="5678" ht="15.75" customHeight="1">
      <c r="A5678" s="368" t="s">
        <v>94</v>
      </c>
      <c r="B5678" s="368" t="s">
        <v>22</v>
      </c>
      <c r="C5678" s="369" t="s">
        <v>540</v>
      </c>
      <c r="D5678" s="368" t="s">
        <v>541</v>
      </c>
      <c r="E5678" s="370">
        <v>11.0</v>
      </c>
      <c r="F5678" s="371">
        <v>46161.45833333333</v>
      </c>
      <c r="G5678" s="368" t="s">
        <v>1185</v>
      </c>
      <c r="H5678" s="368" t="s">
        <v>1229</v>
      </c>
    </row>
    <row r="5679" ht="15.75" customHeight="1">
      <c r="A5679" s="368" t="s">
        <v>94</v>
      </c>
      <c r="B5679" s="368" t="s">
        <v>22</v>
      </c>
      <c r="C5679" s="369" t="s">
        <v>540</v>
      </c>
      <c r="D5679" s="368" t="s">
        <v>541</v>
      </c>
      <c r="E5679" s="370">
        <v>12.0</v>
      </c>
      <c r="F5679" s="371">
        <v>46168.45833333333</v>
      </c>
      <c r="G5679" s="368" t="s">
        <v>1185</v>
      </c>
      <c r="H5679" s="368" t="s">
        <v>1229</v>
      </c>
    </row>
    <row r="5680" ht="15.75" customHeight="1">
      <c r="A5680" s="368" t="s">
        <v>94</v>
      </c>
      <c r="B5680" s="368" t="s">
        <v>22</v>
      </c>
      <c r="C5680" s="369" t="s">
        <v>540</v>
      </c>
      <c r="D5680" s="368" t="s">
        <v>541</v>
      </c>
      <c r="E5680" s="370">
        <v>13.0</v>
      </c>
      <c r="F5680" s="371">
        <v>46182.45833333333</v>
      </c>
      <c r="G5680" s="368" t="s">
        <v>1185</v>
      </c>
      <c r="H5680" s="368" t="s">
        <v>1229</v>
      </c>
    </row>
    <row r="5681" ht="15.75" customHeight="1">
      <c r="A5681" s="368" t="s">
        <v>94</v>
      </c>
      <c r="B5681" s="368" t="s">
        <v>22</v>
      </c>
      <c r="C5681" s="369" t="s">
        <v>540</v>
      </c>
      <c r="D5681" s="368" t="s">
        <v>541</v>
      </c>
      <c r="E5681" s="370">
        <v>14.0</v>
      </c>
      <c r="F5681" s="371">
        <v>46210.45833333333</v>
      </c>
      <c r="G5681" s="368" t="s">
        <v>1185</v>
      </c>
      <c r="H5681" s="368" t="s">
        <v>1229</v>
      </c>
    </row>
    <row r="5682" ht="15.75" customHeight="1">
      <c r="A5682" s="368" t="s">
        <v>94</v>
      </c>
      <c r="B5682" s="368" t="s">
        <v>22</v>
      </c>
      <c r="C5682" s="369" t="s">
        <v>542</v>
      </c>
      <c r="D5682" s="368" t="s">
        <v>543</v>
      </c>
      <c r="E5682" s="370">
        <v>1.0</v>
      </c>
      <c r="F5682" s="371">
        <v>46083.625</v>
      </c>
      <c r="G5682" s="368" t="s">
        <v>1185</v>
      </c>
      <c r="H5682" s="368" t="s">
        <v>1229</v>
      </c>
    </row>
    <row r="5683" ht="15.75" customHeight="1">
      <c r="A5683" s="368" t="s">
        <v>94</v>
      </c>
      <c r="B5683" s="368" t="s">
        <v>22</v>
      </c>
      <c r="C5683" s="369" t="s">
        <v>542</v>
      </c>
      <c r="D5683" s="368" t="s">
        <v>543</v>
      </c>
      <c r="E5683" s="370">
        <v>2.0</v>
      </c>
      <c r="F5683" s="371">
        <v>46091.41666666667</v>
      </c>
      <c r="G5683" s="368" t="s">
        <v>1185</v>
      </c>
      <c r="H5683" s="368" t="s">
        <v>1229</v>
      </c>
    </row>
    <row r="5684" ht="15.75" customHeight="1">
      <c r="A5684" s="368" t="s">
        <v>94</v>
      </c>
      <c r="B5684" s="368" t="s">
        <v>22</v>
      </c>
      <c r="C5684" s="369" t="s">
        <v>542</v>
      </c>
      <c r="D5684" s="368" t="s">
        <v>543</v>
      </c>
      <c r="E5684" s="370">
        <v>3.0</v>
      </c>
      <c r="F5684" s="371">
        <v>46098.41666666667</v>
      </c>
      <c r="G5684" s="368" t="s">
        <v>1185</v>
      </c>
      <c r="H5684" s="368" t="s">
        <v>1229</v>
      </c>
    </row>
    <row r="5685" ht="15.75" customHeight="1">
      <c r="A5685" s="368" t="s">
        <v>94</v>
      </c>
      <c r="B5685" s="368" t="s">
        <v>22</v>
      </c>
      <c r="C5685" s="369" t="s">
        <v>542</v>
      </c>
      <c r="D5685" s="368" t="s">
        <v>543</v>
      </c>
      <c r="E5685" s="370">
        <v>4.0</v>
      </c>
      <c r="F5685" s="371">
        <v>46104.54166666667</v>
      </c>
      <c r="G5685" s="368" t="s">
        <v>1187</v>
      </c>
      <c r="H5685" s="368" t="s">
        <v>1229</v>
      </c>
    </row>
    <row r="5686" ht="15.75" customHeight="1">
      <c r="A5686" s="368" t="s">
        <v>94</v>
      </c>
      <c r="B5686" s="368" t="s">
        <v>22</v>
      </c>
      <c r="C5686" s="369" t="s">
        <v>542</v>
      </c>
      <c r="D5686" s="368" t="s">
        <v>543</v>
      </c>
      <c r="E5686" s="370">
        <v>5.0</v>
      </c>
      <c r="F5686" s="371">
        <v>46112.45833333333</v>
      </c>
      <c r="G5686" s="368" t="s">
        <v>1185</v>
      </c>
      <c r="H5686" s="368" t="s">
        <v>1229</v>
      </c>
    </row>
    <row r="5687" ht="15.75" customHeight="1">
      <c r="A5687" s="368" t="s">
        <v>94</v>
      </c>
      <c r="B5687" s="368" t="s">
        <v>22</v>
      </c>
      <c r="C5687" s="369" t="s">
        <v>542</v>
      </c>
      <c r="D5687" s="368" t="s">
        <v>543</v>
      </c>
      <c r="E5687" s="370">
        <v>6.0</v>
      </c>
      <c r="F5687" s="371">
        <v>46119.41666666667</v>
      </c>
      <c r="G5687" s="368" t="s">
        <v>1185</v>
      </c>
      <c r="H5687" s="368" t="s">
        <v>1229</v>
      </c>
    </row>
    <row r="5688" ht="15.75" customHeight="1">
      <c r="A5688" s="368" t="s">
        <v>94</v>
      </c>
      <c r="B5688" s="368" t="s">
        <v>22</v>
      </c>
      <c r="C5688" s="369" t="s">
        <v>542</v>
      </c>
      <c r="D5688" s="368" t="s">
        <v>543</v>
      </c>
      <c r="E5688" s="370">
        <v>7.0</v>
      </c>
      <c r="F5688" s="371">
        <v>46126.45833333333</v>
      </c>
      <c r="G5688" s="368" t="s">
        <v>1185</v>
      </c>
      <c r="H5688" s="368" t="s">
        <v>1229</v>
      </c>
    </row>
    <row r="5689" ht="15.75" customHeight="1">
      <c r="A5689" s="368" t="s">
        <v>94</v>
      </c>
      <c r="B5689" s="368" t="s">
        <v>22</v>
      </c>
      <c r="C5689" s="369" t="s">
        <v>542</v>
      </c>
      <c r="D5689" s="368" t="s">
        <v>543</v>
      </c>
      <c r="E5689" s="370">
        <v>8.0</v>
      </c>
      <c r="F5689" s="371">
        <v>46147.41666666667</v>
      </c>
      <c r="G5689" s="368" t="s">
        <v>1185</v>
      </c>
      <c r="H5689" s="368" t="s">
        <v>1229</v>
      </c>
    </row>
    <row r="5690" ht="15.75" customHeight="1">
      <c r="A5690" s="368" t="s">
        <v>94</v>
      </c>
      <c r="B5690" s="368" t="s">
        <v>22</v>
      </c>
      <c r="C5690" s="369" t="s">
        <v>542</v>
      </c>
      <c r="D5690" s="368" t="s">
        <v>543</v>
      </c>
      <c r="E5690" s="370">
        <v>9.0</v>
      </c>
      <c r="F5690" s="371">
        <v>46147.45833333333</v>
      </c>
      <c r="G5690" s="368" t="s">
        <v>1185</v>
      </c>
      <c r="H5690" s="368" t="s">
        <v>1229</v>
      </c>
    </row>
    <row r="5691" ht="15.75" customHeight="1">
      <c r="A5691" s="368" t="s">
        <v>94</v>
      </c>
      <c r="B5691" s="368" t="s">
        <v>22</v>
      </c>
      <c r="C5691" s="369" t="s">
        <v>542</v>
      </c>
      <c r="D5691" s="368" t="s">
        <v>543</v>
      </c>
      <c r="E5691" s="370">
        <v>10.0</v>
      </c>
      <c r="F5691" s="371">
        <v>46154.45833333333</v>
      </c>
      <c r="G5691" s="368" t="s">
        <v>1185</v>
      </c>
      <c r="H5691" s="368" t="s">
        <v>1229</v>
      </c>
    </row>
    <row r="5692" ht="15.75" customHeight="1">
      <c r="A5692" s="368" t="s">
        <v>94</v>
      </c>
      <c r="B5692" s="368" t="s">
        <v>22</v>
      </c>
      <c r="C5692" s="369" t="s">
        <v>542</v>
      </c>
      <c r="D5692" s="368" t="s">
        <v>543</v>
      </c>
      <c r="E5692" s="370">
        <v>11.0</v>
      </c>
      <c r="F5692" s="371">
        <v>46161.45833333333</v>
      </c>
      <c r="G5692" s="368" t="s">
        <v>1185</v>
      </c>
      <c r="H5692" s="368" t="s">
        <v>1229</v>
      </c>
    </row>
    <row r="5693" ht="15.75" customHeight="1">
      <c r="A5693" s="368" t="s">
        <v>94</v>
      </c>
      <c r="B5693" s="368" t="s">
        <v>22</v>
      </c>
      <c r="C5693" s="369" t="s">
        <v>542</v>
      </c>
      <c r="D5693" s="368" t="s">
        <v>543</v>
      </c>
      <c r="E5693" s="370">
        <v>12.0</v>
      </c>
      <c r="F5693" s="371">
        <v>46168.45833333333</v>
      </c>
      <c r="G5693" s="368" t="s">
        <v>1185</v>
      </c>
      <c r="H5693" s="368" t="s">
        <v>1229</v>
      </c>
    </row>
    <row r="5694" ht="15.75" customHeight="1">
      <c r="A5694" s="368" t="s">
        <v>94</v>
      </c>
      <c r="B5694" s="368" t="s">
        <v>22</v>
      </c>
      <c r="C5694" s="369" t="s">
        <v>542</v>
      </c>
      <c r="D5694" s="368" t="s">
        <v>543</v>
      </c>
      <c r="E5694" s="370">
        <v>13.0</v>
      </c>
      <c r="F5694" s="371">
        <v>46182.45833333333</v>
      </c>
      <c r="G5694" s="368" t="s">
        <v>1185</v>
      </c>
      <c r="H5694" s="368" t="s">
        <v>1229</v>
      </c>
    </row>
    <row r="5695" ht="15.75" customHeight="1">
      <c r="A5695" s="368" t="s">
        <v>94</v>
      </c>
      <c r="B5695" s="368" t="s">
        <v>22</v>
      </c>
      <c r="C5695" s="369" t="s">
        <v>542</v>
      </c>
      <c r="D5695" s="368" t="s">
        <v>543</v>
      </c>
      <c r="E5695" s="370">
        <v>14.0</v>
      </c>
      <c r="F5695" s="371">
        <v>46210.45833333333</v>
      </c>
      <c r="G5695" s="368" t="s">
        <v>1185</v>
      </c>
      <c r="H5695" s="368" t="s">
        <v>1229</v>
      </c>
    </row>
    <row r="5696" ht="15.75" customHeight="1">
      <c r="A5696" s="368" t="s">
        <v>1100</v>
      </c>
      <c r="B5696" s="368" t="s">
        <v>22</v>
      </c>
      <c r="C5696" s="369" t="s">
        <v>605</v>
      </c>
      <c r="D5696" s="368" t="s">
        <v>606</v>
      </c>
      <c r="E5696" s="370">
        <v>2.0</v>
      </c>
      <c r="F5696" s="371">
        <v>46093.58333333333</v>
      </c>
      <c r="G5696" s="368" t="s">
        <v>1187</v>
      </c>
      <c r="H5696" s="368" t="s">
        <v>1230</v>
      </c>
    </row>
    <row r="5697" ht="15.75" customHeight="1">
      <c r="A5697" s="368" t="s">
        <v>1100</v>
      </c>
      <c r="B5697" s="368" t="s">
        <v>22</v>
      </c>
      <c r="C5697" s="369" t="s">
        <v>605</v>
      </c>
      <c r="D5697" s="368" t="s">
        <v>606</v>
      </c>
      <c r="E5697" s="370">
        <v>3.0</v>
      </c>
      <c r="F5697" s="371">
        <v>46127.45833333333</v>
      </c>
      <c r="G5697" s="368" t="s">
        <v>1185</v>
      </c>
      <c r="H5697" s="368" t="s">
        <v>1230</v>
      </c>
    </row>
    <row r="5698" ht="15.75" customHeight="1">
      <c r="A5698" s="368" t="s">
        <v>1100</v>
      </c>
      <c r="B5698" s="368" t="s">
        <v>22</v>
      </c>
      <c r="C5698" s="369" t="s">
        <v>605</v>
      </c>
      <c r="D5698" s="368" t="s">
        <v>606</v>
      </c>
      <c r="E5698" s="370">
        <v>4.0</v>
      </c>
      <c r="F5698" s="371">
        <v>46134.45833333333</v>
      </c>
      <c r="G5698" s="368" t="s">
        <v>1185</v>
      </c>
      <c r="H5698" s="368" t="s">
        <v>1230</v>
      </c>
    </row>
    <row r="5699" ht="15.75" customHeight="1">
      <c r="A5699" s="368" t="s">
        <v>1100</v>
      </c>
      <c r="B5699" s="368" t="s">
        <v>22</v>
      </c>
      <c r="C5699" s="369" t="s">
        <v>605</v>
      </c>
      <c r="D5699" s="368" t="s">
        <v>606</v>
      </c>
      <c r="E5699" s="370">
        <v>5.0</v>
      </c>
      <c r="F5699" s="371">
        <v>46114.625</v>
      </c>
      <c r="G5699" s="368" t="s">
        <v>1187</v>
      </c>
      <c r="H5699" s="368" t="s">
        <v>1230</v>
      </c>
    </row>
    <row r="5700" ht="15.75" customHeight="1">
      <c r="A5700" s="368" t="s">
        <v>1100</v>
      </c>
      <c r="B5700" s="368" t="s">
        <v>22</v>
      </c>
      <c r="C5700" s="369" t="s">
        <v>605</v>
      </c>
      <c r="D5700" s="368" t="s">
        <v>606</v>
      </c>
      <c r="E5700" s="370">
        <v>6.0</v>
      </c>
      <c r="F5700" s="371">
        <v>46121.625</v>
      </c>
      <c r="G5700" s="368" t="s">
        <v>1187</v>
      </c>
      <c r="H5700" s="368" t="s">
        <v>1230</v>
      </c>
    </row>
    <row r="5701" ht="15.75" customHeight="1">
      <c r="A5701" s="368" t="s">
        <v>1100</v>
      </c>
      <c r="B5701" s="368" t="s">
        <v>22</v>
      </c>
      <c r="C5701" s="369" t="s">
        <v>605</v>
      </c>
      <c r="D5701" s="368" t="s">
        <v>606</v>
      </c>
      <c r="E5701" s="370">
        <v>7.0</v>
      </c>
      <c r="F5701" s="371">
        <v>46129.41666666667</v>
      </c>
      <c r="G5701" s="368" t="s">
        <v>1187</v>
      </c>
      <c r="H5701" s="368" t="s">
        <v>1230</v>
      </c>
    </row>
    <row r="5702" ht="15.75" customHeight="1">
      <c r="A5702" s="368" t="s">
        <v>1100</v>
      </c>
      <c r="B5702" s="368" t="s">
        <v>22</v>
      </c>
      <c r="C5702" s="369" t="s">
        <v>605</v>
      </c>
      <c r="D5702" s="368" t="s">
        <v>606</v>
      </c>
      <c r="E5702" s="370">
        <v>8.0</v>
      </c>
      <c r="F5702" s="371">
        <v>46135.54166666667</v>
      </c>
      <c r="G5702" s="368" t="s">
        <v>1187</v>
      </c>
      <c r="H5702" s="368" t="s">
        <v>1230</v>
      </c>
    </row>
    <row r="5703" ht="15.75" customHeight="1">
      <c r="A5703" s="368" t="s">
        <v>1100</v>
      </c>
      <c r="B5703" s="368" t="s">
        <v>22</v>
      </c>
      <c r="C5703" s="369" t="s">
        <v>605</v>
      </c>
      <c r="D5703" s="368" t="s">
        <v>606</v>
      </c>
      <c r="E5703" s="370">
        <v>9.0</v>
      </c>
      <c r="F5703" s="371">
        <v>46150.41666666667</v>
      </c>
      <c r="G5703" s="368" t="s">
        <v>1185</v>
      </c>
      <c r="H5703" s="368" t="s">
        <v>1230</v>
      </c>
    </row>
    <row r="5704" ht="15.75" customHeight="1">
      <c r="A5704" s="368" t="s">
        <v>1100</v>
      </c>
      <c r="B5704" s="368" t="s">
        <v>22</v>
      </c>
      <c r="C5704" s="369" t="s">
        <v>605</v>
      </c>
      <c r="D5704" s="368" t="s">
        <v>606</v>
      </c>
      <c r="E5704" s="370">
        <v>10.0</v>
      </c>
      <c r="F5704" s="371">
        <v>46155.58333333333</v>
      </c>
      <c r="G5704" s="368" t="s">
        <v>1185</v>
      </c>
      <c r="H5704" s="368" t="s">
        <v>1230</v>
      </c>
    </row>
    <row r="5705" ht="15.75" customHeight="1">
      <c r="A5705" s="368" t="s">
        <v>1100</v>
      </c>
      <c r="B5705" s="368" t="s">
        <v>22</v>
      </c>
      <c r="C5705" s="369" t="s">
        <v>605</v>
      </c>
      <c r="D5705" s="368" t="s">
        <v>606</v>
      </c>
      <c r="E5705" s="370">
        <v>11.0</v>
      </c>
      <c r="F5705" s="371">
        <v>46162.58333333333</v>
      </c>
      <c r="G5705" s="368" t="s">
        <v>1185</v>
      </c>
      <c r="H5705" s="368" t="s">
        <v>1230</v>
      </c>
    </row>
    <row r="5706" ht="15.75" customHeight="1">
      <c r="A5706" s="368" t="s">
        <v>1100</v>
      </c>
      <c r="B5706" s="368" t="s">
        <v>22</v>
      </c>
      <c r="C5706" s="369" t="s">
        <v>605</v>
      </c>
      <c r="D5706" s="368" t="s">
        <v>606</v>
      </c>
      <c r="E5706" s="370">
        <v>12.0</v>
      </c>
      <c r="F5706" s="371">
        <v>46171.41666666667</v>
      </c>
      <c r="G5706" s="368" t="s">
        <v>1185</v>
      </c>
      <c r="H5706" s="368" t="s">
        <v>1230</v>
      </c>
    </row>
    <row r="5707" ht="15.75" customHeight="1">
      <c r="A5707" s="368" t="s">
        <v>1100</v>
      </c>
      <c r="B5707" s="368" t="s">
        <v>22</v>
      </c>
      <c r="C5707" s="369" t="s">
        <v>605</v>
      </c>
      <c r="D5707" s="368" t="s">
        <v>606</v>
      </c>
      <c r="E5707" s="370">
        <v>13.0</v>
      </c>
      <c r="F5707" s="371">
        <v>46184.41666666667</v>
      </c>
      <c r="G5707" s="368" t="s">
        <v>1185</v>
      </c>
      <c r="H5707" s="368" t="s">
        <v>1230</v>
      </c>
    </row>
    <row r="5708" ht="15.75" customHeight="1">
      <c r="A5708" s="368" t="s">
        <v>1100</v>
      </c>
      <c r="B5708" s="368" t="s">
        <v>22</v>
      </c>
      <c r="C5708" s="369" t="s">
        <v>605</v>
      </c>
      <c r="D5708" s="368" t="s">
        <v>606</v>
      </c>
      <c r="E5708" s="370">
        <v>14.0</v>
      </c>
      <c r="F5708" s="371">
        <v>46198.45833333333</v>
      </c>
      <c r="G5708" s="368" t="s">
        <v>1185</v>
      </c>
      <c r="H5708" s="368" t="s">
        <v>1230</v>
      </c>
    </row>
    <row r="5709" ht="15.75" customHeight="1">
      <c r="A5709" s="368" t="s">
        <v>1100</v>
      </c>
      <c r="B5709" s="368" t="s">
        <v>22</v>
      </c>
      <c r="C5709" s="369" t="s">
        <v>605</v>
      </c>
      <c r="D5709" s="368" t="s">
        <v>606</v>
      </c>
      <c r="E5709" s="370">
        <v>15.0</v>
      </c>
      <c r="F5709" s="371">
        <v>46205.58333333333</v>
      </c>
      <c r="G5709" s="368" t="s">
        <v>1185</v>
      </c>
      <c r="H5709" s="368" t="s">
        <v>1230</v>
      </c>
    </row>
    <row r="5710" ht="15.75" customHeight="1">
      <c r="A5710" s="368" t="s">
        <v>1100</v>
      </c>
      <c r="B5710" s="368" t="s">
        <v>22</v>
      </c>
      <c r="C5710" s="369" t="s">
        <v>605</v>
      </c>
      <c r="D5710" s="368" t="s">
        <v>606</v>
      </c>
      <c r="E5710" s="370">
        <v>16.0</v>
      </c>
      <c r="F5710" s="371">
        <v>46212.58333333333</v>
      </c>
      <c r="G5710" s="368" t="s">
        <v>1185</v>
      </c>
      <c r="H5710" s="368" t="s">
        <v>1230</v>
      </c>
    </row>
    <row r="5711" ht="15.75" customHeight="1">
      <c r="A5711" s="368" t="s">
        <v>1100</v>
      </c>
      <c r="B5711" s="368" t="s">
        <v>22</v>
      </c>
      <c r="C5711" s="369" t="s">
        <v>609</v>
      </c>
      <c r="D5711" s="368" t="s">
        <v>610</v>
      </c>
      <c r="E5711" s="370">
        <v>1.0</v>
      </c>
      <c r="F5711" s="371">
        <v>46085.58333333333</v>
      </c>
      <c r="G5711" s="368" t="s">
        <v>1185</v>
      </c>
      <c r="H5711" s="368" t="s">
        <v>1230</v>
      </c>
    </row>
    <row r="5712" ht="15.75" customHeight="1">
      <c r="A5712" s="368" t="s">
        <v>1100</v>
      </c>
      <c r="B5712" s="368" t="s">
        <v>22</v>
      </c>
      <c r="C5712" s="369" t="s">
        <v>609</v>
      </c>
      <c r="D5712" s="368" t="s">
        <v>610</v>
      </c>
      <c r="E5712" s="370">
        <v>2.0</v>
      </c>
      <c r="F5712" s="371">
        <v>46093.58333333333</v>
      </c>
      <c r="G5712" s="368" t="s">
        <v>1185</v>
      </c>
      <c r="H5712" s="368" t="s">
        <v>1230</v>
      </c>
    </row>
    <row r="5713" ht="15.75" customHeight="1">
      <c r="A5713" s="368" t="s">
        <v>1100</v>
      </c>
      <c r="B5713" s="368" t="s">
        <v>22</v>
      </c>
      <c r="C5713" s="369" t="s">
        <v>609</v>
      </c>
      <c r="D5713" s="368" t="s">
        <v>610</v>
      </c>
      <c r="E5713" s="370">
        <v>3.0</v>
      </c>
      <c r="F5713" s="371">
        <v>46099.58333333333</v>
      </c>
      <c r="G5713" s="368" t="s">
        <v>1185</v>
      </c>
      <c r="H5713" s="368" t="s">
        <v>1230</v>
      </c>
    </row>
    <row r="5714" ht="15.75" customHeight="1">
      <c r="A5714" s="368" t="s">
        <v>1100</v>
      </c>
      <c r="B5714" s="368" t="s">
        <v>22</v>
      </c>
      <c r="C5714" s="369" t="s">
        <v>609</v>
      </c>
      <c r="D5714" s="368" t="s">
        <v>610</v>
      </c>
      <c r="E5714" s="370">
        <v>4.0</v>
      </c>
      <c r="F5714" s="371">
        <v>46108.41666666667</v>
      </c>
      <c r="G5714" s="368" t="s">
        <v>1185</v>
      </c>
      <c r="H5714" s="368" t="s">
        <v>1230</v>
      </c>
    </row>
    <row r="5715" ht="15.75" customHeight="1">
      <c r="A5715" s="368" t="s">
        <v>1100</v>
      </c>
      <c r="B5715" s="368" t="s">
        <v>22</v>
      </c>
      <c r="C5715" s="369" t="s">
        <v>609</v>
      </c>
      <c r="D5715" s="368" t="s">
        <v>610</v>
      </c>
      <c r="E5715" s="370">
        <v>5.0</v>
      </c>
      <c r="F5715" s="371">
        <v>46114.625</v>
      </c>
      <c r="G5715" s="368" t="s">
        <v>1185</v>
      </c>
      <c r="H5715" s="368" t="s">
        <v>1230</v>
      </c>
    </row>
    <row r="5716" ht="15.75" customHeight="1">
      <c r="A5716" s="368" t="s">
        <v>1100</v>
      </c>
      <c r="B5716" s="368" t="s">
        <v>22</v>
      </c>
      <c r="C5716" s="369" t="s">
        <v>609</v>
      </c>
      <c r="D5716" s="368" t="s">
        <v>610</v>
      </c>
      <c r="E5716" s="370">
        <v>6.0</v>
      </c>
      <c r="F5716" s="371">
        <v>46121.625</v>
      </c>
      <c r="G5716" s="368" t="s">
        <v>1185</v>
      </c>
      <c r="H5716" s="368" t="s">
        <v>1230</v>
      </c>
    </row>
    <row r="5717" ht="15.75" customHeight="1">
      <c r="A5717" s="368" t="s">
        <v>1100</v>
      </c>
      <c r="B5717" s="368" t="s">
        <v>22</v>
      </c>
      <c r="C5717" s="369" t="s">
        <v>609</v>
      </c>
      <c r="D5717" s="368" t="s">
        <v>610</v>
      </c>
      <c r="E5717" s="370">
        <v>7.0</v>
      </c>
      <c r="F5717" s="371">
        <v>46129.41666666667</v>
      </c>
      <c r="G5717" s="368" t="s">
        <v>1185</v>
      </c>
      <c r="H5717" s="368" t="s">
        <v>1230</v>
      </c>
    </row>
    <row r="5718" ht="15.75" customHeight="1">
      <c r="A5718" s="368" t="s">
        <v>1100</v>
      </c>
      <c r="B5718" s="368" t="s">
        <v>22</v>
      </c>
      <c r="C5718" s="369" t="s">
        <v>609</v>
      </c>
      <c r="D5718" s="368" t="s">
        <v>610</v>
      </c>
      <c r="E5718" s="370">
        <v>8.0</v>
      </c>
      <c r="F5718" s="371">
        <v>46135.54166666667</v>
      </c>
      <c r="G5718" s="368" t="s">
        <v>1185</v>
      </c>
      <c r="H5718" s="368" t="s">
        <v>1230</v>
      </c>
    </row>
    <row r="5719" ht="15.75" customHeight="1">
      <c r="A5719" s="368" t="s">
        <v>1100</v>
      </c>
      <c r="B5719" s="368" t="s">
        <v>22</v>
      </c>
      <c r="C5719" s="369" t="s">
        <v>609</v>
      </c>
      <c r="D5719" s="368" t="s">
        <v>610</v>
      </c>
      <c r="E5719" s="370">
        <v>9.0</v>
      </c>
      <c r="F5719" s="371">
        <v>46150.41666666667</v>
      </c>
      <c r="G5719" s="368" t="s">
        <v>1185</v>
      </c>
      <c r="H5719" s="368" t="s">
        <v>1230</v>
      </c>
    </row>
    <row r="5720" ht="15.75" customHeight="1">
      <c r="A5720" s="368" t="s">
        <v>1100</v>
      </c>
      <c r="B5720" s="368" t="s">
        <v>22</v>
      </c>
      <c r="C5720" s="369" t="s">
        <v>609</v>
      </c>
      <c r="D5720" s="368" t="s">
        <v>610</v>
      </c>
      <c r="E5720" s="370">
        <v>10.0</v>
      </c>
      <c r="F5720" s="371">
        <v>46155.58333333333</v>
      </c>
      <c r="G5720" s="368" t="s">
        <v>1185</v>
      </c>
      <c r="H5720" s="368" t="s">
        <v>1230</v>
      </c>
    </row>
    <row r="5721" ht="15.75" customHeight="1">
      <c r="A5721" s="368" t="s">
        <v>1100</v>
      </c>
      <c r="B5721" s="368" t="s">
        <v>22</v>
      </c>
      <c r="C5721" s="369" t="s">
        <v>609</v>
      </c>
      <c r="D5721" s="368" t="s">
        <v>610</v>
      </c>
      <c r="E5721" s="370">
        <v>11.0</v>
      </c>
      <c r="F5721" s="371">
        <v>46162.58333333333</v>
      </c>
      <c r="G5721" s="368" t="s">
        <v>1185</v>
      </c>
      <c r="H5721" s="368" t="s">
        <v>1230</v>
      </c>
    </row>
    <row r="5722" ht="15.75" customHeight="1">
      <c r="A5722" s="368" t="s">
        <v>1100</v>
      </c>
      <c r="B5722" s="368" t="s">
        <v>22</v>
      </c>
      <c r="C5722" s="369" t="s">
        <v>609</v>
      </c>
      <c r="D5722" s="368" t="s">
        <v>610</v>
      </c>
      <c r="E5722" s="370">
        <v>12.0</v>
      </c>
      <c r="F5722" s="371">
        <v>46171.41666666667</v>
      </c>
      <c r="G5722" s="368" t="s">
        <v>1185</v>
      </c>
      <c r="H5722" s="368" t="s">
        <v>1230</v>
      </c>
    </row>
    <row r="5723" ht="15.75" customHeight="1">
      <c r="A5723" s="368" t="s">
        <v>1100</v>
      </c>
      <c r="B5723" s="368" t="s">
        <v>22</v>
      </c>
      <c r="C5723" s="369" t="s">
        <v>609</v>
      </c>
      <c r="D5723" s="368" t="s">
        <v>610</v>
      </c>
      <c r="E5723" s="370">
        <v>13.0</v>
      </c>
      <c r="F5723" s="371">
        <v>46184.41666666667</v>
      </c>
      <c r="G5723" s="368" t="s">
        <v>1187</v>
      </c>
      <c r="H5723" s="368" t="s">
        <v>1230</v>
      </c>
    </row>
    <row r="5724" ht="15.75" customHeight="1">
      <c r="A5724" s="368" t="s">
        <v>1100</v>
      </c>
      <c r="B5724" s="368" t="s">
        <v>22</v>
      </c>
      <c r="C5724" s="369" t="s">
        <v>609</v>
      </c>
      <c r="D5724" s="368" t="s">
        <v>610</v>
      </c>
      <c r="E5724" s="370">
        <v>14.0</v>
      </c>
      <c r="F5724" s="371">
        <v>46198.41666666667</v>
      </c>
      <c r="G5724" s="368" t="s">
        <v>1185</v>
      </c>
      <c r="H5724" s="368" t="s">
        <v>1230</v>
      </c>
    </row>
    <row r="5725" ht="15.75" customHeight="1">
      <c r="A5725" s="368" t="s">
        <v>1100</v>
      </c>
      <c r="B5725" s="368" t="s">
        <v>22</v>
      </c>
      <c r="C5725" s="369" t="s">
        <v>609</v>
      </c>
      <c r="D5725" s="368" t="s">
        <v>610</v>
      </c>
      <c r="E5725" s="370">
        <v>15.0</v>
      </c>
      <c r="F5725" s="371">
        <v>46205.41666666667</v>
      </c>
      <c r="G5725" s="368" t="s">
        <v>1185</v>
      </c>
      <c r="H5725" s="368" t="s">
        <v>1230</v>
      </c>
    </row>
    <row r="5726" ht="15.75" customHeight="1">
      <c r="A5726" s="368" t="s">
        <v>1100</v>
      </c>
      <c r="B5726" s="368" t="s">
        <v>22</v>
      </c>
      <c r="C5726" s="369" t="s">
        <v>609</v>
      </c>
      <c r="D5726" s="368" t="s">
        <v>610</v>
      </c>
      <c r="E5726" s="370">
        <v>16.0</v>
      </c>
      <c r="F5726" s="371">
        <v>46212.41666666667</v>
      </c>
      <c r="G5726" s="368" t="s">
        <v>1185</v>
      </c>
      <c r="H5726" s="368" t="s">
        <v>1230</v>
      </c>
    </row>
    <row r="5727" ht="15.75" customHeight="1">
      <c r="A5727" s="368" t="s">
        <v>1100</v>
      </c>
      <c r="B5727" s="368" t="s">
        <v>22</v>
      </c>
      <c r="C5727" s="369" t="s">
        <v>611</v>
      </c>
      <c r="D5727" s="368" t="s">
        <v>612</v>
      </c>
      <c r="E5727" s="370">
        <v>1.0</v>
      </c>
      <c r="F5727" s="371">
        <v>46085.58333333333</v>
      </c>
      <c r="G5727" s="368" t="s">
        <v>1185</v>
      </c>
      <c r="H5727" s="368" t="s">
        <v>1230</v>
      </c>
    </row>
    <row r="5728" ht="15.75" customHeight="1">
      <c r="A5728" s="368" t="s">
        <v>1100</v>
      </c>
      <c r="B5728" s="368" t="s">
        <v>22</v>
      </c>
      <c r="C5728" s="369" t="s">
        <v>611</v>
      </c>
      <c r="D5728" s="368" t="s">
        <v>612</v>
      </c>
      <c r="E5728" s="370">
        <v>2.0</v>
      </c>
      <c r="F5728" s="371">
        <v>46093.58333333333</v>
      </c>
      <c r="G5728" s="368" t="s">
        <v>1185</v>
      </c>
      <c r="H5728" s="368" t="s">
        <v>1230</v>
      </c>
    </row>
    <row r="5729" ht="15.75" customHeight="1">
      <c r="A5729" s="368" t="s">
        <v>1100</v>
      </c>
      <c r="B5729" s="368" t="s">
        <v>22</v>
      </c>
      <c r="C5729" s="369" t="s">
        <v>611</v>
      </c>
      <c r="D5729" s="368" t="s">
        <v>612</v>
      </c>
      <c r="E5729" s="370">
        <v>3.0</v>
      </c>
      <c r="F5729" s="371">
        <v>46099.58333333333</v>
      </c>
      <c r="G5729" s="368" t="s">
        <v>1185</v>
      </c>
      <c r="H5729" s="368" t="s">
        <v>1230</v>
      </c>
    </row>
    <row r="5730" ht="15.75" customHeight="1">
      <c r="A5730" s="368" t="s">
        <v>1100</v>
      </c>
      <c r="B5730" s="368" t="s">
        <v>22</v>
      </c>
      <c r="C5730" s="369" t="s">
        <v>611</v>
      </c>
      <c r="D5730" s="368" t="s">
        <v>612</v>
      </c>
      <c r="E5730" s="370">
        <v>4.0</v>
      </c>
      <c r="F5730" s="371">
        <v>46108.41666666667</v>
      </c>
      <c r="G5730" s="368" t="s">
        <v>1185</v>
      </c>
      <c r="H5730" s="368" t="s">
        <v>1230</v>
      </c>
    </row>
    <row r="5731" ht="15.75" customHeight="1">
      <c r="A5731" s="368" t="s">
        <v>1100</v>
      </c>
      <c r="B5731" s="368" t="s">
        <v>22</v>
      </c>
      <c r="C5731" s="369" t="s">
        <v>611</v>
      </c>
      <c r="D5731" s="368" t="s">
        <v>612</v>
      </c>
      <c r="E5731" s="370">
        <v>6.0</v>
      </c>
      <c r="F5731" s="371">
        <v>46121.625</v>
      </c>
      <c r="G5731" s="368" t="s">
        <v>1185</v>
      </c>
      <c r="H5731" s="368" t="s">
        <v>1230</v>
      </c>
    </row>
    <row r="5732" ht="15.75" customHeight="1">
      <c r="A5732" s="368" t="s">
        <v>1100</v>
      </c>
      <c r="B5732" s="368" t="s">
        <v>22</v>
      </c>
      <c r="C5732" s="369" t="s">
        <v>611</v>
      </c>
      <c r="D5732" s="368" t="s">
        <v>612</v>
      </c>
      <c r="E5732" s="370">
        <v>7.0</v>
      </c>
      <c r="F5732" s="371">
        <v>46129.41666666667</v>
      </c>
      <c r="G5732" s="368" t="s">
        <v>1185</v>
      </c>
      <c r="H5732" s="368" t="s">
        <v>1230</v>
      </c>
    </row>
    <row r="5733" ht="15.75" customHeight="1">
      <c r="A5733" s="368" t="s">
        <v>1100</v>
      </c>
      <c r="B5733" s="368" t="s">
        <v>22</v>
      </c>
      <c r="C5733" s="369" t="s">
        <v>611</v>
      </c>
      <c r="D5733" s="368" t="s">
        <v>612</v>
      </c>
      <c r="E5733" s="370">
        <v>8.0</v>
      </c>
      <c r="F5733" s="371">
        <v>46135.54166666667</v>
      </c>
      <c r="G5733" s="368" t="s">
        <v>1187</v>
      </c>
      <c r="H5733" s="368" t="s">
        <v>1230</v>
      </c>
    </row>
    <row r="5734" ht="15.75" customHeight="1">
      <c r="A5734" s="368" t="s">
        <v>1100</v>
      </c>
      <c r="B5734" s="368" t="s">
        <v>22</v>
      </c>
      <c r="C5734" s="369" t="s">
        <v>611</v>
      </c>
      <c r="D5734" s="368" t="s">
        <v>612</v>
      </c>
      <c r="E5734" s="370">
        <v>9.0</v>
      </c>
      <c r="F5734" s="371">
        <v>46150.41666666667</v>
      </c>
      <c r="G5734" s="368" t="s">
        <v>1185</v>
      </c>
      <c r="H5734" s="368" t="s">
        <v>1230</v>
      </c>
    </row>
    <row r="5735" ht="15.75" customHeight="1">
      <c r="A5735" s="368" t="s">
        <v>1100</v>
      </c>
      <c r="B5735" s="368" t="s">
        <v>22</v>
      </c>
      <c r="C5735" s="369" t="s">
        <v>611</v>
      </c>
      <c r="D5735" s="368" t="s">
        <v>612</v>
      </c>
      <c r="E5735" s="370">
        <v>10.0</v>
      </c>
      <c r="F5735" s="371">
        <v>46155.58333333333</v>
      </c>
      <c r="G5735" s="368" t="s">
        <v>1185</v>
      </c>
      <c r="H5735" s="368" t="s">
        <v>1230</v>
      </c>
    </row>
    <row r="5736" ht="15.75" customHeight="1">
      <c r="A5736" s="368" t="s">
        <v>1100</v>
      </c>
      <c r="B5736" s="368" t="s">
        <v>22</v>
      </c>
      <c r="C5736" s="369" t="s">
        <v>611</v>
      </c>
      <c r="D5736" s="368" t="s">
        <v>612</v>
      </c>
      <c r="E5736" s="370">
        <v>11.0</v>
      </c>
      <c r="F5736" s="371">
        <v>46162.58333333333</v>
      </c>
      <c r="G5736" s="368" t="s">
        <v>1185</v>
      </c>
      <c r="H5736" s="368" t="s">
        <v>1230</v>
      </c>
    </row>
    <row r="5737" ht="15.75" customHeight="1">
      <c r="A5737" s="368" t="s">
        <v>1100</v>
      </c>
      <c r="B5737" s="368" t="s">
        <v>22</v>
      </c>
      <c r="C5737" s="369" t="s">
        <v>611</v>
      </c>
      <c r="D5737" s="368" t="s">
        <v>612</v>
      </c>
      <c r="E5737" s="370">
        <v>12.0</v>
      </c>
      <c r="F5737" s="371">
        <v>46171.41666666667</v>
      </c>
      <c r="G5737" s="368" t="s">
        <v>1185</v>
      </c>
      <c r="H5737" s="368" t="s">
        <v>1230</v>
      </c>
    </row>
    <row r="5738" ht="15.75" customHeight="1">
      <c r="A5738" s="368" t="s">
        <v>1100</v>
      </c>
      <c r="B5738" s="368" t="s">
        <v>22</v>
      </c>
      <c r="C5738" s="369" t="s">
        <v>611</v>
      </c>
      <c r="D5738" s="368" t="s">
        <v>612</v>
      </c>
      <c r="E5738" s="370">
        <v>13.0</v>
      </c>
      <c r="F5738" s="371">
        <v>46184.41666666667</v>
      </c>
      <c r="G5738" s="368" t="s">
        <v>1185</v>
      </c>
      <c r="H5738" s="368" t="s">
        <v>1230</v>
      </c>
    </row>
    <row r="5739" ht="15.75" customHeight="1">
      <c r="A5739" s="368" t="s">
        <v>1100</v>
      </c>
      <c r="B5739" s="368" t="s">
        <v>22</v>
      </c>
      <c r="C5739" s="369" t="s">
        <v>611</v>
      </c>
      <c r="D5739" s="368" t="s">
        <v>612</v>
      </c>
      <c r="E5739" s="370">
        <v>14.0</v>
      </c>
      <c r="F5739" s="371">
        <v>46198.41666666667</v>
      </c>
      <c r="G5739" s="368" t="s">
        <v>1185</v>
      </c>
      <c r="H5739" s="368" t="s">
        <v>1230</v>
      </c>
    </row>
    <row r="5740" ht="15.75" customHeight="1">
      <c r="A5740" s="368" t="s">
        <v>1100</v>
      </c>
      <c r="B5740" s="368" t="s">
        <v>22</v>
      </c>
      <c r="C5740" s="369" t="s">
        <v>611</v>
      </c>
      <c r="D5740" s="368" t="s">
        <v>612</v>
      </c>
      <c r="E5740" s="370">
        <v>15.0</v>
      </c>
      <c r="F5740" s="371">
        <v>46205.41666666667</v>
      </c>
      <c r="G5740" s="368" t="s">
        <v>1185</v>
      </c>
      <c r="H5740" s="368" t="s">
        <v>1230</v>
      </c>
    </row>
    <row r="5741" ht="15.75" customHeight="1">
      <c r="A5741" s="368" t="s">
        <v>1100</v>
      </c>
      <c r="B5741" s="368" t="s">
        <v>22</v>
      </c>
      <c r="C5741" s="369" t="s">
        <v>611</v>
      </c>
      <c r="D5741" s="368" t="s">
        <v>612</v>
      </c>
      <c r="E5741" s="370">
        <v>16.0</v>
      </c>
      <c r="F5741" s="371">
        <v>46212.41666666667</v>
      </c>
      <c r="G5741" s="368" t="s">
        <v>1185</v>
      </c>
      <c r="H5741" s="368" t="s">
        <v>1230</v>
      </c>
    </row>
    <row r="5742" ht="15.75" customHeight="1">
      <c r="A5742" s="368" t="s">
        <v>1100</v>
      </c>
      <c r="B5742" s="368" t="s">
        <v>22</v>
      </c>
      <c r="C5742" s="369" t="s">
        <v>613</v>
      </c>
      <c r="D5742" s="368" t="s">
        <v>614</v>
      </c>
      <c r="E5742" s="370">
        <v>1.0</v>
      </c>
      <c r="F5742" s="371">
        <v>46085.58333333333</v>
      </c>
      <c r="G5742" s="368" t="s">
        <v>1185</v>
      </c>
      <c r="H5742" s="368" t="s">
        <v>1230</v>
      </c>
    </row>
    <row r="5743" ht="15.75" customHeight="1">
      <c r="A5743" s="368" t="s">
        <v>1100</v>
      </c>
      <c r="B5743" s="368" t="s">
        <v>22</v>
      </c>
      <c r="C5743" s="369" t="s">
        <v>613</v>
      </c>
      <c r="D5743" s="368" t="s">
        <v>614</v>
      </c>
      <c r="E5743" s="370">
        <v>2.0</v>
      </c>
      <c r="F5743" s="371">
        <v>46093.58333333333</v>
      </c>
      <c r="G5743" s="368" t="s">
        <v>1185</v>
      </c>
      <c r="H5743" s="368" t="s">
        <v>1230</v>
      </c>
    </row>
    <row r="5744" ht="15.75" customHeight="1">
      <c r="A5744" s="368" t="s">
        <v>1100</v>
      </c>
      <c r="B5744" s="368" t="s">
        <v>22</v>
      </c>
      <c r="C5744" s="369" t="s">
        <v>613</v>
      </c>
      <c r="D5744" s="368" t="s">
        <v>614</v>
      </c>
      <c r="E5744" s="370">
        <v>3.0</v>
      </c>
      <c r="F5744" s="371">
        <v>46099.58333333333</v>
      </c>
      <c r="G5744" s="368" t="s">
        <v>1185</v>
      </c>
      <c r="H5744" s="368" t="s">
        <v>1230</v>
      </c>
    </row>
    <row r="5745" ht="15.75" customHeight="1">
      <c r="A5745" s="368" t="s">
        <v>1100</v>
      </c>
      <c r="B5745" s="368" t="s">
        <v>22</v>
      </c>
      <c r="C5745" s="369" t="s">
        <v>613</v>
      </c>
      <c r="D5745" s="368" t="s">
        <v>614</v>
      </c>
      <c r="E5745" s="370">
        <v>4.0</v>
      </c>
      <c r="F5745" s="371">
        <v>46108.41666666667</v>
      </c>
      <c r="G5745" s="368" t="s">
        <v>1185</v>
      </c>
      <c r="H5745" s="368" t="s">
        <v>1230</v>
      </c>
    </row>
    <row r="5746" ht="15.75" customHeight="1">
      <c r="A5746" s="368" t="s">
        <v>1100</v>
      </c>
      <c r="B5746" s="368" t="s">
        <v>22</v>
      </c>
      <c r="C5746" s="369" t="s">
        <v>613</v>
      </c>
      <c r="D5746" s="368" t="s">
        <v>614</v>
      </c>
      <c r="E5746" s="370">
        <v>5.0</v>
      </c>
      <c r="F5746" s="371">
        <v>46114.625</v>
      </c>
      <c r="G5746" s="368" t="s">
        <v>1185</v>
      </c>
      <c r="H5746" s="368" t="s">
        <v>1230</v>
      </c>
    </row>
    <row r="5747" ht="15.75" customHeight="1">
      <c r="A5747" s="368" t="s">
        <v>1100</v>
      </c>
      <c r="B5747" s="368" t="s">
        <v>22</v>
      </c>
      <c r="C5747" s="369" t="s">
        <v>613</v>
      </c>
      <c r="D5747" s="368" t="s">
        <v>614</v>
      </c>
      <c r="E5747" s="370">
        <v>6.0</v>
      </c>
      <c r="F5747" s="371">
        <v>46121.625</v>
      </c>
      <c r="G5747" s="368" t="s">
        <v>1185</v>
      </c>
      <c r="H5747" s="368" t="s">
        <v>1230</v>
      </c>
    </row>
    <row r="5748" ht="15.75" customHeight="1">
      <c r="A5748" s="368" t="s">
        <v>1100</v>
      </c>
      <c r="B5748" s="368" t="s">
        <v>22</v>
      </c>
      <c r="C5748" s="369" t="s">
        <v>613</v>
      </c>
      <c r="D5748" s="368" t="s">
        <v>614</v>
      </c>
      <c r="E5748" s="370">
        <v>7.0</v>
      </c>
      <c r="F5748" s="371">
        <v>46129.41666666667</v>
      </c>
      <c r="G5748" s="368" t="s">
        <v>1185</v>
      </c>
      <c r="H5748" s="368" t="s">
        <v>1230</v>
      </c>
    </row>
    <row r="5749" ht="15.75" customHeight="1">
      <c r="A5749" s="368" t="s">
        <v>1100</v>
      </c>
      <c r="B5749" s="368" t="s">
        <v>22</v>
      </c>
      <c r="C5749" s="369" t="s">
        <v>613</v>
      </c>
      <c r="D5749" s="368" t="s">
        <v>614</v>
      </c>
      <c r="E5749" s="370">
        <v>8.0</v>
      </c>
      <c r="F5749" s="371">
        <v>46135.54166666667</v>
      </c>
      <c r="G5749" s="368" t="s">
        <v>1185</v>
      </c>
      <c r="H5749" s="368" t="s">
        <v>1230</v>
      </c>
    </row>
    <row r="5750" ht="15.75" customHeight="1">
      <c r="A5750" s="368" t="s">
        <v>1100</v>
      </c>
      <c r="B5750" s="368" t="s">
        <v>22</v>
      </c>
      <c r="C5750" s="369" t="s">
        <v>613</v>
      </c>
      <c r="D5750" s="368" t="s">
        <v>614</v>
      </c>
      <c r="E5750" s="370">
        <v>9.0</v>
      </c>
      <c r="F5750" s="371">
        <v>46150.41666666667</v>
      </c>
      <c r="G5750" s="368" t="s">
        <v>1185</v>
      </c>
      <c r="H5750" s="368" t="s">
        <v>1230</v>
      </c>
    </row>
    <row r="5751" ht="15.75" customHeight="1">
      <c r="A5751" s="368" t="s">
        <v>1100</v>
      </c>
      <c r="B5751" s="368" t="s">
        <v>22</v>
      </c>
      <c r="C5751" s="369" t="s">
        <v>613</v>
      </c>
      <c r="D5751" s="368" t="s">
        <v>614</v>
      </c>
      <c r="E5751" s="370">
        <v>10.0</v>
      </c>
      <c r="F5751" s="371">
        <v>46155.58333333333</v>
      </c>
      <c r="G5751" s="368" t="s">
        <v>1185</v>
      </c>
      <c r="H5751" s="368" t="s">
        <v>1230</v>
      </c>
    </row>
    <row r="5752" ht="15.75" customHeight="1">
      <c r="A5752" s="368" t="s">
        <v>1100</v>
      </c>
      <c r="B5752" s="368" t="s">
        <v>22</v>
      </c>
      <c r="C5752" s="369" t="s">
        <v>613</v>
      </c>
      <c r="D5752" s="368" t="s">
        <v>614</v>
      </c>
      <c r="E5752" s="370">
        <v>11.0</v>
      </c>
      <c r="F5752" s="371">
        <v>46162.58333333333</v>
      </c>
      <c r="G5752" s="368" t="s">
        <v>1185</v>
      </c>
      <c r="H5752" s="368" t="s">
        <v>1230</v>
      </c>
    </row>
    <row r="5753" ht="15.75" customHeight="1">
      <c r="A5753" s="368" t="s">
        <v>1100</v>
      </c>
      <c r="B5753" s="368" t="s">
        <v>22</v>
      </c>
      <c r="C5753" s="369" t="s">
        <v>613</v>
      </c>
      <c r="D5753" s="368" t="s">
        <v>614</v>
      </c>
      <c r="E5753" s="370">
        <v>12.0</v>
      </c>
      <c r="F5753" s="371">
        <v>46171.41666666667</v>
      </c>
      <c r="G5753" s="368" t="s">
        <v>1185</v>
      </c>
      <c r="H5753" s="368" t="s">
        <v>1230</v>
      </c>
    </row>
    <row r="5754" ht="15.75" customHeight="1">
      <c r="A5754" s="368" t="s">
        <v>1100</v>
      </c>
      <c r="B5754" s="368" t="s">
        <v>22</v>
      </c>
      <c r="C5754" s="369" t="s">
        <v>613</v>
      </c>
      <c r="D5754" s="368" t="s">
        <v>614</v>
      </c>
      <c r="E5754" s="370">
        <v>13.0</v>
      </c>
      <c r="F5754" s="371">
        <v>46184.41666666667</v>
      </c>
      <c r="G5754" s="368" t="s">
        <v>1185</v>
      </c>
      <c r="H5754" s="368" t="s">
        <v>1230</v>
      </c>
    </row>
    <row r="5755" ht="15.75" customHeight="1">
      <c r="A5755" s="368" t="s">
        <v>1100</v>
      </c>
      <c r="B5755" s="368" t="s">
        <v>22</v>
      </c>
      <c r="C5755" s="369" t="s">
        <v>613</v>
      </c>
      <c r="D5755" s="368" t="s">
        <v>614</v>
      </c>
      <c r="E5755" s="370">
        <v>14.0</v>
      </c>
      <c r="F5755" s="371">
        <v>46198.41666666667</v>
      </c>
      <c r="G5755" s="368" t="s">
        <v>1185</v>
      </c>
      <c r="H5755" s="368" t="s">
        <v>1230</v>
      </c>
    </row>
    <row r="5756" ht="15.75" customHeight="1">
      <c r="A5756" s="368" t="s">
        <v>1100</v>
      </c>
      <c r="B5756" s="368" t="s">
        <v>22</v>
      </c>
      <c r="C5756" s="369" t="s">
        <v>613</v>
      </c>
      <c r="D5756" s="368" t="s">
        <v>614</v>
      </c>
      <c r="E5756" s="370">
        <v>15.0</v>
      </c>
      <c r="F5756" s="371">
        <v>46205.41666666667</v>
      </c>
      <c r="G5756" s="368" t="s">
        <v>1185</v>
      </c>
      <c r="H5756" s="368" t="s">
        <v>1230</v>
      </c>
    </row>
    <row r="5757" ht="15.75" customHeight="1">
      <c r="A5757" s="368" t="s">
        <v>1100</v>
      </c>
      <c r="B5757" s="368" t="s">
        <v>22</v>
      </c>
      <c r="C5757" s="369" t="s">
        <v>613</v>
      </c>
      <c r="D5757" s="368" t="s">
        <v>614</v>
      </c>
      <c r="E5757" s="370">
        <v>16.0</v>
      </c>
      <c r="F5757" s="371">
        <v>46212.41666666667</v>
      </c>
      <c r="G5757" s="368" t="s">
        <v>1185</v>
      </c>
      <c r="H5757" s="368" t="s">
        <v>1230</v>
      </c>
    </row>
    <row r="5758" ht="15.75" customHeight="1">
      <c r="A5758" s="368" t="s">
        <v>1100</v>
      </c>
      <c r="B5758" s="368" t="s">
        <v>22</v>
      </c>
      <c r="C5758" s="369" t="s">
        <v>615</v>
      </c>
      <c r="D5758" s="368" t="s">
        <v>616</v>
      </c>
      <c r="E5758" s="370">
        <v>1.0</v>
      </c>
      <c r="F5758" s="371">
        <v>46085.58333333333</v>
      </c>
      <c r="G5758" s="368" t="s">
        <v>1185</v>
      </c>
      <c r="H5758" s="368" t="s">
        <v>1230</v>
      </c>
    </row>
    <row r="5759" ht="15.75" customHeight="1">
      <c r="A5759" s="368" t="s">
        <v>1100</v>
      </c>
      <c r="B5759" s="368" t="s">
        <v>22</v>
      </c>
      <c r="C5759" s="369" t="s">
        <v>615</v>
      </c>
      <c r="D5759" s="368" t="s">
        <v>616</v>
      </c>
      <c r="E5759" s="370">
        <v>2.0</v>
      </c>
      <c r="F5759" s="371">
        <v>46093.58333333333</v>
      </c>
      <c r="G5759" s="368" t="s">
        <v>1185</v>
      </c>
      <c r="H5759" s="368" t="s">
        <v>1230</v>
      </c>
    </row>
    <row r="5760" ht="15.75" customHeight="1">
      <c r="A5760" s="368" t="s">
        <v>1100</v>
      </c>
      <c r="B5760" s="368" t="s">
        <v>22</v>
      </c>
      <c r="C5760" s="369" t="s">
        <v>615</v>
      </c>
      <c r="D5760" s="368" t="s">
        <v>616</v>
      </c>
      <c r="E5760" s="370">
        <v>3.0</v>
      </c>
      <c r="F5760" s="371">
        <v>46099.58333333333</v>
      </c>
      <c r="G5760" s="368" t="s">
        <v>1185</v>
      </c>
      <c r="H5760" s="368" t="s">
        <v>1230</v>
      </c>
    </row>
    <row r="5761" ht="15.75" customHeight="1">
      <c r="A5761" s="368" t="s">
        <v>1100</v>
      </c>
      <c r="B5761" s="368" t="s">
        <v>22</v>
      </c>
      <c r="C5761" s="369" t="s">
        <v>615</v>
      </c>
      <c r="D5761" s="368" t="s">
        <v>616</v>
      </c>
      <c r="E5761" s="370">
        <v>4.0</v>
      </c>
      <c r="F5761" s="371">
        <v>46108.41666666667</v>
      </c>
      <c r="G5761" s="368" t="s">
        <v>1185</v>
      </c>
      <c r="H5761" s="368" t="s">
        <v>1230</v>
      </c>
    </row>
    <row r="5762" ht="15.75" customHeight="1">
      <c r="A5762" s="368" t="s">
        <v>1100</v>
      </c>
      <c r="B5762" s="368" t="s">
        <v>22</v>
      </c>
      <c r="C5762" s="369" t="s">
        <v>615</v>
      </c>
      <c r="D5762" s="368" t="s">
        <v>616</v>
      </c>
      <c r="E5762" s="370">
        <v>5.0</v>
      </c>
      <c r="F5762" s="371">
        <v>46114.625</v>
      </c>
      <c r="G5762" s="368" t="s">
        <v>1185</v>
      </c>
      <c r="H5762" s="368" t="s">
        <v>1230</v>
      </c>
    </row>
    <row r="5763" ht="15.75" customHeight="1">
      <c r="A5763" s="368" t="s">
        <v>1100</v>
      </c>
      <c r="B5763" s="368" t="s">
        <v>22</v>
      </c>
      <c r="C5763" s="369" t="s">
        <v>615</v>
      </c>
      <c r="D5763" s="368" t="s">
        <v>616</v>
      </c>
      <c r="E5763" s="370">
        <v>6.0</v>
      </c>
      <c r="F5763" s="371">
        <v>46121.625</v>
      </c>
      <c r="G5763" s="368" t="s">
        <v>1185</v>
      </c>
      <c r="H5763" s="368" t="s">
        <v>1230</v>
      </c>
    </row>
    <row r="5764" ht="15.75" customHeight="1">
      <c r="A5764" s="368" t="s">
        <v>1100</v>
      </c>
      <c r="B5764" s="368" t="s">
        <v>22</v>
      </c>
      <c r="C5764" s="369" t="s">
        <v>615</v>
      </c>
      <c r="D5764" s="368" t="s">
        <v>616</v>
      </c>
      <c r="E5764" s="370">
        <v>7.0</v>
      </c>
      <c r="F5764" s="371">
        <v>46129.41666666667</v>
      </c>
      <c r="G5764" s="368" t="s">
        <v>1185</v>
      </c>
      <c r="H5764" s="368" t="s">
        <v>1230</v>
      </c>
    </row>
    <row r="5765" ht="15.75" customHeight="1">
      <c r="A5765" s="368" t="s">
        <v>1100</v>
      </c>
      <c r="B5765" s="368" t="s">
        <v>22</v>
      </c>
      <c r="C5765" s="369" t="s">
        <v>615</v>
      </c>
      <c r="D5765" s="368" t="s">
        <v>616</v>
      </c>
      <c r="E5765" s="370">
        <v>8.0</v>
      </c>
      <c r="F5765" s="371">
        <v>46135.54166666667</v>
      </c>
      <c r="G5765" s="368" t="s">
        <v>1185</v>
      </c>
      <c r="H5765" s="368" t="s">
        <v>1230</v>
      </c>
    </row>
    <row r="5766" ht="15.75" customHeight="1">
      <c r="A5766" s="368" t="s">
        <v>1100</v>
      </c>
      <c r="B5766" s="368" t="s">
        <v>22</v>
      </c>
      <c r="C5766" s="369" t="s">
        <v>615</v>
      </c>
      <c r="D5766" s="368" t="s">
        <v>616</v>
      </c>
      <c r="E5766" s="370">
        <v>9.0</v>
      </c>
      <c r="F5766" s="371">
        <v>46150.41666666667</v>
      </c>
      <c r="G5766" s="368" t="s">
        <v>1185</v>
      </c>
      <c r="H5766" s="368" t="s">
        <v>1230</v>
      </c>
    </row>
    <row r="5767" ht="15.75" customHeight="1">
      <c r="A5767" s="368" t="s">
        <v>1100</v>
      </c>
      <c r="B5767" s="368" t="s">
        <v>22</v>
      </c>
      <c r="C5767" s="369" t="s">
        <v>615</v>
      </c>
      <c r="D5767" s="368" t="s">
        <v>616</v>
      </c>
      <c r="E5767" s="370">
        <v>10.0</v>
      </c>
      <c r="F5767" s="371">
        <v>46155.58333333333</v>
      </c>
      <c r="G5767" s="368" t="s">
        <v>1185</v>
      </c>
      <c r="H5767" s="368" t="s">
        <v>1230</v>
      </c>
    </row>
    <row r="5768" ht="15.75" customHeight="1">
      <c r="A5768" s="368" t="s">
        <v>1100</v>
      </c>
      <c r="B5768" s="368" t="s">
        <v>22</v>
      </c>
      <c r="C5768" s="369" t="s">
        <v>615</v>
      </c>
      <c r="D5768" s="368" t="s">
        <v>616</v>
      </c>
      <c r="E5768" s="370">
        <v>11.0</v>
      </c>
      <c r="F5768" s="371">
        <v>46162.58333333333</v>
      </c>
      <c r="G5768" s="368" t="s">
        <v>1185</v>
      </c>
      <c r="H5768" s="368" t="s">
        <v>1230</v>
      </c>
    </row>
    <row r="5769" ht="15.75" customHeight="1">
      <c r="A5769" s="368" t="s">
        <v>1100</v>
      </c>
      <c r="B5769" s="368" t="s">
        <v>22</v>
      </c>
      <c r="C5769" s="369" t="s">
        <v>615</v>
      </c>
      <c r="D5769" s="368" t="s">
        <v>616</v>
      </c>
      <c r="E5769" s="370">
        <v>12.0</v>
      </c>
      <c r="F5769" s="371">
        <v>46171.41666666667</v>
      </c>
      <c r="G5769" s="368" t="s">
        <v>1185</v>
      </c>
      <c r="H5769" s="368" t="s">
        <v>1230</v>
      </c>
    </row>
    <row r="5770" ht="15.75" customHeight="1">
      <c r="A5770" s="368" t="s">
        <v>1100</v>
      </c>
      <c r="B5770" s="368" t="s">
        <v>22</v>
      </c>
      <c r="C5770" s="369" t="s">
        <v>615</v>
      </c>
      <c r="D5770" s="368" t="s">
        <v>616</v>
      </c>
      <c r="E5770" s="370">
        <v>13.0</v>
      </c>
      <c r="F5770" s="371">
        <v>46184.41666666667</v>
      </c>
      <c r="G5770" s="368" t="s">
        <v>1187</v>
      </c>
      <c r="H5770" s="368" t="s">
        <v>1230</v>
      </c>
    </row>
    <row r="5771" ht="15.75" customHeight="1">
      <c r="A5771" s="368" t="s">
        <v>1100</v>
      </c>
      <c r="B5771" s="368" t="s">
        <v>22</v>
      </c>
      <c r="C5771" s="369" t="s">
        <v>615</v>
      </c>
      <c r="D5771" s="368" t="s">
        <v>616</v>
      </c>
      <c r="E5771" s="370">
        <v>14.0</v>
      </c>
      <c r="F5771" s="371">
        <v>46198.41666666667</v>
      </c>
      <c r="G5771" s="368" t="s">
        <v>1185</v>
      </c>
      <c r="H5771" s="368" t="s">
        <v>1230</v>
      </c>
    </row>
    <row r="5772" ht="15.75" customHeight="1">
      <c r="A5772" s="368" t="s">
        <v>1100</v>
      </c>
      <c r="B5772" s="368" t="s">
        <v>22</v>
      </c>
      <c r="C5772" s="369" t="s">
        <v>615</v>
      </c>
      <c r="D5772" s="368" t="s">
        <v>616</v>
      </c>
      <c r="E5772" s="370">
        <v>15.0</v>
      </c>
      <c r="F5772" s="371">
        <v>46205.41666666667</v>
      </c>
      <c r="G5772" s="368" t="s">
        <v>1185</v>
      </c>
      <c r="H5772" s="368" t="s">
        <v>1230</v>
      </c>
    </row>
    <row r="5773" ht="15.75" customHeight="1">
      <c r="A5773" s="368" t="s">
        <v>1100</v>
      </c>
      <c r="B5773" s="368" t="s">
        <v>22</v>
      </c>
      <c r="C5773" s="369" t="s">
        <v>615</v>
      </c>
      <c r="D5773" s="368" t="s">
        <v>616</v>
      </c>
      <c r="E5773" s="370">
        <v>16.0</v>
      </c>
      <c r="F5773" s="371">
        <v>46212.41666666667</v>
      </c>
      <c r="G5773" s="368" t="s">
        <v>1185</v>
      </c>
      <c r="H5773" s="368" t="s">
        <v>1230</v>
      </c>
    </row>
    <row r="5774" ht="15.75" customHeight="1">
      <c r="A5774" s="368" t="s">
        <v>1100</v>
      </c>
      <c r="B5774" s="368" t="s">
        <v>22</v>
      </c>
      <c r="C5774" s="369" t="s">
        <v>617</v>
      </c>
      <c r="D5774" s="368" t="s">
        <v>1181</v>
      </c>
      <c r="E5774" s="370">
        <v>1.0</v>
      </c>
      <c r="F5774" s="371">
        <v>46085.58333333333</v>
      </c>
      <c r="G5774" s="368" t="s">
        <v>1185</v>
      </c>
      <c r="H5774" s="368" t="s">
        <v>1230</v>
      </c>
    </row>
    <row r="5775" ht="15.75" customHeight="1">
      <c r="A5775" s="368" t="s">
        <v>1100</v>
      </c>
      <c r="B5775" s="368" t="s">
        <v>22</v>
      </c>
      <c r="C5775" s="369" t="s">
        <v>617</v>
      </c>
      <c r="D5775" s="368" t="s">
        <v>1181</v>
      </c>
      <c r="E5775" s="370">
        <v>2.0</v>
      </c>
      <c r="F5775" s="371">
        <v>46093.58333333333</v>
      </c>
      <c r="G5775" s="368" t="s">
        <v>1185</v>
      </c>
      <c r="H5775" s="368" t="s">
        <v>1230</v>
      </c>
    </row>
    <row r="5776" ht="15.75" customHeight="1">
      <c r="A5776" s="368" t="s">
        <v>1100</v>
      </c>
      <c r="B5776" s="368" t="s">
        <v>22</v>
      </c>
      <c r="C5776" s="369" t="s">
        <v>617</v>
      </c>
      <c r="D5776" s="368" t="s">
        <v>1181</v>
      </c>
      <c r="E5776" s="370">
        <v>3.0</v>
      </c>
      <c r="F5776" s="371">
        <v>46127.45833333333</v>
      </c>
      <c r="G5776" s="368" t="s">
        <v>1187</v>
      </c>
      <c r="H5776" s="368" t="s">
        <v>1230</v>
      </c>
    </row>
    <row r="5777" ht="15.75" customHeight="1">
      <c r="A5777" s="368" t="s">
        <v>1100</v>
      </c>
      <c r="B5777" s="368" t="s">
        <v>22</v>
      </c>
      <c r="C5777" s="369" t="s">
        <v>617</v>
      </c>
      <c r="D5777" s="368" t="s">
        <v>1181</v>
      </c>
      <c r="E5777" s="370">
        <v>4.0</v>
      </c>
      <c r="F5777" s="371">
        <v>46108.41666666667</v>
      </c>
      <c r="G5777" s="368" t="s">
        <v>1185</v>
      </c>
      <c r="H5777" s="368" t="s">
        <v>1230</v>
      </c>
    </row>
    <row r="5778" ht="15.75" customHeight="1">
      <c r="A5778" s="368" t="s">
        <v>1100</v>
      </c>
      <c r="B5778" s="368" t="s">
        <v>22</v>
      </c>
      <c r="C5778" s="369" t="s">
        <v>617</v>
      </c>
      <c r="D5778" s="368" t="s">
        <v>1181</v>
      </c>
      <c r="E5778" s="370">
        <v>5.0</v>
      </c>
      <c r="F5778" s="371">
        <v>46114.625</v>
      </c>
      <c r="G5778" s="368" t="s">
        <v>1185</v>
      </c>
      <c r="H5778" s="368" t="s">
        <v>1230</v>
      </c>
    </row>
    <row r="5779" ht="15.75" customHeight="1">
      <c r="A5779" s="368" t="s">
        <v>1100</v>
      </c>
      <c r="B5779" s="368" t="s">
        <v>22</v>
      </c>
      <c r="C5779" s="369" t="s">
        <v>617</v>
      </c>
      <c r="D5779" s="368" t="s">
        <v>1181</v>
      </c>
      <c r="E5779" s="370">
        <v>6.0</v>
      </c>
      <c r="F5779" s="371">
        <v>46121.625</v>
      </c>
      <c r="G5779" s="368" t="s">
        <v>1185</v>
      </c>
      <c r="H5779" s="368" t="s">
        <v>1230</v>
      </c>
    </row>
    <row r="5780" ht="15.75" customHeight="1">
      <c r="A5780" s="368" t="s">
        <v>1100</v>
      </c>
      <c r="B5780" s="368" t="s">
        <v>22</v>
      </c>
      <c r="C5780" s="369" t="s">
        <v>617</v>
      </c>
      <c r="D5780" s="368" t="s">
        <v>1181</v>
      </c>
      <c r="E5780" s="370">
        <v>7.0</v>
      </c>
      <c r="F5780" s="371">
        <v>46129.41666666667</v>
      </c>
      <c r="G5780" s="368" t="s">
        <v>1187</v>
      </c>
      <c r="H5780" s="368" t="s">
        <v>1230</v>
      </c>
    </row>
    <row r="5781" ht="15.75" customHeight="1">
      <c r="A5781" s="368" t="s">
        <v>1100</v>
      </c>
      <c r="B5781" s="368" t="s">
        <v>22</v>
      </c>
      <c r="C5781" s="369" t="s">
        <v>617</v>
      </c>
      <c r="D5781" s="368" t="s">
        <v>1181</v>
      </c>
      <c r="E5781" s="370">
        <v>8.0</v>
      </c>
      <c r="F5781" s="371">
        <v>46135.54166666667</v>
      </c>
      <c r="G5781" s="368" t="s">
        <v>1185</v>
      </c>
      <c r="H5781" s="368" t="s">
        <v>1230</v>
      </c>
    </row>
    <row r="5782" ht="15.75" customHeight="1">
      <c r="A5782" s="368" t="s">
        <v>1100</v>
      </c>
      <c r="B5782" s="368" t="s">
        <v>22</v>
      </c>
      <c r="C5782" s="369" t="s">
        <v>617</v>
      </c>
      <c r="D5782" s="368" t="s">
        <v>1181</v>
      </c>
      <c r="E5782" s="370">
        <v>9.0</v>
      </c>
      <c r="F5782" s="371">
        <v>46150.41666666667</v>
      </c>
      <c r="G5782" s="368" t="s">
        <v>1185</v>
      </c>
      <c r="H5782" s="368" t="s">
        <v>1230</v>
      </c>
    </row>
    <row r="5783" ht="15.75" customHeight="1">
      <c r="A5783" s="368" t="s">
        <v>1100</v>
      </c>
      <c r="B5783" s="368" t="s">
        <v>22</v>
      </c>
      <c r="C5783" s="369" t="s">
        <v>617</v>
      </c>
      <c r="D5783" s="368" t="s">
        <v>1181</v>
      </c>
      <c r="E5783" s="370">
        <v>10.0</v>
      </c>
      <c r="F5783" s="371">
        <v>46155.58333333333</v>
      </c>
      <c r="G5783" s="368" t="s">
        <v>1185</v>
      </c>
      <c r="H5783" s="368" t="s">
        <v>1230</v>
      </c>
    </row>
    <row r="5784" ht="15.75" customHeight="1">
      <c r="A5784" s="368" t="s">
        <v>1100</v>
      </c>
      <c r="B5784" s="368" t="s">
        <v>22</v>
      </c>
      <c r="C5784" s="369" t="s">
        <v>617</v>
      </c>
      <c r="D5784" s="368" t="s">
        <v>1181</v>
      </c>
      <c r="E5784" s="370">
        <v>11.0</v>
      </c>
      <c r="F5784" s="371">
        <v>46162.58333333333</v>
      </c>
      <c r="G5784" s="368" t="s">
        <v>1185</v>
      </c>
      <c r="H5784" s="368" t="s">
        <v>1230</v>
      </c>
    </row>
    <row r="5785" ht="15.75" customHeight="1">
      <c r="A5785" s="368" t="s">
        <v>1100</v>
      </c>
      <c r="B5785" s="368" t="s">
        <v>22</v>
      </c>
      <c r="C5785" s="369" t="s">
        <v>617</v>
      </c>
      <c r="D5785" s="368" t="s">
        <v>1181</v>
      </c>
      <c r="E5785" s="370">
        <v>12.0</v>
      </c>
      <c r="F5785" s="371">
        <v>46171.41666666667</v>
      </c>
      <c r="G5785" s="368" t="s">
        <v>1185</v>
      </c>
      <c r="H5785" s="368" t="s">
        <v>1230</v>
      </c>
    </row>
    <row r="5786" ht="15.75" customHeight="1">
      <c r="A5786" s="368" t="s">
        <v>1100</v>
      </c>
      <c r="B5786" s="368" t="s">
        <v>22</v>
      </c>
      <c r="C5786" s="369" t="s">
        <v>617</v>
      </c>
      <c r="D5786" s="368" t="s">
        <v>1181</v>
      </c>
      <c r="E5786" s="370">
        <v>13.0</v>
      </c>
      <c r="F5786" s="371">
        <v>46184.41666666667</v>
      </c>
      <c r="G5786" s="368" t="s">
        <v>1185</v>
      </c>
      <c r="H5786" s="368" t="s">
        <v>1230</v>
      </c>
    </row>
    <row r="5787" ht="15.75" customHeight="1">
      <c r="A5787" s="368" t="s">
        <v>1100</v>
      </c>
      <c r="B5787" s="368" t="s">
        <v>22</v>
      </c>
      <c r="C5787" s="369" t="s">
        <v>617</v>
      </c>
      <c r="D5787" s="368" t="s">
        <v>1181</v>
      </c>
      <c r="E5787" s="370">
        <v>14.0</v>
      </c>
      <c r="F5787" s="371">
        <v>46198.41666666667</v>
      </c>
      <c r="G5787" s="368" t="s">
        <v>1185</v>
      </c>
      <c r="H5787" s="368" t="s">
        <v>1230</v>
      </c>
    </row>
    <row r="5788" ht="15.75" customHeight="1">
      <c r="A5788" s="368" t="s">
        <v>1100</v>
      </c>
      <c r="B5788" s="368" t="s">
        <v>22</v>
      </c>
      <c r="C5788" s="369" t="s">
        <v>617</v>
      </c>
      <c r="D5788" s="368" t="s">
        <v>1181</v>
      </c>
      <c r="E5788" s="370">
        <v>15.0</v>
      </c>
      <c r="F5788" s="371">
        <v>46205.41666666667</v>
      </c>
      <c r="G5788" s="368" t="s">
        <v>1185</v>
      </c>
      <c r="H5788" s="368" t="s">
        <v>1230</v>
      </c>
    </row>
    <row r="5789" ht="15.75" customHeight="1">
      <c r="A5789" s="368" t="s">
        <v>1100</v>
      </c>
      <c r="B5789" s="368" t="s">
        <v>22</v>
      </c>
      <c r="C5789" s="369" t="s">
        <v>617</v>
      </c>
      <c r="D5789" s="368" t="s">
        <v>1181</v>
      </c>
      <c r="E5789" s="370">
        <v>16.0</v>
      </c>
      <c r="F5789" s="371">
        <v>46212.41666666667</v>
      </c>
      <c r="G5789" s="368" t="s">
        <v>1185</v>
      </c>
      <c r="H5789" s="368" t="s">
        <v>1230</v>
      </c>
    </row>
    <row r="5790" ht="15.75" customHeight="1">
      <c r="A5790" s="368" t="s">
        <v>1100</v>
      </c>
      <c r="B5790" s="368" t="s">
        <v>22</v>
      </c>
      <c r="C5790" s="369" t="s">
        <v>607</v>
      </c>
      <c r="D5790" s="368" t="s">
        <v>608</v>
      </c>
      <c r="E5790" s="370">
        <v>1.0</v>
      </c>
      <c r="F5790" s="371">
        <v>46085.58333333333</v>
      </c>
      <c r="G5790" s="368" t="s">
        <v>1185</v>
      </c>
      <c r="H5790" s="368" t="s">
        <v>1230</v>
      </c>
    </row>
    <row r="5791" ht="15.75" customHeight="1">
      <c r="A5791" s="368" t="s">
        <v>1100</v>
      </c>
      <c r="B5791" s="368" t="s">
        <v>22</v>
      </c>
      <c r="C5791" s="369" t="s">
        <v>607</v>
      </c>
      <c r="D5791" s="368" t="s">
        <v>608</v>
      </c>
      <c r="E5791" s="370">
        <v>2.0</v>
      </c>
      <c r="F5791" s="371">
        <v>46093.58333333333</v>
      </c>
      <c r="G5791" s="368" t="s">
        <v>1185</v>
      </c>
      <c r="H5791" s="368" t="s">
        <v>1230</v>
      </c>
    </row>
    <row r="5792" ht="15.75" customHeight="1">
      <c r="A5792" s="368" t="s">
        <v>1100</v>
      </c>
      <c r="B5792" s="368" t="s">
        <v>22</v>
      </c>
      <c r="C5792" s="369" t="s">
        <v>607</v>
      </c>
      <c r="D5792" s="368" t="s">
        <v>608</v>
      </c>
      <c r="E5792" s="370">
        <v>3.0</v>
      </c>
      <c r="F5792" s="371">
        <v>46127.45833333333</v>
      </c>
      <c r="G5792" s="368" t="s">
        <v>1187</v>
      </c>
      <c r="H5792" s="368" t="s">
        <v>1230</v>
      </c>
    </row>
    <row r="5793" ht="15.75" customHeight="1">
      <c r="A5793" s="368" t="s">
        <v>1100</v>
      </c>
      <c r="B5793" s="368" t="s">
        <v>22</v>
      </c>
      <c r="C5793" s="369" t="s">
        <v>607</v>
      </c>
      <c r="D5793" s="368" t="s">
        <v>608</v>
      </c>
      <c r="E5793" s="370">
        <v>4.0</v>
      </c>
      <c r="F5793" s="371">
        <v>46108.41666666667</v>
      </c>
      <c r="G5793" s="368" t="s">
        <v>1185</v>
      </c>
      <c r="H5793" s="368" t="s">
        <v>1230</v>
      </c>
    </row>
    <row r="5794" ht="15.75" customHeight="1">
      <c r="A5794" s="368" t="s">
        <v>1100</v>
      </c>
      <c r="B5794" s="368" t="s">
        <v>22</v>
      </c>
      <c r="C5794" s="369" t="s">
        <v>607</v>
      </c>
      <c r="D5794" s="368" t="s">
        <v>608</v>
      </c>
      <c r="E5794" s="370">
        <v>5.0</v>
      </c>
      <c r="F5794" s="371">
        <v>46114.625</v>
      </c>
      <c r="G5794" s="368" t="s">
        <v>1185</v>
      </c>
      <c r="H5794" s="368" t="s">
        <v>1230</v>
      </c>
    </row>
    <row r="5795" ht="15.75" customHeight="1">
      <c r="A5795" s="368" t="s">
        <v>1100</v>
      </c>
      <c r="B5795" s="368" t="s">
        <v>22</v>
      </c>
      <c r="C5795" s="369" t="s">
        <v>607</v>
      </c>
      <c r="D5795" s="368" t="s">
        <v>608</v>
      </c>
      <c r="E5795" s="370">
        <v>6.0</v>
      </c>
      <c r="F5795" s="371">
        <v>46121.625</v>
      </c>
      <c r="G5795" s="368" t="s">
        <v>1185</v>
      </c>
      <c r="H5795" s="368" t="s">
        <v>1230</v>
      </c>
    </row>
    <row r="5796" ht="15.75" customHeight="1">
      <c r="A5796" s="368" t="s">
        <v>1100</v>
      </c>
      <c r="B5796" s="368" t="s">
        <v>22</v>
      </c>
      <c r="C5796" s="369" t="s">
        <v>607</v>
      </c>
      <c r="D5796" s="368" t="s">
        <v>608</v>
      </c>
      <c r="E5796" s="370">
        <v>7.0</v>
      </c>
      <c r="F5796" s="371">
        <v>46129.41666666667</v>
      </c>
      <c r="G5796" s="368" t="s">
        <v>1185</v>
      </c>
      <c r="H5796" s="368" t="s">
        <v>1230</v>
      </c>
    </row>
    <row r="5797" ht="15.75" customHeight="1">
      <c r="A5797" s="368" t="s">
        <v>1100</v>
      </c>
      <c r="B5797" s="368" t="s">
        <v>22</v>
      </c>
      <c r="C5797" s="369" t="s">
        <v>607</v>
      </c>
      <c r="D5797" s="368" t="s">
        <v>608</v>
      </c>
      <c r="E5797" s="370">
        <v>8.0</v>
      </c>
      <c r="F5797" s="371">
        <v>46135.54166666667</v>
      </c>
      <c r="G5797" s="368" t="s">
        <v>1185</v>
      </c>
      <c r="H5797" s="368" t="s">
        <v>1230</v>
      </c>
    </row>
    <row r="5798" ht="15.75" customHeight="1">
      <c r="A5798" s="368" t="s">
        <v>1100</v>
      </c>
      <c r="B5798" s="368" t="s">
        <v>22</v>
      </c>
      <c r="C5798" s="369" t="s">
        <v>607</v>
      </c>
      <c r="D5798" s="368" t="s">
        <v>608</v>
      </c>
      <c r="E5798" s="370">
        <v>9.0</v>
      </c>
      <c r="F5798" s="371">
        <v>46150.41666666667</v>
      </c>
      <c r="G5798" s="368" t="s">
        <v>1185</v>
      </c>
      <c r="H5798" s="368" t="s">
        <v>1230</v>
      </c>
    </row>
    <row r="5799" ht="15.75" customHeight="1">
      <c r="A5799" s="368" t="s">
        <v>1100</v>
      </c>
      <c r="B5799" s="368" t="s">
        <v>22</v>
      </c>
      <c r="C5799" s="369" t="s">
        <v>607</v>
      </c>
      <c r="D5799" s="368" t="s">
        <v>608</v>
      </c>
      <c r="E5799" s="370">
        <v>10.0</v>
      </c>
      <c r="F5799" s="371">
        <v>46155.58333333333</v>
      </c>
      <c r="G5799" s="368" t="s">
        <v>1185</v>
      </c>
      <c r="H5799" s="368" t="s">
        <v>1230</v>
      </c>
    </row>
    <row r="5800" ht="15.75" customHeight="1">
      <c r="A5800" s="368" t="s">
        <v>1100</v>
      </c>
      <c r="B5800" s="368" t="s">
        <v>22</v>
      </c>
      <c r="C5800" s="369" t="s">
        <v>607</v>
      </c>
      <c r="D5800" s="368" t="s">
        <v>608</v>
      </c>
      <c r="E5800" s="370">
        <v>11.0</v>
      </c>
      <c r="F5800" s="371">
        <v>46162.58333333333</v>
      </c>
      <c r="G5800" s="368" t="s">
        <v>1185</v>
      </c>
      <c r="H5800" s="368" t="s">
        <v>1230</v>
      </c>
    </row>
    <row r="5801" ht="15.75" customHeight="1">
      <c r="A5801" s="368" t="s">
        <v>1100</v>
      </c>
      <c r="B5801" s="368" t="s">
        <v>22</v>
      </c>
      <c r="C5801" s="369" t="s">
        <v>607</v>
      </c>
      <c r="D5801" s="368" t="s">
        <v>608</v>
      </c>
      <c r="E5801" s="370">
        <v>12.0</v>
      </c>
      <c r="F5801" s="371">
        <v>46171.41666666667</v>
      </c>
      <c r="G5801" s="368" t="s">
        <v>1185</v>
      </c>
      <c r="H5801" s="368" t="s">
        <v>1230</v>
      </c>
    </row>
    <row r="5802" ht="15.75" customHeight="1">
      <c r="A5802" s="368" t="s">
        <v>1100</v>
      </c>
      <c r="B5802" s="368" t="s">
        <v>22</v>
      </c>
      <c r="C5802" s="369" t="s">
        <v>607</v>
      </c>
      <c r="D5802" s="368" t="s">
        <v>608</v>
      </c>
      <c r="E5802" s="370">
        <v>13.0</v>
      </c>
      <c r="F5802" s="371">
        <v>46184.41666666667</v>
      </c>
      <c r="G5802" s="368" t="s">
        <v>1185</v>
      </c>
      <c r="H5802" s="368" t="s">
        <v>1230</v>
      </c>
    </row>
    <row r="5803" ht="15.75" customHeight="1">
      <c r="A5803" s="368" t="s">
        <v>1100</v>
      </c>
      <c r="B5803" s="368" t="s">
        <v>22</v>
      </c>
      <c r="C5803" s="369" t="s">
        <v>607</v>
      </c>
      <c r="D5803" s="368" t="s">
        <v>608</v>
      </c>
      <c r="E5803" s="370">
        <v>14.0</v>
      </c>
      <c r="F5803" s="371">
        <v>46198.45833333333</v>
      </c>
      <c r="G5803" s="368" t="s">
        <v>1185</v>
      </c>
      <c r="H5803" s="368" t="s">
        <v>1230</v>
      </c>
    </row>
    <row r="5804" ht="15.75" customHeight="1">
      <c r="A5804" s="368" t="s">
        <v>1100</v>
      </c>
      <c r="B5804" s="368" t="s">
        <v>22</v>
      </c>
      <c r="C5804" s="369" t="s">
        <v>607</v>
      </c>
      <c r="D5804" s="368" t="s">
        <v>608</v>
      </c>
      <c r="E5804" s="370">
        <v>15.0</v>
      </c>
      <c r="F5804" s="371">
        <v>46205.41666666667</v>
      </c>
      <c r="G5804" s="368" t="s">
        <v>1185</v>
      </c>
      <c r="H5804" s="368" t="s">
        <v>1230</v>
      </c>
    </row>
    <row r="5805" ht="15.75" customHeight="1">
      <c r="A5805" s="368" t="s">
        <v>1100</v>
      </c>
      <c r="B5805" s="368" t="s">
        <v>22</v>
      </c>
      <c r="C5805" s="369" t="s">
        <v>607</v>
      </c>
      <c r="D5805" s="368" t="s">
        <v>608</v>
      </c>
      <c r="E5805" s="370">
        <v>16.0</v>
      </c>
      <c r="F5805" s="371">
        <v>46212.41666666667</v>
      </c>
      <c r="G5805" s="368" t="s">
        <v>1185</v>
      </c>
      <c r="H5805" s="368" t="s">
        <v>1230</v>
      </c>
    </row>
    <row r="5806" ht="15.75" customHeight="1">
      <c r="A5806" s="368" t="s">
        <v>1101</v>
      </c>
      <c r="B5806" s="368" t="s">
        <v>22</v>
      </c>
      <c r="C5806" s="369" t="s">
        <v>619</v>
      </c>
      <c r="D5806" s="368" t="s">
        <v>620</v>
      </c>
      <c r="E5806" s="370">
        <v>1.0</v>
      </c>
      <c r="F5806" s="371">
        <v>46085.625</v>
      </c>
      <c r="G5806" s="368" t="s">
        <v>1185</v>
      </c>
      <c r="H5806" s="368" t="s">
        <v>1231</v>
      </c>
    </row>
    <row r="5807" ht="15.75" customHeight="1">
      <c r="A5807" s="368" t="s">
        <v>1101</v>
      </c>
      <c r="B5807" s="368" t="s">
        <v>22</v>
      </c>
      <c r="C5807" s="369" t="s">
        <v>619</v>
      </c>
      <c r="D5807" s="368" t="s">
        <v>620</v>
      </c>
      <c r="E5807" s="370">
        <v>2.0</v>
      </c>
      <c r="F5807" s="371">
        <v>46093.41666666667</v>
      </c>
      <c r="G5807" s="368" t="s">
        <v>1185</v>
      </c>
      <c r="H5807" s="368" t="s">
        <v>1231</v>
      </c>
    </row>
    <row r="5808" ht="15.75" customHeight="1">
      <c r="A5808" s="368" t="s">
        <v>1101</v>
      </c>
      <c r="B5808" s="368" t="s">
        <v>22</v>
      </c>
      <c r="C5808" s="369" t="s">
        <v>619</v>
      </c>
      <c r="D5808" s="368" t="s">
        <v>620</v>
      </c>
      <c r="E5808" s="370">
        <v>3.0</v>
      </c>
      <c r="F5808" s="371">
        <v>46099.58333333333</v>
      </c>
      <c r="G5808" s="368" t="s">
        <v>1185</v>
      </c>
      <c r="H5808" s="368" t="s">
        <v>1231</v>
      </c>
    </row>
    <row r="5809" ht="15.75" customHeight="1">
      <c r="A5809" s="368" t="s">
        <v>1101</v>
      </c>
      <c r="B5809" s="368" t="s">
        <v>22</v>
      </c>
      <c r="C5809" s="369" t="s">
        <v>619</v>
      </c>
      <c r="D5809" s="368" t="s">
        <v>620</v>
      </c>
      <c r="E5809" s="370">
        <v>4.0</v>
      </c>
      <c r="F5809" s="371">
        <v>46107.41666666667</v>
      </c>
      <c r="G5809" s="368" t="s">
        <v>1185</v>
      </c>
      <c r="H5809" s="368" t="s">
        <v>1231</v>
      </c>
    </row>
    <row r="5810" ht="15.75" customHeight="1">
      <c r="A5810" s="368" t="s">
        <v>1101</v>
      </c>
      <c r="B5810" s="368" t="s">
        <v>22</v>
      </c>
      <c r="C5810" s="369" t="s">
        <v>619</v>
      </c>
      <c r="D5810" s="368" t="s">
        <v>620</v>
      </c>
      <c r="E5810" s="370">
        <v>5.0</v>
      </c>
      <c r="F5810" s="371">
        <v>46115.625</v>
      </c>
      <c r="G5810" s="368" t="s">
        <v>1185</v>
      </c>
      <c r="H5810" s="368" t="s">
        <v>1231</v>
      </c>
    </row>
    <row r="5811" ht="15.75" customHeight="1">
      <c r="A5811" s="368" t="s">
        <v>1101</v>
      </c>
      <c r="B5811" s="368" t="s">
        <v>22</v>
      </c>
      <c r="C5811" s="369" t="s">
        <v>619</v>
      </c>
      <c r="D5811" s="368" t="s">
        <v>620</v>
      </c>
      <c r="E5811" s="370">
        <v>6.0</v>
      </c>
      <c r="F5811" s="371">
        <v>46128.625</v>
      </c>
      <c r="G5811" s="368" t="s">
        <v>1185</v>
      </c>
      <c r="H5811" s="368" t="s">
        <v>1231</v>
      </c>
    </row>
    <row r="5812" ht="15.75" customHeight="1">
      <c r="A5812" s="368" t="s">
        <v>1101</v>
      </c>
      <c r="B5812" s="368" t="s">
        <v>22</v>
      </c>
      <c r="C5812" s="369" t="s">
        <v>619</v>
      </c>
      <c r="D5812" s="368" t="s">
        <v>620</v>
      </c>
      <c r="E5812" s="370">
        <v>7.0</v>
      </c>
      <c r="F5812" s="371">
        <v>46129.41666666667</v>
      </c>
      <c r="G5812" s="368" t="s">
        <v>1185</v>
      </c>
      <c r="H5812" s="368" t="s">
        <v>1231</v>
      </c>
    </row>
    <row r="5813" ht="15.75" customHeight="1">
      <c r="A5813" s="368" t="s">
        <v>1101</v>
      </c>
      <c r="B5813" s="368" t="s">
        <v>22</v>
      </c>
      <c r="C5813" s="369" t="s">
        <v>619</v>
      </c>
      <c r="D5813" s="368" t="s">
        <v>620</v>
      </c>
      <c r="E5813" s="370">
        <v>8.0</v>
      </c>
      <c r="F5813" s="371">
        <v>46135.625</v>
      </c>
      <c r="G5813" s="368" t="s">
        <v>1185</v>
      </c>
      <c r="H5813" s="368" t="s">
        <v>1231</v>
      </c>
    </row>
    <row r="5814" ht="15.75" customHeight="1">
      <c r="A5814" s="368" t="s">
        <v>1101</v>
      </c>
      <c r="B5814" s="368" t="s">
        <v>22</v>
      </c>
      <c r="C5814" s="369" t="s">
        <v>619</v>
      </c>
      <c r="D5814" s="368" t="s">
        <v>620</v>
      </c>
      <c r="E5814" s="370">
        <v>9.0</v>
      </c>
      <c r="F5814" s="371">
        <v>46149.45833333333</v>
      </c>
      <c r="G5814" s="368" t="s">
        <v>1185</v>
      </c>
      <c r="H5814" s="368" t="s">
        <v>1231</v>
      </c>
    </row>
    <row r="5815" ht="15.75" customHeight="1">
      <c r="A5815" s="368" t="s">
        <v>1101</v>
      </c>
      <c r="B5815" s="368" t="s">
        <v>22</v>
      </c>
      <c r="C5815" s="369" t="s">
        <v>619</v>
      </c>
      <c r="D5815" s="368" t="s">
        <v>620</v>
      </c>
      <c r="E5815" s="370">
        <v>10.0</v>
      </c>
      <c r="F5815" s="371">
        <v>46157.41666666667</v>
      </c>
      <c r="G5815" s="368" t="s">
        <v>1185</v>
      </c>
      <c r="H5815" s="368" t="s">
        <v>1231</v>
      </c>
    </row>
    <row r="5816" ht="15.75" customHeight="1">
      <c r="A5816" s="368" t="s">
        <v>1101</v>
      </c>
      <c r="B5816" s="368" t="s">
        <v>22</v>
      </c>
      <c r="C5816" s="369" t="s">
        <v>619</v>
      </c>
      <c r="D5816" s="368" t="s">
        <v>620</v>
      </c>
      <c r="E5816" s="370">
        <v>11.0</v>
      </c>
      <c r="F5816" s="371">
        <v>46162.45833333333</v>
      </c>
      <c r="G5816" s="368" t="s">
        <v>1185</v>
      </c>
      <c r="H5816" s="368" t="s">
        <v>1231</v>
      </c>
    </row>
    <row r="5817" ht="15.75" customHeight="1">
      <c r="A5817" s="368" t="s">
        <v>1101</v>
      </c>
      <c r="B5817" s="368" t="s">
        <v>22</v>
      </c>
      <c r="C5817" s="369" t="s">
        <v>619</v>
      </c>
      <c r="D5817" s="368" t="s">
        <v>620</v>
      </c>
      <c r="E5817" s="370">
        <v>12.0</v>
      </c>
      <c r="F5817" s="371">
        <v>46169.54166666667</v>
      </c>
      <c r="G5817" s="368" t="s">
        <v>1185</v>
      </c>
      <c r="H5817" s="368" t="s">
        <v>1231</v>
      </c>
    </row>
    <row r="5818" ht="15.75" customHeight="1">
      <c r="A5818" s="368" t="s">
        <v>1101</v>
      </c>
      <c r="B5818" s="368" t="s">
        <v>22</v>
      </c>
      <c r="C5818" s="369" t="s">
        <v>619</v>
      </c>
      <c r="D5818" s="368" t="s">
        <v>620</v>
      </c>
      <c r="E5818" s="370">
        <v>13.0</v>
      </c>
      <c r="F5818" s="371">
        <v>46184.58333333333</v>
      </c>
      <c r="G5818" s="368" t="s">
        <v>1185</v>
      </c>
      <c r="H5818" s="368" t="s">
        <v>1231</v>
      </c>
    </row>
    <row r="5819" ht="15.75" customHeight="1">
      <c r="A5819" s="368" t="s">
        <v>1101</v>
      </c>
      <c r="B5819" s="368" t="s">
        <v>22</v>
      </c>
      <c r="C5819" s="369" t="s">
        <v>619</v>
      </c>
      <c r="D5819" s="368" t="s">
        <v>620</v>
      </c>
      <c r="E5819" s="370">
        <v>14.0</v>
      </c>
      <c r="F5819" s="371">
        <v>46198.45833333333</v>
      </c>
      <c r="G5819" s="368" t="s">
        <v>1185</v>
      </c>
      <c r="H5819" s="368" t="s">
        <v>1231</v>
      </c>
    </row>
    <row r="5820" ht="15.75" customHeight="1">
      <c r="A5820" s="368" t="s">
        <v>1101</v>
      </c>
      <c r="B5820" s="368" t="s">
        <v>22</v>
      </c>
      <c r="C5820" s="369" t="s">
        <v>619</v>
      </c>
      <c r="D5820" s="368" t="s">
        <v>620</v>
      </c>
      <c r="E5820" s="370">
        <v>15.0</v>
      </c>
      <c r="F5820" s="371">
        <v>46205.58333333333</v>
      </c>
      <c r="G5820" s="368" t="s">
        <v>1185</v>
      </c>
      <c r="H5820" s="368" t="s">
        <v>1231</v>
      </c>
    </row>
    <row r="5821" ht="15.75" customHeight="1">
      <c r="A5821" s="368" t="s">
        <v>1101</v>
      </c>
      <c r="B5821" s="368" t="s">
        <v>22</v>
      </c>
      <c r="C5821" s="369" t="s">
        <v>619</v>
      </c>
      <c r="D5821" s="368" t="s">
        <v>620</v>
      </c>
      <c r="E5821" s="370">
        <v>16.0</v>
      </c>
      <c r="F5821" s="371">
        <v>46212.58333333333</v>
      </c>
      <c r="G5821" s="368" t="s">
        <v>1185</v>
      </c>
      <c r="H5821" s="368" t="s">
        <v>1231</v>
      </c>
    </row>
    <row r="5822" ht="15.75" customHeight="1">
      <c r="A5822" s="368" t="s">
        <v>1101</v>
      </c>
      <c r="B5822" s="368" t="s">
        <v>22</v>
      </c>
      <c r="C5822" s="369" t="s">
        <v>621</v>
      </c>
      <c r="D5822" s="368" t="s">
        <v>622</v>
      </c>
      <c r="E5822" s="370">
        <v>1.0</v>
      </c>
      <c r="F5822" s="371">
        <v>46085.625</v>
      </c>
      <c r="G5822" s="368" t="s">
        <v>1185</v>
      </c>
      <c r="H5822" s="368" t="s">
        <v>1231</v>
      </c>
    </row>
    <row r="5823" ht="15.75" customHeight="1">
      <c r="A5823" s="368" t="s">
        <v>1101</v>
      </c>
      <c r="B5823" s="368" t="s">
        <v>22</v>
      </c>
      <c r="C5823" s="369" t="s">
        <v>621</v>
      </c>
      <c r="D5823" s="368" t="s">
        <v>622</v>
      </c>
      <c r="E5823" s="370">
        <v>2.0</v>
      </c>
      <c r="F5823" s="371">
        <v>46093.41666666667</v>
      </c>
      <c r="G5823" s="368" t="s">
        <v>1185</v>
      </c>
      <c r="H5823" s="368" t="s">
        <v>1231</v>
      </c>
    </row>
    <row r="5824" ht="15.75" customHeight="1">
      <c r="A5824" s="368" t="s">
        <v>1101</v>
      </c>
      <c r="B5824" s="368" t="s">
        <v>22</v>
      </c>
      <c r="C5824" s="369" t="s">
        <v>621</v>
      </c>
      <c r="D5824" s="368" t="s">
        <v>622</v>
      </c>
      <c r="E5824" s="370">
        <v>3.0</v>
      </c>
      <c r="F5824" s="371">
        <v>46099.58333333333</v>
      </c>
      <c r="G5824" s="368" t="s">
        <v>1185</v>
      </c>
      <c r="H5824" s="368" t="s">
        <v>1231</v>
      </c>
    </row>
    <row r="5825" ht="15.75" customHeight="1">
      <c r="A5825" s="368" t="s">
        <v>1101</v>
      </c>
      <c r="B5825" s="368" t="s">
        <v>22</v>
      </c>
      <c r="C5825" s="369" t="s">
        <v>621</v>
      </c>
      <c r="D5825" s="368" t="s">
        <v>622</v>
      </c>
      <c r="E5825" s="370">
        <v>4.0</v>
      </c>
      <c r="F5825" s="371">
        <v>46107.41666666667</v>
      </c>
      <c r="G5825" s="368" t="s">
        <v>1185</v>
      </c>
      <c r="H5825" s="368" t="s">
        <v>1231</v>
      </c>
    </row>
    <row r="5826" ht="15.75" customHeight="1">
      <c r="A5826" s="368" t="s">
        <v>1101</v>
      </c>
      <c r="B5826" s="368" t="s">
        <v>22</v>
      </c>
      <c r="C5826" s="369" t="s">
        <v>621</v>
      </c>
      <c r="D5826" s="368" t="s">
        <v>622</v>
      </c>
      <c r="E5826" s="370">
        <v>5.0</v>
      </c>
      <c r="F5826" s="371">
        <v>46115.625</v>
      </c>
      <c r="G5826" s="368" t="s">
        <v>1187</v>
      </c>
      <c r="H5826" s="368" t="s">
        <v>1231</v>
      </c>
    </row>
    <row r="5827" ht="15.75" customHeight="1">
      <c r="A5827" s="368" t="s">
        <v>1101</v>
      </c>
      <c r="B5827" s="368" t="s">
        <v>22</v>
      </c>
      <c r="C5827" s="369" t="s">
        <v>621</v>
      </c>
      <c r="D5827" s="368" t="s">
        <v>622</v>
      </c>
      <c r="E5827" s="370">
        <v>6.0</v>
      </c>
      <c r="F5827" s="371">
        <v>46128.625</v>
      </c>
      <c r="G5827" s="368" t="s">
        <v>1185</v>
      </c>
      <c r="H5827" s="368" t="s">
        <v>1231</v>
      </c>
    </row>
    <row r="5828" ht="15.75" customHeight="1">
      <c r="A5828" s="368" t="s">
        <v>1101</v>
      </c>
      <c r="B5828" s="368" t="s">
        <v>22</v>
      </c>
      <c r="C5828" s="369" t="s">
        <v>621</v>
      </c>
      <c r="D5828" s="368" t="s">
        <v>622</v>
      </c>
      <c r="E5828" s="370">
        <v>7.0</v>
      </c>
      <c r="F5828" s="371">
        <v>46129.41666666667</v>
      </c>
      <c r="G5828" s="368" t="s">
        <v>1185</v>
      </c>
      <c r="H5828" s="368" t="s">
        <v>1231</v>
      </c>
    </row>
    <row r="5829" ht="15.75" customHeight="1">
      <c r="A5829" s="368" t="s">
        <v>1101</v>
      </c>
      <c r="B5829" s="368" t="s">
        <v>22</v>
      </c>
      <c r="C5829" s="369" t="s">
        <v>621</v>
      </c>
      <c r="D5829" s="368" t="s">
        <v>622</v>
      </c>
      <c r="E5829" s="370">
        <v>8.0</v>
      </c>
      <c r="F5829" s="371">
        <v>46135.625</v>
      </c>
      <c r="G5829" s="368" t="s">
        <v>1185</v>
      </c>
      <c r="H5829" s="368" t="s">
        <v>1231</v>
      </c>
    </row>
    <row r="5830" ht="15.75" customHeight="1">
      <c r="A5830" s="368" t="s">
        <v>1101</v>
      </c>
      <c r="B5830" s="368" t="s">
        <v>22</v>
      </c>
      <c r="C5830" s="369" t="s">
        <v>621</v>
      </c>
      <c r="D5830" s="368" t="s">
        <v>622</v>
      </c>
      <c r="E5830" s="370">
        <v>9.0</v>
      </c>
      <c r="F5830" s="371">
        <v>46149.45833333333</v>
      </c>
      <c r="G5830" s="368" t="s">
        <v>1185</v>
      </c>
      <c r="H5830" s="368" t="s">
        <v>1231</v>
      </c>
    </row>
    <row r="5831" ht="15.75" customHeight="1">
      <c r="A5831" s="368" t="s">
        <v>1101</v>
      </c>
      <c r="B5831" s="368" t="s">
        <v>22</v>
      </c>
      <c r="C5831" s="369" t="s">
        <v>621</v>
      </c>
      <c r="D5831" s="368" t="s">
        <v>622</v>
      </c>
      <c r="E5831" s="370">
        <v>10.0</v>
      </c>
      <c r="F5831" s="371">
        <v>46157.41666666667</v>
      </c>
      <c r="G5831" s="368" t="s">
        <v>1185</v>
      </c>
      <c r="H5831" s="368" t="s">
        <v>1231</v>
      </c>
    </row>
    <row r="5832" ht="15.75" customHeight="1">
      <c r="A5832" s="368" t="s">
        <v>1101</v>
      </c>
      <c r="B5832" s="368" t="s">
        <v>22</v>
      </c>
      <c r="C5832" s="369" t="s">
        <v>621</v>
      </c>
      <c r="D5832" s="368" t="s">
        <v>622</v>
      </c>
      <c r="E5832" s="370">
        <v>11.0</v>
      </c>
      <c r="F5832" s="371">
        <v>46162.45833333333</v>
      </c>
      <c r="G5832" s="368" t="s">
        <v>1185</v>
      </c>
      <c r="H5832" s="368" t="s">
        <v>1231</v>
      </c>
    </row>
    <row r="5833" ht="15.75" customHeight="1">
      <c r="A5833" s="368" t="s">
        <v>1101</v>
      </c>
      <c r="B5833" s="368" t="s">
        <v>22</v>
      </c>
      <c r="C5833" s="369" t="s">
        <v>621</v>
      </c>
      <c r="D5833" s="368" t="s">
        <v>622</v>
      </c>
      <c r="E5833" s="370">
        <v>12.0</v>
      </c>
      <c r="F5833" s="371">
        <v>46169.58333333333</v>
      </c>
      <c r="G5833" s="368" t="s">
        <v>1185</v>
      </c>
      <c r="H5833" s="368" t="s">
        <v>1231</v>
      </c>
    </row>
    <row r="5834" ht="15.75" customHeight="1">
      <c r="A5834" s="368" t="s">
        <v>1101</v>
      </c>
      <c r="B5834" s="368" t="s">
        <v>22</v>
      </c>
      <c r="C5834" s="369" t="s">
        <v>621</v>
      </c>
      <c r="D5834" s="368" t="s">
        <v>622</v>
      </c>
      <c r="E5834" s="370">
        <v>13.0</v>
      </c>
      <c r="F5834" s="371">
        <v>46184.58333333333</v>
      </c>
      <c r="G5834" s="368" t="s">
        <v>1185</v>
      </c>
      <c r="H5834" s="368" t="s">
        <v>1231</v>
      </c>
    </row>
    <row r="5835" ht="15.75" customHeight="1">
      <c r="A5835" s="368" t="s">
        <v>1101</v>
      </c>
      <c r="B5835" s="368" t="s">
        <v>22</v>
      </c>
      <c r="C5835" s="369" t="s">
        <v>621</v>
      </c>
      <c r="D5835" s="368" t="s">
        <v>622</v>
      </c>
      <c r="E5835" s="370">
        <v>14.0</v>
      </c>
      <c r="F5835" s="371">
        <v>46198.45833333333</v>
      </c>
      <c r="G5835" s="368" t="s">
        <v>1185</v>
      </c>
      <c r="H5835" s="368" t="s">
        <v>1231</v>
      </c>
    </row>
    <row r="5836" ht="15.75" customHeight="1">
      <c r="A5836" s="368" t="s">
        <v>1101</v>
      </c>
      <c r="B5836" s="368" t="s">
        <v>22</v>
      </c>
      <c r="C5836" s="369" t="s">
        <v>621</v>
      </c>
      <c r="D5836" s="368" t="s">
        <v>622</v>
      </c>
      <c r="E5836" s="370">
        <v>15.0</v>
      </c>
      <c r="F5836" s="371">
        <v>46205.58333333333</v>
      </c>
      <c r="G5836" s="368" t="s">
        <v>1185</v>
      </c>
      <c r="H5836" s="368" t="s">
        <v>1231</v>
      </c>
    </row>
    <row r="5837" ht="15.75" customHeight="1">
      <c r="A5837" s="368" t="s">
        <v>1101</v>
      </c>
      <c r="B5837" s="368" t="s">
        <v>22</v>
      </c>
      <c r="C5837" s="369" t="s">
        <v>621</v>
      </c>
      <c r="D5837" s="368" t="s">
        <v>622</v>
      </c>
      <c r="E5837" s="370">
        <v>16.0</v>
      </c>
      <c r="F5837" s="371">
        <v>46212.58333333333</v>
      </c>
      <c r="G5837" s="368" t="s">
        <v>1185</v>
      </c>
      <c r="H5837" s="368" t="s">
        <v>1231</v>
      </c>
    </row>
    <row r="5838" ht="15.75" customHeight="1">
      <c r="A5838" s="368" t="s">
        <v>1101</v>
      </c>
      <c r="B5838" s="368" t="s">
        <v>22</v>
      </c>
      <c r="C5838" s="369" t="s">
        <v>625</v>
      </c>
      <c r="D5838" s="368" t="s">
        <v>626</v>
      </c>
      <c r="E5838" s="370">
        <v>1.0</v>
      </c>
      <c r="F5838" s="371">
        <v>46085.625</v>
      </c>
      <c r="G5838" s="368" t="s">
        <v>1185</v>
      </c>
      <c r="H5838" s="368" t="s">
        <v>1231</v>
      </c>
    </row>
    <row r="5839" ht="15.75" customHeight="1">
      <c r="A5839" s="368" t="s">
        <v>1101</v>
      </c>
      <c r="B5839" s="368" t="s">
        <v>22</v>
      </c>
      <c r="C5839" s="369" t="s">
        <v>625</v>
      </c>
      <c r="D5839" s="368" t="s">
        <v>626</v>
      </c>
      <c r="E5839" s="370">
        <v>2.0</v>
      </c>
      <c r="F5839" s="371">
        <v>46093.41666666667</v>
      </c>
      <c r="G5839" s="368" t="s">
        <v>1185</v>
      </c>
      <c r="H5839" s="368" t="s">
        <v>1231</v>
      </c>
    </row>
    <row r="5840" ht="15.75" customHeight="1">
      <c r="A5840" s="368" t="s">
        <v>1101</v>
      </c>
      <c r="B5840" s="368" t="s">
        <v>22</v>
      </c>
      <c r="C5840" s="369" t="s">
        <v>625</v>
      </c>
      <c r="D5840" s="368" t="s">
        <v>626</v>
      </c>
      <c r="E5840" s="370">
        <v>3.0</v>
      </c>
      <c r="F5840" s="371">
        <v>46099.58333333333</v>
      </c>
      <c r="G5840" s="368" t="s">
        <v>1187</v>
      </c>
      <c r="H5840" s="368" t="s">
        <v>1231</v>
      </c>
    </row>
    <row r="5841" ht="15.75" customHeight="1">
      <c r="A5841" s="368" t="s">
        <v>1101</v>
      </c>
      <c r="B5841" s="368" t="s">
        <v>22</v>
      </c>
      <c r="C5841" s="369" t="s">
        <v>625</v>
      </c>
      <c r="D5841" s="368" t="s">
        <v>626</v>
      </c>
      <c r="E5841" s="370">
        <v>4.0</v>
      </c>
      <c r="F5841" s="371">
        <v>46107.41666666667</v>
      </c>
      <c r="G5841" s="368" t="s">
        <v>1185</v>
      </c>
      <c r="H5841" s="368" t="s">
        <v>1231</v>
      </c>
    </row>
    <row r="5842" ht="15.75" customHeight="1">
      <c r="A5842" s="368" t="s">
        <v>1101</v>
      </c>
      <c r="B5842" s="368" t="s">
        <v>22</v>
      </c>
      <c r="C5842" s="369" t="s">
        <v>625</v>
      </c>
      <c r="D5842" s="368" t="s">
        <v>626</v>
      </c>
      <c r="E5842" s="370">
        <v>5.0</v>
      </c>
      <c r="F5842" s="371">
        <v>46115.625</v>
      </c>
      <c r="G5842" s="368" t="s">
        <v>1185</v>
      </c>
      <c r="H5842" s="368" t="s">
        <v>1231</v>
      </c>
    </row>
    <row r="5843" ht="15.75" customHeight="1">
      <c r="A5843" s="368" t="s">
        <v>1101</v>
      </c>
      <c r="B5843" s="368" t="s">
        <v>22</v>
      </c>
      <c r="C5843" s="369" t="s">
        <v>625</v>
      </c>
      <c r="D5843" s="368" t="s">
        <v>626</v>
      </c>
      <c r="E5843" s="370">
        <v>6.0</v>
      </c>
      <c r="F5843" s="371">
        <v>46128.625</v>
      </c>
      <c r="G5843" s="368" t="s">
        <v>1185</v>
      </c>
      <c r="H5843" s="368" t="s">
        <v>1231</v>
      </c>
    </row>
    <row r="5844" ht="15.75" customHeight="1">
      <c r="A5844" s="368" t="s">
        <v>1101</v>
      </c>
      <c r="B5844" s="368" t="s">
        <v>22</v>
      </c>
      <c r="C5844" s="369" t="s">
        <v>625</v>
      </c>
      <c r="D5844" s="368" t="s">
        <v>626</v>
      </c>
      <c r="E5844" s="370">
        <v>7.0</v>
      </c>
      <c r="F5844" s="371">
        <v>46129.41666666667</v>
      </c>
      <c r="G5844" s="368" t="s">
        <v>1185</v>
      </c>
      <c r="H5844" s="368" t="s">
        <v>1231</v>
      </c>
    </row>
    <row r="5845" ht="15.75" customHeight="1">
      <c r="A5845" s="368" t="s">
        <v>1101</v>
      </c>
      <c r="B5845" s="368" t="s">
        <v>22</v>
      </c>
      <c r="C5845" s="369" t="s">
        <v>625</v>
      </c>
      <c r="D5845" s="368" t="s">
        <v>626</v>
      </c>
      <c r="E5845" s="370">
        <v>8.0</v>
      </c>
      <c r="F5845" s="371">
        <v>46135.625</v>
      </c>
      <c r="G5845" s="368" t="s">
        <v>1185</v>
      </c>
      <c r="H5845" s="368" t="s">
        <v>1231</v>
      </c>
    </row>
    <row r="5846" ht="15.75" customHeight="1">
      <c r="A5846" s="368" t="s">
        <v>1101</v>
      </c>
      <c r="B5846" s="368" t="s">
        <v>22</v>
      </c>
      <c r="C5846" s="369" t="s">
        <v>625</v>
      </c>
      <c r="D5846" s="368" t="s">
        <v>626</v>
      </c>
      <c r="E5846" s="370">
        <v>9.0</v>
      </c>
      <c r="F5846" s="371">
        <v>46149.45833333333</v>
      </c>
      <c r="G5846" s="368" t="s">
        <v>1185</v>
      </c>
      <c r="H5846" s="368" t="s">
        <v>1231</v>
      </c>
    </row>
    <row r="5847" ht="15.75" customHeight="1">
      <c r="A5847" s="368" t="s">
        <v>1101</v>
      </c>
      <c r="B5847" s="368" t="s">
        <v>22</v>
      </c>
      <c r="C5847" s="369" t="s">
        <v>625</v>
      </c>
      <c r="D5847" s="368" t="s">
        <v>626</v>
      </c>
      <c r="E5847" s="370">
        <v>10.0</v>
      </c>
      <c r="F5847" s="371">
        <v>46157.41666666667</v>
      </c>
      <c r="G5847" s="368" t="s">
        <v>1187</v>
      </c>
      <c r="H5847" s="368" t="s">
        <v>1231</v>
      </c>
    </row>
    <row r="5848" ht="15.75" customHeight="1">
      <c r="A5848" s="368" t="s">
        <v>1101</v>
      </c>
      <c r="B5848" s="368" t="s">
        <v>22</v>
      </c>
      <c r="C5848" s="369" t="s">
        <v>625</v>
      </c>
      <c r="D5848" s="368" t="s">
        <v>626</v>
      </c>
      <c r="E5848" s="370">
        <v>11.0</v>
      </c>
      <c r="F5848" s="371">
        <v>46162.45833333333</v>
      </c>
      <c r="G5848" s="368" t="s">
        <v>1185</v>
      </c>
      <c r="H5848" s="368" t="s">
        <v>1231</v>
      </c>
    </row>
    <row r="5849" ht="15.75" customHeight="1">
      <c r="A5849" s="368" t="s">
        <v>1101</v>
      </c>
      <c r="B5849" s="368" t="s">
        <v>22</v>
      </c>
      <c r="C5849" s="369" t="s">
        <v>625</v>
      </c>
      <c r="D5849" s="368" t="s">
        <v>626</v>
      </c>
      <c r="E5849" s="370">
        <v>12.0</v>
      </c>
      <c r="F5849" s="371">
        <v>46169.54166666667</v>
      </c>
      <c r="G5849" s="368" t="s">
        <v>1185</v>
      </c>
      <c r="H5849" s="368" t="s">
        <v>1231</v>
      </c>
    </row>
    <row r="5850" ht="15.75" customHeight="1">
      <c r="A5850" s="368" t="s">
        <v>1101</v>
      </c>
      <c r="B5850" s="368" t="s">
        <v>22</v>
      </c>
      <c r="C5850" s="369" t="s">
        <v>625</v>
      </c>
      <c r="D5850" s="368" t="s">
        <v>626</v>
      </c>
      <c r="E5850" s="370">
        <v>13.0</v>
      </c>
      <c r="F5850" s="371">
        <v>46184.58333333333</v>
      </c>
      <c r="G5850" s="368" t="s">
        <v>1185</v>
      </c>
      <c r="H5850" s="368" t="s">
        <v>1231</v>
      </c>
    </row>
    <row r="5851" ht="15.75" customHeight="1">
      <c r="A5851" s="368" t="s">
        <v>1101</v>
      </c>
      <c r="B5851" s="368" t="s">
        <v>22</v>
      </c>
      <c r="C5851" s="369" t="s">
        <v>625</v>
      </c>
      <c r="D5851" s="368" t="s">
        <v>626</v>
      </c>
      <c r="E5851" s="370">
        <v>14.0</v>
      </c>
      <c r="F5851" s="371">
        <v>46198.45833333333</v>
      </c>
      <c r="G5851" s="368" t="s">
        <v>1185</v>
      </c>
      <c r="H5851" s="368" t="s">
        <v>1231</v>
      </c>
    </row>
    <row r="5852" ht="15.75" customHeight="1">
      <c r="A5852" s="368" t="s">
        <v>1101</v>
      </c>
      <c r="B5852" s="368" t="s">
        <v>22</v>
      </c>
      <c r="C5852" s="369" t="s">
        <v>625</v>
      </c>
      <c r="D5852" s="368" t="s">
        <v>626</v>
      </c>
      <c r="E5852" s="370">
        <v>15.0</v>
      </c>
      <c r="F5852" s="371">
        <v>46205.58333333333</v>
      </c>
      <c r="G5852" s="368" t="s">
        <v>1187</v>
      </c>
      <c r="H5852" s="368" t="s">
        <v>1231</v>
      </c>
    </row>
    <row r="5853" ht="15.75" customHeight="1">
      <c r="A5853" s="368" t="s">
        <v>1101</v>
      </c>
      <c r="B5853" s="368" t="s">
        <v>22</v>
      </c>
      <c r="C5853" s="369" t="s">
        <v>625</v>
      </c>
      <c r="D5853" s="368" t="s">
        <v>626</v>
      </c>
      <c r="E5853" s="370">
        <v>16.0</v>
      </c>
      <c r="F5853" s="371">
        <v>46212.58333333333</v>
      </c>
      <c r="G5853" s="368" t="s">
        <v>1185</v>
      </c>
      <c r="H5853" s="368" t="s">
        <v>1231</v>
      </c>
    </row>
    <row r="5854" ht="15.75" customHeight="1">
      <c r="A5854" s="368" t="s">
        <v>1101</v>
      </c>
      <c r="B5854" s="368" t="s">
        <v>22</v>
      </c>
      <c r="C5854" s="369" t="s">
        <v>627</v>
      </c>
      <c r="D5854" s="368" t="s">
        <v>628</v>
      </c>
      <c r="E5854" s="370">
        <v>1.0</v>
      </c>
      <c r="F5854" s="371">
        <v>46085.625</v>
      </c>
      <c r="G5854" s="368" t="s">
        <v>1185</v>
      </c>
      <c r="H5854" s="368" t="s">
        <v>1231</v>
      </c>
    </row>
    <row r="5855" ht="15.75" customHeight="1">
      <c r="A5855" s="368" t="s">
        <v>1101</v>
      </c>
      <c r="B5855" s="368" t="s">
        <v>22</v>
      </c>
      <c r="C5855" s="369" t="s">
        <v>627</v>
      </c>
      <c r="D5855" s="368" t="s">
        <v>628</v>
      </c>
      <c r="E5855" s="370">
        <v>2.0</v>
      </c>
      <c r="F5855" s="371">
        <v>46093.41666666667</v>
      </c>
      <c r="G5855" s="368" t="s">
        <v>1185</v>
      </c>
      <c r="H5855" s="368" t="s">
        <v>1231</v>
      </c>
    </row>
    <row r="5856" ht="15.75" customHeight="1">
      <c r="A5856" s="368" t="s">
        <v>1101</v>
      </c>
      <c r="B5856" s="368" t="s">
        <v>22</v>
      </c>
      <c r="C5856" s="369" t="s">
        <v>627</v>
      </c>
      <c r="D5856" s="368" t="s">
        <v>628</v>
      </c>
      <c r="E5856" s="370">
        <v>3.0</v>
      </c>
      <c r="F5856" s="371">
        <v>46099.58333333333</v>
      </c>
      <c r="G5856" s="368" t="s">
        <v>1185</v>
      </c>
      <c r="H5856" s="368" t="s">
        <v>1231</v>
      </c>
    </row>
    <row r="5857" ht="15.75" customHeight="1">
      <c r="A5857" s="368" t="s">
        <v>1101</v>
      </c>
      <c r="B5857" s="368" t="s">
        <v>22</v>
      </c>
      <c r="C5857" s="369" t="s">
        <v>627</v>
      </c>
      <c r="D5857" s="368" t="s">
        <v>628</v>
      </c>
      <c r="E5857" s="370">
        <v>4.0</v>
      </c>
      <c r="F5857" s="371">
        <v>46107.41666666667</v>
      </c>
      <c r="G5857" s="368" t="s">
        <v>1185</v>
      </c>
      <c r="H5857" s="368" t="s">
        <v>1231</v>
      </c>
    </row>
    <row r="5858" ht="15.75" customHeight="1">
      <c r="A5858" s="368" t="s">
        <v>1101</v>
      </c>
      <c r="B5858" s="368" t="s">
        <v>22</v>
      </c>
      <c r="C5858" s="369" t="s">
        <v>627</v>
      </c>
      <c r="D5858" s="368" t="s">
        <v>628</v>
      </c>
      <c r="E5858" s="370">
        <v>5.0</v>
      </c>
      <c r="F5858" s="371">
        <v>46115.625</v>
      </c>
      <c r="G5858" s="368" t="s">
        <v>1185</v>
      </c>
      <c r="H5858" s="368" t="s">
        <v>1231</v>
      </c>
    </row>
    <row r="5859" ht="15.75" customHeight="1">
      <c r="A5859" s="368" t="s">
        <v>1101</v>
      </c>
      <c r="B5859" s="368" t="s">
        <v>22</v>
      </c>
      <c r="C5859" s="369" t="s">
        <v>627</v>
      </c>
      <c r="D5859" s="368" t="s">
        <v>628</v>
      </c>
      <c r="E5859" s="370">
        <v>6.0</v>
      </c>
      <c r="F5859" s="371">
        <v>46128.625</v>
      </c>
      <c r="G5859" s="368" t="s">
        <v>1185</v>
      </c>
      <c r="H5859" s="368" t="s">
        <v>1231</v>
      </c>
    </row>
    <row r="5860" ht="15.75" customHeight="1">
      <c r="A5860" s="368" t="s">
        <v>1101</v>
      </c>
      <c r="B5860" s="368" t="s">
        <v>22</v>
      </c>
      <c r="C5860" s="369" t="s">
        <v>627</v>
      </c>
      <c r="D5860" s="368" t="s">
        <v>628</v>
      </c>
      <c r="E5860" s="370">
        <v>7.0</v>
      </c>
      <c r="F5860" s="371">
        <v>46129.41666666667</v>
      </c>
      <c r="G5860" s="368" t="s">
        <v>1185</v>
      </c>
      <c r="H5860" s="368" t="s">
        <v>1231</v>
      </c>
    </row>
    <row r="5861" ht="15.75" customHeight="1">
      <c r="A5861" s="368" t="s">
        <v>1101</v>
      </c>
      <c r="B5861" s="368" t="s">
        <v>22</v>
      </c>
      <c r="C5861" s="369" t="s">
        <v>627</v>
      </c>
      <c r="D5861" s="368" t="s">
        <v>628</v>
      </c>
      <c r="E5861" s="370">
        <v>8.0</v>
      </c>
      <c r="F5861" s="371">
        <v>46135.625</v>
      </c>
      <c r="G5861" s="368" t="s">
        <v>1185</v>
      </c>
      <c r="H5861" s="368" t="s">
        <v>1231</v>
      </c>
    </row>
    <row r="5862" ht="15.75" customHeight="1">
      <c r="A5862" s="368" t="s">
        <v>1101</v>
      </c>
      <c r="B5862" s="368" t="s">
        <v>22</v>
      </c>
      <c r="C5862" s="369" t="s">
        <v>627</v>
      </c>
      <c r="D5862" s="368" t="s">
        <v>628</v>
      </c>
      <c r="E5862" s="370">
        <v>9.0</v>
      </c>
      <c r="F5862" s="371">
        <v>46149.45833333333</v>
      </c>
      <c r="G5862" s="368" t="s">
        <v>1185</v>
      </c>
      <c r="H5862" s="368" t="s">
        <v>1231</v>
      </c>
    </row>
    <row r="5863" ht="15.75" customHeight="1">
      <c r="A5863" s="368" t="s">
        <v>1101</v>
      </c>
      <c r="B5863" s="368" t="s">
        <v>22</v>
      </c>
      <c r="C5863" s="369" t="s">
        <v>627</v>
      </c>
      <c r="D5863" s="368" t="s">
        <v>628</v>
      </c>
      <c r="E5863" s="370">
        <v>10.0</v>
      </c>
      <c r="F5863" s="371">
        <v>46157.41666666667</v>
      </c>
      <c r="G5863" s="368" t="s">
        <v>1185</v>
      </c>
      <c r="H5863" s="368" t="s">
        <v>1231</v>
      </c>
    </row>
    <row r="5864" ht="15.75" customHeight="1">
      <c r="A5864" s="368" t="s">
        <v>1101</v>
      </c>
      <c r="B5864" s="368" t="s">
        <v>22</v>
      </c>
      <c r="C5864" s="369" t="s">
        <v>627</v>
      </c>
      <c r="D5864" s="368" t="s">
        <v>628</v>
      </c>
      <c r="E5864" s="370">
        <v>11.0</v>
      </c>
      <c r="F5864" s="371">
        <v>46162.45833333333</v>
      </c>
      <c r="G5864" s="368" t="s">
        <v>1185</v>
      </c>
      <c r="H5864" s="368" t="s">
        <v>1231</v>
      </c>
    </row>
    <row r="5865" ht="15.75" customHeight="1">
      <c r="A5865" s="368" t="s">
        <v>1101</v>
      </c>
      <c r="B5865" s="368" t="s">
        <v>22</v>
      </c>
      <c r="C5865" s="369" t="s">
        <v>627</v>
      </c>
      <c r="D5865" s="368" t="s">
        <v>628</v>
      </c>
      <c r="E5865" s="370">
        <v>12.0</v>
      </c>
      <c r="F5865" s="371">
        <v>46169.54166666667</v>
      </c>
      <c r="G5865" s="368" t="s">
        <v>1185</v>
      </c>
      <c r="H5865" s="368" t="s">
        <v>1231</v>
      </c>
    </row>
    <row r="5866" ht="15.75" customHeight="1">
      <c r="A5866" s="368" t="s">
        <v>1101</v>
      </c>
      <c r="B5866" s="368" t="s">
        <v>22</v>
      </c>
      <c r="C5866" s="369" t="s">
        <v>627</v>
      </c>
      <c r="D5866" s="368" t="s">
        <v>628</v>
      </c>
      <c r="E5866" s="370">
        <v>13.0</v>
      </c>
      <c r="F5866" s="371">
        <v>46184.58333333333</v>
      </c>
      <c r="G5866" s="368" t="s">
        <v>1185</v>
      </c>
      <c r="H5866" s="368" t="s">
        <v>1231</v>
      </c>
    </row>
    <row r="5867" ht="15.75" customHeight="1">
      <c r="A5867" s="368" t="s">
        <v>1101</v>
      </c>
      <c r="B5867" s="368" t="s">
        <v>22</v>
      </c>
      <c r="C5867" s="369" t="s">
        <v>627</v>
      </c>
      <c r="D5867" s="368" t="s">
        <v>628</v>
      </c>
      <c r="E5867" s="370">
        <v>14.0</v>
      </c>
      <c r="F5867" s="371">
        <v>46198.45833333333</v>
      </c>
      <c r="G5867" s="368" t="s">
        <v>1185</v>
      </c>
      <c r="H5867" s="368" t="s">
        <v>1231</v>
      </c>
    </row>
    <row r="5868" ht="15.75" customHeight="1">
      <c r="A5868" s="368" t="s">
        <v>1101</v>
      </c>
      <c r="B5868" s="368" t="s">
        <v>22</v>
      </c>
      <c r="C5868" s="369" t="s">
        <v>627</v>
      </c>
      <c r="D5868" s="368" t="s">
        <v>628</v>
      </c>
      <c r="E5868" s="370">
        <v>15.0</v>
      </c>
      <c r="F5868" s="371">
        <v>46205.58333333333</v>
      </c>
      <c r="G5868" s="368" t="s">
        <v>1185</v>
      </c>
      <c r="H5868" s="368" t="s">
        <v>1231</v>
      </c>
    </row>
    <row r="5869" ht="15.75" customHeight="1">
      <c r="A5869" s="368" t="s">
        <v>1101</v>
      </c>
      <c r="B5869" s="368" t="s">
        <v>22</v>
      </c>
      <c r="C5869" s="369" t="s">
        <v>627</v>
      </c>
      <c r="D5869" s="368" t="s">
        <v>628</v>
      </c>
      <c r="E5869" s="370">
        <v>16.0</v>
      </c>
      <c r="F5869" s="371">
        <v>46212.58333333333</v>
      </c>
      <c r="G5869" s="368" t="s">
        <v>1185</v>
      </c>
      <c r="H5869" s="368" t="s">
        <v>1231</v>
      </c>
    </row>
    <row r="5870" ht="15.75" customHeight="1">
      <c r="A5870" s="368" t="s">
        <v>1101</v>
      </c>
      <c r="B5870" s="368" t="s">
        <v>22</v>
      </c>
      <c r="C5870" s="369" t="s">
        <v>629</v>
      </c>
      <c r="D5870" s="368" t="s">
        <v>1102</v>
      </c>
      <c r="E5870" s="370">
        <v>4.0</v>
      </c>
      <c r="F5870" s="371">
        <v>46107.41666666667</v>
      </c>
      <c r="G5870" s="368" t="s">
        <v>1185</v>
      </c>
      <c r="H5870" s="368" t="s">
        <v>1231</v>
      </c>
    </row>
    <row r="5871" ht="15.75" customHeight="1">
      <c r="A5871" s="368" t="s">
        <v>1101</v>
      </c>
      <c r="B5871" s="368" t="s">
        <v>22</v>
      </c>
      <c r="C5871" s="369" t="s">
        <v>629</v>
      </c>
      <c r="D5871" s="368" t="s">
        <v>1102</v>
      </c>
      <c r="E5871" s="370">
        <v>5.0</v>
      </c>
      <c r="F5871" s="371">
        <v>46115.625</v>
      </c>
      <c r="G5871" s="368" t="s">
        <v>1187</v>
      </c>
      <c r="H5871" s="368" t="s">
        <v>1231</v>
      </c>
    </row>
    <row r="5872" ht="15.75" customHeight="1">
      <c r="A5872" s="368" t="s">
        <v>1101</v>
      </c>
      <c r="B5872" s="368" t="s">
        <v>22</v>
      </c>
      <c r="C5872" s="369" t="s">
        <v>629</v>
      </c>
      <c r="D5872" s="368" t="s">
        <v>1102</v>
      </c>
      <c r="E5872" s="370">
        <v>6.0</v>
      </c>
      <c r="F5872" s="371">
        <v>46128.625</v>
      </c>
      <c r="G5872" s="368" t="s">
        <v>1185</v>
      </c>
      <c r="H5872" s="368" t="s">
        <v>1231</v>
      </c>
    </row>
    <row r="5873" ht="15.75" customHeight="1">
      <c r="A5873" s="368" t="s">
        <v>1101</v>
      </c>
      <c r="B5873" s="368" t="s">
        <v>22</v>
      </c>
      <c r="C5873" s="369" t="s">
        <v>629</v>
      </c>
      <c r="D5873" s="368" t="s">
        <v>1102</v>
      </c>
      <c r="E5873" s="370">
        <v>8.0</v>
      </c>
      <c r="F5873" s="371">
        <v>46135.625</v>
      </c>
      <c r="G5873" s="368" t="s">
        <v>1185</v>
      </c>
      <c r="H5873" s="368" t="s">
        <v>1231</v>
      </c>
    </row>
    <row r="5874" ht="15.75" customHeight="1">
      <c r="A5874" s="368" t="s">
        <v>1101</v>
      </c>
      <c r="B5874" s="368" t="s">
        <v>22</v>
      </c>
      <c r="C5874" s="369" t="s">
        <v>629</v>
      </c>
      <c r="D5874" s="368" t="s">
        <v>1102</v>
      </c>
      <c r="E5874" s="370">
        <v>9.0</v>
      </c>
      <c r="F5874" s="371">
        <v>46149.45833333333</v>
      </c>
      <c r="G5874" s="368" t="s">
        <v>1185</v>
      </c>
      <c r="H5874" s="368" t="s">
        <v>1231</v>
      </c>
    </row>
    <row r="5875" ht="15.75" customHeight="1">
      <c r="A5875" s="368" t="s">
        <v>1101</v>
      </c>
      <c r="B5875" s="368" t="s">
        <v>22</v>
      </c>
      <c r="C5875" s="369" t="s">
        <v>629</v>
      </c>
      <c r="D5875" s="368" t="s">
        <v>1102</v>
      </c>
      <c r="E5875" s="370">
        <v>10.0</v>
      </c>
      <c r="F5875" s="371">
        <v>46157.41666666667</v>
      </c>
      <c r="G5875" s="368" t="s">
        <v>1185</v>
      </c>
      <c r="H5875" s="368" t="s">
        <v>1231</v>
      </c>
    </row>
    <row r="5876" ht="15.75" customHeight="1">
      <c r="A5876" s="368" t="s">
        <v>1101</v>
      </c>
      <c r="B5876" s="368" t="s">
        <v>22</v>
      </c>
      <c r="C5876" s="369" t="s">
        <v>629</v>
      </c>
      <c r="D5876" s="368" t="s">
        <v>1102</v>
      </c>
      <c r="E5876" s="370">
        <v>11.0</v>
      </c>
      <c r="F5876" s="371">
        <v>46162.45833333333</v>
      </c>
      <c r="G5876" s="368" t="s">
        <v>1185</v>
      </c>
      <c r="H5876" s="368" t="s">
        <v>1231</v>
      </c>
    </row>
    <row r="5877" ht="15.75" customHeight="1">
      <c r="A5877" s="368" t="s">
        <v>1101</v>
      </c>
      <c r="B5877" s="368" t="s">
        <v>22</v>
      </c>
      <c r="C5877" s="369" t="s">
        <v>629</v>
      </c>
      <c r="D5877" s="368" t="s">
        <v>1102</v>
      </c>
      <c r="E5877" s="370">
        <v>12.0</v>
      </c>
      <c r="F5877" s="371">
        <v>46169.54166666667</v>
      </c>
      <c r="G5877" s="368" t="s">
        <v>1187</v>
      </c>
      <c r="H5877" s="368" t="s">
        <v>1231</v>
      </c>
    </row>
    <row r="5878" ht="15.75" customHeight="1">
      <c r="A5878" s="368" t="s">
        <v>1101</v>
      </c>
      <c r="B5878" s="368" t="s">
        <v>22</v>
      </c>
      <c r="C5878" s="369" t="s">
        <v>629</v>
      </c>
      <c r="D5878" s="368" t="s">
        <v>1102</v>
      </c>
      <c r="E5878" s="370">
        <v>13.0</v>
      </c>
      <c r="F5878" s="371">
        <v>46184.58333333333</v>
      </c>
      <c r="G5878" s="368" t="s">
        <v>1185</v>
      </c>
      <c r="H5878" s="368" t="s">
        <v>1231</v>
      </c>
    </row>
    <row r="5879" ht="15.75" customHeight="1">
      <c r="A5879" s="368" t="s">
        <v>1101</v>
      </c>
      <c r="B5879" s="368" t="s">
        <v>22</v>
      </c>
      <c r="C5879" s="369" t="s">
        <v>629</v>
      </c>
      <c r="D5879" s="368" t="s">
        <v>1102</v>
      </c>
      <c r="E5879" s="370">
        <v>14.0</v>
      </c>
      <c r="F5879" s="371">
        <v>46198.45833333333</v>
      </c>
      <c r="G5879" s="368" t="s">
        <v>1187</v>
      </c>
      <c r="H5879" s="368" t="s">
        <v>1231</v>
      </c>
    </row>
    <row r="5880" ht="15.75" customHeight="1">
      <c r="A5880" s="368" t="s">
        <v>1101</v>
      </c>
      <c r="B5880" s="368" t="s">
        <v>22</v>
      </c>
      <c r="C5880" s="369" t="s">
        <v>629</v>
      </c>
      <c r="D5880" s="368" t="s">
        <v>1102</v>
      </c>
      <c r="E5880" s="370">
        <v>15.0</v>
      </c>
      <c r="F5880" s="371">
        <v>46205.58333333333</v>
      </c>
      <c r="G5880" s="368" t="s">
        <v>1185</v>
      </c>
      <c r="H5880" s="368" t="s">
        <v>1231</v>
      </c>
    </row>
    <row r="5881" ht="15.75" customHeight="1">
      <c r="A5881" s="368" t="s">
        <v>1101</v>
      </c>
      <c r="B5881" s="368" t="s">
        <v>22</v>
      </c>
      <c r="C5881" s="369" t="s">
        <v>629</v>
      </c>
      <c r="D5881" s="368" t="s">
        <v>1102</v>
      </c>
      <c r="E5881" s="370">
        <v>16.0</v>
      </c>
      <c r="F5881" s="371">
        <v>46212.58333333333</v>
      </c>
      <c r="G5881" s="368" t="s">
        <v>1185</v>
      </c>
      <c r="H5881" s="368" t="s">
        <v>1231</v>
      </c>
    </row>
    <row r="5882" ht="15.75" customHeight="1">
      <c r="A5882" s="368" t="s">
        <v>1101</v>
      </c>
      <c r="B5882" s="368" t="s">
        <v>22</v>
      </c>
      <c r="C5882" s="369" t="s">
        <v>623</v>
      </c>
      <c r="D5882" s="368" t="s">
        <v>624</v>
      </c>
      <c r="E5882" s="370">
        <v>1.0</v>
      </c>
      <c r="F5882" s="371">
        <v>46085.625</v>
      </c>
      <c r="G5882" s="368" t="s">
        <v>1185</v>
      </c>
      <c r="H5882" s="368" t="s">
        <v>1231</v>
      </c>
    </row>
    <row r="5883" ht="15.75" customHeight="1">
      <c r="A5883" s="368" t="s">
        <v>1101</v>
      </c>
      <c r="B5883" s="368" t="s">
        <v>22</v>
      </c>
      <c r="C5883" s="369" t="s">
        <v>623</v>
      </c>
      <c r="D5883" s="368" t="s">
        <v>624</v>
      </c>
      <c r="E5883" s="370">
        <v>2.0</v>
      </c>
      <c r="F5883" s="371">
        <v>46093.41666666667</v>
      </c>
      <c r="G5883" s="368" t="s">
        <v>1185</v>
      </c>
      <c r="H5883" s="368" t="s">
        <v>1231</v>
      </c>
    </row>
    <row r="5884" ht="15.75" customHeight="1">
      <c r="A5884" s="368" t="s">
        <v>1101</v>
      </c>
      <c r="B5884" s="368" t="s">
        <v>22</v>
      </c>
      <c r="C5884" s="369" t="s">
        <v>623</v>
      </c>
      <c r="D5884" s="368" t="s">
        <v>624</v>
      </c>
      <c r="E5884" s="370">
        <v>3.0</v>
      </c>
      <c r="F5884" s="371">
        <v>46099.58333333333</v>
      </c>
      <c r="G5884" s="368" t="s">
        <v>1187</v>
      </c>
      <c r="H5884" s="368" t="s">
        <v>1231</v>
      </c>
    </row>
    <row r="5885" ht="15.75" customHeight="1">
      <c r="A5885" s="368" t="s">
        <v>1101</v>
      </c>
      <c r="B5885" s="368" t="s">
        <v>22</v>
      </c>
      <c r="C5885" s="369" t="s">
        <v>623</v>
      </c>
      <c r="D5885" s="368" t="s">
        <v>624</v>
      </c>
      <c r="E5885" s="370">
        <v>4.0</v>
      </c>
      <c r="F5885" s="371">
        <v>46107.41666666667</v>
      </c>
      <c r="G5885" s="368" t="s">
        <v>1185</v>
      </c>
      <c r="H5885" s="368" t="s">
        <v>1231</v>
      </c>
    </row>
    <row r="5886" ht="15.75" customHeight="1">
      <c r="A5886" s="368" t="s">
        <v>1101</v>
      </c>
      <c r="B5886" s="368" t="s">
        <v>22</v>
      </c>
      <c r="C5886" s="369" t="s">
        <v>623</v>
      </c>
      <c r="D5886" s="368" t="s">
        <v>624</v>
      </c>
      <c r="E5886" s="370">
        <v>5.0</v>
      </c>
      <c r="F5886" s="371">
        <v>46115.625</v>
      </c>
      <c r="G5886" s="368" t="s">
        <v>1185</v>
      </c>
      <c r="H5886" s="368" t="s">
        <v>1231</v>
      </c>
    </row>
    <row r="5887" ht="15.75" customHeight="1">
      <c r="A5887" s="368" t="s">
        <v>1101</v>
      </c>
      <c r="B5887" s="368" t="s">
        <v>22</v>
      </c>
      <c r="C5887" s="369" t="s">
        <v>623</v>
      </c>
      <c r="D5887" s="368" t="s">
        <v>624</v>
      </c>
      <c r="E5887" s="370">
        <v>6.0</v>
      </c>
      <c r="F5887" s="371">
        <v>46128.625</v>
      </c>
      <c r="G5887" s="368" t="s">
        <v>1185</v>
      </c>
      <c r="H5887" s="368" t="s">
        <v>1231</v>
      </c>
    </row>
    <row r="5888" ht="15.75" customHeight="1">
      <c r="A5888" s="368" t="s">
        <v>1101</v>
      </c>
      <c r="B5888" s="368" t="s">
        <v>22</v>
      </c>
      <c r="C5888" s="369" t="s">
        <v>623</v>
      </c>
      <c r="D5888" s="368" t="s">
        <v>624</v>
      </c>
      <c r="E5888" s="370">
        <v>7.0</v>
      </c>
      <c r="F5888" s="371">
        <v>46129.41666666667</v>
      </c>
      <c r="G5888" s="368" t="s">
        <v>1185</v>
      </c>
      <c r="H5888" s="368" t="s">
        <v>1231</v>
      </c>
    </row>
    <row r="5889" ht="15.75" customHeight="1">
      <c r="A5889" s="368" t="s">
        <v>1101</v>
      </c>
      <c r="B5889" s="368" t="s">
        <v>22</v>
      </c>
      <c r="C5889" s="369" t="s">
        <v>623</v>
      </c>
      <c r="D5889" s="368" t="s">
        <v>624</v>
      </c>
      <c r="E5889" s="370">
        <v>8.0</v>
      </c>
      <c r="F5889" s="371">
        <v>46135.625</v>
      </c>
      <c r="G5889" s="368" t="s">
        <v>1185</v>
      </c>
      <c r="H5889" s="368" t="s">
        <v>1231</v>
      </c>
    </row>
    <row r="5890" ht="15.75" customHeight="1">
      <c r="A5890" s="368" t="s">
        <v>1101</v>
      </c>
      <c r="B5890" s="368" t="s">
        <v>22</v>
      </c>
      <c r="C5890" s="369" t="s">
        <v>623</v>
      </c>
      <c r="D5890" s="368" t="s">
        <v>624</v>
      </c>
      <c r="E5890" s="370">
        <v>9.0</v>
      </c>
      <c r="F5890" s="371">
        <v>46149.45833333333</v>
      </c>
      <c r="G5890" s="368" t="s">
        <v>1187</v>
      </c>
      <c r="H5890" s="368" t="s">
        <v>1231</v>
      </c>
    </row>
    <row r="5891" ht="15.75" customHeight="1">
      <c r="A5891" s="368" t="s">
        <v>1101</v>
      </c>
      <c r="B5891" s="368" t="s">
        <v>22</v>
      </c>
      <c r="C5891" s="369" t="s">
        <v>623</v>
      </c>
      <c r="D5891" s="368" t="s">
        <v>624</v>
      </c>
      <c r="E5891" s="370">
        <v>10.0</v>
      </c>
      <c r="F5891" s="371">
        <v>46157.41666666667</v>
      </c>
      <c r="G5891" s="368" t="s">
        <v>1187</v>
      </c>
      <c r="H5891" s="368" t="s">
        <v>1231</v>
      </c>
    </row>
    <row r="5892" ht="15.75" customHeight="1">
      <c r="A5892" s="368" t="s">
        <v>1101</v>
      </c>
      <c r="B5892" s="368" t="s">
        <v>22</v>
      </c>
      <c r="C5892" s="369" t="s">
        <v>623</v>
      </c>
      <c r="D5892" s="368" t="s">
        <v>624</v>
      </c>
      <c r="E5892" s="370">
        <v>11.0</v>
      </c>
      <c r="F5892" s="371">
        <v>46162.45833333333</v>
      </c>
      <c r="G5892" s="368" t="s">
        <v>1187</v>
      </c>
      <c r="H5892" s="368" t="s">
        <v>1231</v>
      </c>
    </row>
    <row r="5893" ht="15.75" customHeight="1">
      <c r="A5893" s="368" t="s">
        <v>1101</v>
      </c>
      <c r="B5893" s="368" t="s">
        <v>22</v>
      </c>
      <c r="C5893" s="369" t="s">
        <v>623</v>
      </c>
      <c r="D5893" s="368" t="s">
        <v>624</v>
      </c>
      <c r="E5893" s="370">
        <v>12.0</v>
      </c>
      <c r="F5893" s="371">
        <v>46169.54166666667</v>
      </c>
      <c r="G5893" s="368" t="s">
        <v>1187</v>
      </c>
      <c r="H5893" s="368" t="s">
        <v>1231</v>
      </c>
    </row>
    <row r="5894" ht="15.75" customHeight="1">
      <c r="A5894" s="368" t="s">
        <v>1101</v>
      </c>
      <c r="B5894" s="368" t="s">
        <v>22</v>
      </c>
      <c r="C5894" s="369" t="s">
        <v>623</v>
      </c>
      <c r="D5894" s="368" t="s">
        <v>624</v>
      </c>
      <c r="E5894" s="370">
        <v>13.0</v>
      </c>
      <c r="F5894" s="371">
        <v>46184.58333333333</v>
      </c>
      <c r="G5894" s="368" t="s">
        <v>1185</v>
      </c>
      <c r="H5894" s="368" t="s">
        <v>1231</v>
      </c>
    </row>
    <row r="5895" ht="15.75" customHeight="1">
      <c r="A5895" s="368" t="s">
        <v>1101</v>
      </c>
      <c r="B5895" s="368" t="s">
        <v>22</v>
      </c>
      <c r="C5895" s="369" t="s">
        <v>623</v>
      </c>
      <c r="D5895" s="368" t="s">
        <v>624</v>
      </c>
      <c r="E5895" s="370">
        <v>14.0</v>
      </c>
      <c r="F5895" s="371">
        <v>46198.45833333333</v>
      </c>
      <c r="G5895" s="368" t="s">
        <v>1187</v>
      </c>
      <c r="H5895" s="368" t="s">
        <v>1231</v>
      </c>
    </row>
    <row r="5896" ht="15.75" customHeight="1">
      <c r="A5896" s="368" t="s">
        <v>1101</v>
      </c>
      <c r="B5896" s="368" t="s">
        <v>22</v>
      </c>
      <c r="C5896" s="369" t="s">
        <v>623</v>
      </c>
      <c r="D5896" s="368" t="s">
        <v>624</v>
      </c>
      <c r="E5896" s="370">
        <v>15.0</v>
      </c>
      <c r="F5896" s="371">
        <v>46205.58333333333</v>
      </c>
      <c r="G5896" s="368" t="s">
        <v>1187</v>
      </c>
      <c r="H5896" s="368" t="s">
        <v>1231</v>
      </c>
    </row>
    <row r="5897" ht="15.75" customHeight="1">
      <c r="A5897" s="368" t="s">
        <v>1101</v>
      </c>
      <c r="B5897" s="368" t="s">
        <v>22</v>
      </c>
      <c r="C5897" s="369" t="s">
        <v>623</v>
      </c>
      <c r="D5897" s="368" t="s">
        <v>624</v>
      </c>
      <c r="E5897" s="370">
        <v>16.0</v>
      </c>
      <c r="F5897" s="371">
        <v>46212.58333333333</v>
      </c>
      <c r="G5897" s="368" t="s">
        <v>1187</v>
      </c>
      <c r="H5897" s="368" t="s">
        <v>1231</v>
      </c>
    </row>
    <row r="5898" ht="15.75" customHeight="1">
      <c r="A5898" s="368" t="s">
        <v>1103</v>
      </c>
      <c r="B5898" s="368" t="s">
        <v>22</v>
      </c>
      <c r="C5898" s="369" t="s">
        <v>693</v>
      </c>
      <c r="D5898" s="368" t="s">
        <v>694</v>
      </c>
      <c r="E5898" s="370">
        <v>3.0</v>
      </c>
      <c r="F5898" s="371">
        <v>46113.58333333333</v>
      </c>
      <c r="G5898" s="368" t="s">
        <v>1185</v>
      </c>
      <c r="H5898" s="368" t="s">
        <v>1232</v>
      </c>
    </row>
    <row r="5899" ht="15.75" customHeight="1">
      <c r="A5899" s="368" t="s">
        <v>1103</v>
      </c>
      <c r="B5899" s="368" t="s">
        <v>22</v>
      </c>
      <c r="C5899" s="369" t="s">
        <v>693</v>
      </c>
      <c r="D5899" s="368" t="s">
        <v>694</v>
      </c>
      <c r="E5899" s="370">
        <v>4.0</v>
      </c>
      <c r="F5899" s="371">
        <v>46120.41666666667</v>
      </c>
      <c r="G5899" s="368" t="s">
        <v>1185</v>
      </c>
      <c r="H5899" s="368" t="s">
        <v>1232</v>
      </c>
    </row>
    <row r="5900" ht="15.75" customHeight="1">
      <c r="A5900" s="368" t="s">
        <v>1103</v>
      </c>
      <c r="B5900" s="368" t="s">
        <v>22</v>
      </c>
      <c r="C5900" s="369" t="s">
        <v>693</v>
      </c>
      <c r="D5900" s="368" t="s">
        <v>694</v>
      </c>
      <c r="E5900" s="370">
        <v>5.0</v>
      </c>
      <c r="F5900" s="371">
        <v>46127.41666666667</v>
      </c>
      <c r="G5900" s="368" t="s">
        <v>1187</v>
      </c>
      <c r="H5900" s="368" t="s">
        <v>1232</v>
      </c>
    </row>
    <row r="5901" ht="15.75" customHeight="1">
      <c r="A5901" s="368" t="s">
        <v>1103</v>
      </c>
      <c r="B5901" s="368" t="s">
        <v>22</v>
      </c>
      <c r="C5901" s="369" t="s">
        <v>693</v>
      </c>
      <c r="D5901" s="368" t="s">
        <v>694</v>
      </c>
      <c r="E5901" s="370">
        <v>6.0</v>
      </c>
      <c r="F5901" s="371">
        <v>46134.41666666667</v>
      </c>
      <c r="G5901" s="368" t="s">
        <v>1185</v>
      </c>
      <c r="H5901" s="368" t="s">
        <v>1232</v>
      </c>
    </row>
    <row r="5902" ht="15.75" customHeight="1">
      <c r="A5902" s="368" t="s">
        <v>1103</v>
      </c>
      <c r="B5902" s="368" t="s">
        <v>22</v>
      </c>
      <c r="C5902" s="369" t="s">
        <v>693</v>
      </c>
      <c r="D5902" s="368" t="s">
        <v>694</v>
      </c>
      <c r="E5902" s="370">
        <v>7.0</v>
      </c>
      <c r="F5902" s="371">
        <v>46148.45833333333</v>
      </c>
      <c r="G5902" s="368" t="s">
        <v>1185</v>
      </c>
      <c r="H5902" s="368" t="s">
        <v>1232</v>
      </c>
    </row>
    <row r="5903" ht="15.75" customHeight="1">
      <c r="A5903" s="368" t="s">
        <v>1103</v>
      </c>
      <c r="B5903" s="368" t="s">
        <v>22</v>
      </c>
      <c r="C5903" s="369" t="s">
        <v>693</v>
      </c>
      <c r="D5903" s="368" t="s">
        <v>694</v>
      </c>
      <c r="E5903" s="370">
        <v>8.0</v>
      </c>
      <c r="F5903" s="371">
        <v>46154.41666666667</v>
      </c>
      <c r="G5903" s="368" t="s">
        <v>1185</v>
      </c>
      <c r="H5903" s="368" t="s">
        <v>1232</v>
      </c>
    </row>
    <row r="5904" ht="15.75" customHeight="1">
      <c r="A5904" s="368" t="s">
        <v>1103</v>
      </c>
      <c r="B5904" s="368" t="s">
        <v>22</v>
      </c>
      <c r="C5904" s="369" t="s">
        <v>693</v>
      </c>
      <c r="D5904" s="368" t="s">
        <v>694</v>
      </c>
      <c r="E5904" s="370">
        <v>9.0</v>
      </c>
      <c r="F5904" s="371">
        <v>46163.58333333333</v>
      </c>
      <c r="G5904" s="368" t="s">
        <v>1185</v>
      </c>
      <c r="H5904" s="368" t="s">
        <v>1232</v>
      </c>
    </row>
    <row r="5905" ht="15.75" customHeight="1">
      <c r="A5905" s="368" t="s">
        <v>1103</v>
      </c>
      <c r="B5905" s="368" t="s">
        <v>22</v>
      </c>
      <c r="C5905" s="369" t="s">
        <v>693</v>
      </c>
      <c r="D5905" s="368" t="s">
        <v>694</v>
      </c>
      <c r="E5905" s="370">
        <v>10.0</v>
      </c>
      <c r="F5905" s="371">
        <v>46168.41666666667</v>
      </c>
      <c r="G5905" s="368" t="s">
        <v>1185</v>
      </c>
      <c r="H5905" s="368" t="s">
        <v>1232</v>
      </c>
    </row>
    <row r="5906" ht="15.75" customHeight="1">
      <c r="A5906" s="368" t="s">
        <v>1103</v>
      </c>
      <c r="B5906" s="368" t="s">
        <v>22</v>
      </c>
      <c r="C5906" s="369" t="s">
        <v>693</v>
      </c>
      <c r="D5906" s="368" t="s">
        <v>694</v>
      </c>
      <c r="E5906" s="370">
        <v>11.0</v>
      </c>
      <c r="F5906" s="371">
        <v>46183.45833333333</v>
      </c>
      <c r="G5906" s="368" t="s">
        <v>1185</v>
      </c>
      <c r="H5906" s="368" t="s">
        <v>1232</v>
      </c>
    </row>
    <row r="5907" ht="15.75" customHeight="1">
      <c r="A5907" s="368" t="s">
        <v>1103</v>
      </c>
      <c r="B5907" s="368" t="s">
        <v>22</v>
      </c>
      <c r="C5907" s="369" t="s">
        <v>693</v>
      </c>
      <c r="D5907" s="368" t="s">
        <v>694</v>
      </c>
      <c r="E5907" s="370">
        <v>12.0</v>
      </c>
      <c r="F5907" s="371">
        <v>46191.625</v>
      </c>
      <c r="G5907" s="368" t="s">
        <v>1185</v>
      </c>
      <c r="H5907" s="368" t="s">
        <v>1232</v>
      </c>
    </row>
    <row r="5908" ht="15.75" customHeight="1">
      <c r="A5908" s="368" t="s">
        <v>1103</v>
      </c>
      <c r="B5908" s="368" t="s">
        <v>22</v>
      </c>
      <c r="C5908" s="369" t="s">
        <v>693</v>
      </c>
      <c r="D5908" s="368" t="s">
        <v>694</v>
      </c>
      <c r="E5908" s="370">
        <v>13.0</v>
      </c>
      <c r="F5908" s="371">
        <v>46197.45833333333</v>
      </c>
      <c r="G5908" s="368" t="s">
        <v>1185</v>
      </c>
      <c r="H5908" s="368" t="s">
        <v>1232</v>
      </c>
    </row>
    <row r="5909" ht="15.75" customHeight="1">
      <c r="A5909" s="368" t="s">
        <v>1103</v>
      </c>
      <c r="B5909" s="368" t="s">
        <v>22</v>
      </c>
      <c r="C5909" s="369" t="s">
        <v>693</v>
      </c>
      <c r="D5909" s="368" t="s">
        <v>694</v>
      </c>
      <c r="E5909" s="370">
        <v>14.0</v>
      </c>
      <c r="F5909" s="371">
        <v>46205.54166666667</v>
      </c>
      <c r="G5909" s="368" t="s">
        <v>1187</v>
      </c>
      <c r="H5909" s="368" t="s">
        <v>1232</v>
      </c>
    </row>
    <row r="5910" ht="15.75" customHeight="1">
      <c r="A5910" s="368" t="s">
        <v>1103</v>
      </c>
      <c r="B5910" s="368" t="s">
        <v>22</v>
      </c>
      <c r="C5910" s="369" t="s">
        <v>693</v>
      </c>
      <c r="D5910" s="368" t="s">
        <v>694</v>
      </c>
      <c r="E5910" s="370">
        <v>15.0</v>
      </c>
      <c r="F5910" s="371">
        <v>46212.54166666667</v>
      </c>
      <c r="G5910" s="368" t="s">
        <v>1185</v>
      </c>
      <c r="H5910" s="368" t="s">
        <v>1232</v>
      </c>
    </row>
    <row r="5911" ht="15.75" customHeight="1">
      <c r="A5911" s="368" t="s">
        <v>1103</v>
      </c>
      <c r="B5911" s="368" t="s">
        <v>22</v>
      </c>
      <c r="C5911" s="369" t="s">
        <v>695</v>
      </c>
      <c r="D5911" s="368" t="s">
        <v>696</v>
      </c>
      <c r="E5911" s="370">
        <v>3.0</v>
      </c>
      <c r="F5911" s="371">
        <v>46113.58333333333</v>
      </c>
      <c r="G5911" s="368" t="s">
        <v>1185</v>
      </c>
      <c r="H5911" s="368" t="s">
        <v>1232</v>
      </c>
    </row>
    <row r="5912" ht="15.75" customHeight="1">
      <c r="A5912" s="368" t="s">
        <v>1103</v>
      </c>
      <c r="B5912" s="368" t="s">
        <v>22</v>
      </c>
      <c r="C5912" s="369" t="s">
        <v>695</v>
      </c>
      <c r="D5912" s="368" t="s">
        <v>696</v>
      </c>
      <c r="E5912" s="370">
        <v>4.0</v>
      </c>
      <c r="F5912" s="371">
        <v>46120.41666666667</v>
      </c>
      <c r="G5912" s="368" t="s">
        <v>1185</v>
      </c>
      <c r="H5912" s="368" t="s">
        <v>1232</v>
      </c>
    </row>
    <row r="5913" ht="15.75" customHeight="1">
      <c r="A5913" s="368" t="s">
        <v>1103</v>
      </c>
      <c r="B5913" s="368" t="s">
        <v>22</v>
      </c>
      <c r="C5913" s="369" t="s">
        <v>695</v>
      </c>
      <c r="D5913" s="368" t="s">
        <v>696</v>
      </c>
      <c r="E5913" s="370">
        <v>5.0</v>
      </c>
      <c r="F5913" s="371">
        <v>46127.41666666667</v>
      </c>
      <c r="G5913" s="368" t="s">
        <v>1185</v>
      </c>
      <c r="H5913" s="368" t="s">
        <v>1232</v>
      </c>
    </row>
    <row r="5914" ht="15.75" customHeight="1">
      <c r="A5914" s="368" t="s">
        <v>1103</v>
      </c>
      <c r="B5914" s="368" t="s">
        <v>22</v>
      </c>
      <c r="C5914" s="369" t="s">
        <v>695</v>
      </c>
      <c r="D5914" s="368" t="s">
        <v>696</v>
      </c>
      <c r="E5914" s="370">
        <v>6.0</v>
      </c>
      <c r="F5914" s="371">
        <v>46134.41666666667</v>
      </c>
      <c r="G5914" s="368" t="s">
        <v>1185</v>
      </c>
      <c r="H5914" s="368" t="s">
        <v>1232</v>
      </c>
    </row>
    <row r="5915" ht="15.75" customHeight="1">
      <c r="A5915" s="368" t="s">
        <v>1103</v>
      </c>
      <c r="B5915" s="368" t="s">
        <v>22</v>
      </c>
      <c r="C5915" s="369" t="s">
        <v>695</v>
      </c>
      <c r="D5915" s="368" t="s">
        <v>696</v>
      </c>
      <c r="E5915" s="370">
        <v>7.0</v>
      </c>
      <c r="F5915" s="371">
        <v>46148.45833333333</v>
      </c>
      <c r="G5915" s="368" t="s">
        <v>1185</v>
      </c>
      <c r="H5915" s="368" t="s">
        <v>1232</v>
      </c>
    </row>
    <row r="5916" ht="15.75" customHeight="1">
      <c r="A5916" s="368" t="s">
        <v>1103</v>
      </c>
      <c r="B5916" s="368" t="s">
        <v>22</v>
      </c>
      <c r="C5916" s="369" t="s">
        <v>695</v>
      </c>
      <c r="D5916" s="368" t="s">
        <v>696</v>
      </c>
      <c r="E5916" s="370">
        <v>8.0</v>
      </c>
      <c r="F5916" s="371">
        <v>46154.41666666667</v>
      </c>
      <c r="G5916" s="368" t="s">
        <v>1187</v>
      </c>
      <c r="H5916" s="368" t="s">
        <v>1232</v>
      </c>
    </row>
    <row r="5917" ht="15.75" customHeight="1">
      <c r="A5917" s="368" t="s">
        <v>1103</v>
      </c>
      <c r="B5917" s="368" t="s">
        <v>22</v>
      </c>
      <c r="C5917" s="369" t="s">
        <v>695</v>
      </c>
      <c r="D5917" s="368" t="s">
        <v>696</v>
      </c>
      <c r="E5917" s="370">
        <v>9.0</v>
      </c>
      <c r="F5917" s="371">
        <v>46163.58333333333</v>
      </c>
      <c r="G5917" s="368" t="s">
        <v>1185</v>
      </c>
      <c r="H5917" s="368" t="s">
        <v>1232</v>
      </c>
    </row>
    <row r="5918" ht="15.75" customHeight="1">
      <c r="A5918" s="368" t="s">
        <v>1103</v>
      </c>
      <c r="B5918" s="368" t="s">
        <v>22</v>
      </c>
      <c r="C5918" s="369" t="s">
        <v>695</v>
      </c>
      <c r="D5918" s="368" t="s">
        <v>696</v>
      </c>
      <c r="E5918" s="370">
        <v>10.0</v>
      </c>
      <c r="F5918" s="371">
        <v>46168.41666666667</v>
      </c>
      <c r="G5918" s="368" t="s">
        <v>1185</v>
      </c>
      <c r="H5918" s="368" t="s">
        <v>1232</v>
      </c>
    </row>
    <row r="5919" ht="15.75" customHeight="1">
      <c r="A5919" s="368" t="s">
        <v>1103</v>
      </c>
      <c r="B5919" s="368" t="s">
        <v>22</v>
      </c>
      <c r="C5919" s="369" t="s">
        <v>695</v>
      </c>
      <c r="D5919" s="368" t="s">
        <v>696</v>
      </c>
      <c r="E5919" s="370">
        <v>11.0</v>
      </c>
      <c r="F5919" s="371">
        <v>46183.45833333333</v>
      </c>
      <c r="G5919" s="368" t="s">
        <v>1185</v>
      </c>
      <c r="H5919" s="368" t="s">
        <v>1232</v>
      </c>
    </row>
    <row r="5920" ht="15.75" customHeight="1">
      <c r="A5920" s="368" t="s">
        <v>1103</v>
      </c>
      <c r="B5920" s="368" t="s">
        <v>22</v>
      </c>
      <c r="C5920" s="369" t="s">
        <v>695</v>
      </c>
      <c r="D5920" s="368" t="s">
        <v>696</v>
      </c>
      <c r="E5920" s="370">
        <v>12.0</v>
      </c>
      <c r="F5920" s="371">
        <v>46191.625</v>
      </c>
      <c r="G5920" s="368" t="s">
        <v>1187</v>
      </c>
      <c r="H5920" s="368" t="s">
        <v>1232</v>
      </c>
    </row>
    <row r="5921" ht="15.75" customHeight="1">
      <c r="A5921" s="368" t="s">
        <v>1103</v>
      </c>
      <c r="B5921" s="368" t="s">
        <v>22</v>
      </c>
      <c r="C5921" s="369" t="s">
        <v>695</v>
      </c>
      <c r="D5921" s="368" t="s">
        <v>696</v>
      </c>
      <c r="E5921" s="370">
        <v>13.0</v>
      </c>
      <c r="F5921" s="371">
        <v>46197.45833333333</v>
      </c>
      <c r="G5921" s="368" t="s">
        <v>1185</v>
      </c>
      <c r="H5921" s="368" t="s">
        <v>1232</v>
      </c>
    </row>
    <row r="5922" ht="15.75" customHeight="1">
      <c r="A5922" s="368" t="s">
        <v>1103</v>
      </c>
      <c r="B5922" s="368" t="s">
        <v>22</v>
      </c>
      <c r="C5922" s="369" t="s">
        <v>695</v>
      </c>
      <c r="D5922" s="368" t="s">
        <v>696</v>
      </c>
      <c r="E5922" s="370">
        <v>14.0</v>
      </c>
      <c r="F5922" s="371">
        <v>46205.54166666667</v>
      </c>
      <c r="G5922" s="368" t="s">
        <v>1185</v>
      </c>
      <c r="H5922" s="368" t="s">
        <v>1232</v>
      </c>
    </row>
    <row r="5923" ht="15.75" customHeight="1">
      <c r="A5923" s="368" t="s">
        <v>1103</v>
      </c>
      <c r="B5923" s="368" t="s">
        <v>22</v>
      </c>
      <c r="C5923" s="369" t="s">
        <v>695</v>
      </c>
      <c r="D5923" s="368" t="s">
        <v>696</v>
      </c>
      <c r="E5923" s="370">
        <v>15.0</v>
      </c>
      <c r="F5923" s="371">
        <v>46212.54166666667</v>
      </c>
      <c r="G5923" s="368" t="s">
        <v>1185</v>
      </c>
      <c r="H5923" s="368" t="s">
        <v>1232</v>
      </c>
    </row>
    <row r="5924" ht="15.75" customHeight="1">
      <c r="A5924" s="368" t="s">
        <v>1103</v>
      </c>
      <c r="B5924" s="368" t="s">
        <v>22</v>
      </c>
      <c r="C5924" s="369" t="s">
        <v>691</v>
      </c>
      <c r="D5924" s="368" t="s">
        <v>692</v>
      </c>
      <c r="E5924" s="370">
        <v>3.0</v>
      </c>
      <c r="F5924" s="371">
        <v>46113.58333333333</v>
      </c>
      <c r="G5924" s="368" t="s">
        <v>1185</v>
      </c>
      <c r="H5924" s="368" t="s">
        <v>1232</v>
      </c>
    </row>
    <row r="5925" ht="15.75" customHeight="1">
      <c r="A5925" s="368" t="s">
        <v>1103</v>
      </c>
      <c r="B5925" s="368" t="s">
        <v>22</v>
      </c>
      <c r="C5925" s="369" t="s">
        <v>691</v>
      </c>
      <c r="D5925" s="368" t="s">
        <v>692</v>
      </c>
      <c r="E5925" s="370">
        <v>4.0</v>
      </c>
      <c r="F5925" s="371">
        <v>46120.41666666667</v>
      </c>
      <c r="G5925" s="368" t="s">
        <v>1185</v>
      </c>
      <c r="H5925" s="368" t="s">
        <v>1232</v>
      </c>
    </row>
    <row r="5926" ht="15.75" customHeight="1">
      <c r="A5926" s="368" t="s">
        <v>1103</v>
      </c>
      <c r="B5926" s="368" t="s">
        <v>22</v>
      </c>
      <c r="C5926" s="369" t="s">
        <v>691</v>
      </c>
      <c r="D5926" s="368" t="s">
        <v>692</v>
      </c>
      <c r="E5926" s="370">
        <v>5.0</v>
      </c>
      <c r="F5926" s="371">
        <v>46127.41666666667</v>
      </c>
      <c r="G5926" s="368" t="s">
        <v>1185</v>
      </c>
      <c r="H5926" s="368" t="s">
        <v>1232</v>
      </c>
    </row>
    <row r="5927" ht="15.75" customHeight="1">
      <c r="A5927" s="368" t="s">
        <v>1103</v>
      </c>
      <c r="B5927" s="368" t="s">
        <v>22</v>
      </c>
      <c r="C5927" s="369" t="s">
        <v>691</v>
      </c>
      <c r="D5927" s="368" t="s">
        <v>692</v>
      </c>
      <c r="E5927" s="370">
        <v>6.0</v>
      </c>
      <c r="F5927" s="371">
        <v>46134.41666666667</v>
      </c>
      <c r="G5927" s="368" t="s">
        <v>1185</v>
      </c>
      <c r="H5927" s="368" t="s">
        <v>1232</v>
      </c>
    </row>
    <row r="5928" ht="15.75" customHeight="1">
      <c r="A5928" s="368" t="s">
        <v>1103</v>
      </c>
      <c r="B5928" s="368" t="s">
        <v>22</v>
      </c>
      <c r="C5928" s="369" t="s">
        <v>691</v>
      </c>
      <c r="D5928" s="368" t="s">
        <v>692</v>
      </c>
      <c r="E5928" s="370">
        <v>7.0</v>
      </c>
      <c r="F5928" s="371">
        <v>46148.45833333333</v>
      </c>
      <c r="G5928" s="368" t="s">
        <v>1187</v>
      </c>
      <c r="H5928" s="368" t="s">
        <v>1232</v>
      </c>
    </row>
    <row r="5929" ht="15.75" customHeight="1">
      <c r="A5929" s="368" t="s">
        <v>1103</v>
      </c>
      <c r="B5929" s="368" t="s">
        <v>22</v>
      </c>
      <c r="C5929" s="369" t="s">
        <v>691</v>
      </c>
      <c r="D5929" s="368" t="s">
        <v>692</v>
      </c>
      <c r="E5929" s="370">
        <v>8.0</v>
      </c>
      <c r="F5929" s="371">
        <v>46154.41666666667</v>
      </c>
      <c r="G5929" s="368" t="s">
        <v>1185</v>
      </c>
      <c r="H5929" s="368" t="s">
        <v>1232</v>
      </c>
    </row>
    <row r="5930" ht="15.75" customHeight="1">
      <c r="A5930" s="368" t="s">
        <v>1103</v>
      </c>
      <c r="B5930" s="368" t="s">
        <v>22</v>
      </c>
      <c r="C5930" s="369" t="s">
        <v>691</v>
      </c>
      <c r="D5930" s="368" t="s">
        <v>692</v>
      </c>
      <c r="E5930" s="370">
        <v>9.0</v>
      </c>
      <c r="F5930" s="371">
        <v>46163.58333333333</v>
      </c>
      <c r="G5930" s="368" t="s">
        <v>1187</v>
      </c>
      <c r="H5930" s="368" t="s">
        <v>1232</v>
      </c>
    </row>
    <row r="5931" ht="15.75" customHeight="1">
      <c r="A5931" s="368" t="s">
        <v>1103</v>
      </c>
      <c r="B5931" s="368" t="s">
        <v>22</v>
      </c>
      <c r="C5931" s="369" t="s">
        <v>691</v>
      </c>
      <c r="D5931" s="368" t="s">
        <v>692</v>
      </c>
      <c r="E5931" s="370">
        <v>10.0</v>
      </c>
      <c r="F5931" s="371">
        <v>46168.41666666667</v>
      </c>
      <c r="G5931" s="368" t="s">
        <v>1185</v>
      </c>
      <c r="H5931" s="368" t="s">
        <v>1232</v>
      </c>
    </row>
    <row r="5932" ht="15.75" customHeight="1">
      <c r="A5932" s="368" t="s">
        <v>1103</v>
      </c>
      <c r="B5932" s="368" t="s">
        <v>22</v>
      </c>
      <c r="C5932" s="369" t="s">
        <v>691</v>
      </c>
      <c r="D5932" s="368" t="s">
        <v>692</v>
      </c>
      <c r="E5932" s="370">
        <v>11.0</v>
      </c>
      <c r="F5932" s="371">
        <v>46183.45833333333</v>
      </c>
      <c r="G5932" s="368" t="s">
        <v>1185</v>
      </c>
      <c r="H5932" s="368" t="s">
        <v>1232</v>
      </c>
    </row>
    <row r="5933" ht="15.75" customHeight="1">
      <c r="A5933" s="368" t="s">
        <v>1103</v>
      </c>
      <c r="B5933" s="368" t="s">
        <v>22</v>
      </c>
      <c r="C5933" s="369" t="s">
        <v>691</v>
      </c>
      <c r="D5933" s="368" t="s">
        <v>692</v>
      </c>
      <c r="E5933" s="370">
        <v>12.0</v>
      </c>
      <c r="F5933" s="371">
        <v>46191.625</v>
      </c>
      <c r="G5933" s="368" t="s">
        <v>1185</v>
      </c>
      <c r="H5933" s="368" t="s">
        <v>1232</v>
      </c>
    </row>
    <row r="5934" ht="15.75" customHeight="1">
      <c r="A5934" s="368" t="s">
        <v>1103</v>
      </c>
      <c r="B5934" s="368" t="s">
        <v>22</v>
      </c>
      <c r="C5934" s="369" t="s">
        <v>691</v>
      </c>
      <c r="D5934" s="368" t="s">
        <v>692</v>
      </c>
      <c r="E5934" s="370">
        <v>13.0</v>
      </c>
      <c r="F5934" s="371">
        <v>46197.45833333333</v>
      </c>
      <c r="G5934" s="368" t="s">
        <v>1185</v>
      </c>
      <c r="H5934" s="368" t="s">
        <v>1232</v>
      </c>
    </row>
    <row r="5935" ht="15.75" customHeight="1">
      <c r="A5935" s="368" t="s">
        <v>1103</v>
      </c>
      <c r="B5935" s="368" t="s">
        <v>22</v>
      </c>
      <c r="C5935" s="369" t="s">
        <v>691</v>
      </c>
      <c r="D5935" s="368" t="s">
        <v>692</v>
      </c>
      <c r="E5935" s="370">
        <v>14.0</v>
      </c>
      <c r="F5935" s="371">
        <v>46205.54166666667</v>
      </c>
      <c r="G5935" s="368" t="s">
        <v>1185</v>
      </c>
      <c r="H5935" s="368" t="s">
        <v>1232</v>
      </c>
    </row>
    <row r="5936" ht="15.75" customHeight="1">
      <c r="A5936" s="368" t="s">
        <v>1103</v>
      </c>
      <c r="B5936" s="368" t="s">
        <v>22</v>
      </c>
      <c r="C5936" s="369" t="s">
        <v>691</v>
      </c>
      <c r="D5936" s="368" t="s">
        <v>692</v>
      </c>
      <c r="E5936" s="370">
        <v>15.0</v>
      </c>
      <c r="F5936" s="371">
        <v>46212.54166666667</v>
      </c>
      <c r="G5936" s="368" t="s">
        <v>1185</v>
      </c>
      <c r="H5936" s="368" t="s">
        <v>1232</v>
      </c>
    </row>
    <row r="5937" ht="15.75" customHeight="1">
      <c r="A5937" s="368" t="s">
        <v>1103</v>
      </c>
      <c r="B5937" s="368" t="s">
        <v>22</v>
      </c>
      <c r="C5937" s="369" t="s">
        <v>697</v>
      </c>
      <c r="D5937" s="368" t="s">
        <v>698</v>
      </c>
      <c r="E5937" s="370">
        <v>3.0</v>
      </c>
      <c r="F5937" s="371">
        <v>46113.58333333333</v>
      </c>
      <c r="G5937" s="368" t="s">
        <v>1187</v>
      </c>
      <c r="H5937" s="368" t="s">
        <v>1232</v>
      </c>
    </row>
    <row r="5938" ht="15.75" customHeight="1">
      <c r="A5938" s="368" t="s">
        <v>1103</v>
      </c>
      <c r="B5938" s="368" t="s">
        <v>22</v>
      </c>
      <c r="C5938" s="369" t="s">
        <v>697</v>
      </c>
      <c r="D5938" s="368" t="s">
        <v>698</v>
      </c>
      <c r="E5938" s="370">
        <v>4.0</v>
      </c>
      <c r="F5938" s="371">
        <v>46120.41666666667</v>
      </c>
      <c r="G5938" s="368" t="s">
        <v>1185</v>
      </c>
      <c r="H5938" s="368" t="s">
        <v>1232</v>
      </c>
    </row>
    <row r="5939" ht="15.75" customHeight="1">
      <c r="A5939" s="368" t="s">
        <v>1103</v>
      </c>
      <c r="B5939" s="368" t="s">
        <v>22</v>
      </c>
      <c r="C5939" s="369" t="s">
        <v>697</v>
      </c>
      <c r="D5939" s="368" t="s">
        <v>698</v>
      </c>
      <c r="E5939" s="370">
        <v>5.0</v>
      </c>
      <c r="F5939" s="371">
        <v>46127.41666666667</v>
      </c>
      <c r="G5939" s="368" t="s">
        <v>1185</v>
      </c>
      <c r="H5939" s="368" t="s">
        <v>1232</v>
      </c>
    </row>
    <row r="5940" ht="15.75" customHeight="1">
      <c r="A5940" s="368" t="s">
        <v>1103</v>
      </c>
      <c r="B5940" s="368" t="s">
        <v>22</v>
      </c>
      <c r="C5940" s="369" t="s">
        <v>697</v>
      </c>
      <c r="D5940" s="368" t="s">
        <v>698</v>
      </c>
      <c r="E5940" s="370">
        <v>6.0</v>
      </c>
      <c r="F5940" s="371">
        <v>46134.41666666667</v>
      </c>
      <c r="G5940" s="368" t="s">
        <v>1185</v>
      </c>
      <c r="H5940" s="368" t="s">
        <v>1232</v>
      </c>
    </row>
    <row r="5941" ht="15.75" customHeight="1">
      <c r="A5941" s="368" t="s">
        <v>1103</v>
      </c>
      <c r="B5941" s="368" t="s">
        <v>22</v>
      </c>
      <c r="C5941" s="369" t="s">
        <v>697</v>
      </c>
      <c r="D5941" s="368" t="s">
        <v>698</v>
      </c>
      <c r="E5941" s="370">
        <v>7.0</v>
      </c>
      <c r="F5941" s="371">
        <v>46148.45833333333</v>
      </c>
      <c r="G5941" s="368" t="s">
        <v>1185</v>
      </c>
      <c r="H5941" s="368" t="s">
        <v>1232</v>
      </c>
    </row>
    <row r="5942" ht="15.75" customHeight="1">
      <c r="A5942" s="368" t="s">
        <v>1103</v>
      </c>
      <c r="B5942" s="368" t="s">
        <v>22</v>
      </c>
      <c r="C5942" s="369" t="s">
        <v>697</v>
      </c>
      <c r="D5942" s="368" t="s">
        <v>698</v>
      </c>
      <c r="E5942" s="370">
        <v>8.0</v>
      </c>
      <c r="F5942" s="371">
        <v>46154.41666666667</v>
      </c>
      <c r="G5942" s="368" t="s">
        <v>1185</v>
      </c>
      <c r="H5942" s="368" t="s">
        <v>1232</v>
      </c>
    </row>
    <row r="5943" ht="15.75" customHeight="1">
      <c r="A5943" s="368" t="s">
        <v>1103</v>
      </c>
      <c r="B5943" s="368" t="s">
        <v>22</v>
      </c>
      <c r="C5943" s="369" t="s">
        <v>697</v>
      </c>
      <c r="D5943" s="368" t="s">
        <v>698</v>
      </c>
      <c r="E5943" s="370">
        <v>9.0</v>
      </c>
      <c r="F5943" s="371">
        <v>46163.58333333333</v>
      </c>
      <c r="G5943" s="368" t="s">
        <v>1185</v>
      </c>
      <c r="H5943" s="368" t="s">
        <v>1232</v>
      </c>
    </row>
    <row r="5944" ht="15.75" customHeight="1">
      <c r="A5944" s="368" t="s">
        <v>1103</v>
      </c>
      <c r="B5944" s="368" t="s">
        <v>22</v>
      </c>
      <c r="C5944" s="369" t="s">
        <v>697</v>
      </c>
      <c r="D5944" s="368" t="s">
        <v>698</v>
      </c>
      <c r="E5944" s="370">
        <v>10.0</v>
      </c>
      <c r="F5944" s="371">
        <v>46168.41666666667</v>
      </c>
      <c r="G5944" s="368" t="s">
        <v>1185</v>
      </c>
      <c r="H5944" s="368" t="s">
        <v>1232</v>
      </c>
    </row>
    <row r="5945" ht="15.75" customHeight="1">
      <c r="A5945" s="368" t="s">
        <v>1103</v>
      </c>
      <c r="B5945" s="368" t="s">
        <v>22</v>
      </c>
      <c r="C5945" s="369" t="s">
        <v>697</v>
      </c>
      <c r="D5945" s="368" t="s">
        <v>698</v>
      </c>
      <c r="E5945" s="370">
        <v>11.0</v>
      </c>
      <c r="F5945" s="371">
        <v>46183.45833333333</v>
      </c>
      <c r="G5945" s="368" t="s">
        <v>1187</v>
      </c>
      <c r="H5945" s="368" t="s">
        <v>1232</v>
      </c>
    </row>
    <row r="5946" ht="15.75" customHeight="1">
      <c r="A5946" s="368" t="s">
        <v>1103</v>
      </c>
      <c r="B5946" s="368" t="s">
        <v>22</v>
      </c>
      <c r="C5946" s="369" t="s">
        <v>697</v>
      </c>
      <c r="D5946" s="368" t="s">
        <v>698</v>
      </c>
      <c r="E5946" s="370">
        <v>12.0</v>
      </c>
      <c r="F5946" s="371">
        <v>46191.625</v>
      </c>
      <c r="G5946" s="368" t="s">
        <v>1185</v>
      </c>
      <c r="H5946" s="368" t="s">
        <v>1232</v>
      </c>
    </row>
    <row r="5947" ht="15.75" customHeight="1">
      <c r="A5947" s="368" t="s">
        <v>1103</v>
      </c>
      <c r="B5947" s="368" t="s">
        <v>22</v>
      </c>
      <c r="C5947" s="369" t="s">
        <v>697</v>
      </c>
      <c r="D5947" s="368" t="s">
        <v>698</v>
      </c>
      <c r="E5947" s="370">
        <v>13.0</v>
      </c>
      <c r="F5947" s="371">
        <v>46197.45833333333</v>
      </c>
      <c r="G5947" s="368" t="s">
        <v>1185</v>
      </c>
      <c r="H5947" s="368" t="s">
        <v>1232</v>
      </c>
    </row>
    <row r="5948" ht="15.75" customHeight="1">
      <c r="A5948" s="368" t="s">
        <v>1103</v>
      </c>
      <c r="B5948" s="368" t="s">
        <v>22</v>
      </c>
      <c r="C5948" s="369" t="s">
        <v>697</v>
      </c>
      <c r="D5948" s="368" t="s">
        <v>698</v>
      </c>
      <c r="E5948" s="370">
        <v>14.0</v>
      </c>
      <c r="F5948" s="371">
        <v>46205.54166666667</v>
      </c>
      <c r="G5948" s="368" t="s">
        <v>1187</v>
      </c>
      <c r="H5948" s="368" t="s">
        <v>1232</v>
      </c>
    </row>
    <row r="5949" ht="15.75" customHeight="1">
      <c r="A5949" s="368" t="s">
        <v>1103</v>
      </c>
      <c r="B5949" s="368" t="s">
        <v>22</v>
      </c>
      <c r="C5949" s="369" t="s">
        <v>697</v>
      </c>
      <c r="D5949" s="368" t="s">
        <v>698</v>
      </c>
      <c r="E5949" s="370">
        <v>15.0</v>
      </c>
      <c r="F5949" s="371">
        <v>46212.54166666667</v>
      </c>
      <c r="G5949" s="368" t="s">
        <v>1185</v>
      </c>
      <c r="H5949" s="368" t="s">
        <v>1232</v>
      </c>
    </row>
    <row r="5950" ht="15.75" customHeight="1">
      <c r="A5950" s="368" t="s">
        <v>1103</v>
      </c>
      <c r="B5950" s="368" t="s">
        <v>22</v>
      </c>
      <c r="C5950" s="369" t="s">
        <v>699</v>
      </c>
      <c r="D5950" s="368" t="s">
        <v>700</v>
      </c>
      <c r="E5950" s="370">
        <v>3.0</v>
      </c>
      <c r="F5950" s="371">
        <v>46113.58333333333</v>
      </c>
      <c r="G5950" s="368" t="s">
        <v>1185</v>
      </c>
      <c r="H5950" s="368" t="s">
        <v>1232</v>
      </c>
    </row>
    <row r="5951" ht="15.75" customHeight="1">
      <c r="A5951" s="368" t="s">
        <v>1103</v>
      </c>
      <c r="B5951" s="368" t="s">
        <v>22</v>
      </c>
      <c r="C5951" s="369" t="s">
        <v>699</v>
      </c>
      <c r="D5951" s="368" t="s">
        <v>700</v>
      </c>
      <c r="E5951" s="370">
        <v>4.0</v>
      </c>
      <c r="F5951" s="371">
        <v>46120.41666666667</v>
      </c>
      <c r="G5951" s="368" t="s">
        <v>1185</v>
      </c>
      <c r="H5951" s="368" t="s">
        <v>1232</v>
      </c>
    </row>
    <row r="5952" ht="15.75" customHeight="1">
      <c r="A5952" s="368" t="s">
        <v>1103</v>
      </c>
      <c r="B5952" s="368" t="s">
        <v>22</v>
      </c>
      <c r="C5952" s="369" t="s">
        <v>699</v>
      </c>
      <c r="D5952" s="368" t="s">
        <v>700</v>
      </c>
      <c r="E5952" s="370">
        <v>5.0</v>
      </c>
      <c r="F5952" s="371">
        <v>46127.41666666667</v>
      </c>
      <c r="G5952" s="368" t="s">
        <v>1185</v>
      </c>
      <c r="H5952" s="368" t="s">
        <v>1232</v>
      </c>
    </row>
    <row r="5953" ht="15.75" customHeight="1">
      <c r="A5953" s="368" t="s">
        <v>1103</v>
      </c>
      <c r="B5953" s="368" t="s">
        <v>22</v>
      </c>
      <c r="C5953" s="369" t="s">
        <v>699</v>
      </c>
      <c r="D5953" s="368" t="s">
        <v>700</v>
      </c>
      <c r="E5953" s="370">
        <v>6.0</v>
      </c>
      <c r="F5953" s="371">
        <v>46134.41666666667</v>
      </c>
      <c r="G5953" s="368" t="s">
        <v>1185</v>
      </c>
      <c r="H5953" s="368" t="s">
        <v>1232</v>
      </c>
    </row>
    <row r="5954" ht="15.75" customHeight="1">
      <c r="A5954" s="368" t="s">
        <v>1103</v>
      </c>
      <c r="B5954" s="368" t="s">
        <v>22</v>
      </c>
      <c r="C5954" s="369" t="s">
        <v>699</v>
      </c>
      <c r="D5954" s="368" t="s">
        <v>700</v>
      </c>
      <c r="E5954" s="370">
        <v>7.0</v>
      </c>
      <c r="F5954" s="371">
        <v>46148.45833333333</v>
      </c>
      <c r="G5954" s="368" t="s">
        <v>1185</v>
      </c>
      <c r="H5954" s="368" t="s">
        <v>1232</v>
      </c>
    </row>
    <row r="5955" ht="15.75" customHeight="1">
      <c r="A5955" s="368" t="s">
        <v>1103</v>
      </c>
      <c r="B5955" s="368" t="s">
        <v>22</v>
      </c>
      <c r="C5955" s="369" t="s">
        <v>699</v>
      </c>
      <c r="D5955" s="368" t="s">
        <v>700</v>
      </c>
      <c r="E5955" s="370">
        <v>8.0</v>
      </c>
      <c r="F5955" s="371">
        <v>46154.41666666667</v>
      </c>
      <c r="G5955" s="368" t="s">
        <v>1185</v>
      </c>
      <c r="H5955" s="368" t="s">
        <v>1232</v>
      </c>
    </row>
    <row r="5956" ht="15.75" customHeight="1">
      <c r="A5956" s="368" t="s">
        <v>1103</v>
      </c>
      <c r="B5956" s="368" t="s">
        <v>22</v>
      </c>
      <c r="C5956" s="369" t="s">
        <v>699</v>
      </c>
      <c r="D5956" s="368" t="s">
        <v>700</v>
      </c>
      <c r="E5956" s="370">
        <v>9.0</v>
      </c>
      <c r="F5956" s="371">
        <v>46163.58333333333</v>
      </c>
      <c r="G5956" s="368" t="s">
        <v>1185</v>
      </c>
      <c r="H5956" s="368" t="s">
        <v>1232</v>
      </c>
    </row>
    <row r="5957" ht="15.75" customHeight="1">
      <c r="A5957" s="368" t="s">
        <v>1103</v>
      </c>
      <c r="B5957" s="368" t="s">
        <v>22</v>
      </c>
      <c r="C5957" s="369" t="s">
        <v>699</v>
      </c>
      <c r="D5957" s="368" t="s">
        <v>700</v>
      </c>
      <c r="E5957" s="370">
        <v>10.0</v>
      </c>
      <c r="F5957" s="371">
        <v>46168.41666666667</v>
      </c>
      <c r="G5957" s="368" t="s">
        <v>1185</v>
      </c>
      <c r="H5957" s="368" t="s">
        <v>1232</v>
      </c>
    </row>
    <row r="5958" ht="15.75" customHeight="1">
      <c r="A5958" s="368" t="s">
        <v>1103</v>
      </c>
      <c r="B5958" s="368" t="s">
        <v>22</v>
      </c>
      <c r="C5958" s="369" t="s">
        <v>699</v>
      </c>
      <c r="D5958" s="368" t="s">
        <v>700</v>
      </c>
      <c r="E5958" s="370">
        <v>11.0</v>
      </c>
      <c r="F5958" s="371">
        <v>46183.45833333333</v>
      </c>
      <c r="G5958" s="368" t="s">
        <v>1185</v>
      </c>
      <c r="H5958" s="368" t="s">
        <v>1232</v>
      </c>
    </row>
    <row r="5959" ht="15.75" customHeight="1">
      <c r="A5959" s="368" t="s">
        <v>1103</v>
      </c>
      <c r="B5959" s="368" t="s">
        <v>22</v>
      </c>
      <c r="C5959" s="369" t="s">
        <v>699</v>
      </c>
      <c r="D5959" s="368" t="s">
        <v>700</v>
      </c>
      <c r="E5959" s="370">
        <v>12.0</v>
      </c>
      <c r="F5959" s="371">
        <v>46191.625</v>
      </c>
      <c r="G5959" s="368" t="s">
        <v>1185</v>
      </c>
      <c r="H5959" s="368" t="s">
        <v>1232</v>
      </c>
    </row>
    <row r="5960" ht="15.75" customHeight="1">
      <c r="A5960" s="368" t="s">
        <v>1103</v>
      </c>
      <c r="B5960" s="368" t="s">
        <v>22</v>
      </c>
      <c r="C5960" s="369" t="s">
        <v>699</v>
      </c>
      <c r="D5960" s="368" t="s">
        <v>700</v>
      </c>
      <c r="E5960" s="370">
        <v>13.0</v>
      </c>
      <c r="F5960" s="371">
        <v>46197.45833333333</v>
      </c>
      <c r="G5960" s="368" t="s">
        <v>1187</v>
      </c>
      <c r="H5960" s="368" t="s">
        <v>1232</v>
      </c>
    </row>
    <row r="5961" ht="15.75" customHeight="1">
      <c r="A5961" s="368" t="s">
        <v>1103</v>
      </c>
      <c r="B5961" s="368" t="s">
        <v>22</v>
      </c>
      <c r="C5961" s="369" t="s">
        <v>699</v>
      </c>
      <c r="D5961" s="368" t="s">
        <v>700</v>
      </c>
      <c r="E5961" s="370">
        <v>14.0</v>
      </c>
      <c r="F5961" s="371">
        <v>46205.54166666667</v>
      </c>
      <c r="G5961" s="368" t="s">
        <v>1185</v>
      </c>
      <c r="H5961" s="368" t="s">
        <v>1232</v>
      </c>
    </row>
    <row r="5962" ht="15.75" customHeight="1">
      <c r="A5962" s="368" t="s">
        <v>1103</v>
      </c>
      <c r="B5962" s="368" t="s">
        <v>22</v>
      </c>
      <c r="C5962" s="369" t="s">
        <v>699</v>
      </c>
      <c r="D5962" s="368" t="s">
        <v>700</v>
      </c>
      <c r="E5962" s="370">
        <v>15.0</v>
      </c>
      <c r="F5962" s="371">
        <v>46212.54166666667</v>
      </c>
      <c r="G5962" s="368" t="s">
        <v>1185</v>
      </c>
      <c r="H5962" s="368" t="s">
        <v>1232</v>
      </c>
    </row>
    <row r="5963" ht="15.75" customHeight="1">
      <c r="A5963" s="368" t="s">
        <v>1103</v>
      </c>
      <c r="B5963" s="368" t="s">
        <v>22</v>
      </c>
      <c r="C5963" s="369" t="s">
        <v>701</v>
      </c>
      <c r="D5963" s="368" t="s">
        <v>702</v>
      </c>
      <c r="E5963" s="370">
        <v>3.0</v>
      </c>
      <c r="F5963" s="371">
        <v>46113.58333333333</v>
      </c>
      <c r="G5963" s="368" t="s">
        <v>1185</v>
      </c>
      <c r="H5963" s="368" t="s">
        <v>1232</v>
      </c>
    </row>
    <row r="5964" ht="15.75" customHeight="1">
      <c r="A5964" s="368" t="s">
        <v>1103</v>
      </c>
      <c r="B5964" s="368" t="s">
        <v>22</v>
      </c>
      <c r="C5964" s="369" t="s">
        <v>701</v>
      </c>
      <c r="D5964" s="368" t="s">
        <v>702</v>
      </c>
      <c r="E5964" s="370">
        <v>4.0</v>
      </c>
      <c r="F5964" s="371">
        <v>46120.41666666667</v>
      </c>
      <c r="G5964" s="368" t="s">
        <v>1185</v>
      </c>
      <c r="H5964" s="368" t="s">
        <v>1232</v>
      </c>
    </row>
    <row r="5965" ht="15.75" customHeight="1">
      <c r="A5965" s="368" t="s">
        <v>1103</v>
      </c>
      <c r="B5965" s="368" t="s">
        <v>22</v>
      </c>
      <c r="C5965" s="369" t="s">
        <v>701</v>
      </c>
      <c r="D5965" s="368" t="s">
        <v>702</v>
      </c>
      <c r="E5965" s="370">
        <v>5.0</v>
      </c>
      <c r="F5965" s="371">
        <v>46127.41666666667</v>
      </c>
      <c r="G5965" s="368" t="s">
        <v>1185</v>
      </c>
      <c r="H5965" s="368" t="s">
        <v>1232</v>
      </c>
    </row>
    <row r="5966" ht="15.75" customHeight="1">
      <c r="A5966" s="368" t="s">
        <v>1103</v>
      </c>
      <c r="B5966" s="368" t="s">
        <v>22</v>
      </c>
      <c r="C5966" s="369" t="s">
        <v>701</v>
      </c>
      <c r="D5966" s="368" t="s">
        <v>702</v>
      </c>
      <c r="E5966" s="370">
        <v>6.0</v>
      </c>
      <c r="F5966" s="371">
        <v>46134.41666666667</v>
      </c>
      <c r="G5966" s="368" t="s">
        <v>1185</v>
      </c>
      <c r="H5966" s="368" t="s">
        <v>1232</v>
      </c>
    </row>
    <row r="5967" ht="15.75" customHeight="1">
      <c r="A5967" s="368" t="s">
        <v>1103</v>
      </c>
      <c r="B5967" s="368" t="s">
        <v>22</v>
      </c>
      <c r="C5967" s="369" t="s">
        <v>701</v>
      </c>
      <c r="D5967" s="368" t="s">
        <v>702</v>
      </c>
      <c r="E5967" s="370">
        <v>7.0</v>
      </c>
      <c r="F5967" s="371">
        <v>46148.45833333333</v>
      </c>
      <c r="G5967" s="368" t="s">
        <v>1185</v>
      </c>
      <c r="H5967" s="368" t="s">
        <v>1232</v>
      </c>
    </row>
    <row r="5968" ht="15.75" customHeight="1">
      <c r="A5968" s="368" t="s">
        <v>1103</v>
      </c>
      <c r="B5968" s="368" t="s">
        <v>22</v>
      </c>
      <c r="C5968" s="369" t="s">
        <v>701</v>
      </c>
      <c r="D5968" s="368" t="s">
        <v>702</v>
      </c>
      <c r="E5968" s="370">
        <v>8.0</v>
      </c>
      <c r="F5968" s="371">
        <v>46154.41666666667</v>
      </c>
      <c r="G5968" s="368" t="s">
        <v>1185</v>
      </c>
      <c r="H5968" s="368" t="s">
        <v>1232</v>
      </c>
    </row>
    <row r="5969" ht="15.75" customHeight="1">
      <c r="A5969" s="368" t="s">
        <v>1103</v>
      </c>
      <c r="B5969" s="368" t="s">
        <v>22</v>
      </c>
      <c r="C5969" s="369" t="s">
        <v>701</v>
      </c>
      <c r="D5969" s="368" t="s">
        <v>702</v>
      </c>
      <c r="E5969" s="370">
        <v>9.0</v>
      </c>
      <c r="F5969" s="371">
        <v>46163.58333333333</v>
      </c>
      <c r="G5969" s="368" t="s">
        <v>1185</v>
      </c>
      <c r="H5969" s="368" t="s">
        <v>1232</v>
      </c>
    </row>
    <row r="5970" ht="15.75" customHeight="1">
      <c r="A5970" s="368" t="s">
        <v>1103</v>
      </c>
      <c r="B5970" s="368" t="s">
        <v>22</v>
      </c>
      <c r="C5970" s="369" t="s">
        <v>701</v>
      </c>
      <c r="D5970" s="368" t="s">
        <v>702</v>
      </c>
      <c r="E5970" s="370">
        <v>10.0</v>
      </c>
      <c r="F5970" s="371">
        <v>46168.41666666667</v>
      </c>
      <c r="G5970" s="368" t="s">
        <v>1185</v>
      </c>
      <c r="H5970" s="368" t="s">
        <v>1232</v>
      </c>
    </row>
    <row r="5971" ht="15.75" customHeight="1">
      <c r="A5971" s="368" t="s">
        <v>1103</v>
      </c>
      <c r="B5971" s="368" t="s">
        <v>22</v>
      </c>
      <c r="C5971" s="369" t="s">
        <v>701</v>
      </c>
      <c r="D5971" s="368" t="s">
        <v>702</v>
      </c>
      <c r="E5971" s="370">
        <v>11.0</v>
      </c>
      <c r="F5971" s="371">
        <v>46183.45833333333</v>
      </c>
      <c r="G5971" s="368" t="s">
        <v>1185</v>
      </c>
      <c r="H5971" s="368" t="s">
        <v>1232</v>
      </c>
    </row>
    <row r="5972" ht="15.75" customHeight="1">
      <c r="A5972" s="368" t="s">
        <v>1103</v>
      </c>
      <c r="B5972" s="368" t="s">
        <v>22</v>
      </c>
      <c r="C5972" s="369" t="s">
        <v>701</v>
      </c>
      <c r="D5972" s="368" t="s">
        <v>702</v>
      </c>
      <c r="E5972" s="370">
        <v>12.0</v>
      </c>
      <c r="F5972" s="371">
        <v>46191.625</v>
      </c>
      <c r="G5972" s="368" t="s">
        <v>1185</v>
      </c>
      <c r="H5972" s="368" t="s">
        <v>1232</v>
      </c>
    </row>
    <row r="5973" ht="15.75" customHeight="1">
      <c r="A5973" s="368" t="s">
        <v>1103</v>
      </c>
      <c r="B5973" s="368" t="s">
        <v>22</v>
      </c>
      <c r="C5973" s="369" t="s">
        <v>701</v>
      </c>
      <c r="D5973" s="368" t="s">
        <v>702</v>
      </c>
      <c r="E5973" s="370">
        <v>13.0</v>
      </c>
      <c r="F5973" s="371">
        <v>46197.45833333333</v>
      </c>
      <c r="G5973" s="368" t="s">
        <v>1185</v>
      </c>
      <c r="H5973" s="368" t="s">
        <v>1232</v>
      </c>
    </row>
    <row r="5974" ht="15.75" customHeight="1">
      <c r="A5974" s="368" t="s">
        <v>1103</v>
      </c>
      <c r="B5974" s="368" t="s">
        <v>22</v>
      </c>
      <c r="C5974" s="369" t="s">
        <v>701</v>
      </c>
      <c r="D5974" s="368" t="s">
        <v>702</v>
      </c>
      <c r="E5974" s="370">
        <v>14.0</v>
      </c>
      <c r="F5974" s="371">
        <v>46205.54166666667</v>
      </c>
      <c r="G5974" s="368" t="s">
        <v>1185</v>
      </c>
      <c r="H5974" s="368" t="s">
        <v>1232</v>
      </c>
    </row>
    <row r="5975" ht="15.75" customHeight="1">
      <c r="A5975" s="368" t="s">
        <v>1103</v>
      </c>
      <c r="B5975" s="368" t="s">
        <v>22</v>
      </c>
      <c r="C5975" s="369" t="s">
        <v>701</v>
      </c>
      <c r="D5975" s="368" t="s">
        <v>702</v>
      </c>
      <c r="E5975" s="370">
        <v>15.0</v>
      </c>
      <c r="F5975" s="371">
        <v>46212.54166666667</v>
      </c>
      <c r="G5975" s="368" t="s">
        <v>1185</v>
      </c>
      <c r="H5975" s="368" t="s">
        <v>1232</v>
      </c>
    </row>
    <row r="5976" ht="15.75" customHeight="1">
      <c r="A5976" s="368" t="s">
        <v>1103</v>
      </c>
      <c r="B5976" s="368" t="s">
        <v>22</v>
      </c>
      <c r="C5976" s="369" t="s">
        <v>703</v>
      </c>
      <c r="D5976" s="368" t="s">
        <v>1105</v>
      </c>
      <c r="E5976" s="370">
        <v>3.0</v>
      </c>
      <c r="F5976" s="371">
        <v>46113.58333333333</v>
      </c>
      <c r="G5976" s="368" t="s">
        <v>1185</v>
      </c>
      <c r="H5976" s="368" t="s">
        <v>1232</v>
      </c>
    </row>
    <row r="5977" ht="15.75" customHeight="1">
      <c r="A5977" s="368" t="s">
        <v>1103</v>
      </c>
      <c r="B5977" s="368" t="s">
        <v>22</v>
      </c>
      <c r="C5977" s="369" t="s">
        <v>703</v>
      </c>
      <c r="D5977" s="368" t="s">
        <v>1105</v>
      </c>
      <c r="E5977" s="370">
        <v>4.0</v>
      </c>
      <c r="F5977" s="371">
        <v>46120.41666666667</v>
      </c>
      <c r="G5977" s="368" t="s">
        <v>1185</v>
      </c>
      <c r="H5977" s="368" t="s">
        <v>1232</v>
      </c>
    </row>
    <row r="5978" ht="15.75" customHeight="1">
      <c r="A5978" s="368" t="s">
        <v>1103</v>
      </c>
      <c r="B5978" s="368" t="s">
        <v>22</v>
      </c>
      <c r="C5978" s="369" t="s">
        <v>703</v>
      </c>
      <c r="D5978" s="368" t="s">
        <v>1105</v>
      </c>
      <c r="E5978" s="370">
        <v>5.0</v>
      </c>
      <c r="F5978" s="371">
        <v>46127.41666666667</v>
      </c>
      <c r="G5978" s="368" t="s">
        <v>1187</v>
      </c>
      <c r="H5978" s="368" t="s">
        <v>1232</v>
      </c>
    </row>
    <row r="5979" ht="15.75" customHeight="1">
      <c r="A5979" s="368" t="s">
        <v>1103</v>
      </c>
      <c r="B5979" s="368" t="s">
        <v>22</v>
      </c>
      <c r="C5979" s="369" t="s">
        <v>703</v>
      </c>
      <c r="D5979" s="368" t="s">
        <v>1105</v>
      </c>
      <c r="E5979" s="370">
        <v>6.0</v>
      </c>
      <c r="F5979" s="371">
        <v>46134.41666666667</v>
      </c>
      <c r="G5979" s="368" t="s">
        <v>1185</v>
      </c>
      <c r="H5979" s="368" t="s">
        <v>1232</v>
      </c>
    </row>
    <row r="5980" ht="15.75" customHeight="1">
      <c r="A5980" s="368" t="s">
        <v>1103</v>
      </c>
      <c r="B5980" s="368" t="s">
        <v>22</v>
      </c>
      <c r="C5980" s="369" t="s">
        <v>703</v>
      </c>
      <c r="D5980" s="368" t="s">
        <v>1105</v>
      </c>
      <c r="E5980" s="370">
        <v>7.0</v>
      </c>
      <c r="F5980" s="371">
        <v>46148.45833333333</v>
      </c>
      <c r="G5980" s="368" t="s">
        <v>1185</v>
      </c>
      <c r="H5980" s="368" t="s">
        <v>1232</v>
      </c>
    </row>
    <row r="5981" ht="15.75" customHeight="1">
      <c r="A5981" s="368" t="s">
        <v>1103</v>
      </c>
      <c r="B5981" s="368" t="s">
        <v>22</v>
      </c>
      <c r="C5981" s="369" t="s">
        <v>703</v>
      </c>
      <c r="D5981" s="368" t="s">
        <v>1105</v>
      </c>
      <c r="E5981" s="370">
        <v>8.0</v>
      </c>
      <c r="F5981" s="371">
        <v>46154.41666666667</v>
      </c>
      <c r="G5981" s="368" t="s">
        <v>1185</v>
      </c>
      <c r="H5981" s="368" t="s">
        <v>1232</v>
      </c>
    </row>
    <row r="5982" ht="15.75" customHeight="1">
      <c r="A5982" s="368" t="s">
        <v>1103</v>
      </c>
      <c r="B5982" s="368" t="s">
        <v>22</v>
      </c>
      <c r="C5982" s="369" t="s">
        <v>703</v>
      </c>
      <c r="D5982" s="368" t="s">
        <v>1105</v>
      </c>
      <c r="E5982" s="370">
        <v>9.0</v>
      </c>
      <c r="F5982" s="371">
        <v>46163.58333333333</v>
      </c>
      <c r="G5982" s="368" t="s">
        <v>1185</v>
      </c>
      <c r="H5982" s="368" t="s">
        <v>1232</v>
      </c>
    </row>
    <row r="5983" ht="15.75" customHeight="1">
      <c r="A5983" s="368" t="s">
        <v>1103</v>
      </c>
      <c r="B5983" s="368" t="s">
        <v>22</v>
      </c>
      <c r="C5983" s="369" t="s">
        <v>703</v>
      </c>
      <c r="D5983" s="368" t="s">
        <v>1105</v>
      </c>
      <c r="E5983" s="370">
        <v>10.0</v>
      </c>
      <c r="F5983" s="371">
        <v>46168.41666666667</v>
      </c>
      <c r="G5983" s="368" t="s">
        <v>1185</v>
      </c>
      <c r="H5983" s="368" t="s">
        <v>1232</v>
      </c>
    </row>
    <row r="5984" ht="15.75" customHeight="1">
      <c r="A5984" s="368" t="s">
        <v>1103</v>
      </c>
      <c r="B5984" s="368" t="s">
        <v>22</v>
      </c>
      <c r="C5984" s="369" t="s">
        <v>703</v>
      </c>
      <c r="D5984" s="368" t="s">
        <v>1105</v>
      </c>
      <c r="E5984" s="370">
        <v>11.0</v>
      </c>
      <c r="F5984" s="371">
        <v>46183.45833333333</v>
      </c>
      <c r="G5984" s="368" t="s">
        <v>1187</v>
      </c>
      <c r="H5984" s="368" t="s">
        <v>1232</v>
      </c>
    </row>
    <row r="5985" ht="15.75" customHeight="1">
      <c r="A5985" s="368" t="s">
        <v>1103</v>
      </c>
      <c r="B5985" s="368" t="s">
        <v>22</v>
      </c>
      <c r="C5985" s="369" t="s">
        <v>703</v>
      </c>
      <c r="D5985" s="368" t="s">
        <v>1105</v>
      </c>
      <c r="E5985" s="370">
        <v>12.0</v>
      </c>
      <c r="F5985" s="371">
        <v>46191.625</v>
      </c>
      <c r="G5985" s="368" t="s">
        <v>1185</v>
      </c>
      <c r="H5985" s="368" t="s">
        <v>1232</v>
      </c>
    </row>
    <row r="5986" ht="15.75" customHeight="1">
      <c r="A5986" s="368" t="s">
        <v>1103</v>
      </c>
      <c r="B5986" s="368" t="s">
        <v>22</v>
      </c>
      <c r="C5986" s="369" t="s">
        <v>703</v>
      </c>
      <c r="D5986" s="368" t="s">
        <v>1105</v>
      </c>
      <c r="E5986" s="370">
        <v>13.0</v>
      </c>
      <c r="F5986" s="371">
        <v>46197.45833333333</v>
      </c>
      <c r="G5986" s="368" t="s">
        <v>1187</v>
      </c>
      <c r="H5986" s="368" t="s">
        <v>1232</v>
      </c>
    </row>
    <row r="5987" ht="15.75" customHeight="1">
      <c r="A5987" s="368" t="s">
        <v>1103</v>
      </c>
      <c r="B5987" s="368" t="s">
        <v>22</v>
      </c>
      <c r="C5987" s="369" t="s">
        <v>703</v>
      </c>
      <c r="D5987" s="368" t="s">
        <v>1105</v>
      </c>
      <c r="E5987" s="370">
        <v>14.0</v>
      </c>
      <c r="F5987" s="371">
        <v>46205.54166666667</v>
      </c>
      <c r="G5987" s="368" t="s">
        <v>1185</v>
      </c>
      <c r="H5987" s="368" t="s">
        <v>1232</v>
      </c>
    </row>
    <row r="5988" ht="15.75" customHeight="1">
      <c r="A5988" s="368" t="s">
        <v>1103</v>
      </c>
      <c r="B5988" s="368" t="s">
        <v>22</v>
      </c>
      <c r="C5988" s="369" t="s">
        <v>703</v>
      </c>
      <c r="D5988" s="368" t="s">
        <v>1105</v>
      </c>
      <c r="E5988" s="370">
        <v>15.0</v>
      </c>
      <c r="F5988" s="371">
        <v>46212.54166666667</v>
      </c>
      <c r="G5988" s="368" t="s">
        <v>1185</v>
      </c>
      <c r="H5988" s="368" t="s">
        <v>1232</v>
      </c>
    </row>
    <row r="5989" ht="15.75" customHeight="1">
      <c r="A5989" s="368" t="s">
        <v>95</v>
      </c>
      <c r="B5989" s="368" t="s">
        <v>26</v>
      </c>
      <c r="C5989" s="369" t="s">
        <v>512</v>
      </c>
      <c r="D5989" s="368" t="s">
        <v>513</v>
      </c>
      <c r="E5989" s="370">
        <v>1.0</v>
      </c>
      <c r="F5989" s="371">
        <v>46086.58333333333</v>
      </c>
      <c r="G5989" s="368" t="s">
        <v>1185</v>
      </c>
      <c r="H5989" s="368" t="s">
        <v>1233</v>
      </c>
    </row>
    <row r="5990" ht="15.75" customHeight="1">
      <c r="A5990" s="368" t="s">
        <v>95</v>
      </c>
      <c r="B5990" s="368" t="s">
        <v>26</v>
      </c>
      <c r="C5990" s="369" t="s">
        <v>512</v>
      </c>
      <c r="D5990" s="368" t="s">
        <v>513</v>
      </c>
      <c r="E5990" s="370">
        <v>2.0</v>
      </c>
      <c r="F5990" s="371">
        <v>46107.625</v>
      </c>
      <c r="G5990" s="368" t="s">
        <v>1185</v>
      </c>
      <c r="H5990" s="368" t="s">
        <v>1233</v>
      </c>
    </row>
    <row r="5991" ht="15.75" customHeight="1">
      <c r="A5991" s="368" t="s">
        <v>95</v>
      </c>
      <c r="B5991" s="368" t="s">
        <v>26</v>
      </c>
      <c r="C5991" s="369" t="s">
        <v>512</v>
      </c>
      <c r="D5991" s="368" t="s">
        <v>513</v>
      </c>
      <c r="E5991" s="370">
        <v>3.0</v>
      </c>
      <c r="F5991" s="371">
        <v>46115.45833333333</v>
      </c>
      <c r="G5991" s="368" t="s">
        <v>1187</v>
      </c>
      <c r="H5991" s="368" t="s">
        <v>1233</v>
      </c>
    </row>
    <row r="5992" ht="15.75" customHeight="1">
      <c r="A5992" s="368" t="s">
        <v>95</v>
      </c>
      <c r="B5992" s="368" t="s">
        <v>26</v>
      </c>
      <c r="C5992" s="369" t="s">
        <v>512</v>
      </c>
      <c r="D5992" s="368" t="s">
        <v>513</v>
      </c>
      <c r="E5992" s="370">
        <v>4.0</v>
      </c>
      <c r="F5992" s="371">
        <v>46128.41666666667</v>
      </c>
      <c r="G5992" s="368" t="s">
        <v>1185</v>
      </c>
      <c r="H5992" s="368" t="s">
        <v>1233</v>
      </c>
    </row>
    <row r="5993" ht="15.75" customHeight="1">
      <c r="A5993" s="368" t="s">
        <v>95</v>
      </c>
      <c r="B5993" s="368" t="s">
        <v>26</v>
      </c>
      <c r="C5993" s="369" t="s">
        <v>512</v>
      </c>
      <c r="D5993" s="368" t="s">
        <v>513</v>
      </c>
      <c r="E5993" s="370">
        <v>5.0</v>
      </c>
      <c r="F5993" s="371">
        <v>46129.54166666667</v>
      </c>
      <c r="G5993" s="368" t="s">
        <v>1185</v>
      </c>
      <c r="H5993" s="368" t="s">
        <v>1233</v>
      </c>
    </row>
    <row r="5994" ht="15.75" customHeight="1">
      <c r="A5994" s="368" t="s">
        <v>95</v>
      </c>
      <c r="B5994" s="368" t="s">
        <v>26</v>
      </c>
      <c r="C5994" s="369" t="s">
        <v>512</v>
      </c>
      <c r="D5994" s="368" t="s">
        <v>513</v>
      </c>
      <c r="E5994" s="370">
        <v>6.0</v>
      </c>
      <c r="F5994" s="371">
        <v>46135.45833333333</v>
      </c>
      <c r="G5994" s="368" t="s">
        <v>1185</v>
      </c>
      <c r="H5994" s="368" t="s">
        <v>1233</v>
      </c>
    </row>
    <row r="5995" ht="15.75" customHeight="1">
      <c r="A5995" s="368" t="s">
        <v>95</v>
      </c>
      <c r="B5995" s="368" t="s">
        <v>26</v>
      </c>
      <c r="C5995" s="369" t="s">
        <v>512</v>
      </c>
      <c r="D5995" s="368" t="s">
        <v>513</v>
      </c>
      <c r="E5995" s="370">
        <v>7.0</v>
      </c>
      <c r="F5995" s="371">
        <v>46150.45833333333</v>
      </c>
      <c r="G5995" s="368" t="s">
        <v>1185</v>
      </c>
      <c r="H5995" s="368" t="s">
        <v>1233</v>
      </c>
    </row>
    <row r="5996" ht="15.75" customHeight="1">
      <c r="A5996" s="368" t="s">
        <v>95</v>
      </c>
      <c r="B5996" s="368" t="s">
        <v>26</v>
      </c>
      <c r="C5996" s="369" t="s">
        <v>512</v>
      </c>
      <c r="D5996" s="368" t="s">
        <v>513</v>
      </c>
      <c r="E5996" s="370">
        <v>8.0</v>
      </c>
      <c r="F5996" s="371">
        <v>46157.45833333333</v>
      </c>
      <c r="G5996" s="368" t="s">
        <v>1185</v>
      </c>
      <c r="H5996" s="368" t="s">
        <v>1233</v>
      </c>
    </row>
    <row r="5997" ht="15.75" customHeight="1">
      <c r="A5997" s="368" t="s">
        <v>95</v>
      </c>
      <c r="B5997" s="368" t="s">
        <v>26</v>
      </c>
      <c r="C5997" s="369" t="s">
        <v>512</v>
      </c>
      <c r="D5997" s="368" t="s">
        <v>513</v>
      </c>
      <c r="E5997" s="370">
        <v>9.0</v>
      </c>
      <c r="F5997" s="371">
        <v>46171.45833333333</v>
      </c>
      <c r="G5997" s="368" t="s">
        <v>1185</v>
      </c>
      <c r="H5997" s="368" t="s">
        <v>1233</v>
      </c>
    </row>
    <row r="5998" ht="15.75" customHeight="1">
      <c r="A5998" s="368" t="s">
        <v>95</v>
      </c>
      <c r="B5998" s="368" t="s">
        <v>26</v>
      </c>
      <c r="C5998" s="369" t="s">
        <v>512</v>
      </c>
      <c r="D5998" s="368" t="s">
        <v>513</v>
      </c>
      <c r="E5998" s="370">
        <v>10.0</v>
      </c>
      <c r="F5998" s="371">
        <v>46176.45833333333</v>
      </c>
      <c r="G5998" s="368" t="s">
        <v>1185</v>
      </c>
      <c r="H5998" s="368" t="s">
        <v>1233</v>
      </c>
    </row>
    <row r="5999" ht="15.75" customHeight="1">
      <c r="A5999" s="368" t="s">
        <v>95</v>
      </c>
      <c r="B5999" s="368" t="s">
        <v>26</v>
      </c>
      <c r="C5999" s="369" t="s">
        <v>512</v>
      </c>
      <c r="D5999" s="368" t="s">
        <v>513</v>
      </c>
      <c r="E5999" s="370">
        <v>11.0</v>
      </c>
      <c r="F5999" s="371">
        <v>46185.45833333333</v>
      </c>
      <c r="G5999" s="368" t="s">
        <v>1185</v>
      </c>
      <c r="H5999" s="368" t="s">
        <v>1233</v>
      </c>
    </row>
    <row r="6000" ht="15.75" customHeight="1">
      <c r="A6000" s="368" t="s">
        <v>95</v>
      </c>
      <c r="B6000" s="368" t="s">
        <v>26</v>
      </c>
      <c r="C6000" s="369" t="s">
        <v>512</v>
      </c>
      <c r="D6000" s="368" t="s">
        <v>513</v>
      </c>
      <c r="E6000" s="370">
        <v>12.0</v>
      </c>
      <c r="F6000" s="371">
        <v>46191.45833333333</v>
      </c>
      <c r="G6000" s="368" t="s">
        <v>1187</v>
      </c>
      <c r="H6000" s="368" t="s">
        <v>1233</v>
      </c>
    </row>
    <row r="6001" ht="15.75" customHeight="1">
      <c r="A6001" s="368" t="s">
        <v>95</v>
      </c>
      <c r="B6001" s="368" t="s">
        <v>26</v>
      </c>
      <c r="C6001" s="369" t="s">
        <v>512</v>
      </c>
      <c r="D6001" s="368" t="s">
        <v>513</v>
      </c>
      <c r="E6001" s="370">
        <v>13.0</v>
      </c>
      <c r="F6001" s="371">
        <v>46199.45833333333</v>
      </c>
      <c r="G6001" s="368" t="s">
        <v>1185</v>
      </c>
      <c r="H6001" s="368" t="s">
        <v>1233</v>
      </c>
    </row>
    <row r="6002" ht="15.75" customHeight="1">
      <c r="A6002" s="368" t="s">
        <v>95</v>
      </c>
      <c r="B6002" s="368" t="s">
        <v>26</v>
      </c>
      <c r="C6002" s="369" t="s">
        <v>512</v>
      </c>
      <c r="D6002" s="368" t="s">
        <v>513</v>
      </c>
      <c r="E6002" s="370">
        <v>14.0</v>
      </c>
      <c r="F6002" s="371">
        <v>46205.625</v>
      </c>
      <c r="G6002" s="368" t="s">
        <v>1185</v>
      </c>
      <c r="H6002" s="368" t="s">
        <v>1233</v>
      </c>
    </row>
    <row r="6003" ht="15.75" customHeight="1">
      <c r="A6003" s="368" t="s">
        <v>95</v>
      </c>
      <c r="B6003" s="368" t="s">
        <v>26</v>
      </c>
      <c r="C6003" s="369" t="s">
        <v>512</v>
      </c>
      <c r="D6003" s="368" t="s">
        <v>513</v>
      </c>
      <c r="E6003" s="370">
        <v>15.0</v>
      </c>
      <c r="F6003" s="371">
        <v>46211.45833333333</v>
      </c>
      <c r="G6003" s="368" t="s">
        <v>1185</v>
      </c>
      <c r="H6003" s="368" t="s">
        <v>1233</v>
      </c>
    </row>
    <row r="6004" ht="15.75" customHeight="1">
      <c r="A6004" s="368" t="s">
        <v>95</v>
      </c>
      <c r="B6004" s="368" t="s">
        <v>26</v>
      </c>
      <c r="C6004" s="369" t="s">
        <v>516</v>
      </c>
      <c r="D6004" s="368" t="s">
        <v>517</v>
      </c>
      <c r="E6004" s="370">
        <v>1.0</v>
      </c>
      <c r="F6004" s="371">
        <v>46087.45833333333</v>
      </c>
      <c r="G6004" s="368" t="s">
        <v>1185</v>
      </c>
      <c r="H6004" s="368" t="s">
        <v>1233</v>
      </c>
    </row>
    <row r="6005" ht="15.75" customHeight="1">
      <c r="A6005" s="368" t="s">
        <v>95</v>
      </c>
      <c r="B6005" s="368" t="s">
        <v>26</v>
      </c>
      <c r="C6005" s="369" t="s">
        <v>516</v>
      </c>
      <c r="D6005" s="368" t="s">
        <v>517</v>
      </c>
      <c r="E6005" s="370">
        <v>2.0</v>
      </c>
      <c r="F6005" s="371">
        <v>46107.625</v>
      </c>
      <c r="G6005" s="368" t="s">
        <v>1185</v>
      </c>
      <c r="H6005" s="368" t="s">
        <v>1233</v>
      </c>
    </row>
    <row r="6006" ht="15.75" customHeight="1">
      <c r="A6006" s="368" t="s">
        <v>95</v>
      </c>
      <c r="B6006" s="368" t="s">
        <v>26</v>
      </c>
      <c r="C6006" s="369" t="s">
        <v>516</v>
      </c>
      <c r="D6006" s="368" t="s">
        <v>517</v>
      </c>
      <c r="E6006" s="370">
        <v>3.0</v>
      </c>
      <c r="F6006" s="371">
        <v>46115.45833333333</v>
      </c>
      <c r="G6006" s="368" t="s">
        <v>1185</v>
      </c>
      <c r="H6006" s="368" t="s">
        <v>1233</v>
      </c>
    </row>
    <row r="6007" ht="15.75" customHeight="1">
      <c r="A6007" s="368" t="s">
        <v>95</v>
      </c>
      <c r="B6007" s="368" t="s">
        <v>26</v>
      </c>
      <c r="C6007" s="369" t="s">
        <v>516</v>
      </c>
      <c r="D6007" s="368" t="s">
        <v>517</v>
      </c>
      <c r="E6007" s="370">
        <v>4.0</v>
      </c>
      <c r="F6007" s="371">
        <v>46128.41666666667</v>
      </c>
      <c r="G6007" s="368" t="s">
        <v>1185</v>
      </c>
      <c r="H6007" s="368" t="s">
        <v>1233</v>
      </c>
    </row>
    <row r="6008" ht="15.75" customHeight="1">
      <c r="A6008" s="368" t="s">
        <v>95</v>
      </c>
      <c r="B6008" s="368" t="s">
        <v>26</v>
      </c>
      <c r="C6008" s="369" t="s">
        <v>516</v>
      </c>
      <c r="D6008" s="368" t="s">
        <v>517</v>
      </c>
      <c r="E6008" s="370">
        <v>5.0</v>
      </c>
      <c r="F6008" s="371">
        <v>46129.54166666667</v>
      </c>
      <c r="G6008" s="368" t="s">
        <v>1185</v>
      </c>
      <c r="H6008" s="368" t="s">
        <v>1233</v>
      </c>
    </row>
    <row r="6009" ht="15.75" customHeight="1">
      <c r="A6009" s="368" t="s">
        <v>95</v>
      </c>
      <c r="B6009" s="368" t="s">
        <v>26</v>
      </c>
      <c r="C6009" s="369" t="s">
        <v>516</v>
      </c>
      <c r="D6009" s="368" t="s">
        <v>517</v>
      </c>
      <c r="E6009" s="370">
        <v>6.0</v>
      </c>
      <c r="F6009" s="371">
        <v>46135.45833333333</v>
      </c>
      <c r="G6009" s="368" t="s">
        <v>1185</v>
      </c>
      <c r="H6009" s="368" t="s">
        <v>1233</v>
      </c>
    </row>
    <row r="6010" ht="15.75" customHeight="1">
      <c r="A6010" s="368" t="s">
        <v>95</v>
      </c>
      <c r="B6010" s="368" t="s">
        <v>26</v>
      </c>
      <c r="C6010" s="369" t="s">
        <v>516</v>
      </c>
      <c r="D6010" s="368" t="s">
        <v>517</v>
      </c>
      <c r="E6010" s="370">
        <v>7.0</v>
      </c>
      <c r="F6010" s="371">
        <v>46150.45833333333</v>
      </c>
      <c r="G6010" s="368" t="s">
        <v>1185</v>
      </c>
      <c r="H6010" s="368" t="s">
        <v>1233</v>
      </c>
    </row>
    <row r="6011" ht="15.75" customHeight="1">
      <c r="A6011" s="368" t="s">
        <v>95</v>
      </c>
      <c r="B6011" s="368" t="s">
        <v>26</v>
      </c>
      <c r="C6011" s="369" t="s">
        <v>516</v>
      </c>
      <c r="D6011" s="368" t="s">
        <v>517</v>
      </c>
      <c r="E6011" s="370">
        <v>8.0</v>
      </c>
      <c r="F6011" s="371">
        <v>46157.45833333333</v>
      </c>
      <c r="G6011" s="368" t="s">
        <v>1185</v>
      </c>
      <c r="H6011" s="368" t="s">
        <v>1233</v>
      </c>
    </row>
    <row r="6012" ht="15.75" customHeight="1">
      <c r="A6012" s="368" t="s">
        <v>95</v>
      </c>
      <c r="B6012" s="368" t="s">
        <v>26</v>
      </c>
      <c r="C6012" s="369" t="s">
        <v>516</v>
      </c>
      <c r="D6012" s="368" t="s">
        <v>517</v>
      </c>
      <c r="E6012" s="370">
        <v>9.0</v>
      </c>
      <c r="F6012" s="371">
        <v>46171.45833333333</v>
      </c>
      <c r="G6012" s="368" t="s">
        <v>1187</v>
      </c>
      <c r="H6012" s="368" t="s">
        <v>1233</v>
      </c>
    </row>
    <row r="6013" ht="15.75" customHeight="1">
      <c r="A6013" s="368" t="s">
        <v>95</v>
      </c>
      <c r="B6013" s="368" t="s">
        <v>26</v>
      </c>
      <c r="C6013" s="369" t="s">
        <v>516</v>
      </c>
      <c r="D6013" s="368" t="s">
        <v>517</v>
      </c>
      <c r="E6013" s="370">
        <v>10.0</v>
      </c>
      <c r="F6013" s="371">
        <v>46176.45833333333</v>
      </c>
      <c r="G6013" s="368" t="s">
        <v>1187</v>
      </c>
      <c r="H6013" s="368" t="s">
        <v>1233</v>
      </c>
    </row>
    <row r="6014" ht="15.75" customHeight="1">
      <c r="A6014" s="368" t="s">
        <v>95</v>
      </c>
      <c r="B6014" s="368" t="s">
        <v>26</v>
      </c>
      <c r="C6014" s="369" t="s">
        <v>516</v>
      </c>
      <c r="D6014" s="368" t="s">
        <v>517</v>
      </c>
      <c r="E6014" s="370">
        <v>11.0</v>
      </c>
      <c r="F6014" s="371">
        <v>46185.45833333333</v>
      </c>
      <c r="G6014" s="368" t="s">
        <v>1185</v>
      </c>
      <c r="H6014" s="368" t="s">
        <v>1233</v>
      </c>
    </row>
    <row r="6015" ht="15.75" customHeight="1">
      <c r="A6015" s="368" t="s">
        <v>95</v>
      </c>
      <c r="B6015" s="368" t="s">
        <v>26</v>
      </c>
      <c r="C6015" s="369" t="s">
        <v>516</v>
      </c>
      <c r="D6015" s="368" t="s">
        <v>517</v>
      </c>
      <c r="E6015" s="370">
        <v>12.0</v>
      </c>
      <c r="F6015" s="371">
        <v>46191.45833333333</v>
      </c>
      <c r="G6015" s="368" t="s">
        <v>1185</v>
      </c>
      <c r="H6015" s="368" t="s">
        <v>1233</v>
      </c>
    </row>
    <row r="6016" ht="15.75" customHeight="1">
      <c r="A6016" s="368" t="s">
        <v>95</v>
      </c>
      <c r="B6016" s="368" t="s">
        <v>26</v>
      </c>
      <c r="C6016" s="369" t="s">
        <v>516</v>
      </c>
      <c r="D6016" s="368" t="s">
        <v>517</v>
      </c>
      <c r="E6016" s="370">
        <v>13.0</v>
      </c>
      <c r="F6016" s="371">
        <v>46199.45833333333</v>
      </c>
      <c r="G6016" s="368" t="s">
        <v>1185</v>
      </c>
      <c r="H6016" s="368" t="s">
        <v>1233</v>
      </c>
    </row>
    <row r="6017" ht="15.75" customHeight="1">
      <c r="A6017" s="368" t="s">
        <v>95</v>
      </c>
      <c r="B6017" s="368" t="s">
        <v>26</v>
      </c>
      <c r="C6017" s="369" t="s">
        <v>516</v>
      </c>
      <c r="D6017" s="368" t="s">
        <v>517</v>
      </c>
      <c r="E6017" s="370">
        <v>14.0</v>
      </c>
      <c r="F6017" s="371">
        <v>46205.625</v>
      </c>
      <c r="G6017" s="368" t="s">
        <v>1185</v>
      </c>
      <c r="H6017" s="368" t="s">
        <v>1233</v>
      </c>
    </row>
    <row r="6018" ht="15.75" customHeight="1">
      <c r="A6018" s="368" t="s">
        <v>95</v>
      </c>
      <c r="B6018" s="368" t="s">
        <v>26</v>
      </c>
      <c r="C6018" s="369" t="s">
        <v>516</v>
      </c>
      <c r="D6018" s="368" t="s">
        <v>517</v>
      </c>
      <c r="E6018" s="370">
        <v>15.0</v>
      </c>
      <c r="F6018" s="371">
        <v>46211.45833333333</v>
      </c>
      <c r="G6018" s="368" t="s">
        <v>1185</v>
      </c>
      <c r="H6018" s="368" t="s">
        <v>1233</v>
      </c>
    </row>
    <row r="6019" ht="15.75" customHeight="1">
      <c r="A6019" s="368" t="s">
        <v>95</v>
      </c>
      <c r="B6019" s="368" t="s">
        <v>26</v>
      </c>
      <c r="C6019" s="369" t="s">
        <v>518</v>
      </c>
      <c r="D6019" s="368" t="s">
        <v>519</v>
      </c>
      <c r="E6019" s="370">
        <v>1.0</v>
      </c>
      <c r="F6019" s="371">
        <v>46087.45833333333</v>
      </c>
      <c r="G6019" s="368" t="s">
        <v>1185</v>
      </c>
      <c r="H6019" s="368" t="s">
        <v>1233</v>
      </c>
    </row>
    <row r="6020" ht="15.75" customHeight="1">
      <c r="A6020" s="368" t="s">
        <v>95</v>
      </c>
      <c r="B6020" s="368" t="s">
        <v>26</v>
      </c>
      <c r="C6020" s="369" t="s">
        <v>518</v>
      </c>
      <c r="D6020" s="368" t="s">
        <v>519</v>
      </c>
      <c r="E6020" s="370">
        <v>2.0</v>
      </c>
      <c r="F6020" s="371">
        <v>46107.625</v>
      </c>
      <c r="G6020" s="368" t="s">
        <v>1185</v>
      </c>
      <c r="H6020" s="368" t="s">
        <v>1233</v>
      </c>
    </row>
    <row r="6021" ht="15.75" customHeight="1">
      <c r="A6021" s="368" t="s">
        <v>95</v>
      </c>
      <c r="B6021" s="368" t="s">
        <v>26</v>
      </c>
      <c r="C6021" s="369" t="s">
        <v>518</v>
      </c>
      <c r="D6021" s="368" t="s">
        <v>519</v>
      </c>
      <c r="E6021" s="370">
        <v>3.0</v>
      </c>
      <c r="F6021" s="371">
        <v>46115.45833333333</v>
      </c>
      <c r="G6021" s="368" t="s">
        <v>1185</v>
      </c>
      <c r="H6021" s="368" t="s">
        <v>1233</v>
      </c>
    </row>
    <row r="6022" ht="15.75" customHeight="1">
      <c r="A6022" s="368" t="s">
        <v>95</v>
      </c>
      <c r="B6022" s="368" t="s">
        <v>26</v>
      </c>
      <c r="C6022" s="369" t="s">
        <v>518</v>
      </c>
      <c r="D6022" s="368" t="s">
        <v>519</v>
      </c>
      <c r="E6022" s="370">
        <v>4.0</v>
      </c>
      <c r="F6022" s="371">
        <v>46128.41666666667</v>
      </c>
      <c r="G6022" s="368" t="s">
        <v>1185</v>
      </c>
      <c r="H6022" s="368" t="s">
        <v>1233</v>
      </c>
    </row>
    <row r="6023" ht="15.75" customHeight="1">
      <c r="A6023" s="368" t="s">
        <v>95</v>
      </c>
      <c r="B6023" s="368" t="s">
        <v>26</v>
      </c>
      <c r="C6023" s="369" t="s">
        <v>518</v>
      </c>
      <c r="D6023" s="368" t="s">
        <v>519</v>
      </c>
      <c r="E6023" s="370">
        <v>5.0</v>
      </c>
      <c r="F6023" s="371">
        <v>46129.54166666667</v>
      </c>
      <c r="G6023" s="368" t="s">
        <v>1185</v>
      </c>
      <c r="H6023" s="368" t="s">
        <v>1233</v>
      </c>
    </row>
    <row r="6024" ht="15.75" customHeight="1">
      <c r="A6024" s="368" t="s">
        <v>95</v>
      </c>
      <c r="B6024" s="368" t="s">
        <v>26</v>
      </c>
      <c r="C6024" s="369" t="s">
        <v>518</v>
      </c>
      <c r="D6024" s="368" t="s">
        <v>519</v>
      </c>
      <c r="E6024" s="370">
        <v>6.0</v>
      </c>
      <c r="F6024" s="371">
        <v>46135.45833333333</v>
      </c>
      <c r="G6024" s="368" t="s">
        <v>1185</v>
      </c>
      <c r="H6024" s="368" t="s">
        <v>1233</v>
      </c>
    </row>
    <row r="6025" ht="15.75" customHeight="1">
      <c r="A6025" s="368" t="s">
        <v>95</v>
      </c>
      <c r="B6025" s="368" t="s">
        <v>26</v>
      </c>
      <c r="C6025" s="369" t="s">
        <v>518</v>
      </c>
      <c r="D6025" s="368" t="s">
        <v>519</v>
      </c>
      <c r="E6025" s="370">
        <v>7.0</v>
      </c>
      <c r="F6025" s="371">
        <v>46150.45833333333</v>
      </c>
      <c r="G6025" s="368" t="s">
        <v>1185</v>
      </c>
      <c r="H6025" s="368" t="s">
        <v>1233</v>
      </c>
    </row>
    <row r="6026" ht="15.75" customHeight="1">
      <c r="A6026" s="368" t="s">
        <v>95</v>
      </c>
      <c r="B6026" s="368" t="s">
        <v>26</v>
      </c>
      <c r="C6026" s="369" t="s">
        <v>518</v>
      </c>
      <c r="D6026" s="368" t="s">
        <v>519</v>
      </c>
      <c r="E6026" s="370">
        <v>8.0</v>
      </c>
      <c r="F6026" s="371">
        <v>46157.45833333333</v>
      </c>
      <c r="G6026" s="368" t="s">
        <v>1185</v>
      </c>
      <c r="H6026" s="368" t="s">
        <v>1233</v>
      </c>
    </row>
    <row r="6027" ht="15.75" customHeight="1">
      <c r="A6027" s="368" t="s">
        <v>95</v>
      </c>
      <c r="B6027" s="368" t="s">
        <v>26</v>
      </c>
      <c r="C6027" s="369" t="s">
        <v>518</v>
      </c>
      <c r="D6027" s="368" t="s">
        <v>519</v>
      </c>
      <c r="E6027" s="370">
        <v>9.0</v>
      </c>
      <c r="F6027" s="371">
        <v>46171.45833333333</v>
      </c>
      <c r="G6027" s="368" t="s">
        <v>1187</v>
      </c>
      <c r="H6027" s="368" t="s">
        <v>1233</v>
      </c>
    </row>
    <row r="6028" ht="15.75" customHeight="1">
      <c r="A6028" s="368" t="s">
        <v>95</v>
      </c>
      <c r="B6028" s="368" t="s">
        <v>26</v>
      </c>
      <c r="C6028" s="369" t="s">
        <v>518</v>
      </c>
      <c r="D6028" s="368" t="s">
        <v>519</v>
      </c>
      <c r="E6028" s="370">
        <v>10.0</v>
      </c>
      <c r="F6028" s="371">
        <v>46176.45833333333</v>
      </c>
      <c r="G6028" s="368" t="s">
        <v>1185</v>
      </c>
      <c r="H6028" s="368" t="s">
        <v>1233</v>
      </c>
    </row>
    <row r="6029" ht="15.75" customHeight="1">
      <c r="A6029" s="368" t="s">
        <v>95</v>
      </c>
      <c r="B6029" s="368" t="s">
        <v>26</v>
      </c>
      <c r="C6029" s="369" t="s">
        <v>518</v>
      </c>
      <c r="D6029" s="368" t="s">
        <v>519</v>
      </c>
      <c r="E6029" s="370">
        <v>11.0</v>
      </c>
      <c r="F6029" s="371">
        <v>46185.45833333333</v>
      </c>
      <c r="G6029" s="368" t="s">
        <v>1185</v>
      </c>
      <c r="H6029" s="368" t="s">
        <v>1233</v>
      </c>
    </row>
    <row r="6030" ht="15.75" customHeight="1">
      <c r="A6030" s="368" t="s">
        <v>95</v>
      </c>
      <c r="B6030" s="368" t="s">
        <v>26</v>
      </c>
      <c r="C6030" s="369" t="s">
        <v>518</v>
      </c>
      <c r="D6030" s="368" t="s">
        <v>519</v>
      </c>
      <c r="E6030" s="370">
        <v>12.0</v>
      </c>
      <c r="F6030" s="371">
        <v>46191.45833333333</v>
      </c>
      <c r="G6030" s="368" t="s">
        <v>1185</v>
      </c>
      <c r="H6030" s="368" t="s">
        <v>1233</v>
      </c>
    </row>
    <row r="6031" ht="15.75" customHeight="1">
      <c r="A6031" s="368" t="s">
        <v>95</v>
      </c>
      <c r="B6031" s="368" t="s">
        <v>26</v>
      </c>
      <c r="C6031" s="369" t="s">
        <v>518</v>
      </c>
      <c r="D6031" s="368" t="s">
        <v>519</v>
      </c>
      <c r="E6031" s="370">
        <v>13.0</v>
      </c>
      <c r="F6031" s="371">
        <v>46199.45833333333</v>
      </c>
      <c r="G6031" s="368" t="s">
        <v>1185</v>
      </c>
      <c r="H6031" s="368" t="s">
        <v>1233</v>
      </c>
    </row>
    <row r="6032" ht="15.75" customHeight="1">
      <c r="A6032" s="368" t="s">
        <v>95</v>
      </c>
      <c r="B6032" s="368" t="s">
        <v>26</v>
      </c>
      <c r="C6032" s="369" t="s">
        <v>518</v>
      </c>
      <c r="D6032" s="368" t="s">
        <v>519</v>
      </c>
      <c r="E6032" s="370">
        <v>14.0</v>
      </c>
      <c r="F6032" s="371">
        <v>46205.625</v>
      </c>
      <c r="G6032" s="368" t="s">
        <v>1185</v>
      </c>
      <c r="H6032" s="368" t="s">
        <v>1233</v>
      </c>
    </row>
    <row r="6033" ht="15.75" customHeight="1">
      <c r="A6033" s="368" t="s">
        <v>95</v>
      </c>
      <c r="B6033" s="368" t="s">
        <v>26</v>
      </c>
      <c r="C6033" s="369" t="s">
        <v>518</v>
      </c>
      <c r="D6033" s="368" t="s">
        <v>519</v>
      </c>
      <c r="E6033" s="370">
        <v>15.0</v>
      </c>
      <c r="F6033" s="371">
        <v>46211.45833333333</v>
      </c>
      <c r="G6033" s="368" t="s">
        <v>1185</v>
      </c>
      <c r="H6033" s="368" t="s">
        <v>1233</v>
      </c>
    </row>
    <row r="6034" ht="15.75" customHeight="1">
      <c r="A6034" s="368" t="s">
        <v>95</v>
      </c>
      <c r="B6034" s="368" t="s">
        <v>26</v>
      </c>
      <c r="C6034" s="369" t="s">
        <v>520</v>
      </c>
      <c r="D6034" s="368" t="s">
        <v>521</v>
      </c>
      <c r="E6034" s="370">
        <v>1.0</v>
      </c>
      <c r="F6034" s="371">
        <v>46087.45833333333</v>
      </c>
      <c r="G6034" s="368" t="s">
        <v>1185</v>
      </c>
      <c r="H6034" s="368" t="s">
        <v>1233</v>
      </c>
    </row>
    <row r="6035" ht="15.75" customHeight="1">
      <c r="A6035" s="368" t="s">
        <v>95</v>
      </c>
      <c r="B6035" s="368" t="s">
        <v>26</v>
      </c>
      <c r="C6035" s="369" t="s">
        <v>520</v>
      </c>
      <c r="D6035" s="368" t="s">
        <v>521</v>
      </c>
      <c r="E6035" s="370">
        <v>2.0</v>
      </c>
      <c r="F6035" s="371">
        <v>46107.625</v>
      </c>
      <c r="G6035" s="368" t="s">
        <v>1185</v>
      </c>
      <c r="H6035" s="368" t="s">
        <v>1233</v>
      </c>
    </row>
    <row r="6036" ht="15.75" customHeight="1">
      <c r="A6036" s="368" t="s">
        <v>95</v>
      </c>
      <c r="B6036" s="368" t="s">
        <v>26</v>
      </c>
      <c r="C6036" s="369" t="s">
        <v>520</v>
      </c>
      <c r="D6036" s="368" t="s">
        <v>521</v>
      </c>
      <c r="E6036" s="370">
        <v>3.0</v>
      </c>
      <c r="F6036" s="371">
        <v>46115.45833333333</v>
      </c>
      <c r="G6036" s="368" t="s">
        <v>1185</v>
      </c>
      <c r="H6036" s="368" t="s">
        <v>1233</v>
      </c>
    </row>
    <row r="6037" ht="15.75" customHeight="1">
      <c r="A6037" s="368" t="s">
        <v>95</v>
      </c>
      <c r="B6037" s="368" t="s">
        <v>26</v>
      </c>
      <c r="C6037" s="369" t="s">
        <v>520</v>
      </c>
      <c r="D6037" s="368" t="s">
        <v>521</v>
      </c>
      <c r="E6037" s="370">
        <v>4.0</v>
      </c>
      <c r="F6037" s="371">
        <v>46128.41666666667</v>
      </c>
      <c r="G6037" s="368" t="s">
        <v>1185</v>
      </c>
      <c r="H6037" s="368" t="s">
        <v>1233</v>
      </c>
    </row>
    <row r="6038" ht="15.75" customHeight="1">
      <c r="A6038" s="368" t="s">
        <v>95</v>
      </c>
      <c r="B6038" s="368" t="s">
        <v>26</v>
      </c>
      <c r="C6038" s="369" t="s">
        <v>520</v>
      </c>
      <c r="D6038" s="368" t="s">
        <v>521</v>
      </c>
      <c r="E6038" s="370">
        <v>5.0</v>
      </c>
      <c r="F6038" s="371">
        <v>46129.54166666667</v>
      </c>
      <c r="G6038" s="368" t="s">
        <v>1185</v>
      </c>
      <c r="H6038" s="368" t="s">
        <v>1233</v>
      </c>
    </row>
    <row r="6039" ht="15.75" customHeight="1">
      <c r="A6039" s="368" t="s">
        <v>95</v>
      </c>
      <c r="B6039" s="368" t="s">
        <v>26</v>
      </c>
      <c r="C6039" s="369" t="s">
        <v>520</v>
      </c>
      <c r="D6039" s="368" t="s">
        <v>521</v>
      </c>
      <c r="E6039" s="370">
        <v>6.0</v>
      </c>
      <c r="F6039" s="371">
        <v>46135.45833333333</v>
      </c>
      <c r="G6039" s="368" t="s">
        <v>1185</v>
      </c>
      <c r="H6039" s="368" t="s">
        <v>1233</v>
      </c>
    </row>
    <row r="6040" ht="15.75" customHeight="1">
      <c r="A6040" s="368" t="s">
        <v>95</v>
      </c>
      <c r="B6040" s="368" t="s">
        <v>26</v>
      </c>
      <c r="C6040" s="369" t="s">
        <v>520</v>
      </c>
      <c r="D6040" s="368" t="s">
        <v>521</v>
      </c>
      <c r="E6040" s="370">
        <v>7.0</v>
      </c>
      <c r="F6040" s="371">
        <v>46150.45833333333</v>
      </c>
      <c r="G6040" s="368" t="s">
        <v>1185</v>
      </c>
      <c r="H6040" s="368" t="s">
        <v>1233</v>
      </c>
    </row>
    <row r="6041" ht="15.75" customHeight="1">
      <c r="A6041" s="368" t="s">
        <v>95</v>
      </c>
      <c r="B6041" s="368" t="s">
        <v>26</v>
      </c>
      <c r="C6041" s="369" t="s">
        <v>520</v>
      </c>
      <c r="D6041" s="368" t="s">
        <v>521</v>
      </c>
      <c r="E6041" s="370">
        <v>8.0</v>
      </c>
      <c r="F6041" s="371">
        <v>46157.45833333333</v>
      </c>
      <c r="G6041" s="368" t="s">
        <v>1185</v>
      </c>
      <c r="H6041" s="368" t="s">
        <v>1233</v>
      </c>
    </row>
    <row r="6042" ht="15.75" customHeight="1">
      <c r="A6042" s="368" t="s">
        <v>95</v>
      </c>
      <c r="B6042" s="368" t="s">
        <v>26</v>
      </c>
      <c r="C6042" s="369" t="s">
        <v>520</v>
      </c>
      <c r="D6042" s="368" t="s">
        <v>521</v>
      </c>
      <c r="E6042" s="370">
        <v>9.0</v>
      </c>
      <c r="F6042" s="371">
        <v>46171.45833333333</v>
      </c>
      <c r="G6042" s="368" t="s">
        <v>1187</v>
      </c>
      <c r="H6042" s="368" t="s">
        <v>1233</v>
      </c>
    </row>
    <row r="6043" ht="15.75" customHeight="1">
      <c r="A6043" s="368" t="s">
        <v>95</v>
      </c>
      <c r="B6043" s="368" t="s">
        <v>26</v>
      </c>
      <c r="C6043" s="369" t="s">
        <v>520</v>
      </c>
      <c r="D6043" s="368" t="s">
        <v>521</v>
      </c>
      <c r="E6043" s="370">
        <v>10.0</v>
      </c>
      <c r="F6043" s="371">
        <v>46176.45833333333</v>
      </c>
      <c r="G6043" s="368" t="s">
        <v>1187</v>
      </c>
      <c r="H6043" s="368" t="s">
        <v>1233</v>
      </c>
    </row>
    <row r="6044" ht="15.75" customHeight="1">
      <c r="A6044" s="368" t="s">
        <v>95</v>
      </c>
      <c r="B6044" s="368" t="s">
        <v>26</v>
      </c>
      <c r="C6044" s="369" t="s">
        <v>520</v>
      </c>
      <c r="D6044" s="368" t="s">
        <v>521</v>
      </c>
      <c r="E6044" s="370">
        <v>11.0</v>
      </c>
      <c r="F6044" s="371">
        <v>46185.45833333333</v>
      </c>
      <c r="G6044" s="368" t="s">
        <v>1185</v>
      </c>
      <c r="H6044" s="368" t="s">
        <v>1233</v>
      </c>
    </row>
    <row r="6045" ht="15.75" customHeight="1">
      <c r="A6045" s="368" t="s">
        <v>95</v>
      </c>
      <c r="B6045" s="368" t="s">
        <v>26</v>
      </c>
      <c r="C6045" s="369" t="s">
        <v>520</v>
      </c>
      <c r="D6045" s="368" t="s">
        <v>521</v>
      </c>
      <c r="E6045" s="370">
        <v>12.0</v>
      </c>
      <c r="F6045" s="371">
        <v>46191.45833333333</v>
      </c>
      <c r="G6045" s="368" t="s">
        <v>1185</v>
      </c>
      <c r="H6045" s="368" t="s">
        <v>1233</v>
      </c>
    </row>
    <row r="6046" ht="15.75" customHeight="1">
      <c r="A6046" s="368" t="s">
        <v>95</v>
      </c>
      <c r="B6046" s="368" t="s">
        <v>26</v>
      </c>
      <c r="C6046" s="369" t="s">
        <v>520</v>
      </c>
      <c r="D6046" s="368" t="s">
        <v>521</v>
      </c>
      <c r="E6046" s="370">
        <v>13.0</v>
      </c>
      <c r="F6046" s="371">
        <v>46199.45833333333</v>
      </c>
      <c r="G6046" s="368" t="s">
        <v>1185</v>
      </c>
      <c r="H6046" s="368" t="s">
        <v>1233</v>
      </c>
    </row>
    <row r="6047" ht="15.75" customHeight="1">
      <c r="A6047" s="368" t="s">
        <v>95</v>
      </c>
      <c r="B6047" s="368" t="s">
        <v>26</v>
      </c>
      <c r="C6047" s="369" t="s">
        <v>520</v>
      </c>
      <c r="D6047" s="368" t="s">
        <v>521</v>
      </c>
      <c r="E6047" s="370">
        <v>14.0</v>
      </c>
      <c r="F6047" s="371">
        <v>46205.625</v>
      </c>
      <c r="G6047" s="368" t="s">
        <v>1185</v>
      </c>
      <c r="H6047" s="368" t="s">
        <v>1233</v>
      </c>
    </row>
    <row r="6048" ht="15.75" customHeight="1">
      <c r="A6048" s="368" t="s">
        <v>95</v>
      </c>
      <c r="B6048" s="368" t="s">
        <v>26</v>
      </c>
      <c r="C6048" s="369" t="s">
        <v>520</v>
      </c>
      <c r="D6048" s="368" t="s">
        <v>521</v>
      </c>
      <c r="E6048" s="370">
        <v>15.0</v>
      </c>
      <c r="F6048" s="371">
        <v>46211.45833333333</v>
      </c>
      <c r="G6048" s="368" t="s">
        <v>1185</v>
      </c>
      <c r="H6048" s="368" t="s">
        <v>1233</v>
      </c>
    </row>
    <row r="6049" ht="15.75" customHeight="1">
      <c r="A6049" s="368" t="s">
        <v>95</v>
      </c>
      <c r="B6049" s="368" t="s">
        <v>26</v>
      </c>
      <c r="C6049" s="369" t="s">
        <v>522</v>
      </c>
      <c r="D6049" s="368" t="s">
        <v>523</v>
      </c>
      <c r="E6049" s="370">
        <v>1.0</v>
      </c>
      <c r="F6049" s="371">
        <v>46087.45833333333</v>
      </c>
      <c r="G6049" s="368" t="s">
        <v>1185</v>
      </c>
      <c r="H6049" s="368" t="s">
        <v>1233</v>
      </c>
    </row>
    <row r="6050" ht="15.75" customHeight="1">
      <c r="A6050" s="368" t="s">
        <v>95</v>
      </c>
      <c r="B6050" s="368" t="s">
        <v>26</v>
      </c>
      <c r="C6050" s="369" t="s">
        <v>522</v>
      </c>
      <c r="D6050" s="368" t="s">
        <v>523</v>
      </c>
      <c r="E6050" s="370">
        <v>2.0</v>
      </c>
      <c r="F6050" s="371">
        <v>46107.625</v>
      </c>
      <c r="G6050" s="368" t="s">
        <v>1185</v>
      </c>
      <c r="H6050" s="368" t="s">
        <v>1233</v>
      </c>
    </row>
    <row r="6051" ht="15.75" customHeight="1">
      <c r="A6051" s="368" t="s">
        <v>95</v>
      </c>
      <c r="B6051" s="368" t="s">
        <v>26</v>
      </c>
      <c r="C6051" s="369" t="s">
        <v>522</v>
      </c>
      <c r="D6051" s="368" t="s">
        <v>523</v>
      </c>
      <c r="E6051" s="370">
        <v>3.0</v>
      </c>
      <c r="F6051" s="371">
        <v>46115.45833333333</v>
      </c>
      <c r="G6051" s="368" t="s">
        <v>1185</v>
      </c>
      <c r="H6051" s="368" t="s">
        <v>1233</v>
      </c>
    </row>
    <row r="6052" ht="15.75" customHeight="1">
      <c r="A6052" s="368" t="s">
        <v>95</v>
      </c>
      <c r="B6052" s="368" t="s">
        <v>26</v>
      </c>
      <c r="C6052" s="369" t="s">
        <v>522</v>
      </c>
      <c r="D6052" s="368" t="s">
        <v>523</v>
      </c>
      <c r="E6052" s="370">
        <v>4.0</v>
      </c>
      <c r="F6052" s="371">
        <v>46128.41666666667</v>
      </c>
      <c r="G6052" s="368" t="s">
        <v>1185</v>
      </c>
      <c r="H6052" s="368" t="s">
        <v>1233</v>
      </c>
    </row>
    <row r="6053" ht="15.75" customHeight="1">
      <c r="A6053" s="368" t="s">
        <v>95</v>
      </c>
      <c r="B6053" s="368" t="s">
        <v>26</v>
      </c>
      <c r="C6053" s="369" t="s">
        <v>522</v>
      </c>
      <c r="D6053" s="368" t="s">
        <v>523</v>
      </c>
      <c r="E6053" s="370">
        <v>5.0</v>
      </c>
      <c r="F6053" s="371">
        <v>46129.54166666667</v>
      </c>
      <c r="G6053" s="368" t="s">
        <v>1185</v>
      </c>
      <c r="H6053" s="368" t="s">
        <v>1233</v>
      </c>
    </row>
    <row r="6054" ht="15.75" customHeight="1">
      <c r="A6054" s="368" t="s">
        <v>95</v>
      </c>
      <c r="B6054" s="368" t="s">
        <v>26</v>
      </c>
      <c r="C6054" s="369" t="s">
        <v>522</v>
      </c>
      <c r="D6054" s="368" t="s">
        <v>523</v>
      </c>
      <c r="E6054" s="370">
        <v>6.0</v>
      </c>
      <c r="F6054" s="371">
        <v>46135.45833333333</v>
      </c>
      <c r="G6054" s="368" t="s">
        <v>1185</v>
      </c>
      <c r="H6054" s="368" t="s">
        <v>1233</v>
      </c>
    </row>
    <row r="6055" ht="15.75" customHeight="1">
      <c r="A6055" s="368" t="s">
        <v>95</v>
      </c>
      <c r="B6055" s="368" t="s">
        <v>26</v>
      </c>
      <c r="C6055" s="369" t="s">
        <v>522</v>
      </c>
      <c r="D6055" s="368" t="s">
        <v>523</v>
      </c>
      <c r="E6055" s="370">
        <v>7.0</v>
      </c>
      <c r="F6055" s="371">
        <v>46150.45833333333</v>
      </c>
      <c r="G6055" s="368" t="s">
        <v>1185</v>
      </c>
      <c r="H6055" s="368" t="s">
        <v>1233</v>
      </c>
    </row>
    <row r="6056" ht="15.75" customHeight="1">
      <c r="A6056" s="368" t="s">
        <v>95</v>
      </c>
      <c r="B6056" s="368" t="s">
        <v>26</v>
      </c>
      <c r="C6056" s="369" t="s">
        <v>522</v>
      </c>
      <c r="D6056" s="368" t="s">
        <v>523</v>
      </c>
      <c r="E6056" s="370">
        <v>8.0</v>
      </c>
      <c r="F6056" s="371">
        <v>46157.45833333333</v>
      </c>
      <c r="G6056" s="368" t="s">
        <v>1185</v>
      </c>
      <c r="H6056" s="368" t="s">
        <v>1233</v>
      </c>
    </row>
    <row r="6057" ht="15.75" customHeight="1">
      <c r="A6057" s="368" t="s">
        <v>95</v>
      </c>
      <c r="B6057" s="368" t="s">
        <v>26</v>
      </c>
      <c r="C6057" s="369" t="s">
        <v>522</v>
      </c>
      <c r="D6057" s="368" t="s">
        <v>523</v>
      </c>
      <c r="E6057" s="370">
        <v>9.0</v>
      </c>
      <c r="F6057" s="371">
        <v>46171.45833333333</v>
      </c>
      <c r="G6057" s="368" t="s">
        <v>1185</v>
      </c>
      <c r="H6057" s="368" t="s">
        <v>1233</v>
      </c>
    </row>
    <row r="6058" ht="15.75" customHeight="1">
      <c r="A6058" s="368" t="s">
        <v>95</v>
      </c>
      <c r="B6058" s="368" t="s">
        <v>26</v>
      </c>
      <c r="C6058" s="369" t="s">
        <v>522</v>
      </c>
      <c r="D6058" s="368" t="s">
        <v>523</v>
      </c>
      <c r="E6058" s="370">
        <v>10.0</v>
      </c>
      <c r="F6058" s="371">
        <v>46176.45833333333</v>
      </c>
      <c r="G6058" s="368" t="s">
        <v>1185</v>
      </c>
      <c r="H6058" s="368" t="s">
        <v>1233</v>
      </c>
    </row>
    <row r="6059" ht="15.75" customHeight="1">
      <c r="A6059" s="368" t="s">
        <v>95</v>
      </c>
      <c r="B6059" s="368" t="s">
        <v>26</v>
      </c>
      <c r="C6059" s="369" t="s">
        <v>522</v>
      </c>
      <c r="D6059" s="368" t="s">
        <v>523</v>
      </c>
      <c r="E6059" s="370">
        <v>11.0</v>
      </c>
      <c r="F6059" s="371">
        <v>46185.45833333333</v>
      </c>
      <c r="G6059" s="368" t="s">
        <v>1185</v>
      </c>
      <c r="H6059" s="368" t="s">
        <v>1233</v>
      </c>
    </row>
    <row r="6060" ht="15.75" customHeight="1">
      <c r="A6060" s="368" t="s">
        <v>95</v>
      </c>
      <c r="B6060" s="368" t="s">
        <v>26</v>
      </c>
      <c r="C6060" s="369" t="s">
        <v>522</v>
      </c>
      <c r="D6060" s="368" t="s">
        <v>523</v>
      </c>
      <c r="E6060" s="370">
        <v>12.0</v>
      </c>
      <c r="F6060" s="371">
        <v>46191.45833333333</v>
      </c>
      <c r="G6060" s="368" t="s">
        <v>1185</v>
      </c>
      <c r="H6060" s="368" t="s">
        <v>1233</v>
      </c>
    </row>
    <row r="6061" ht="15.75" customHeight="1">
      <c r="A6061" s="368" t="s">
        <v>95</v>
      </c>
      <c r="B6061" s="368" t="s">
        <v>26</v>
      </c>
      <c r="C6061" s="369" t="s">
        <v>522</v>
      </c>
      <c r="D6061" s="368" t="s">
        <v>523</v>
      </c>
      <c r="E6061" s="370">
        <v>13.0</v>
      </c>
      <c r="F6061" s="371">
        <v>46199.45833333333</v>
      </c>
      <c r="G6061" s="368" t="s">
        <v>1185</v>
      </c>
      <c r="H6061" s="368" t="s">
        <v>1233</v>
      </c>
    </row>
    <row r="6062" ht="15.75" customHeight="1">
      <c r="A6062" s="368" t="s">
        <v>95</v>
      </c>
      <c r="B6062" s="368" t="s">
        <v>26</v>
      </c>
      <c r="C6062" s="369" t="s">
        <v>522</v>
      </c>
      <c r="D6062" s="368" t="s">
        <v>523</v>
      </c>
      <c r="E6062" s="370">
        <v>14.0</v>
      </c>
      <c r="F6062" s="371">
        <v>46205.625</v>
      </c>
      <c r="G6062" s="368" t="s">
        <v>1185</v>
      </c>
      <c r="H6062" s="368" t="s">
        <v>1233</v>
      </c>
    </row>
    <row r="6063" ht="15.75" customHeight="1">
      <c r="A6063" s="368" t="s">
        <v>95</v>
      </c>
      <c r="B6063" s="368" t="s">
        <v>26</v>
      </c>
      <c r="C6063" s="369" t="s">
        <v>522</v>
      </c>
      <c r="D6063" s="368" t="s">
        <v>523</v>
      </c>
      <c r="E6063" s="370">
        <v>15.0</v>
      </c>
      <c r="F6063" s="371">
        <v>46211.45833333333</v>
      </c>
      <c r="G6063" s="368" t="s">
        <v>1187</v>
      </c>
      <c r="H6063" s="368" t="s">
        <v>1233</v>
      </c>
    </row>
    <row r="6064" ht="15.75" customHeight="1">
      <c r="A6064" s="368" t="s">
        <v>95</v>
      </c>
      <c r="B6064" s="368" t="s">
        <v>26</v>
      </c>
      <c r="C6064" s="369" t="s">
        <v>524</v>
      </c>
      <c r="D6064" s="368" t="s">
        <v>525</v>
      </c>
      <c r="E6064" s="370">
        <v>1.0</v>
      </c>
      <c r="F6064" s="371">
        <v>46087.45833333333</v>
      </c>
      <c r="G6064" s="368" t="s">
        <v>1185</v>
      </c>
      <c r="H6064" s="368" t="s">
        <v>1233</v>
      </c>
    </row>
    <row r="6065" ht="15.75" customHeight="1">
      <c r="A6065" s="368" t="s">
        <v>95</v>
      </c>
      <c r="B6065" s="368" t="s">
        <v>26</v>
      </c>
      <c r="C6065" s="369" t="s">
        <v>524</v>
      </c>
      <c r="D6065" s="368" t="s">
        <v>525</v>
      </c>
      <c r="E6065" s="370">
        <v>2.0</v>
      </c>
      <c r="F6065" s="371">
        <v>46107.625</v>
      </c>
      <c r="G6065" s="368" t="s">
        <v>1185</v>
      </c>
      <c r="H6065" s="368" t="s">
        <v>1233</v>
      </c>
    </row>
    <row r="6066" ht="15.75" customHeight="1">
      <c r="A6066" s="368" t="s">
        <v>95</v>
      </c>
      <c r="B6066" s="368" t="s">
        <v>26</v>
      </c>
      <c r="C6066" s="369" t="s">
        <v>524</v>
      </c>
      <c r="D6066" s="368" t="s">
        <v>525</v>
      </c>
      <c r="E6066" s="370">
        <v>3.0</v>
      </c>
      <c r="F6066" s="371">
        <v>46115.45833333333</v>
      </c>
      <c r="G6066" s="368" t="s">
        <v>1185</v>
      </c>
      <c r="H6066" s="368" t="s">
        <v>1233</v>
      </c>
    </row>
    <row r="6067" ht="15.75" customHeight="1">
      <c r="A6067" s="368" t="s">
        <v>95</v>
      </c>
      <c r="B6067" s="368" t="s">
        <v>26</v>
      </c>
      <c r="C6067" s="369" t="s">
        <v>524</v>
      </c>
      <c r="D6067" s="368" t="s">
        <v>525</v>
      </c>
      <c r="E6067" s="370">
        <v>4.0</v>
      </c>
      <c r="F6067" s="371">
        <v>46128.41666666667</v>
      </c>
      <c r="G6067" s="368" t="s">
        <v>1185</v>
      </c>
      <c r="H6067" s="368" t="s">
        <v>1233</v>
      </c>
    </row>
    <row r="6068" ht="15.75" customHeight="1">
      <c r="A6068" s="368" t="s">
        <v>95</v>
      </c>
      <c r="B6068" s="368" t="s">
        <v>26</v>
      </c>
      <c r="C6068" s="369" t="s">
        <v>524</v>
      </c>
      <c r="D6068" s="368" t="s">
        <v>525</v>
      </c>
      <c r="E6068" s="370">
        <v>5.0</v>
      </c>
      <c r="F6068" s="371">
        <v>46129.54166666667</v>
      </c>
      <c r="G6068" s="368" t="s">
        <v>1185</v>
      </c>
      <c r="H6068" s="368" t="s">
        <v>1233</v>
      </c>
    </row>
    <row r="6069" ht="15.75" customHeight="1">
      <c r="A6069" s="368" t="s">
        <v>95</v>
      </c>
      <c r="B6069" s="368" t="s">
        <v>26</v>
      </c>
      <c r="C6069" s="369" t="s">
        <v>524</v>
      </c>
      <c r="D6069" s="368" t="s">
        <v>525</v>
      </c>
      <c r="E6069" s="370">
        <v>6.0</v>
      </c>
      <c r="F6069" s="371">
        <v>46135.45833333333</v>
      </c>
      <c r="G6069" s="368" t="s">
        <v>1185</v>
      </c>
      <c r="H6069" s="368" t="s">
        <v>1233</v>
      </c>
    </row>
    <row r="6070" ht="15.75" customHeight="1">
      <c r="A6070" s="368" t="s">
        <v>95</v>
      </c>
      <c r="B6070" s="368" t="s">
        <v>26</v>
      </c>
      <c r="C6070" s="369" t="s">
        <v>524</v>
      </c>
      <c r="D6070" s="368" t="s">
        <v>525</v>
      </c>
      <c r="E6070" s="370">
        <v>7.0</v>
      </c>
      <c r="F6070" s="371">
        <v>46150.45833333333</v>
      </c>
      <c r="G6070" s="368" t="s">
        <v>1185</v>
      </c>
      <c r="H6070" s="368" t="s">
        <v>1233</v>
      </c>
    </row>
    <row r="6071" ht="15.75" customHeight="1">
      <c r="A6071" s="368" t="s">
        <v>95</v>
      </c>
      <c r="B6071" s="368" t="s">
        <v>26</v>
      </c>
      <c r="C6071" s="369" t="s">
        <v>524</v>
      </c>
      <c r="D6071" s="368" t="s">
        <v>525</v>
      </c>
      <c r="E6071" s="370">
        <v>8.0</v>
      </c>
      <c r="F6071" s="371">
        <v>46157.45833333333</v>
      </c>
      <c r="G6071" s="368" t="s">
        <v>1185</v>
      </c>
      <c r="H6071" s="368" t="s">
        <v>1233</v>
      </c>
    </row>
    <row r="6072" ht="15.75" customHeight="1">
      <c r="A6072" s="368" t="s">
        <v>95</v>
      </c>
      <c r="B6072" s="368" t="s">
        <v>26</v>
      </c>
      <c r="C6072" s="369" t="s">
        <v>524</v>
      </c>
      <c r="D6072" s="368" t="s">
        <v>525</v>
      </c>
      <c r="E6072" s="370">
        <v>9.0</v>
      </c>
      <c r="F6072" s="371">
        <v>46171.45833333333</v>
      </c>
      <c r="G6072" s="368" t="s">
        <v>1187</v>
      </c>
      <c r="H6072" s="368" t="s">
        <v>1233</v>
      </c>
    </row>
    <row r="6073" ht="15.75" customHeight="1">
      <c r="A6073" s="368" t="s">
        <v>95</v>
      </c>
      <c r="B6073" s="368" t="s">
        <v>26</v>
      </c>
      <c r="C6073" s="369" t="s">
        <v>524</v>
      </c>
      <c r="D6073" s="368" t="s">
        <v>525</v>
      </c>
      <c r="E6073" s="370">
        <v>10.0</v>
      </c>
      <c r="F6073" s="371">
        <v>46176.45833333333</v>
      </c>
      <c r="G6073" s="368" t="s">
        <v>1185</v>
      </c>
      <c r="H6073" s="368" t="s">
        <v>1233</v>
      </c>
    </row>
    <row r="6074" ht="15.75" customHeight="1">
      <c r="A6074" s="368" t="s">
        <v>95</v>
      </c>
      <c r="B6074" s="368" t="s">
        <v>26</v>
      </c>
      <c r="C6074" s="369" t="s">
        <v>524</v>
      </c>
      <c r="D6074" s="368" t="s">
        <v>525</v>
      </c>
      <c r="E6074" s="370">
        <v>11.0</v>
      </c>
      <c r="F6074" s="371">
        <v>46185.45833333333</v>
      </c>
      <c r="G6074" s="368" t="s">
        <v>1185</v>
      </c>
      <c r="H6074" s="368" t="s">
        <v>1233</v>
      </c>
    </row>
    <row r="6075" ht="15.75" customHeight="1">
      <c r="A6075" s="368" t="s">
        <v>95</v>
      </c>
      <c r="B6075" s="368" t="s">
        <v>26</v>
      </c>
      <c r="C6075" s="369" t="s">
        <v>524</v>
      </c>
      <c r="D6075" s="368" t="s">
        <v>525</v>
      </c>
      <c r="E6075" s="370">
        <v>12.0</v>
      </c>
      <c r="F6075" s="371">
        <v>46191.45833333333</v>
      </c>
      <c r="G6075" s="368" t="s">
        <v>1185</v>
      </c>
      <c r="H6075" s="368" t="s">
        <v>1233</v>
      </c>
    </row>
    <row r="6076" ht="15.75" customHeight="1">
      <c r="A6076" s="368" t="s">
        <v>95</v>
      </c>
      <c r="B6076" s="368" t="s">
        <v>26</v>
      </c>
      <c r="C6076" s="369" t="s">
        <v>524</v>
      </c>
      <c r="D6076" s="368" t="s">
        <v>525</v>
      </c>
      <c r="E6076" s="370">
        <v>13.0</v>
      </c>
      <c r="F6076" s="371">
        <v>46199.45833333333</v>
      </c>
      <c r="G6076" s="368" t="s">
        <v>1185</v>
      </c>
      <c r="H6076" s="368" t="s">
        <v>1233</v>
      </c>
    </row>
    <row r="6077" ht="15.75" customHeight="1">
      <c r="A6077" s="368" t="s">
        <v>95</v>
      </c>
      <c r="B6077" s="368" t="s">
        <v>26</v>
      </c>
      <c r="C6077" s="369" t="s">
        <v>524</v>
      </c>
      <c r="D6077" s="368" t="s">
        <v>525</v>
      </c>
      <c r="E6077" s="370">
        <v>14.0</v>
      </c>
      <c r="F6077" s="371">
        <v>46205.625</v>
      </c>
      <c r="G6077" s="368" t="s">
        <v>1185</v>
      </c>
      <c r="H6077" s="368" t="s">
        <v>1233</v>
      </c>
    </row>
    <row r="6078" ht="15.75" customHeight="1">
      <c r="A6078" s="368" t="s">
        <v>95</v>
      </c>
      <c r="B6078" s="368" t="s">
        <v>26</v>
      </c>
      <c r="C6078" s="369" t="s">
        <v>524</v>
      </c>
      <c r="D6078" s="368" t="s">
        <v>525</v>
      </c>
      <c r="E6078" s="370">
        <v>15.0</v>
      </c>
      <c r="F6078" s="371">
        <v>46211.45833333333</v>
      </c>
      <c r="G6078" s="368" t="s">
        <v>1185</v>
      </c>
      <c r="H6078" s="368" t="s">
        <v>1233</v>
      </c>
    </row>
    <row r="6079" ht="15.75" customHeight="1">
      <c r="A6079" s="368" t="s">
        <v>95</v>
      </c>
      <c r="B6079" s="368" t="s">
        <v>26</v>
      </c>
      <c r="C6079" s="369" t="s">
        <v>526</v>
      </c>
      <c r="D6079" s="368" t="s">
        <v>527</v>
      </c>
      <c r="E6079" s="370">
        <v>1.0</v>
      </c>
      <c r="F6079" s="371">
        <v>46087.45833333333</v>
      </c>
      <c r="G6079" s="368" t="s">
        <v>1185</v>
      </c>
      <c r="H6079" s="368" t="s">
        <v>1233</v>
      </c>
    </row>
    <row r="6080" ht="15.75" customHeight="1">
      <c r="A6080" s="368" t="s">
        <v>95</v>
      </c>
      <c r="B6080" s="368" t="s">
        <v>26</v>
      </c>
      <c r="C6080" s="369" t="s">
        <v>526</v>
      </c>
      <c r="D6080" s="368" t="s">
        <v>527</v>
      </c>
      <c r="E6080" s="370">
        <v>2.0</v>
      </c>
      <c r="F6080" s="371">
        <v>46107.625</v>
      </c>
      <c r="G6080" s="368" t="s">
        <v>1185</v>
      </c>
      <c r="H6080" s="368" t="s">
        <v>1233</v>
      </c>
    </row>
    <row r="6081" ht="15.75" customHeight="1">
      <c r="A6081" s="368" t="s">
        <v>95</v>
      </c>
      <c r="B6081" s="368" t="s">
        <v>26</v>
      </c>
      <c r="C6081" s="369" t="s">
        <v>526</v>
      </c>
      <c r="D6081" s="368" t="s">
        <v>527</v>
      </c>
      <c r="E6081" s="370">
        <v>3.0</v>
      </c>
      <c r="F6081" s="371">
        <v>46115.45833333333</v>
      </c>
      <c r="G6081" s="368" t="s">
        <v>1185</v>
      </c>
      <c r="H6081" s="368" t="s">
        <v>1233</v>
      </c>
    </row>
    <row r="6082" ht="15.75" customHeight="1">
      <c r="A6082" s="368" t="s">
        <v>95</v>
      </c>
      <c r="B6082" s="368" t="s">
        <v>26</v>
      </c>
      <c r="C6082" s="369" t="s">
        <v>526</v>
      </c>
      <c r="D6082" s="368" t="s">
        <v>527</v>
      </c>
      <c r="E6082" s="370">
        <v>4.0</v>
      </c>
      <c r="F6082" s="371">
        <v>46128.41666666667</v>
      </c>
      <c r="G6082" s="368" t="s">
        <v>1185</v>
      </c>
      <c r="H6082" s="368" t="s">
        <v>1233</v>
      </c>
    </row>
    <row r="6083" ht="15.75" customHeight="1">
      <c r="A6083" s="368" t="s">
        <v>95</v>
      </c>
      <c r="B6083" s="368" t="s">
        <v>26</v>
      </c>
      <c r="C6083" s="369" t="s">
        <v>526</v>
      </c>
      <c r="D6083" s="368" t="s">
        <v>527</v>
      </c>
      <c r="E6083" s="370">
        <v>5.0</v>
      </c>
      <c r="F6083" s="371">
        <v>46129.54166666667</v>
      </c>
      <c r="G6083" s="368" t="s">
        <v>1185</v>
      </c>
      <c r="H6083" s="368" t="s">
        <v>1233</v>
      </c>
    </row>
    <row r="6084" ht="15.75" customHeight="1">
      <c r="A6084" s="368" t="s">
        <v>95</v>
      </c>
      <c r="B6084" s="368" t="s">
        <v>26</v>
      </c>
      <c r="C6084" s="369" t="s">
        <v>526</v>
      </c>
      <c r="D6084" s="368" t="s">
        <v>527</v>
      </c>
      <c r="E6084" s="370">
        <v>6.0</v>
      </c>
      <c r="F6084" s="371">
        <v>46135.45833333333</v>
      </c>
      <c r="G6084" s="368" t="s">
        <v>1185</v>
      </c>
      <c r="H6084" s="368" t="s">
        <v>1233</v>
      </c>
    </row>
    <row r="6085" ht="15.75" customHeight="1">
      <c r="A6085" s="368" t="s">
        <v>95</v>
      </c>
      <c r="B6085" s="368" t="s">
        <v>26</v>
      </c>
      <c r="C6085" s="369" t="s">
        <v>526</v>
      </c>
      <c r="D6085" s="368" t="s">
        <v>527</v>
      </c>
      <c r="E6085" s="370">
        <v>7.0</v>
      </c>
      <c r="F6085" s="371">
        <v>46150.45833333333</v>
      </c>
      <c r="G6085" s="368" t="s">
        <v>1185</v>
      </c>
      <c r="H6085" s="368" t="s">
        <v>1233</v>
      </c>
    </row>
    <row r="6086" ht="15.75" customHeight="1">
      <c r="A6086" s="368" t="s">
        <v>95</v>
      </c>
      <c r="B6086" s="368" t="s">
        <v>26</v>
      </c>
      <c r="C6086" s="369" t="s">
        <v>526</v>
      </c>
      <c r="D6086" s="368" t="s">
        <v>527</v>
      </c>
      <c r="E6086" s="370">
        <v>8.0</v>
      </c>
      <c r="F6086" s="371">
        <v>46157.45833333333</v>
      </c>
      <c r="G6086" s="368" t="s">
        <v>1185</v>
      </c>
      <c r="H6086" s="368" t="s">
        <v>1233</v>
      </c>
    </row>
    <row r="6087" ht="15.75" customHeight="1">
      <c r="A6087" s="368" t="s">
        <v>95</v>
      </c>
      <c r="B6087" s="368" t="s">
        <v>26</v>
      </c>
      <c r="C6087" s="369" t="s">
        <v>526</v>
      </c>
      <c r="D6087" s="368" t="s">
        <v>527</v>
      </c>
      <c r="E6087" s="370">
        <v>9.0</v>
      </c>
      <c r="F6087" s="371">
        <v>46171.45833333333</v>
      </c>
      <c r="G6087" s="368" t="s">
        <v>1185</v>
      </c>
      <c r="H6087" s="368" t="s">
        <v>1233</v>
      </c>
    </row>
    <row r="6088" ht="15.75" customHeight="1">
      <c r="A6088" s="368" t="s">
        <v>95</v>
      </c>
      <c r="B6088" s="368" t="s">
        <v>26</v>
      </c>
      <c r="C6088" s="369" t="s">
        <v>526</v>
      </c>
      <c r="D6088" s="368" t="s">
        <v>527</v>
      </c>
      <c r="E6088" s="370">
        <v>10.0</v>
      </c>
      <c r="F6088" s="371">
        <v>46176.45833333333</v>
      </c>
      <c r="G6088" s="368" t="s">
        <v>1185</v>
      </c>
      <c r="H6088" s="368" t="s">
        <v>1233</v>
      </c>
    </row>
    <row r="6089" ht="15.75" customHeight="1">
      <c r="A6089" s="368" t="s">
        <v>95</v>
      </c>
      <c r="B6089" s="368" t="s">
        <v>26</v>
      </c>
      <c r="C6089" s="369" t="s">
        <v>526</v>
      </c>
      <c r="D6089" s="368" t="s">
        <v>527</v>
      </c>
      <c r="E6089" s="370">
        <v>11.0</v>
      </c>
      <c r="F6089" s="371">
        <v>46185.45833333333</v>
      </c>
      <c r="G6089" s="368" t="s">
        <v>1185</v>
      </c>
      <c r="H6089" s="368" t="s">
        <v>1233</v>
      </c>
    </row>
    <row r="6090" ht="15.75" customHeight="1">
      <c r="A6090" s="368" t="s">
        <v>95</v>
      </c>
      <c r="B6090" s="368" t="s">
        <v>26</v>
      </c>
      <c r="C6090" s="369" t="s">
        <v>526</v>
      </c>
      <c r="D6090" s="368" t="s">
        <v>527</v>
      </c>
      <c r="E6090" s="370">
        <v>12.0</v>
      </c>
      <c r="F6090" s="371">
        <v>46191.45833333333</v>
      </c>
      <c r="G6090" s="368" t="s">
        <v>1185</v>
      </c>
      <c r="H6090" s="368" t="s">
        <v>1233</v>
      </c>
    </row>
    <row r="6091" ht="15.75" customHeight="1">
      <c r="A6091" s="368" t="s">
        <v>95</v>
      </c>
      <c r="B6091" s="368" t="s">
        <v>26</v>
      </c>
      <c r="C6091" s="369" t="s">
        <v>526</v>
      </c>
      <c r="D6091" s="368" t="s">
        <v>527</v>
      </c>
      <c r="E6091" s="370">
        <v>13.0</v>
      </c>
      <c r="F6091" s="371">
        <v>46199.45833333333</v>
      </c>
      <c r="G6091" s="368" t="s">
        <v>1185</v>
      </c>
      <c r="H6091" s="368" t="s">
        <v>1233</v>
      </c>
    </row>
    <row r="6092" ht="15.75" customHeight="1">
      <c r="A6092" s="368" t="s">
        <v>95</v>
      </c>
      <c r="B6092" s="368" t="s">
        <v>26</v>
      </c>
      <c r="C6092" s="369" t="s">
        <v>526</v>
      </c>
      <c r="D6092" s="368" t="s">
        <v>527</v>
      </c>
      <c r="E6092" s="370">
        <v>14.0</v>
      </c>
      <c r="F6092" s="371">
        <v>46205.625</v>
      </c>
      <c r="G6092" s="368" t="s">
        <v>1185</v>
      </c>
      <c r="H6092" s="368" t="s">
        <v>1233</v>
      </c>
    </row>
    <row r="6093" ht="15.75" customHeight="1">
      <c r="A6093" s="368" t="s">
        <v>95</v>
      </c>
      <c r="B6093" s="368" t="s">
        <v>26</v>
      </c>
      <c r="C6093" s="369" t="s">
        <v>526</v>
      </c>
      <c r="D6093" s="368" t="s">
        <v>527</v>
      </c>
      <c r="E6093" s="370">
        <v>15.0</v>
      </c>
      <c r="F6093" s="371">
        <v>46211.45833333333</v>
      </c>
      <c r="G6093" s="368" t="s">
        <v>1185</v>
      </c>
      <c r="H6093" s="368" t="s">
        <v>1233</v>
      </c>
    </row>
    <row r="6094" ht="15.75" customHeight="1">
      <c r="A6094" s="368" t="s">
        <v>95</v>
      </c>
      <c r="B6094" s="368" t="s">
        <v>26</v>
      </c>
      <c r="C6094" s="369" t="s">
        <v>528</v>
      </c>
      <c r="D6094" s="368" t="s">
        <v>529</v>
      </c>
      <c r="E6094" s="370">
        <v>1.0</v>
      </c>
      <c r="F6094" s="371">
        <v>46087.45833333333</v>
      </c>
      <c r="G6094" s="368" t="s">
        <v>1185</v>
      </c>
      <c r="H6094" s="368" t="s">
        <v>1233</v>
      </c>
    </row>
    <row r="6095" ht="15.75" customHeight="1">
      <c r="A6095" s="368" t="s">
        <v>95</v>
      </c>
      <c r="B6095" s="368" t="s">
        <v>26</v>
      </c>
      <c r="C6095" s="369" t="s">
        <v>528</v>
      </c>
      <c r="D6095" s="368" t="s">
        <v>529</v>
      </c>
      <c r="E6095" s="370">
        <v>2.0</v>
      </c>
      <c r="F6095" s="371">
        <v>46107.625</v>
      </c>
      <c r="G6095" s="368" t="s">
        <v>1185</v>
      </c>
      <c r="H6095" s="368" t="s">
        <v>1233</v>
      </c>
    </row>
    <row r="6096" ht="15.75" customHeight="1">
      <c r="A6096" s="368" t="s">
        <v>95</v>
      </c>
      <c r="B6096" s="368" t="s">
        <v>26</v>
      </c>
      <c r="C6096" s="369" t="s">
        <v>528</v>
      </c>
      <c r="D6096" s="368" t="s">
        <v>529</v>
      </c>
      <c r="E6096" s="370">
        <v>3.0</v>
      </c>
      <c r="F6096" s="371">
        <v>46115.45833333333</v>
      </c>
      <c r="G6096" s="368" t="s">
        <v>1185</v>
      </c>
      <c r="H6096" s="368" t="s">
        <v>1233</v>
      </c>
    </row>
    <row r="6097" ht="15.75" customHeight="1">
      <c r="A6097" s="368" t="s">
        <v>95</v>
      </c>
      <c r="B6097" s="368" t="s">
        <v>26</v>
      </c>
      <c r="C6097" s="369" t="s">
        <v>528</v>
      </c>
      <c r="D6097" s="368" t="s">
        <v>529</v>
      </c>
      <c r="E6097" s="370">
        <v>4.0</v>
      </c>
      <c r="F6097" s="371">
        <v>46128.41666666667</v>
      </c>
      <c r="G6097" s="368" t="s">
        <v>1185</v>
      </c>
      <c r="H6097" s="368" t="s">
        <v>1233</v>
      </c>
    </row>
    <row r="6098" ht="15.75" customHeight="1">
      <c r="A6098" s="368" t="s">
        <v>95</v>
      </c>
      <c r="B6098" s="368" t="s">
        <v>26</v>
      </c>
      <c r="C6098" s="369" t="s">
        <v>528</v>
      </c>
      <c r="D6098" s="368" t="s">
        <v>529</v>
      </c>
      <c r="E6098" s="370">
        <v>6.0</v>
      </c>
      <c r="F6098" s="371">
        <v>46135.45833333333</v>
      </c>
      <c r="G6098" s="368" t="s">
        <v>1185</v>
      </c>
      <c r="H6098" s="368" t="s">
        <v>1233</v>
      </c>
    </row>
    <row r="6099" ht="15.75" customHeight="1">
      <c r="A6099" s="368" t="s">
        <v>95</v>
      </c>
      <c r="B6099" s="368" t="s">
        <v>26</v>
      </c>
      <c r="C6099" s="369" t="s">
        <v>528</v>
      </c>
      <c r="D6099" s="368" t="s">
        <v>529</v>
      </c>
      <c r="E6099" s="370">
        <v>7.0</v>
      </c>
      <c r="F6099" s="371">
        <v>46150.45833333333</v>
      </c>
      <c r="G6099" s="368" t="s">
        <v>1185</v>
      </c>
      <c r="H6099" s="368" t="s">
        <v>1233</v>
      </c>
    </row>
    <row r="6100" ht="15.75" customHeight="1">
      <c r="A6100" s="368" t="s">
        <v>95</v>
      </c>
      <c r="B6100" s="368" t="s">
        <v>26</v>
      </c>
      <c r="C6100" s="369" t="s">
        <v>528</v>
      </c>
      <c r="D6100" s="368" t="s">
        <v>529</v>
      </c>
      <c r="E6100" s="370">
        <v>8.0</v>
      </c>
      <c r="F6100" s="371">
        <v>46157.45833333333</v>
      </c>
      <c r="G6100" s="368" t="s">
        <v>1187</v>
      </c>
      <c r="H6100" s="368" t="s">
        <v>1233</v>
      </c>
    </row>
    <row r="6101" ht="15.75" customHeight="1">
      <c r="A6101" s="368" t="s">
        <v>95</v>
      </c>
      <c r="B6101" s="368" t="s">
        <v>26</v>
      </c>
      <c r="C6101" s="369" t="s">
        <v>528</v>
      </c>
      <c r="D6101" s="368" t="s">
        <v>529</v>
      </c>
      <c r="E6101" s="370">
        <v>9.0</v>
      </c>
      <c r="F6101" s="371">
        <v>46171.45833333333</v>
      </c>
      <c r="G6101" s="368" t="s">
        <v>1185</v>
      </c>
      <c r="H6101" s="368" t="s">
        <v>1233</v>
      </c>
    </row>
    <row r="6102" ht="15.75" customHeight="1">
      <c r="A6102" s="368" t="s">
        <v>95</v>
      </c>
      <c r="B6102" s="368" t="s">
        <v>26</v>
      </c>
      <c r="C6102" s="369" t="s">
        <v>528</v>
      </c>
      <c r="D6102" s="368" t="s">
        <v>529</v>
      </c>
      <c r="E6102" s="370">
        <v>11.0</v>
      </c>
      <c r="F6102" s="371">
        <v>46185.45833333333</v>
      </c>
      <c r="G6102" s="368" t="s">
        <v>1187</v>
      </c>
      <c r="H6102" s="368" t="s">
        <v>1233</v>
      </c>
    </row>
    <row r="6103" ht="15.75" customHeight="1">
      <c r="A6103" s="368" t="s">
        <v>95</v>
      </c>
      <c r="B6103" s="368" t="s">
        <v>26</v>
      </c>
      <c r="C6103" s="369" t="s">
        <v>528</v>
      </c>
      <c r="D6103" s="368" t="s">
        <v>529</v>
      </c>
      <c r="E6103" s="370">
        <v>12.0</v>
      </c>
      <c r="F6103" s="371">
        <v>46191.45833333333</v>
      </c>
      <c r="G6103" s="368" t="s">
        <v>1185</v>
      </c>
      <c r="H6103" s="368" t="s">
        <v>1233</v>
      </c>
    </row>
    <row r="6104" ht="15.75" customHeight="1">
      <c r="A6104" s="368" t="s">
        <v>95</v>
      </c>
      <c r="B6104" s="368" t="s">
        <v>26</v>
      </c>
      <c r="C6104" s="369" t="s">
        <v>528</v>
      </c>
      <c r="D6104" s="368" t="s">
        <v>529</v>
      </c>
      <c r="E6104" s="370">
        <v>13.0</v>
      </c>
      <c r="F6104" s="371">
        <v>46199.45833333333</v>
      </c>
      <c r="G6104" s="368" t="s">
        <v>1185</v>
      </c>
      <c r="H6104" s="368" t="s">
        <v>1233</v>
      </c>
    </row>
    <row r="6105" ht="15.75" customHeight="1">
      <c r="A6105" s="368" t="s">
        <v>95</v>
      </c>
      <c r="B6105" s="368" t="s">
        <v>26</v>
      </c>
      <c r="C6105" s="369" t="s">
        <v>528</v>
      </c>
      <c r="D6105" s="368" t="s">
        <v>529</v>
      </c>
      <c r="E6105" s="370">
        <v>14.0</v>
      </c>
      <c r="F6105" s="371">
        <v>46205.625</v>
      </c>
      <c r="G6105" s="368" t="s">
        <v>1185</v>
      </c>
      <c r="H6105" s="368" t="s">
        <v>1233</v>
      </c>
    </row>
    <row r="6106" ht="15.75" customHeight="1">
      <c r="A6106" s="368" t="s">
        <v>95</v>
      </c>
      <c r="B6106" s="368" t="s">
        <v>26</v>
      </c>
      <c r="C6106" s="369" t="s">
        <v>528</v>
      </c>
      <c r="D6106" s="368" t="s">
        <v>529</v>
      </c>
      <c r="E6106" s="370">
        <v>15.0</v>
      </c>
      <c r="F6106" s="371">
        <v>46211.45833333333</v>
      </c>
      <c r="G6106" s="368" t="s">
        <v>1185</v>
      </c>
      <c r="H6106" s="368" t="s">
        <v>1233</v>
      </c>
    </row>
    <row r="6107" ht="15.75" customHeight="1">
      <c r="A6107" s="368" t="s">
        <v>95</v>
      </c>
      <c r="B6107" s="368" t="s">
        <v>26</v>
      </c>
      <c r="C6107" s="369" t="s">
        <v>703</v>
      </c>
      <c r="D6107" s="368" t="s">
        <v>704</v>
      </c>
      <c r="E6107" s="370">
        <v>1.0</v>
      </c>
      <c r="F6107" s="371">
        <v>46087.45833333333</v>
      </c>
      <c r="G6107" s="368" t="s">
        <v>1185</v>
      </c>
      <c r="H6107" s="368" t="s">
        <v>1233</v>
      </c>
    </row>
    <row r="6108" ht="15.75" customHeight="1">
      <c r="A6108" s="368" t="s">
        <v>95</v>
      </c>
      <c r="B6108" s="368" t="s">
        <v>26</v>
      </c>
      <c r="C6108" s="369" t="s">
        <v>703</v>
      </c>
      <c r="D6108" s="368" t="s">
        <v>704</v>
      </c>
      <c r="E6108" s="370">
        <v>2.0</v>
      </c>
      <c r="F6108" s="371">
        <v>46107.625</v>
      </c>
      <c r="G6108" s="368" t="s">
        <v>1187</v>
      </c>
      <c r="H6108" s="368" t="s">
        <v>1233</v>
      </c>
    </row>
    <row r="6109" ht="15.75" customHeight="1">
      <c r="A6109" s="368" t="s">
        <v>95</v>
      </c>
      <c r="B6109" s="368" t="s">
        <v>26</v>
      </c>
      <c r="C6109" s="369" t="s">
        <v>703</v>
      </c>
      <c r="D6109" s="368" t="s">
        <v>704</v>
      </c>
      <c r="E6109" s="370">
        <v>3.0</v>
      </c>
      <c r="F6109" s="371">
        <v>46115.45833333333</v>
      </c>
      <c r="G6109" s="368" t="s">
        <v>1187</v>
      </c>
      <c r="H6109" s="368" t="s">
        <v>1233</v>
      </c>
    </row>
    <row r="6110" ht="15.75" customHeight="1">
      <c r="A6110" s="368" t="s">
        <v>95</v>
      </c>
      <c r="B6110" s="368" t="s">
        <v>26</v>
      </c>
      <c r="C6110" s="369" t="s">
        <v>703</v>
      </c>
      <c r="D6110" s="368" t="s">
        <v>704</v>
      </c>
      <c r="E6110" s="370">
        <v>4.0</v>
      </c>
      <c r="F6110" s="371">
        <v>46128.41666666667</v>
      </c>
      <c r="G6110" s="368" t="s">
        <v>1187</v>
      </c>
      <c r="H6110" s="368" t="s">
        <v>1233</v>
      </c>
    </row>
    <row r="6111" ht="15.75" customHeight="1">
      <c r="A6111" s="368" t="s">
        <v>95</v>
      </c>
      <c r="B6111" s="368" t="s">
        <v>26</v>
      </c>
      <c r="C6111" s="369" t="s">
        <v>703</v>
      </c>
      <c r="D6111" s="368" t="s">
        <v>704</v>
      </c>
      <c r="E6111" s="370">
        <v>5.0</v>
      </c>
      <c r="F6111" s="371">
        <v>46129.54166666667</v>
      </c>
      <c r="G6111" s="368" t="s">
        <v>1187</v>
      </c>
      <c r="H6111" s="368" t="s">
        <v>1233</v>
      </c>
    </row>
    <row r="6112" ht="15.75" customHeight="1">
      <c r="A6112" s="368" t="s">
        <v>95</v>
      </c>
      <c r="B6112" s="368" t="s">
        <v>26</v>
      </c>
      <c r="C6112" s="369" t="s">
        <v>703</v>
      </c>
      <c r="D6112" s="368" t="s">
        <v>704</v>
      </c>
      <c r="E6112" s="370">
        <v>6.0</v>
      </c>
      <c r="F6112" s="371">
        <v>46135.45833333333</v>
      </c>
      <c r="G6112" s="368" t="s">
        <v>1187</v>
      </c>
      <c r="H6112" s="368" t="s">
        <v>1233</v>
      </c>
    </row>
    <row r="6113" ht="15.75" customHeight="1">
      <c r="A6113" s="368" t="s">
        <v>95</v>
      </c>
      <c r="B6113" s="368" t="s">
        <v>26</v>
      </c>
      <c r="C6113" s="369" t="s">
        <v>703</v>
      </c>
      <c r="D6113" s="368" t="s">
        <v>704</v>
      </c>
      <c r="E6113" s="370">
        <v>7.0</v>
      </c>
      <c r="F6113" s="371">
        <v>46150.45833333333</v>
      </c>
      <c r="G6113" s="368" t="s">
        <v>1187</v>
      </c>
      <c r="H6113" s="368" t="s">
        <v>1233</v>
      </c>
    </row>
    <row r="6114" ht="15.75" customHeight="1">
      <c r="A6114" s="368" t="s">
        <v>95</v>
      </c>
      <c r="B6114" s="368" t="s">
        <v>26</v>
      </c>
      <c r="C6114" s="369" t="s">
        <v>703</v>
      </c>
      <c r="D6114" s="368" t="s">
        <v>704</v>
      </c>
      <c r="E6114" s="370">
        <v>8.0</v>
      </c>
      <c r="F6114" s="371">
        <v>46157.45833333333</v>
      </c>
      <c r="G6114" s="368" t="s">
        <v>1187</v>
      </c>
      <c r="H6114" s="368" t="s">
        <v>1233</v>
      </c>
    </row>
    <row r="6115" ht="15.75" customHeight="1">
      <c r="A6115" s="368" t="s">
        <v>95</v>
      </c>
      <c r="B6115" s="368" t="s">
        <v>26</v>
      </c>
      <c r="C6115" s="369" t="s">
        <v>703</v>
      </c>
      <c r="D6115" s="368" t="s">
        <v>704</v>
      </c>
      <c r="E6115" s="370">
        <v>9.0</v>
      </c>
      <c r="F6115" s="371">
        <v>46171.45833333333</v>
      </c>
      <c r="G6115" s="368" t="s">
        <v>1187</v>
      </c>
      <c r="H6115" s="368" t="s">
        <v>1233</v>
      </c>
    </row>
    <row r="6116" ht="15.75" customHeight="1">
      <c r="A6116" s="368" t="s">
        <v>95</v>
      </c>
      <c r="B6116" s="368" t="s">
        <v>26</v>
      </c>
      <c r="C6116" s="369" t="s">
        <v>703</v>
      </c>
      <c r="D6116" s="368" t="s">
        <v>704</v>
      </c>
      <c r="E6116" s="370">
        <v>10.0</v>
      </c>
      <c r="F6116" s="371">
        <v>46176.45833333333</v>
      </c>
      <c r="G6116" s="368" t="s">
        <v>1187</v>
      </c>
      <c r="H6116" s="368" t="s">
        <v>1233</v>
      </c>
    </row>
    <row r="6117" ht="15.75" customHeight="1">
      <c r="A6117" s="368" t="s">
        <v>95</v>
      </c>
      <c r="B6117" s="368" t="s">
        <v>26</v>
      </c>
      <c r="C6117" s="369" t="s">
        <v>703</v>
      </c>
      <c r="D6117" s="368" t="s">
        <v>704</v>
      </c>
      <c r="E6117" s="370">
        <v>11.0</v>
      </c>
      <c r="F6117" s="371">
        <v>46185.45833333333</v>
      </c>
      <c r="G6117" s="368" t="s">
        <v>1187</v>
      </c>
      <c r="H6117" s="368" t="s">
        <v>1233</v>
      </c>
    </row>
    <row r="6118" ht="15.75" customHeight="1">
      <c r="A6118" s="368" t="s">
        <v>95</v>
      </c>
      <c r="B6118" s="368" t="s">
        <v>26</v>
      </c>
      <c r="C6118" s="369" t="s">
        <v>703</v>
      </c>
      <c r="D6118" s="368" t="s">
        <v>704</v>
      </c>
      <c r="E6118" s="370">
        <v>12.0</v>
      </c>
      <c r="F6118" s="371">
        <v>46191.45833333333</v>
      </c>
      <c r="G6118" s="368" t="s">
        <v>1187</v>
      </c>
      <c r="H6118" s="368" t="s">
        <v>1233</v>
      </c>
    </row>
    <row r="6119" ht="15.75" customHeight="1">
      <c r="A6119" s="368" t="s">
        <v>95</v>
      </c>
      <c r="B6119" s="368" t="s">
        <v>26</v>
      </c>
      <c r="C6119" s="369" t="s">
        <v>703</v>
      </c>
      <c r="D6119" s="368" t="s">
        <v>704</v>
      </c>
      <c r="E6119" s="370">
        <v>14.0</v>
      </c>
      <c r="F6119" s="371">
        <v>46205.625</v>
      </c>
      <c r="G6119" s="368" t="s">
        <v>1187</v>
      </c>
      <c r="H6119" s="368" t="s">
        <v>1233</v>
      </c>
    </row>
    <row r="6120" ht="15.75" customHeight="1">
      <c r="A6120" s="368" t="s">
        <v>95</v>
      </c>
      <c r="B6120" s="368" t="s">
        <v>26</v>
      </c>
      <c r="C6120" s="369" t="s">
        <v>703</v>
      </c>
      <c r="D6120" s="368" t="s">
        <v>704</v>
      </c>
      <c r="E6120" s="370">
        <v>15.0</v>
      </c>
      <c r="F6120" s="371">
        <v>46211.45833333333</v>
      </c>
      <c r="G6120" s="368" t="s">
        <v>1187</v>
      </c>
      <c r="H6120" s="368" t="s">
        <v>1233</v>
      </c>
    </row>
    <row r="6121" ht="15.75" customHeight="1">
      <c r="A6121" s="368" t="s">
        <v>95</v>
      </c>
      <c r="B6121" s="368" t="s">
        <v>26</v>
      </c>
      <c r="C6121" s="369" t="s">
        <v>514</v>
      </c>
      <c r="D6121" s="368" t="s">
        <v>515</v>
      </c>
      <c r="E6121" s="370">
        <v>1.0</v>
      </c>
      <c r="F6121" s="371">
        <v>46086.58333333333</v>
      </c>
      <c r="G6121" s="368" t="s">
        <v>1185</v>
      </c>
      <c r="H6121" s="368" t="s">
        <v>1233</v>
      </c>
    </row>
    <row r="6122" ht="15.75" customHeight="1">
      <c r="A6122" s="368" t="s">
        <v>95</v>
      </c>
      <c r="B6122" s="368" t="s">
        <v>26</v>
      </c>
      <c r="C6122" s="369" t="s">
        <v>514</v>
      </c>
      <c r="D6122" s="368" t="s">
        <v>515</v>
      </c>
      <c r="E6122" s="370">
        <v>2.0</v>
      </c>
      <c r="F6122" s="371">
        <v>46107.625</v>
      </c>
      <c r="G6122" s="368" t="s">
        <v>1185</v>
      </c>
      <c r="H6122" s="368" t="s">
        <v>1233</v>
      </c>
    </row>
    <row r="6123" ht="15.75" customHeight="1">
      <c r="A6123" s="368" t="s">
        <v>95</v>
      </c>
      <c r="B6123" s="368" t="s">
        <v>26</v>
      </c>
      <c r="C6123" s="369" t="s">
        <v>514</v>
      </c>
      <c r="D6123" s="368" t="s">
        <v>515</v>
      </c>
      <c r="E6123" s="370">
        <v>3.0</v>
      </c>
      <c r="F6123" s="371">
        <v>46115.45833333333</v>
      </c>
      <c r="G6123" s="368" t="s">
        <v>1185</v>
      </c>
      <c r="H6123" s="368" t="s">
        <v>1233</v>
      </c>
    </row>
    <row r="6124" ht="15.75" customHeight="1">
      <c r="A6124" s="368" t="s">
        <v>95</v>
      </c>
      <c r="B6124" s="368" t="s">
        <v>26</v>
      </c>
      <c r="C6124" s="369" t="s">
        <v>514</v>
      </c>
      <c r="D6124" s="368" t="s">
        <v>515</v>
      </c>
      <c r="E6124" s="370">
        <v>4.0</v>
      </c>
      <c r="F6124" s="371">
        <v>46128.41666666667</v>
      </c>
      <c r="G6124" s="368" t="s">
        <v>1185</v>
      </c>
      <c r="H6124" s="368" t="s">
        <v>1233</v>
      </c>
    </row>
    <row r="6125" ht="15.75" customHeight="1">
      <c r="A6125" s="368" t="s">
        <v>95</v>
      </c>
      <c r="B6125" s="368" t="s">
        <v>26</v>
      </c>
      <c r="C6125" s="369" t="s">
        <v>514</v>
      </c>
      <c r="D6125" s="368" t="s">
        <v>515</v>
      </c>
      <c r="E6125" s="370">
        <v>5.0</v>
      </c>
      <c r="F6125" s="371">
        <v>46129.54166666667</v>
      </c>
      <c r="G6125" s="368" t="s">
        <v>1185</v>
      </c>
      <c r="H6125" s="368" t="s">
        <v>1233</v>
      </c>
    </row>
    <row r="6126" ht="15.75" customHeight="1">
      <c r="A6126" s="368" t="s">
        <v>95</v>
      </c>
      <c r="B6126" s="368" t="s">
        <v>26</v>
      </c>
      <c r="C6126" s="369" t="s">
        <v>514</v>
      </c>
      <c r="D6126" s="368" t="s">
        <v>515</v>
      </c>
      <c r="E6126" s="370">
        <v>6.0</v>
      </c>
      <c r="F6126" s="371">
        <v>46135.45833333333</v>
      </c>
      <c r="G6126" s="368" t="s">
        <v>1185</v>
      </c>
      <c r="H6126" s="368" t="s">
        <v>1233</v>
      </c>
    </row>
    <row r="6127" ht="15.75" customHeight="1">
      <c r="A6127" s="368" t="s">
        <v>95</v>
      </c>
      <c r="B6127" s="368" t="s">
        <v>26</v>
      </c>
      <c r="C6127" s="369" t="s">
        <v>514</v>
      </c>
      <c r="D6127" s="368" t="s">
        <v>515</v>
      </c>
      <c r="E6127" s="370">
        <v>7.0</v>
      </c>
      <c r="F6127" s="371">
        <v>46150.45833333333</v>
      </c>
      <c r="G6127" s="368" t="s">
        <v>1185</v>
      </c>
      <c r="H6127" s="368" t="s">
        <v>1233</v>
      </c>
    </row>
    <row r="6128" ht="15.75" customHeight="1">
      <c r="A6128" s="368" t="s">
        <v>95</v>
      </c>
      <c r="B6128" s="368" t="s">
        <v>26</v>
      </c>
      <c r="C6128" s="369" t="s">
        <v>514</v>
      </c>
      <c r="D6128" s="368" t="s">
        <v>515</v>
      </c>
      <c r="E6128" s="370">
        <v>8.0</v>
      </c>
      <c r="F6128" s="371">
        <v>46157.45833333333</v>
      </c>
      <c r="G6128" s="368" t="s">
        <v>1185</v>
      </c>
      <c r="H6128" s="368" t="s">
        <v>1233</v>
      </c>
    </row>
    <row r="6129" ht="15.75" customHeight="1">
      <c r="A6129" s="368" t="s">
        <v>95</v>
      </c>
      <c r="B6129" s="368" t="s">
        <v>26</v>
      </c>
      <c r="C6129" s="369" t="s">
        <v>514</v>
      </c>
      <c r="D6129" s="368" t="s">
        <v>515</v>
      </c>
      <c r="E6129" s="370">
        <v>9.0</v>
      </c>
      <c r="F6129" s="371">
        <v>46171.45833333333</v>
      </c>
      <c r="G6129" s="368" t="s">
        <v>1187</v>
      </c>
      <c r="H6129" s="368" t="s">
        <v>1233</v>
      </c>
    </row>
    <row r="6130" ht="15.75" customHeight="1">
      <c r="A6130" s="368" t="s">
        <v>95</v>
      </c>
      <c r="B6130" s="368" t="s">
        <v>26</v>
      </c>
      <c r="C6130" s="369" t="s">
        <v>514</v>
      </c>
      <c r="D6130" s="368" t="s">
        <v>515</v>
      </c>
      <c r="E6130" s="370">
        <v>10.0</v>
      </c>
      <c r="F6130" s="371">
        <v>46176.45833333333</v>
      </c>
      <c r="G6130" s="368" t="s">
        <v>1185</v>
      </c>
      <c r="H6130" s="368" t="s">
        <v>1233</v>
      </c>
    </row>
    <row r="6131" ht="15.75" customHeight="1">
      <c r="A6131" s="368" t="s">
        <v>95</v>
      </c>
      <c r="B6131" s="368" t="s">
        <v>26</v>
      </c>
      <c r="C6131" s="369" t="s">
        <v>514</v>
      </c>
      <c r="D6131" s="368" t="s">
        <v>515</v>
      </c>
      <c r="E6131" s="370">
        <v>11.0</v>
      </c>
      <c r="F6131" s="371">
        <v>46185.45833333333</v>
      </c>
      <c r="G6131" s="368" t="s">
        <v>1187</v>
      </c>
      <c r="H6131" s="368" t="s">
        <v>1233</v>
      </c>
    </row>
    <row r="6132" ht="15.75" customHeight="1">
      <c r="A6132" s="368" t="s">
        <v>95</v>
      </c>
      <c r="B6132" s="368" t="s">
        <v>26</v>
      </c>
      <c r="C6132" s="369" t="s">
        <v>514</v>
      </c>
      <c r="D6132" s="368" t="s">
        <v>515</v>
      </c>
      <c r="E6132" s="370">
        <v>12.0</v>
      </c>
      <c r="F6132" s="371">
        <v>46191.45833333333</v>
      </c>
      <c r="G6132" s="368" t="s">
        <v>1187</v>
      </c>
      <c r="H6132" s="368" t="s">
        <v>1233</v>
      </c>
    </row>
    <row r="6133" ht="15.75" customHeight="1">
      <c r="A6133" s="368" t="s">
        <v>95</v>
      </c>
      <c r="B6133" s="368" t="s">
        <v>26</v>
      </c>
      <c r="C6133" s="369" t="s">
        <v>514</v>
      </c>
      <c r="D6133" s="368" t="s">
        <v>515</v>
      </c>
      <c r="E6133" s="370">
        <v>13.0</v>
      </c>
      <c r="F6133" s="371">
        <v>46199.45833333333</v>
      </c>
      <c r="G6133" s="368" t="s">
        <v>1187</v>
      </c>
      <c r="H6133" s="368" t="s">
        <v>1233</v>
      </c>
    </row>
    <row r="6134" ht="15.75" customHeight="1">
      <c r="A6134" s="368" t="s">
        <v>95</v>
      </c>
      <c r="B6134" s="368" t="s">
        <v>26</v>
      </c>
      <c r="C6134" s="369" t="s">
        <v>514</v>
      </c>
      <c r="D6134" s="368" t="s">
        <v>515</v>
      </c>
      <c r="E6134" s="370">
        <v>14.0</v>
      </c>
      <c r="F6134" s="371">
        <v>46205.625</v>
      </c>
      <c r="G6134" s="368" t="s">
        <v>1187</v>
      </c>
      <c r="H6134" s="368" t="s">
        <v>1233</v>
      </c>
    </row>
    <row r="6135" ht="15.75" customHeight="1">
      <c r="A6135" s="368" t="s">
        <v>95</v>
      </c>
      <c r="B6135" s="368" t="s">
        <v>26</v>
      </c>
      <c r="C6135" s="369" t="s">
        <v>514</v>
      </c>
      <c r="D6135" s="368" t="s">
        <v>515</v>
      </c>
      <c r="E6135" s="370">
        <v>15.0</v>
      </c>
      <c r="F6135" s="371">
        <v>46211.45833333333</v>
      </c>
      <c r="G6135" s="368" t="s">
        <v>1187</v>
      </c>
      <c r="H6135" s="368" t="s">
        <v>1233</v>
      </c>
    </row>
    <row r="6136" ht="15.75" customHeight="1">
      <c r="A6136" s="368" t="s">
        <v>96</v>
      </c>
      <c r="B6136" s="368" t="s">
        <v>22</v>
      </c>
      <c r="C6136" s="369" t="s">
        <v>433</v>
      </c>
      <c r="D6136" s="368" t="s">
        <v>434</v>
      </c>
      <c r="E6136" s="370">
        <v>2.0</v>
      </c>
      <c r="F6136" s="371">
        <v>46120.45833333333</v>
      </c>
      <c r="G6136" s="368" t="s">
        <v>1185</v>
      </c>
      <c r="H6136" s="368" t="s">
        <v>1234</v>
      </c>
    </row>
    <row r="6137" ht="15.75" customHeight="1">
      <c r="A6137" s="368" t="s">
        <v>96</v>
      </c>
      <c r="B6137" s="368" t="s">
        <v>22</v>
      </c>
      <c r="C6137" s="369" t="s">
        <v>433</v>
      </c>
      <c r="D6137" s="368" t="s">
        <v>434</v>
      </c>
      <c r="E6137" s="370">
        <v>3.0</v>
      </c>
      <c r="F6137" s="371">
        <v>46127.45833333333</v>
      </c>
      <c r="G6137" s="368" t="s">
        <v>1185</v>
      </c>
      <c r="H6137" s="368" t="s">
        <v>1234</v>
      </c>
    </row>
    <row r="6138" ht="15.75" customHeight="1">
      <c r="A6138" s="368" t="s">
        <v>96</v>
      </c>
      <c r="B6138" s="368" t="s">
        <v>22</v>
      </c>
      <c r="C6138" s="369" t="s">
        <v>433</v>
      </c>
      <c r="D6138" s="368" t="s">
        <v>434</v>
      </c>
      <c r="E6138" s="370">
        <v>4.0</v>
      </c>
      <c r="F6138" s="371">
        <v>46134.45833333333</v>
      </c>
      <c r="G6138" s="368" t="s">
        <v>1185</v>
      </c>
      <c r="H6138" s="368" t="s">
        <v>1234</v>
      </c>
    </row>
    <row r="6139" ht="15.75" customHeight="1">
      <c r="A6139" s="368" t="s">
        <v>96</v>
      </c>
      <c r="B6139" s="368" t="s">
        <v>22</v>
      </c>
      <c r="C6139" s="369" t="s">
        <v>433</v>
      </c>
      <c r="D6139" s="368" t="s">
        <v>434</v>
      </c>
      <c r="E6139" s="370">
        <v>5.0</v>
      </c>
      <c r="F6139" s="371">
        <v>46155.45833333333</v>
      </c>
      <c r="G6139" s="368" t="s">
        <v>1185</v>
      </c>
      <c r="H6139" s="368" t="s">
        <v>1234</v>
      </c>
    </row>
    <row r="6140" ht="15.75" customHeight="1">
      <c r="A6140" s="368" t="s">
        <v>96</v>
      </c>
      <c r="B6140" s="368" t="s">
        <v>22</v>
      </c>
      <c r="C6140" s="369" t="s">
        <v>435</v>
      </c>
      <c r="D6140" s="368" t="s">
        <v>436</v>
      </c>
      <c r="E6140" s="370">
        <v>2.0</v>
      </c>
      <c r="F6140" s="371">
        <v>46120.45833333333</v>
      </c>
      <c r="G6140" s="368" t="s">
        <v>1185</v>
      </c>
      <c r="H6140" s="368" t="s">
        <v>1234</v>
      </c>
    </row>
    <row r="6141" ht="15.75" customHeight="1">
      <c r="A6141" s="368" t="s">
        <v>96</v>
      </c>
      <c r="B6141" s="368" t="s">
        <v>22</v>
      </c>
      <c r="C6141" s="369" t="s">
        <v>435</v>
      </c>
      <c r="D6141" s="368" t="s">
        <v>436</v>
      </c>
      <c r="E6141" s="370">
        <v>3.0</v>
      </c>
      <c r="F6141" s="371">
        <v>46127.45833333333</v>
      </c>
      <c r="G6141" s="368" t="s">
        <v>1185</v>
      </c>
      <c r="H6141" s="368" t="s">
        <v>1234</v>
      </c>
    </row>
    <row r="6142" ht="15.75" customHeight="1">
      <c r="A6142" s="368" t="s">
        <v>96</v>
      </c>
      <c r="B6142" s="368" t="s">
        <v>22</v>
      </c>
      <c r="C6142" s="369" t="s">
        <v>435</v>
      </c>
      <c r="D6142" s="368" t="s">
        <v>436</v>
      </c>
      <c r="E6142" s="370">
        <v>4.0</v>
      </c>
      <c r="F6142" s="371">
        <v>46134.45833333333</v>
      </c>
      <c r="G6142" s="368" t="s">
        <v>1185</v>
      </c>
      <c r="H6142" s="368" t="s">
        <v>1234</v>
      </c>
    </row>
    <row r="6143" ht="15.75" customHeight="1">
      <c r="A6143" s="368" t="s">
        <v>96</v>
      </c>
      <c r="B6143" s="368" t="s">
        <v>22</v>
      </c>
      <c r="C6143" s="369" t="s">
        <v>435</v>
      </c>
      <c r="D6143" s="368" t="s">
        <v>436</v>
      </c>
      <c r="E6143" s="370">
        <v>5.0</v>
      </c>
      <c r="F6143" s="371">
        <v>46155.45833333333</v>
      </c>
      <c r="G6143" s="368" t="s">
        <v>1185</v>
      </c>
      <c r="H6143" s="368" t="s">
        <v>1234</v>
      </c>
    </row>
    <row r="6144" ht="15.75" customHeight="1">
      <c r="A6144" s="368" t="s">
        <v>96</v>
      </c>
      <c r="B6144" s="368" t="s">
        <v>22</v>
      </c>
      <c r="C6144" s="369" t="s">
        <v>437</v>
      </c>
      <c r="D6144" s="368" t="s">
        <v>438</v>
      </c>
      <c r="E6144" s="370">
        <v>2.0</v>
      </c>
      <c r="F6144" s="371">
        <v>46120.45833333333</v>
      </c>
      <c r="G6144" s="368" t="s">
        <v>1185</v>
      </c>
      <c r="H6144" s="368" t="s">
        <v>1234</v>
      </c>
    </row>
    <row r="6145" ht="15.75" customHeight="1">
      <c r="A6145" s="368" t="s">
        <v>96</v>
      </c>
      <c r="B6145" s="368" t="s">
        <v>22</v>
      </c>
      <c r="C6145" s="369" t="s">
        <v>437</v>
      </c>
      <c r="D6145" s="368" t="s">
        <v>438</v>
      </c>
      <c r="E6145" s="370">
        <v>3.0</v>
      </c>
      <c r="F6145" s="371">
        <v>46127.45833333333</v>
      </c>
      <c r="G6145" s="368" t="s">
        <v>1185</v>
      </c>
      <c r="H6145" s="368" t="s">
        <v>1234</v>
      </c>
    </row>
    <row r="6146" ht="15.75" customHeight="1">
      <c r="A6146" s="368" t="s">
        <v>96</v>
      </c>
      <c r="B6146" s="368" t="s">
        <v>22</v>
      </c>
      <c r="C6146" s="369" t="s">
        <v>437</v>
      </c>
      <c r="D6146" s="368" t="s">
        <v>438</v>
      </c>
      <c r="E6146" s="370">
        <v>4.0</v>
      </c>
      <c r="F6146" s="371">
        <v>46134.45833333333</v>
      </c>
      <c r="G6146" s="368" t="s">
        <v>1185</v>
      </c>
      <c r="H6146" s="368" t="s">
        <v>1234</v>
      </c>
    </row>
    <row r="6147" ht="15.75" customHeight="1">
      <c r="A6147" s="368" t="s">
        <v>96</v>
      </c>
      <c r="B6147" s="368" t="s">
        <v>22</v>
      </c>
      <c r="C6147" s="369" t="s">
        <v>437</v>
      </c>
      <c r="D6147" s="368" t="s">
        <v>438</v>
      </c>
      <c r="E6147" s="370">
        <v>5.0</v>
      </c>
      <c r="F6147" s="371">
        <v>46155.45833333333</v>
      </c>
      <c r="G6147" s="368" t="s">
        <v>1187</v>
      </c>
      <c r="H6147" s="368" t="s">
        <v>1234</v>
      </c>
    </row>
    <row r="6148" ht="15.75" customHeight="1">
      <c r="A6148" s="368" t="s">
        <v>96</v>
      </c>
      <c r="B6148" s="368" t="s">
        <v>22</v>
      </c>
      <c r="C6148" s="369" t="s">
        <v>439</v>
      </c>
      <c r="D6148" s="368" t="s">
        <v>440</v>
      </c>
      <c r="E6148" s="370">
        <v>2.0</v>
      </c>
      <c r="F6148" s="371">
        <v>46120.45833333333</v>
      </c>
      <c r="G6148" s="368" t="s">
        <v>1185</v>
      </c>
      <c r="H6148" s="368" t="s">
        <v>1234</v>
      </c>
    </row>
    <row r="6149" ht="15.75" customHeight="1">
      <c r="A6149" s="368" t="s">
        <v>96</v>
      </c>
      <c r="B6149" s="368" t="s">
        <v>22</v>
      </c>
      <c r="C6149" s="369" t="s">
        <v>439</v>
      </c>
      <c r="D6149" s="368" t="s">
        <v>440</v>
      </c>
      <c r="E6149" s="370">
        <v>3.0</v>
      </c>
      <c r="F6149" s="371">
        <v>46127.45833333333</v>
      </c>
      <c r="G6149" s="368" t="s">
        <v>1185</v>
      </c>
      <c r="H6149" s="368" t="s">
        <v>1234</v>
      </c>
    </row>
    <row r="6150" ht="15.75" customHeight="1">
      <c r="A6150" s="368" t="s">
        <v>96</v>
      </c>
      <c r="B6150" s="368" t="s">
        <v>22</v>
      </c>
      <c r="C6150" s="369" t="s">
        <v>439</v>
      </c>
      <c r="D6150" s="368" t="s">
        <v>440</v>
      </c>
      <c r="E6150" s="370">
        <v>4.0</v>
      </c>
      <c r="F6150" s="371">
        <v>46134.45833333333</v>
      </c>
      <c r="G6150" s="368" t="s">
        <v>1185</v>
      </c>
      <c r="H6150" s="368" t="s">
        <v>1234</v>
      </c>
    </row>
    <row r="6151" ht="15.75" customHeight="1">
      <c r="A6151" s="368" t="s">
        <v>96</v>
      </c>
      <c r="B6151" s="368" t="s">
        <v>22</v>
      </c>
      <c r="C6151" s="369" t="s">
        <v>439</v>
      </c>
      <c r="D6151" s="368" t="s">
        <v>440</v>
      </c>
      <c r="E6151" s="370">
        <v>5.0</v>
      </c>
      <c r="F6151" s="371">
        <v>46155.45833333333</v>
      </c>
      <c r="G6151" s="368" t="s">
        <v>1185</v>
      </c>
      <c r="H6151" s="368" t="s">
        <v>1234</v>
      </c>
    </row>
    <row r="6152" ht="15.75" customHeight="1">
      <c r="A6152" s="368" t="s">
        <v>96</v>
      </c>
      <c r="B6152" s="368" t="s">
        <v>22</v>
      </c>
      <c r="C6152" s="369" t="s">
        <v>441</v>
      </c>
      <c r="D6152" s="368" t="s">
        <v>442</v>
      </c>
      <c r="E6152" s="370">
        <v>2.0</v>
      </c>
      <c r="F6152" s="371">
        <v>46120.45833333333</v>
      </c>
      <c r="G6152" s="368" t="s">
        <v>1185</v>
      </c>
      <c r="H6152" s="368" t="s">
        <v>1234</v>
      </c>
    </row>
    <row r="6153" ht="15.75" customHeight="1">
      <c r="A6153" s="368" t="s">
        <v>96</v>
      </c>
      <c r="B6153" s="368" t="s">
        <v>22</v>
      </c>
      <c r="C6153" s="369" t="s">
        <v>441</v>
      </c>
      <c r="D6153" s="368" t="s">
        <v>442</v>
      </c>
      <c r="E6153" s="370">
        <v>3.0</v>
      </c>
      <c r="F6153" s="371">
        <v>46127.45833333333</v>
      </c>
      <c r="G6153" s="368" t="s">
        <v>1185</v>
      </c>
      <c r="H6153" s="368" t="s">
        <v>1234</v>
      </c>
    </row>
    <row r="6154" ht="15.75" customHeight="1">
      <c r="A6154" s="368" t="s">
        <v>96</v>
      </c>
      <c r="B6154" s="368" t="s">
        <v>22</v>
      </c>
      <c r="C6154" s="369" t="s">
        <v>441</v>
      </c>
      <c r="D6154" s="368" t="s">
        <v>442</v>
      </c>
      <c r="E6154" s="370">
        <v>4.0</v>
      </c>
      <c r="F6154" s="371">
        <v>46134.45833333333</v>
      </c>
      <c r="G6154" s="368" t="s">
        <v>1185</v>
      </c>
      <c r="H6154" s="368" t="s">
        <v>1234</v>
      </c>
    </row>
    <row r="6155" ht="15.75" customHeight="1">
      <c r="A6155" s="368" t="s">
        <v>96</v>
      </c>
      <c r="B6155" s="368" t="s">
        <v>22</v>
      </c>
      <c r="C6155" s="369" t="s">
        <v>441</v>
      </c>
      <c r="D6155" s="368" t="s">
        <v>442</v>
      </c>
      <c r="E6155" s="370">
        <v>5.0</v>
      </c>
      <c r="F6155" s="371">
        <v>46155.45833333333</v>
      </c>
      <c r="G6155" s="368" t="s">
        <v>1185</v>
      </c>
      <c r="H6155" s="368" t="s">
        <v>1234</v>
      </c>
    </row>
    <row r="6156" ht="15.75" customHeight="1">
      <c r="A6156" s="368" t="s">
        <v>96</v>
      </c>
      <c r="B6156" s="368" t="s">
        <v>22</v>
      </c>
      <c r="C6156" s="369" t="s">
        <v>443</v>
      </c>
      <c r="D6156" s="368" t="s">
        <v>444</v>
      </c>
      <c r="E6156" s="370">
        <v>2.0</v>
      </c>
      <c r="F6156" s="371">
        <v>46120.45833333333</v>
      </c>
      <c r="G6156" s="368" t="s">
        <v>1185</v>
      </c>
      <c r="H6156" s="368" t="s">
        <v>1234</v>
      </c>
    </row>
    <row r="6157" ht="15.75" customHeight="1">
      <c r="A6157" s="368" t="s">
        <v>96</v>
      </c>
      <c r="B6157" s="368" t="s">
        <v>22</v>
      </c>
      <c r="C6157" s="369" t="s">
        <v>443</v>
      </c>
      <c r="D6157" s="368" t="s">
        <v>444</v>
      </c>
      <c r="E6157" s="370">
        <v>3.0</v>
      </c>
      <c r="F6157" s="371">
        <v>46127.45833333333</v>
      </c>
      <c r="G6157" s="368" t="s">
        <v>1185</v>
      </c>
      <c r="H6157" s="368" t="s">
        <v>1234</v>
      </c>
    </row>
    <row r="6158" ht="15.75" customHeight="1">
      <c r="A6158" s="368" t="s">
        <v>96</v>
      </c>
      <c r="B6158" s="368" t="s">
        <v>22</v>
      </c>
      <c r="C6158" s="369" t="s">
        <v>443</v>
      </c>
      <c r="D6158" s="368" t="s">
        <v>444</v>
      </c>
      <c r="E6158" s="370">
        <v>4.0</v>
      </c>
      <c r="F6158" s="371">
        <v>46134.45833333333</v>
      </c>
      <c r="G6158" s="368" t="s">
        <v>1185</v>
      </c>
      <c r="H6158" s="368" t="s">
        <v>1234</v>
      </c>
    </row>
    <row r="6159" ht="15.75" customHeight="1">
      <c r="A6159" s="368" t="s">
        <v>96</v>
      </c>
      <c r="B6159" s="368" t="s">
        <v>22</v>
      </c>
      <c r="C6159" s="369" t="s">
        <v>443</v>
      </c>
      <c r="D6159" s="368" t="s">
        <v>444</v>
      </c>
      <c r="E6159" s="370">
        <v>5.0</v>
      </c>
      <c r="F6159" s="371">
        <v>46155.45833333333</v>
      </c>
      <c r="G6159" s="368" t="s">
        <v>1185</v>
      </c>
      <c r="H6159" s="368" t="s">
        <v>1234</v>
      </c>
    </row>
    <row r="6160" ht="15.75" customHeight="1">
      <c r="A6160" s="368" t="s">
        <v>96</v>
      </c>
      <c r="B6160" s="368" t="s">
        <v>26</v>
      </c>
      <c r="C6160" s="369" t="s">
        <v>433</v>
      </c>
      <c r="D6160" s="368" t="s">
        <v>434</v>
      </c>
      <c r="E6160" s="370">
        <v>2.0</v>
      </c>
      <c r="F6160" s="371">
        <v>46162.41666666667</v>
      </c>
      <c r="G6160" s="368" t="s">
        <v>1185</v>
      </c>
      <c r="H6160" s="368" t="s">
        <v>1234</v>
      </c>
    </row>
    <row r="6161" ht="15.75" customHeight="1">
      <c r="A6161" s="368" t="s">
        <v>96</v>
      </c>
      <c r="B6161" s="368" t="s">
        <v>26</v>
      </c>
      <c r="C6161" s="369" t="s">
        <v>433</v>
      </c>
      <c r="D6161" s="368" t="s">
        <v>434</v>
      </c>
      <c r="E6161" s="370">
        <v>3.0</v>
      </c>
      <c r="F6161" s="371">
        <v>46169.41666666667</v>
      </c>
      <c r="G6161" s="368" t="s">
        <v>1185</v>
      </c>
      <c r="H6161" s="368" t="s">
        <v>1234</v>
      </c>
    </row>
    <row r="6162" ht="15.75" customHeight="1">
      <c r="A6162" s="368" t="s">
        <v>96</v>
      </c>
      <c r="B6162" s="368" t="s">
        <v>26</v>
      </c>
      <c r="C6162" s="369" t="s">
        <v>433</v>
      </c>
      <c r="D6162" s="368" t="s">
        <v>434</v>
      </c>
      <c r="E6162" s="370">
        <v>4.0</v>
      </c>
      <c r="F6162" s="371">
        <v>46176.41666666667</v>
      </c>
      <c r="G6162" s="368" t="s">
        <v>1185</v>
      </c>
      <c r="H6162" s="368" t="s">
        <v>1234</v>
      </c>
    </row>
    <row r="6163" ht="15.75" customHeight="1">
      <c r="A6163" s="368" t="s">
        <v>96</v>
      </c>
      <c r="B6163" s="368" t="s">
        <v>26</v>
      </c>
      <c r="C6163" s="369" t="s">
        <v>433</v>
      </c>
      <c r="D6163" s="368" t="s">
        <v>434</v>
      </c>
      <c r="E6163" s="370">
        <v>5.0</v>
      </c>
      <c r="F6163" s="371">
        <v>46183.41666666667</v>
      </c>
      <c r="G6163" s="368" t="s">
        <v>1185</v>
      </c>
      <c r="H6163" s="368" t="s">
        <v>1234</v>
      </c>
    </row>
    <row r="6164" ht="15.75" customHeight="1">
      <c r="A6164" s="368" t="s">
        <v>96</v>
      </c>
      <c r="B6164" s="368" t="s">
        <v>26</v>
      </c>
      <c r="C6164" s="369" t="s">
        <v>433</v>
      </c>
      <c r="D6164" s="368" t="s">
        <v>434</v>
      </c>
      <c r="E6164" s="370">
        <v>6.0</v>
      </c>
      <c r="F6164" s="371">
        <v>46204.41666666667</v>
      </c>
      <c r="G6164" s="368" t="s">
        <v>1185</v>
      </c>
      <c r="H6164" s="368" t="s">
        <v>1234</v>
      </c>
    </row>
    <row r="6165" ht="15.75" customHeight="1">
      <c r="A6165" s="368" t="s">
        <v>96</v>
      </c>
      <c r="B6165" s="368" t="s">
        <v>26</v>
      </c>
      <c r="C6165" s="369" t="s">
        <v>433</v>
      </c>
      <c r="D6165" s="368" t="s">
        <v>434</v>
      </c>
      <c r="E6165" s="370">
        <v>7.0</v>
      </c>
      <c r="F6165" s="371">
        <v>46211.41666666667</v>
      </c>
      <c r="G6165" s="368" t="s">
        <v>1185</v>
      </c>
      <c r="H6165" s="368" t="s">
        <v>1234</v>
      </c>
    </row>
    <row r="6166" ht="15.75" customHeight="1">
      <c r="A6166" s="368" t="s">
        <v>96</v>
      </c>
      <c r="B6166" s="368" t="s">
        <v>26</v>
      </c>
      <c r="C6166" s="369" t="s">
        <v>435</v>
      </c>
      <c r="D6166" s="368" t="s">
        <v>436</v>
      </c>
      <c r="E6166" s="370">
        <v>2.0</v>
      </c>
      <c r="F6166" s="371">
        <v>46162.41666666667</v>
      </c>
      <c r="G6166" s="368" t="s">
        <v>1185</v>
      </c>
      <c r="H6166" s="368" t="s">
        <v>1234</v>
      </c>
    </row>
    <row r="6167" ht="15.75" customHeight="1">
      <c r="A6167" s="368" t="s">
        <v>96</v>
      </c>
      <c r="B6167" s="368" t="s">
        <v>26</v>
      </c>
      <c r="C6167" s="369" t="s">
        <v>435</v>
      </c>
      <c r="D6167" s="368" t="s">
        <v>436</v>
      </c>
      <c r="E6167" s="370">
        <v>3.0</v>
      </c>
      <c r="F6167" s="371">
        <v>46169.41666666667</v>
      </c>
      <c r="G6167" s="368" t="s">
        <v>1185</v>
      </c>
      <c r="H6167" s="368" t="s">
        <v>1234</v>
      </c>
    </row>
    <row r="6168" ht="15.75" customHeight="1">
      <c r="A6168" s="368" t="s">
        <v>96</v>
      </c>
      <c r="B6168" s="368" t="s">
        <v>26</v>
      </c>
      <c r="C6168" s="369" t="s">
        <v>435</v>
      </c>
      <c r="D6168" s="368" t="s">
        <v>436</v>
      </c>
      <c r="E6168" s="370">
        <v>4.0</v>
      </c>
      <c r="F6168" s="371">
        <v>46176.41666666667</v>
      </c>
      <c r="G6168" s="368" t="s">
        <v>1185</v>
      </c>
      <c r="H6168" s="368" t="s">
        <v>1234</v>
      </c>
    </row>
    <row r="6169" ht="15.75" customHeight="1">
      <c r="A6169" s="368" t="s">
        <v>96</v>
      </c>
      <c r="B6169" s="368" t="s">
        <v>26</v>
      </c>
      <c r="C6169" s="369" t="s">
        <v>435</v>
      </c>
      <c r="D6169" s="368" t="s">
        <v>436</v>
      </c>
      <c r="E6169" s="370">
        <v>5.0</v>
      </c>
      <c r="F6169" s="371">
        <v>46183.41666666667</v>
      </c>
      <c r="G6169" s="368" t="s">
        <v>1185</v>
      </c>
      <c r="H6169" s="368" t="s">
        <v>1234</v>
      </c>
    </row>
    <row r="6170" ht="15.75" customHeight="1">
      <c r="A6170" s="368" t="s">
        <v>96</v>
      </c>
      <c r="B6170" s="368" t="s">
        <v>26</v>
      </c>
      <c r="C6170" s="369" t="s">
        <v>435</v>
      </c>
      <c r="D6170" s="368" t="s">
        <v>436</v>
      </c>
      <c r="E6170" s="370">
        <v>6.0</v>
      </c>
      <c r="F6170" s="371">
        <v>46204.41666666667</v>
      </c>
      <c r="G6170" s="368" t="s">
        <v>1185</v>
      </c>
      <c r="H6170" s="368" t="s">
        <v>1234</v>
      </c>
    </row>
    <row r="6171" ht="15.75" customHeight="1">
      <c r="A6171" s="368" t="s">
        <v>96</v>
      </c>
      <c r="B6171" s="368" t="s">
        <v>26</v>
      </c>
      <c r="C6171" s="369" t="s">
        <v>435</v>
      </c>
      <c r="D6171" s="368" t="s">
        <v>436</v>
      </c>
      <c r="E6171" s="370">
        <v>7.0</v>
      </c>
      <c r="F6171" s="371">
        <v>46211.41666666667</v>
      </c>
      <c r="G6171" s="368" t="s">
        <v>1185</v>
      </c>
      <c r="H6171" s="368" t="s">
        <v>1234</v>
      </c>
    </row>
    <row r="6172" ht="15.75" customHeight="1">
      <c r="A6172" s="368" t="s">
        <v>96</v>
      </c>
      <c r="B6172" s="368" t="s">
        <v>26</v>
      </c>
      <c r="C6172" s="369" t="s">
        <v>437</v>
      </c>
      <c r="D6172" s="368" t="s">
        <v>438</v>
      </c>
      <c r="E6172" s="370">
        <v>2.0</v>
      </c>
      <c r="F6172" s="371">
        <v>46162.41666666667</v>
      </c>
      <c r="G6172" s="368" t="s">
        <v>1185</v>
      </c>
      <c r="H6172" s="368" t="s">
        <v>1234</v>
      </c>
    </row>
    <row r="6173" ht="15.75" customHeight="1">
      <c r="A6173" s="368" t="s">
        <v>96</v>
      </c>
      <c r="B6173" s="368" t="s">
        <v>26</v>
      </c>
      <c r="C6173" s="369" t="s">
        <v>437</v>
      </c>
      <c r="D6173" s="368" t="s">
        <v>438</v>
      </c>
      <c r="E6173" s="370">
        <v>3.0</v>
      </c>
      <c r="F6173" s="371">
        <v>46169.41666666667</v>
      </c>
      <c r="G6173" s="368" t="s">
        <v>1185</v>
      </c>
      <c r="H6173" s="368" t="s">
        <v>1234</v>
      </c>
    </row>
    <row r="6174" ht="15.75" customHeight="1">
      <c r="A6174" s="368" t="s">
        <v>96</v>
      </c>
      <c r="B6174" s="368" t="s">
        <v>26</v>
      </c>
      <c r="C6174" s="369" t="s">
        <v>437</v>
      </c>
      <c r="D6174" s="368" t="s">
        <v>438</v>
      </c>
      <c r="E6174" s="370">
        <v>4.0</v>
      </c>
      <c r="F6174" s="371">
        <v>46176.41666666667</v>
      </c>
      <c r="G6174" s="368" t="s">
        <v>1185</v>
      </c>
      <c r="H6174" s="368" t="s">
        <v>1234</v>
      </c>
    </row>
    <row r="6175" ht="15.75" customHeight="1">
      <c r="A6175" s="368" t="s">
        <v>96</v>
      </c>
      <c r="B6175" s="368" t="s">
        <v>26</v>
      </c>
      <c r="C6175" s="369" t="s">
        <v>437</v>
      </c>
      <c r="D6175" s="368" t="s">
        <v>438</v>
      </c>
      <c r="E6175" s="370">
        <v>5.0</v>
      </c>
      <c r="F6175" s="371">
        <v>46183.41666666667</v>
      </c>
      <c r="G6175" s="368" t="s">
        <v>1185</v>
      </c>
      <c r="H6175" s="368" t="s">
        <v>1234</v>
      </c>
    </row>
    <row r="6176" ht="15.75" customHeight="1">
      <c r="A6176" s="368" t="s">
        <v>96</v>
      </c>
      <c r="B6176" s="368" t="s">
        <v>26</v>
      </c>
      <c r="C6176" s="369" t="s">
        <v>437</v>
      </c>
      <c r="D6176" s="368" t="s">
        <v>438</v>
      </c>
      <c r="E6176" s="370">
        <v>6.0</v>
      </c>
      <c r="F6176" s="371">
        <v>46204.41666666667</v>
      </c>
      <c r="G6176" s="368" t="s">
        <v>1187</v>
      </c>
      <c r="H6176" s="368" t="s">
        <v>1234</v>
      </c>
    </row>
    <row r="6177" ht="15.75" customHeight="1">
      <c r="A6177" s="368" t="s">
        <v>96</v>
      </c>
      <c r="B6177" s="368" t="s">
        <v>26</v>
      </c>
      <c r="C6177" s="369" t="s">
        <v>437</v>
      </c>
      <c r="D6177" s="368" t="s">
        <v>438</v>
      </c>
      <c r="E6177" s="370">
        <v>7.0</v>
      </c>
      <c r="F6177" s="371">
        <v>46211.41666666667</v>
      </c>
      <c r="G6177" s="368" t="s">
        <v>1185</v>
      </c>
      <c r="H6177" s="368" t="s">
        <v>1234</v>
      </c>
    </row>
    <row r="6178" ht="15.75" customHeight="1">
      <c r="A6178" s="368" t="s">
        <v>96</v>
      </c>
      <c r="B6178" s="368" t="s">
        <v>26</v>
      </c>
      <c r="C6178" s="369" t="s">
        <v>439</v>
      </c>
      <c r="D6178" s="368" t="s">
        <v>440</v>
      </c>
      <c r="E6178" s="370">
        <v>2.0</v>
      </c>
      <c r="F6178" s="371">
        <v>46162.41666666667</v>
      </c>
      <c r="G6178" s="368" t="s">
        <v>1185</v>
      </c>
      <c r="H6178" s="368" t="s">
        <v>1234</v>
      </c>
    </row>
    <row r="6179" ht="15.75" customHeight="1">
      <c r="A6179" s="368" t="s">
        <v>96</v>
      </c>
      <c r="B6179" s="368" t="s">
        <v>26</v>
      </c>
      <c r="C6179" s="369" t="s">
        <v>439</v>
      </c>
      <c r="D6179" s="368" t="s">
        <v>440</v>
      </c>
      <c r="E6179" s="370">
        <v>3.0</v>
      </c>
      <c r="F6179" s="371">
        <v>46169.41666666667</v>
      </c>
      <c r="G6179" s="368" t="s">
        <v>1185</v>
      </c>
      <c r="H6179" s="368" t="s">
        <v>1234</v>
      </c>
    </row>
    <row r="6180" ht="15.75" customHeight="1">
      <c r="A6180" s="368" t="s">
        <v>96</v>
      </c>
      <c r="B6180" s="368" t="s">
        <v>26</v>
      </c>
      <c r="C6180" s="369" t="s">
        <v>439</v>
      </c>
      <c r="D6180" s="368" t="s">
        <v>440</v>
      </c>
      <c r="E6180" s="370">
        <v>4.0</v>
      </c>
      <c r="F6180" s="371">
        <v>46176.41666666667</v>
      </c>
      <c r="G6180" s="368" t="s">
        <v>1185</v>
      </c>
      <c r="H6180" s="368" t="s">
        <v>1234</v>
      </c>
    </row>
    <row r="6181" ht="15.75" customHeight="1">
      <c r="A6181" s="368" t="s">
        <v>96</v>
      </c>
      <c r="B6181" s="368" t="s">
        <v>26</v>
      </c>
      <c r="C6181" s="369" t="s">
        <v>439</v>
      </c>
      <c r="D6181" s="368" t="s">
        <v>440</v>
      </c>
      <c r="E6181" s="370">
        <v>5.0</v>
      </c>
      <c r="F6181" s="371">
        <v>46183.41666666667</v>
      </c>
      <c r="G6181" s="368" t="s">
        <v>1185</v>
      </c>
      <c r="H6181" s="368" t="s">
        <v>1234</v>
      </c>
    </row>
    <row r="6182" ht="15.75" customHeight="1">
      <c r="A6182" s="368" t="s">
        <v>96</v>
      </c>
      <c r="B6182" s="368" t="s">
        <v>26</v>
      </c>
      <c r="C6182" s="369" t="s">
        <v>439</v>
      </c>
      <c r="D6182" s="368" t="s">
        <v>440</v>
      </c>
      <c r="E6182" s="370">
        <v>6.0</v>
      </c>
      <c r="F6182" s="371">
        <v>46204.41666666667</v>
      </c>
      <c r="G6182" s="368" t="s">
        <v>1185</v>
      </c>
      <c r="H6182" s="368" t="s">
        <v>1234</v>
      </c>
    </row>
    <row r="6183" ht="15.75" customHeight="1">
      <c r="A6183" s="368" t="s">
        <v>96</v>
      </c>
      <c r="B6183" s="368" t="s">
        <v>26</v>
      </c>
      <c r="C6183" s="369" t="s">
        <v>439</v>
      </c>
      <c r="D6183" s="368" t="s">
        <v>440</v>
      </c>
      <c r="E6183" s="370">
        <v>7.0</v>
      </c>
      <c r="F6183" s="371">
        <v>46211.41666666667</v>
      </c>
      <c r="G6183" s="368" t="s">
        <v>1185</v>
      </c>
      <c r="H6183" s="368" t="s">
        <v>1234</v>
      </c>
    </row>
    <row r="6184" ht="15.75" customHeight="1">
      <c r="A6184" s="368" t="s">
        <v>96</v>
      </c>
      <c r="B6184" s="368" t="s">
        <v>26</v>
      </c>
      <c r="C6184" s="369" t="s">
        <v>441</v>
      </c>
      <c r="D6184" s="368" t="s">
        <v>442</v>
      </c>
      <c r="E6184" s="370">
        <v>2.0</v>
      </c>
      <c r="F6184" s="371">
        <v>46162.41666666667</v>
      </c>
      <c r="G6184" s="368" t="s">
        <v>1185</v>
      </c>
      <c r="H6184" s="368" t="s">
        <v>1234</v>
      </c>
    </row>
    <row r="6185" ht="15.75" customHeight="1">
      <c r="A6185" s="368" t="s">
        <v>96</v>
      </c>
      <c r="B6185" s="368" t="s">
        <v>26</v>
      </c>
      <c r="C6185" s="369" t="s">
        <v>441</v>
      </c>
      <c r="D6185" s="368" t="s">
        <v>442</v>
      </c>
      <c r="E6185" s="370">
        <v>3.0</v>
      </c>
      <c r="F6185" s="371">
        <v>46169.41666666667</v>
      </c>
      <c r="G6185" s="368" t="s">
        <v>1185</v>
      </c>
      <c r="H6185" s="368" t="s">
        <v>1234</v>
      </c>
    </row>
    <row r="6186" ht="15.75" customHeight="1">
      <c r="A6186" s="368" t="s">
        <v>96</v>
      </c>
      <c r="B6186" s="368" t="s">
        <v>26</v>
      </c>
      <c r="C6186" s="369" t="s">
        <v>441</v>
      </c>
      <c r="D6186" s="368" t="s">
        <v>442</v>
      </c>
      <c r="E6186" s="370">
        <v>4.0</v>
      </c>
      <c r="F6186" s="371">
        <v>46176.41666666667</v>
      </c>
      <c r="G6186" s="368" t="s">
        <v>1185</v>
      </c>
      <c r="H6186" s="368" t="s">
        <v>1234</v>
      </c>
    </row>
    <row r="6187" ht="15.75" customHeight="1">
      <c r="A6187" s="368" t="s">
        <v>96</v>
      </c>
      <c r="B6187" s="368" t="s">
        <v>26</v>
      </c>
      <c r="C6187" s="369" t="s">
        <v>441</v>
      </c>
      <c r="D6187" s="368" t="s">
        <v>442</v>
      </c>
      <c r="E6187" s="370">
        <v>5.0</v>
      </c>
      <c r="F6187" s="371">
        <v>46183.41666666667</v>
      </c>
      <c r="G6187" s="368" t="s">
        <v>1185</v>
      </c>
      <c r="H6187" s="368" t="s">
        <v>1234</v>
      </c>
    </row>
    <row r="6188" ht="15.75" customHeight="1">
      <c r="A6188" s="368" t="s">
        <v>96</v>
      </c>
      <c r="B6188" s="368" t="s">
        <v>26</v>
      </c>
      <c r="C6188" s="369" t="s">
        <v>441</v>
      </c>
      <c r="D6188" s="368" t="s">
        <v>442</v>
      </c>
      <c r="E6188" s="370">
        <v>6.0</v>
      </c>
      <c r="F6188" s="371">
        <v>46204.41666666667</v>
      </c>
      <c r="G6188" s="368" t="s">
        <v>1185</v>
      </c>
      <c r="H6188" s="368" t="s">
        <v>1234</v>
      </c>
    </row>
    <row r="6189" ht="15.75" customHeight="1">
      <c r="A6189" s="368" t="s">
        <v>96</v>
      </c>
      <c r="B6189" s="368" t="s">
        <v>26</v>
      </c>
      <c r="C6189" s="369" t="s">
        <v>441</v>
      </c>
      <c r="D6189" s="368" t="s">
        <v>442</v>
      </c>
      <c r="E6189" s="370">
        <v>7.0</v>
      </c>
      <c r="F6189" s="371">
        <v>46211.41666666667</v>
      </c>
      <c r="G6189" s="368" t="s">
        <v>1185</v>
      </c>
      <c r="H6189" s="368" t="s">
        <v>1234</v>
      </c>
    </row>
    <row r="6190" ht="15.75" customHeight="1">
      <c r="A6190" s="368" t="s">
        <v>96</v>
      </c>
      <c r="B6190" s="368" t="s">
        <v>26</v>
      </c>
      <c r="C6190" s="369" t="s">
        <v>443</v>
      </c>
      <c r="D6190" s="368" t="s">
        <v>444</v>
      </c>
      <c r="E6190" s="370">
        <v>2.0</v>
      </c>
      <c r="F6190" s="371">
        <v>46162.41666666667</v>
      </c>
      <c r="G6190" s="368" t="s">
        <v>1185</v>
      </c>
      <c r="H6190" s="368" t="s">
        <v>1234</v>
      </c>
    </row>
    <row r="6191" ht="15.75" customHeight="1">
      <c r="A6191" s="368" t="s">
        <v>96</v>
      </c>
      <c r="B6191" s="368" t="s">
        <v>26</v>
      </c>
      <c r="C6191" s="369" t="s">
        <v>443</v>
      </c>
      <c r="D6191" s="368" t="s">
        <v>444</v>
      </c>
      <c r="E6191" s="370">
        <v>3.0</v>
      </c>
      <c r="F6191" s="371">
        <v>46169.41666666667</v>
      </c>
      <c r="G6191" s="368" t="s">
        <v>1185</v>
      </c>
      <c r="H6191" s="368" t="s">
        <v>1234</v>
      </c>
    </row>
    <row r="6192" ht="15.75" customHeight="1">
      <c r="A6192" s="368" t="s">
        <v>96</v>
      </c>
      <c r="B6192" s="368" t="s">
        <v>26</v>
      </c>
      <c r="C6192" s="369" t="s">
        <v>443</v>
      </c>
      <c r="D6192" s="368" t="s">
        <v>444</v>
      </c>
      <c r="E6192" s="370">
        <v>4.0</v>
      </c>
      <c r="F6192" s="371">
        <v>46176.41666666667</v>
      </c>
      <c r="G6192" s="368" t="s">
        <v>1185</v>
      </c>
      <c r="H6192" s="368" t="s">
        <v>1234</v>
      </c>
    </row>
    <row r="6193" ht="15.75" customHeight="1">
      <c r="A6193" s="368" t="s">
        <v>96</v>
      </c>
      <c r="B6193" s="368" t="s">
        <v>26</v>
      </c>
      <c r="C6193" s="369" t="s">
        <v>443</v>
      </c>
      <c r="D6193" s="368" t="s">
        <v>444</v>
      </c>
      <c r="E6193" s="370">
        <v>5.0</v>
      </c>
      <c r="F6193" s="371">
        <v>46183.41666666667</v>
      </c>
      <c r="G6193" s="368" t="s">
        <v>1185</v>
      </c>
      <c r="H6193" s="368" t="s">
        <v>1234</v>
      </c>
    </row>
    <row r="6194" ht="15.75" customHeight="1">
      <c r="A6194" s="368" t="s">
        <v>96</v>
      </c>
      <c r="B6194" s="368" t="s">
        <v>26</v>
      </c>
      <c r="C6194" s="369" t="s">
        <v>443</v>
      </c>
      <c r="D6194" s="368" t="s">
        <v>444</v>
      </c>
      <c r="E6194" s="370">
        <v>6.0</v>
      </c>
      <c r="F6194" s="371">
        <v>46204.41666666667</v>
      </c>
      <c r="G6194" s="368" t="s">
        <v>1185</v>
      </c>
      <c r="H6194" s="368" t="s">
        <v>1234</v>
      </c>
    </row>
    <row r="6195" ht="15.75" customHeight="1">
      <c r="A6195" s="368" t="s">
        <v>96</v>
      </c>
      <c r="B6195" s="368" t="s">
        <v>26</v>
      </c>
      <c r="C6195" s="369" t="s">
        <v>443</v>
      </c>
      <c r="D6195" s="368" t="s">
        <v>444</v>
      </c>
      <c r="E6195" s="370">
        <v>7.0</v>
      </c>
      <c r="F6195" s="371">
        <v>46211.41666666667</v>
      </c>
      <c r="G6195" s="368" t="s">
        <v>1185</v>
      </c>
      <c r="H6195" s="368" t="s">
        <v>1234</v>
      </c>
    </row>
    <row r="6196" ht="15.75" customHeight="1">
      <c r="A6196" s="368" t="s">
        <v>97</v>
      </c>
      <c r="B6196" s="368" t="s">
        <v>22</v>
      </c>
      <c r="C6196" s="369" t="s">
        <v>705</v>
      </c>
      <c r="D6196" s="368" t="s">
        <v>706</v>
      </c>
      <c r="E6196" s="370">
        <v>1.0</v>
      </c>
      <c r="F6196" s="371">
        <v>46126.625</v>
      </c>
      <c r="G6196" s="368" t="s">
        <v>1185</v>
      </c>
      <c r="H6196" s="368" t="s">
        <v>1235</v>
      </c>
    </row>
    <row r="6197" ht="15.75" customHeight="1">
      <c r="A6197" s="368" t="s">
        <v>97</v>
      </c>
      <c r="B6197" s="368" t="s">
        <v>22</v>
      </c>
      <c r="C6197" s="369" t="s">
        <v>705</v>
      </c>
      <c r="D6197" s="368" t="s">
        <v>706</v>
      </c>
      <c r="E6197" s="370">
        <v>2.0</v>
      </c>
      <c r="F6197" s="371">
        <v>46129.625</v>
      </c>
      <c r="G6197" s="368" t="s">
        <v>1185</v>
      </c>
      <c r="H6197" s="368" t="s">
        <v>1235</v>
      </c>
    </row>
    <row r="6198" ht="15.75" customHeight="1">
      <c r="A6198" s="368" t="s">
        <v>97</v>
      </c>
      <c r="B6198" s="368" t="s">
        <v>22</v>
      </c>
      <c r="C6198" s="369" t="s">
        <v>705</v>
      </c>
      <c r="D6198" s="368" t="s">
        <v>706</v>
      </c>
      <c r="E6198" s="370">
        <v>3.0</v>
      </c>
      <c r="F6198" s="371">
        <v>46148.54166666667</v>
      </c>
      <c r="G6198" s="368" t="s">
        <v>1185</v>
      </c>
      <c r="H6198" s="368" t="s">
        <v>1235</v>
      </c>
    </row>
    <row r="6199" ht="15.75" customHeight="1">
      <c r="A6199" s="368" t="s">
        <v>97</v>
      </c>
      <c r="B6199" s="368" t="s">
        <v>22</v>
      </c>
      <c r="C6199" s="369" t="s">
        <v>705</v>
      </c>
      <c r="D6199" s="368" t="s">
        <v>706</v>
      </c>
      <c r="E6199" s="370">
        <v>4.0</v>
      </c>
      <c r="F6199" s="371">
        <v>46157.54166666667</v>
      </c>
      <c r="G6199" s="368" t="s">
        <v>1185</v>
      </c>
      <c r="H6199" s="368" t="s">
        <v>1235</v>
      </c>
    </row>
    <row r="6200" ht="15.75" customHeight="1">
      <c r="A6200" s="368" t="s">
        <v>97</v>
      </c>
      <c r="B6200" s="368" t="s">
        <v>22</v>
      </c>
      <c r="C6200" s="369" t="s">
        <v>705</v>
      </c>
      <c r="D6200" s="368" t="s">
        <v>706</v>
      </c>
      <c r="E6200" s="370">
        <v>5.0</v>
      </c>
      <c r="F6200" s="371">
        <v>46161.58333333333</v>
      </c>
      <c r="G6200" s="368" t="s">
        <v>1185</v>
      </c>
      <c r="H6200" s="368" t="s">
        <v>1235</v>
      </c>
    </row>
    <row r="6201" ht="15.75" customHeight="1">
      <c r="A6201" s="368" t="s">
        <v>97</v>
      </c>
      <c r="B6201" s="368" t="s">
        <v>22</v>
      </c>
      <c r="C6201" s="369" t="s">
        <v>705</v>
      </c>
      <c r="D6201" s="368" t="s">
        <v>706</v>
      </c>
      <c r="E6201" s="370">
        <v>6.0</v>
      </c>
      <c r="F6201" s="371">
        <v>46168.58333333333</v>
      </c>
      <c r="G6201" s="368" t="s">
        <v>1185</v>
      </c>
      <c r="H6201" s="368" t="s">
        <v>1235</v>
      </c>
    </row>
    <row r="6202" ht="15.75" customHeight="1">
      <c r="A6202" s="368" t="s">
        <v>97</v>
      </c>
      <c r="B6202" s="368" t="s">
        <v>22</v>
      </c>
      <c r="C6202" s="369" t="s">
        <v>705</v>
      </c>
      <c r="D6202" s="368" t="s">
        <v>706</v>
      </c>
      <c r="E6202" s="370">
        <v>7.0</v>
      </c>
      <c r="F6202" s="371">
        <v>46176.58333333333</v>
      </c>
      <c r="G6202" s="368" t="s">
        <v>1185</v>
      </c>
      <c r="H6202" s="368" t="s">
        <v>1235</v>
      </c>
    </row>
    <row r="6203" ht="15.75" customHeight="1">
      <c r="A6203" s="368" t="s">
        <v>97</v>
      </c>
      <c r="B6203" s="368" t="s">
        <v>22</v>
      </c>
      <c r="C6203" s="369" t="s">
        <v>705</v>
      </c>
      <c r="D6203" s="368" t="s">
        <v>706</v>
      </c>
      <c r="E6203" s="370">
        <v>8.0</v>
      </c>
      <c r="F6203" s="371">
        <v>46183.58333333333</v>
      </c>
      <c r="G6203" s="368" t="s">
        <v>1185</v>
      </c>
      <c r="H6203" s="368" t="s">
        <v>1235</v>
      </c>
    </row>
    <row r="6204" ht="15.75" customHeight="1">
      <c r="A6204" s="368" t="s">
        <v>97</v>
      </c>
      <c r="B6204" s="368" t="s">
        <v>22</v>
      </c>
      <c r="C6204" s="369" t="s">
        <v>705</v>
      </c>
      <c r="D6204" s="368" t="s">
        <v>706</v>
      </c>
      <c r="E6204" s="370">
        <v>9.0</v>
      </c>
      <c r="F6204" s="371">
        <v>46189.58333333333</v>
      </c>
      <c r="G6204" s="368" t="s">
        <v>1185</v>
      </c>
      <c r="H6204" s="368" t="s">
        <v>1235</v>
      </c>
    </row>
    <row r="6205" ht="15.75" customHeight="1">
      <c r="A6205" s="368" t="s">
        <v>97</v>
      </c>
      <c r="B6205" s="368" t="s">
        <v>22</v>
      </c>
      <c r="C6205" s="369" t="s">
        <v>705</v>
      </c>
      <c r="D6205" s="368" t="s">
        <v>706</v>
      </c>
      <c r="E6205" s="370">
        <v>11.0</v>
      </c>
      <c r="F6205" s="371">
        <v>46203.58333333333</v>
      </c>
      <c r="G6205" s="368" t="s">
        <v>1185</v>
      </c>
      <c r="H6205" s="368" t="s">
        <v>1235</v>
      </c>
    </row>
    <row r="6206" ht="15.75" customHeight="1">
      <c r="A6206" s="368" t="s">
        <v>97</v>
      </c>
      <c r="B6206" s="368" t="s">
        <v>22</v>
      </c>
      <c r="C6206" s="369" t="s">
        <v>705</v>
      </c>
      <c r="D6206" s="368" t="s">
        <v>706</v>
      </c>
      <c r="E6206" s="370">
        <v>12.0</v>
      </c>
      <c r="F6206" s="371">
        <v>46210.58333333333</v>
      </c>
      <c r="G6206" s="368" t="s">
        <v>1185</v>
      </c>
      <c r="H6206" s="368" t="s">
        <v>1235</v>
      </c>
    </row>
    <row r="6207" ht="15.75" customHeight="1">
      <c r="A6207" s="368" t="s">
        <v>97</v>
      </c>
      <c r="B6207" s="368" t="s">
        <v>22</v>
      </c>
      <c r="C6207" s="369" t="s">
        <v>707</v>
      </c>
      <c r="D6207" s="368" t="s">
        <v>708</v>
      </c>
      <c r="E6207" s="370">
        <v>1.0</v>
      </c>
      <c r="F6207" s="371">
        <v>46126.625</v>
      </c>
      <c r="G6207" s="368" t="s">
        <v>1185</v>
      </c>
      <c r="H6207" s="368" t="s">
        <v>1235</v>
      </c>
    </row>
    <row r="6208" ht="15.75" customHeight="1">
      <c r="A6208" s="368" t="s">
        <v>97</v>
      </c>
      <c r="B6208" s="368" t="s">
        <v>22</v>
      </c>
      <c r="C6208" s="369" t="s">
        <v>707</v>
      </c>
      <c r="D6208" s="368" t="s">
        <v>708</v>
      </c>
      <c r="E6208" s="370">
        <v>2.0</v>
      </c>
      <c r="F6208" s="371">
        <v>46129.625</v>
      </c>
      <c r="G6208" s="368" t="s">
        <v>1185</v>
      </c>
      <c r="H6208" s="368" t="s">
        <v>1235</v>
      </c>
    </row>
    <row r="6209" ht="15.75" customHeight="1">
      <c r="A6209" s="368" t="s">
        <v>97</v>
      </c>
      <c r="B6209" s="368" t="s">
        <v>22</v>
      </c>
      <c r="C6209" s="369" t="s">
        <v>707</v>
      </c>
      <c r="D6209" s="368" t="s">
        <v>708</v>
      </c>
      <c r="E6209" s="370">
        <v>3.0</v>
      </c>
      <c r="F6209" s="371">
        <v>46148.54166666667</v>
      </c>
      <c r="G6209" s="368" t="s">
        <v>1185</v>
      </c>
      <c r="H6209" s="368" t="s">
        <v>1235</v>
      </c>
    </row>
    <row r="6210" ht="15.75" customHeight="1">
      <c r="A6210" s="368" t="s">
        <v>97</v>
      </c>
      <c r="B6210" s="368" t="s">
        <v>22</v>
      </c>
      <c r="C6210" s="369" t="s">
        <v>707</v>
      </c>
      <c r="D6210" s="368" t="s">
        <v>708</v>
      </c>
      <c r="E6210" s="370">
        <v>4.0</v>
      </c>
      <c r="F6210" s="371">
        <v>46157.54166666667</v>
      </c>
      <c r="G6210" s="368" t="s">
        <v>1187</v>
      </c>
      <c r="H6210" s="368" t="s">
        <v>1235</v>
      </c>
    </row>
    <row r="6211" ht="15.75" customHeight="1">
      <c r="A6211" s="368" t="s">
        <v>97</v>
      </c>
      <c r="B6211" s="368" t="s">
        <v>22</v>
      </c>
      <c r="C6211" s="369" t="s">
        <v>707</v>
      </c>
      <c r="D6211" s="368" t="s">
        <v>708</v>
      </c>
      <c r="E6211" s="370">
        <v>5.0</v>
      </c>
      <c r="F6211" s="371">
        <v>46161.58333333333</v>
      </c>
      <c r="G6211" s="368" t="s">
        <v>1185</v>
      </c>
      <c r="H6211" s="368" t="s">
        <v>1235</v>
      </c>
    </row>
    <row r="6212" ht="15.75" customHeight="1">
      <c r="A6212" s="368" t="s">
        <v>97</v>
      </c>
      <c r="B6212" s="368" t="s">
        <v>22</v>
      </c>
      <c r="C6212" s="369" t="s">
        <v>707</v>
      </c>
      <c r="D6212" s="368" t="s">
        <v>708</v>
      </c>
      <c r="E6212" s="370">
        <v>6.0</v>
      </c>
      <c r="F6212" s="371">
        <v>46168.58333333333</v>
      </c>
      <c r="G6212" s="368" t="s">
        <v>1185</v>
      </c>
      <c r="H6212" s="368" t="s">
        <v>1235</v>
      </c>
    </row>
    <row r="6213" ht="15.75" customHeight="1">
      <c r="A6213" s="368" t="s">
        <v>97</v>
      </c>
      <c r="B6213" s="368" t="s">
        <v>22</v>
      </c>
      <c r="C6213" s="369" t="s">
        <v>707</v>
      </c>
      <c r="D6213" s="368" t="s">
        <v>708</v>
      </c>
      <c r="E6213" s="370">
        <v>7.0</v>
      </c>
      <c r="F6213" s="371">
        <v>46176.58333333333</v>
      </c>
      <c r="G6213" s="368" t="s">
        <v>1185</v>
      </c>
      <c r="H6213" s="368" t="s">
        <v>1235</v>
      </c>
    </row>
    <row r="6214" ht="15.75" customHeight="1">
      <c r="A6214" s="368" t="s">
        <v>97</v>
      </c>
      <c r="B6214" s="368" t="s">
        <v>22</v>
      </c>
      <c r="C6214" s="369" t="s">
        <v>707</v>
      </c>
      <c r="D6214" s="368" t="s">
        <v>708</v>
      </c>
      <c r="E6214" s="370">
        <v>8.0</v>
      </c>
      <c r="F6214" s="371">
        <v>46183.58333333333</v>
      </c>
      <c r="G6214" s="368" t="s">
        <v>1185</v>
      </c>
      <c r="H6214" s="368" t="s">
        <v>1235</v>
      </c>
    </row>
    <row r="6215" ht="15.75" customHeight="1">
      <c r="A6215" s="368" t="s">
        <v>97</v>
      </c>
      <c r="B6215" s="368" t="s">
        <v>22</v>
      </c>
      <c r="C6215" s="369" t="s">
        <v>707</v>
      </c>
      <c r="D6215" s="368" t="s">
        <v>708</v>
      </c>
      <c r="E6215" s="370">
        <v>9.0</v>
      </c>
      <c r="F6215" s="371">
        <v>46189.58333333333</v>
      </c>
      <c r="G6215" s="368" t="s">
        <v>1185</v>
      </c>
      <c r="H6215" s="368" t="s">
        <v>1235</v>
      </c>
    </row>
    <row r="6216" ht="15.75" customHeight="1">
      <c r="A6216" s="368" t="s">
        <v>97</v>
      </c>
      <c r="B6216" s="368" t="s">
        <v>22</v>
      </c>
      <c r="C6216" s="369" t="s">
        <v>707</v>
      </c>
      <c r="D6216" s="368" t="s">
        <v>708</v>
      </c>
      <c r="E6216" s="370">
        <v>11.0</v>
      </c>
      <c r="F6216" s="371">
        <v>46203.58333333333</v>
      </c>
      <c r="G6216" s="368" t="s">
        <v>1185</v>
      </c>
      <c r="H6216" s="368" t="s">
        <v>1235</v>
      </c>
    </row>
    <row r="6217" ht="15.75" customHeight="1">
      <c r="A6217" s="368" t="s">
        <v>97</v>
      </c>
      <c r="B6217" s="368" t="s">
        <v>22</v>
      </c>
      <c r="C6217" s="369" t="s">
        <v>707</v>
      </c>
      <c r="D6217" s="368" t="s">
        <v>708</v>
      </c>
      <c r="E6217" s="370">
        <v>12.0</v>
      </c>
      <c r="F6217" s="371">
        <v>46210.58333333333</v>
      </c>
      <c r="G6217" s="368" t="s">
        <v>1187</v>
      </c>
      <c r="H6217" s="368" t="s">
        <v>1235</v>
      </c>
    </row>
    <row r="6218" ht="15.75" customHeight="1">
      <c r="A6218" s="368" t="s">
        <v>97</v>
      </c>
      <c r="B6218" s="368" t="s">
        <v>22</v>
      </c>
      <c r="C6218" s="369" t="s">
        <v>709</v>
      </c>
      <c r="D6218" s="368" t="s">
        <v>710</v>
      </c>
      <c r="E6218" s="370">
        <v>1.0</v>
      </c>
      <c r="F6218" s="371">
        <v>46126.625</v>
      </c>
      <c r="G6218" s="368" t="s">
        <v>1185</v>
      </c>
      <c r="H6218" s="368" t="s">
        <v>1235</v>
      </c>
    </row>
    <row r="6219" ht="15.75" customHeight="1">
      <c r="A6219" s="368" t="s">
        <v>97</v>
      </c>
      <c r="B6219" s="368" t="s">
        <v>22</v>
      </c>
      <c r="C6219" s="369" t="s">
        <v>709</v>
      </c>
      <c r="D6219" s="368" t="s">
        <v>710</v>
      </c>
      <c r="E6219" s="370">
        <v>2.0</v>
      </c>
      <c r="F6219" s="371">
        <v>46129.625</v>
      </c>
      <c r="G6219" s="368" t="s">
        <v>1185</v>
      </c>
      <c r="H6219" s="368" t="s">
        <v>1235</v>
      </c>
    </row>
    <row r="6220" ht="15.75" customHeight="1">
      <c r="A6220" s="368" t="s">
        <v>97</v>
      </c>
      <c r="B6220" s="368" t="s">
        <v>22</v>
      </c>
      <c r="C6220" s="369" t="s">
        <v>709</v>
      </c>
      <c r="D6220" s="368" t="s">
        <v>710</v>
      </c>
      <c r="E6220" s="370">
        <v>3.0</v>
      </c>
      <c r="F6220" s="371">
        <v>46148.54166666667</v>
      </c>
      <c r="G6220" s="368" t="s">
        <v>1185</v>
      </c>
      <c r="H6220" s="368" t="s">
        <v>1235</v>
      </c>
    </row>
    <row r="6221" ht="15.75" customHeight="1">
      <c r="A6221" s="368" t="s">
        <v>97</v>
      </c>
      <c r="B6221" s="368" t="s">
        <v>22</v>
      </c>
      <c r="C6221" s="369" t="s">
        <v>709</v>
      </c>
      <c r="D6221" s="368" t="s">
        <v>710</v>
      </c>
      <c r="E6221" s="370">
        <v>4.0</v>
      </c>
      <c r="F6221" s="371">
        <v>46157.54166666667</v>
      </c>
      <c r="G6221" s="368" t="s">
        <v>1185</v>
      </c>
      <c r="H6221" s="368" t="s">
        <v>1235</v>
      </c>
    </row>
    <row r="6222" ht="15.75" customHeight="1">
      <c r="A6222" s="368" t="s">
        <v>97</v>
      </c>
      <c r="B6222" s="368" t="s">
        <v>22</v>
      </c>
      <c r="C6222" s="369" t="s">
        <v>709</v>
      </c>
      <c r="D6222" s="368" t="s">
        <v>710</v>
      </c>
      <c r="E6222" s="370">
        <v>5.0</v>
      </c>
      <c r="F6222" s="371">
        <v>46161.58333333333</v>
      </c>
      <c r="G6222" s="368" t="s">
        <v>1185</v>
      </c>
      <c r="H6222" s="368" t="s">
        <v>1235</v>
      </c>
    </row>
    <row r="6223" ht="15.75" customHeight="1">
      <c r="A6223" s="368" t="s">
        <v>97</v>
      </c>
      <c r="B6223" s="368" t="s">
        <v>22</v>
      </c>
      <c r="C6223" s="369" t="s">
        <v>709</v>
      </c>
      <c r="D6223" s="368" t="s">
        <v>710</v>
      </c>
      <c r="E6223" s="370">
        <v>6.0</v>
      </c>
      <c r="F6223" s="371">
        <v>46168.58333333333</v>
      </c>
      <c r="G6223" s="368" t="s">
        <v>1185</v>
      </c>
      <c r="H6223" s="368" t="s">
        <v>1235</v>
      </c>
    </row>
    <row r="6224" ht="15.75" customHeight="1">
      <c r="A6224" s="368" t="s">
        <v>97</v>
      </c>
      <c r="B6224" s="368" t="s">
        <v>22</v>
      </c>
      <c r="C6224" s="369" t="s">
        <v>709</v>
      </c>
      <c r="D6224" s="368" t="s">
        <v>710</v>
      </c>
      <c r="E6224" s="370">
        <v>7.0</v>
      </c>
      <c r="F6224" s="371">
        <v>46176.58333333333</v>
      </c>
      <c r="G6224" s="368" t="s">
        <v>1185</v>
      </c>
      <c r="H6224" s="368" t="s">
        <v>1235</v>
      </c>
    </row>
    <row r="6225" ht="15.75" customHeight="1">
      <c r="A6225" s="368" t="s">
        <v>97</v>
      </c>
      <c r="B6225" s="368" t="s">
        <v>22</v>
      </c>
      <c r="C6225" s="369" t="s">
        <v>709</v>
      </c>
      <c r="D6225" s="368" t="s">
        <v>710</v>
      </c>
      <c r="E6225" s="370">
        <v>8.0</v>
      </c>
      <c r="F6225" s="371">
        <v>46183.58333333333</v>
      </c>
      <c r="G6225" s="368" t="s">
        <v>1185</v>
      </c>
      <c r="H6225" s="368" t="s">
        <v>1235</v>
      </c>
    </row>
    <row r="6226" ht="15.75" customHeight="1">
      <c r="A6226" s="368" t="s">
        <v>97</v>
      </c>
      <c r="B6226" s="368" t="s">
        <v>22</v>
      </c>
      <c r="C6226" s="369" t="s">
        <v>709</v>
      </c>
      <c r="D6226" s="368" t="s">
        <v>710</v>
      </c>
      <c r="E6226" s="370">
        <v>9.0</v>
      </c>
      <c r="F6226" s="371">
        <v>46189.58333333333</v>
      </c>
      <c r="G6226" s="368" t="s">
        <v>1185</v>
      </c>
      <c r="H6226" s="368" t="s">
        <v>1235</v>
      </c>
    </row>
    <row r="6227" ht="15.75" customHeight="1">
      <c r="A6227" s="368" t="s">
        <v>97</v>
      </c>
      <c r="B6227" s="368" t="s">
        <v>22</v>
      </c>
      <c r="C6227" s="369" t="s">
        <v>709</v>
      </c>
      <c r="D6227" s="368" t="s">
        <v>710</v>
      </c>
      <c r="E6227" s="370">
        <v>11.0</v>
      </c>
      <c r="F6227" s="371">
        <v>46203.58333333333</v>
      </c>
      <c r="G6227" s="368" t="s">
        <v>1187</v>
      </c>
      <c r="H6227" s="368" t="s">
        <v>1235</v>
      </c>
    </row>
    <row r="6228" ht="15.75" customHeight="1">
      <c r="A6228" s="368" t="s">
        <v>97</v>
      </c>
      <c r="B6228" s="368" t="s">
        <v>22</v>
      </c>
      <c r="C6228" s="369" t="s">
        <v>709</v>
      </c>
      <c r="D6228" s="368" t="s">
        <v>710</v>
      </c>
      <c r="E6228" s="370">
        <v>12.0</v>
      </c>
      <c r="F6228" s="371">
        <v>46210.58333333333</v>
      </c>
      <c r="G6228" s="368" t="s">
        <v>1185</v>
      </c>
      <c r="H6228" s="368" t="s">
        <v>1235</v>
      </c>
    </row>
    <row r="6229" ht="15.75" customHeight="1">
      <c r="A6229" s="368" t="s">
        <v>97</v>
      </c>
      <c r="B6229" s="368" t="s">
        <v>22</v>
      </c>
      <c r="C6229" s="369" t="s">
        <v>711</v>
      </c>
      <c r="D6229" s="368" t="s">
        <v>712</v>
      </c>
      <c r="E6229" s="370">
        <v>1.0</v>
      </c>
      <c r="F6229" s="371">
        <v>46126.625</v>
      </c>
      <c r="G6229" s="368" t="s">
        <v>1185</v>
      </c>
      <c r="H6229" s="368" t="s">
        <v>1235</v>
      </c>
    </row>
    <row r="6230" ht="15.75" customHeight="1">
      <c r="A6230" s="368" t="s">
        <v>97</v>
      </c>
      <c r="B6230" s="368" t="s">
        <v>22</v>
      </c>
      <c r="C6230" s="369" t="s">
        <v>711</v>
      </c>
      <c r="D6230" s="368" t="s">
        <v>712</v>
      </c>
      <c r="E6230" s="370">
        <v>2.0</v>
      </c>
      <c r="F6230" s="371">
        <v>46129.625</v>
      </c>
      <c r="G6230" s="368" t="s">
        <v>1187</v>
      </c>
      <c r="H6230" s="368" t="s">
        <v>1235</v>
      </c>
    </row>
    <row r="6231" ht="15.75" customHeight="1">
      <c r="A6231" s="368" t="s">
        <v>97</v>
      </c>
      <c r="B6231" s="368" t="s">
        <v>22</v>
      </c>
      <c r="C6231" s="369" t="s">
        <v>711</v>
      </c>
      <c r="D6231" s="368" t="s">
        <v>712</v>
      </c>
      <c r="E6231" s="370">
        <v>3.0</v>
      </c>
      <c r="F6231" s="371">
        <v>46148.54166666667</v>
      </c>
      <c r="G6231" s="368" t="s">
        <v>1185</v>
      </c>
      <c r="H6231" s="368" t="s">
        <v>1235</v>
      </c>
    </row>
    <row r="6232" ht="15.75" customHeight="1">
      <c r="A6232" s="368" t="s">
        <v>97</v>
      </c>
      <c r="B6232" s="368" t="s">
        <v>22</v>
      </c>
      <c r="C6232" s="369" t="s">
        <v>711</v>
      </c>
      <c r="D6232" s="368" t="s">
        <v>712</v>
      </c>
      <c r="E6232" s="370">
        <v>4.0</v>
      </c>
      <c r="F6232" s="371">
        <v>46157.54166666667</v>
      </c>
      <c r="G6232" s="368" t="s">
        <v>1185</v>
      </c>
      <c r="H6232" s="368" t="s">
        <v>1235</v>
      </c>
    </row>
    <row r="6233" ht="15.75" customHeight="1">
      <c r="A6233" s="368" t="s">
        <v>97</v>
      </c>
      <c r="B6233" s="368" t="s">
        <v>22</v>
      </c>
      <c r="C6233" s="369" t="s">
        <v>711</v>
      </c>
      <c r="D6233" s="368" t="s">
        <v>712</v>
      </c>
      <c r="E6233" s="370">
        <v>5.0</v>
      </c>
      <c r="F6233" s="371">
        <v>46161.58333333333</v>
      </c>
      <c r="G6233" s="368" t="s">
        <v>1185</v>
      </c>
      <c r="H6233" s="368" t="s">
        <v>1235</v>
      </c>
    </row>
    <row r="6234" ht="15.75" customHeight="1">
      <c r="A6234" s="368" t="s">
        <v>97</v>
      </c>
      <c r="B6234" s="368" t="s">
        <v>22</v>
      </c>
      <c r="C6234" s="369" t="s">
        <v>711</v>
      </c>
      <c r="D6234" s="368" t="s">
        <v>712</v>
      </c>
      <c r="E6234" s="370">
        <v>6.0</v>
      </c>
      <c r="F6234" s="371">
        <v>46168.58333333333</v>
      </c>
      <c r="G6234" s="368" t="s">
        <v>1185</v>
      </c>
      <c r="H6234" s="368" t="s">
        <v>1235</v>
      </c>
    </row>
    <row r="6235" ht="15.75" customHeight="1">
      <c r="A6235" s="368" t="s">
        <v>97</v>
      </c>
      <c r="B6235" s="368" t="s">
        <v>22</v>
      </c>
      <c r="C6235" s="369" t="s">
        <v>711</v>
      </c>
      <c r="D6235" s="368" t="s">
        <v>712</v>
      </c>
      <c r="E6235" s="370">
        <v>7.0</v>
      </c>
      <c r="F6235" s="371">
        <v>46176.58333333333</v>
      </c>
      <c r="G6235" s="368" t="s">
        <v>1185</v>
      </c>
      <c r="H6235" s="368" t="s">
        <v>1235</v>
      </c>
    </row>
    <row r="6236" ht="15.75" customHeight="1">
      <c r="A6236" s="368" t="s">
        <v>97</v>
      </c>
      <c r="B6236" s="368" t="s">
        <v>22</v>
      </c>
      <c r="C6236" s="369" t="s">
        <v>711</v>
      </c>
      <c r="D6236" s="368" t="s">
        <v>712</v>
      </c>
      <c r="E6236" s="370">
        <v>8.0</v>
      </c>
      <c r="F6236" s="371">
        <v>46183.58333333333</v>
      </c>
      <c r="G6236" s="368" t="s">
        <v>1185</v>
      </c>
      <c r="H6236" s="368" t="s">
        <v>1235</v>
      </c>
    </row>
    <row r="6237" ht="15.75" customHeight="1">
      <c r="A6237" s="368" t="s">
        <v>97</v>
      </c>
      <c r="B6237" s="368" t="s">
        <v>22</v>
      </c>
      <c r="C6237" s="369" t="s">
        <v>711</v>
      </c>
      <c r="D6237" s="368" t="s">
        <v>712</v>
      </c>
      <c r="E6237" s="370">
        <v>9.0</v>
      </c>
      <c r="F6237" s="371">
        <v>46189.58333333333</v>
      </c>
      <c r="G6237" s="368" t="s">
        <v>1185</v>
      </c>
      <c r="H6237" s="368" t="s">
        <v>1235</v>
      </c>
    </row>
    <row r="6238" ht="15.75" customHeight="1">
      <c r="A6238" s="368" t="s">
        <v>97</v>
      </c>
      <c r="B6238" s="368" t="s">
        <v>22</v>
      </c>
      <c r="C6238" s="369" t="s">
        <v>711</v>
      </c>
      <c r="D6238" s="368" t="s">
        <v>712</v>
      </c>
      <c r="E6238" s="370">
        <v>11.0</v>
      </c>
      <c r="F6238" s="371">
        <v>46203.58333333333</v>
      </c>
      <c r="G6238" s="368" t="s">
        <v>1185</v>
      </c>
      <c r="H6238" s="368" t="s">
        <v>1235</v>
      </c>
    </row>
    <row r="6239" ht="15.75" customHeight="1">
      <c r="A6239" s="368" t="s">
        <v>97</v>
      </c>
      <c r="B6239" s="368" t="s">
        <v>22</v>
      </c>
      <c r="C6239" s="369" t="s">
        <v>711</v>
      </c>
      <c r="D6239" s="368" t="s">
        <v>712</v>
      </c>
      <c r="E6239" s="370">
        <v>12.0</v>
      </c>
      <c r="F6239" s="371">
        <v>46210.58333333333</v>
      </c>
      <c r="G6239" s="368" t="s">
        <v>1185</v>
      </c>
      <c r="H6239" s="368" t="s">
        <v>1235</v>
      </c>
    </row>
    <row r="6240" ht="15.75" customHeight="1">
      <c r="A6240" s="368" t="s">
        <v>97</v>
      </c>
      <c r="B6240" s="368" t="s">
        <v>22</v>
      </c>
      <c r="C6240" s="369" t="s">
        <v>713</v>
      </c>
      <c r="D6240" s="368" t="s">
        <v>714</v>
      </c>
      <c r="E6240" s="370">
        <v>1.0</v>
      </c>
      <c r="F6240" s="371">
        <v>46126.625</v>
      </c>
      <c r="G6240" s="368" t="s">
        <v>1185</v>
      </c>
      <c r="H6240" s="368" t="s">
        <v>1235</v>
      </c>
    </row>
    <row r="6241" ht="15.75" customHeight="1">
      <c r="A6241" s="368" t="s">
        <v>97</v>
      </c>
      <c r="B6241" s="368" t="s">
        <v>22</v>
      </c>
      <c r="C6241" s="369" t="s">
        <v>713</v>
      </c>
      <c r="D6241" s="368" t="s">
        <v>714</v>
      </c>
      <c r="E6241" s="370">
        <v>2.0</v>
      </c>
      <c r="F6241" s="371">
        <v>46129.625</v>
      </c>
      <c r="G6241" s="368" t="s">
        <v>1185</v>
      </c>
      <c r="H6241" s="368" t="s">
        <v>1235</v>
      </c>
    </row>
    <row r="6242" ht="15.75" customHeight="1">
      <c r="A6242" s="368" t="s">
        <v>97</v>
      </c>
      <c r="B6242" s="368" t="s">
        <v>22</v>
      </c>
      <c r="C6242" s="369" t="s">
        <v>713</v>
      </c>
      <c r="D6242" s="368" t="s">
        <v>714</v>
      </c>
      <c r="E6242" s="370">
        <v>3.0</v>
      </c>
      <c r="F6242" s="371">
        <v>46148.54166666667</v>
      </c>
      <c r="G6242" s="368" t="s">
        <v>1185</v>
      </c>
      <c r="H6242" s="368" t="s">
        <v>1235</v>
      </c>
    </row>
    <row r="6243" ht="15.75" customHeight="1">
      <c r="A6243" s="368" t="s">
        <v>97</v>
      </c>
      <c r="B6243" s="368" t="s">
        <v>22</v>
      </c>
      <c r="C6243" s="369" t="s">
        <v>713</v>
      </c>
      <c r="D6243" s="368" t="s">
        <v>714</v>
      </c>
      <c r="E6243" s="370">
        <v>4.0</v>
      </c>
      <c r="F6243" s="371">
        <v>46157.54166666667</v>
      </c>
      <c r="G6243" s="368" t="s">
        <v>1185</v>
      </c>
      <c r="H6243" s="368" t="s">
        <v>1235</v>
      </c>
    </row>
    <row r="6244" ht="15.75" customHeight="1">
      <c r="A6244" s="368" t="s">
        <v>97</v>
      </c>
      <c r="B6244" s="368" t="s">
        <v>22</v>
      </c>
      <c r="C6244" s="369" t="s">
        <v>713</v>
      </c>
      <c r="D6244" s="368" t="s">
        <v>714</v>
      </c>
      <c r="E6244" s="370">
        <v>5.0</v>
      </c>
      <c r="F6244" s="371">
        <v>46161.58333333333</v>
      </c>
      <c r="G6244" s="368" t="s">
        <v>1185</v>
      </c>
      <c r="H6244" s="368" t="s">
        <v>1235</v>
      </c>
    </row>
    <row r="6245" ht="15.75" customHeight="1">
      <c r="A6245" s="368" t="s">
        <v>97</v>
      </c>
      <c r="B6245" s="368" t="s">
        <v>22</v>
      </c>
      <c r="C6245" s="369" t="s">
        <v>713</v>
      </c>
      <c r="D6245" s="368" t="s">
        <v>714</v>
      </c>
      <c r="E6245" s="370">
        <v>6.0</v>
      </c>
      <c r="F6245" s="371">
        <v>46168.58333333333</v>
      </c>
      <c r="G6245" s="368" t="s">
        <v>1185</v>
      </c>
      <c r="H6245" s="368" t="s">
        <v>1235</v>
      </c>
    </row>
    <row r="6246" ht="15.75" customHeight="1">
      <c r="A6246" s="368" t="s">
        <v>97</v>
      </c>
      <c r="B6246" s="368" t="s">
        <v>22</v>
      </c>
      <c r="C6246" s="369" t="s">
        <v>713</v>
      </c>
      <c r="D6246" s="368" t="s">
        <v>714</v>
      </c>
      <c r="E6246" s="370">
        <v>7.0</v>
      </c>
      <c r="F6246" s="371">
        <v>46176.58333333333</v>
      </c>
      <c r="G6246" s="368" t="s">
        <v>1185</v>
      </c>
      <c r="H6246" s="368" t="s">
        <v>1235</v>
      </c>
    </row>
    <row r="6247" ht="15.75" customHeight="1">
      <c r="A6247" s="368" t="s">
        <v>97</v>
      </c>
      <c r="B6247" s="368" t="s">
        <v>22</v>
      </c>
      <c r="C6247" s="369" t="s">
        <v>713</v>
      </c>
      <c r="D6247" s="368" t="s">
        <v>714</v>
      </c>
      <c r="E6247" s="370">
        <v>8.0</v>
      </c>
      <c r="F6247" s="371">
        <v>46183.58333333333</v>
      </c>
      <c r="G6247" s="368" t="s">
        <v>1187</v>
      </c>
      <c r="H6247" s="368" t="s">
        <v>1235</v>
      </c>
    </row>
    <row r="6248" ht="15.75" customHeight="1">
      <c r="A6248" s="368" t="s">
        <v>97</v>
      </c>
      <c r="B6248" s="368" t="s">
        <v>22</v>
      </c>
      <c r="C6248" s="369" t="s">
        <v>713</v>
      </c>
      <c r="D6248" s="368" t="s">
        <v>714</v>
      </c>
      <c r="E6248" s="370">
        <v>9.0</v>
      </c>
      <c r="F6248" s="371">
        <v>46189.58333333333</v>
      </c>
      <c r="G6248" s="368" t="s">
        <v>1185</v>
      </c>
      <c r="H6248" s="368" t="s">
        <v>1235</v>
      </c>
    </row>
    <row r="6249" ht="15.75" customHeight="1">
      <c r="A6249" s="368" t="s">
        <v>97</v>
      </c>
      <c r="B6249" s="368" t="s">
        <v>22</v>
      </c>
      <c r="C6249" s="369" t="s">
        <v>713</v>
      </c>
      <c r="D6249" s="368" t="s">
        <v>714</v>
      </c>
      <c r="E6249" s="370">
        <v>11.0</v>
      </c>
      <c r="F6249" s="371">
        <v>46203.58333333333</v>
      </c>
      <c r="G6249" s="368" t="s">
        <v>1185</v>
      </c>
      <c r="H6249" s="368" t="s">
        <v>1235</v>
      </c>
    </row>
    <row r="6250" ht="15.75" customHeight="1">
      <c r="A6250" s="368" t="s">
        <v>97</v>
      </c>
      <c r="B6250" s="368" t="s">
        <v>22</v>
      </c>
      <c r="C6250" s="369" t="s">
        <v>713</v>
      </c>
      <c r="D6250" s="368" t="s">
        <v>714</v>
      </c>
      <c r="E6250" s="370">
        <v>12.0</v>
      </c>
      <c r="F6250" s="371">
        <v>46210.58333333333</v>
      </c>
      <c r="G6250" s="368" t="s">
        <v>1187</v>
      </c>
      <c r="H6250" s="368" t="s">
        <v>1235</v>
      </c>
    </row>
    <row r="6251" ht="15.75" customHeight="1">
      <c r="A6251" s="368" t="s">
        <v>97</v>
      </c>
      <c r="B6251" s="368" t="s">
        <v>22</v>
      </c>
      <c r="C6251" s="369" t="s">
        <v>715</v>
      </c>
      <c r="D6251" s="368" t="s">
        <v>716</v>
      </c>
      <c r="E6251" s="370">
        <v>1.0</v>
      </c>
      <c r="F6251" s="371">
        <v>46126.625</v>
      </c>
      <c r="G6251" s="368" t="s">
        <v>1185</v>
      </c>
      <c r="H6251" s="368" t="s">
        <v>1235</v>
      </c>
    </row>
    <row r="6252" ht="15.75" customHeight="1">
      <c r="A6252" s="368" t="s">
        <v>97</v>
      </c>
      <c r="B6252" s="368" t="s">
        <v>22</v>
      </c>
      <c r="C6252" s="369" t="s">
        <v>715</v>
      </c>
      <c r="D6252" s="368" t="s">
        <v>716</v>
      </c>
      <c r="E6252" s="370">
        <v>2.0</v>
      </c>
      <c r="F6252" s="371">
        <v>46129.625</v>
      </c>
      <c r="G6252" s="368" t="s">
        <v>1185</v>
      </c>
      <c r="H6252" s="368" t="s">
        <v>1235</v>
      </c>
    </row>
    <row r="6253" ht="15.75" customHeight="1">
      <c r="A6253" s="368" t="s">
        <v>97</v>
      </c>
      <c r="B6253" s="368" t="s">
        <v>22</v>
      </c>
      <c r="C6253" s="369" t="s">
        <v>715</v>
      </c>
      <c r="D6253" s="368" t="s">
        <v>716</v>
      </c>
      <c r="E6253" s="370">
        <v>3.0</v>
      </c>
      <c r="F6253" s="371">
        <v>46148.54166666667</v>
      </c>
      <c r="G6253" s="368" t="s">
        <v>1187</v>
      </c>
      <c r="H6253" s="368" t="s">
        <v>1235</v>
      </c>
    </row>
    <row r="6254" ht="15.75" customHeight="1">
      <c r="A6254" s="368" t="s">
        <v>97</v>
      </c>
      <c r="B6254" s="368" t="s">
        <v>22</v>
      </c>
      <c r="C6254" s="369" t="s">
        <v>715</v>
      </c>
      <c r="D6254" s="368" t="s">
        <v>716</v>
      </c>
      <c r="E6254" s="370">
        <v>4.0</v>
      </c>
      <c r="F6254" s="371">
        <v>46157.54166666667</v>
      </c>
      <c r="G6254" s="368" t="s">
        <v>1185</v>
      </c>
      <c r="H6254" s="368" t="s">
        <v>1235</v>
      </c>
    </row>
    <row r="6255" ht="15.75" customHeight="1">
      <c r="A6255" s="368" t="s">
        <v>97</v>
      </c>
      <c r="B6255" s="368" t="s">
        <v>22</v>
      </c>
      <c r="C6255" s="369" t="s">
        <v>715</v>
      </c>
      <c r="D6255" s="368" t="s">
        <v>716</v>
      </c>
      <c r="E6255" s="370">
        <v>5.0</v>
      </c>
      <c r="F6255" s="371">
        <v>46161.58333333333</v>
      </c>
      <c r="G6255" s="368" t="s">
        <v>1185</v>
      </c>
      <c r="H6255" s="368" t="s">
        <v>1235</v>
      </c>
    </row>
    <row r="6256" ht="15.75" customHeight="1">
      <c r="A6256" s="368" t="s">
        <v>97</v>
      </c>
      <c r="B6256" s="368" t="s">
        <v>22</v>
      </c>
      <c r="C6256" s="369" t="s">
        <v>715</v>
      </c>
      <c r="D6256" s="368" t="s">
        <v>716</v>
      </c>
      <c r="E6256" s="370">
        <v>6.0</v>
      </c>
      <c r="F6256" s="371">
        <v>46168.58333333333</v>
      </c>
      <c r="G6256" s="368" t="s">
        <v>1185</v>
      </c>
      <c r="H6256" s="368" t="s">
        <v>1235</v>
      </c>
    </row>
    <row r="6257" ht="15.75" customHeight="1">
      <c r="A6257" s="368" t="s">
        <v>97</v>
      </c>
      <c r="B6257" s="368" t="s">
        <v>22</v>
      </c>
      <c r="C6257" s="369" t="s">
        <v>715</v>
      </c>
      <c r="D6257" s="368" t="s">
        <v>716</v>
      </c>
      <c r="E6257" s="370">
        <v>7.0</v>
      </c>
      <c r="F6257" s="371">
        <v>46176.58333333333</v>
      </c>
      <c r="G6257" s="368" t="s">
        <v>1187</v>
      </c>
      <c r="H6257" s="368" t="s">
        <v>1235</v>
      </c>
    </row>
    <row r="6258" ht="15.75" customHeight="1">
      <c r="A6258" s="368" t="s">
        <v>97</v>
      </c>
      <c r="B6258" s="368" t="s">
        <v>22</v>
      </c>
      <c r="C6258" s="369" t="s">
        <v>715</v>
      </c>
      <c r="D6258" s="368" t="s">
        <v>716</v>
      </c>
      <c r="E6258" s="370">
        <v>8.0</v>
      </c>
      <c r="F6258" s="371">
        <v>46183.58333333333</v>
      </c>
      <c r="G6258" s="368" t="s">
        <v>1187</v>
      </c>
      <c r="H6258" s="368" t="s">
        <v>1235</v>
      </c>
    </row>
    <row r="6259" ht="15.75" customHeight="1">
      <c r="A6259" s="368" t="s">
        <v>97</v>
      </c>
      <c r="B6259" s="368" t="s">
        <v>22</v>
      </c>
      <c r="C6259" s="369" t="s">
        <v>715</v>
      </c>
      <c r="D6259" s="368" t="s">
        <v>716</v>
      </c>
      <c r="E6259" s="370">
        <v>9.0</v>
      </c>
      <c r="F6259" s="371">
        <v>46189.58333333333</v>
      </c>
      <c r="G6259" s="368" t="s">
        <v>1185</v>
      </c>
      <c r="H6259" s="368" t="s">
        <v>1235</v>
      </c>
    </row>
    <row r="6260" ht="15.75" customHeight="1">
      <c r="A6260" s="368" t="s">
        <v>97</v>
      </c>
      <c r="B6260" s="368" t="s">
        <v>22</v>
      </c>
      <c r="C6260" s="369" t="s">
        <v>715</v>
      </c>
      <c r="D6260" s="368" t="s">
        <v>716</v>
      </c>
      <c r="E6260" s="370">
        <v>11.0</v>
      </c>
      <c r="F6260" s="371">
        <v>46203.58333333333</v>
      </c>
      <c r="G6260" s="368" t="s">
        <v>1187</v>
      </c>
      <c r="H6260" s="368" t="s">
        <v>1235</v>
      </c>
    </row>
    <row r="6261" ht="15.75" customHeight="1">
      <c r="A6261" s="368" t="s">
        <v>97</v>
      </c>
      <c r="B6261" s="368" t="s">
        <v>22</v>
      </c>
      <c r="C6261" s="369" t="s">
        <v>715</v>
      </c>
      <c r="D6261" s="368" t="s">
        <v>716</v>
      </c>
      <c r="E6261" s="370">
        <v>12.0</v>
      </c>
      <c r="F6261" s="371">
        <v>46210.58333333333</v>
      </c>
      <c r="G6261" s="368" t="s">
        <v>1187</v>
      </c>
      <c r="H6261" s="368" t="s">
        <v>1235</v>
      </c>
    </row>
    <row r="6262" ht="15.75" customHeight="1">
      <c r="A6262" s="368" t="s">
        <v>97</v>
      </c>
      <c r="B6262" s="368" t="s">
        <v>22</v>
      </c>
      <c r="C6262" s="369" t="s">
        <v>791</v>
      </c>
      <c r="D6262" s="368" t="s">
        <v>792</v>
      </c>
      <c r="E6262" s="370">
        <v>2.0</v>
      </c>
      <c r="F6262" s="371">
        <v>46129.625</v>
      </c>
      <c r="G6262" s="368" t="s">
        <v>1187</v>
      </c>
      <c r="H6262" s="368" t="s">
        <v>1235</v>
      </c>
    </row>
    <row r="6263" ht="15.75" customHeight="1">
      <c r="A6263" s="368" t="s">
        <v>97</v>
      </c>
      <c r="B6263" s="368" t="s">
        <v>22</v>
      </c>
      <c r="C6263" s="369" t="s">
        <v>791</v>
      </c>
      <c r="D6263" s="368" t="s">
        <v>792</v>
      </c>
      <c r="E6263" s="370">
        <v>11.0</v>
      </c>
      <c r="F6263" s="371">
        <v>46203.58333333333</v>
      </c>
      <c r="G6263" s="368" t="s">
        <v>1187</v>
      </c>
      <c r="H6263" s="368" t="s">
        <v>1235</v>
      </c>
    </row>
    <row r="6264" ht="15.75" customHeight="1">
      <c r="A6264" s="368" t="s">
        <v>97</v>
      </c>
      <c r="B6264" s="368" t="s">
        <v>22</v>
      </c>
      <c r="C6264" s="369" t="s">
        <v>791</v>
      </c>
      <c r="D6264" s="368" t="s">
        <v>792</v>
      </c>
      <c r="E6264" s="370">
        <v>12.0</v>
      </c>
      <c r="F6264" s="371">
        <v>46210.58333333333</v>
      </c>
      <c r="G6264" s="368" t="s">
        <v>1185</v>
      </c>
      <c r="H6264" s="368" t="s">
        <v>1235</v>
      </c>
    </row>
    <row r="6265" ht="15.75" customHeight="1">
      <c r="A6265" s="368" t="s">
        <v>1106</v>
      </c>
      <c r="B6265" s="368" t="s">
        <v>26</v>
      </c>
      <c r="C6265" s="369" t="s">
        <v>793</v>
      </c>
      <c r="D6265" s="368" t="s">
        <v>794</v>
      </c>
      <c r="E6265" s="370">
        <v>2.0</v>
      </c>
      <c r="F6265" s="371">
        <v>46190.45833333333</v>
      </c>
      <c r="G6265" s="368" t="s">
        <v>1185</v>
      </c>
      <c r="H6265" s="368" t="s">
        <v>1236</v>
      </c>
    </row>
    <row r="6266" ht="15.75" customHeight="1">
      <c r="A6266" s="368" t="s">
        <v>1106</v>
      </c>
      <c r="B6266" s="368" t="s">
        <v>26</v>
      </c>
      <c r="C6266" s="369" t="s">
        <v>793</v>
      </c>
      <c r="D6266" s="368" t="s">
        <v>794</v>
      </c>
      <c r="E6266" s="370">
        <v>3.0</v>
      </c>
      <c r="F6266" s="371">
        <v>46196.41666666667</v>
      </c>
      <c r="G6266" s="368" t="s">
        <v>1185</v>
      </c>
      <c r="H6266" s="368" t="s">
        <v>1236</v>
      </c>
    </row>
    <row r="6267" ht="15.75" customHeight="1">
      <c r="A6267" s="368" t="s">
        <v>1106</v>
      </c>
      <c r="B6267" s="368" t="s">
        <v>26</v>
      </c>
      <c r="C6267" s="369" t="s">
        <v>793</v>
      </c>
      <c r="D6267" s="368" t="s">
        <v>794</v>
      </c>
      <c r="E6267" s="370">
        <v>4.0</v>
      </c>
      <c r="F6267" s="371">
        <v>46204.58333333333</v>
      </c>
      <c r="G6267" s="368" t="s">
        <v>1185</v>
      </c>
      <c r="H6267" s="368" t="s">
        <v>1236</v>
      </c>
    </row>
    <row r="6268" ht="15.75" customHeight="1">
      <c r="A6268" s="368" t="s">
        <v>1106</v>
      </c>
      <c r="B6268" s="368" t="s">
        <v>26</v>
      </c>
      <c r="C6268" s="369" t="s">
        <v>795</v>
      </c>
      <c r="D6268" s="368" t="s">
        <v>796</v>
      </c>
      <c r="E6268" s="370">
        <v>2.0</v>
      </c>
      <c r="F6268" s="371">
        <v>46190.45833333333</v>
      </c>
      <c r="G6268" s="368" t="s">
        <v>1185</v>
      </c>
      <c r="H6268" s="368" t="s">
        <v>1236</v>
      </c>
    </row>
    <row r="6269" ht="15.75" customHeight="1">
      <c r="A6269" s="368" t="s">
        <v>1106</v>
      </c>
      <c r="B6269" s="368" t="s">
        <v>26</v>
      </c>
      <c r="C6269" s="369" t="s">
        <v>795</v>
      </c>
      <c r="D6269" s="368" t="s">
        <v>796</v>
      </c>
      <c r="E6269" s="370">
        <v>3.0</v>
      </c>
      <c r="F6269" s="371">
        <v>46196.41666666667</v>
      </c>
      <c r="G6269" s="368" t="s">
        <v>1185</v>
      </c>
      <c r="H6269" s="368" t="s">
        <v>1236</v>
      </c>
    </row>
    <row r="6270" ht="15.75" customHeight="1">
      <c r="A6270" s="368" t="s">
        <v>1106</v>
      </c>
      <c r="B6270" s="368" t="s">
        <v>26</v>
      </c>
      <c r="C6270" s="369" t="s">
        <v>795</v>
      </c>
      <c r="D6270" s="368" t="s">
        <v>796</v>
      </c>
      <c r="E6270" s="370">
        <v>4.0</v>
      </c>
      <c r="F6270" s="371">
        <v>46204.58333333333</v>
      </c>
      <c r="G6270" s="368" t="s">
        <v>1187</v>
      </c>
      <c r="H6270" s="368" t="s">
        <v>1236</v>
      </c>
    </row>
    <row r="6271" ht="15.75" customHeight="1">
      <c r="A6271" s="368" t="s">
        <v>1106</v>
      </c>
      <c r="B6271" s="368" t="s">
        <v>26</v>
      </c>
      <c r="C6271" s="369" t="s">
        <v>797</v>
      </c>
      <c r="D6271" s="368" t="s">
        <v>798</v>
      </c>
      <c r="E6271" s="370">
        <v>2.0</v>
      </c>
      <c r="F6271" s="371">
        <v>46190.45833333333</v>
      </c>
      <c r="G6271" s="368" t="s">
        <v>1185</v>
      </c>
      <c r="H6271" s="368" t="s">
        <v>1236</v>
      </c>
    </row>
    <row r="6272" ht="15.75" customHeight="1">
      <c r="A6272" s="368" t="s">
        <v>1106</v>
      </c>
      <c r="B6272" s="368" t="s">
        <v>26</v>
      </c>
      <c r="C6272" s="369" t="s">
        <v>797</v>
      </c>
      <c r="D6272" s="368" t="s">
        <v>798</v>
      </c>
      <c r="E6272" s="370">
        <v>3.0</v>
      </c>
      <c r="F6272" s="371">
        <v>46196.41666666667</v>
      </c>
      <c r="G6272" s="368" t="s">
        <v>1185</v>
      </c>
      <c r="H6272" s="368" t="s">
        <v>1236</v>
      </c>
    </row>
    <row r="6273" ht="15.75" customHeight="1">
      <c r="A6273" s="368" t="s">
        <v>1106</v>
      </c>
      <c r="B6273" s="368" t="s">
        <v>26</v>
      </c>
      <c r="C6273" s="369" t="s">
        <v>797</v>
      </c>
      <c r="D6273" s="368" t="s">
        <v>798</v>
      </c>
      <c r="E6273" s="370">
        <v>4.0</v>
      </c>
      <c r="F6273" s="371">
        <v>46204.58333333333</v>
      </c>
      <c r="G6273" s="368" t="s">
        <v>1185</v>
      </c>
      <c r="H6273" s="368" t="s">
        <v>1236</v>
      </c>
    </row>
    <row r="6274" ht="15.75" customHeight="1">
      <c r="A6274" s="368" t="s">
        <v>1106</v>
      </c>
      <c r="B6274" s="368" t="s">
        <v>26</v>
      </c>
      <c r="C6274" s="369" t="s">
        <v>799</v>
      </c>
      <c r="D6274" s="368" t="s">
        <v>800</v>
      </c>
      <c r="E6274" s="370">
        <v>2.0</v>
      </c>
      <c r="F6274" s="371">
        <v>46190.45833333333</v>
      </c>
      <c r="G6274" s="368" t="s">
        <v>1185</v>
      </c>
      <c r="H6274" s="368" t="s">
        <v>1236</v>
      </c>
    </row>
    <row r="6275" ht="15.75" customHeight="1">
      <c r="A6275" s="368" t="s">
        <v>1106</v>
      </c>
      <c r="B6275" s="368" t="s">
        <v>26</v>
      </c>
      <c r="C6275" s="369" t="s">
        <v>799</v>
      </c>
      <c r="D6275" s="368" t="s">
        <v>800</v>
      </c>
      <c r="E6275" s="370">
        <v>3.0</v>
      </c>
      <c r="F6275" s="371">
        <v>46196.41666666667</v>
      </c>
      <c r="G6275" s="368" t="s">
        <v>1185</v>
      </c>
      <c r="H6275" s="368" t="s">
        <v>1236</v>
      </c>
    </row>
    <row r="6276" ht="15.75" customHeight="1">
      <c r="A6276" s="368" t="s">
        <v>1106</v>
      </c>
      <c r="B6276" s="368" t="s">
        <v>26</v>
      </c>
      <c r="C6276" s="369" t="s">
        <v>799</v>
      </c>
      <c r="D6276" s="368" t="s">
        <v>800</v>
      </c>
      <c r="E6276" s="370">
        <v>4.0</v>
      </c>
      <c r="F6276" s="371">
        <v>46204.58333333333</v>
      </c>
      <c r="G6276" s="368" t="s">
        <v>1185</v>
      </c>
      <c r="H6276" s="368" t="s">
        <v>1236</v>
      </c>
    </row>
    <row r="6277" ht="15.75" customHeight="1">
      <c r="A6277" s="368" t="s">
        <v>1106</v>
      </c>
      <c r="B6277" s="368" t="s">
        <v>26</v>
      </c>
      <c r="C6277" s="369" t="s">
        <v>801</v>
      </c>
      <c r="D6277" s="368" t="s">
        <v>802</v>
      </c>
      <c r="E6277" s="370">
        <v>2.0</v>
      </c>
      <c r="F6277" s="371">
        <v>46190.45833333333</v>
      </c>
      <c r="G6277" s="368" t="s">
        <v>1185</v>
      </c>
      <c r="H6277" s="368" t="s">
        <v>1236</v>
      </c>
    </row>
    <row r="6278" ht="15.75" customHeight="1">
      <c r="A6278" s="368" t="s">
        <v>1106</v>
      </c>
      <c r="B6278" s="368" t="s">
        <v>26</v>
      </c>
      <c r="C6278" s="369" t="s">
        <v>801</v>
      </c>
      <c r="D6278" s="368" t="s">
        <v>802</v>
      </c>
      <c r="E6278" s="370">
        <v>3.0</v>
      </c>
      <c r="F6278" s="371">
        <v>46196.41666666667</v>
      </c>
      <c r="G6278" s="368" t="s">
        <v>1185</v>
      </c>
      <c r="H6278" s="368" t="s">
        <v>1236</v>
      </c>
    </row>
    <row r="6279" ht="15.75" customHeight="1">
      <c r="A6279" s="368" t="s">
        <v>1106</v>
      </c>
      <c r="B6279" s="368" t="s">
        <v>26</v>
      </c>
      <c r="C6279" s="369" t="s">
        <v>801</v>
      </c>
      <c r="D6279" s="368" t="s">
        <v>802</v>
      </c>
      <c r="E6279" s="370">
        <v>4.0</v>
      </c>
      <c r="F6279" s="371">
        <v>46204.58333333333</v>
      </c>
      <c r="G6279" s="368" t="s">
        <v>1185</v>
      </c>
      <c r="H6279" s="368" t="s">
        <v>1236</v>
      </c>
    </row>
    <row r="6280" ht="15.75" customHeight="1">
      <c r="A6280" s="368" t="s">
        <v>1106</v>
      </c>
      <c r="B6280" s="368" t="s">
        <v>26</v>
      </c>
      <c r="C6280" s="369" t="s">
        <v>803</v>
      </c>
      <c r="D6280" s="368" t="s">
        <v>804</v>
      </c>
      <c r="E6280" s="370">
        <v>2.0</v>
      </c>
      <c r="F6280" s="371">
        <v>46190.45833333333</v>
      </c>
      <c r="G6280" s="368" t="s">
        <v>1185</v>
      </c>
      <c r="H6280" s="368" t="s">
        <v>1236</v>
      </c>
    </row>
    <row r="6281" ht="15.75" customHeight="1">
      <c r="A6281" s="368" t="s">
        <v>1106</v>
      </c>
      <c r="B6281" s="368" t="s">
        <v>26</v>
      </c>
      <c r="C6281" s="369" t="s">
        <v>803</v>
      </c>
      <c r="D6281" s="368" t="s">
        <v>804</v>
      </c>
      <c r="E6281" s="370">
        <v>3.0</v>
      </c>
      <c r="F6281" s="371">
        <v>46196.41666666667</v>
      </c>
      <c r="G6281" s="368" t="s">
        <v>1185</v>
      </c>
      <c r="H6281" s="368" t="s">
        <v>1236</v>
      </c>
    </row>
    <row r="6282" ht="15.75" customHeight="1">
      <c r="A6282" s="368" t="s">
        <v>1106</v>
      </c>
      <c r="B6282" s="368" t="s">
        <v>26</v>
      </c>
      <c r="C6282" s="369" t="s">
        <v>803</v>
      </c>
      <c r="D6282" s="368" t="s">
        <v>804</v>
      </c>
      <c r="E6282" s="370">
        <v>4.0</v>
      </c>
      <c r="F6282" s="371">
        <v>46204.58333333333</v>
      </c>
      <c r="G6282" s="368" t="s">
        <v>1185</v>
      </c>
      <c r="H6282" s="368" t="s">
        <v>1236</v>
      </c>
    </row>
  </sheetData>
  <printOptions/>
  <pageMargins bottom="1.0" footer="0.0" header="0.0" left="0.75" right="0.75" top="1.0"/>
  <pageSetup paperSize="9" orientation="portrait"/>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20.14"/>
    <col customWidth="1" min="5" max="5" width="17.14"/>
    <col customWidth="1" min="6" max="6" width="17.43"/>
    <col customWidth="1" min="8" max="8" width="28.14"/>
    <col customWidth="1" min="9" max="9" width="25.43"/>
  </cols>
  <sheetData>
    <row r="1">
      <c r="A1" s="11" t="str">
        <f>IFERROR(__xludf.DUMMYFUNCTION("QUERY(ATTENDANCE_LOG!A2:H1000,""SELECT A, B, C, COUNT(F) WHERE C IS NOT NULL GROUP BY A, B, C LABEL A 'Class Code', B 'Course Name', C 'Emp Code', COUNT(F) 'Sessions Attended'"",0)"),"Class Code")</f>
        <v>Class Code</v>
      </c>
      <c r="B1" s="11" t="str">
        <f>IFERROR(__xludf.DUMMYFUNCTION("""COMPUTED_VALUE"""),"Course Name")</f>
        <v>Course Name</v>
      </c>
      <c r="C1" s="11" t="str">
        <f>IFERROR(__xludf.DUMMYFUNCTION("""COMPUTED_VALUE"""),"Emp Code")</f>
        <v>Emp Code</v>
      </c>
      <c r="D1" s="11" t="str">
        <f>IFERROR(__xludf.DUMMYFUNCTION("""COMPUTED_VALUE"""),"Sessions Attended")</f>
        <v>Sessions Attended</v>
      </c>
      <c r="E1" s="16" t="s">
        <v>1237</v>
      </c>
      <c r="F1" s="16" t="s">
        <v>1238</v>
      </c>
      <c r="G1" s="16" t="s">
        <v>1239</v>
      </c>
      <c r="H1" s="16" t="s">
        <v>1240</v>
      </c>
      <c r="I1" s="16" t="s">
        <v>1241</v>
      </c>
      <c r="K1" s="372"/>
    </row>
    <row r="2">
      <c r="A2" s="11" t="str">
        <f>IFERROR(__xludf.DUMMYFUNCTION("""COMPUTED_VALUE"""),"EL001")</f>
        <v>EL001</v>
      </c>
      <c r="B2" s="11" t="str">
        <f>IFERROR(__xludf.DUMMYFUNCTION("""COMPUTED_VALUE"""),"Business English")</f>
        <v>Business English</v>
      </c>
      <c r="C2" s="11" t="str">
        <f>IFERROR(__xludf.DUMMYFUNCTION("""COMPUTED_VALUE"""),"227148")</f>
        <v>227148</v>
      </c>
      <c r="D2" s="11">
        <f>IFERROR(__xludf.DUMMYFUNCTION("""COMPUTED_VALUE"""),14.0)</f>
        <v>14</v>
      </c>
      <c r="E2" s="11">
        <f>IFERROR(VLOOKUP(B2,COURSE_PLAN!A:B,2,FALSE),"")</f>
        <v>16</v>
      </c>
      <c r="F2" s="11">
        <f t="shared" ref="F2:F844" si="1">IFERROR(D2/E2,0)</f>
        <v>0.875</v>
      </c>
      <c r="G2" s="11" t="str">
        <f>IFERROR(VLOOKUP(C2,STUDENTS!A:E,5,FALSE),"")</f>
        <v>Active</v>
      </c>
      <c r="H2" s="11" t="str">
        <f>IFERROR(VLOOKUP(C2,STUDENTS!A:M,13,FALSE),"")</f>
        <v/>
      </c>
      <c r="I2" s="11" t="str">
        <f>IF(D2="","",IF(AND(VLOOKUP(C2,STUDENTS!$A:$R,17,FALSE)=A2,VLOOKUP(C2,STUDENTS!$A:$R,18,FALSE)=B2,G2="Active"),"Đang học",IF(F2&gt;=0.8,IF(G2="Active","Tiếp tục khóa sau",IF(G2="Waiting for class","Chờ lớp mới",IF(G2="Inactive",IF(IFERROR(H2,"")="Discontinued mid-course","Nghỉ giữa chừng","Hoàn thành rồi nghỉ luôn"),""))),IF(G2="Inactive","Nghỉ giữa chừng","Đang học"))))</f>
        <v>Đang học</v>
      </c>
    </row>
    <row r="3">
      <c r="A3" s="11" t="str">
        <f>IFERROR(__xludf.DUMMYFUNCTION("""COMPUTED_VALUE"""),"EL001")</f>
        <v>EL001</v>
      </c>
      <c r="B3" s="11" t="str">
        <f>IFERROR(__xludf.DUMMYFUNCTION("""COMPUTED_VALUE"""),"Business English")</f>
        <v>Business English</v>
      </c>
      <c r="C3" s="11" t="str">
        <f>IFERROR(__xludf.DUMMYFUNCTION("""COMPUTED_VALUE"""),"227155")</f>
        <v>227155</v>
      </c>
      <c r="D3" s="11">
        <f>IFERROR(__xludf.DUMMYFUNCTION("""COMPUTED_VALUE"""),14.0)</f>
        <v>14</v>
      </c>
      <c r="E3" s="11">
        <f>IFERROR(VLOOKUP(B3,COURSE_PLAN!A:B,2,FALSE),"")</f>
        <v>16</v>
      </c>
      <c r="F3" s="11">
        <f t="shared" si="1"/>
        <v>0.875</v>
      </c>
      <c r="G3" s="11" t="str">
        <f>IFERROR(VLOOKUP(C3,STUDENTS!A:E,5,FALSE),"")</f>
        <v>Active</v>
      </c>
      <c r="H3" s="11" t="str">
        <f>IFERROR(VLOOKUP(C3,STUDENTS!A:M,13,FALSE),"")</f>
        <v/>
      </c>
      <c r="I3" s="11" t="str">
        <f>IF(D3="","",IF(AND(VLOOKUP(C3,STUDENTS!$A:$R,17,FALSE)=A3,VLOOKUP(C3,STUDENTS!$A:$R,18,FALSE)=B3,G3="Active"),"Đang học",IF(F3&gt;=0.8,IF(G3="Active","Tiếp tục khóa sau",IF(G3="Waiting for class","Chờ lớp mới",IF(G3="Inactive",IF(IFERROR(H3,"")="Discontinued mid-course","Nghỉ giữa chừng","Hoàn thành rồi nghỉ luôn"),""))),IF(G3="Inactive","Nghỉ giữa chừng","Đang học"))))</f>
        <v>Đang học</v>
      </c>
      <c r="J3" s="372">
        <f>COUNTIF(I:I,"Đang học")</f>
        <v>111</v>
      </c>
    </row>
    <row r="4">
      <c r="A4" s="11" t="str">
        <f>IFERROR(__xludf.DUMMYFUNCTION("""COMPUTED_VALUE"""),"EL001")</f>
        <v>EL001</v>
      </c>
      <c r="B4" s="11" t="str">
        <f>IFERROR(__xludf.DUMMYFUNCTION("""COMPUTED_VALUE"""),"Business English")</f>
        <v>Business English</v>
      </c>
      <c r="C4" s="11" t="str">
        <f>IFERROR(__xludf.DUMMYFUNCTION("""COMPUTED_VALUE"""),"237050")</f>
        <v>237050</v>
      </c>
      <c r="D4" s="11">
        <f>IFERROR(__xludf.DUMMYFUNCTION("""COMPUTED_VALUE"""),14.0)</f>
        <v>14</v>
      </c>
      <c r="E4" s="11">
        <f>IFERROR(VLOOKUP(B4,COURSE_PLAN!A:B,2,FALSE),"")</f>
        <v>16</v>
      </c>
      <c r="F4" s="11">
        <f t="shared" si="1"/>
        <v>0.875</v>
      </c>
      <c r="G4" s="11" t="str">
        <f>IFERROR(VLOOKUP(C4,STUDENTS!A:E,5,FALSE),"")</f>
        <v>Active</v>
      </c>
      <c r="H4" s="11" t="str">
        <f>IFERROR(VLOOKUP(C4,STUDENTS!A:M,13,FALSE),"")</f>
        <v/>
      </c>
      <c r="I4" s="11" t="str">
        <f>IF(D4="","",IF(AND(VLOOKUP(C4,STUDENTS!$A:$R,17,FALSE)=A4,VLOOKUP(C4,STUDENTS!$A:$R,18,FALSE)=B4,G4="Active"),"Đang học",IF(F4&gt;=0.8,IF(G4="Active","Tiếp tục khóa sau",IF(G4="Waiting for class","Chờ lớp mới",IF(G4="Inactive",IF(IFERROR(H4,"")="Discontinued mid-course","Nghỉ giữa chừng","Hoàn thành rồi nghỉ luôn"),""))),IF(G4="Inactive","Nghỉ giữa chừng","Đang học"))))</f>
        <v>Đang học</v>
      </c>
      <c r="J4" s="372">
        <f>COUNTIF(I:I,"Tiếp tục khóa sau")</f>
        <v>99</v>
      </c>
    </row>
    <row r="5">
      <c r="A5" s="11" t="str">
        <f>IFERROR(__xludf.DUMMYFUNCTION("""COMPUTED_VALUE"""),"EL001")</f>
        <v>EL001</v>
      </c>
      <c r="B5" s="11" t="str">
        <f>IFERROR(__xludf.DUMMYFUNCTION("""COMPUTED_VALUE"""),"Communication 1")</f>
        <v>Communication 1</v>
      </c>
      <c r="C5" s="11" t="str">
        <f>IFERROR(__xludf.DUMMYFUNCTION("""COMPUTED_VALUE"""),"143079")</f>
        <v>143079</v>
      </c>
      <c r="D5" s="11">
        <f>IFERROR(__xludf.DUMMYFUNCTION("""COMPUTED_VALUE"""),10.0)</f>
        <v>10</v>
      </c>
      <c r="E5" s="11">
        <f>IFERROR(VLOOKUP(B5,COURSE_PLAN!A:B,2,FALSE),"")</f>
        <v>10</v>
      </c>
      <c r="F5" s="11">
        <f t="shared" si="1"/>
        <v>1</v>
      </c>
      <c r="G5" s="11" t="str">
        <f>IFERROR(VLOOKUP(C5,STUDENTS!A:E,5,FALSE),"")</f>
        <v>Active</v>
      </c>
      <c r="H5" s="11" t="str">
        <f>IFERROR(VLOOKUP(C5,STUDENTS!A:M,13,FALSE),"")</f>
        <v/>
      </c>
      <c r="I5" s="11" t="str">
        <f>IF(D5="","",IF(AND(VLOOKUP(C5,STUDENTS!$A:$R,17,FALSE)=A5,VLOOKUP(C5,STUDENTS!$A:$R,18,FALSE)=B5,G5="Active"),"Đang học",IF(F5&gt;=0.8,IF(G5="Active","Tiếp tục khóa sau",IF(G5="Waiting for class","Chờ lớp mới",IF(G5="Inactive",IF(IFERROR(H5,"")="Discontinued mid-course","Nghỉ giữa chừng","Hoàn thành rồi nghỉ luôn"),""))),IF(G5="Inactive","Nghỉ giữa chừng","Đang học"))))</f>
        <v>Tiếp tục khóa sau</v>
      </c>
      <c r="J5" s="372">
        <f>COUNTIF(I:I,"Chờ lớp mới")</f>
        <v>18</v>
      </c>
    </row>
    <row r="6">
      <c r="A6" s="11" t="str">
        <f>IFERROR(__xludf.DUMMYFUNCTION("""COMPUTED_VALUE"""),"EL001")</f>
        <v>EL001</v>
      </c>
      <c r="B6" s="11" t="str">
        <f>IFERROR(__xludf.DUMMYFUNCTION("""COMPUTED_VALUE"""),"Communication 1")</f>
        <v>Communication 1</v>
      </c>
      <c r="C6" s="11" t="str">
        <f>IFERROR(__xludf.DUMMYFUNCTION("""COMPUTED_VALUE"""),"173230")</f>
        <v>173230</v>
      </c>
      <c r="D6" s="11">
        <f>IFERROR(__xludf.DUMMYFUNCTION("""COMPUTED_VALUE"""),10.0)</f>
        <v>10</v>
      </c>
      <c r="E6" s="11">
        <f>IFERROR(VLOOKUP(B6,COURSE_PLAN!A:B,2,FALSE),"")</f>
        <v>10</v>
      </c>
      <c r="F6" s="11">
        <f t="shared" si="1"/>
        <v>1</v>
      </c>
      <c r="G6" s="11" t="str">
        <f>IFERROR(VLOOKUP(C6,STUDENTS!A:E,5,FALSE),"")</f>
        <v>Active</v>
      </c>
      <c r="H6" s="11" t="str">
        <f>IFERROR(VLOOKUP(C6,STUDENTS!A:M,13,FALSE),"")</f>
        <v/>
      </c>
      <c r="I6" s="11" t="str">
        <f>IF(D6="","",IF(AND(VLOOKUP(C6,STUDENTS!$A:$R,17,FALSE)=A6,VLOOKUP(C6,STUDENTS!$A:$R,18,FALSE)=B6,G6="Active"),"Đang học",IF(F6&gt;=0.8,IF(G6="Active","Tiếp tục khóa sau",IF(G6="Waiting for class","Chờ lớp mới",IF(G6="Inactive",IF(IFERROR(H6,"")="Discontinued mid-course","Nghỉ giữa chừng","Hoàn thành rồi nghỉ luôn"),""))),IF(G6="Inactive","Nghỉ giữa chừng","Đang học"))))</f>
        <v>Tiếp tục khóa sau</v>
      </c>
      <c r="J6" s="372">
        <f>COUNTIF(I:I,"Hoàn thành rồi nghỉ luôn")</f>
        <v>148</v>
      </c>
    </row>
    <row r="7">
      <c r="A7" s="11" t="str">
        <f>IFERROR(__xludf.DUMMYFUNCTION("""COMPUTED_VALUE"""),"EL001")</f>
        <v>EL001</v>
      </c>
      <c r="B7" s="11" t="str">
        <f>IFERROR(__xludf.DUMMYFUNCTION("""COMPUTED_VALUE"""),"Communication 1")</f>
        <v>Communication 1</v>
      </c>
      <c r="C7" s="11" t="str">
        <f>IFERROR(__xludf.DUMMYFUNCTION("""COMPUTED_VALUE"""),"227122")</f>
        <v>227122</v>
      </c>
      <c r="D7" s="11">
        <f>IFERROR(__xludf.DUMMYFUNCTION("""COMPUTED_VALUE"""),10.0)</f>
        <v>10</v>
      </c>
      <c r="E7" s="11">
        <f>IFERROR(VLOOKUP(B7,COURSE_PLAN!A:B,2,FALSE),"")</f>
        <v>10</v>
      </c>
      <c r="F7" s="11">
        <f t="shared" si="1"/>
        <v>1</v>
      </c>
      <c r="G7" s="11" t="str">
        <f>IFERROR(VLOOKUP(C7,STUDENTS!A:E,5,FALSE),"")</f>
        <v>Active</v>
      </c>
      <c r="H7" s="11" t="str">
        <f>IFERROR(VLOOKUP(C7,STUDENTS!A:M,13,FALSE),"")</f>
        <v/>
      </c>
      <c r="I7" s="11" t="str">
        <f>IF(D7="","",IF(AND(VLOOKUP(C7,STUDENTS!$A:$R,17,FALSE)=A7,VLOOKUP(C7,STUDENTS!$A:$R,18,FALSE)=B7,G7="Active"),"Đang học",IF(F7&gt;=0.8,IF(G7="Active","Tiếp tục khóa sau",IF(G7="Waiting for class","Chờ lớp mới",IF(G7="Inactive",IF(IFERROR(H7,"")="Discontinued mid-course","Nghỉ giữa chừng","Hoàn thành rồi nghỉ luôn"),""))),IF(G7="Inactive","Nghỉ giữa chừng","Đang học"))))</f>
        <v>Tiếp tục khóa sau</v>
      </c>
      <c r="J7" s="372">
        <f>COUNTIF(I:I,"Nghỉ giữa chừng")</f>
        <v>172</v>
      </c>
    </row>
    <row r="8">
      <c r="A8" s="11" t="str">
        <f>IFERROR(__xludf.DUMMYFUNCTION("""COMPUTED_VALUE"""),"EL001")</f>
        <v>EL001</v>
      </c>
      <c r="B8" s="11" t="str">
        <f>IFERROR(__xludf.DUMMYFUNCTION("""COMPUTED_VALUE"""),"Communication 1")</f>
        <v>Communication 1</v>
      </c>
      <c r="C8" s="11" t="str">
        <f>IFERROR(__xludf.DUMMYFUNCTION("""COMPUTED_VALUE"""),"227148")</f>
        <v>227148</v>
      </c>
      <c r="D8" s="11">
        <f>IFERROR(__xludf.DUMMYFUNCTION("""COMPUTED_VALUE"""),10.0)</f>
        <v>10</v>
      </c>
      <c r="E8" s="11">
        <f>IFERROR(VLOOKUP(B8,COURSE_PLAN!A:B,2,FALSE),"")</f>
        <v>10</v>
      </c>
      <c r="F8" s="11">
        <f t="shared" si="1"/>
        <v>1</v>
      </c>
      <c r="G8" s="11" t="str">
        <f>IFERROR(VLOOKUP(C8,STUDENTS!A:E,5,FALSE),"")</f>
        <v>Active</v>
      </c>
      <c r="H8" s="11" t="str">
        <f>IFERROR(VLOOKUP(C8,STUDENTS!A:M,13,FALSE),"")</f>
        <v/>
      </c>
      <c r="I8" s="11" t="str">
        <f>IF(D8="","",IF(AND(VLOOKUP(C8,STUDENTS!$A:$R,17,FALSE)=A8,VLOOKUP(C8,STUDENTS!$A:$R,18,FALSE)=B8,G8="Active"),"Đang học",IF(F8&gt;=0.8,IF(G8="Active","Tiếp tục khóa sau",IF(G8="Waiting for class","Chờ lớp mới",IF(G8="Inactive",IF(IFERROR(H8,"")="Discontinued mid-course","Nghỉ giữa chừng","Hoàn thành rồi nghỉ luôn"),""))),IF(G8="Inactive","Nghỉ giữa chừng","Đang học"))))</f>
        <v>Tiếp tục khóa sau</v>
      </c>
      <c r="J8" s="372"/>
      <c r="M8" s="11" t="str">
        <f>IFERROR(__xludf.DUMMYFUNCTION("FILTER(ATT_COUNT!A:I,ATT_COUNT!I:I=""Nghỉ giữa chừng"")"),"EL002")</f>
        <v>EL002</v>
      </c>
      <c r="N8" s="11" t="str">
        <f>IFERROR(__xludf.DUMMYFUNCTION("""COMPUTED_VALUE"""),"Communication 1")</f>
        <v>Communication 1</v>
      </c>
      <c r="O8" s="11" t="str">
        <f>IFERROR(__xludf.DUMMYFUNCTION("""COMPUTED_VALUE"""),"247300")</f>
        <v>247300</v>
      </c>
      <c r="P8" s="11">
        <f>IFERROR(__xludf.DUMMYFUNCTION("""COMPUTED_VALUE"""),10.0)</f>
        <v>10</v>
      </c>
      <c r="Q8" s="11">
        <f>IFERROR(__xludf.DUMMYFUNCTION("""COMPUTED_VALUE"""),10.0)</f>
        <v>10</v>
      </c>
      <c r="R8" s="11">
        <f>IFERROR(__xludf.DUMMYFUNCTION("""COMPUTED_VALUE"""),1.0)</f>
        <v>1</v>
      </c>
      <c r="S8" s="11" t="str">
        <f>IFERROR(__xludf.DUMMYFUNCTION("""COMPUTED_VALUE"""),"Inactive")</f>
        <v>Inactive</v>
      </c>
      <c r="T8" s="11" t="str">
        <f>IFERROR(__xludf.DUMMYFUNCTION("""COMPUTED_VALUE"""),"Discontinued mid-course")</f>
        <v>Discontinued mid-course</v>
      </c>
      <c r="U8" s="11" t="str">
        <f>IFERROR(__xludf.DUMMYFUNCTION("""COMPUTED_VALUE"""),"Nghỉ giữa chừng")</f>
        <v>Nghỉ giữa chừng</v>
      </c>
    </row>
    <row r="9">
      <c r="A9" s="11" t="str">
        <f>IFERROR(__xludf.DUMMYFUNCTION("""COMPUTED_VALUE"""),"EL001")</f>
        <v>EL001</v>
      </c>
      <c r="B9" s="11" t="str">
        <f>IFERROR(__xludf.DUMMYFUNCTION("""COMPUTED_VALUE"""),"Communication 1")</f>
        <v>Communication 1</v>
      </c>
      <c r="C9" s="11" t="str">
        <f>IFERROR(__xludf.DUMMYFUNCTION("""COMPUTED_VALUE"""),"227155")</f>
        <v>227155</v>
      </c>
      <c r="D9" s="11">
        <f>IFERROR(__xludf.DUMMYFUNCTION("""COMPUTED_VALUE"""),10.0)</f>
        <v>10</v>
      </c>
      <c r="E9" s="11">
        <f>IFERROR(VLOOKUP(B9,COURSE_PLAN!A:B,2,FALSE),"")</f>
        <v>10</v>
      </c>
      <c r="F9" s="11">
        <f t="shared" si="1"/>
        <v>1</v>
      </c>
      <c r="G9" s="11" t="str">
        <f>IFERROR(VLOOKUP(C9,STUDENTS!A:E,5,FALSE),"")</f>
        <v>Active</v>
      </c>
      <c r="H9" s="11" t="str">
        <f>IFERROR(VLOOKUP(C9,STUDENTS!A:M,13,FALSE),"")</f>
        <v/>
      </c>
      <c r="I9" s="11" t="str">
        <f>IF(D9="","",IF(AND(VLOOKUP(C9,STUDENTS!$A:$R,17,FALSE)=A9,VLOOKUP(C9,STUDENTS!$A:$R,18,FALSE)=B9,G9="Active"),"Đang học",IF(F9&gt;=0.8,IF(G9="Active","Tiếp tục khóa sau",IF(G9="Waiting for class","Chờ lớp mới",IF(G9="Inactive",IF(IFERROR(H9,"")="Discontinued mid-course","Nghỉ giữa chừng","Hoàn thành rồi nghỉ luôn"),""))),IF(G9="Inactive","Nghỉ giữa chừng","Đang học"))))</f>
        <v>Tiếp tục khóa sau</v>
      </c>
      <c r="J9" s="11">
        <f>COUNTIF(STUDENTS!E:E,"Active")</f>
        <v>102</v>
      </c>
      <c r="M9" s="11" t="str">
        <f>IFERROR(__xludf.DUMMYFUNCTION("""COMPUTED_VALUE"""),"EL003")</f>
        <v>EL003</v>
      </c>
      <c r="N9" s="11" t="str">
        <f>IFERROR(__xludf.DUMMYFUNCTION("""COMPUTED_VALUE"""),"Communication 1")</f>
        <v>Communication 1</v>
      </c>
      <c r="O9" s="11" t="str">
        <f>IFERROR(__xludf.DUMMYFUNCTION("""COMPUTED_VALUE"""),"247264")</f>
        <v>247264</v>
      </c>
      <c r="P9" s="11">
        <f>IFERROR(__xludf.DUMMYFUNCTION("""COMPUTED_VALUE"""),10.0)</f>
        <v>10</v>
      </c>
      <c r="Q9" s="11">
        <f>IFERROR(__xludf.DUMMYFUNCTION("""COMPUTED_VALUE"""),10.0)</f>
        <v>10</v>
      </c>
      <c r="R9" s="11">
        <f>IFERROR(__xludf.DUMMYFUNCTION("""COMPUTED_VALUE"""),1.0)</f>
        <v>1</v>
      </c>
      <c r="S9" s="11" t="str">
        <f>IFERROR(__xludf.DUMMYFUNCTION("""COMPUTED_VALUE"""),"Inactive")</f>
        <v>Inactive</v>
      </c>
      <c r="T9" s="11" t="str">
        <f>IFERROR(__xludf.DUMMYFUNCTION("""COMPUTED_VALUE"""),"Discontinued mid-course")</f>
        <v>Discontinued mid-course</v>
      </c>
      <c r="U9" s="11" t="str">
        <f>IFERROR(__xludf.DUMMYFUNCTION("""COMPUTED_VALUE"""),"Nghỉ giữa chừng")</f>
        <v>Nghỉ giữa chừng</v>
      </c>
    </row>
    <row r="10">
      <c r="A10" s="11" t="str">
        <f>IFERROR(__xludf.DUMMYFUNCTION("""COMPUTED_VALUE"""),"EL001")</f>
        <v>EL001</v>
      </c>
      <c r="B10" s="11" t="str">
        <f>IFERROR(__xludf.DUMMYFUNCTION("""COMPUTED_VALUE"""),"Communication 1")</f>
        <v>Communication 1</v>
      </c>
      <c r="C10" s="11" t="str">
        <f>IFERROR(__xludf.DUMMYFUNCTION("""COMPUTED_VALUE"""),"237050")</f>
        <v>237050</v>
      </c>
      <c r="D10" s="11">
        <f>IFERROR(__xludf.DUMMYFUNCTION("""COMPUTED_VALUE"""),10.0)</f>
        <v>10</v>
      </c>
      <c r="E10" s="11">
        <f>IFERROR(VLOOKUP(B10,COURSE_PLAN!A:B,2,FALSE),"")</f>
        <v>10</v>
      </c>
      <c r="F10" s="11">
        <f t="shared" si="1"/>
        <v>1</v>
      </c>
      <c r="G10" s="11" t="str">
        <f>IFERROR(VLOOKUP(C10,STUDENTS!A:E,5,FALSE),"")</f>
        <v>Active</v>
      </c>
      <c r="H10" s="11" t="str">
        <f>IFERROR(VLOOKUP(C10,STUDENTS!A:M,13,FALSE),"")</f>
        <v/>
      </c>
      <c r="I10" s="11" t="str">
        <f>IF(D10="","",IF(AND(VLOOKUP(C10,STUDENTS!$A:$R,17,FALSE)=A10,VLOOKUP(C10,STUDENTS!$A:$R,18,FALSE)=B10,G10="Active"),"Đang học",IF(F10&gt;=0.8,IF(G10="Active","Tiếp tục khóa sau",IF(G10="Waiting for class","Chờ lớp mới",IF(G10="Inactive",IF(IFERROR(H10,"")="Discontinued mid-course","Nghỉ giữa chừng","Hoàn thành rồi nghỉ luôn"),""))),IF(G10="Inactive","Nghỉ giữa chừng","Đang học"))))</f>
        <v>Tiếp tục khóa sau</v>
      </c>
      <c r="J10" s="11">
        <f>COUNTIF(STUDENTS!M:M,"Discontinued mid-course")</f>
        <v>89</v>
      </c>
      <c r="M10" s="11" t="str">
        <f>IFERROR(__xludf.DUMMYFUNCTION("""COMPUTED_VALUE"""),"EL003")</f>
        <v>EL003</v>
      </c>
      <c r="N10" s="11" t="str">
        <f>IFERROR(__xludf.DUMMYFUNCTION("""COMPUTED_VALUE"""),"Communication 1")</f>
        <v>Communication 1</v>
      </c>
      <c r="O10" s="11" t="str">
        <f>IFERROR(__xludf.DUMMYFUNCTION("""COMPUTED_VALUE"""),"247360")</f>
        <v>247360</v>
      </c>
      <c r="P10" s="11">
        <f>IFERROR(__xludf.DUMMYFUNCTION("""COMPUTED_VALUE"""),10.0)</f>
        <v>10</v>
      </c>
      <c r="Q10" s="11">
        <f>IFERROR(__xludf.DUMMYFUNCTION("""COMPUTED_VALUE"""),10.0)</f>
        <v>10</v>
      </c>
      <c r="R10" s="11">
        <f>IFERROR(__xludf.DUMMYFUNCTION("""COMPUTED_VALUE"""),1.0)</f>
        <v>1</v>
      </c>
      <c r="S10" s="11" t="str">
        <f>IFERROR(__xludf.DUMMYFUNCTION("""COMPUTED_VALUE"""),"Inactive")</f>
        <v>Inactive</v>
      </c>
      <c r="T10" s="11" t="str">
        <f>IFERROR(__xludf.DUMMYFUNCTION("""COMPUTED_VALUE"""),"Discontinued mid-course")</f>
        <v>Discontinued mid-course</v>
      </c>
      <c r="U10" s="11" t="str">
        <f>IFERROR(__xludf.DUMMYFUNCTION("""COMPUTED_VALUE"""),"Nghỉ giữa chừng")</f>
        <v>Nghỉ giữa chừng</v>
      </c>
    </row>
    <row r="11">
      <c r="A11" s="11" t="str">
        <f>IFERROR(__xludf.DUMMYFUNCTION("""COMPUTED_VALUE"""),"EL001")</f>
        <v>EL001</v>
      </c>
      <c r="B11" s="11" t="str">
        <f>IFERROR(__xludf.DUMMYFUNCTION("""COMPUTED_VALUE"""),"Communication 2")</f>
        <v>Communication 2</v>
      </c>
      <c r="C11" s="11" t="str">
        <f>IFERROR(__xludf.DUMMYFUNCTION("""COMPUTED_VALUE"""),"143079")</f>
        <v>143079</v>
      </c>
      <c r="D11" s="11">
        <f>IFERROR(__xludf.DUMMYFUNCTION("""COMPUTED_VALUE"""),15.0)</f>
        <v>15</v>
      </c>
      <c r="E11" s="11">
        <f>IFERROR(VLOOKUP(B11,COURSE_PLAN!A:B,2,FALSE),"")</f>
        <v>16</v>
      </c>
      <c r="F11" s="11">
        <f t="shared" si="1"/>
        <v>0.9375</v>
      </c>
      <c r="G11" s="11" t="str">
        <f>IFERROR(VLOOKUP(C11,STUDENTS!A:E,5,FALSE),"")</f>
        <v>Active</v>
      </c>
      <c r="H11" s="11" t="str">
        <f>IFERROR(VLOOKUP(C11,STUDENTS!A:M,13,FALSE),"")</f>
        <v/>
      </c>
      <c r="I11" s="11" t="str">
        <f>IF(D11="","",IF(AND(VLOOKUP(C11,STUDENTS!$A:$R,17,FALSE)=A11,VLOOKUP(C11,STUDENTS!$A:$R,18,FALSE)=B11,G11="Active"),"Đang học",IF(F11&gt;=0.8,IF(G11="Active","Tiếp tục khóa sau",IF(G11="Waiting for class","Chờ lớp mới",IF(G11="Inactive",IF(IFERROR(H11,"")="Discontinued mid-course","Nghỉ giữa chừng","Hoàn thành rồi nghỉ luôn"),""))),IF(G11="Inactive","Nghỉ giữa chừng","Đang học"))))</f>
        <v>Tiếp tục khóa sau</v>
      </c>
      <c r="M11" s="11" t="str">
        <f>IFERROR(__xludf.DUMMYFUNCTION("""COMPUTED_VALUE"""),"EL005")</f>
        <v>EL005</v>
      </c>
      <c r="N11" s="11" t="str">
        <f>IFERROR(__xludf.DUMMYFUNCTION("""COMPUTED_VALUE"""),"Communication 1")</f>
        <v>Communication 1</v>
      </c>
      <c r="O11" s="11" t="str">
        <f>IFERROR(__xludf.DUMMYFUNCTION("""COMPUTED_VALUE"""),"237182")</f>
        <v>237182</v>
      </c>
      <c r="P11" s="11">
        <f>IFERROR(__xludf.DUMMYFUNCTION("""COMPUTED_VALUE"""),10.0)</f>
        <v>10</v>
      </c>
      <c r="Q11" s="11">
        <f>IFERROR(__xludf.DUMMYFUNCTION("""COMPUTED_VALUE"""),10.0)</f>
        <v>10</v>
      </c>
      <c r="R11" s="11">
        <f>IFERROR(__xludf.DUMMYFUNCTION("""COMPUTED_VALUE"""),1.0)</f>
        <v>1</v>
      </c>
      <c r="S11" s="11" t="str">
        <f>IFERROR(__xludf.DUMMYFUNCTION("""COMPUTED_VALUE"""),"Inactive")</f>
        <v>Inactive</v>
      </c>
      <c r="T11" s="11" t="str">
        <f>IFERROR(__xludf.DUMMYFUNCTION("""COMPUTED_VALUE"""),"Discontinued mid-course")</f>
        <v>Discontinued mid-course</v>
      </c>
      <c r="U11" s="11" t="str">
        <f>IFERROR(__xludf.DUMMYFUNCTION("""COMPUTED_VALUE"""),"Nghỉ giữa chừng")</f>
        <v>Nghỉ giữa chừng</v>
      </c>
    </row>
    <row r="12">
      <c r="A12" s="11" t="str">
        <f>IFERROR(__xludf.DUMMYFUNCTION("""COMPUTED_VALUE"""),"EL001")</f>
        <v>EL001</v>
      </c>
      <c r="B12" s="11" t="str">
        <f>IFERROR(__xludf.DUMMYFUNCTION("""COMPUTED_VALUE"""),"Communication 2")</f>
        <v>Communication 2</v>
      </c>
      <c r="C12" s="11" t="str">
        <f>IFERROR(__xludf.DUMMYFUNCTION("""COMPUTED_VALUE"""),"173230")</f>
        <v>173230</v>
      </c>
      <c r="D12" s="11">
        <f>IFERROR(__xludf.DUMMYFUNCTION("""COMPUTED_VALUE"""),15.0)</f>
        <v>15</v>
      </c>
      <c r="E12" s="11">
        <f>IFERROR(VLOOKUP(B12,COURSE_PLAN!A:B,2,FALSE),"")</f>
        <v>16</v>
      </c>
      <c r="F12" s="11">
        <f t="shared" si="1"/>
        <v>0.9375</v>
      </c>
      <c r="G12" s="11" t="str">
        <f>IFERROR(VLOOKUP(C12,STUDENTS!A:E,5,FALSE),"")</f>
        <v>Active</v>
      </c>
      <c r="H12" s="11" t="str">
        <f>IFERROR(VLOOKUP(C12,STUDENTS!A:M,13,FALSE),"")</f>
        <v/>
      </c>
      <c r="I12" s="11" t="str">
        <f>IF(D12="","",IF(AND(VLOOKUP(C12,STUDENTS!$A:$R,17,FALSE)=A12,VLOOKUP(C12,STUDENTS!$A:$R,18,FALSE)=B12,G12="Active"),"Đang học",IF(F12&gt;=0.8,IF(G12="Active","Tiếp tục khóa sau",IF(G12="Waiting for class","Chờ lớp mới",IF(G12="Inactive",IF(IFERROR(H12,"")="Discontinued mid-course","Nghỉ giữa chừng","Hoàn thành rồi nghỉ luôn"),""))),IF(G12="Inactive","Nghỉ giữa chừng","Đang học"))))</f>
        <v>Tiếp tục khóa sau</v>
      </c>
      <c r="M12" s="11" t="str">
        <f>IFERROR(__xludf.DUMMYFUNCTION("""COMPUTED_VALUE"""),"EL006")</f>
        <v>EL006</v>
      </c>
      <c r="N12" s="11" t="str">
        <f>IFERROR(__xludf.DUMMYFUNCTION("""COMPUTED_VALUE"""),"Communication 1")</f>
        <v>Communication 1</v>
      </c>
      <c r="O12" s="11" t="str">
        <f>IFERROR(__xludf.DUMMYFUNCTION("""COMPUTED_VALUE"""),"237043")</f>
        <v>237043</v>
      </c>
      <c r="P12" s="11">
        <f>IFERROR(__xludf.DUMMYFUNCTION("""COMPUTED_VALUE"""),10.0)</f>
        <v>10</v>
      </c>
      <c r="Q12" s="11">
        <f>IFERROR(__xludf.DUMMYFUNCTION("""COMPUTED_VALUE"""),10.0)</f>
        <v>10</v>
      </c>
      <c r="R12" s="11">
        <f>IFERROR(__xludf.DUMMYFUNCTION("""COMPUTED_VALUE"""),1.0)</f>
        <v>1</v>
      </c>
      <c r="S12" s="11" t="str">
        <f>IFERROR(__xludf.DUMMYFUNCTION("""COMPUTED_VALUE"""),"Inactive")</f>
        <v>Inactive</v>
      </c>
      <c r="T12" s="11" t="str">
        <f>IFERROR(__xludf.DUMMYFUNCTION("""COMPUTED_VALUE"""),"Discontinued mid-course")</f>
        <v>Discontinued mid-course</v>
      </c>
      <c r="U12" s="11" t="str">
        <f>IFERROR(__xludf.DUMMYFUNCTION("""COMPUTED_VALUE"""),"Nghỉ giữa chừng")</f>
        <v>Nghỉ giữa chừng</v>
      </c>
    </row>
    <row r="13">
      <c r="A13" s="11" t="str">
        <f>IFERROR(__xludf.DUMMYFUNCTION("""COMPUTED_VALUE"""),"EL001")</f>
        <v>EL001</v>
      </c>
      <c r="B13" s="11" t="str">
        <f>IFERROR(__xludf.DUMMYFUNCTION("""COMPUTED_VALUE"""),"Communication 2")</f>
        <v>Communication 2</v>
      </c>
      <c r="C13" s="11" t="str">
        <f>IFERROR(__xludf.DUMMYFUNCTION("""COMPUTED_VALUE"""),"227122")</f>
        <v>227122</v>
      </c>
      <c r="D13" s="11">
        <f>IFERROR(__xludf.DUMMYFUNCTION("""COMPUTED_VALUE"""),15.0)</f>
        <v>15</v>
      </c>
      <c r="E13" s="11">
        <f>IFERROR(VLOOKUP(B13,COURSE_PLAN!A:B,2,FALSE),"")</f>
        <v>16</v>
      </c>
      <c r="F13" s="11">
        <f t="shared" si="1"/>
        <v>0.9375</v>
      </c>
      <c r="G13" s="11" t="str">
        <f>IFERROR(VLOOKUP(C13,STUDENTS!A:E,5,FALSE),"")</f>
        <v>Active</v>
      </c>
      <c r="H13" s="11" t="str">
        <f>IFERROR(VLOOKUP(C13,STUDENTS!A:M,13,FALSE),"")</f>
        <v/>
      </c>
      <c r="I13" s="11" t="str">
        <f>IF(D13="","",IF(AND(VLOOKUP(C13,STUDENTS!$A:$R,17,FALSE)=A13,VLOOKUP(C13,STUDENTS!$A:$R,18,FALSE)=B13,G13="Active"),"Đang học",IF(F13&gt;=0.8,IF(G13="Active","Tiếp tục khóa sau",IF(G13="Waiting for class","Chờ lớp mới",IF(G13="Inactive",IF(IFERROR(H13,"")="Discontinued mid-course","Nghỉ giữa chừng","Hoàn thành rồi nghỉ luôn"),""))),IF(G13="Inactive","Nghỉ giữa chừng","Đang học"))))</f>
        <v>Tiếp tục khóa sau</v>
      </c>
      <c r="J13" s="11">
        <f>COUNTIF(STUDENTS!M:M,"Discontinued mid-course")</f>
        <v>89</v>
      </c>
      <c r="K13" s="11" t="str">
        <f>SUMPRODUCT((ATT_COUNT!I2:I1000="Nghỉ giữa chừng")/COUNTIFS(ATT_COUNT!I2:I1000,"Nghỉ giữa chừng",ATT_COUNT!C2:C1000,ATT_COUNT!C2:C1000))</f>
        <v>#DIV/0!</v>
      </c>
      <c r="L13" s="11" t="str">
        <f>IFERROR(__xludf.DUMMYFUNCTION("FILTER(ATT_COUNT!A:C,ATT_COUNT!I:I=""Nghỉ giữa chừng"",COUNTIF(STUDENTS!M:M,VLOOKUP(ATT_COUNT!C:C,STUDENTS!A:M,13,FALSE))=0)"),"#N/A")</f>
        <v>#N/A</v>
      </c>
      <c r="M13" s="11" t="str">
        <f>IFERROR(__xludf.DUMMYFUNCTION("""COMPUTED_VALUE"""),"EL007")</f>
        <v>EL007</v>
      </c>
      <c r="N13" s="11" t="str">
        <f>IFERROR(__xludf.DUMMYFUNCTION("""COMPUTED_VALUE"""),"Communication 1")</f>
        <v>Communication 1</v>
      </c>
      <c r="O13" s="11" t="str">
        <f>IFERROR(__xludf.DUMMYFUNCTION("""COMPUTED_VALUE"""),"247190")</f>
        <v>247190</v>
      </c>
      <c r="P13" s="11">
        <f>IFERROR(__xludf.DUMMYFUNCTION("""COMPUTED_VALUE"""),12.0)</f>
        <v>12</v>
      </c>
      <c r="Q13" s="11">
        <f>IFERROR(__xludf.DUMMYFUNCTION("""COMPUTED_VALUE"""),10.0)</f>
        <v>10</v>
      </c>
      <c r="R13" s="11">
        <f>IFERROR(__xludf.DUMMYFUNCTION("""COMPUTED_VALUE"""),1.2)</f>
        <v>1.2</v>
      </c>
      <c r="S13" s="11" t="str">
        <f>IFERROR(__xludf.DUMMYFUNCTION("""COMPUTED_VALUE"""),"Inactive")</f>
        <v>Inactive</v>
      </c>
      <c r="T13" s="11" t="str">
        <f>IFERROR(__xludf.DUMMYFUNCTION("""COMPUTED_VALUE"""),"Discontinued mid-course")</f>
        <v>Discontinued mid-course</v>
      </c>
      <c r="U13" s="11" t="str">
        <f>IFERROR(__xludf.DUMMYFUNCTION("""COMPUTED_VALUE"""),"Nghỉ giữa chừng")</f>
        <v>Nghỉ giữa chừng</v>
      </c>
    </row>
    <row r="14">
      <c r="A14" s="11" t="str">
        <f>IFERROR(__xludf.DUMMYFUNCTION("""COMPUTED_VALUE"""),"EL001")</f>
        <v>EL001</v>
      </c>
      <c r="B14" s="11" t="str">
        <f>IFERROR(__xludf.DUMMYFUNCTION("""COMPUTED_VALUE"""),"Communication 2")</f>
        <v>Communication 2</v>
      </c>
      <c r="C14" s="11" t="str">
        <f>IFERROR(__xludf.DUMMYFUNCTION("""COMPUTED_VALUE"""),"227148")</f>
        <v>227148</v>
      </c>
      <c r="D14" s="11">
        <f>IFERROR(__xludf.DUMMYFUNCTION("""COMPUTED_VALUE"""),15.0)</f>
        <v>15</v>
      </c>
      <c r="E14" s="11">
        <f>IFERROR(VLOOKUP(B14,COURSE_PLAN!A:B,2,FALSE),"")</f>
        <v>16</v>
      </c>
      <c r="F14" s="11">
        <f t="shared" si="1"/>
        <v>0.9375</v>
      </c>
      <c r="G14" s="11" t="str">
        <f>IFERROR(VLOOKUP(C14,STUDENTS!A:E,5,FALSE),"")</f>
        <v>Active</v>
      </c>
      <c r="H14" s="11" t="str">
        <f>IFERROR(VLOOKUP(C14,STUDENTS!A:M,13,FALSE),"")</f>
        <v/>
      </c>
      <c r="I14" s="11" t="str">
        <f>IF(D14="","",IF(AND(VLOOKUP(C14,STUDENTS!$A:$R,17,FALSE)=A14,VLOOKUP(C14,STUDENTS!$A:$R,18,FALSE)=B14,G14="Active"),"Đang học",IF(F14&gt;=0.8,IF(G14="Active","Tiếp tục khóa sau",IF(G14="Waiting for class","Chờ lớp mới",IF(G14="Inactive",IF(IFERROR(H14,"")="Discontinued mid-course","Nghỉ giữa chừng","Hoàn thành rồi nghỉ luôn"),""))),IF(G14="Inactive","Nghỉ giữa chừng","Đang học"))))</f>
        <v>Tiếp tục khóa sau</v>
      </c>
      <c r="J14" s="11" t="str">
        <f>SUMPRODUCT((ATT_COUNT!I2:I1000="Nghỉ giữa chừng")/COUNTIFS(ATT_COUNT!I2:I1000,"Nghỉ giữa chừng",ATT_COUNT!C2:C1000,ATT_COUNT!C2:C1000))</f>
        <v>#DIV/0!</v>
      </c>
      <c r="M14" s="11" t="str">
        <f>IFERROR(__xludf.DUMMYFUNCTION("""COMPUTED_VALUE"""),"EL007")</f>
        <v>EL007</v>
      </c>
      <c r="N14" s="11" t="str">
        <f>IFERROR(__xludf.DUMMYFUNCTION("""COMPUTED_VALUE"""),"Communication 1")</f>
        <v>Communication 1</v>
      </c>
      <c r="O14" s="11" t="str">
        <f>IFERROR(__xludf.DUMMYFUNCTION("""COMPUTED_VALUE"""),"247191")</f>
        <v>247191</v>
      </c>
      <c r="P14" s="11">
        <f>IFERROR(__xludf.DUMMYFUNCTION("""COMPUTED_VALUE"""),12.0)</f>
        <v>12</v>
      </c>
      <c r="Q14" s="11">
        <f>IFERROR(__xludf.DUMMYFUNCTION("""COMPUTED_VALUE"""),10.0)</f>
        <v>10</v>
      </c>
      <c r="R14" s="11">
        <f>IFERROR(__xludf.DUMMYFUNCTION("""COMPUTED_VALUE"""),1.2)</f>
        <v>1.2</v>
      </c>
      <c r="S14" s="11" t="str">
        <f>IFERROR(__xludf.DUMMYFUNCTION("""COMPUTED_VALUE"""),"Inactive")</f>
        <v>Inactive</v>
      </c>
      <c r="T14" s="11" t="str">
        <f>IFERROR(__xludf.DUMMYFUNCTION("""COMPUTED_VALUE"""),"Discontinued mid-course")</f>
        <v>Discontinued mid-course</v>
      </c>
      <c r="U14" s="11" t="str">
        <f>IFERROR(__xludf.DUMMYFUNCTION("""COMPUTED_VALUE"""),"Nghỉ giữa chừng")</f>
        <v>Nghỉ giữa chừng</v>
      </c>
    </row>
    <row r="15">
      <c r="A15" s="11" t="str">
        <f>IFERROR(__xludf.DUMMYFUNCTION("""COMPUTED_VALUE"""),"EL001")</f>
        <v>EL001</v>
      </c>
      <c r="B15" s="11" t="str">
        <f>IFERROR(__xludf.DUMMYFUNCTION("""COMPUTED_VALUE"""),"Communication 2")</f>
        <v>Communication 2</v>
      </c>
      <c r="C15" s="11" t="str">
        <f>IFERROR(__xludf.DUMMYFUNCTION("""COMPUTED_VALUE"""),"227155")</f>
        <v>227155</v>
      </c>
      <c r="D15" s="11">
        <f>IFERROR(__xludf.DUMMYFUNCTION("""COMPUTED_VALUE"""),15.0)</f>
        <v>15</v>
      </c>
      <c r="E15" s="11">
        <f>IFERROR(VLOOKUP(B15,COURSE_PLAN!A:B,2,FALSE),"")</f>
        <v>16</v>
      </c>
      <c r="F15" s="11">
        <f t="shared" si="1"/>
        <v>0.9375</v>
      </c>
      <c r="G15" s="11" t="str">
        <f>IFERROR(VLOOKUP(C15,STUDENTS!A:E,5,FALSE),"")</f>
        <v>Active</v>
      </c>
      <c r="H15" s="11" t="str">
        <f>IFERROR(VLOOKUP(C15,STUDENTS!A:M,13,FALSE),"")</f>
        <v/>
      </c>
      <c r="I15" s="11" t="str">
        <f>IF(D15="","",IF(AND(VLOOKUP(C15,STUDENTS!$A:$R,17,FALSE)=A15,VLOOKUP(C15,STUDENTS!$A:$R,18,FALSE)=B15,G15="Active"),"Đang học",IF(F15&gt;=0.8,IF(G15="Active","Tiếp tục khóa sau",IF(G15="Waiting for class","Chờ lớp mới",IF(G15="Inactive",IF(IFERROR(H15,"")="Discontinued mid-course","Nghỉ giữa chừng","Hoàn thành rồi nghỉ luôn"),""))),IF(G15="Inactive","Nghỉ giữa chừng","Đang học"))))</f>
        <v>Tiếp tục khóa sau</v>
      </c>
      <c r="J15" s="11">
        <f>IFERROR(__xludf.DUMMYFUNCTION("ROWS(UNIQUE(FILTER(ATT_COUNT!C:C,ATT_COUNT!I:I=""Nghỉ giữa chừng"")))"),106.0)</f>
        <v>106</v>
      </c>
      <c r="M15" s="11" t="str">
        <f>IFERROR(__xludf.DUMMYFUNCTION("""COMPUTED_VALUE"""),"EL007")</f>
        <v>EL007</v>
      </c>
      <c r="N15" s="11" t="str">
        <f>IFERROR(__xludf.DUMMYFUNCTION("""COMPUTED_VALUE"""),"Communication 1")</f>
        <v>Communication 1</v>
      </c>
      <c r="O15" s="11" t="str">
        <f>IFERROR(__xludf.DUMMYFUNCTION("""COMPUTED_VALUE"""),"247198")</f>
        <v>247198</v>
      </c>
      <c r="P15" s="11">
        <f>IFERROR(__xludf.DUMMYFUNCTION("""COMPUTED_VALUE"""),12.0)</f>
        <v>12</v>
      </c>
      <c r="Q15" s="11">
        <f>IFERROR(__xludf.DUMMYFUNCTION("""COMPUTED_VALUE"""),10.0)</f>
        <v>10</v>
      </c>
      <c r="R15" s="11">
        <f>IFERROR(__xludf.DUMMYFUNCTION("""COMPUTED_VALUE"""),1.2)</f>
        <v>1.2</v>
      </c>
      <c r="S15" s="11" t="str">
        <f>IFERROR(__xludf.DUMMYFUNCTION("""COMPUTED_VALUE"""),"Inactive")</f>
        <v>Inactive</v>
      </c>
      <c r="T15" s="11" t="str">
        <f>IFERROR(__xludf.DUMMYFUNCTION("""COMPUTED_VALUE"""),"Discontinued mid-course")</f>
        <v>Discontinued mid-course</v>
      </c>
      <c r="U15" s="11" t="str">
        <f>IFERROR(__xludf.DUMMYFUNCTION("""COMPUTED_VALUE"""),"Nghỉ giữa chừng")</f>
        <v>Nghỉ giữa chừng</v>
      </c>
    </row>
    <row r="16">
      <c r="A16" s="11" t="str">
        <f>IFERROR(__xludf.DUMMYFUNCTION("""COMPUTED_VALUE"""),"EL001")</f>
        <v>EL001</v>
      </c>
      <c r="B16" s="11" t="str">
        <f>IFERROR(__xludf.DUMMYFUNCTION("""COMPUTED_VALUE"""),"Communication 2")</f>
        <v>Communication 2</v>
      </c>
      <c r="C16" s="11" t="str">
        <f>IFERROR(__xludf.DUMMYFUNCTION("""COMPUTED_VALUE"""),"237050")</f>
        <v>237050</v>
      </c>
      <c r="D16" s="11">
        <f>IFERROR(__xludf.DUMMYFUNCTION("""COMPUTED_VALUE"""),15.0)</f>
        <v>15</v>
      </c>
      <c r="E16" s="11">
        <f>IFERROR(VLOOKUP(B16,COURSE_PLAN!A:B,2,FALSE),"")</f>
        <v>16</v>
      </c>
      <c r="F16" s="11">
        <f t="shared" si="1"/>
        <v>0.9375</v>
      </c>
      <c r="G16" s="11" t="str">
        <f>IFERROR(VLOOKUP(C16,STUDENTS!A:E,5,FALSE),"")</f>
        <v>Active</v>
      </c>
      <c r="H16" s="11" t="str">
        <f>IFERROR(VLOOKUP(C16,STUDENTS!A:M,13,FALSE),"")</f>
        <v/>
      </c>
      <c r="I16" s="11" t="str">
        <f>IF(D16="","",IF(AND(VLOOKUP(C16,STUDENTS!$A:$R,17,FALSE)=A16,VLOOKUP(C16,STUDENTS!$A:$R,18,FALSE)=B16,G16="Active"),"Đang học",IF(F16&gt;=0.8,IF(G16="Active","Tiếp tục khóa sau",IF(G16="Waiting for class","Chờ lớp mới",IF(G16="Inactive",IF(IFERROR(H16,"")="Discontinued mid-course","Nghỉ giữa chừng","Hoàn thành rồi nghỉ luôn"),""))),IF(G16="Inactive","Nghỉ giữa chừng","Đang học"))))</f>
        <v>Tiếp tục khóa sau</v>
      </c>
      <c r="M16" s="11" t="str">
        <f>IFERROR(__xludf.DUMMYFUNCTION("""COMPUTED_VALUE"""),"EL007")</f>
        <v>EL007</v>
      </c>
      <c r="N16" s="11" t="str">
        <f>IFERROR(__xludf.DUMMYFUNCTION("""COMPUTED_VALUE"""),"Communication 2")</f>
        <v>Communication 2</v>
      </c>
      <c r="O16" s="11" t="str">
        <f>IFERROR(__xludf.DUMMYFUNCTION("""COMPUTED_VALUE"""),"213891")</f>
        <v>213891</v>
      </c>
      <c r="P16" s="11">
        <f>IFERROR(__xludf.DUMMYFUNCTION("""COMPUTED_VALUE"""),15.0)</f>
        <v>15</v>
      </c>
      <c r="Q16" s="11">
        <f>IFERROR(__xludf.DUMMYFUNCTION("""COMPUTED_VALUE"""),16.0)</f>
        <v>16</v>
      </c>
      <c r="R16" s="11">
        <f>IFERROR(__xludf.DUMMYFUNCTION("""COMPUTED_VALUE"""),0.9375)</f>
        <v>0.9375</v>
      </c>
      <c r="S16" s="11" t="str">
        <f>IFERROR(__xludf.DUMMYFUNCTION("""COMPUTED_VALUE"""),"Inactive")</f>
        <v>Inactive</v>
      </c>
      <c r="T16" s="11" t="str">
        <f>IFERROR(__xludf.DUMMYFUNCTION("""COMPUTED_VALUE"""),"Discontinued mid-course")</f>
        <v>Discontinued mid-course</v>
      </c>
      <c r="U16" s="11" t="str">
        <f>IFERROR(__xludf.DUMMYFUNCTION("""COMPUTED_VALUE"""),"Nghỉ giữa chừng")</f>
        <v>Nghỉ giữa chừng</v>
      </c>
    </row>
    <row r="17">
      <c r="A17" s="11" t="str">
        <f>IFERROR(__xludf.DUMMYFUNCTION("""COMPUTED_VALUE"""),"EL002")</f>
        <v>EL002</v>
      </c>
      <c r="B17" s="11" t="str">
        <f>IFERROR(__xludf.DUMMYFUNCTION("""COMPUTED_VALUE"""),"Communication 1")</f>
        <v>Communication 1</v>
      </c>
      <c r="C17" s="11" t="str">
        <f>IFERROR(__xludf.DUMMYFUNCTION("""COMPUTED_VALUE"""),"193547")</f>
        <v>193547</v>
      </c>
      <c r="D17" s="11">
        <f>IFERROR(__xludf.DUMMYFUNCTION("""COMPUTED_VALUE"""),10.0)</f>
        <v>10</v>
      </c>
      <c r="E17" s="11">
        <f>IFERROR(VLOOKUP(B17,COURSE_PLAN!A:B,2,FALSE),"")</f>
        <v>10</v>
      </c>
      <c r="F17" s="11">
        <f t="shared" si="1"/>
        <v>1</v>
      </c>
      <c r="G17" s="11" t="str">
        <f>IFERROR(VLOOKUP(C17,STUDENTS!A:E,5,FALSE),"")</f>
        <v>Inactive</v>
      </c>
      <c r="H17" s="11" t="str">
        <f>IFERROR(VLOOKUP(C17,STUDENTS!A:M,13,FALSE),"")</f>
        <v>Completed (no continuation)</v>
      </c>
      <c r="I17" s="11" t="str">
        <f>IF(D17="","",IF(AND(VLOOKUP(C17,STUDENTS!$A:$R,17,FALSE)=A17,VLOOKUP(C17,STUDENTS!$A:$R,18,FALSE)=B17,G17="Active"),"Đang học",IF(F17&gt;=0.8,IF(G17="Active","Tiếp tục khóa sau",IF(G17="Waiting for class","Chờ lớp mới",IF(G17="Inactive",IF(IFERROR(H17,"")="Discontinued mid-course","Nghỉ giữa chừng","Hoàn thành rồi nghỉ luôn"),""))),IF(G17="Inactive","Nghỉ giữa chừng","Đang học"))))</f>
        <v>Hoàn thành rồi nghỉ luôn</v>
      </c>
      <c r="J17" s="11" t="str">
        <f t="array" ref="J17:J20">UNIQUE(STUDENTS!M2:M309)</f>
        <v>Completed (no continuation)</v>
      </c>
      <c r="M17" s="11" t="str">
        <f>IFERROR(__xludf.DUMMYFUNCTION("""COMPUTED_VALUE"""),"EL007")</f>
        <v>EL007</v>
      </c>
      <c r="N17" s="11" t="str">
        <f>IFERROR(__xludf.DUMMYFUNCTION("""COMPUTED_VALUE"""),"Communication 2")</f>
        <v>Communication 2</v>
      </c>
      <c r="O17" s="11" t="str">
        <f>IFERROR(__xludf.DUMMYFUNCTION("""COMPUTED_VALUE"""),"247190")</f>
        <v>247190</v>
      </c>
      <c r="P17" s="11">
        <f>IFERROR(__xludf.DUMMYFUNCTION("""COMPUTED_VALUE"""),14.0)</f>
        <v>14</v>
      </c>
      <c r="Q17" s="11">
        <f>IFERROR(__xludf.DUMMYFUNCTION("""COMPUTED_VALUE"""),16.0)</f>
        <v>16</v>
      </c>
      <c r="R17" s="11">
        <f>IFERROR(__xludf.DUMMYFUNCTION("""COMPUTED_VALUE"""),0.875)</f>
        <v>0.875</v>
      </c>
      <c r="S17" s="11" t="str">
        <f>IFERROR(__xludf.DUMMYFUNCTION("""COMPUTED_VALUE"""),"Inactive")</f>
        <v>Inactive</v>
      </c>
      <c r="T17" s="11" t="str">
        <f>IFERROR(__xludf.DUMMYFUNCTION("""COMPUTED_VALUE"""),"Discontinued mid-course")</f>
        <v>Discontinued mid-course</v>
      </c>
      <c r="U17" s="11" t="str">
        <f>IFERROR(__xludf.DUMMYFUNCTION("""COMPUTED_VALUE"""),"Nghỉ giữa chừng")</f>
        <v>Nghỉ giữa chừng</v>
      </c>
    </row>
    <row r="18">
      <c r="A18" s="11" t="str">
        <f>IFERROR(__xludf.DUMMYFUNCTION("""COMPUTED_VALUE"""),"EL002")</f>
        <v>EL002</v>
      </c>
      <c r="B18" s="11" t="str">
        <f>IFERROR(__xludf.DUMMYFUNCTION("""COMPUTED_VALUE"""),"Communication 1")</f>
        <v>Communication 1</v>
      </c>
      <c r="C18" s="11" t="str">
        <f>IFERROR(__xludf.DUMMYFUNCTION("""COMPUTED_VALUE"""),"247156")</f>
        <v>247156</v>
      </c>
      <c r="D18" s="11">
        <f>IFERROR(__xludf.DUMMYFUNCTION("""COMPUTED_VALUE"""),10.0)</f>
        <v>10</v>
      </c>
      <c r="E18" s="11">
        <f>IFERROR(VLOOKUP(B18,COURSE_PLAN!A:B,2,FALSE),"")</f>
        <v>10</v>
      </c>
      <c r="F18" s="11">
        <f t="shared" si="1"/>
        <v>1</v>
      </c>
      <c r="G18" s="11" t="str">
        <f>IFERROR(VLOOKUP(C18,STUDENTS!A:E,5,FALSE),"")</f>
        <v>Inactive</v>
      </c>
      <c r="H18" s="11" t="str">
        <f>IFERROR(VLOOKUP(C18,STUDENTS!A:M,13,FALSE),"")</f>
        <v>Completed (no continuation)</v>
      </c>
      <c r="I18" s="11" t="str">
        <f>IF(D18="","",IF(AND(VLOOKUP(C18,STUDENTS!$A:$R,17,FALSE)=A18,VLOOKUP(C18,STUDENTS!$A:$R,18,FALSE)=B18,G18="Active"),"Đang học",IF(F18&gt;=0.8,IF(G18="Active","Tiếp tục khóa sau",IF(G18="Waiting for class","Chờ lớp mới",IF(G18="Inactive",IF(IFERROR(H18,"")="Discontinued mid-course","Nghỉ giữa chừng","Hoàn thành rồi nghỉ luôn"),""))),IF(G18="Inactive","Nghỉ giữa chừng","Đang học"))))</f>
        <v>Hoàn thành rồi nghỉ luôn</v>
      </c>
      <c r="J18" s="11" t="s">
        <v>202</v>
      </c>
      <c r="M18" s="11" t="str">
        <f>IFERROR(__xludf.DUMMYFUNCTION("""COMPUTED_VALUE"""),"EL007")</f>
        <v>EL007</v>
      </c>
      <c r="N18" s="11" t="str">
        <f>IFERROR(__xludf.DUMMYFUNCTION("""COMPUTED_VALUE"""),"Communication 2")</f>
        <v>Communication 2</v>
      </c>
      <c r="O18" s="11" t="str">
        <f>IFERROR(__xludf.DUMMYFUNCTION("""COMPUTED_VALUE"""),"247191")</f>
        <v>247191</v>
      </c>
      <c r="P18" s="11">
        <f>IFERROR(__xludf.DUMMYFUNCTION("""COMPUTED_VALUE"""),14.0)</f>
        <v>14</v>
      </c>
      <c r="Q18" s="11">
        <f>IFERROR(__xludf.DUMMYFUNCTION("""COMPUTED_VALUE"""),16.0)</f>
        <v>16</v>
      </c>
      <c r="R18" s="11">
        <f>IFERROR(__xludf.DUMMYFUNCTION("""COMPUTED_VALUE"""),0.875)</f>
        <v>0.875</v>
      </c>
      <c r="S18" s="11" t="str">
        <f>IFERROR(__xludf.DUMMYFUNCTION("""COMPUTED_VALUE"""),"Inactive")</f>
        <v>Inactive</v>
      </c>
      <c r="T18" s="11" t="str">
        <f>IFERROR(__xludf.DUMMYFUNCTION("""COMPUTED_VALUE"""),"Discontinued mid-course")</f>
        <v>Discontinued mid-course</v>
      </c>
      <c r="U18" s="11" t="str">
        <f>IFERROR(__xludf.DUMMYFUNCTION("""COMPUTED_VALUE"""),"Nghỉ giữa chừng")</f>
        <v>Nghỉ giữa chừng</v>
      </c>
    </row>
    <row r="19">
      <c r="A19" s="11" t="str">
        <f>IFERROR(__xludf.DUMMYFUNCTION("""COMPUTED_VALUE"""),"EL002")</f>
        <v>EL002</v>
      </c>
      <c r="B19" s="11" t="str">
        <f>IFERROR(__xludf.DUMMYFUNCTION("""COMPUTED_VALUE"""),"Communication 1")</f>
        <v>Communication 1</v>
      </c>
      <c r="C19" s="11" t="str">
        <f>IFERROR(__xludf.DUMMYFUNCTION("""COMPUTED_VALUE"""),"247192")</f>
        <v>247192</v>
      </c>
      <c r="D19" s="11">
        <f>IFERROR(__xludf.DUMMYFUNCTION("""COMPUTED_VALUE"""),10.0)</f>
        <v>10</v>
      </c>
      <c r="E19" s="11">
        <f>IFERROR(VLOOKUP(B19,COURSE_PLAN!A:B,2,FALSE),"")</f>
        <v>10</v>
      </c>
      <c r="F19" s="11">
        <f t="shared" si="1"/>
        <v>1</v>
      </c>
      <c r="G19" s="11" t="str">
        <f>IFERROR(VLOOKUP(C19,STUDENTS!A:E,5,FALSE),"")</f>
        <v>Inactive</v>
      </c>
      <c r="H19" s="11" t="str">
        <f>IFERROR(VLOOKUP(C19,STUDENTS!A:M,13,FALSE),"")</f>
        <v>Completed (no continuation)</v>
      </c>
      <c r="I19" s="11" t="str">
        <f>IF(D19="","",IF(AND(VLOOKUP(C19,STUDENTS!$A:$R,17,FALSE)=A19,VLOOKUP(C19,STUDENTS!$A:$R,18,FALSE)=B19,G19="Active"),"Đang học",IF(F19&gt;=0.8,IF(G19="Active","Tiếp tục khóa sau",IF(G19="Waiting for class","Chờ lớp mới",IF(G19="Inactive",IF(IFERROR(H19,"")="Discontinued mid-course","Nghỉ giữa chừng","Hoàn thành rồi nghỉ luôn"),""))),IF(G19="Inactive","Nghỉ giữa chừng","Đang học"))))</f>
        <v>Hoàn thành rồi nghỉ luôn</v>
      </c>
      <c r="J19" s="11" t="s">
        <v>37</v>
      </c>
      <c r="M19" s="11" t="str">
        <f>IFERROR(__xludf.DUMMYFUNCTION("""COMPUTED_VALUE"""),"EL007")</f>
        <v>EL007</v>
      </c>
      <c r="N19" s="11" t="str">
        <f>IFERROR(__xludf.DUMMYFUNCTION("""COMPUTED_VALUE"""),"Communication 2")</f>
        <v>Communication 2</v>
      </c>
      <c r="O19" s="11" t="str">
        <f>IFERROR(__xludf.DUMMYFUNCTION("""COMPUTED_VALUE"""),"247198")</f>
        <v>247198</v>
      </c>
      <c r="P19" s="11">
        <f>IFERROR(__xludf.DUMMYFUNCTION("""COMPUTED_VALUE"""),14.0)</f>
        <v>14</v>
      </c>
      <c r="Q19" s="11">
        <f>IFERROR(__xludf.DUMMYFUNCTION("""COMPUTED_VALUE"""),16.0)</f>
        <v>16</v>
      </c>
      <c r="R19" s="11">
        <f>IFERROR(__xludf.DUMMYFUNCTION("""COMPUTED_VALUE"""),0.875)</f>
        <v>0.875</v>
      </c>
      <c r="S19" s="11" t="str">
        <f>IFERROR(__xludf.DUMMYFUNCTION("""COMPUTED_VALUE"""),"Inactive")</f>
        <v>Inactive</v>
      </c>
      <c r="T19" s="11" t="str">
        <f>IFERROR(__xludf.DUMMYFUNCTION("""COMPUTED_VALUE"""),"Discontinued mid-course")</f>
        <v>Discontinued mid-course</v>
      </c>
      <c r="U19" s="11" t="str">
        <f>IFERROR(__xludf.DUMMYFUNCTION("""COMPUTED_VALUE"""),"Nghỉ giữa chừng")</f>
        <v>Nghỉ giữa chừng</v>
      </c>
    </row>
    <row r="20">
      <c r="A20" s="11" t="str">
        <f>IFERROR(__xludf.DUMMYFUNCTION("""COMPUTED_VALUE"""),"EL002")</f>
        <v>EL002</v>
      </c>
      <c r="B20" s="11" t="str">
        <f>IFERROR(__xludf.DUMMYFUNCTION("""COMPUTED_VALUE"""),"Communication 1")</f>
        <v>Communication 1</v>
      </c>
      <c r="C20" s="11" t="str">
        <f>IFERROR(__xludf.DUMMYFUNCTION("""COMPUTED_VALUE"""),"247195")</f>
        <v>247195</v>
      </c>
      <c r="D20" s="11">
        <f>IFERROR(__xludf.DUMMYFUNCTION("""COMPUTED_VALUE"""),10.0)</f>
        <v>10</v>
      </c>
      <c r="E20" s="11">
        <f>IFERROR(VLOOKUP(B20,COURSE_PLAN!A:B,2,FALSE),"")</f>
        <v>10</v>
      </c>
      <c r="F20" s="11">
        <f t="shared" si="1"/>
        <v>1</v>
      </c>
      <c r="G20" s="11" t="str">
        <f>IFERROR(VLOOKUP(C20,STUDENTS!A:E,5,FALSE),"")</f>
        <v>Inactive</v>
      </c>
      <c r="H20" s="11" t="str">
        <f>IFERROR(VLOOKUP(C20,STUDENTS!A:M,13,FALSE),"")</f>
        <v>Completed (no continuation)</v>
      </c>
      <c r="I20" s="11" t="str">
        <f>IF(D20="","",IF(AND(VLOOKUP(C20,STUDENTS!$A:$R,17,FALSE)=A20,VLOOKUP(C20,STUDENTS!$A:$R,18,FALSE)=B20,G20="Active"),"Đang học",IF(F20&gt;=0.8,IF(G20="Active","Tiếp tục khóa sau",IF(G20="Waiting for class","Chờ lớp mới",IF(G20="Inactive",IF(IFERROR(H20,"")="Discontinued mid-course","Nghỉ giữa chừng","Hoàn thành rồi nghỉ luôn"),""))),IF(G20="Inactive","Nghỉ giữa chừng","Đang học"))))</f>
        <v>Hoàn thành rồi nghỉ luôn</v>
      </c>
      <c r="J20" s="11"/>
      <c r="M20" s="11" t="str">
        <f>IFERROR(__xludf.DUMMYFUNCTION("""COMPUTED_VALUE"""),"EL007")</f>
        <v>EL007</v>
      </c>
      <c r="N20" s="11" t="str">
        <f>IFERROR(__xludf.DUMMYFUNCTION("""COMPUTED_VALUE"""),"Communication 2")</f>
        <v>Communication 2</v>
      </c>
      <c r="O20" s="11" t="str">
        <f>IFERROR(__xludf.DUMMYFUNCTION("""COMPUTED_VALUE"""),"247389")</f>
        <v>247389</v>
      </c>
      <c r="P20" s="11">
        <f>IFERROR(__xludf.DUMMYFUNCTION("""COMPUTED_VALUE"""),16.0)</f>
        <v>16</v>
      </c>
      <c r="Q20" s="11">
        <f>IFERROR(__xludf.DUMMYFUNCTION("""COMPUTED_VALUE"""),16.0)</f>
        <v>16</v>
      </c>
      <c r="R20" s="11">
        <f>IFERROR(__xludf.DUMMYFUNCTION("""COMPUTED_VALUE"""),1.0)</f>
        <v>1</v>
      </c>
      <c r="S20" s="11" t="str">
        <f>IFERROR(__xludf.DUMMYFUNCTION("""COMPUTED_VALUE"""),"Inactive")</f>
        <v>Inactive</v>
      </c>
      <c r="T20" s="11" t="str">
        <f>IFERROR(__xludf.DUMMYFUNCTION("""COMPUTED_VALUE"""),"Discontinued mid-course")</f>
        <v>Discontinued mid-course</v>
      </c>
      <c r="U20" s="11" t="str">
        <f>IFERROR(__xludf.DUMMYFUNCTION("""COMPUTED_VALUE"""),"Nghỉ giữa chừng")</f>
        <v>Nghỉ giữa chừng</v>
      </c>
    </row>
    <row r="21">
      <c r="A21" s="11" t="str">
        <f>IFERROR(__xludf.DUMMYFUNCTION("""COMPUTED_VALUE"""),"EL002")</f>
        <v>EL002</v>
      </c>
      <c r="B21" s="11" t="str">
        <f>IFERROR(__xludf.DUMMYFUNCTION("""COMPUTED_VALUE"""),"Communication 1")</f>
        <v>Communication 1</v>
      </c>
      <c r="C21" s="11" t="str">
        <f>IFERROR(__xludf.DUMMYFUNCTION("""COMPUTED_VALUE"""),"247196")</f>
        <v>247196</v>
      </c>
      <c r="D21" s="11">
        <f>IFERROR(__xludf.DUMMYFUNCTION("""COMPUTED_VALUE"""),10.0)</f>
        <v>10</v>
      </c>
      <c r="E21" s="11">
        <f>IFERROR(VLOOKUP(B21,COURSE_PLAN!A:B,2,FALSE),"")</f>
        <v>10</v>
      </c>
      <c r="F21" s="11">
        <f t="shared" si="1"/>
        <v>1</v>
      </c>
      <c r="G21" s="11" t="str">
        <f>IFERROR(VLOOKUP(C21,STUDENTS!A:E,5,FALSE),"")</f>
        <v>Inactive</v>
      </c>
      <c r="H21" s="11" t="str">
        <f>IFERROR(VLOOKUP(C21,STUDENTS!A:M,13,FALSE),"")</f>
        <v>Completed (no continuation)</v>
      </c>
      <c r="I21" s="11" t="str">
        <f>IF(D21="","",IF(AND(VLOOKUP(C21,STUDENTS!$A:$R,17,FALSE)=A21,VLOOKUP(C21,STUDENTS!$A:$R,18,FALSE)=B21,G21="Active"),"Đang học",IF(F21&gt;=0.8,IF(G21="Active","Tiếp tục khóa sau",IF(G21="Waiting for class","Chờ lớp mới",IF(G21="Inactive",IF(IFERROR(H21,"")="Discontinued mid-course","Nghỉ giữa chừng","Hoàn thành rồi nghỉ luôn"),""))),IF(G21="Inactive","Nghỉ giữa chừng","Đang học"))))</f>
        <v>Hoàn thành rồi nghỉ luôn</v>
      </c>
      <c r="M21" s="11" t="str">
        <f>IFERROR(__xludf.DUMMYFUNCTION("""COMPUTED_VALUE"""),"EL007")</f>
        <v>EL007</v>
      </c>
      <c r="N21" s="11" t="str">
        <f>IFERROR(__xludf.DUMMYFUNCTION("""COMPUTED_VALUE"""),"Communication 2")</f>
        <v>Communication 2</v>
      </c>
      <c r="O21" s="11" t="str">
        <f>IFERROR(__xludf.DUMMYFUNCTION("""COMPUTED_VALUE"""),"247390")</f>
        <v>247390</v>
      </c>
      <c r="P21" s="11">
        <f>IFERROR(__xludf.DUMMYFUNCTION("""COMPUTED_VALUE"""),15.0)</f>
        <v>15</v>
      </c>
      <c r="Q21" s="11">
        <f>IFERROR(__xludf.DUMMYFUNCTION("""COMPUTED_VALUE"""),16.0)</f>
        <v>16</v>
      </c>
      <c r="R21" s="11">
        <f>IFERROR(__xludf.DUMMYFUNCTION("""COMPUTED_VALUE"""),0.9375)</f>
        <v>0.9375</v>
      </c>
      <c r="S21" s="11" t="str">
        <f>IFERROR(__xludf.DUMMYFUNCTION("""COMPUTED_VALUE"""),"Inactive")</f>
        <v>Inactive</v>
      </c>
      <c r="T21" s="11" t="str">
        <f>IFERROR(__xludf.DUMMYFUNCTION("""COMPUTED_VALUE"""),"Discontinued mid-course")</f>
        <v>Discontinued mid-course</v>
      </c>
      <c r="U21" s="11" t="str">
        <f>IFERROR(__xludf.DUMMYFUNCTION("""COMPUTED_VALUE"""),"Nghỉ giữa chừng")</f>
        <v>Nghỉ giữa chừng</v>
      </c>
    </row>
    <row r="22">
      <c r="A22" s="11" t="str">
        <f>IFERROR(__xludf.DUMMYFUNCTION("""COMPUTED_VALUE"""),"EL002")</f>
        <v>EL002</v>
      </c>
      <c r="B22" s="11" t="str">
        <f>IFERROR(__xludf.DUMMYFUNCTION("""COMPUTED_VALUE"""),"Communication 1")</f>
        <v>Communication 1</v>
      </c>
      <c r="C22" s="11" t="str">
        <f>IFERROR(__xludf.DUMMYFUNCTION("""COMPUTED_VALUE"""),"247199")</f>
        <v>247199</v>
      </c>
      <c r="D22" s="11">
        <f>IFERROR(__xludf.DUMMYFUNCTION("""COMPUTED_VALUE"""),10.0)</f>
        <v>10</v>
      </c>
      <c r="E22" s="11">
        <f>IFERROR(VLOOKUP(B22,COURSE_PLAN!A:B,2,FALSE),"")</f>
        <v>10</v>
      </c>
      <c r="F22" s="11">
        <f t="shared" si="1"/>
        <v>1</v>
      </c>
      <c r="G22" s="11" t="str">
        <f>IFERROR(VLOOKUP(C22,STUDENTS!A:E,5,FALSE),"")</f>
        <v>Inactive</v>
      </c>
      <c r="H22" s="11" t="str">
        <f>IFERROR(VLOOKUP(C22,STUDENTS!A:M,13,FALSE),"")</f>
        <v>Completed (no continuation)</v>
      </c>
      <c r="I22" s="11" t="str">
        <f>IF(D22="","",IF(AND(VLOOKUP(C22,STUDENTS!$A:$R,17,FALSE)=A22,VLOOKUP(C22,STUDENTS!$A:$R,18,FALSE)=B22,G22="Active"),"Đang học",IF(F22&gt;=0.8,IF(G22="Active","Tiếp tục khóa sau",IF(G22="Waiting for class","Chờ lớp mới",IF(G22="Inactive",IF(IFERROR(H22,"")="Discontinued mid-course","Nghỉ giữa chừng","Hoàn thành rồi nghỉ luôn"),""))),IF(G22="Inactive","Nghỉ giữa chừng","Đang học"))))</f>
        <v>Hoàn thành rồi nghỉ luôn</v>
      </c>
      <c r="M22" s="11" t="str">
        <f>IFERROR(__xludf.DUMMYFUNCTION("""COMPUTED_VALUE"""),"EL008")</f>
        <v>EL008</v>
      </c>
      <c r="N22" s="11" t="str">
        <f>IFERROR(__xludf.DUMMYFUNCTION("""COMPUTED_VALUE"""),"Business English")</f>
        <v>Business English</v>
      </c>
      <c r="O22" s="11" t="str">
        <f>IFERROR(__xludf.DUMMYFUNCTION("""COMPUTED_VALUE"""),"237161")</f>
        <v>237161</v>
      </c>
      <c r="P22" s="11">
        <f>IFERROR(__xludf.DUMMYFUNCTION("""COMPUTED_VALUE"""),6.0)</f>
        <v>6</v>
      </c>
      <c r="Q22" s="11">
        <f>IFERROR(__xludf.DUMMYFUNCTION("""COMPUTED_VALUE"""),16.0)</f>
        <v>16</v>
      </c>
      <c r="R22" s="11">
        <f>IFERROR(__xludf.DUMMYFUNCTION("""COMPUTED_VALUE"""),0.375)</f>
        <v>0.375</v>
      </c>
      <c r="S22" s="11" t="str">
        <f>IFERROR(__xludf.DUMMYFUNCTION("""COMPUTED_VALUE"""),"Inactive")</f>
        <v>Inactive</v>
      </c>
      <c r="T22" s="11" t="str">
        <f>IFERROR(__xludf.DUMMYFUNCTION("""COMPUTED_VALUE"""),"Discontinued mid-course")</f>
        <v>Discontinued mid-course</v>
      </c>
      <c r="U22" s="11" t="str">
        <f>IFERROR(__xludf.DUMMYFUNCTION("""COMPUTED_VALUE"""),"Nghỉ giữa chừng")</f>
        <v>Nghỉ giữa chừng</v>
      </c>
    </row>
    <row r="23">
      <c r="A23" s="11" t="str">
        <f>IFERROR(__xludf.DUMMYFUNCTION("""COMPUTED_VALUE"""),"EL002")</f>
        <v>EL002</v>
      </c>
      <c r="B23" s="11" t="str">
        <f>IFERROR(__xludf.DUMMYFUNCTION("""COMPUTED_VALUE"""),"Communication 1")</f>
        <v>Communication 1</v>
      </c>
      <c r="C23" s="11" t="str">
        <f>IFERROR(__xludf.DUMMYFUNCTION("""COMPUTED_VALUE"""),"247200")</f>
        <v>247200</v>
      </c>
      <c r="D23" s="11">
        <f>IFERROR(__xludf.DUMMYFUNCTION("""COMPUTED_VALUE"""),10.0)</f>
        <v>10</v>
      </c>
      <c r="E23" s="11">
        <f>IFERROR(VLOOKUP(B23,COURSE_PLAN!A:B,2,FALSE),"")</f>
        <v>10</v>
      </c>
      <c r="F23" s="11">
        <f t="shared" si="1"/>
        <v>1</v>
      </c>
      <c r="G23" s="11" t="str">
        <f>IFERROR(VLOOKUP(C23,STUDENTS!A:E,5,FALSE),"")</f>
        <v>Inactive</v>
      </c>
      <c r="H23" s="11" t="str">
        <f>IFERROR(VLOOKUP(C23,STUDENTS!A:M,13,FALSE),"")</f>
        <v>Completed (no continuation)</v>
      </c>
      <c r="I23" s="11" t="str">
        <f>IF(D23="","",IF(AND(VLOOKUP(C23,STUDENTS!$A:$R,17,FALSE)=A23,VLOOKUP(C23,STUDENTS!$A:$R,18,FALSE)=B23,G23="Active"),"Đang học",IF(F23&gt;=0.8,IF(G23="Active","Tiếp tục khóa sau",IF(G23="Waiting for class","Chờ lớp mới",IF(G23="Inactive",IF(IFERROR(H23,"")="Discontinued mid-course","Nghỉ giữa chừng","Hoàn thành rồi nghỉ luôn"),""))),IF(G23="Inactive","Nghỉ giữa chừng","Đang học"))))</f>
        <v>Hoàn thành rồi nghỉ luôn</v>
      </c>
      <c r="M23" s="11" t="str">
        <f>IFERROR(__xludf.DUMMYFUNCTION("""COMPUTED_VALUE"""),"EL008")</f>
        <v>EL008</v>
      </c>
      <c r="N23" s="11" t="str">
        <f>IFERROR(__xludf.DUMMYFUNCTION("""COMPUTED_VALUE"""),"Communication 1")</f>
        <v>Communication 1</v>
      </c>
      <c r="O23" s="11" t="str">
        <f>IFERROR(__xludf.DUMMYFUNCTION("""COMPUTED_VALUE"""),"237161")</f>
        <v>237161</v>
      </c>
      <c r="P23" s="11">
        <f>IFERROR(__xludf.DUMMYFUNCTION("""COMPUTED_VALUE"""),10.0)</f>
        <v>10</v>
      </c>
      <c r="Q23" s="11">
        <f>IFERROR(__xludf.DUMMYFUNCTION("""COMPUTED_VALUE"""),10.0)</f>
        <v>10</v>
      </c>
      <c r="R23" s="11">
        <f>IFERROR(__xludf.DUMMYFUNCTION("""COMPUTED_VALUE"""),1.0)</f>
        <v>1</v>
      </c>
      <c r="S23" s="11" t="str">
        <f>IFERROR(__xludf.DUMMYFUNCTION("""COMPUTED_VALUE"""),"Inactive")</f>
        <v>Inactive</v>
      </c>
      <c r="T23" s="11" t="str">
        <f>IFERROR(__xludf.DUMMYFUNCTION("""COMPUTED_VALUE"""),"Discontinued mid-course")</f>
        <v>Discontinued mid-course</v>
      </c>
      <c r="U23" s="11" t="str">
        <f>IFERROR(__xludf.DUMMYFUNCTION("""COMPUTED_VALUE"""),"Nghỉ giữa chừng")</f>
        <v>Nghỉ giữa chừng</v>
      </c>
    </row>
    <row r="24">
      <c r="A24" s="11" t="str">
        <f>IFERROR(__xludf.DUMMYFUNCTION("""COMPUTED_VALUE"""),"EL002")</f>
        <v>EL002</v>
      </c>
      <c r="B24" s="11" t="str">
        <f>IFERROR(__xludf.DUMMYFUNCTION("""COMPUTED_VALUE"""),"Communication 1")</f>
        <v>Communication 1</v>
      </c>
      <c r="C24" s="11" t="str">
        <f>IFERROR(__xludf.DUMMYFUNCTION("""COMPUTED_VALUE"""),"247300")</f>
        <v>247300</v>
      </c>
      <c r="D24" s="11">
        <f>IFERROR(__xludf.DUMMYFUNCTION("""COMPUTED_VALUE"""),10.0)</f>
        <v>10</v>
      </c>
      <c r="E24" s="11">
        <f>IFERROR(VLOOKUP(B24,COURSE_PLAN!A:B,2,FALSE),"")</f>
        <v>10</v>
      </c>
      <c r="F24" s="11">
        <f t="shared" si="1"/>
        <v>1</v>
      </c>
      <c r="G24" s="11" t="str">
        <f>IFERROR(VLOOKUP(C24,STUDENTS!A:E,5,FALSE),"")</f>
        <v>Inactive</v>
      </c>
      <c r="H24" s="11" t="str">
        <f>IFERROR(VLOOKUP(C24,STUDENTS!A:M,13,FALSE),"")</f>
        <v>Discontinued mid-course</v>
      </c>
      <c r="I24" s="11" t="str">
        <f>IF(D24="","",IF(AND(VLOOKUP(C24,STUDENTS!$A:$R,17,FALSE)=A24,VLOOKUP(C24,STUDENTS!$A:$R,18,FALSE)=B24,G24="Active"),"Đang học",IF(F24&gt;=0.8,IF(G24="Active","Tiếp tục khóa sau",IF(G24="Waiting for class","Chờ lớp mới",IF(G24="Inactive",IF(IFERROR(H24,"")="Discontinued mid-course","Nghỉ giữa chừng","Hoàn thành rồi nghỉ luôn"),""))),IF(G24="Inactive","Nghỉ giữa chừng","Đang học"))))</f>
        <v>Nghỉ giữa chừng</v>
      </c>
      <c r="M24" s="11" t="str">
        <f>IFERROR(__xludf.DUMMYFUNCTION("""COMPUTED_VALUE"""),"EL008")</f>
        <v>EL008</v>
      </c>
      <c r="N24" s="11" t="str">
        <f>IFERROR(__xludf.DUMMYFUNCTION("""COMPUTED_VALUE"""),"Communication 2")</f>
        <v>Communication 2</v>
      </c>
      <c r="O24" s="11" t="str">
        <f>IFERROR(__xludf.DUMMYFUNCTION("""COMPUTED_VALUE"""),"237161")</f>
        <v>237161</v>
      </c>
      <c r="P24" s="11">
        <f>IFERROR(__xludf.DUMMYFUNCTION("""COMPUTED_VALUE"""),16.0)</f>
        <v>16</v>
      </c>
      <c r="Q24" s="11">
        <f>IFERROR(__xludf.DUMMYFUNCTION("""COMPUTED_VALUE"""),16.0)</f>
        <v>16</v>
      </c>
      <c r="R24" s="11">
        <f>IFERROR(__xludf.DUMMYFUNCTION("""COMPUTED_VALUE"""),1.0)</f>
        <v>1</v>
      </c>
      <c r="S24" s="11" t="str">
        <f>IFERROR(__xludf.DUMMYFUNCTION("""COMPUTED_VALUE"""),"Inactive")</f>
        <v>Inactive</v>
      </c>
      <c r="T24" s="11" t="str">
        <f>IFERROR(__xludf.DUMMYFUNCTION("""COMPUTED_VALUE"""),"Discontinued mid-course")</f>
        <v>Discontinued mid-course</v>
      </c>
      <c r="U24" s="11" t="str">
        <f>IFERROR(__xludf.DUMMYFUNCTION("""COMPUTED_VALUE"""),"Nghỉ giữa chừng")</f>
        <v>Nghỉ giữa chừng</v>
      </c>
    </row>
    <row r="25">
      <c r="A25" s="11" t="str">
        <f>IFERROR(__xludf.DUMMYFUNCTION("""COMPUTED_VALUE"""),"EL003")</f>
        <v>EL003</v>
      </c>
      <c r="B25" s="11" t="str">
        <f>IFERROR(__xludf.DUMMYFUNCTION("""COMPUTED_VALUE"""),"Communication 1")</f>
        <v>Communication 1</v>
      </c>
      <c r="C25" s="11" t="str">
        <f>IFERROR(__xludf.DUMMYFUNCTION("""COMPUTED_VALUE"""),"247264")</f>
        <v>247264</v>
      </c>
      <c r="D25" s="11">
        <f>IFERROR(__xludf.DUMMYFUNCTION("""COMPUTED_VALUE"""),10.0)</f>
        <v>10</v>
      </c>
      <c r="E25" s="11">
        <f>IFERROR(VLOOKUP(B25,COURSE_PLAN!A:B,2,FALSE),"")</f>
        <v>10</v>
      </c>
      <c r="F25" s="11">
        <f t="shared" si="1"/>
        <v>1</v>
      </c>
      <c r="G25" s="11" t="str">
        <f>IFERROR(VLOOKUP(C25,STUDENTS!A:E,5,FALSE),"")</f>
        <v>Inactive</v>
      </c>
      <c r="H25" s="11" t="str">
        <f>IFERROR(VLOOKUP(C25,STUDENTS!A:M,13,FALSE),"")</f>
        <v>Discontinued mid-course</v>
      </c>
      <c r="I25" s="11" t="str">
        <f>IF(D25="","",IF(AND(VLOOKUP(C25,STUDENTS!$A:$R,17,FALSE)=A25,VLOOKUP(C25,STUDENTS!$A:$R,18,FALSE)=B25,G25="Active"),"Đang học",IF(F25&gt;=0.8,IF(G25="Active","Tiếp tục khóa sau",IF(G25="Waiting for class","Chờ lớp mới",IF(G25="Inactive",IF(IFERROR(H25,"")="Discontinued mid-course","Nghỉ giữa chừng","Hoàn thành rồi nghỉ luôn"),""))),IF(G25="Inactive","Nghỉ giữa chừng","Đang học"))))</f>
        <v>Nghỉ giữa chừng</v>
      </c>
      <c r="M25" s="11" t="str">
        <f>IFERROR(__xludf.DUMMYFUNCTION("""COMPUTED_VALUE"""),"EL009")</f>
        <v>EL009</v>
      </c>
      <c r="N25" s="11" t="str">
        <f>IFERROR(__xludf.DUMMYFUNCTION("""COMPUTED_VALUE"""),"Communication 1")</f>
        <v>Communication 1</v>
      </c>
      <c r="O25" s="11" t="str">
        <f>IFERROR(__xludf.DUMMYFUNCTION("""COMPUTED_VALUE"""),"237207")</f>
        <v>237207</v>
      </c>
      <c r="P25" s="11">
        <f>IFERROR(__xludf.DUMMYFUNCTION("""COMPUTED_VALUE"""),10.0)</f>
        <v>10</v>
      </c>
      <c r="Q25" s="11">
        <f>IFERROR(__xludf.DUMMYFUNCTION("""COMPUTED_VALUE"""),10.0)</f>
        <v>10</v>
      </c>
      <c r="R25" s="11">
        <f>IFERROR(__xludf.DUMMYFUNCTION("""COMPUTED_VALUE"""),1.0)</f>
        <v>1</v>
      </c>
      <c r="S25" s="11" t="str">
        <f>IFERROR(__xludf.DUMMYFUNCTION("""COMPUTED_VALUE"""),"Inactive")</f>
        <v>Inactive</v>
      </c>
      <c r="T25" s="11" t="str">
        <f>IFERROR(__xludf.DUMMYFUNCTION("""COMPUTED_VALUE"""),"Discontinued mid-course")</f>
        <v>Discontinued mid-course</v>
      </c>
      <c r="U25" s="11" t="str">
        <f>IFERROR(__xludf.DUMMYFUNCTION("""COMPUTED_VALUE"""),"Nghỉ giữa chừng")</f>
        <v>Nghỉ giữa chừng</v>
      </c>
    </row>
    <row r="26">
      <c r="A26" s="11" t="str">
        <f>IFERROR(__xludf.DUMMYFUNCTION("""COMPUTED_VALUE"""),"EL003")</f>
        <v>EL003</v>
      </c>
      <c r="B26" s="11" t="str">
        <f>IFERROR(__xludf.DUMMYFUNCTION("""COMPUTED_VALUE"""),"Communication 1")</f>
        <v>Communication 1</v>
      </c>
      <c r="C26" s="11" t="str">
        <f>IFERROR(__xludf.DUMMYFUNCTION("""COMPUTED_VALUE"""),"247265")</f>
        <v>247265</v>
      </c>
      <c r="D26" s="11">
        <f>IFERROR(__xludf.DUMMYFUNCTION("""COMPUTED_VALUE"""),10.0)</f>
        <v>10</v>
      </c>
      <c r="E26" s="11">
        <f>IFERROR(VLOOKUP(B26,COURSE_PLAN!A:B,2,FALSE),"")</f>
        <v>10</v>
      </c>
      <c r="F26" s="11">
        <f t="shared" si="1"/>
        <v>1</v>
      </c>
      <c r="G26" s="11" t="str">
        <f>IFERROR(VLOOKUP(C26,STUDENTS!A:E,5,FALSE),"")</f>
        <v>Inactive</v>
      </c>
      <c r="H26" s="11" t="str">
        <f>IFERROR(VLOOKUP(C26,STUDENTS!A:M,13,FALSE),"")</f>
        <v>Completed (no continuation)</v>
      </c>
      <c r="I26" s="11" t="str">
        <f>IF(D26="","",IF(AND(VLOOKUP(C26,STUDENTS!$A:$R,17,FALSE)=A26,VLOOKUP(C26,STUDENTS!$A:$R,18,FALSE)=B26,G26="Active"),"Đang học",IF(F26&gt;=0.8,IF(G26="Active","Tiếp tục khóa sau",IF(G26="Waiting for class","Chờ lớp mới",IF(G26="Inactive",IF(IFERROR(H26,"")="Discontinued mid-course","Nghỉ giữa chừng","Hoàn thành rồi nghỉ luôn"),""))),IF(G26="Inactive","Nghỉ giữa chừng","Đang học"))))</f>
        <v>Hoàn thành rồi nghỉ luôn</v>
      </c>
      <c r="M26" s="11" t="str">
        <f>IFERROR(__xludf.DUMMYFUNCTION("""COMPUTED_VALUE"""),"EL009")</f>
        <v>EL009</v>
      </c>
      <c r="N26" s="11" t="str">
        <f>IFERROR(__xludf.DUMMYFUNCTION("""COMPUTED_VALUE"""),"Communication 2")</f>
        <v>Communication 2</v>
      </c>
      <c r="O26" s="11" t="str">
        <f>IFERROR(__xludf.DUMMYFUNCTION("""COMPUTED_VALUE"""),"237207")</f>
        <v>237207</v>
      </c>
      <c r="P26" s="11">
        <f>IFERROR(__xludf.DUMMYFUNCTION("""COMPUTED_VALUE"""),16.0)</f>
        <v>16</v>
      </c>
      <c r="Q26" s="11">
        <f>IFERROR(__xludf.DUMMYFUNCTION("""COMPUTED_VALUE"""),16.0)</f>
        <v>16</v>
      </c>
      <c r="R26" s="11">
        <f>IFERROR(__xludf.DUMMYFUNCTION("""COMPUTED_VALUE"""),1.0)</f>
        <v>1</v>
      </c>
      <c r="S26" s="11" t="str">
        <f>IFERROR(__xludf.DUMMYFUNCTION("""COMPUTED_VALUE"""),"Inactive")</f>
        <v>Inactive</v>
      </c>
      <c r="T26" s="11" t="str">
        <f>IFERROR(__xludf.DUMMYFUNCTION("""COMPUTED_VALUE"""),"Discontinued mid-course")</f>
        <v>Discontinued mid-course</v>
      </c>
      <c r="U26" s="11" t="str">
        <f>IFERROR(__xludf.DUMMYFUNCTION("""COMPUTED_VALUE"""),"Nghỉ giữa chừng")</f>
        <v>Nghỉ giữa chừng</v>
      </c>
    </row>
    <row r="27">
      <c r="A27" s="11" t="str">
        <f>IFERROR(__xludf.DUMMYFUNCTION("""COMPUTED_VALUE"""),"EL003")</f>
        <v>EL003</v>
      </c>
      <c r="B27" s="11" t="str">
        <f>IFERROR(__xludf.DUMMYFUNCTION("""COMPUTED_VALUE"""),"Communication 1")</f>
        <v>Communication 1</v>
      </c>
      <c r="C27" s="11" t="str">
        <f>IFERROR(__xludf.DUMMYFUNCTION("""COMPUTED_VALUE"""),"247360")</f>
        <v>247360</v>
      </c>
      <c r="D27" s="11">
        <f>IFERROR(__xludf.DUMMYFUNCTION("""COMPUTED_VALUE"""),10.0)</f>
        <v>10</v>
      </c>
      <c r="E27" s="11">
        <f>IFERROR(VLOOKUP(B27,COURSE_PLAN!A:B,2,FALSE),"")</f>
        <v>10</v>
      </c>
      <c r="F27" s="11">
        <f t="shared" si="1"/>
        <v>1</v>
      </c>
      <c r="G27" s="11" t="str">
        <f>IFERROR(VLOOKUP(C27,STUDENTS!A:E,5,FALSE),"")</f>
        <v>Inactive</v>
      </c>
      <c r="H27" s="11" t="str">
        <f>IFERROR(VLOOKUP(C27,STUDENTS!A:M,13,FALSE),"")</f>
        <v>Discontinued mid-course</v>
      </c>
      <c r="I27" s="11" t="str">
        <f>IF(D27="","",IF(AND(VLOOKUP(C27,STUDENTS!$A:$R,17,FALSE)=A27,VLOOKUP(C27,STUDENTS!$A:$R,18,FALSE)=B27,G27="Active"),"Đang học",IF(F27&gt;=0.8,IF(G27="Active","Tiếp tục khóa sau",IF(G27="Waiting for class","Chờ lớp mới",IF(G27="Inactive",IF(IFERROR(H27,"")="Discontinued mid-course","Nghỉ giữa chừng","Hoàn thành rồi nghỉ luôn"),""))),IF(G27="Inactive","Nghỉ giữa chừng","Đang học"))))</f>
        <v>Nghỉ giữa chừng</v>
      </c>
      <c r="M27" s="11" t="str">
        <f>IFERROR(__xludf.DUMMYFUNCTION("""COMPUTED_VALUE"""),"EL010")</f>
        <v>EL010</v>
      </c>
      <c r="N27" s="11" t="str">
        <f>IFERROR(__xludf.DUMMYFUNCTION("""COMPUTED_VALUE"""),"Communication 1")</f>
        <v>Communication 1</v>
      </c>
      <c r="O27" s="11" t="str">
        <f>IFERROR(__xludf.DUMMYFUNCTION("""COMPUTED_VALUE"""),"247079")</f>
        <v>247079</v>
      </c>
      <c r="P27" s="11">
        <f>IFERROR(__xludf.DUMMYFUNCTION("""COMPUTED_VALUE"""),10.0)</f>
        <v>10</v>
      </c>
      <c r="Q27" s="11">
        <f>IFERROR(__xludf.DUMMYFUNCTION("""COMPUTED_VALUE"""),10.0)</f>
        <v>10</v>
      </c>
      <c r="R27" s="11">
        <f>IFERROR(__xludf.DUMMYFUNCTION("""COMPUTED_VALUE"""),1.0)</f>
        <v>1</v>
      </c>
      <c r="S27" s="11" t="str">
        <f>IFERROR(__xludf.DUMMYFUNCTION("""COMPUTED_VALUE"""),"Inactive")</f>
        <v>Inactive</v>
      </c>
      <c r="T27" s="11" t="str">
        <f>IFERROR(__xludf.DUMMYFUNCTION("""COMPUTED_VALUE"""),"Discontinued mid-course")</f>
        <v>Discontinued mid-course</v>
      </c>
      <c r="U27" s="11" t="str">
        <f>IFERROR(__xludf.DUMMYFUNCTION("""COMPUTED_VALUE"""),"Nghỉ giữa chừng")</f>
        <v>Nghỉ giữa chừng</v>
      </c>
    </row>
    <row r="28">
      <c r="A28" s="11" t="str">
        <f>IFERROR(__xludf.DUMMYFUNCTION("""COMPUTED_VALUE"""),"EL003")</f>
        <v>EL003</v>
      </c>
      <c r="B28" s="11" t="str">
        <f>IFERROR(__xludf.DUMMYFUNCTION("""COMPUTED_VALUE"""),"Communication 1")</f>
        <v>Communication 1</v>
      </c>
      <c r="C28" s="11" t="str">
        <f>IFERROR(__xludf.DUMMYFUNCTION("""COMPUTED_VALUE"""),"247405")</f>
        <v>247405</v>
      </c>
      <c r="D28" s="11">
        <f>IFERROR(__xludf.DUMMYFUNCTION("""COMPUTED_VALUE"""),10.0)</f>
        <v>10</v>
      </c>
      <c r="E28" s="11">
        <f>IFERROR(VLOOKUP(B28,COURSE_PLAN!A:B,2,FALSE),"")</f>
        <v>10</v>
      </c>
      <c r="F28" s="11">
        <f t="shared" si="1"/>
        <v>1</v>
      </c>
      <c r="G28" s="11" t="str">
        <f>IFERROR(VLOOKUP(C28,STUDENTS!A:E,5,FALSE),"")</f>
        <v>Inactive</v>
      </c>
      <c r="H28" s="11" t="str">
        <f>IFERROR(VLOOKUP(C28,STUDENTS!A:M,13,FALSE),"")</f>
        <v>Completed (no continuation)</v>
      </c>
      <c r="I28" s="11" t="str">
        <f>IF(D28="","",IF(AND(VLOOKUP(C28,STUDENTS!$A:$R,17,FALSE)=A28,VLOOKUP(C28,STUDENTS!$A:$R,18,FALSE)=B28,G28="Active"),"Đang học",IF(F28&gt;=0.8,IF(G28="Active","Tiếp tục khóa sau",IF(G28="Waiting for class","Chờ lớp mới",IF(G28="Inactive",IF(IFERROR(H28,"")="Discontinued mid-course","Nghỉ giữa chừng","Hoàn thành rồi nghỉ luôn"),""))),IF(G28="Inactive","Nghỉ giữa chừng","Đang học"))))</f>
        <v>Hoàn thành rồi nghỉ luôn</v>
      </c>
      <c r="M28" s="11" t="str">
        <f>IFERROR(__xludf.DUMMYFUNCTION("""COMPUTED_VALUE"""),"EL010")</f>
        <v>EL010</v>
      </c>
      <c r="N28" s="11" t="str">
        <f>IFERROR(__xludf.DUMMYFUNCTION("""COMPUTED_VALUE"""),"Communication 1")</f>
        <v>Communication 1</v>
      </c>
      <c r="O28" s="11" t="str">
        <f>IFERROR(__xludf.DUMMYFUNCTION("""COMPUTED_VALUE"""),"247080")</f>
        <v>247080</v>
      </c>
      <c r="P28" s="11">
        <f>IFERROR(__xludf.DUMMYFUNCTION("""COMPUTED_VALUE"""),10.0)</f>
        <v>10</v>
      </c>
      <c r="Q28" s="11">
        <f>IFERROR(__xludf.DUMMYFUNCTION("""COMPUTED_VALUE"""),10.0)</f>
        <v>10</v>
      </c>
      <c r="R28" s="11">
        <f>IFERROR(__xludf.DUMMYFUNCTION("""COMPUTED_VALUE"""),1.0)</f>
        <v>1</v>
      </c>
      <c r="S28" s="11" t="str">
        <f>IFERROR(__xludf.DUMMYFUNCTION("""COMPUTED_VALUE"""),"Inactive")</f>
        <v>Inactive</v>
      </c>
      <c r="T28" s="11" t="str">
        <f>IFERROR(__xludf.DUMMYFUNCTION("""COMPUTED_VALUE"""),"Discontinued mid-course")</f>
        <v>Discontinued mid-course</v>
      </c>
      <c r="U28" s="11" t="str">
        <f>IFERROR(__xludf.DUMMYFUNCTION("""COMPUTED_VALUE"""),"Nghỉ giữa chừng")</f>
        <v>Nghỉ giữa chừng</v>
      </c>
    </row>
    <row r="29">
      <c r="A29" s="11" t="str">
        <f>IFERROR(__xludf.DUMMYFUNCTION("""COMPUTED_VALUE"""),"EL003")</f>
        <v>EL003</v>
      </c>
      <c r="B29" s="11" t="str">
        <f>IFERROR(__xludf.DUMMYFUNCTION("""COMPUTED_VALUE"""),"Communication 1")</f>
        <v>Communication 1</v>
      </c>
      <c r="C29" s="11" t="str">
        <f>IFERROR(__xludf.DUMMYFUNCTION("""COMPUTED_VALUE"""),"247415")</f>
        <v>247415</v>
      </c>
      <c r="D29" s="11">
        <f>IFERROR(__xludf.DUMMYFUNCTION("""COMPUTED_VALUE"""),10.0)</f>
        <v>10</v>
      </c>
      <c r="E29" s="11">
        <f>IFERROR(VLOOKUP(B29,COURSE_PLAN!A:B,2,FALSE),"")</f>
        <v>10</v>
      </c>
      <c r="F29" s="11">
        <f t="shared" si="1"/>
        <v>1</v>
      </c>
      <c r="G29" s="11" t="str">
        <f>IFERROR(VLOOKUP(C29,STUDENTS!A:E,5,FALSE),"")</f>
        <v>Inactive</v>
      </c>
      <c r="H29" s="11" t="str">
        <f>IFERROR(VLOOKUP(C29,STUDENTS!A:M,13,FALSE),"")</f>
        <v>Completed (no continuation)</v>
      </c>
      <c r="I29" s="11" t="str">
        <f>IF(D29="","",IF(AND(VLOOKUP(C29,STUDENTS!$A:$R,17,FALSE)=A29,VLOOKUP(C29,STUDENTS!$A:$R,18,FALSE)=B29,G29="Active"),"Đang học",IF(F29&gt;=0.8,IF(G29="Active","Tiếp tục khóa sau",IF(G29="Waiting for class","Chờ lớp mới",IF(G29="Inactive",IF(IFERROR(H29,"")="Discontinued mid-course","Nghỉ giữa chừng","Hoàn thành rồi nghỉ luôn"),""))),IF(G29="Inactive","Nghỉ giữa chừng","Đang học"))))</f>
        <v>Hoàn thành rồi nghỉ luôn</v>
      </c>
      <c r="M29" s="11" t="str">
        <f>IFERROR(__xludf.DUMMYFUNCTION("""COMPUTED_VALUE"""),"EL010")</f>
        <v>EL010</v>
      </c>
      <c r="N29" s="11" t="str">
        <f>IFERROR(__xludf.DUMMYFUNCTION("""COMPUTED_VALUE"""),"Communication 1")</f>
        <v>Communication 1</v>
      </c>
      <c r="O29" s="11" t="str">
        <f>IFERROR(__xludf.DUMMYFUNCTION("""COMPUTED_VALUE"""),"247161")</f>
        <v>247161</v>
      </c>
      <c r="P29" s="11">
        <f>IFERROR(__xludf.DUMMYFUNCTION("""COMPUTED_VALUE"""),10.0)</f>
        <v>10</v>
      </c>
      <c r="Q29" s="11">
        <f>IFERROR(__xludf.DUMMYFUNCTION("""COMPUTED_VALUE"""),10.0)</f>
        <v>10</v>
      </c>
      <c r="R29" s="11">
        <f>IFERROR(__xludf.DUMMYFUNCTION("""COMPUTED_VALUE"""),1.0)</f>
        <v>1</v>
      </c>
      <c r="S29" s="11" t="str">
        <f>IFERROR(__xludf.DUMMYFUNCTION("""COMPUTED_VALUE"""),"Inactive")</f>
        <v>Inactive</v>
      </c>
      <c r="T29" s="11" t="str">
        <f>IFERROR(__xludf.DUMMYFUNCTION("""COMPUTED_VALUE"""),"Discontinued mid-course")</f>
        <v>Discontinued mid-course</v>
      </c>
      <c r="U29" s="11" t="str">
        <f>IFERROR(__xludf.DUMMYFUNCTION("""COMPUTED_VALUE"""),"Nghỉ giữa chừng")</f>
        <v>Nghỉ giữa chừng</v>
      </c>
    </row>
    <row r="30">
      <c r="A30" s="11" t="str">
        <f>IFERROR(__xludf.DUMMYFUNCTION("""COMPUTED_VALUE"""),"EL004")</f>
        <v>EL004</v>
      </c>
      <c r="B30" s="11" t="str">
        <f>IFERROR(__xludf.DUMMYFUNCTION("""COMPUTED_VALUE"""),"Communication 1")</f>
        <v>Communication 1</v>
      </c>
      <c r="C30" s="11" t="str">
        <f>IFERROR(__xludf.DUMMYFUNCTION("""COMPUTED_VALUE"""),"183427")</f>
        <v>183427</v>
      </c>
      <c r="D30" s="11">
        <f>IFERROR(__xludf.DUMMYFUNCTION("""COMPUTED_VALUE"""),10.0)</f>
        <v>10</v>
      </c>
      <c r="E30" s="11">
        <f>IFERROR(VLOOKUP(B30,COURSE_PLAN!A:B,2,FALSE),"")</f>
        <v>10</v>
      </c>
      <c r="F30" s="11">
        <f t="shared" si="1"/>
        <v>1</v>
      </c>
      <c r="G30" s="11" t="str">
        <f>IFERROR(VLOOKUP(C30,STUDENTS!A:E,5,FALSE),"")</f>
        <v>Active</v>
      </c>
      <c r="H30" s="11" t="str">
        <f>IFERROR(VLOOKUP(C30,STUDENTS!A:M,13,FALSE),"")</f>
        <v/>
      </c>
      <c r="I30" s="11" t="str">
        <f>IF(D30="","",IF(AND(VLOOKUP(C30,STUDENTS!$A:$R,17,FALSE)=A30,VLOOKUP(C30,STUDENTS!$A:$R,18,FALSE)=B30,G30="Active"),"Đang học",IF(F30&gt;=0.8,IF(G30="Active","Tiếp tục khóa sau",IF(G30="Waiting for class","Chờ lớp mới",IF(G30="Inactive",IF(IFERROR(H30,"")="Discontinued mid-course","Nghỉ giữa chừng","Hoàn thành rồi nghỉ luôn"),""))),IF(G30="Inactive","Nghỉ giữa chừng","Đang học"))))</f>
        <v>Tiếp tục khóa sau</v>
      </c>
      <c r="M30" s="11" t="str">
        <f>IFERROR(__xludf.DUMMYFUNCTION("""COMPUTED_VALUE"""),"EL010")</f>
        <v>EL010</v>
      </c>
      <c r="N30" s="11" t="str">
        <f>IFERROR(__xludf.DUMMYFUNCTION("""COMPUTED_VALUE"""),"Communication 1")</f>
        <v>Communication 1</v>
      </c>
      <c r="O30" s="11" t="str">
        <f>IFERROR(__xludf.DUMMYFUNCTION("""COMPUTED_VALUE"""),"247184")</f>
        <v>247184</v>
      </c>
      <c r="P30" s="11">
        <f>IFERROR(__xludf.DUMMYFUNCTION("""COMPUTED_VALUE"""),10.0)</f>
        <v>10</v>
      </c>
      <c r="Q30" s="11">
        <f>IFERROR(__xludf.DUMMYFUNCTION("""COMPUTED_VALUE"""),10.0)</f>
        <v>10</v>
      </c>
      <c r="R30" s="11">
        <f>IFERROR(__xludf.DUMMYFUNCTION("""COMPUTED_VALUE"""),1.0)</f>
        <v>1</v>
      </c>
      <c r="S30" s="11" t="str">
        <f>IFERROR(__xludf.DUMMYFUNCTION("""COMPUTED_VALUE"""),"Inactive")</f>
        <v>Inactive</v>
      </c>
      <c r="T30" s="11" t="str">
        <f>IFERROR(__xludf.DUMMYFUNCTION("""COMPUTED_VALUE"""),"Discontinued mid-course")</f>
        <v>Discontinued mid-course</v>
      </c>
      <c r="U30" s="11" t="str">
        <f>IFERROR(__xludf.DUMMYFUNCTION("""COMPUTED_VALUE"""),"Nghỉ giữa chừng")</f>
        <v>Nghỉ giữa chừng</v>
      </c>
    </row>
    <row r="31">
      <c r="A31" s="11" t="str">
        <f>IFERROR(__xludf.DUMMYFUNCTION("""COMPUTED_VALUE"""),"EL004")</f>
        <v>EL004</v>
      </c>
      <c r="B31" s="11" t="str">
        <f>IFERROR(__xludf.DUMMYFUNCTION("""COMPUTED_VALUE"""),"Communication 1")</f>
        <v>Communication 1</v>
      </c>
      <c r="C31" s="11" t="str">
        <f>IFERROR(__xludf.DUMMYFUNCTION("""COMPUTED_VALUE"""),"183431")</f>
        <v>183431</v>
      </c>
      <c r="D31" s="11">
        <f>IFERROR(__xludf.DUMMYFUNCTION("""COMPUTED_VALUE"""),10.0)</f>
        <v>10</v>
      </c>
      <c r="E31" s="11">
        <f>IFERROR(VLOOKUP(B31,COURSE_PLAN!A:B,2,FALSE),"")</f>
        <v>10</v>
      </c>
      <c r="F31" s="11">
        <f t="shared" si="1"/>
        <v>1</v>
      </c>
      <c r="G31" s="11" t="str">
        <f>IFERROR(VLOOKUP(C31,STUDENTS!A:E,5,FALSE),"")</f>
        <v>Inactive</v>
      </c>
      <c r="H31" s="11" t="str">
        <f>IFERROR(VLOOKUP(C31,STUDENTS!A:M,13,FALSE),"")</f>
        <v>Completed (no continuation)</v>
      </c>
      <c r="I31" s="11" t="str">
        <f>IF(D31="","",IF(AND(VLOOKUP(C31,STUDENTS!$A:$R,17,FALSE)=A31,VLOOKUP(C31,STUDENTS!$A:$R,18,FALSE)=B31,G31="Active"),"Đang học",IF(F31&gt;=0.8,IF(G31="Active","Tiếp tục khóa sau",IF(G31="Waiting for class","Chờ lớp mới",IF(G31="Inactive",IF(IFERROR(H31,"")="Discontinued mid-course","Nghỉ giữa chừng","Hoàn thành rồi nghỉ luôn"),""))),IF(G31="Inactive","Nghỉ giữa chừng","Đang học"))))</f>
        <v>Hoàn thành rồi nghỉ luôn</v>
      </c>
      <c r="M31" s="11" t="str">
        <f>IFERROR(__xludf.DUMMYFUNCTION("""COMPUTED_VALUE"""),"EL010")</f>
        <v>EL010</v>
      </c>
      <c r="N31" s="11" t="str">
        <f>IFERROR(__xludf.DUMMYFUNCTION("""COMPUTED_VALUE"""),"Communication 1")</f>
        <v>Communication 1</v>
      </c>
      <c r="O31" s="11" t="str">
        <f>IFERROR(__xludf.DUMMYFUNCTION("""COMPUTED_VALUE"""),"247260")</f>
        <v>247260</v>
      </c>
      <c r="P31" s="11">
        <f>IFERROR(__xludf.DUMMYFUNCTION("""COMPUTED_VALUE"""),10.0)</f>
        <v>10</v>
      </c>
      <c r="Q31" s="11">
        <f>IFERROR(__xludf.DUMMYFUNCTION("""COMPUTED_VALUE"""),10.0)</f>
        <v>10</v>
      </c>
      <c r="R31" s="11">
        <f>IFERROR(__xludf.DUMMYFUNCTION("""COMPUTED_VALUE"""),1.0)</f>
        <v>1</v>
      </c>
      <c r="S31" s="11" t="str">
        <f>IFERROR(__xludf.DUMMYFUNCTION("""COMPUTED_VALUE"""),"Inactive")</f>
        <v>Inactive</v>
      </c>
      <c r="T31" s="11" t="str">
        <f>IFERROR(__xludf.DUMMYFUNCTION("""COMPUTED_VALUE"""),"Discontinued mid-course")</f>
        <v>Discontinued mid-course</v>
      </c>
      <c r="U31" s="11" t="str">
        <f>IFERROR(__xludf.DUMMYFUNCTION("""COMPUTED_VALUE"""),"Nghỉ giữa chừng")</f>
        <v>Nghỉ giữa chừng</v>
      </c>
    </row>
    <row r="32">
      <c r="A32" s="11" t="str">
        <f>IFERROR(__xludf.DUMMYFUNCTION("""COMPUTED_VALUE"""),"EL004")</f>
        <v>EL004</v>
      </c>
      <c r="B32" s="11" t="str">
        <f>IFERROR(__xludf.DUMMYFUNCTION("""COMPUTED_VALUE"""),"Communication 1")</f>
        <v>Communication 1</v>
      </c>
      <c r="C32" s="11" t="str">
        <f>IFERROR(__xludf.DUMMYFUNCTION("""COMPUTED_VALUE"""),"193479")</f>
        <v>193479</v>
      </c>
      <c r="D32" s="11">
        <f>IFERROR(__xludf.DUMMYFUNCTION("""COMPUTED_VALUE"""),10.0)</f>
        <v>10</v>
      </c>
      <c r="E32" s="11">
        <f>IFERROR(VLOOKUP(B32,COURSE_PLAN!A:B,2,FALSE),"")</f>
        <v>10</v>
      </c>
      <c r="F32" s="11">
        <f t="shared" si="1"/>
        <v>1</v>
      </c>
      <c r="G32" s="11" t="str">
        <f>IFERROR(VLOOKUP(C32,STUDENTS!A:E,5,FALSE),"")</f>
        <v>Inactive</v>
      </c>
      <c r="H32" s="11" t="str">
        <f>IFERROR(VLOOKUP(C32,STUDENTS!A:M,13,FALSE),"")</f>
        <v>Completed (no continuation)</v>
      </c>
      <c r="I32" s="11" t="str">
        <f>IF(D32="","",IF(AND(VLOOKUP(C32,STUDENTS!$A:$R,17,FALSE)=A32,VLOOKUP(C32,STUDENTS!$A:$R,18,FALSE)=B32,G32="Active"),"Đang học",IF(F32&gt;=0.8,IF(G32="Active","Tiếp tục khóa sau",IF(G32="Waiting for class","Chờ lớp mới",IF(G32="Inactive",IF(IFERROR(H32,"")="Discontinued mid-course","Nghỉ giữa chừng","Hoàn thành rồi nghỉ luôn"),""))),IF(G32="Inactive","Nghỉ giữa chừng","Đang học"))))</f>
        <v>Hoàn thành rồi nghỉ luôn</v>
      </c>
      <c r="M32" s="11" t="str">
        <f>IFERROR(__xludf.DUMMYFUNCTION("""COMPUTED_VALUE"""),"EL010")</f>
        <v>EL010</v>
      </c>
      <c r="N32" s="11" t="str">
        <f>IFERROR(__xludf.DUMMYFUNCTION("""COMPUTED_VALUE"""),"Communication 2")</f>
        <v>Communication 2</v>
      </c>
      <c r="O32" s="11" t="str">
        <f>IFERROR(__xludf.DUMMYFUNCTION("""COMPUTED_VALUE"""),"247037")</f>
        <v>247037</v>
      </c>
      <c r="P32" s="11">
        <f>IFERROR(__xludf.DUMMYFUNCTION("""COMPUTED_VALUE"""),4.0)</f>
        <v>4</v>
      </c>
      <c r="Q32" s="11">
        <f>IFERROR(__xludf.DUMMYFUNCTION("""COMPUTED_VALUE"""),16.0)</f>
        <v>16</v>
      </c>
      <c r="R32" s="11">
        <f>IFERROR(__xludf.DUMMYFUNCTION("""COMPUTED_VALUE"""),0.25)</f>
        <v>0.25</v>
      </c>
      <c r="S32" s="11" t="str">
        <f>IFERROR(__xludf.DUMMYFUNCTION("""COMPUTED_VALUE"""),"Inactive")</f>
        <v>Inactive</v>
      </c>
      <c r="T32" s="11" t="str">
        <f>IFERROR(__xludf.DUMMYFUNCTION("""COMPUTED_VALUE"""),"Discontinued mid-course")</f>
        <v>Discontinued mid-course</v>
      </c>
      <c r="U32" s="11" t="str">
        <f>IFERROR(__xludf.DUMMYFUNCTION("""COMPUTED_VALUE"""),"Nghỉ giữa chừng")</f>
        <v>Nghỉ giữa chừng</v>
      </c>
    </row>
    <row r="33">
      <c r="A33" s="11" t="str">
        <f>IFERROR(__xludf.DUMMYFUNCTION("""COMPUTED_VALUE"""),"EL004")</f>
        <v>EL004</v>
      </c>
      <c r="B33" s="11" t="str">
        <f>IFERROR(__xludf.DUMMYFUNCTION("""COMPUTED_VALUE"""),"Communication 1")</f>
        <v>Communication 1</v>
      </c>
      <c r="C33" s="11" t="str">
        <f>IFERROR(__xludf.DUMMYFUNCTION("""COMPUTED_VALUE"""),"193499")</f>
        <v>193499</v>
      </c>
      <c r="D33" s="11">
        <f>IFERROR(__xludf.DUMMYFUNCTION("""COMPUTED_VALUE"""),10.0)</f>
        <v>10</v>
      </c>
      <c r="E33" s="11">
        <f>IFERROR(VLOOKUP(B33,COURSE_PLAN!A:B,2,FALSE),"")</f>
        <v>10</v>
      </c>
      <c r="F33" s="11">
        <f t="shared" si="1"/>
        <v>1</v>
      </c>
      <c r="G33" s="11" t="str">
        <f>IFERROR(VLOOKUP(C33,STUDENTS!A:E,5,FALSE),"")</f>
        <v>Inactive</v>
      </c>
      <c r="H33" s="11" t="str">
        <f>IFERROR(VLOOKUP(C33,STUDENTS!A:M,13,FALSE),"")</f>
        <v>Completed (no continuation)</v>
      </c>
      <c r="I33" s="11" t="str">
        <f>IF(D33="","",IF(AND(VLOOKUP(C33,STUDENTS!$A:$R,17,FALSE)=A33,VLOOKUP(C33,STUDENTS!$A:$R,18,FALSE)=B33,G33="Active"),"Đang học",IF(F33&gt;=0.8,IF(G33="Active","Tiếp tục khóa sau",IF(G33="Waiting for class","Chờ lớp mới",IF(G33="Inactive",IF(IFERROR(H33,"")="Discontinued mid-course","Nghỉ giữa chừng","Hoàn thành rồi nghỉ luôn"),""))),IF(G33="Inactive","Nghỉ giữa chừng","Đang học"))))</f>
        <v>Hoàn thành rồi nghỉ luôn</v>
      </c>
      <c r="M33" s="11" t="str">
        <f>IFERROR(__xludf.DUMMYFUNCTION("""COMPUTED_VALUE"""),"EL010")</f>
        <v>EL010</v>
      </c>
      <c r="N33" s="11" t="str">
        <f>IFERROR(__xludf.DUMMYFUNCTION("""COMPUTED_VALUE"""),"Communication 2")</f>
        <v>Communication 2</v>
      </c>
      <c r="O33" s="11" t="str">
        <f>IFERROR(__xludf.DUMMYFUNCTION("""COMPUTED_VALUE"""),"247038")</f>
        <v>247038</v>
      </c>
      <c r="P33" s="11">
        <f>IFERROR(__xludf.DUMMYFUNCTION("""COMPUTED_VALUE"""),4.0)</f>
        <v>4</v>
      </c>
      <c r="Q33" s="11">
        <f>IFERROR(__xludf.DUMMYFUNCTION("""COMPUTED_VALUE"""),16.0)</f>
        <v>16</v>
      </c>
      <c r="R33" s="11">
        <f>IFERROR(__xludf.DUMMYFUNCTION("""COMPUTED_VALUE"""),0.25)</f>
        <v>0.25</v>
      </c>
      <c r="S33" s="11" t="str">
        <f>IFERROR(__xludf.DUMMYFUNCTION("""COMPUTED_VALUE"""),"Inactive")</f>
        <v>Inactive</v>
      </c>
      <c r="T33" s="11" t="str">
        <f>IFERROR(__xludf.DUMMYFUNCTION("""COMPUTED_VALUE"""),"Discontinued mid-course")</f>
        <v>Discontinued mid-course</v>
      </c>
      <c r="U33" s="11" t="str">
        <f>IFERROR(__xludf.DUMMYFUNCTION("""COMPUTED_VALUE"""),"Nghỉ giữa chừng")</f>
        <v>Nghỉ giữa chừng</v>
      </c>
    </row>
    <row r="34">
      <c r="A34" s="11" t="str">
        <f>IFERROR(__xludf.DUMMYFUNCTION("""COMPUTED_VALUE"""),"EL004")</f>
        <v>EL004</v>
      </c>
      <c r="B34" s="11" t="str">
        <f>IFERROR(__xludf.DUMMYFUNCTION("""COMPUTED_VALUE"""),"Communication 1")</f>
        <v>Communication 1</v>
      </c>
      <c r="C34" s="11" t="str">
        <f>IFERROR(__xludf.DUMMYFUNCTION("""COMPUTED_VALUE"""),"193529")</f>
        <v>193529</v>
      </c>
      <c r="D34" s="11">
        <f>IFERROR(__xludf.DUMMYFUNCTION("""COMPUTED_VALUE"""),10.0)</f>
        <v>10</v>
      </c>
      <c r="E34" s="11">
        <f>IFERROR(VLOOKUP(B34,COURSE_PLAN!A:B,2,FALSE),"")</f>
        <v>10</v>
      </c>
      <c r="F34" s="11">
        <f t="shared" si="1"/>
        <v>1</v>
      </c>
      <c r="G34" s="11" t="str">
        <f>IFERROR(VLOOKUP(C34,STUDENTS!A:E,5,FALSE),"")</f>
        <v>Inactive</v>
      </c>
      <c r="H34" s="11" t="str">
        <f>IFERROR(VLOOKUP(C34,STUDENTS!A:M,13,FALSE),"")</f>
        <v>Completed (no continuation)</v>
      </c>
      <c r="I34" s="11" t="str">
        <f>IF(D34="","",IF(AND(VLOOKUP(C34,STUDENTS!$A:$R,17,FALSE)=A34,VLOOKUP(C34,STUDENTS!$A:$R,18,FALSE)=B34,G34="Active"),"Đang học",IF(F34&gt;=0.8,IF(G34="Active","Tiếp tục khóa sau",IF(G34="Waiting for class","Chờ lớp mới",IF(G34="Inactive",IF(IFERROR(H34,"")="Discontinued mid-course","Nghỉ giữa chừng","Hoàn thành rồi nghỉ luôn"),""))),IF(G34="Inactive","Nghỉ giữa chừng","Đang học"))))</f>
        <v>Hoàn thành rồi nghỉ luôn</v>
      </c>
      <c r="M34" s="11" t="str">
        <f>IFERROR(__xludf.DUMMYFUNCTION("""COMPUTED_VALUE"""),"EL010")</f>
        <v>EL010</v>
      </c>
      <c r="N34" s="11" t="str">
        <f>IFERROR(__xludf.DUMMYFUNCTION("""COMPUTED_VALUE"""),"Communication 2")</f>
        <v>Communication 2</v>
      </c>
      <c r="O34" s="11" t="str">
        <f>IFERROR(__xludf.DUMMYFUNCTION("""COMPUTED_VALUE"""),"247078")</f>
        <v>247078</v>
      </c>
      <c r="P34" s="11">
        <f>IFERROR(__xludf.DUMMYFUNCTION("""COMPUTED_VALUE"""),4.0)</f>
        <v>4</v>
      </c>
      <c r="Q34" s="11">
        <f>IFERROR(__xludf.DUMMYFUNCTION("""COMPUTED_VALUE"""),16.0)</f>
        <v>16</v>
      </c>
      <c r="R34" s="11">
        <f>IFERROR(__xludf.DUMMYFUNCTION("""COMPUTED_VALUE"""),0.25)</f>
        <v>0.25</v>
      </c>
      <c r="S34" s="11" t="str">
        <f>IFERROR(__xludf.DUMMYFUNCTION("""COMPUTED_VALUE"""),"Inactive")</f>
        <v>Inactive</v>
      </c>
      <c r="T34" s="11" t="str">
        <f>IFERROR(__xludf.DUMMYFUNCTION("""COMPUTED_VALUE"""),"Discontinued mid-course")</f>
        <v>Discontinued mid-course</v>
      </c>
      <c r="U34" s="11" t="str">
        <f>IFERROR(__xludf.DUMMYFUNCTION("""COMPUTED_VALUE"""),"Nghỉ giữa chừng")</f>
        <v>Nghỉ giữa chừng</v>
      </c>
    </row>
    <row r="35">
      <c r="A35" s="11" t="str">
        <f>IFERROR(__xludf.DUMMYFUNCTION("""COMPUTED_VALUE"""),"EL004")</f>
        <v>EL004</v>
      </c>
      <c r="B35" s="11" t="str">
        <f>IFERROR(__xludf.DUMMYFUNCTION("""COMPUTED_VALUE"""),"Communication 1")</f>
        <v>Communication 1</v>
      </c>
      <c r="C35" s="11" t="str">
        <f>IFERROR(__xludf.DUMMYFUNCTION("""COMPUTED_VALUE"""),"213811")</f>
        <v>213811</v>
      </c>
      <c r="D35" s="11">
        <f>IFERROR(__xludf.DUMMYFUNCTION("""COMPUTED_VALUE"""),10.0)</f>
        <v>10</v>
      </c>
      <c r="E35" s="11">
        <f>IFERROR(VLOOKUP(B35,COURSE_PLAN!A:B,2,FALSE),"")</f>
        <v>10</v>
      </c>
      <c r="F35" s="11">
        <f t="shared" si="1"/>
        <v>1</v>
      </c>
      <c r="G35" s="11" t="str">
        <f>IFERROR(VLOOKUP(C35,STUDENTS!A:E,5,FALSE),"")</f>
        <v>Inactive</v>
      </c>
      <c r="H35" s="11" t="str">
        <f>IFERROR(VLOOKUP(C35,STUDENTS!A:M,13,FALSE),"")</f>
        <v>Completed (no continuation)</v>
      </c>
      <c r="I35" s="11" t="str">
        <f>IF(D35="","",IF(AND(VLOOKUP(C35,STUDENTS!$A:$R,17,FALSE)=A35,VLOOKUP(C35,STUDENTS!$A:$R,18,FALSE)=B35,G35="Active"),"Đang học",IF(F35&gt;=0.8,IF(G35="Active","Tiếp tục khóa sau",IF(G35="Waiting for class","Chờ lớp mới",IF(G35="Inactive",IF(IFERROR(H35,"")="Discontinued mid-course","Nghỉ giữa chừng","Hoàn thành rồi nghỉ luôn"),""))),IF(G35="Inactive","Nghỉ giữa chừng","Đang học"))))</f>
        <v>Hoàn thành rồi nghỉ luôn</v>
      </c>
      <c r="M35" s="11" t="str">
        <f>IFERROR(__xludf.DUMMYFUNCTION("""COMPUTED_VALUE"""),"EL010")</f>
        <v>EL010</v>
      </c>
      <c r="N35" s="11" t="str">
        <f>IFERROR(__xludf.DUMMYFUNCTION("""COMPUTED_VALUE"""),"Communication 2")</f>
        <v>Communication 2</v>
      </c>
      <c r="O35" s="11" t="str">
        <f>IFERROR(__xludf.DUMMYFUNCTION("""COMPUTED_VALUE"""),"247080")</f>
        <v>247080</v>
      </c>
      <c r="P35" s="11">
        <f>IFERROR(__xludf.DUMMYFUNCTION("""COMPUTED_VALUE"""),4.0)</f>
        <v>4</v>
      </c>
      <c r="Q35" s="11">
        <f>IFERROR(__xludf.DUMMYFUNCTION("""COMPUTED_VALUE"""),16.0)</f>
        <v>16</v>
      </c>
      <c r="R35" s="11">
        <f>IFERROR(__xludf.DUMMYFUNCTION("""COMPUTED_VALUE"""),0.25)</f>
        <v>0.25</v>
      </c>
      <c r="S35" s="11" t="str">
        <f>IFERROR(__xludf.DUMMYFUNCTION("""COMPUTED_VALUE"""),"Inactive")</f>
        <v>Inactive</v>
      </c>
      <c r="T35" s="11" t="str">
        <f>IFERROR(__xludf.DUMMYFUNCTION("""COMPUTED_VALUE"""),"Discontinued mid-course")</f>
        <v>Discontinued mid-course</v>
      </c>
      <c r="U35" s="11" t="str">
        <f>IFERROR(__xludf.DUMMYFUNCTION("""COMPUTED_VALUE"""),"Nghỉ giữa chừng")</f>
        <v>Nghỉ giữa chừng</v>
      </c>
    </row>
    <row r="36">
      <c r="A36" s="11" t="str">
        <f>IFERROR(__xludf.DUMMYFUNCTION("""COMPUTED_VALUE"""),"EL004")</f>
        <v>EL004</v>
      </c>
      <c r="B36" s="11" t="str">
        <f>IFERROR(__xludf.DUMMYFUNCTION("""COMPUTED_VALUE"""),"Communication 1")</f>
        <v>Communication 1</v>
      </c>
      <c r="C36" s="11" t="str">
        <f>IFERROR(__xludf.DUMMYFUNCTION("""COMPUTED_VALUE"""),"227141")</f>
        <v>227141</v>
      </c>
      <c r="D36" s="11">
        <f>IFERROR(__xludf.DUMMYFUNCTION("""COMPUTED_VALUE"""),10.0)</f>
        <v>10</v>
      </c>
      <c r="E36" s="11">
        <f>IFERROR(VLOOKUP(B36,COURSE_PLAN!A:B,2,FALSE),"")</f>
        <v>10</v>
      </c>
      <c r="F36" s="11">
        <f t="shared" si="1"/>
        <v>1</v>
      </c>
      <c r="G36" s="11" t="str">
        <f>IFERROR(VLOOKUP(C36,STUDENTS!A:E,5,FALSE),"")</f>
        <v>Inactive</v>
      </c>
      <c r="H36" s="11" t="str">
        <f>IFERROR(VLOOKUP(C36,STUDENTS!A:M,13,FALSE),"")</f>
        <v>Completed (no continuation)</v>
      </c>
      <c r="I36" s="11" t="str">
        <f>IF(D36="","",IF(AND(VLOOKUP(C36,STUDENTS!$A:$R,17,FALSE)=A36,VLOOKUP(C36,STUDENTS!$A:$R,18,FALSE)=B36,G36="Active"),"Đang học",IF(F36&gt;=0.8,IF(G36="Active","Tiếp tục khóa sau",IF(G36="Waiting for class","Chờ lớp mới",IF(G36="Inactive",IF(IFERROR(H36,"")="Discontinued mid-course","Nghỉ giữa chừng","Hoàn thành rồi nghỉ luôn"),""))),IF(G36="Inactive","Nghỉ giữa chừng","Đang học"))))</f>
        <v>Hoàn thành rồi nghỉ luôn</v>
      </c>
      <c r="M36" s="11" t="str">
        <f>IFERROR(__xludf.DUMMYFUNCTION("""COMPUTED_VALUE"""),"EL010")</f>
        <v>EL010</v>
      </c>
      <c r="N36" s="11" t="str">
        <f>IFERROR(__xludf.DUMMYFUNCTION("""COMPUTED_VALUE"""),"Communication 2")</f>
        <v>Communication 2</v>
      </c>
      <c r="O36" s="11" t="str">
        <f>IFERROR(__xludf.DUMMYFUNCTION("""COMPUTED_VALUE"""),"247106")</f>
        <v>247106</v>
      </c>
      <c r="P36" s="11">
        <f>IFERROR(__xludf.DUMMYFUNCTION("""COMPUTED_VALUE"""),4.0)</f>
        <v>4</v>
      </c>
      <c r="Q36" s="11">
        <f>IFERROR(__xludf.DUMMYFUNCTION("""COMPUTED_VALUE"""),16.0)</f>
        <v>16</v>
      </c>
      <c r="R36" s="11">
        <f>IFERROR(__xludf.DUMMYFUNCTION("""COMPUTED_VALUE"""),0.25)</f>
        <v>0.25</v>
      </c>
      <c r="S36" s="11" t="str">
        <f>IFERROR(__xludf.DUMMYFUNCTION("""COMPUTED_VALUE"""),"Inactive")</f>
        <v>Inactive</v>
      </c>
      <c r="T36" s="11" t="str">
        <f>IFERROR(__xludf.DUMMYFUNCTION("""COMPUTED_VALUE"""),"Discontinued mid-course")</f>
        <v>Discontinued mid-course</v>
      </c>
      <c r="U36" s="11" t="str">
        <f>IFERROR(__xludf.DUMMYFUNCTION("""COMPUTED_VALUE"""),"Nghỉ giữa chừng")</f>
        <v>Nghỉ giữa chừng</v>
      </c>
    </row>
    <row r="37">
      <c r="A37" s="11" t="str">
        <f>IFERROR(__xludf.DUMMYFUNCTION("""COMPUTED_VALUE"""),"EL004")</f>
        <v>EL004</v>
      </c>
      <c r="B37" s="11" t="str">
        <f>IFERROR(__xludf.DUMMYFUNCTION("""COMPUTED_VALUE"""),"Communication 1")</f>
        <v>Communication 1</v>
      </c>
      <c r="C37" s="11" t="str">
        <f>IFERROR(__xludf.DUMMYFUNCTION("""COMPUTED_VALUE"""),"237097")</f>
        <v>237097</v>
      </c>
      <c r="D37" s="11">
        <f>IFERROR(__xludf.DUMMYFUNCTION("""COMPUTED_VALUE"""),10.0)</f>
        <v>10</v>
      </c>
      <c r="E37" s="11">
        <f>IFERROR(VLOOKUP(B37,COURSE_PLAN!A:B,2,FALSE),"")</f>
        <v>10</v>
      </c>
      <c r="F37" s="11">
        <f t="shared" si="1"/>
        <v>1</v>
      </c>
      <c r="G37" s="11" t="str">
        <f>IFERROR(VLOOKUP(C37,STUDENTS!A:E,5,FALSE),"")</f>
        <v>Inactive</v>
      </c>
      <c r="H37" s="11" t="str">
        <f>IFERROR(VLOOKUP(C37,STUDENTS!A:M,13,FALSE),"")</f>
        <v>Completed (no continuation)</v>
      </c>
      <c r="I37" s="11" t="str">
        <f>IF(D37="","",IF(AND(VLOOKUP(C37,STUDENTS!$A:$R,17,FALSE)=A37,VLOOKUP(C37,STUDENTS!$A:$R,18,FALSE)=B37,G37="Active"),"Đang học",IF(F37&gt;=0.8,IF(G37="Active","Tiếp tục khóa sau",IF(G37="Waiting for class","Chờ lớp mới",IF(G37="Inactive",IF(IFERROR(H37,"")="Discontinued mid-course","Nghỉ giữa chừng","Hoàn thành rồi nghỉ luôn"),""))),IF(G37="Inactive","Nghỉ giữa chừng","Đang học"))))</f>
        <v>Hoàn thành rồi nghỉ luôn</v>
      </c>
      <c r="M37" s="11" t="str">
        <f>IFERROR(__xludf.DUMMYFUNCTION("""COMPUTED_VALUE"""),"EL010")</f>
        <v>EL010</v>
      </c>
      <c r="N37" s="11" t="str">
        <f>IFERROR(__xludf.DUMMYFUNCTION("""COMPUTED_VALUE"""),"Communication 2")</f>
        <v>Communication 2</v>
      </c>
      <c r="O37" s="11" t="str">
        <f>IFERROR(__xludf.DUMMYFUNCTION("""COMPUTED_VALUE"""),"247161")</f>
        <v>247161</v>
      </c>
      <c r="P37" s="11">
        <f>IFERROR(__xludf.DUMMYFUNCTION("""COMPUTED_VALUE"""),4.0)</f>
        <v>4</v>
      </c>
      <c r="Q37" s="11">
        <f>IFERROR(__xludf.DUMMYFUNCTION("""COMPUTED_VALUE"""),16.0)</f>
        <v>16</v>
      </c>
      <c r="R37" s="11">
        <f>IFERROR(__xludf.DUMMYFUNCTION("""COMPUTED_VALUE"""),0.25)</f>
        <v>0.25</v>
      </c>
      <c r="S37" s="11" t="str">
        <f>IFERROR(__xludf.DUMMYFUNCTION("""COMPUTED_VALUE"""),"Inactive")</f>
        <v>Inactive</v>
      </c>
      <c r="T37" s="11" t="str">
        <f>IFERROR(__xludf.DUMMYFUNCTION("""COMPUTED_VALUE"""),"Discontinued mid-course")</f>
        <v>Discontinued mid-course</v>
      </c>
      <c r="U37" s="11" t="str">
        <f>IFERROR(__xludf.DUMMYFUNCTION("""COMPUTED_VALUE"""),"Nghỉ giữa chừng")</f>
        <v>Nghỉ giữa chừng</v>
      </c>
    </row>
    <row r="38">
      <c r="A38" s="11" t="str">
        <f>IFERROR(__xludf.DUMMYFUNCTION("""COMPUTED_VALUE"""),"EL004")</f>
        <v>EL004</v>
      </c>
      <c r="B38" s="11" t="str">
        <f>IFERROR(__xludf.DUMMYFUNCTION("""COMPUTED_VALUE"""),"Communication 1")</f>
        <v>Communication 1</v>
      </c>
      <c r="C38" s="11" t="str">
        <f>IFERROR(__xludf.DUMMYFUNCTION("""COMPUTED_VALUE"""),"237130")</f>
        <v>237130</v>
      </c>
      <c r="D38" s="11">
        <f>IFERROR(__xludf.DUMMYFUNCTION("""COMPUTED_VALUE"""),10.0)</f>
        <v>10</v>
      </c>
      <c r="E38" s="11">
        <f>IFERROR(VLOOKUP(B38,COURSE_PLAN!A:B,2,FALSE),"")</f>
        <v>10</v>
      </c>
      <c r="F38" s="11">
        <f t="shared" si="1"/>
        <v>1</v>
      </c>
      <c r="G38" s="11" t="str">
        <f>IFERROR(VLOOKUP(C38,STUDENTS!A:E,5,FALSE),"")</f>
        <v>Inactive</v>
      </c>
      <c r="H38" s="11" t="str">
        <f>IFERROR(VLOOKUP(C38,STUDENTS!A:M,13,FALSE),"")</f>
        <v>Completed (no continuation)</v>
      </c>
      <c r="I38" s="11" t="str">
        <f>IF(D38="","",IF(AND(VLOOKUP(C38,STUDENTS!$A:$R,17,FALSE)=A38,VLOOKUP(C38,STUDENTS!$A:$R,18,FALSE)=B38,G38="Active"),"Đang học",IF(F38&gt;=0.8,IF(G38="Active","Tiếp tục khóa sau",IF(G38="Waiting for class","Chờ lớp mới",IF(G38="Inactive",IF(IFERROR(H38,"")="Discontinued mid-course","Nghỉ giữa chừng","Hoàn thành rồi nghỉ luôn"),""))),IF(G38="Inactive","Nghỉ giữa chừng","Đang học"))))</f>
        <v>Hoàn thành rồi nghỉ luôn</v>
      </c>
      <c r="M38" s="11" t="str">
        <f>IFERROR(__xludf.DUMMYFUNCTION("""COMPUTED_VALUE"""),"EL010")</f>
        <v>EL010</v>
      </c>
      <c r="N38" s="11" t="str">
        <f>IFERROR(__xludf.DUMMYFUNCTION("""COMPUTED_VALUE"""),"Communication 2")</f>
        <v>Communication 2</v>
      </c>
      <c r="O38" s="11" t="str">
        <f>IFERROR(__xludf.DUMMYFUNCTION("""COMPUTED_VALUE"""),"247184")</f>
        <v>247184</v>
      </c>
      <c r="P38" s="11">
        <f>IFERROR(__xludf.DUMMYFUNCTION("""COMPUTED_VALUE"""),4.0)</f>
        <v>4</v>
      </c>
      <c r="Q38" s="11">
        <f>IFERROR(__xludf.DUMMYFUNCTION("""COMPUTED_VALUE"""),16.0)</f>
        <v>16</v>
      </c>
      <c r="R38" s="11">
        <f>IFERROR(__xludf.DUMMYFUNCTION("""COMPUTED_VALUE"""),0.25)</f>
        <v>0.25</v>
      </c>
      <c r="S38" s="11" t="str">
        <f>IFERROR(__xludf.DUMMYFUNCTION("""COMPUTED_VALUE"""),"Inactive")</f>
        <v>Inactive</v>
      </c>
      <c r="T38" s="11" t="str">
        <f>IFERROR(__xludf.DUMMYFUNCTION("""COMPUTED_VALUE"""),"Discontinued mid-course")</f>
        <v>Discontinued mid-course</v>
      </c>
      <c r="U38" s="11" t="str">
        <f>IFERROR(__xludf.DUMMYFUNCTION("""COMPUTED_VALUE"""),"Nghỉ giữa chừng")</f>
        <v>Nghỉ giữa chừng</v>
      </c>
    </row>
    <row r="39">
      <c r="A39" s="11" t="str">
        <f>IFERROR(__xludf.DUMMYFUNCTION("""COMPUTED_VALUE"""),"EL004")</f>
        <v>EL004</v>
      </c>
      <c r="B39" s="11" t="str">
        <f>IFERROR(__xludf.DUMMYFUNCTION("""COMPUTED_VALUE"""),"Communication 2")</f>
        <v>Communication 2</v>
      </c>
      <c r="C39" s="11" t="str">
        <f>IFERROR(__xludf.DUMMYFUNCTION("""COMPUTED_VALUE"""),"183427")</f>
        <v>183427</v>
      </c>
      <c r="D39" s="11">
        <f>IFERROR(__xludf.DUMMYFUNCTION("""COMPUTED_VALUE"""),16.0)</f>
        <v>16</v>
      </c>
      <c r="E39" s="11">
        <f>IFERROR(VLOOKUP(B39,COURSE_PLAN!A:B,2,FALSE),"")</f>
        <v>16</v>
      </c>
      <c r="F39" s="11">
        <f t="shared" si="1"/>
        <v>1</v>
      </c>
      <c r="G39" s="11" t="str">
        <f>IFERROR(VLOOKUP(C39,STUDENTS!A:E,5,FALSE),"")</f>
        <v>Active</v>
      </c>
      <c r="H39" s="11" t="str">
        <f>IFERROR(VLOOKUP(C39,STUDENTS!A:M,13,FALSE),"")</f>
        <v/>
      </c>
      <c r="I39" s="11" t="str">
        <f>IF(D39="","",IF(AND(VLOOKUP(C39,STUDENTS!$A:$R,17,FALSE)=A39,VLOOKUP(C39,STUDENTS!$A:$R,18,FALSE)=B39,G39="Active"),"Đang học",IF(F39&gt;=0.8,IF(G39="Active","Tiếp tục khóa sau",IF(G39="Waiting for class","Chờ lớp mới",IF(G39="Inactive",IF(IFERROR(H39,"")="Discontinued mid-course","Nghỉ giữa chừng","Hoàn thành rồi nghỉ luôn"),""))),IF(G39="Inactive","Nghỉ giữa chừng","Đang học"))))</f>
        <v>Tiếp tục khóa sau</v>
      </c>
      <c r="M39" s="11" t="str">
        <f>IFERROR(__xludf.DUMMYFUNCTION("""COMPUTED_VALUE"""),"EL010")</f>
        <v>EL010</v>
      </c>
      <c r="N39" s="11" t="str">
        <f>IFERROR(__xludf.DUMMYFUNCTION("""COMPUTED_VALUE"""),"Communication 2")</f>
        <v>Communication 2</v>
      </c>
      <c r="O39" s="11" t="str">
        <f>IFERROR(__xludf.DUMMYFUNCTION("""COMPUTED_VALUE"""),"247207")</f>
        <v>247207</v>
      </c>
      <c r="P39" s="11">
        <f>IFERROR(__xludf.DUMMYFUNCTION("""COMPUTED_VALUE"""),4.0)</f>
        <v>4</v>
      </c>
      <c r="Q39" s="11">
        <f>IFERROR(__xludf.DUMMYFUNCTION("""COMPUTED_VALUE"""),16.0)</f>
        <v>16</v>
      </c>
      <c r="R39" s="11">
        <f>IFERROR(__xludf.DUMMYFUNCTION("""COMPUTED_VALUE"""),0.25)</f>
        <v>0.25</v>
      </c>
      <c r="S39" s="11" t="str">
        <f>IFERROR(__xludf.DUMMYFUNCTION("""COMPUTED_VALUE"""),"Inactive")</f>
        <v>Inactive</v>
      </c>
      <c r="T39" s="11" t="str">
        <f>IFERROR(__xludf.DUMMYFUNCTION("""COMPUTED_VALUE"""),"Discontinued mid-course")</f>
        <v>Discontinued mid-course</v>
      </c>
      <c r="U39" s="11" t="str">
        <f>IFERROR(__xludf.DUMMYFUNCTION("""COMPUTED_VALUE"""),"Nghỉ giữa chừng")</f>
        <v>Nghỉ giữa chừng</v>
      </c>
    </row>
    <row r="40">
      <c r="A40" s="11" t="str">
        <f>IFERROR(__xludf.DUMMYFUNCTION("""COMPUTED_VALUE"""),"EL004")</f>
        <v>EL004</v>
      </c>
      <c r="B40" s="11" t="str">
        <f>IFERROR(__xludf.DUMMYFUNCTION("""COMPUTED_VALUE"""),"Communication 2")</f>
        <v>Communication 2</v>
      </c>
      <c r="C40" s="11" t="str">
        <f>IFERROR(__xludf.DUMMYFUNCTION("""COMPUTED_VALUE"""),"183431")</f>
        <v>183431</v>
      </c>
      <c r="D40" s="11">
        <f>IFERROR(__xludf.DUMMYFUNCTION("""COMPUTED_VALUE"""),16.0)</f>
        <v>16</v>
      </c>
      <c r="E40" s="11">
        <f>IFERROR(VLOOKUP(B40,COURSE_PLAN!A:B,2,FALSE),"")</f>
        <v>16</v>
      </c>
      <c r="F40" s="11">
        <f t="shared" si="1"/>
        <v>1</v>
      </c>
      <c r="G40" s="11" t="str">
        <f>IFERROR(VLOOKUP(C40,STUDENTS!A:E,5,FALSE),"")</f>
        <v>Inactive</v>
      </c>
      <c r="H40" s="11" t="str">
        <f>IFERROR(VLOOKUP(C40,STUDENTS!A:M,13,FALSE),"")</f>
        <v>Completed (no continuation)</v>
      </c>
      <c r="I40" s="11" t="str">
        <f>IF(D40="","",IF(AND(VLOOKUP(C40,STUDENTS!$A:$R,17,FALSE)=A40,VLOOKUP(C40,STUDENTS!$A:$R,18,FALSE)=B40,G40="Active"),"Đang học",IF(F40&gt;=0.8,IF(G40="Active","Tiếp tục khóa sau",IF(G40="Waiting for class","Chờ lớp mới",IF(G40="Inactive",IF(IFERROR(H40,"")="Discontinued mid-course","Nghỉ giữa chừng","Hoàn thành rồi nghỉ luôn"),""))),IF(G40="Inactive","Nghỉ giữa chừng","Đang học"))))</f>
        <v>Hoàn thành rồi nghỉ luôn</v>
      </c>
      <c r="M40" s="11" t="str">
        <f>IFERROR(__xludf.DUMMYFUNCTION("""COMPUTED_VALUE"""),"EL011")</f>
        <v>EL011</v>
      </c>
      <c r="N40" s="11" t="str">
        <f>IFERROR(__xludf.DUMMYFUNCTION("""COMPUTED_VALUE"""),"Communication 1")</f>
        <v>Communication 1</v>
      </c>
      <c r="O40" s="11" t="str">
        <f>IFERROR(__xludf.DUMMYFUNCTION("""COMPUTED_VALUE"""),"247037")</f>
        <v>247037</v>
      </c>
      <c r="P40" s="11">
        <f>IFERROR(__xludf.DUMMYFUNCTION("""COMPUTED_VALUE"""),10.0)</f>
        <v>10</v>
      </c>
      <c r="Q40" s="11">
        <f>IFERROR(__xludf.DUMMYFUNCTION("""COMPUTED_VALUE"""),10.0)</f>
        <v>10</v>
      </c>
      <c r="R40" s="11">
        <f>IFERROR(__xludf.DUMMYFUNCTION("""COMPUTED_VALUE"""),1.0)</f>
        <v>1</v>
      </c>
      <c r="S40" s="11" t="str">
        <f>IFERROR(__xludf.DUMMYFUNCTION("""COMPUTED_VALUE"""),"Inactive")</f>
        <v>Inactive</v>
      </c>
      <c r="T40" s="11" t="str">
        <f>IFERROR(__xludf.DUMMYFUNCTION("""COMPUTED_VALUE"""),"Discontinued mid-course")</f>
        <v>Discontinued mid-course</v>
      </c>
      <c r="U40" s="11" t="str">
        <f>IFERROR(__xludf.DUMMYFUNCTION("""COMPUTED_VALUE"""),"Nghỉ giữa chừng")</f>
        <v>Nghỉ giữa chừng</v>
      </c>
    </row>
    <row r="41">
      <c r="A41" s="11" t="str">
        <f>IFERROR(__xludf.DUMMYFUNCTION("""COMPUTED_VALUE"""),"EL004")</f>
        <v>EL004</v>
      </c>
      <c r="B41" s="11" t="str">
        <f>IFERROR(__xludf.DUMMYFUNCTION("""COMPUTED_VALUE"""),"Communication 2")</f>
        <v>Communication 2</v>
      </c>
      <c r="C41" s="11" t="str">
        <f>IFERROR(__xludf.DUMMYFUNCTION("""COMPUTED_VALUE"""),"193479")</f>
        <v>193479</v>
      </c>
      <c r="D41" s="11">
        <f>IFERROR(__xludf.DUMMYFUNCTION("""COMPUTED_VALUE"""),16.0)</f>
        <v>16</v>
      </c>
      <c r="E41" s="11">
        <f>IFERROR(VLOOKUP(B41,COURSE_PLAN!A:B,2,FALSE),"")</f>
        <v>16</v>
      </c>
      <c r="F41" s="11">
        <f t="shared" si="1"/>
        <v>1</v>
      </c>
      <c r="G41" s="11" t="str">
        <f>IFERROR(VLOOKUP(C41,STUDENTS!A:E,5,FALSE),"")</f>
        <v>Inactive</v>
      </c>
      <c r="H41" s="11" t="str">
        <f>IFERROR(VLOOKUP(C41,STUDENTS!A:M,13,FALSE),"")</f>
        <v>Completed (no continuation)</v>
      </c>
      <c r="I41" s="11" t="str">
        <f>IF(D41="","",IF(AND(VLOOKUP(C41,STUDENTS!$A:$R,17,FALSE)=A41,VLOOKUP(C41,STUDENTS!$A:$R,18,FALSE)=B41,G41="Active"),"Đang học",IF(F41&gt;=0.8,IF(G41="Active","Tiếp tục khóa sau",IF(G41="Waiting for class","Chờ lớp mới",IF(G41="Inactive",IF(IFERROR(H41,"")="Discontinued mid-course","Nghỉ giữa chừng","Hoàn thành rồi nghỉ luôn"),""))),IF(G41="Inactive","Nghỉ giữa chừng","Đang học"))))</f>
        <v>Hoàn thành rồi nghỉ luôn</v>
      </c>
      <c r="M41" s="11" t="str">
        <f>IFERROR(__xludf.DUMMYFUNCTION("""COMPUTED_VALUE"""),"EL011")</f>
        <v>EL011</v>
      </c>
      <c r="N41" s="11" t="str">
        <f>IFERROR(__xludf.DUMMYFUNCTION("""COMPUTED_VALUE"""),"Communication 1")</f>
        <v>Communication 1</v>
      </c>
      <c r="O41" s="11" t="str">
        <f>IFERROR(__xludf.DUMMYFUNCTION("""COMPUTED_VALUE"""),"247038")</f>
        <v>247038</v>
      </c>
      <c r="P41" s="11">
        <f>IFERROR(__xludf.DUMMYFUNCTION("""COMPUTED_VALUE"""),10.0)</f>
        <v>10</v>
      </c>
      <c r="Q41" s="11">
        <f>IFERROR(__xludf.DUMMYFUNCTION("""COMPUTED_VALUE"""),10.0)</f>
        <v>10</v>
      </c>
      <c r="R41" s="11">
        <f>IFERROR(__xludf.DUMMYFUNCTION("""COMPUTED_VALUE"""),1.0)</f>
        <v>1</v>
      </c>
      <c r="S41" s="11" t="str">
        <f>IFERROR(__xludf.DUMMYFUNCTION("""COMPUTED_VALUE"""),"Inactive")</f>
        <v>Inactive</v>
      </c>
      <c r="T41" s="11" t="str">
        <f>IFERROR(__xludf.DUMMYFUNCTION("""COMPUTED_VALUE"""),"Discontinued mid-course")</f>
        <v>Discontinued mid-course</v>
      </c>
      <c r="U41" s="11" t="str">
        <f>IFERROR(__xludf.DUMMYFUNCTION("""COMPUTED_VALUE"""),"Nghỉ giữa chừng")</f>
        <v>Nghỉ giữa chừng</v>
      </c>
    </row>
    <row r="42">
      <c r="A42" s="11" t="str">
        <f>IFERROR(__xludf.DUMMYFUNCTION("""COMPUTED_VALUE"""),"EL004")</f>
        <v>EL004</v>
      </c>
      <c r="B42" s="11" t="str">
        <f>IFERROR(__xludf.DUMMYFUNCTION("""COMPUTED_VALUE"""),"Communication 2")</f>
        <v>Communication 2</v>
      </c>
      <c r="C42" s="11" t="str">
        <f>IFERROR(__xludf.DUMMYFUNCTION("""COMPUTED_VALUE"""),"193499")</f>
        <v>193499</v>
      </c>
      <c r="D42" s="11">
        <f>IFERROR(__xludf.DUMMYFUNCTION("""COMPUTED_VALUE"""),16.0)</f>
        <v>16</v>
      </c>
      <c r="E42" s="11">
        <f>IFERROR(VLOOKUP(B42,COURSE_PLAN!A:B,2,FALSE),"")</f>
        <v>16</v>
      </c>
      <c r="F42" s="11">
        <f t="shared" si="1"/>
        <v>1</v>
      </c>
      <c r="G42" s="11" t="str">
        <f>IFERROR(VLOOKUP(C42,STUDENTS!A:E,5,FALSE),"")</f>
        <v>Inactive</v>
      </c>
      <c r="H42" s="11" t="str">
        <f>IFERROR(VLOOKUP(C42,STUDENTS!A:M,13,FALSE),"")</f>
        <v>Completed (no continuation)</v>
      </c>
      <c r="I42" s="11" t="str">
        <f>IF(D42="","",IF(AND(VLOOKUP(C42,STUDENTS!$A:$R,17,FALSE)=A42,VLOOKUP(C42,STUDENTS!$A:$R,18,FALSE)=B42,G42="Active"),"Đang học",IF(F42&gt;=0.8,IF(G42="Active","Tiếp tục khóa sau",IF(G42="Waiting for class","Chờ lớp mới",IF(G42="Inactive",IF(IFERROR(H42,"")="Discontinued mid-course","Nghỉ giữa chừng","Hoàn thành rồi nghỉ luôn"),""))),IF(G42="Inactive","Nghỉ giữa chừng","Đang học"))))</f>
        <v>Hoàn thành rồi nghỉ luôn</v>
      </c>
      <c r="M42" s="11" t="str">
        <f>IFERROR(__xludf.DUMMYFUNCTION("""COMPUTED_VALUE"""),"EL011")</f>
        <v>EL011</v>
      </c>
      <c r="N42" s="11" t="str">
        <f>IFERROR(__xludf.DUMMYFUNCTION("""COMPUTED_VALUE"""),"Communication 1")</f>
        <v>Communication 1</v>
      </c>
      <c r="O42" s="11" t="str">
        <f>IFERROR(__xludf.DUMMYFUNCTION("""COMPUTED_VALUE"""),"247078")</f>
        <v>247078</v>
      </c>
      <c r="P42" s="11">
        <f>IFERROR(__xludf.DUMMYFUNCTION("""COMPUTED_VALUE"""),10.0)</f>
        <v>10</v>
      </c>
      <c r="Q42" s="11">
        <f>IFERROR(__xludf.DUMMYFUNCTION("""COMPUTED_VALUE"""),10.0)</f>
        <v>10</v>
      </c>
      <c r="R42" s="11">
        <f>IFERROR(__xludf.DUMMYFUNCTION("""COMPUTED_VALUE"""),1.0)</f>
        <v>1</v>
      </c>
      <c r="S42" s="11" t="str">
        <f>IFERROR(__xludf.DUMMYFUNCTION("""COMPUTED_VALUE"""),"Inactive")</f>
        <v>Inactive</v>
      </c>
      <c r="T42" s="11" t="str">
        <f>IFERROR(__xludf.DUMMYFUNCTION("""COMPUTED_VALUE"""),"Discontinued mid-course")</f>
        <v>Discontinued mid-course</v>
      </c>
      <c r="U42" s="11" t="str">
        <f>IFERROR(__xludf.DUMMYFUNCTION("""COMPUTED_VALUE"""),"Nghỉ giữa chừng")</f>
        <v>Nghỉ giữa chừng</v>
      </c>
    </row>
    <row r="43">
      <c r="A43" s="11" t="str">
        <f>IFERROR(__xludf.DUMMYFUNCTION("""COMPUTED_VALUE"""),"EL004")</f>
        <v>EL004</v>
      </c>
      <c r="B43" s="11" t="str">
        <f>IFERROR(__xludf.DUMMYFUNCTION("""COMPUTED_VALUE"""),"Communication 2")</f>
        <v>Communication 2</v>
      </c>
      <c r="C43" s="11" t="str">
        <f>IFERROR(__xludf.DUMMYFUNCTION("""COMPUTED_VALUE"""),"193529")</f>
        <v>193529</v>
      </c>
      <c r="D43" s="11">
        <f>IFERROR(__xludf.DUMMYFUNCTION("""COMPUTED_VALUE"""),16.0)</f>
        <v>16</v>
      </c>
      <c r="E43" s="11">
        <f>IFERROR(VLOOKUP(B43,COURSE_PLAN!A:B,2,FALSE),"")</f>
        <v>16</v>
      </c>
      <c r="F43" s="11">
        <f t="shared" si="1"/>
        <v>1</v>
      </c>
      <c r="G43" s="11" t="str">
        <f>IFERROR(VLOOKUP(C43,STUDENTS!A:E,5,FALSE),"")</f>
        <v>Inactive</v>
      </c>
      <c r="H43" s="11" t="str">
        <f>IFERROR(VLOOKUP(C43,STUDENTS!A:M,13,FALSE),"")</f>
        <v>Completed (no continuation)</v>
      </c>
      <c r="I43" s="11" t="str">
        <f>IF(D43="","",IF(AND(VLOOKUP(C43,STUDENTS!$A:$R,17,FALSE)=A43,VLOOKUP(C43,STUDENTS!$A:$R,18,FALSE)=B43,G43="Active"),"Đang học",IF(F43&gt;=0.8,IF(G43="Active","Tiếp tục khóa sau",IF(G43="Waiting for class","Chờ lớp mới",IF(G43="Inactive",IF(IFERROR(H43,"")="Discontinued mid-course","Nghỉ giữa chừng","Hoàn thành rồi nghỉ luôn"),""))),IF(G43="Inactive","Nghỉ giữa chừng","Đang học"))))</f>
        <v>Hoàn thành rồi nghỉ luôn</v>
      </c>
      <c r="M43" s="11" t="str">
        <f>IFERROR(__xludf.DUMMYFUNCTION("""COMPUTED_VALUE"""),"EL011")</f>
        <v>EL011</v>
      </c>
      <c r="N43" s="11" t="str">
        <f>IFERROR(__xludf.DUMMYFUNCTION("""COMPUTED_VALUE"""),"Communication 1")</f>
        <v>Communication 1</v>
      </c>
      <c r="O43" s="11" t="str">
        <f>IFERROR(__xludf.DUMMYFUNCTION("""COMPUTED_VALUE"""),"247106")</f>
        <v>247106</v>
      </c>
      <c r="P43" s="11">
        <f>IFERROR(__xludf.DUMMYFUNCTION("""COMPUTED_VALUE"""),10.0)</f>
        <v>10</v>
      </c>
      <c r="Q43" s="11">
        <f>IFERROR(__xludf.DUMMYFUNCTION("""COMPUTED_VALUE"""),10.0)</f>
        <v>10</v>
      </c>
      <c r="R43" s="11">
        <f>IFERROR(__xludf.DUMMYFUNCTION("""COMPUTED_VALUE"""),1.0)</f>
        <v>1</v>
      </c>
      <c r="S43" s="11" t="str">
        <f>IFERROR(__xludf.DUMMYFUNCTION("""COMPUTED_VALUE"""),"Inactive")</f>
        <v>Inactive</v>
      </c>
      <c r="T43" s="11" t="str">
        <f>IFERROR(__xludf.DUMMYFUNCTION("""COMPUTED_VALUE"""),"Discontinued mid-course")</f>
        <v>Discontinued mid-course</v>
      </c>
      <c r="U43" s="11" t="str">
        <f>IFERROR(__xludf.DUMMYFUNCTION("""COMPUTED_VALUE"""),"Nghỉ giữa chừng")</f>
        <v>Nghỉ giữa chừng</v>
      </c>
    </row>
    <row r="44">
      <c r="A44" s="11" t="str">
        <f>IFERROR(__xludf.DUMMYFUNCTION("""COMPUTED_VALUE"""),"EL004")</f>
        <v>EL004</v>
      </c>
      <c r="B44" s="11" t="str">
        <f>IFERROR(__xludf.DUMMYFUNCTION("""COMPUTED_VALUE"""),"Communication 2")</f>
        <v>Communication 2</v>
      </c>
      <c r="C44" s="11" t="str">
        <f>IFERROR(__xludf.DUMMYFUNCTION("""COMPUTED_VALUE"""),"213811")</f>
        <v>213811</v>
      </c>
      <c r="D44" s="11">
        <f>IFERROR(__xludf.DUMMYFUNCTION("""COMPUTED_VALUE"""),16.0)</f>
        <v>16</v>
      </c>
      <c r="E44" s="11">
        <f>IFERROR(VLOOKUP(B44,COURSE_PLAN!A:B,2,FALSE),"")</f>
        <v>16</v>
      </c>
      <c r="F44" s="11">
        <f t="shared" si="1"/>
        <v>1</v>
      </c>
      <c r="G44" s="11" t="str">
        <f>IFERROR(VLOOKUP(C44,STUDENTS!A:E,5,FALSE),"")</f>
        <v>Inactive</v>
      </c>
      <c r="H44" s="11" t="str">
        <f>IFERROR(VLOOKUP(C44,STUDENTS!A:M,13,FALSE),"")</f>
        <v>Completed (no continuation)</v>
      </c>
      <c r="I44" s="11" t="str">
        <f>IF(D44="","",IF(AND(VLOOKUP(C44,STUDENTS!$A:$R,17,FALSE)=A44,VLOOKUP(C44,STUDENTS!$A:$R,18,FALSE)=B44,G44="Active"),"Đang học",IF(F44&gt;=0.8,IF(G44="Active","Tiếp tục khóa sau",IF(G44="Waiting for class","Chờ lớp mới",IF(G44="Inactive",IF(IFERROR(H44,"")="Discontinued mid-course","Nghỉ giữa chừng","Hoàn thành rồi nghỉ luôn"),""))),IF(G44="Inactive","Nghỉ giữa chừng","Đang học"))))</f>
        <v>Hoàn thành rồi nghỉ luôn</v>
      </c>
      <c r="M44" s="11" t="str">
        <f>IFERROR(__xludf.DUMMYFUNCTION("""COMPUTED_VALUE"""),"EL011")</f>
        <v>EL011</v>
      </c>
      <c r="N44" s="11" t="str">
        <f>IFERROR(__xludf.DUMMYFUNCTION("""COMPUTED_VALUE"""),"Communication 1")</f>
        <v>Communication 1</v>
      </c>
      <c r="O44" s="11" t="str">
        <f>IFERROR(__xludf.DUMMYFUNCTION("""COMPUTED_VALUE"""),"247207")</f>
        <v>247207</v>
      </c>
      <c r="P44" s="11">
        <f>IFERROR(__xludf.DUMMYFUNCTION("""COMPUTED_VALUE"""),10.0)</f>
        <v>10</v>
      </c>
      <c r="Q44" s="11">
        <f>IFERROR(__xludf.DUMMYFUNCTION("""COMPUTED_VALUE"""),10.0)</f>
        <v>10</v>
      </c>
      <c r="R44" s="11">
        <f>IFERROR(__xludf.DUMMYFUNCTION("""COMPUTED_VALUE"""),1.0)</f>
        <v>1</v>
      </c>
      <c r="S44" s="11" t="str">
        <f>IFERROR(__xludf.DUMMYFUNCTION("""COMPUTED_VALUE"""),"Inactive")</f>
        <v>Inactive</v>
      </c>
      <c r="T44" s="11" t="str">
        <f>IFERROR(__xludf.DUMMYFUNCTION("""COMPUTED_VALUE"""),"Discontinued mid-course")</f>
        <v>Discontinued mid-course</v>
      </c>
      <c r="U44" s="11" t="str">
        <f>IFERROR(__xludf.DUMMYFUNCTION("""COMPUTED_VALUE"""),"Nghỉ giữa chừng")</f>
        <v>Nghỉ giữa chừng</v>
      </c>
    </row>
    <row r="45">
      <c r="A45" s="11" t="str">
        <f>IFERROR(__xludf.DUMMYFUNCTION("""COMPUTED_VALUE"""),"EL004")</f>
        <v>EL004</v>
      </c>
      <c r="B45" s="11" t="str">
        <f>IFERROR(__xludf.DUMMYFUNCTION("""COMPUTED_VALUE"""),"Communication 2")</f>
        <v>Communication 2</v>
      </c>
      <c r="C45" s="11" t="str">
        <f>IFERROR(__xludf.DUMMYFUNCTION("""COMPUTED_VALUE"""),"227141")</f>
        <v>227141</v>
      </c>
      <c r="D45" s="11">
        <f>IFERROR(__xludf.DUMMYFUNCTION("""COMPUTED_VALUE"""),16.0)</f>
        <v>16</v>
      </c>
      <c r="E45" s="11">
        <f>IFERROR(VLOOKUP(B45,COURSE_PLAN!A:B,2,FALSE),"")</f>
        <v>16</v>
      </c>
      <c r="F45" s="11">
        <f t="shared" si="1"/>
        <v>1</v>
      </c>
      <c r="G45" s="11" t="str">
        <f>IFERROR(VLOOKUP(C45,STUDENTS!A:E,5,FALSE),"")</f>
        <v>Inactive</v>
      </c>
      <c r="H45" s="11" t="str">
        <f>IFERROR(VLOOKUP(C45,STUDENTS!A:M,13,FALSE),"")</f>
        <v>Completed (no continuation)</v>
      </c>
      <c r="I45" s="11" t="str">
        <f>IF(D45="","",IF(AND(VLOOKUP(C45,STUDENTS!$A:$R,17,FALSE)=A45,VLOOKUP(C45,STUDENTS!$A:$R,18,FALSE)=B45,G45="Active"),"Đang học",IF(F45&gt;=0.8,IF(G45="Active","Tiếp tục khóa sau",IF(G45="Waiting for class","Chờ lớp mới",IF(G45="Inactive",IF(IFERROR(H45,"")="Discontinued mid-course","Nghỉ giữa chừng","Hoàn thành rồi nghỉ luôn"),""))),IF(G45="Inactive","Nghỉ giữa chừng","Đang học"))))</f>
        <v>Hoàn thành rồi nghỉ luôn</v>
      </c>
      <c r="M45" s="11" t="str">
        <f>IFERROR(__xludf.DUMMYFUNCTION("""COMPUTED_VALUE"""),"EL012")</f>
        <v>EL012</v>
      </c>
      <c r="N45" s="11" t="str">
        <f>IFERROR(__xludf.DUMMYFUNCTION("""COMPUTED_VALUE"""),"Communication 1")</f>
        <v>Communication 1</v>
      </c>
      <c r="O45" s="11" t="str">
        <f>IFERROR(__xludf.DUMMYFUNCTION("""COMPUTED_VALUE"""),"237169")</f>
        <v>237169</v>
      </c>
      <c r="P45" s="11">
        <f>IFERROR(__xludf.DUMMYFUNCTION("""COMPUTED_VALUE"""),10.0)</f>
        <v>10</v>
      </c>
      <c r="Q45" s="11">
        <f>IFERROR(__xludf.DUMMYFUNCTION("""COMPUTED_VALUE"""),10.0)</f>
        <v>10</v>
      </c>
      <c r="R45" s="11">
        <f>IFERROR(__xludf.DUMMYFUNCTION("""COMPUTED_VALUE"""),1.0)</f>
        <v>1</v>
      </c>
      <c r="S45" s="11" t="str">
        <f>IFERROR(__xludf.DUMMYFUNCTION("""COMPUTED_VALUE"""),"Inactive")</f>
        <v>Inactive</v>
      </c>
      <c r="T45" s="11" t="str">
        <f>IFERROR(__xludf.DUMMYFUNCTION("""COMPUTED_VALUE"""),"Discontinued mid-course")</f>
        <v>Discontinued mid-course</v>
      </c>
      <c r="U45" s="11" t="str">
        <f>IFERROR(__xludf.DUMMYFUNCTION("""COMPUTED_VALUE"""),"Nghỉ giữa chừng")</f>
        <v>Nghỉ giữa chừng</v>
      </c>
    </row>
    <row r="46">
      <c r="A46" s="11" t="str">
        <f>IFERROR(__xludf.DUMMYFUNCTION("""COMPUTED_VALUE"""),"EL004")</f>
        <v>EL004</v>
      </c>
      <c r="B46" s="11" t="str">
        <f>IFERROR(__xludf.DUMMYFUNCTION("""COMPUTED_VALUE"""),"Communication 2")</f>
        <v>Communication 2</v>
      </c>
      <c r="C46" s="11" t="str">
        <f>IFERROR(__xludf.DUMMYFUNCTION("""COMPUTED_VALUE"""),"237097")</f>
        <v>237097</v>
      </c>
      <c r="D46" s="11">
        <f>IFERROR(__xludf.DUMMYFUNCTION("""COMPUTED_VALUE"""),16.0)</f>
        <v>16</v>
      </c>
      <c r="E46" s="11">
        <f>IFERROR(VLOOKUP(B46,COURSE_PLAN!A:B,2,FALSE),"")</f>
        <v>16</v>
      </c>
      <c r="F46" s="11">
        <f t="shared" si="1"/>
        <v>1</v>
      </c>
      <c r="G46" s="11" t="str">
        <f>IFERROR(VLOOKUP(C46,STUDENTS!A:E,5,FALSE),"")</f>
        <v>Inactive</v>
      </c>
      <c r="H46" s="11" t="str">
        <f>IFERROR(VLOOKUP(C46,STUDENTS!A:M,13,FALSE),"")</f>
        <v>Completed (no continuation)</v>
      </c>
      <c r="I46" s="11" t="str">
        <f>IF(D46="","",IF(AND(VLOOKUP(C46,STUDENTS!$A:$R,17,FALSE)=A46,VLOOKUP(C46,STUDENTS!$A:$R,18,FALSE)=B46,G46="Active"),"Đang học",IF(F46&gt;=0.8,IF(G46="Active","Tiếp tục khóa sau",IF(G46="Waiting for class","Chờ lớp mới",IF(G46="Inactive",IF(IFERROR(H46,"")="Discontinued mid-course","Nghỉ giữa chừng","Hoàn thành rồi nghỉ luôn"),""))),IF(G46="Inactive","Nghỉ giữa chừng","Đang học"))))</f>
        <v>Hoàn thành rồi nghỉ luôn</v>
      </c>
      <c r="M46" s="11" t="str">
        <f>IFERROR(__xludf.DUMMYFUNCTION("""COMPUTED_VALUE"""),"EL012")</f>
        <v>EL012</v>
      </c>
      <c r="N46" s="11" t="str">
        <f>IFERROR(__xludf.DUMMYFUNCTION("""COMPUTED_VALUE"""),"Communication 1")</f>
        <v>Communication 1</v>
      </c>
      <c r="O46" s="11" t="str">
        <f>IFERROR(__xludf.DUMMYFUNCTION("""COMPUTED_VALUE"""),"237227")</f>
        <v>237227</v>
      </c>
      <c r="P46" s="11">
        <f>IFERROR(__xludf.DUMMYFUNCTION("""COMPUTED_VALUE"""),10.0)</f>
        <v>10</v>
      </c>
      <c r="Q46" s="11">
        <f>IFERROR(__xludf.DUMMYFUNCTION("""COMPUTED_VALUE"""),10.0)</f>
        <v>10</v>
      </c>
      <c r="R46" s="11">
        <f>IFERROR(__xludf.DUMMYFUNCTION("""COMPUTED_VALUE"""),1.0)</f>
        <v>1</v>
      </c>
      <c r="S46" s="11" t="str">
        <f>IFERROR(__xludf.DUMMYFUNCTION("""COMPUTED_VALUE"""),"Inactive")</f>
        <v>Inactive</v>
      </c>
      <c r="T46" s="11" t="str">
        <f>IFERROR(__xludf.DUMMYFUNCTION("""COMPUTED_VALUE"""),"Discontinued mid-course")</f>
        <v>Discontinued mid-course</v>
      </c>
      <c r="U46" s="11" t="str">
        <f>IFERROR(__xludf.DUMMYFUNCTION("""COMPUTED_VALUE"""),"Nghỉ giữa chừng")</f>
        <v>Nghỉ giữa chừng</v>
      </c>
    </row>
    <row r="47">
      <c r="A47" s="11" t="str">
        <f>IFERROR(__xludf.DUMMYFUNCTION("""COMPUTED_VALUE"""),"EL004")</f>
        <v>EL004</v>
      </c>
      <c r="B47" s="11" t="str">
        <f>IFERROR(__xludf.DUMMYFUNCTION("""COMPUTED_VALUE"""),"Communication 2")</f>
        <v>Communication 2</v>
      </c>
      <c r="C47" s="11" t="str">
        <f>IFERROR(__xludf.DUMMYFUNCTION("""COMPUTED_VALUE"""),"237130")</f>
        <v>237130</v>
      </c>
      <c r="D47" s="11">
        <f>IFERROR(__xludf.DUMMYFUNCTION("""COMPUTED_VALUE"""),16.0)</f>
        <v>16</v>
      </c>
      <c r="E47" s="11">
        <f>IFERROR(VLOOKUP(B47,COURSE_PLAN!A:B,2,FALSE),"")</f>
        <v>16</v>
      </c>
      <c r="F47" s="11">
        <f t="shared" si="1"/>
        <v>1</v>
      </c>
      <c r="G47" s="11" t="str">
        <f>IFERROR(VLOOKUP(C47,STUDENTS!A:E,5,FALSE),"")</f>
        <v>Inactive</v>
      </c>
      <c r="H47" s="11" t="str">
        <f>IFERROR(VLOOKUP(C47,STUDENTS!A:M,13,FALSE),"")</f>
        <v>Completed (no continuation)</v>
      </c>
      <c r="I47" s="11" t="str">
        <f>IF(D47="","",IF(AND(VLOOKUP(C47,STUDENTS!$A:$R,17,FALSE)=A47,VLOOKUP(C47,STUDENTS!$A:$R,18,FALSE)=B47,G47="Active"),"Đang học",IF(F47&gt;=0.8,IF(G47="Active","Tiếp tục khóa sau",IF(G47="Waiting for class","Chờ lớp mới",IF(G47="Inactive",IF(IFERROR(H47,"")="Discontinued mid-course","Nghỉ giữa chừng","Hoàn thành rồi nghỉ luôn"),""))),IF(G47="Inactive","Nghỉ giữa chừng","Đang học"))))</f>
        <v>Hoàn thành rồi nghỉ luôn</v>
      </c>
      <c r="M47" s="11" t="str">
        <f>IFERROR(__xludf.DUMMYFUNCTION("""COMPUTED_VALUE"""),"EL013")</f>
        <v>EL013</v>
      </c>
      <c r="N47" s="11" t="str">
        <f>IFERROR(__xludf.DUMMYFUNCTION("""COMPUTED_VALUE"""),"Communication 1")</f>
        <v>Communication 1</v>
      </c>
      <c r="O47" s="11" t="str">
        <f>IFERROR(__xludf.DUMMYFUNCTION("""COMPUTED_VALUE"""),"213936")</f>
        <v>213936</v>
      </c>
      <c r="P47" s="11">
        <f>IFERROR(__xludf.DUMMYFUNCTION("""COMPUTED_VALUE"""),10.0)</f>
        <v>10</v>
      </c>
      <c r="Q47" s="11">
        <f>IFERROR(__xludf.DUMMYFUNCTION("""COMPUTED_VALUE"""),10.0)</f>
        <v>10</v>
      </c>
      <c r="R47" s="11">
        <f>IFERROR(__xludf.DUMMYFUNCTION("""COMPUTED_VALUE"""),1.0)</f>
        <v>1</v>
      </c>
      <c r="S47" s="11" t="str">
        <f>IFERROR(__xludf.DUMMYFUNCTION("""COMPUTED_VALUE"""),"Inactive")</f>
        <v>Inactive</v>
      </c>
      <c r="T47" s="11" t="str">
        <f>IFERROR(__xludf.DUMMYFUNCTION("""COMPUTED_VALUE"""),"Discontinued mid-course")</f>
        <v>Discontinued mid-course</v>
      </c>
      <c r="U47" s="11" t="str">
        <f>IFERROR(__xludf.DUMMYFUNCTION("""COMPUTED_VALUE"""),"Nghỉ giữa chừng")</f>
        <v>Nghỉ giữa chừng</v>
      </c>
    </row>
    <row r="48">
      <c r="A48" s="11" t="str">
        <f>IFERROR(__xludf.DUMMYFUNCTION("""COMPUTED_VALUE"""),"EL005")</f>
        <v>EL005</v>
      </c>
      <c r="B48" s="11" t="str">
        <f>IFERROR(__xludf.DUMMYFUNCTION("""COMPUTED_VALUE"""),"Communication 1")</f>
        <v>Communication 1</v>
      </c>
      <c r="C48" s="11" t="str">
        <f>IFERROR(__xludf.DUMMYFUNCTION("""COMPUTED_VALUE"""),"193447")</f>
        <v>193447</v>
      </c>
      <c r="D48" s="11">
        <f>IFERROR(__xludf.DUMMYFUNCTION("""COMPUTED_VALUE"""),10.0)</f>
        <v>10</v>
      </c>
      <c r="E48" s="11">
        <f>IFERROR(VLOOKUP(B48,COURSE_PLAN!A:B,2,FALSE),"")</f>
        <v>10</v>
      </c>
      <c r="F48" s="11">
        <f t="shared" si="1"/>
        <v>1</v>
      </c>
      <c r="G48" s="11" t="str">
        <f>IFERROR(VLOOKUP(C48,STUDENTS!A:E,5,FALSE),"")</f>
        <v>Inactive</v>
      </c>
      <c r="H48" s="11" t="str">
        <f>IFERROR(VLOOKUP(C48,STUDENTS!A:M,13,FALSE),"")</f>
        <v>Completed (no continuation)</v>
      </c>
      <c r="I48" s="11" t="str">
        <f>IF(D48="","",IF(AND(VLOOKUP(C48,STUDENTS!$A:$R,17,FALSE)=A48,VLOOKUP(C48,STUDENTS!$A:$R,18,FALSE)=B48,G48="Active"),"Đang học",IF(F48&gt;=0.8,IF(G48="Active","Tiếp tục khóa sau",IF(G48="Waiting for class","Chờ lớp mới",IF(G48="Inactive",IF(IFERROR(H48,"")="Discontinued mid-course","Nghỉ giữa chừng","Hoàn thành rồi nghỉ luôn"),""))),IF(G48="Inactive","Nghỉ giữa chừng","Đang học"))))</f>
        <v>Hoàn thành rồi nghỉ luôn</v>
      </c>
      <c r="M48" s="11" t="str">
        <f>IFERROR(__xludf.DUMMYFUNCTION("""COMPUTED_VALUE"""),"EL013")</f>
        <v>EL013</v>
      </c>
      <c r="N48" s="11" t="str">
        <f>IFERROR(__xludf.DUMMYFUNCTION("""COMPUTED_VALUE"""),"Communication 2")</f>
        <v>Communication 2</v>
      </c>
      <c r="O48" s="11" t="str">
        <f>IFERROR(__xludf.DUMMYFUNCTION("""COMPUTED_VALUE"""),"213936")</f>
        <v>213936</v>
      </c>
      <c r="P48" s="11">
        <f>IFERROR(__xludf.DUMMYFUNCTION("""COMPUTED_VALUE"""),16.0)</f>
        <v>16</v>
      </c>
      <c r="Q48" s="11">
        <f>IFERROR(__xludf.DUMMYFUNCTION("""COMPUTED_VALUE"""),16.0)</f>
        <v>16</v>
      </c>
      <c r="R48" s="11">
        <f>IFERROR(__xludf.DUMMYFUNCTION("""COMPUTED_VALUE"""),1.0)</f>
        <v>1</v>
      </c>
      <c r="S48" s="11" t="str">
        <f>IFERROR(__xludf.DUMMYFUNCTION("""COMPUTED_VALUE"""),"Inactive")</f>
        <v>Inactive</v>
      </c>
      <c r="T48" s="11" t="str">
        <f>IFERROR(__xludf.DUMMYFUNCTION("""COMPUTED_VALUE"""),"Discontinued mid-course")</f>
        <v>Discontinued mid-course</v>
      </c>
      <c r="U48" s="11" t="str">
        <f>IFERROR(__xludf.DUMMYFUNCTION("""COMPUTED_VALUE"""),"Nghỉ giữa chừng")</f>
        <v>Nghỉ giữa chừng</v>
      </c>
    </row>
    <row r="49">
      <c r="A49" s="11" t="str">
        <f>IFERROR(__xludf.DUMMYFUNCTION("""COMPUTED_VALUE"""),"EL005")</f>
        <v>EL005</v>
      </c>
      <c r="B49" s="11" t="str">
        <f>IFERROR(__xludf.DUMMYFUNCTION("""COMPUTED_VALUE"""),"Communication 1")</f>
        <v>Communication 1</v>
      </c>
      <c r="C49" s="11" t="str">
        <f>IFERROR(__xludf.DUMMYFUNCTION("""COMPUTED_VALUE"""),"227092")</f>
        <v>227092</v>
      </c>
      <c r="D49" s="11">
        <f>IFERROR(__xludf.DUMMYFUNCTION("""COMPUTED_VALUE"""),10.0)</f>
        <v>10</v>
      </c>
      <c r="E49" s="11">
        <f>IFERROR(VLOOKUP(B49,COURSE_PLAN!A:B,2,FALSE),"")</f>
        <v>10</v>
      </c>
      <c r="F49" s="11">
        <f t="shared" si="1"/>
        <v>1</v>
      </c>
      <c r="G49" s="11" t="str">
        <f>IFERROR(VLOOKUP(C49,STUDENTS!A:E,5,FALSE),"")</f>
        <v>Inactive</v>
      </c>
      <c r="H49" s="11" t="str">
        <f>IFERROR(VLOOKUP(C49,STUDENTS!A:M,13,FALSE),"")</f>
        <v>Completed (no continuation)</v>
      </c>
      <c r="I49" s="11" t="str">
        <f>IF(D49="","",IF(AND(VLOOKUP(C49,STUDENTS!$A:$R,17,FALSE)=A49,VLOOKUP(C49,STUDENTS!$A:$R,18,FALSE)=B49,G49="Active"),"Đang học",IF(F49&gt;=0.8,IF(G49="Active","Tiếp tục khóa sau",IF(G49="Waiting for class","Chờ lớp mới",IF(G49="Inactive",IF(IFERROR(H49,"")="Discontinued mid-course","Nghỉ giữa chừng","Hoàn thành rồi nghỉ luôn"),""))),IF(G49="Inactive","Nghỉ giữa chừng","Đang học"))))</f>
        <v>Hoàn thành rồi nghỉ luôn</v>
      </c>
      <c r="M49" s="11" t="str">
        <f>IFERROR(__xludf.DUMMYFUNCTION("""COMPUTED_VALUE"""),"EL015")</f>
        <v>EL015</v>
      </c>
      <c r="N49" s="11" t="str">
        <f>IFERROR(__xludf.DUMMYFUNCTION("""COMPUTED_VALUE"""),"Communication 1")</f>
        <v>Communication 1</v>
      </c>
      <c r="O49" s="11" t="str">
        <f>IFERROR(__xludf.DUMMYFUNCTION("""COMPUTED_VALUE"""),"227130")</f>
        <v>227130</v>
      </c>
      <c r="P49" s="11">
        <f>IFERROR(__xludf.DUMMYFUNCTION("""COMPUTED_VALUE"""),10.0)</f>
        <v>10</v>
      </c>
      <c r="Q49" s="11">
        <f>IFERROR(__xludf.DUMMYFUNCTION("""COMPUTED_VALUE"""),10.0)</f>
        <v>10</v>
      </c>
      <c r="R49" s="11">
        <f>IFERROR(__xludf.DUMMYFUNCTION("""COMPUTED_VALUE"""),1.0)</f>
        <v>1</v>
      </c>
      <c r="S49" s="11" t="str">
        <f>IFERROR(__xludf.DUMMYFUNCTION("""COMPUTED_VALUE"""),"Inactive")</f>
        <v>Inactive</v>
      </c>
      <c r="T49" s="11" t="str">
        <f>IFERROR(__xludf.DUMMYFUNCTION("""COMPUTED_VALUE"""),"Discontinued mid-course")</f>
        <v>Discontinued mid-course</v>
      </c>
      <c r="U49" s="11" t="str">
        <f>IFERROR(__xludf.DUMMYFUNCTION("""COMPUTED_VALUE"""),"Nghỉ giữa chừng")</f>
        <v>Nghỉ giữa chừng</v>
      </c>
    </row>
    <row r="50">
      <c r="A50" s="11" t="str">
        <f>IFERROR(__xludf.DUMMYFUNCTION("""COMPUTED_VALUE"""),"EL005")</f>
        <v>EL005</v>
      </c>
      <c r="B50" s="11" t="str">
        <f>IFERROR(__xludf.DUMMYFUNCTION("""COMPUTED_VALUE"""),"Communication 1")</f>
        <v>Communication 1</v>
      </c>
      <c r="C50" s="11" t="str">
        <f>IFERROR(__xludf.DUMMYFUNCTION("""COMPUTED_VALUE"""),"227160")</f>
        <v>227160</v>
      </c>
      <c r="D50" s="11">
        <f>IFERROR(__xludf.DUMMYFUNCTION("""COMPUTED_VALUE"""),10.0)</f>
        <v>10</v>
      </c>
      <c r="E50" s="11">
        <f>IFERROR(VLOOKUP(B50,COURSE_PLAN!A:B,2,FALSE),"")</f>
        <v>10</v>
      </c>
      <c r="F50" s="11">
        <f t="shared" si="1"/>
        <v>1</v>
      </c>
      <c r="G50" s="11" t="str">
        <f>IFERROR(VLOOKUP(C50,STUDENTS!A:E,5,FALSE),"")</f>
        <v>Inactive</v>
      </c>
      <c r="H50" s="11" t="str">
        <f>IFERROR(VLOOKUP(C50,STUDENTS!A:M,13,FALSE),"")</f>
        <v>Completed (no continuation)</v>
      </c>
      <c r="I50" s="11" t="str">
        <f>IF(D50="","",IF(AND(VLOOKUP(C50,STUDENTS!$A:$R,17,FALSE)=A50,VLOOKUP(C50,STUDENTS!$A:$R,18,FALSE)=B50,G50="Active"),"Đang học",IF(F50&gt;=0.8,IF(G50="Active","Tiếp tục khóa sau",IF(G50="Waiting for class","Chờ lớp mới",IF(G50="Inactive",IF(IFERROR(H50,"")="Discontinued mid-course","Nghỉ giữa chừng","Hoàn thành rồi nghỉ luôn"),""))),IF(G50="Inactive","Nghỉ giữa chừng","Đang học"))))</f>
        <v>Hoàn thành rồi nghỉ luôn</v>
      </c>
      <c r="M50" s="11" t="str">
        <f>IFERROR(__xludf.DUMMYFUNCTION("""COMPUTED_VALUE"""),"EL015")</f>
        <v>EL015</v>
      </c>
      <c r="N50" s="11" t="str">
        <f>IFERROR(__xludf.DUMMYFUNCTION("""COMPUTED_VALUE"""),"Communication 1")</f>
        <v>Communication 1</v>
      </c>
      <c r="O50" s="11" t="str">
        <f>IFERROR(__xludf.DUMMYFUNCTION("""COMPUTED_VALUE"""),"247163")</f>
        <v>247163</v>
      </c>
      <c r="P50" s="11">
        <f>IFERROR(__xludf.DUMMYFUNCTION("""COMPUTED_VALUE"""),10.0)</f>
        <v>10</v>
      </c>
      <c r="Q50" s="11">
        <f>IFERROR(__xludf.DUMMYFUNCTION("""COMPUTED_VALUE"""),10.0)</f>
        <v>10</v>
      </c>
      <c r="R50" s="11">
        <f>IFERROR(__xludf.DUMMYFUNCTION("""COMPUTED_VALUE"""),1.0)</f>
        <v>1</v>
      </c>
      <c r="S50" s="11" t="str">
        <f>IFERROR(__xludf.DUMMYFUNCTION("""COMPUTED_VALUE"""),"Inactive")</f>
        <v>Inactive</v>
      </c>
      <c r="T50" s="11" t="str">
        <f>IFERROR(__xludf.DUMMYFUNCTION("""COMPUTED_VALUE"""),"Discontinued mid-course")</f>
        <v>Discontinued mid-course</v>
      </c>
      <c r="U50" s="11" t="str">
        <f>IFERROR(__xludf.DUMMYFUNCTION("""COMPUTED_VALUE"""),"Nghỉ giữa chừng")</f>
        <v>Nghỉ giữa chừng</v>
      </c>
    </row>
    <row r="51">
      <c r="A51" s="11" t="str">
        <f>IFERROR(__xludf.DUMMYFUNCTION("""COMPUTED_VALUE"""),"EL005")</f>
        <v>EL005</v>
      </c>
      <c r="B51" s="11" t="str">
        <f>IFERROR(__xludf.DUMMYFUNCTION("""COMPUTED_VALUE"""),"Communication 1")</f>
        <v>Communication 1</v>
      </c>
      <c r="C51" s="11" t="str">
        <f>IFERROR(__xludf.DUMMYFUNCTION("""COMPUTED_VALUE"""),"237182")</f>
        <v>237182</v>
      </c>
      <c r="D51" s="11">
        <f>IFERROR(__xludf.DUMMYFUNCTION("""COMPUTED_VALUE"""),10.0)</f>
        <v>10</v>
      </c>
      <c r="E51" s="11">
        <f>IFERROR(VLOOKUP(B51,COURSE_PLAN!A:B,2,FALSE),"")</f>
        <v>10</v>
      </c>
      <c r="F51" s="11">
        <f t="shared" si="1"/>
        <v>1</v>
      </c>
      <c r="G51" s="11" t="str">
        <f>IFERROR(VLOOKUP(C51,STUDENTS!A:E,5,FALSE),"")</f>
        <v>Inactive</v>
      </c>
      <c r="H51" s="11" t="str">
        <f>IFERROR(VLOOKUP(C51,STUDENTS!A:M,13,FALSE),"")</f>
        <v>Discontinued mid-course</v>
      </c>
      <c r="I51" s="11" t="str">
        <f>IF(D51="","",IF(AND(VLOOKUP(C51,STUDENTS!$A:$R,17,FALSE)=A51,VLOOKUP(C51,STUDENTS!$A:$R,18,FALSE)=B51,G51="Active"),"Đang học",IF(F51&gt;=0.8,IF(G51="Active","Tiếp tục khóa sau",IF(G51="Waiting for class","Chờ lớp mới",IF(G51="Inactive",IF(IFERROR(H51,"")="Discontinued mid-course","Nghỉ giữa chừng","Hoàn thành rồi nghỉ luôn"),""))),IF(G51="Inactive","Nghỉ giữa chừng","Đang học"))))</f>
        <v>Nghỉ giữa chừng</v>
      </c>
      <c r="M51" s="11" t="str">
        <f>IFERROR(__xludf.DUMMYFUNCTION("""COMPUTED_VALUE"""),"EL015")</f>
        <v>EL015</v>
      </c>
      <c r="N51" s="11" t="str">
        <f>IFERROR(__xludf.DUMMYFUNCTION("""COMPUTED_VALUE"""),"Communication 1")</f>
        <v>Communication 1</v>
      </c>
      <c r="O51" s="11" t="str">
        <f>IFERROR(__xludf.DUMMYFUNCTION("""COMPUTED_VALUE"""),"247384")</f>
        <v>247384</v>
      </c>
      <c r="P51" s="11">
        <f>IFERROR(__xludf.DUMMYFUNCTION("""COMPUTED_VALUE"""),10.0)</f>
        <v>10</v>
      </c>
      <c r="Q51" s="11">
        <f>IFERROR(__xludf.DUMMYFUNCTION("""COMPUTED_VALUE"""),10.0)</f>
        <v>10</v>
      </c>
      <c r="R51" s="11">
        <f>IFERROR(__xludf.DUMMYFUNCTION("""COMPUTED_VALUE"""),1.0)</f>
        <v>1</v>
      </c>
      <c r="S51" s="11" t="str">
        <f>IFERROR(__xludf.DUMMYFUNCTION("""COMPUTED_VALUE"""),"Inactive")</f>
        <v>Inactive</v>
      </c>
      <c r="T51" s="11" t="str">
        <f>IFERROR(__xludf.DUMMYFUNCTION("""COMPUTED_VALUE"""),"Discontinued mid-course")</f>
        <v>Discontinued mid-course</v>
      </c>
      <c r="U51" s="11" t="str">
        <f>IFERROR(__xludf.DUMMYFUNCTION("""COMPUTED_VALUE"""),"Nghỉ giữa chừng")</f>
        <v>Nghỉ giữa chừng</v>
      </c>
    </row>
    <row r="52">
      <c r="A52" s="11" t="str">
        <f>IFERROR(__xludf.DUMMYFUNCTION("""COMPUTED_VALUE"""),"EL005")</f>
        <v>EL005</v>
      </c>
      <c r="B52" s="11" t="str">
        <f>IFERROR(__xludf.DUMMYFUNCTION("""COMPUTED_VALUE"""),"Communication 1")</f>
        <v>Communication 1</v>
      </c>
      <c r="C52" s="11" t="str">
        <f>IFERROR(__xludf.DUMMYFUNCTION("""COMPUTED_VALUE"""),"247187")</f>
        <v>247187</v>
      </c>
      <c r="D52" s="11">
        <f>IFERROR(__xludf.DUMMYFUNCTION("""COMPUTED_VALUE"""),10.0)</f>
        <v>10</v>
      </c>
      <c r="E52" s="11">
        <f>IFERROR(VLOOKUP(B52,COURSE_PLAN!A:B,2,FALSE),"")</f>
        <v>10</v>
      </c>
      <c r="F52" s="11">
        <f t="shared" si="1"/>
        <v>1</v>
      </c>
      <c r="G52" s="11" t="str">
        <f>IFERROR(VLOOKUP(C52,STUDENTS!A:E,5,FALSE),"")</f>
        <v>Inactive</v>
      </c>
      <c r="H52" s="11" t="str">
        <f>IFERROR(VLOOKUP(C52,STUDENTS!A:M,13,FALSE),"")</f>
        <v>Completed (no continuation)</v>
      </c>
      <c r="I52" s="11" t="str">
        <f>IF(D52="","",IF(AND(VLOOKUP(C52,STUDENTS!$A:$R,17,FALSE)=A52,VLOOKUP(C52,STUDENTS!$A:$R,18,FALSE)=B52,G52="Active"),"Đang học",IF(F52&gt;=0.8,IF(G52="Active","Tiếp tục khóa sau",IF(G52="Waiting for class","Chờ lớp mới",IF(G52="Inactive",IF(IFERROR(H52,"")="Discontinued mid-course","Nghỉ giữa chừng","Hoàn thành rồi nghỉ luôn"),""))),IF(G52="Inactive","Nghỉ giữa chừng","Đang học"))))</f>
        <v>Hoàn thành rồi nghỉ luôn</v>
      </c>
      <c r="M52" s="11" t="str">
        <f>IFERROR(__xludf.DUMMYFUNCTION("""COMPUTED_VALUE"""),"EL015")</f>
        <v>EL015</v>
      </c>
      <c r="N52" s="11" t="str">
        <f>IFERROR(__xludf.DUMMYFUNCTION("""COMPUTED_VALUE"""),"Communication 2")</f>
        <v>Communication 2</v>
      </c>
      <c r="O52" s="11" t="str">
        <f>IFERROR(__xludf.DUMMYFUNCTION("""COMPUTED_VALUE"""),"227130")</f>
        <v>227130</v>
      </c>
      <c r="P52" s="11">
        <f>IFERROR(__xludf.DUMMYFUNCTION("""COMPUTED_VALUE"""),4.0)</f>
        <v>4</v>
      </c>
      <c r="Q52" s="11">
        <f>IFERROR(__xludf.DUMMYFUNCTION("""COMPUTED_VALUE"""),16.0)</f>
        <v>16</v>
      </c>
      <c r="R52" s="11">
        <f>IFERROR(__xludf.DUMMYFUNCTION("""COMPUTED_VALUE"""),0.25)</f>
        <v>0.25</v>
      </c>
      <c r="S52" s="11" t="str">
        <f>IFERROR(__xludf.DUMMYFUNCTION("""COMPUTED_VALUE"""),"Inactive")</f>
        <v>Inactive</v>
      </c>
      <c r="T52" s="11" t="str">
        <f>IFERROR(__xludf.DUMMYFUNCTION("""COMPUTED_VALUE"""),"Discontinued mid-course")</f>
        <v>Discontinued mid-course</v>
      </c>
      <c r="U52" s="11" t="str">
        <f>IFERROR(__xludf.DUMMYFUNCTION("""COMPUTED_VALUE"""),"Nghỉ giữa chừng")</f>
        <v>Nghỉ giữa chừng</v>
      </c>
    </row>
    <row r="53">
      <c r="A53" s="11" t="str">
        <f>IFERROR(__xludf.DUMMYFUNCTION("""COMPUTED_VALUE"""),"EL006")</f>
        <v>EL006</v>
      </c>
      <c r="B53" s="11" t="str">
        <f>IFERROR(__xludf.DUMMYFUNCTION("""COMPUTED_VALUE"""),"Communication 1")</f>
        <v>Communication 1</v>
      </c>
      <c r="C53" s="11" t="str">
        <f>IFERROR(__xludf.DUMMYFUNCTION("""COMPUTED_VALUE"""),"183421")</f>
        <v>183421</v>
      </c>
      <c r="D53" s="11">
        <f>IFERROR(__xludf.DUMMYFUNCTION("""COMPUTED_VALUE"""),10.0)</f>
        <v>10</v>
      </c>
      <c r="E53" s="11">
        <f>IFERROR(VLOOKUP(B53,COURSE_PLAN!A:B,2,FALSE),"")</f>
        <v>10</v>
      </c>
      <c r="F53" s="11">
        <f t="shared" si="1"/>
        <v>1</v>
      </c>
      <c r="G53" s="11" t="str">
        <f>IFERROR(VLOOKUP(C53,STUDENTS!A:E,5,FALSE),"")</f>
        <v>Waiting for class</v>
      </c>
      <c r="H53" s="11" t="str">
        <f>IFERROR(VLOOKUP(C53,STUDENTS!A:M,13,FALSE),"")</f>
        <v>Waiting for class</v>
      </c>
      <c r="I53" s="11" t="str">
        <f>IF(D53="","",IF(AND(VLOOKUP(C53,STUDENTS!$A:$R,17,FALSE)=A53,VLOOKUP(C53,STUDENTS!$A:$R,18,FALSE)=B53,G53="Active"),"Đang học",IF(F53&gt;=0.8,IF(G53="Active","Tiếp tục khóa sau",IF(G53="Waiting for class","Chờ lớp mới",IF(G53="Inactive",IF(IFERROR(H53,"")="Discontinued mid-course","Nghỉ giữa chừng","Hoàn thành rồi nghỉ luôn"),""))),IF(G53="Inactive","Nghỉ giữa chừng","Đang học"))))</f>
        <v>Chờ lớp mới</v>
      </c>
      <c r="M53" s="11" t="str">
        <f>IFERROR(__xludf.DUMMYFUNCTION("""COMPUTED_VALUE"""),"EL015")</f>
        <v>EL015</v>
      </c>
      <c r="N53" s="11" t="str">
        <f>IFERROR(__xludf.DUMMYFUNCTION("""COMPUTED_VALUE"""),"Communication 2")</f>
        <v>Communication 2</v>
      </c>
      <c r="O53" s="11" t="str">
        <f>IFERROR(__xludf.DUMMYFUNCTION("""COMPUTED_VALUE"""),"247384")</f>
        <v>247384</v>
      </c>
      <c r="P53" s="11">
        <f>IFERROR(__xludf.DUMMYFUNCTION("""COMPUTED_VALUE"""),4.0)</f>
        <v>4</v>
      </c>
      <c r="Q53" s="11">
        <f>IFERROR(__xludf.DUMMYFUNCTION("""COMPUTED_VALUE"""),16.0)</f>
        <v>16</v>
      </c>
      <c r="R53" s="11">
        <f>IFERROR(__xludf.DUMMYFUNCTION("""COMPUTED_VALUE"""),0.25)</f>
        <v>0.25</v>
      </c>
      <c r="S53" s="11" t="str">
        <f>IFERROR(__xludf.DUMMYFUNCTION("""COMPUTED_VALUE"""),"Inactive")</f>
        <v>Inactive</v>
      </c>
      <c r="T53" s="11" t="str">
        <f>IFERROR(__xludf.DUMMYFUNCTION("""COMPUTED_VALUE"""),"Discontinued mid-course")</f>
        <v>Discontinued mid-course</v>
      </c>
      <c r="U53" s="11" t="str">
        <f>IFERROR(__xludf.DUMMYFUNCTION("""COMPUTED_VALUE"""),"Nghỉ giữa chừng")</f>
        <v>Nghỉ giữa chừng</v>
      </c>
    </row>
    <row r="54">
      <c r="A54" s="11" t="str">
        <f>IFERROR(__xludf.DUMMYFUNCTION("""COMPUTED_VALUE"""),"EL006")</f>
        <v>EL006</v>
      </c>
      <c r="B54" s="11" t="str">
        <f>IFERROR(__xludf.DUMMYFUNCTION("""COMPUTED_VALUE"""),"Communication 1")</f>
        <v>Communication 1</v>
      </c>
      <c r="C54" s="11" t="str">
        <f>IFERROR(__xludf.DUMMYFUNCTION("""COMPUTED_VALUE"""),"193548")</f>
        <v>193548</v>
      </c>
      <c r="D54" s="11">
        <f>IFERROR(__xludf.DUMMYFUNCTION("""COMPUTED_VALUE"""),10.0)</f>
        <v>10</v>
      </c>
      <c r="E54" s="11">
        <f>IFERROR(VLOOKUP(B54,COURSE_PLAN!A:B,2,FALSE),"")</f>
        <v>10</v>
      </c>
      <c r="F54" s="11">
        <f t="shared" si="1"/>
        <v>1</v>
      </c>
      <c r="G54" s="11" t="str">
        <f>IFERROR(VLOOKUP(C54,STUDENTS!A:E,5,FALSE),"")</f>
        <v>Inactive</v>
      </c>
      <c r="H54" s="11" t="str">
        <f>IFERROR(VLOOKUP(C54,STUDENTS!A:M,13,FALSE),"")</f>
        <v>Completed (no continuation)</v>
      </c>
      <c r="I54" s="11" t="str">
        <f>IF(D54="","",IF(AND(VLOOKUP(C54,STUDENTS!$A:$R,17,FALSE)=A54,VLOOKUP(C54,STUDENTS!$A:$R,18,FALSE)=B54,G54="Active"),"Đang học",IF(F54&gt;=0.8,IF(G54="Active","Tiếp tục khóa sau",IF(G54="Waiting for class","Chờ lớp mới",IF(G54="Inactive",IF(IFERROR(H54,"")="Discontinued mid-course","Nghỉ giữa chừng","Hoàn thành rồi nghỉ luôn"),""))),IF(G54="Inactive","Nghỉ giữa chừng","Đang học"))))</f>
        <v>Hoàn thành rồi nghỉ luôn</v>
      </c>
      <c r="M54" s="11" t="str">
        <f>IFERROR(__xludf.DUMMYFUNCTION("""COMPUTED_VALUE"""),"EL016")</f>
        <v>EL016</v>
      </c>
      <c r="N54" s="11" t="str">
        <f>IFERROR(__xludf.DUMMYFUNCTION("""COMPUTED_VALUE"""),"Communication 1")</f>
        <v>Communication 1</v>
      </c>
      <c r="O54" s="11" t="str">
        <f>IFERROR(__xludf.DUMMYFUNCTION("""COMPUTED_VALUE"""),"213895")</f>
        <v>213895</v>
      </c>
      <c r="P54" s="11">
        <f>IFERROR(__xludf.DUMMYFUNCTION("""COMPUTED_VALUE"""),3.0)</f>
        <v>3</v>
      </c>
      <c r="Q54" s="11">
        <f>IFERROR(__xludf.DUMMYFUNCTION("""COMPUTED_VALUE"""),10.0)</f>
        <v>10</v>
      </c>
      <c r="R54" s="11">
        <f>IFERROR(__xludf.DUMMYFUNCTION("""COMPUTED_VALUE"""),0.3)</f>
        <v>0.3</v>
      </c>
      <c r="S54" s="11" t="str">
        <f>IFERROR(__xludf.DUMMYFUNCTION("""COMPUTED_VALUE"""),"Inactive")</f>
        <v>Inactive</v>
      </c>
      <c r="T54" s="11" t="str">
        <f>IFERROR(__xludf.DUMMYFUNCTION("""COMPUTED_VALUE"""),"Discontinued mid-course")</f>
        <v>Discontinued mid-course</v>
      </c>
      <c r="U54" s="11" t="str">
        <f>IFERROR(__xludf.DUMMYFUNCTION("""COMPUTED_VALUE"""),"Nghỉ giữa chừng")</f>
        <v>Nghỉ giữa chừng</v>
      </c>
    </row>
    <row r="55">
      <c r="A55" s="11" t="str">
        <f>IFERROR(__xludf.DUMMYFUNCTION("""COMPUTED_VALUE"""),"EL006")</f>
        <v>EL006</v>
      </c>
      <c r="B55" s="11" t="str">
        <f>IFERROR(__xludf.DUMMYFUNCTION("""COMPUTED_VALUE"""),"Communication 1")</f>
        <v>Communication 1</v>
      </c>
      <c r="C55" s="11" t="str">
        <f>IFERROR(__xludf.DUMMYFUNCTION("""COMPUTED_VALUE"""),"237043")</f>
        <v>237043</v>
      </c>
      <c r="D55" s="11">
        <f>IFERROR(__xludf.DUMMYFUNCTION("""COMPUTED_VALUE"""),10.0)</f>
        <v>10</v>
      </c>
      <c r="E55" s="11">
        <f>IFERROR(VLOOKUP(B55,COURSE_PLAN!A:B,2,FALSE),"")</f>
        <v>10</v>
      </c>
      <c r="F55" s="11">
        <f t="shared" si="1"/>
        <v>1</v>
      </c>
      <c r="G55" s="11" t="str">
        <f>IFERROR(VLOOKUP(C55,STUDENTS!A:E,5,FALSE),"")</f>
        <v>Inactive</v>
      </c>
      <c r="H55" s="11" t="str">
        <f>IFERROR(VLOOKUP(C55,STUDENTS!A:M,13,FALSE),"")</f>
        <v>Discontinued mid-course</v>
      </c>
      <c r="I55" s="11" t="str">
        <f>IF(D55="","",IF(AND(VLOOKUP(C55,STUDENTS!$A:$R,17,FALSE)=A55,VLOOKUP(C55,STUDENTS!$A:$R,18,FALSE)=B55,G55="Active"),"Đang học",IF(F55&gt;=0.8,IF(G55="Active","Tiếp tục khóa sau",IF(G55="Waiting for class","Chờ lớp mới",IF(G55="Inactive",IF(IFERROR(H55,"")="Discontinued mid-course","Nghỉ giữa chừng","Hoàn thành rồi nghỉ luôn"),""))),IF(G55="Inactive","Nghỉ giữa chừng","Đang học"))))</f>
        <v>Nghỉ giữa chừng</v>
      </c>
      <c r="M55" s="11" t="str">
        <f>IFERROR(__xludf.DUMMYFUNCTION("""COMPUTED_VALUE"""),"EL016")</f>
        <v>EL016</v>
      </c>
      <c r="N55" s="11" t="str">
        <f>IFERROR(__xludf.DUMMYFUNCTION("""COMPUTED_VALUE"""),"Communication 1")</f>
        <v>Communication 1</v>
      </c>
      <c r="O55" s="11" t="str">
        <f>IFERROR(__xludf.DUMMYFUNCTION("""COMPUTED_VALUE"""),"213991")</f>
        <v>213991</v>
      </c>
      <c r="P55" s="11">
        <f>IFERROR(__xludf.DUMMYFUNCTION("""COMPUTED_VALUE"""),3.0)</f>
        <v>3</v>
      </c>
      <c r="Q55" s="11">
        <f>IFERROR(__xludf.DUMMYFUNCTION("""COMPUTED_VALUE"""),10.0)</f>
        <v>10</v>
      </c>
      <c r="R55" s="11">
        <f>IFERROR(__xludf.DUMMYFUNCTION("""COMPUTED_VALUE"""),0.3)</f>
        <v>0.3</v>
      </c>
      <c r="S55" s="11" t="str">
        <f>IFERROR(__xludf.DUMMYFUNCTION("""COMPUTED_VALUE"""),"Inactive")</f>
        <v>Inactive</v>
      </c>
      <c r="T55" s="11" t="str">
        <f>IFERROR(__xludf.DUMMYFUNCTION("""COMPUTED_VALUE"""),"Discontinued mid-course")</f>
        <v>Discontinued mid-course</v>
      </c>
      <c r="U55" s="11" t="str">
        <f>IFERROR(__xludf.DUMMYFUNCTION("""COMPUTED_VALUE"""),"Nghỉ giữa chừng")</f>
        <v>Nghỉ giữa chừng</v>
      </c>
    </row>
    <row r="56">
      <c r="A56" s="11" t="str">
        <f>IFERROR(__xludf.DUMMYFUNCTION("""COMPUTED_VALUE"""),"EL006")</f>
        <v>EL006</v>
      </c>
      <c r="B56" s="11" t="str">
        <f>IFERROR(__xludf.DUMMYFUNCTION("""COMPUTED_VALUE"""),"Communication 1")</f>
        <v>Communication 1</v>
      </c>
      <c r="C56" s="11" t="str">
        <f>IFERROR(__xludf.DUMMYFUNCTION("""COMPUTED_VALUE"""),"247026")</f>
        <v>247026</v>
      </c>
      <c r="D56" s="11">
        <f>IFERROR(__xludf.DUMMYFUNCTION("""COMPUTED_VALUE"""),10.0)</f>
        <v>10</v>
      </c>
      <c r="E56" s="11">
        <f>IFERROR(VLOOKUP(B56,COURSE_PLAN!A:B,2,FALSE),"")</f>
        <v>10</v>
      </c>
      <c r="F56" s="11">
        <f t="shared" si="1"/>
        <v>1</v>
      </c>
      <c r="G56" s="11" t="str">
        <f>IFERROR(VLOOKUP(C56,STUDENTS!A:E,5,FALSE),"")</f>
        <v>Inactive</v>
      </c>
      <c r="H56" s="11" t="str">
        <f>IFERROR(VLOOKUP(C56,STUDENTS!A:M,13,FALSE),"")</f>
        <v>Completed (no continuation)</v>
      </c>
      <c r="I56" s="11" t="str">
        <f>IF(D56="","",IF(AND(VLOOKUP(C56,STUDENTS!$A:$R,17,FALSE)=A56,VLOOKUP(C56,STUDENTS!$A:$R,18,FALSE)=B56,G56="Active"),"Đang học",IF(F56&gt;=0.8,IF(G56="Active","Tiếp tục khóa sau",IF(G56="Waiting for class","Chờ lớp mới",IF(G56="Inactive",IF(IFERROR(H56,"")="Discontinued mid-course","Nghỉ giữa chừng","Hoàn thành rồi nghỉ luôn"),""))),IF(G56="Inactive","Nghỉ giữa chừng","Đang học"))))</f>
        <v>Hoàn thành rồi nghỉ luôn</v>
      </c>
      <c r="M56" s="11" t="str">
        <f>IFERROR(__xludf.DUMMYFUNCTION("""COMPUTED_VALUE"""),"EL016")</f>
        <v>EL016</v>
      </c>
      <c r="N56" s="11" t="str">
        <f>IFERROR(__xludf.DUMMYFUNCTION("""COMPUTED_VALUE"""),"Communication 1")</f>
        <v>Communication 1</v>
      </c>
      <c r="O56" s="11" t="str">
        <f>IFERROR(__xludf.DUMMYFUNCTION("""COMPUTED_VALUE"""),"237237")</f>
        <v>237237</v>
      </c>
      <c r="P56" s="11">
        <f>IFERROR(__xludf.DUMMYFUNCTION("""COMPUTED_VALUE"""),3.0)</f>
        <v>3</v>
      </c>
      <c r="Q56" s="11">
        <f>IFERROR(__xludf.DUMMYFUNCTION("""COMPUTED_VALUE"""),10.0)</f>
        <v>10</v>
      </c>
      <c r="R56" s="11">
        <f>IFERROR(__xludf.DUMMYFUNCTION("""COMPUTED_VALUE"""),0.3)</f>
        <v>0.3</v>
      </c>
      <c r="S56" s="11" t="str">
        <f>IFERROR(__xludf.DUMMYFUNCTION("""COMPUTED_VALUE"""),"Inactive")</f>
        <v>Inactive</v>
      </c>
      <c r="T56" s="11" t="str">
        <f>IFERROR(__xludf.DUMMYFUNCTION("""COMPUTED_VALUE"""),"Discontinued mid-course")</f>
        <v>Discontinued mid-course</v>
      </c>
      <c r="U56" s="11" t="str">
        <f>IFERROR(__xludf.DUMMYFUNCTION("""COMPUTED_VALUE"""),"Nghỉ giữa chừng")</f>
        <v>Nghỉ giữa chừng</v>
      </c>
    </row>
    <row r="57">
      <c r="A57" s="11" t="str">
        <f>IFERROR(__xludf.DUMMYFUNCTION("""COMPUTED_VALUE"""),"EL007")</f>
        <v>EL007</v>
      </c>
      <c r="B57" s="11" t="str">
        <f>IFERROR(__xludf.DUMMYFUNCTION("""COMPUTED_VALUE"""),"Communication 1")</f>
        <v>Communication 1</v>
      </c>
      <c r="C57" s="11" t="str">
        <f>IFERROR(__xludf.DUMMYFUNCTION("""COMPUTED_VALUE"""),"203759")</f>
        <v>203759</v>
      </c>
      <c r="D57" s="11">
        <f>IFERROR(__xludf.DUMMYFUNCTION("""COMPUTED_VALUE"""),12.0)</f>
        <v>12</v>
      </c>
      <c r="E57" s="11">
        <f>IFERROR(VLOOKUP(B57,COURSE_PLAN!A:B,2,FALSE),"")</f>
        <v>10</v>
      </c>
      <c r="F57" s="11">
        <f t="shared" si="1"/>
        <v>1.2</v>
      </c>
      <c r="G57" s="11" t="str">
        <f>IFERROR(VLOOKUP(C57,STUDENTS!A:E,5,FALSE),"")</f>
        <v>Waiting for class</v>
      </c>
      <c r="H57" s="11" t="str">
        <f>IFERROR(VLOOKUP(C57,STUDENTS!A:M,13,FALSE),"")</f>
        <v>Waiting for class</v>
      </c>
      <c r="I57" s="11" t="str">
        <f>IF(D57="","",IF(AND(VLOOKUP(C57,STUDENTS!$A:$R,17,FALSE)=A57,VLOOKUP(C57,STUDENTS!$A:$R,18,FALSE)=B57,G57="Active"),"Đang học",IF(F57&gt;=0.8,IF(G57="Active","Tiếp tục khóa sau",IF(G57="Waiting for class","Chờ lớp mới",IF(G57="Inactive",IF(IFERROR(H57,"")="Discontinued mid-course","Nghỉ giữa chừng","Hoàn thành rồi nghỉ luôn"),""))),IF(G57="Inactive","Nghỉ giữa chừng","Đang học"))))</f>
        <v>Chờ lớp mới</v>
      </c>
      <c r="M57" s="11" t="str">
        <f>IFERROR(__xludf.DUMMYFUNCTION("""COMPUTED_VALUE"""),"EL016")</f>
        <v>EL016</v>
      </c>
      <c r="N57" s="11" t="str">
        <f>IFERROR(__xludf.DUMMYFUNCTION("""COMPUTED_VALUE"""),"Communication 1")</f>
        <v>Communication 1</v>
      </c>
      <c r="O57" s="11" t="str">
        <f>IFERROR(__xludf.DUMMYFUNCTION("""COMPUTED_VALUE"""),"247036")</f>
        <v>247036</v>
      </c>
      <c r="P57" s="11">
        <f>IFERROR(__xludf.DUMMYFUNCTION("""COMPUTED_VALUE"""),3.0)</f>
        <v>3</v>
      </c>
      <c r="Q57" s="11">
        <f>IFERROR(__xludf.DUMMYFUNCTION("""COMPUTED_VALUE"""),10.0)</f>
        <v>10</v>
      </c>
      <c r="R57" s="11">
        <f>IFERROR(__xludf.DUMMYFUNCTION("""COMPUTED_VALUE"""),0.3)</f>
        <v>0.3</v>
      </c>
      <c r="S57" s="11" t="str">
        <f>IFERROR(__xludf.DUMMYFUNCTION("""COMPUTED_VALUE"""),"Inactive")</f>
        <v>Inactive</v>
      </c>
      <c r="T57" s="11" t="str">
        <f>IFERROR(__xludf.DUMMYFUNCTION("""COMPUTED_VALUE"""),"Discontinued mid-course")</f>
        <v>Discontinued mid-course</v>
      </c>
      <c r="U57" s="11" t="str">
        <f>IFERROR(__xludf.DUMMYFUNCTION("""COMPUTED_VALUE"""),"Nghỉ giữa chừng")</f>
        <v>Nghỉ giữa chừng</v>
      </c>
    </row>
    <row r="58">
      <c r="A58" s="11" t="str">
        <f>IFERROR(__xludf.DUMMYFUNCTION("""COMPUTED_VALUE"""),"EL007")</f>
        <v>EL007</v>
      </c>
      <c r="B58" s="11" t="str">
        <f>IFERROR(__xludf.DUMMYFUNCTION("""COMPUTED_VALUE"""),"Communication 1")</f>
        <v>Communication 1</v>
      </c>
      <c r="C58" s="11" t="str">
        <f>IFERROR(__xludf.DUMMYFUNCTION("""COMPUTED_VALUE"""),"247190")</f>
        <v>247190</v>
      </c>
      <c r="D58" s="11">
        <f>IFERROR(__xludf.DUMMYFUNCTION("""COMPUTED_VALUE"""),12.0)</f>
        <v>12</v>
      </c>
      <c r="E58" s="11">
        <f>IFERROR(VLOOKUP(B58,COURSE_PLAN!A:B,2,FALSE),"")</f>
        <v>10</v>
      </c>
      <c r="F58" s="11">
        <f t="shared" si="1"/>
        <v>1.2</v>
      </c>
      <c r="G58" s="11" t="str">
        <f>IFERROR(VLOOKUP(C58,STUDENTS!A:E,5,FALSE),"")</f>
        <v>Inactive</v>
      </c>
      <c r="H58" s="11" t="str">
        <f>IFERROR(VLOOKUP(C58,STUDENTS!A:M,13,FALSE),"")</f>
        <v>Discontinued mid-course</v>
      </c>
      <c r="I58" s="11" t="str">
        <f>IF(D58="","",IF(AND(VLOOKUP(C58,STUDENTS!$A:$R,17,FALSE)=A58,VLOOKUP(C58,STUDENTS!$A:$R,18,FALSE)=B58,G58="Active"),"Đang học",IF(F58&gt;=0.8,IF(G58="Active","Tiếp tục khóa sau",IF(G58="Waiting for class","Chờ lớp mới",IF(G58="Inactive",IF(IFERROR(H58,"")="Discontinued mid-course","Nghỉ giữa chừng","Hoàn thành rồi nghỉ luôn"),""))),IF(G58="Inactive","Nghỉ giữa chừng","Đang học"))))</f>
        <v>Nghỉ giữa chừng</v>
      </c>
      <c r="M58" s="11" t="str">
        <f>IFERROR(__xludf.DUMMYFUNCTION("""COMPUTED_VALUE"""),"EL016")</f>
        <v>EL016</v>
      </c>
      <c r="N58" s="11" t="str">
        <f>IFERROR(__xludf.DUMMYFUNCTION("""COMPUTED_VALUE"""),"Communication 1")</f>
        <v>Communication 1</v>
      </c>
      <c r="O58" s="11" t="str">
        <f>IFERROR(__xludf.DUMMYFUNCTION("""COMPUTED_VALUE"""),"247076")</f>
        <v>247076</v>
      </c>
      <c r="P58" s="11">
        <f>IFERROR(__xludf.DUMMYFUNCTION("""COMPUTED_VALUE"""),3.0)</f>
        <v>3</v>
      </c>
      <c r="Q58" s="11">
        <f>IFERROR(__xludf.DUMMYFUNCTION("""COMPUTED_VALUE"""),10.0)</f>
        <v>10</v>
      </c>
      <c r="R58" s="11">
        <f>IFERROR(__xludf.DUMMYFUNCTION("""COMPUTED_VALUE"""),0.3)</f>
        <v>0.3</v>
      </c>
      <c r="S58" s="11" t="str">
        <f>IFERROR(__xludf.DUMMYFUNCTION("""COMPUTED_VALUE"""),"Inactive")</f>
        <v>Inactive</v>
      </c>
      <c r="T58" s="11" t="str">
        <f>IFERROR(__xludf.DUMMYFUNCTION("""COMPUTED_VALUE"""),"Discontinued mid-course")</f>
        <v>Discontinued mid-course</v>
      </c>
      <c r="U58" s="11" t="str">
        <f>IFERROR(__xludf.DUMMYFUNCTION("""COMPUTED_VALUE"""),"Nghỉ giữa chừng")</f>
        <v>Nghỉ giữa chừng</v>
      </c>
    </row>
    <row r="59">
      <c r="A59" s="11" t="str">
        <f>IFERROR(__xludf.DUMMYFUNCTION("""COMPUTED_VALUE"""),"EL007")</f>
        <v>EL007</v>
      </c>
      <c r="B59" s="11" t="str">
        <f>IFERROR(__xludf.DUMMYFUNCTION("""COMPUTED_VALUE"""),"Communication 1")</f>
        <v>Communication 1</v>
      </c>
      <c r="C59" s="11" t="str">
        <f>IFERROR(__xludf.DUMMYFUNCTION("""COMPUTED_VALUE"""),"247191")</f>
        <v>247191</v>
      </c>
      <c r="D59" s="11">
        <f>IFERROR(__xludf.DUMMYFUNCTION("""COMPUTED_VALUE"""),12.0)</f>
        <v>12</v>
      </c>
      <c r="E59" s="11">
        <f>IFERROR(VLOOKUP(B59,COURSE_PLAN!A:B,2,FALSE),"")</f>
        <v>10</v>
      </c>
      <c r="F59" s="11">
        <f t="shared" si="1"/>
        <v>1.2</v>
      </c>
      <c r="G59" s="11" t="str">
        <f>IFERROR(VLOOKUP(C59,STUDENTS!A:E,5,FALSE),"")</f>
        <v>Inactive</v>
      </c>
      <c r="H59" s="11" t="str">
        <f>IFERROR(VLOOKUP(C59,STUDENTS!A:M,13,FALSE),"")</f>
        <v>Discontinued mid-course</v>
      </c>
      <c r="I59" s="11" t="str">
        <f>IF(D59="","",IF(AND(VLOOKUP(C59,STUDENTS!$A:$R,17,FALSE)=A59,VLOOKUP(C59,STUDENTS!$A:$R,18,FALSE)=B59,G59="Active"),"Đang học",IF(F59&gt;=0.8,IF(G59="Active","Tiếp tục khóa sau",IF(G59="Waiting for class","Chờ lớp mới",IF(G59="Inactive",IF(IFERROR(H59,"")="Discontinued mid-course","Nghỉ giữa chừng","Hoàn thành rồi nghỉ luôn"),""))),IF(G59="Inactive","Nghỉ giữa chừng","Đang học"))))</f>
        <v>Nghỉ giữa chừng</v>
      </c>
      <c r="M59" s="11" t="str">
        <f>IFERROR(__xludf.DUMMYFUNCTION("""COMPUTED_VALUE"""),"EL016")</f>
        <v>EL016</v>
      </c>
      <c r="N59" s="11" t="str">
        <f>IFERROR(__xludf.DUMMYFUNCTION("""COMPUTED_VALUE"""),"Communication 1")</f>
        <v>Communication 1</v>
      </c>
      <c r="O59" s="11" t="str">
        <f>IFERROR(__xludf.DUMMYFUNCTION("""COMPUTED_VALUE"""),"247127")</f>
        <v>247127</v>
      </c>
      <c r="P59" s="11">
        <f>IFERROR(__xludf.DUMMYFUNCTION("""COMPUTED_VALUE"""),3.0)</f>
        <v>3</v>
      </c>
      <c r="Q59" s="11">
        <f>IFERROR(__xludf.DUMMYFUNCTION("""COMPUTED_VALUE"""),10.0)</f>
        <v>10</v>
      </c>
      <c r="R59" s="11">
        <f>IFERROR(__xludf.DUMMYFUNCTION("""COMPUTED_VALUE"""),0.3)</f>
        <v>0.3</v>
      </c>
      <c r="S59" s="11" t="str">
        <f>IFERROR(__xludf.DUMMYFUNCTION("""COMPUTED_VALUE"""),"Inactive")</f>
        <v>Inactive</v>
      </c>
      <c r="T59" s="11" t="str">
        <f>IFERROR(__xludf.DUMMYFUNCTION("""COMPUTED_VALUE"""),"Discontinued mid-course")</f>
        <v>Discontinued mid-course</v>
      </c>
      <c r="U59" s="11" t="str">
        <f>IFERROR(__xludf.DUMMYFUNCTION("""COMPUTED_VALUE"""),"Nghỉ giữa chừng")</f>
        <v>Nghỉ giữa chừng</v>
      </c>
    </row>
    <row r="60">
      <c r="A60" s="11" t="str">
        <f>IFERROR(__xludf.DUMMYFUNCTION("""COMPUTED_VALUE"""),"EL007")</f>
        <v>EL007</v>
      </c>
      <c r="B60" s="11" t="str">
        <f>IFERROR(__xludf.DUMMYFUNCTION("""COMPUTED_VALUE"""),"Communication 1")</f>
        <v>Communication 1</v>
      </c>
      <c r="C60" s="11" t="str">
        <f>IFERROR(__xludf.DUMMYFUNCTION("""COMPUTED_VALUE"""),"247198")</f>
        <v>247198</v>
      </c>
      <c r="D60" s="11">
        <f>IFERROR(__xludf.DUMMYFUNCTION("""COMPUTED_VALUE"""),12.0)</f>
        <v>12</v>
      </c>
      <c r="E60" s="11">
        <f>IFERROR(VLOOKUP(B60,COURSE_PLAN!A:B,2,FALSE),"")</f>
        <v>10</v>
      </c>
      <c r="F60" s="11">
        <f t="shared" si="1"/>
        <v>1.2</v>
      </c>
      <c r="G60" s="11" t="str">
        <f>IFERROR(VLOOKUP(C60,STUDENTS!A:E,5,FALSE),"")</f>
        <v>Inactive</v>
      </c>
      <c r="H60" s="11" t="str">
        <f>IFERROR(VLOOKUP(C60,STUDENTS!A:M,13,FALSE),"")</f>
        <v>Discontinued mid-course</v>
      </c>
      <c r="I60" s="11" t="str">
        <f>IF(D60="","",IF(AND(VLOOKUP(C60,STUDENTS!$A:$R,17,FALSE)=A60,VLOOKUP(C60,STUDENTS!$A:$R,18,FALSE)=B60,G60="Active"),"Đang học",IF(F60&gt;=0.8,IF(G60="Active","Tiếp tục khóa sau",IF(G60="Waiting for class","Chờ lớp mới",IF(G60="Inactive",IF(IFERROR(H60,"")="Discontinued mid-course","Nghỉ giữa chừng","Hoàn thành rồi nghỉ luôn"),""))),IF(G60="Inactive","Nghỉ giữa chừng","Đang học"))))</f>
        <v>Nghỉ giữa chừng</v>
      </c>
      <c r="M60" s="11" t="str">
        <f>IFERROR(__xludf.DUMMYFUNCTION("""COMPUTED_VALUE"""),"EL017")</f>
        <v>EL017</v>
      </c>
      <c r="N60" s="11" t="str">
        <f>IFERROR(__xludf.DUMMYFUNCTION("""COMPUTED_VALUE"""),"Communication 1")</f>
        <v>Communication 1</v>
      </c>
      <c r="O60" s="11" t="str">
        <f>IFERROR(__xludf.DUMMYFUNCTION("""COMPUTED_VALUE"""),"242006")</f>
        <v>242006</v>
      </c>
      <c r="P60" s="11">
        <f>IFERROR(__xludf.DUMMYFUNCTION("""COMPUTED_VALUE"""),10.0)</f>
        <v>10</v>
      </c>
      <c r="Q60" s="11">
        <f>IFERROR(__xludf.DUMMYFUNCTION("""COMPUTED_VALUE"""),10.0)</f>
        <v>10</v>
      </c>
      <c r="R60" s="11">
        <f>IFERROR(__xludf.DUMMYFUNCTION("""COMPUTED_VALUE"""),1.0)</f>
        <v>1</v>
      </c>
      <c r="S60" s="11" t="str">
        <f>IFERROR(__xludf.DUMMYFUNCTION("""COMPUTED_VALUE"""),"Inactive")</f>
        <v>Inactive</v>
      </c>
      <c r="T60" s="11" t="str">
        <f>IFERROR(__xludf.DUMMYFUNCTION("""COMPUTED_VALUE"""),"Discontinued mid-course")</f>
        <v>Discontinued mid-course</v>
      </c>
      <c r="U60" s="11" t="str">
        <f>IFERROR(__xludf.DUMMYFUNCTION("""COMPUTED_VALUE"""),"Nghỉ giữa chừng")</f>
        <v>Nghỉ giữa chừng</v>
      </c>
    </row>
    <row r="61">
      <c r="A61" s="11" t="str">
        <f>IFERROR(__xludf.DUMMYFUNCTION("""COMPUTED_VALUE"""),"EL007")</f>
        <v>EL007</v>
      </c>
      <c r="B61" s="11" t="str">
        <f>IFERROR(__xludf.DUMMYFUNCTION("""COMPUTED_VALUE"""),"Communication 1")</f>
        <v>Communication 1</v>
      </c>
      <c r="C61" s="11" t="str">
        <f>IFERROR(__xludf.DUMMYFUNCTION("""COMPUTED_VALUE"""),"247388")</f>
        <v>247388</v>
      </c>
      <c r="D61" s="11">
        <f>IFERROR(__xludf.DUMMYFUNCTION("""COMPUTED_VALUE"""),12.0)</f>
        <v>12</v>
      </c>
      <c r="E61" s="11">
        <f>IFERROR(VLOOKUP(B61,COURSE_PLAN!A:B,2,FALSE),"")</f>
        <v>10</v>
      </c>
      <c r="F61" s="11">
        <f t="shared" si="1"/>
        <v>1.2</v>
      </c>
      <c r="G61" s="11" t="str">
        <f>IFERROR(VLOOKUP(C61,STUDENTS!A:E,5,FALSE),"")</f>
        <v>Inactive</v>
      </c>
      <c r="H61" s="11" t="str">
        <f>IFERROR(VLOOKUP(C61,STUDENTS!A:M,13,FALSE),"")</f>
        <v>Completed (no continuation)</v>
      </c>
      <c r="I61" s="11" t="str">
        <f>IF(D61="","",IF(AND(VLOOKUP(C61,STUDENTS!$A:$R,17,FALSE)=A61,VLOOKUP(C61,STUDENTS!$A:$R,18,FALSE)=B61,G61="Active"),"Đang học",IF(F61&gt;=0.8,IF(G61="Active","Tiếp tục khóa sau",IF(G61="Waiting for class","Chờ lớp mới",IF(G61="Inactive",IF(IFERROR(H61,"")="Discontinued mid-course","Nghỉ giữa chừng","Hoàn thành rồi nghỉ luôn"),""))),IF(G61="Inactive","Nghỉ giữa chừng","Đang học"))))</f>
        <v>Hoàn thành rồi nghỉ luôn</v>
      </c>
      <c r="M61" s="11" t="str">
        <f>IFERROR(__xludf.DUMMYFUNCTION("""COMPUTED_VALUE"""),"EL018")</f>
        <v>EL018</v>
      </c>
      <c r="N61" s="11" t="str">
        <f>IFERROR(__xludf.DUMMYFUNCTION("""COMPUTED_VALUE"""),"Communication 2")</f>
        <v>Communication 2</v>
      </c>
      <c r="O61" s="11" t="str">
        <f>IFERROR(__xludf.DUMMYFUNCTION("""COMPUTED_VALUE"""),"183400")</f>
        <v>183400</v>
      </c>
      <c r="P61" s="11">
        <f>IFERROR(__xludf.DUMMYFUNCTION("""COMPUTED_VALUE"""),12.0)</f>
        <v>12</v>
      </c>
      <c r="Q61" s="11">
        <f>IFERROR(__xludf.DUMMYFUNCTION("""COMPUTED_VALUE"""),16.0)</f>
        <v>16</v>
      </c>
      <c r="R61" s="11">
        <f>IFERROR(__xludf.DUMMYFUNCTION("""COMPUTED_VALUE"""),0.75)</f>
        <v>0.75</v>
      </c>
      <c r="S61" s="11" t="str">
        <f>IFERROR(__xludf.DUMMYFUNCTION("""COMPUTED_VALUE"""),"Inactive")</f>
        <v>Inactive</v>
      </c>
      <c r="T61" s="11" t="str">
        <f>IFERROR(__xludf.DUMMYFUNCTION("""COMPUTED_VALUE"""),"Completed (no continuation)")</f>
        <v>Completed (no continuation)</v>
      </c>
      <c r="U61" s="11" t="str">
        <f>IFERROR(__xludf.DUMMYFUNCTION("""COMPUTED_VALUE"""),"Nghỉ giữa chừng")</f>
        <v>Nghỉ giữa chừng</v>
      </c>
    </row>
    <row r="62">
      <c r="A62" s="11" t="str">
        <f>IFERROR(__xludf.DUMMYFUNCTION("""COMPUTED_VALUE"""),"EL007")</f>
        <v>EL007</v>
      </c>
      <c r="B62" s="11" t="str">
        <f>IFERROR(__xludf.DUMMYFUNCTION("""COMPUTED_VALUE"""),"Communication 2")</f>
        <v>Communication 2</v>
      </c>
      <c r="C62" s="11" t="str">
        <f>IFERROR(__xludf.DUMMYFUNCTION("""COMPUTED_VALUE"""),"203759")</f>
        <v>203759</v>
      </c>
      <c r="D62" s="11">
        <f>IFERROR(__xludf.DUMMYFUNCTION("""COMPUTED_VALUE"""),16.0)</f>
        <v>16</v>
      </c>
      <c r="E62" s="11">
        <f>IFERROR(VLOOKUP(B62,COURSE_PLAN!A:B,2,FALSE),"")</f>
        <v>16</v>
      </c>
      <c r="F62" s="11">
        <f t="shared" si="1"/>
        <v>1</v>
      </c>
      <c r="G62" s="11" t="str">
        <f>IFERROR(VLOOKUP(C62,STUDENTS!A:E,5,FALSE),"")</f>
        <v>Waiting for class</v>
      </c>
      <c r="H62" s="11" t="str">
        <f>IFERROR(VLOOKUP(C62,STUDENTS!A:M,13,FALSE),"")</f>
        <v>Waiting for class</v>
      </c>
      <c r="I62" s="11" t="str">
        <f>IF(D62="","",IF(AND(VLOOKUP(C62,STUDENTS!$A:$R,17,FALSE)=A62,VLOOKUP(C62,STUDENTS!$A:$R,18,FALSE)=B62,G62="Active"),"Đang học",IF(F62&gt;=0.8,IF(G62="Active","Tiếp tục khóa sau",IF(G62="Waiting for class","Chờ lớp mới",IF(G62="Inactive",IF(IFERROR(H62,"")="Discontinued mid-course","Nghỉ giữa chừng","Hoàn thành rồi nghỉ luôn"),""))),IF(G62="Inactive","Nghỉ giữa chừng","Đang học"))))</f>
        <v>Chờ lớp mới</v>
      </c>
      <c r="M62" s="11" t="str">
        <f>IFERROR(__xludf.DUMMYFUNCTION("""COMPUTED_VALUE"""),"EL018")</f>
        <v>EL018</v>
      </c>
      <c r="N62" s="11" t="str">
        <f>IFERROR(__xludf.DUMMYFUNCTION("""COMPUTED_VALUE"""),"Communication 2")</f>
        <v>Communication 2</v>
      </c>
      <c r="O62" s="11" t="str">
        <f>IFERROR(__xludf.DUMMYFUNCTION("""COMPUTED_VALUE"""),"183432")</f>
        <v>183432</v>
      </c>
      <c r="P62" s="11">
        <f>IFERROR(__xludf.DUMMYFUNCTION("""COMPUTED_VALUE"""),12.0)</f>
        <v>12</v>
      </c>
      <c r="Q62" s="11">
        <f>IFERROR(__xludf.DUMMYFUNCTION("""COMPUTED_VALUE"""),16.0)</f>
        <v>16</v>
      </c>
      <c r="R62" s="11">
        <f>IFERROR(__xludf.DUMMYFUNCTION("""COMPUTED_VALUE"""),0.75)</f>
        <v>0.75</v>
      </c>
      <c r="S62" s="11" t="str">
        <f>IFERROR(__xludf.DUMMYFUNCTION("""COMPUTED_VALUE"""),"Inactive")</f>
        <v>Inactive</v>
      </c>
      <c r="T62" s="11" t="str">
        <f>IFERROR(__xludf.DUMMYFUNCTION("""COMPUTED_VALUE"""),"Completed (no continuation)")</f>
        <v>Completed (no continuation)</v>
      </c>
      <c r="U62" s="11" t="str">
        <f>IFERROR(__xludf.DUMMYFUNCTION("""COMPUTED_VALUE"""),"Nghỉ giữa chừng")</f>
        <v>Nghỉ giữa chừng</v>
      </c>
    </row>
    <row r="63">
      <c r="A63" s="11" t="str">
        <f>IFERROR(__xludf.DUMMYFUNCTION("""COMPUTED_VALUE"""),"EL007")</f>
        <v>EL007</v>
      </c>
      <c r="B63" s="11" t="str">
        <f>IFERROR(__xludf.DUMMYFUNCTION("""COMPUTED_VALUE"""),"Communication 2")</f>
        <v>Communication 2</v>
      </c>
      <c r="C63" s="11" t="str">
        <f>IFERROR(__xludf.DUMMYFUNCTION("""COMPUTED_VALUE"""),"213891")</f>
        <v>213891</v>
      </c>
      <c r="D63" s="11">
        <f>IFERROR(__xludf.DUMMYFUNCTION("""COMPUTED_VALUE"""),15.0)</f>
        <v>15</v>
      </c>
      <c r="E63" s="11">
        <f>IFERROR(VLOOKUP(B63,COURSE_PLAN!A:B,2,FALSE),"")</f>
        <v>16</v>
      </c>
      <c r="F63" s="11">
        <f t="shared" si="1"/>
        <v>0.9375</v>
      </c>
      <c r="G63" s="11" t="str">
        <f>IFERROR(VLOOKUP(C63,STUDENTS!A:E,5,FALSE),"")</f>
        <v>Inactive</v>
      </c>
      <c r="H63" s="11" t="str">
        <f>IFERROR(VLOOKUP(C63,STUDENTS!A:M,13,FALSE),"")</f>
        <v>Discontinued mid-course</v>
      </c>
      <c r="I63" s="11" t="str">
        <f>IF(D63="","",IF(AND(VLOOKUP(C63,STUDENTS!$A:$R,17,FALSE)=A63,VLOOKUP(C63,STUDENTS!$A:$R,18,FALSE)=B63,G63="Active"),"Đang học",IF(F63&gt;=0.8,IF(G63="Active","Tiếp tục khóa sau",IF(G63="Waiting for class","Chờ lớp mới",IF(G63="Inactive",IF(IFERROR(H63,"")="Discontinued mid-course","Nghỉ giữa chừng","Hoàn thành rồi nghỉ luôn"),""))),IF(G63="Inactive","Nghỉ giữa chừng","Đang học"))))</f>
        <v>Nghỉ giữa chừng</v>
      </c>
      <c r="M63" s="11" t="str">
        <f>IFERROR(__xludf.DUMMYFUNCTION("""COMPUTED_VALUE"""),"EL018")</f>
        <v>EL018</v>
      </c>
      <c r="N63" s="11" t="str">
        <f>IFERROR(__xludf.DUMMYFUNCTION("""COMPUTED_VALUE"""),"Communication 2")</f>
        <v>Communication 2</v>
      </c>
      <c r="O63" s="11" t="str">
        <f>IFERROR(__xludf.DUMMYFUNCTION("""COMPUTED_VALUE"""),"227023")</f>
        <v>227023</v>
      </c>
      <c r="P63" s="11">
        <f>IFERROR(__xludf.DUMMYFUNCTION("""COMPUTED_VALUE"""),12.0)</f>
        <v>12</v>
      </c>
      <c r="Q63" s="11">
        <f>IFERROR(__xludf.DUMMYFUNCTION("""COMPUTED_VALUE"""),16.0)</f>
        <v>16</v>
      </c>
      <c r="R63" s="11">
        <f>IFERROR(__xludf.DUMMYFUNCTION("""COMPUTED_VALUE"""),0.75)</f>
        <v>0.75</v>
      </c>
      <c r="S63" s="11" t="str">
        <f>IFERROR(__xludf.DUMMYFUNCTION("""COMPUTED_VALUE"""),"Inactive")</f>
        <v>Inactive</v>
      </c>
      <c r="T63" s="11" t="str">
        <f>IFERROR(__xludf.DUMMYFUNCTION("""COMPUTED_VALUE"""),"Completed (no continuation)")</f>
        <v>Completed (no continuation)</v>
      </c>
      <c r="U63" s="11" t="str">
        <f>IFERROR(__xludf.DUMMYFUNCTION("""COMPUTED_VALUE"""),"Nghỉ giữa chừng")</f>
        <v>Nghỉ giữa chừng</v>
      </c>
    </row>
    <row r="64">
      <c r="A64" s="11" t="str">
        <f>IFERROR(__xludf.DUMMYFUNCTION("""COMPUTED_VALUE"""),"EL007")</f>
        <v>EL007</v>
      </c>
      <c r="B64" s="11" t="str">
        <f>IFERROR(__xludf.DUMMYFUNCTION("""COMPUTED_VALUE"""),"Communication 2")</f>
        <v>Communication 2</v>
      </c>
      <c r="C64" s="11" t="str">
        <f>IFERROR(__xludf.DUMMYFUNCTION("""COMPUTED_VALUE"""),"227183")</f>
        <v>227183</v>
      </c>
      <c r="D64" s="11">
        <f>IFERROR(__xludf.DUMMYFUNCTION("""COMPUTED_VALUE"""),16.0)</f>
        <v>16</v>
      </c>
      <c r="E64" s="11">
        <f>IFERROR(VLOOKUP(B64,COURSE_PLAN!A:B,2,FALSE),"")</f>
        <v>16</v>
      </c>
      <c r="F64" s="11">
        <f t="shared" si="1"/>
        <v>1</v>
      </c>
      <c r="G64" s="11" t="str">
        <f>IFERROR(VLOOKUP(C64,STUDENTS!A:E,5,FALSE),"")</f>
        <v>Waiting for class</v>
      </c>
      <c r="H64" s="11" t="str">
        <f>IFERROR(VLOOKUP(C64,STUDENTS!A:M,13,FALSE),"")</f>
        <v>Waiting for class</v>
      </c>
      <c r="I64" s="11" t="str">
        <f>IF(D64="","",IF(AND(VLOOKUP(C64,STUDENTS!$A:$R,17,FALSE)=A64,VLOOKUP(C64,STUDENTS!$A:$R,18,FALSE)=B64,G64="Active"),"Đang học",IF(F64&gt;=0.8,IF(G64="Active","Tiếp tục khóa sau",IF(G64="Waiting for class","Chờ lớp mới",IF(G64="Inactive",IF(IFERROR(H64,"")="Discontinued mid-course","Nghỉ giữa chừng","Hoàn thành rồi nghỉ luôn"),""))),IF(G64="Inactive","Nghỉ giữa chừng","Đang học"))))</f>
        <v>Chờ lớp mới</v>
      </c>
      <c r="M64" s="11" t="str">
        <f>IFERROR(__xludf.DUMMYFUNCTION("""COMPUTED_VALUE"""),"EL018")</f>
        <v>EL018</v>
      </c>
      <c r="N64" s="11" t="str">
        <f>IFERROR(__xludf.DUMMYFUNCTION("""COMPUTED_VALUE"""),"Communication 2")</f>
        <v>Communication 2</v>
      </c>
      <c r="O64" s="11" t="str">
        <f>IFERROR(__xludf.DUMMYFUNCTION("""COMPUTED_VALUE"""),"227024")</f>
        <v>227024</v>
      </c>
      <c r="P64" s="11">
        <f>IFERROR(__xludf.DUMMYFUNCTION("""COMPUTED_VALUE"""),12.0)</f>
        <v>12</v>
      </c>
      <c r="Q64" s="11">
        <f>IFERROR(__xludf.DUMMYFUNCTION("""COMPUTED_VALUE"""),16.0)</f>
        <v>16</v>
      </c>
      <c r="R64" s="11">
        <f>IFERROR(__xludf.DUMMYFUNCTION("""COMPUTED_VALUE"""),0.75)</f>
        <v>0.75</v>
      </c>
      <c r="S64" s="11" t="str">
        <f>IFERROR(__xludf.DUMMYFUNCTION("""COMPUTED_VALUE"""),"Inactive")</f>
        <v>Inactive</v>
      </c>
      <c r="T64" s="11" t="str">
        <f>IFERROR(__xludf.DUMMYFUNCTION("""COMPUTED_VALUE"""),"Completed (no continuation)")</f>
        <v>Completed (no continuation)</v>
      </c>
      <c r="U64" s="11" t="str">
        <f>IFERROR(__xludf.DUMMYFUNCTION("""COMPUTED_VALUE"""),"Nghỉ giữa chừng")</f>
        <v>Nghỉ giữa chừng</v>
      </c>
    </row>
    <row r="65">
      <c r="A65" s="11" t="str">
        <f>IFERROR(__xludf.DUMMYFUNCTION("""COMPUTED_VALUE"""),"EL007")</f>
        <v>EL007</v>
      </c>
      <c r="B65" s="11" t="str">
        <f>IFERROR(__xludf.DUMMYFUNCTION("""COMPUTED_VALUE"""),"Communication 2")</f>
        <v>Communication 2</v>
      </c>
      <c r="C65" s="11" t="str">
        <f>IFERROR(__xludf.DUMMYFUNCTION("""COMPUTED_VALUE"""),"247190")</f>
        <v>247190</v>
      </c>
      <c r="D65" s="11">
        <f>IFERROR(__xludf.DUMMYFUNCTION("""COMPUTED_VALUE"""),14.0)</f>
        <v>14</v>
      </c>
      <c r="E65" s="11">
        <f>IFERROR(VLOOKUP(B65,COURSE_PLAN!A:B,2,FALSE),"")</f>
        <v>16</v>
      </c>
      <c r="F65" s="11">
        <f t="shared" si="1"/>
        <v>0.875</v>
      </c>
      <c r="G65" s="11" t="str">
        <f>IFERROR(VLOOKUP(C65,STUDENTS!A:E,5,FALSE),"")</f>
        <v>Inactive</v>
      </c>
      <c r="H65" s="11" t="str">
        <f>IFERROR(VLOOKUP(C65,STUDENTS!A:M,13,FALSE),"")</f>
        <v>Discontinued mid-course</v>
      </c>
      <c r="I65" s="11" t="str">
        <f>IF(D65="","",IF(AND(VLOOKUP(C65,STUDENTS!$A:$R,17,FALSE)=A65,VLOOKUP(C65,STUDENTS!$A:$R,18,FALSE)=B65,G65="Active"),"Đang học",IF(F65&gt;=0.8,IF(G65="Active","Tiếp tục khóa sau",IF(G65="Waiting for class","Chờ lớp mới",IF(G65="Inactive",IF(IFERROR(H65,"")="Discontinued mid-course","Nghỉ giữa chừng","Hoàn thành rồi nghỉ luôn"),""))),IF(G65="Inactive","Nghỉ giữa chừng","Đang học"))))</f>
        <v>Nghỉ giữa chừng</v>
      </c>
      <c r="M65" s="11" t="str">
        <f>IFERROR(__xludf.DUMMYFUNCTION("""COMPUTED_VALUE"""),"EL018")</f>
        <v>EL018</v>
      </c>
      <c r="N65" s="11" t="str">
        <f>IFERROR(__xludf.DUMMYFUNCTION("""COMPUTED_VALUE"""),"Communication 2")</f>
        <v>Communication 2</v>
      </c>
      <c r="O65" s="11" t="str">
        <f>IFERROR(__xludf.DUMMYFUNCTION("""COMPUTED_VALUE"""),"227032")</f>
        <v>227032</v>
      </c>
      <c r="P65" s="11">
        <f>IFERROR(__xludf.DUMMYFUNCTION("""COMPUTED_VALUE"""),12.0)</f>
        <v>12</v>
      </c>
      <c r="Q65" s="11">
        <f>IFERROR(__xludf.DUMMYFUNCTION("""COMPUTED_VALUE"""),16.0)</f>
        <v>16</v>
      </c>
      <c r="R65" s="11">
        <f>IFERROR(__xludf.DUMMYFUNCTION("""COMPUTED_VALUE"""),0.75)</f>
        <v>0.75</v>
      </c>
      <c r="S65" s="11" t="str">
        <f>IFERROR(__xludf.DUMMYFUNCTION("""COMPUTED_VALUE"""),"Inactive")</f>
        <v>Inactive</v>
      </c>
      <c r="T65" s="11" t="str">
        <f>IFERROR(__xludf.DUMMYFUNCTION("""COMPUTED_VALUE"""),"Completed (no continuation)")</f>
        <v>Completed (no continuation)</v>
      </c>
      <c r="U65" s="11" t="str">
        <f>IFERROR(__xludf.DUMMYFUNCTION("""COMPUTED_VALUE"""),"Nghỉ giữa chừng")</f>
        <v>Nghỉ giữa chừng</v>
      </c>
    </row>
    <row r="66">
      <c r="A66" s="11" t="str">
        <f>IFERROR(__xludf.DUMMYFUNCTION("""COMPUTED_VALUE"""),"EL007")</f>
        <v>EL007</v>
      </c>
      <c r="B66" s="11" t="str">
        <f>IFERROR(__xludf.DUMMYFUNCTION("""COMPUTED_VALUE"""),"Communication 2")</f>
        <v>Communication 2</v>
      </c>
      <c r="C66" s="11" t="str">
        <f>IFERROR(__xludf.DUMMYFUNCTION("""COMPUTED_VALUE"""),"247191")</f>
        <v>247191</v>
      </c>
      <c r="D66" s="11">
        <f>IFERROR(__xludf.DUMMYFUNCTION("""COMPUTED_VALUE"""),14.0)</f>
        <v>14</v>
      </c>
      <c r="E66" s="11">
        <f>IFERROR(VLOOKUP(B66,COURSE_PLAN!A:B,2,FALSE),"")</f>
        <v>16</v>
      </c>
      <c r="F66" s="11">
        <f t="shared" si="1"/>
        <v>0.875</v>
      </c>
      <c r="G66" s="11" t="str">
        <f>IFERROR(VLOOKUP(C66,STUDENTS!A:E,5,FALSE),"")</f>
        <v>Inactive</v>
      </c>
      <c r="H66" s="11" t="str">
        <f>IFERROR(VLOOKUP(C66,STUDENTS!A:M,13,FALSE),"")</f>
        <v>Discontinued mid-course</v>
      </c>
      <c r="I66" s="11" t="str">
        <f>IF(D66="","",IF(AND(VLOOKUP(C66,STUDENTS!$A:$R,17,FALSE)=A66,VLOOKUP(C66,STUDENTS!$A:$R,18,FALSE)=B66,G66="Active"),"Đang học",IF(F66&gt;=0.8,IF(G66="Active","Tiếp tục khóa sau",IF(G66="Waiting for class","Chờ lớp mới",IF(G66="Inactive",IF(IFERROR(H66,"")="Discontinued mid-course","Nghỉ giữa chừng","Hoàn thành rồi nghỉ luôn"),""))),IF(G66="Inactive","Nghỉ giữa chừng","Đang học"))))</f>
        <v>Nghỉ giữa chừng</v>
      </c>
      <c r="M66" s="11" t="str">
        <f>IFERROR(__xludf.DUMMYFUNCTION("""COMPUTED_VALUE"""),"EL018")</f>
        <v>EL018</v>
      </c>
      <c r="N66" s="11" t="str">
        <f>IFERROR(__xludf.DUMMYFUNCTION("""COMPUTED_VALUE"""),"Communication 2")</f>
        <v>Communication 2</v>
      </c>
      <c r="O66" s="11" t="str">
        <f>IFERROR(__xludf.DUMMYFUNCTION("""COMPUTED_VALUE"""),"247357")</f>
        <v>247357</v>
      </c>
      <c r="P66" s="11">
        <f>IFERROR(__xludf.DUMMYFUNCTION("""COMPUTED_VALUE"""),12.0)</f>
        <v>12</v>
      </c>
      <c r="Q66" s="11">
        <f>IFERROR(__xludf.DUMMYFUNCTION("""COMPUTED_VALUE"""),16.0)</f>
        <v>16</v>
      </c>
      <c r="R66" s="11">
        <f>IFERROR(__xludf.DUMMYFUNCTION("""COMPUTED_VALUE"""),0.75)</f>
        <v>0.75</v>
      </c>
      <c r="S66" s="11" t="str">
        <f>IFERROR(__xludf.DUMMYFUNCTION("""COMPUTED_VALUE"""),"Inactive")</f>
        <v>Inactive</v>
      </c>
      <c r="T66" s="11" t="str">
        <f>IFERROR(__xludf.DUMMYFUNCTION("""COMPUTED_VALUE"""),"Completed (no continuation)")</f>
        <v>Completed (no continuation)</v>
      </c>
      <c r="U66" s="11" t="str">
        <f>IFERROR(__xludf.DUMMYFUNCTION("""COMPUTED_VALUE"""),"Nghỉ giữa chừng")</f>
        <v>Nghỉ giữa chừng</v>
      </c>
    </row>
    <row r="67">
      <c r="A67" s="11" t="str">
        <f>IFERROR(__xludf.DUMMYFUNCTION("""COMPUTED_VALUE"""),"EL007")</f>
        <v>EL007</v>
      </c>
      <c r="B67" s="11" t="str">
        <f>IFERROR(__xludf.DUMMYFUNCTION("""COMPUTED_VALUE"""),"Communication 2")</f>
        <v>Communication 2</v>
      </c>
      <c r="C67" s="11" t="str">
        <f>IFERROR(__xludf.DUMMYFUNCTION("""COMPUTED_VALUE"""),"247198")</f>
        <v>247198</v>
      </c>
      <c r="D67" s="11">
        <f>IFERROR(__xludf.DUMMYFUNCTION("""COMPUTED_VALUE"""),14.0)</f>
        <v>14</v>
      </c>
      <c r="E67" s="11">
        <f>IFERROR(VLOOKUP(B67,COURSE_PLAN!A:B,2,FALSE),"")</f>
        <v>16</v>
      </c>
      <c r="F67" s="11">
        <f t="shared" si="1"/>
        <v>0.875</v>
      </c>
      <c r="G67" s="11" t="str">
        <f>IFERROR(VLOOKUP(C67,STUDENTS!A:E,5,FALSE),"")</f>
        <v>Inactive</v>
      </c>
      <c r="H67" s="11" t="str">
        <f>IFERROR(VLOOKUP(C67,STUDENTS!A:M,13,FALSE),"")</f>
        <v>Discontinued mid-course</v>
      </c>
      <c r="I67" s="11" t="str">
        <f>IF(D67="","",IF(AND(VLOOKUP(C67,STUDENTS!$A:$R,17,FALSE)=A67,VLOOKUP(C67,STUDENTS!$A:$R,18,FALSE)=B67,G67="Active"),"Đang học",IF(F67&gt;=0.8,IF(G67="Active","Tiếp tục khóa sau",IF(G67="Waiting for class","Chờ lớp mới",IF(G67="Inactive",IF(IFERROR(H67,"")="Discontinued mid-course","Nghỉ giữa chừng","Hoàn thành rồi nghỉ luôn"),""))),IF(G67="Inactive","Nghỉ giữa chừng","Đang học"))))</f>
        <v>Nghỉ giữa chừng</v>
      </c>
      <c r="M67" s="11" t="str">
        <f>IFERROR(__xludf.DUMMYFUNCTION("""COMPUTED_VALUE"""),"EL019")</f>
        <v>EL019</v>
      </c>
      <c r="N67" s="11" t="str">
        <f>IFERROR(__xludf.DUMMYFUNCTION("""COMPUTED_VALUE"""),"Communication 1")</f>
        <v>Communication 1</v>
      </c>
      <c r="O67" s="11" t="str">
        <f>IFERROR(__xludf.DUMMYFUNCTION("""COMPUTED_VALUE"""),"193519")</f>
        <v>193519</v>
      </c>
      <c r="P67" s="11">
        <f>IFERROR(__xludf.DUMMYFUNCTION("""COMPUTED_VALUE"""),12.0)</f>
        <v>12</v>
      </c>
      <c r="Q67" s="11">
        <f>IFERROR(__xludf.DUMMYFUNCTION("""COMPUTED_VALUE"""),10.0)</f>
        <v>10</v>
      </c>
      <c r="R67" s="11">
        <f>IFERROR(__xludf.DUMMYFUNCTION("""COMPUTED_VALUE"""),1.2)</f>
        <v>1.2</v>
      </c>
      <c r="S67" s="11" t="str">
        <f>IFERROR(__xludf.DUMMYFUNCTION("""COMPUTED_VALUE"""),"Inactive")</f>
        <v>Inactive</v>
      </c>
      <c r="T67" s="11" t="str">
        <f>IFERROR(__xludf.DUMMYFUNCTION("""COMPUTED_VALUE"""),"Discontinued mid-course")</f>
        <v>Discontinued mid-course</v>
      </c>
      <c r="U67" s="11" t="str">
        <f>IFERROR(__xludf.DUMMYFUNCTION("""COMPUTED_VALUE"""),"Nghỉ giữa chừng")</f>
        <v>Nghỉ giữa chừng</v>
      </c>
    </row>
    <row r="68">
      <c r="A68" s="11" t="str">
        <f>IFERROR(__xludf.DUMMYFUNCTION("""COMPUTED_VALUE"""),"EL007")</f>
        <v>EL007</v>
      </c>
      <c r="B68" s="11" t="str">
        <f>IFERROR(__xludf.DUMMYFUNCTION("""COMPUTED_VALUE"""),"Communication 2")</f>
        <v>Communication 2</v>
      </c>
      <c r="C68" s="11" t="str">
        <f>IFERROR(__xludf.DUMMYFUNCTION("""COMPUTED_VALUE"""),"247389")</f>
        <v>247389</v>
      </c>
      <c r="D68" s="11">
        <f>IFERROR(__xludf.DUMMYFUNCTION("""COMPUTED_VALUE"""),16.0)</f>
        <v>16</v>
      </c>
      <c r="E68" s="11">
        <f>IFERROR(VLOOKUP(B68,COURSE_PLAN!A:B,2,FALSE),"")</f>
        <v>16</v>
      </c>
      <c r="F68" s="11">
        <f t="shared" si="1"/>
        <v>1</v>
      </c>
      <c r="G68" s="11" t="str">
        <f>IFERROR(VLOOKUP(C68,STUDENTS!A:E,5,FALSE),"")</f>
        <v>Inactive</v>
      </c>
      <c r="H68" s="11" t="str">
        <f>IFERROR(VLOOKUP(C68,STUDENTS!A:M,13,FALSE),"")</f>
        <v>Discontinued mid-course</v>
      </c>
      <c r="I68" s="11" t="str">
        <f>IF(D68="","",IF(AND(VLOOKUP(C68,STUDENTS!$A:$R,17,FALSE)=A68,VLOOKUP(C68,STUDENTS!$A:$R,18,FALSE)=B68,G68="Active"),"Đang học",IF(F68&gt;=0.8,IF(G68="Active","Tiếp tục khóa sau",IF(G68="Waiting for class","Chờ lớp mới",IF(G68="Inactive",IF(IFERROR(H68,"")="Discontinued mid-course","Nghỉ giữa chừng","Hoàn thành rồi nghỉ luôn"),""))),IF(G68="Inactive","Nghỉ giữa chừng","Đang học"))))</f>
        <v>Nghỉ giữa chừng</v>
      </c>
      <c r="M68" s="11" t="str">
        <f>IFERROR(__xludf.DUMMYFUNCTION("""COMPUTED_VALUE"""),"EL020")</f>
        <v>EL020</v>
      </c>
      <c r="N68" s="11" t="str">
        <f>IFERROR(__xludf.DUMMYFUNCTION("""COMPUTED_VALUE"""),"Communication 1")</f>
        <v>Communication 1</v>
      </c>
      <c r="O68" s="11" t="str">
        <f>IFERROR(__xludf.DUMMYFUNCTION("""COMPUTED_VALUE"""),"193579")</f>
        <v>193579</v>
      </c>
      <c r="P68" s="11">
        <f>IFERROR(__xludf.DUMMYFUNCTION("""COMPUTED_VALUE"""),10.0)</f>
        <v>10</v>
      </c>
      <c r="Q68" s="11">
        <f>IFERROR(__xludf.DUMMYFUNCTION("""COMPUTED_VALUE"""),10.0)</f>
        <v>10</v>
      </c>
      <c r="R68" s="11">
        <f>IFERROR(__xludf.DUMMYFUNCTION("""COMPUTED_VALUE"""),1.0)</f>
        <v>1</v>
      </c>
      <c r="S68" s="11" t="str">
        <f>IFERROR(__xludf.DUMMYFUNCTION("""COMPUTED_VALUE"""),"Inactive")</f>
        <v>Inactive</v>
      </c>
      <c r="T68" s="11" t="str">
        <f>IFERROR(__xludf.DUMMYFUNCTION("""COMPUTED_VALUE"""),"Discontinued mid-course")</f>
        <v>Discontinued mid-course</v>
      </c>
      <c r="U68" s="11" t="str">
        <f>IFERROR(__xludf.DUMMYFUNCTION("""COMPUTED_VALUE"""),"Nghỉ giữa chừng")</f>
        <v>Nghỉ giữa chừng</v>
      </c>
    </row>
    <row r="69">
      <c r="A69" s="11" t="str">
        <f>IFERROR(__xludf.DUMMYFUNCTION("""COMPUTED_VALUE"""),"EL007")</f>
        <v>EL007</v>
      </c>
      <c r="B69" s="11" t="str">
        <f>IFERROR(__xludf.DUMMYFUNCTION("""COMPUTED_VALUE"""),"Communication 2")</f>
        <v>Communication 2</v>
      </c>
      <c r="C69" s="11" t="str">
        <f>IFERROR(__xludf.DUMMYFUNCTION("""COMPUTED_VALUE"""),"247390")</f>
        <v>247390</v>
      </c>
      <c r="D69" s="11">
        <f>IFERROR(__xludf.DUMMYFUNCTION("""COMPUTED_VALUE"""),15.0)</f>
        <v>15</v>
      </c>
      <c r="E69" s="11">
        <f>IFERROR(VLOOKUP(B69,COURSE_PLAN!A:B,2,FALSE),"")</f>
        <v>16</v>
      </c>
      <c r="F69" s="11">
        <f t="shared" si="1"/>
        <v>0.9375</v>
      </c>
      <c r="G69" s="11" t="str">
        <f>IFERROR(VLOOKUP(C69,STUDENTS!A:E,5,FALSE),"")</f>
        <v>Inactive</v>
      </c>
      <c r="H69" s="11" t="str">
        <f>IFERROR(VLOOKUP(C69,STUDENTS!A:M,13,FALSE),"")</f>
        <v>Discontinued mid-course</v>
      </c>
      <c r="I69" s="11" t="str">
        <f>IF(D69="","",IF(AND(VLOOKUP(C69,STUDENTS!$A:$R,17,FALSE)=A69,VLOOKUP(C69,STUDENTS!$A:$R,18,FALSE)=B69,G69="Active"),"Đang học",IF(F69&gt;=0.8,IF(G69="Active","Tiếp tục khóa sau",IF(G69="Waiting for class","Chờ lớp mới",IF(G69="Inactive",IF(IFERROR(H69,"")="Discontinued mid-course","Nghỉ giữa chừng","Hoàn thành rồi nghỉ luôn"),""))),IF(G69="Inactive","Nghỉ giữa chừng","Đang học"))))</f>
        <v>Nghỉ giữa chừng</v>
      </c>
      <c r="M69" s="11" t="str">
        <f>IFERROR(__xludf.DUMMYFUNCTION("""COMPUTED_VALUE"""),"EL020")</f>
        <v>EL020</v>
      </c>
      <c r="N69" s="11" t="str">
        <f>IFERROR(__xludf.DUMMYFUNCTION("""COMPUTED_VALUE"""),"Communication 1")</f>
        <v>Communication 1</v>
      </c>
      <c r="O69" s="11" t="str">
        <f>IFERROR(__xludf.DUMMYFUNCTION("""COMPUTED_VALUE"""),"213891")</f>
        <v>213891</v>
      </c>
      <c r="P69" s="11">
        <f>IFERROR(__xludf.DUMMYFUNCTION("""COMPUTED_VALUE"""),10.0)</f>
        <v>10</v>
      </c>
      <c r="Q69" s="11">
        <f>IFERROR(__xludf.DUMMYFUNCTION("""COMPUTED_VALUE"""),10.0)</f>
        <v>10</v>
      </c>
      <c r="R69" s="11">
        <f>IFERROR(__xludf.DUMMYFUNCTION("""COMPUTED_VALUE"""),1.0)</f>
        <v>1</v>
      </c>
      <c r="S69" s="11" t="str">
        <f>IFERROR(__xludf.DUMMYFUNCTION("""COMPUTED_VALUE"""),"Inactive")</f>
        <v>Inactive</v>
      </c>
      <c r="T69" s="11" t="str">
        <f>IFERROR(__xludf.DUMMYFUNCTION("""COMPUTED_VALUE"""),"Discontinued mid-course")</f>
        <v>Discontinued mid-course</v>
      </c>
      <c r="U69" s="11" t="str">
        <f>IFERROR(__xludf.DUMMYFUNCTION("""COMPUTED_VALUE"""),"Nghỉ giữa chừng")</f>
        <v>Nghỉ giữa chừng</v>
      </c>
    </row>
    <row r="70">
      <c r="A70" s="11" t="str">
        <f>IFERROR(__xludf.DUMMYFUNCTION("""COMPUTED_VALUE"""),"EL008")</f>
        <v>EL008</v>
      </c>
      <c r="B70" s="11" t="str">
        <f>IFERROR(__xludf.DUMMYFUNCTION("""COMPUTED_VALUE"""),"Business English")</f>
        <v>Business English</v>
      </c>
      <c r="C70" s="11" t="str">
        <f>IFERROR(__xludf.DUMMYFUNCTION("""COMPUTED_VALUE"""),"193523")</f>
        <v>193523</v>
      </c>
      <c r="D70" s="11">
        <f>IFERROR(__xludf.DUMMYFUNCTION("""COMPUTED_VALUE"""),8.0)</f>
        <v>8</v>
      </c>
      <c r="E70" s="11">
        <f>IFERROR(VLOOKUP(B70,COURSE_PLAN!A:B,2,FALSE),"")</f>
        <v>16</v>
      </c>
      <c r="F70" s="11">
        <f t="shared" si="1"/>
        <v>0.5</v>
      </c>
      <c r="G70" s="11" t="str">
        <f>IFERROR(VLOOKUP(C70,STUDENTS!A:E,5,FALSE),"")</f>
        <v>Active</v>
      </c>
      <c r="H70" s="11" t="str">
        <f>IFERROR(VLOOKUP(C70,STUDENTS!A:M,13,FALSE),"")</f>
        <v/>
      </c>
      <c r="I70" s="11" t="str">
        <f>IF(D70="","",IF(AND(VLOOKUP(C70,STUDENTS!$A:$R,17,FALSE)=A70,VLOOKUP(C70,STUDENTS!$A:$R,18,FALSE)=B70,G70="Active"),"Đang học",IF(F70&gt;=0.8,IF(G70="Active","Tiếp tục khóa sau",IF(G70="Waiting for class","Chờ lớp mới",IF(G70="Inactive",IF(IFERROR(H70,"")="Discontinued mid-course","Nghỉ giữa chừng","Hoàn thành rồi nghỉ luôn"),""))),IF(G70="Inactive","Nghỉ giữa chừng","Đang học"))))</f>
        <v>Đang học</v>
      </c>
      <c r="M70" s="11" t="str">
        <f>IFERROR(__xludf.DUMMYFUNCTION("""COMPUTED_VALUE"""),"EL020")</f>
        <v>EL020</v>
      </c>
      <c r="N70" s="11" t="str">
        <f>IFERROR(__xludf.DUMMYFUNCTION("""COMPUTED_VALUE"""),"Communication 1")</f>
        <v>Communication 1</v>
      </c>
      <c r="O70" s="11" t="str">
        <f>IFERROR(__xludf.DUMMYFUNCTION("""COMPUTED_VALUE"""),"213974")</f>
        <v>213974</v>
      </c>
      <c r="P70" s="11">
        <f>IFERROR(__xludf.DUMMYFUNCTION("""COMPUTED_VALUE"""),10.0)</f>
        <v>10</v>
      </c>
      <c r="Q70" s="11">
        <f>IFERROR(__xludf.DUMMYFUNCTION("""COMPUTED_VALUE"""),10.0)</f>
        <v>10</v>
      </c>
      <c r="R70" s="11">
        <f>IFERROR(__xludf.DUMMYFUNCTION("""COMPUTED_VALUE"""),1.0)</f>
        <v>1</v>
      </c>
      <c r="S70" s="11" t="str">
        <f>IFERROR(__xludf.DUMMYFUNCTION("""COMPUTED_VALUE"""),"Inactive")</f>
        <v>Inactive</v>
      </c>
      <c r="T70" s="11" t="str">
        <f>IFERROR(__xludf.DUMMYFUNCTION("""COMPUTED_VALUE"""),"Discontinued mid-course")</f>
        <v>Discontinued mid-course</v>
      </c>
      <c r="U70" s="11" t="str">
        <f>IFERROR(__xludf.DUMMYFUNCTION("""COMPUTED_VALUE"""),"Nghỉ giữa chừng")</f>
        <v>Nghỉ giữa chừng</v>
      </c>
    </row>
    <row r="71">
      <c r="A71" s="11" t="str">
        <f>IFERROR(__xludf.DUMMYFUNCTION("""COMPUTED_VALUE"""),"EL008")</f>
        <v>EL008</v>
      </c>
      <c r="B71" s="11" t="str">
        <f>IFERROR(__xludf.DUMMYFUNCTION("""COMPUTED_VALUE"""),"Business English")</f>
        <v>Business English</v>
      </c>
      <c r="C71" s="11" t="str">
        <f>IFERROR(__xludf.DUMMYFUNCTION("""COMPUTED_VALUE"""),"193526")</f>
        <v>193526</v>
      </c>
      <c r="D71" s="11">
        <f>IFERROR(__xludf.DUMMYFUNCTION("""COMPUTED_VALUE"""),8.0)</f>
        <v>8</v>
      </c>
      <c r="E71" s="11">
        <f>IFERROR(VLOOKUP(B71,COURSE_PLAN!A:B,2,FALSE),"")</f>
        <v>16</v>
      </c>
      <c r="F71" s="11">
        <f t="shared" si="1"/>
        <v>0.5</v>
      </c>
      <c r="G71" s="11" t="str">
        <f>IFERROR(VLOOKUP(C71,STUDENTS!A:E,5,FALSE),"")</f>
        <v>Active</v>
      </c>
      <c r="H71" s="11" t="str">
        <f>IFERROR(VLOOKUP(C71,STUDENTS!A:M,13,FALSE),"")</f>
        <v/>
      </c>
      <c r="I71" s="11" t="str">
        <f>IF(D71="","",IF(AND(VLOOKUP(C71,STUDENTS!$A:$R,17,FALSE)=A71,VLOOKUP(C71,STUDENTS!$A:$R,18,FALSE)=B71,G71="Active"),"Đang học",IF(F71&gt;=0.8,IF(G71="Active","Tiếp tục khóa sau",IF(G71="Waiting for class","Chờ lớp mới",IF(G71="Inactive",IF(IFERROR(H71,"")="Discontinued mid-course","Nghỉ giữa chừng","Hoàn thành rồi nghỉ luôn"),""))),IF(G71="Inactive","Nghỉ giữa chừng","Đang học"))))</f>
        <v>Đang học</v>
      </c>
      <c r="M71" s="11" t="str">
        <f>IFERROR(__xludf.DUMMYFUNCTION("""COMPUTED_VALUE"""),"EL020")</f>
        <v>EL020</v>
      </c>
      <c r="N71" s="11" t="str">
        <f>IFERROR(__xludf.DUMMYFUNCTION("""COMPUTED_VALUE"""),"Communication 1")</f>
        <v>Communication 1</v>
      </c>
      <c r="O71" s="11" t="str">
        <f>IFERROR(__xludf.DUMMYFUNCTION("""COMPUTED_VALUE"""),"247389")</f>
        <v>247389</v>
      </c>
      <c r="P71" s="11">
        <f>IFERROR(__xludf.DUMMYFUNCTION("""COMPUTED_VALUE"""),10.0)</f>
        <v>10</v>
      </c>
      <c r="Q71" s="11">
        <f>IFERROR(__xludf.DUMMYFUNCTION("""COMPUTED_VALUE"""),10.0)</f>
        <v>10</v>
      </c>
      <c r="R71" s="11">
        <f>IFERROR(__xludf.DUMMYFUNCTION("""COMPUTED_VALUE"""),1.0)</f>
        <v>1</v>
      </c>
      <c r="S71" s="11" t="str">
        <f>IFERROR(__xludf.DUMMYFUNCTION("""COMPUTED_VALUE"""),"Inactive")</f>
        <v>Inactive</v>
      </c>
      <c r="T71" s="11" t="str">
        <f>IFERROR(__xludf.DUMMYFUNCTION("""COMPUTED_VALUE"""),"Discontinued mid-course")</f>
        <v>Discontinued mid-course</v>
      </c>
      <c r="U71" s="11" t="str">
        <f>IFERROR(__xludf.DUMMYFUNCTION("""COMPUTED_VALUE"""),"Nghỉ giữa chừng")</f>
        <v>Nghỉ giữa chừng</v>
      </c>
    </row>
    <row r="72">
      <c r="A72" s="11" t="str">
        <f>IFERROR(__xludf.DUMMYFUNCTION("""COMPUTED_VALUE"""),"EL008")</f>
        <v>EL008</v>
      </c>
      <c r="B72" s="11" t="str">
        <f>IFERROR(__xludf.DUMMYFUNCTION("""COMPUTED_VALUE"""),"Business English")</f>
        <v>Business English</v>
      </c>
      <c r="C72" s="11" t="str">
        <f>IFERROR(__xludf.DUMMYFUNCTION("""COMPUTED_VALUE"""),"203780")</f>
        <v>203780</v>
      </c>
      <c r="D72" s="11">
        <f>IFERROR(__xludf.DUMMYFUNCTION("""COMPUTED_VALUE"""),8.0)</f>
        <v>8</v>
      </c>
      <c r="E72" s="11">
        <f>IFERROR(VLOOKUP(B72,COURSE_PLAN!A:B,2,FALSE),"")</f>
        <v>16</v>
      </c>
      <c r="F72" s="11">
        <f t="shared" si="1"/>
        <v>0.5</v>
      </c>
      <c r="G72" s="11" t="str">
        <f>IFERROR(VLOOKUP(C72,STUDENTS!A:E,5,FALSE),"")</f>
        <v>Active</v>
      </c>
      <c r="H72" s="11" t="str">
        <f>IFERROR(VLOOKUP(C72,STUDENTS!A:M,13,FALSE),"")</f>
        <v/>
      </c>
      <c r="I72" s="11" t="str">
        <f>IF(D72="","",IF(AND(VLOOKUP(C72,STUDENTS!$A:$R,17,FALSE)=A72,VLOOKUP(C72,STUDENTS!$A:$R,18,FALSE)=B72,G72="Active"),"Đang học",IF(F72&gt;=0.8,IF(G72="Active","Tiếp tục khóa sau",IF(G72="Waiting for class","Chờ lớp mới",IF(G72="Inactive",IF(IFERROR(H72,"")="Discontinued mid-course","Nghỉ giữa chừng","Hoàn thành rồi nghỉ luôn"),""))),IF(G72="Inactive","Nghỉ giữa chừng","Đang học"))))</f>
        <v>Đang học</v>
      </c>
      <c r="M72" s="11" t="str">
        <f>IFERROR(__xludf.DUMMYFUNCTION("""COMPUTED_VALUE"""),"EL020")</f>
        <v>EL020</v>
      </c>
      <c r="N72" s="11" t="str">
        <f>IFERROR(__xludf.DUMMYFUNCTION("""COMPUTED_VALUE"""),"Communication 1")</f>
        <v>Communication 1</v>
      </c>
      <c r="O72" s="11" t="str">
        <f>IFERROR(__xludf.DUMMYFUNCTION("""COMPUTED_VALUE"""),"247390")</f>
        <v>247390</v>
      </c>
      <c r="P72" s="11">
        <f>IFERROR(__xludf.DUMMYFUNCTION("""COMPUTED_VALUE"""),10.0)</f>
        <v>10</v>
      </c>
      <c r="Q72" s="11">
        <f>IFERROR(__xludf.DUMMYFUNCTION("""COMPUTED_VALUE"""),10.0)</f>
        <v>10</v>
      </c>
      <c r="R72" s="11">
        <f>IFERROR(__xludf.DUMMYFUNCTION("""COMPUTED_VALUE"""),1.0)</f>
        <v>1</v>
      </c>
      <c r="S72" s="11" t="str">
        <f>IFERROR(__xludf.DUMMYFUNCTION("""COMPUTED_VALUE"""),"Inactive")</f>
        <v>Inactive</v>
      </c>
      <c r="T72" s="11" t="str">
        <f>IFERROR(__xludf.DUMMYFUNCTION("""COMPUTED_VALUE"""),"Discontinued mid-course")</f>
        <v>Discontinued mid-course</v>
      </c>
      <c r="U72" s="11" t="str">
        <f>IFERROR(__xludf.DUMMYFUNCTION("""COMPUTED_VALUE"""),"Nghỉ giữa chừng")</f>
        <v>Nghỉ giữa chừng</v>
      </c>
    </row>
    <row r="73">
      <c r="A73" s="11" t="str">
        <f>IFERROR(__xludf.DUMMYFUNCTION("""COMPUTED_VALUE"""),"EL008")</f>
        <v>EL008</v>
      </c>
      <c r="B73" s="11" t="str">
        <f>IFERROR(__xludf.DUMMYFUNCTION("""COMPUTED_VALUE"""),"Business English")</f>
        <v>Business English</v>
      </c>
      <c r="C73" s="11" t="str">
        <f>IFERROR(__xludf.DUMMYFUNCTION("""COMPUTED_VALUE"""),"237117")</f>
        <v>237117</v>
      </c>
      <c r="D73" s="11">
        <f>IFERROR(__xludf.DUMMYFUNCTION("""COMPUTED_VALUE"""),8.0)</f>
        <v>8</v>
      </c>
      <c r="E73" s="11">
        <f>IFERROR(VLOOKUP(B73,COURSE_PLAN!A:B,2,FALSE),"")</f>
        <v>16</v>
      </c>
      <c r="F73" s="11">
        <f t="shared" si="1"/>
        <v>0.5</v>
      </c>
      <c r="G73" s="11" t="str">
        <f>IFERROR(VLOOKUP(C73,STUDENTS!A:E,5,FALSE),"")</f>
        <v>Active</v>
      </c>
      <c r="H73" s="11" t="str">
        <f>IFERROR(VLOOKUP(C73,STUDENTS!A:M,13,FALSE),"")</f>
        <v/>
      </c>
      <c r="I73" s="11" t="str">
        <f>IF(D73="","",IF(AND(VLOOKUP(C73,STUDENTS!$A:$R,17,FALSE)=A73,VLOOKUP(C73,STUDENTS!$A:$R,18,FALSE)=B73,G73="Active"),"Đang học",IF(F73&gt;=0.8,IF(G73="Active","Tiếp tục khóa sau",IF(G73="Waiting for class","Chờ lớp mới",IF(G73="Inactive",IF(IFERROR(H73,"")="Discontinued mid-course","Nghỉ giữa chừng","Hoàn thành rồi nghỉ luôn"),""))),IF(G73="Inactive","Nghỉ giữa chừng","Đang học"))))</f>
        <v>Đang học</v>
      </c>
      <c r="M73" s="11" t="str">
        <f>IFERROR(__xludf.DUMMYFUNCTION("""COMPUTED_VALUE"""),"EL020")</f>
        <v>EL020</v>
      </c>
      <c r="N73" s="11" t="str">
        <f>IFERROR(__xludf.DUMMYFUNCTION("""COMPUTED_VALUE"""),"Communication 2")</f>
        <v>Communication 2</v>
      </c>
      <c r="O73" s="11" t="str">
        <f>IFERROR(__xludf.DUMMYFUNCTION("""COMPUTED_VALUE"""),"213891")</f>
        <v>213891</v>
      </c>
      <c r="P73" s="11">
        <f>IFERROR(__xludf.DUMMYFUNCTION("""COMPUTED_VALUE"""),7.0)</f>
        <v>7</v>
      </c>
      <c r="Q73" s="11">
        <f>IFERROR(__xludf.DUMMYFUNCTION("""COMPUTED_VALUE"""),16.0)</f>
        <v>16</v>
      </c>
      <c r="R73" s="11">
        <f>IFERROR(__xludf.DUMMYFUNCTION("""COMPUTED_VALUE"""),0.4375)</f>
        <v>0.4375</v>
      </c>
      <c r="S73" s="11" t="str">
        <f>IFERROR(__xludf.DUMMYFUNCTION("""COMPUTED_VALUE"""),"Inactive")</f>
        <v>Inactive</v>
      </c>
      <c r="T73" s="11" t="str">
        <f>IFERROR(__xludf.DUMMYFUNCTION("""COMPUTED_VALUE"""),"Discontinued mid-course")</f>
        <v>Discontinued mid-course</v>
      </c>
      <c r="U73" s="11" t="str">
        <f>IFERROR(__xludf.DUMMYFUNCTION("""COMPUTED_VALUE"""),"Nghỉ giữa chừng")</f>
        <v>Nghỉ giữa chừng</v>
      </c>
    </row>
    <row r="74">
      <c r="A74" s="11" t="str">
        <f>IFERROR(__xludf.DUMMYFUNCTION("""COMPUTED_VALUE"""),"EL008")</f>
        <v>EL008</v>
      </c>
      <c r="B74" s="11" t="str">
        <f>IFERROR(__xludf.DUMMYFUNCTION("""COMPUTED_VALUE"""),"Business English")</f>
        <v>Business English</v>
      </c>
      <c r="C74" s="11" t="str">
        <f>IFERROR(__xludf.DUMMYFUNCTION("""COMPUTED_VALUE"""),"237161")</f>
        <v>237161</v>
      </c>
      <c r="D74" s="11">
        <f>IFERROR(__xludf.DUMMYFUNCTION("""COMPUTED_VALUE"""),6.0)</f>
        <v>6</v>
      </c>
      <c r="E74" s="11">
        <f>IFERROR(VLOOKUP(B74,COURSE_PLAN!A:B,2,FALSE),"")</f>
        <v>16</v>
      </c>
      <c r="F74" s="11">
        <f t="shared" si="1"/>
        <v>0.375</v>
      </c>
      <c r="G74" s="11" t="str">
        <f>IFERROR(VLOOKUP(C74,STUDENTS!A:E,5,FALSE),"")</f>
        <v>Inactive</v>
      </c>
      <c r="H74" s="11" t="str">
        <f>IFERROR(VLOOKUP(C74,STUDENTS!A:M,13,FALSE),"")</f>
        <v>Discontinued mid-course</v>
      </c>
      <c r="I74" s="11" t="str">
        <f>IF(D74="","",IF(AND(VLOOKUP(C74,STUDENTS!$A:$R,17,FALSE)=A74,VLOOKUP(C74,STUDENTS!$A:$R,18,FALSE)=B74,G74="Active"),"Đang học",IF(F74&gt;=0.8,IF(G74="Active","Tiếp tục khóa sau",IF(G74="Waiting for class","Chờ lớp mới",IF(G74="Inactive",IF(IFERROR(H74,"")="Discontinued mid-course","Nghỉ giữa chừng","Hoàn thành rồi nghỉ luôn"),""))),IF(G74="Inactive","Nghỉ giữa chừng","Đang học"))))</f>
        <v>Nghỉ giữa chừng</v>
      </c>
      <c r="M74" s="11" t="str">
        <f>IFERROR(__xludf.DUMMYFUNCTION("""COMPUTED_VALUE"""),"EL020")</f>
        <v>EL020</v>
      </c>
      <c r="N74" s="11" t="str">
        <f>IFERROR(__xludf.DUMMYFUNCTION("""COMPUTED_VALUE"""),"Communication 2")</f>
        <v>Communication 2</v>
      </c>
      <c r="O74" s="11" t="str">
        <f>IFERROR(__xludf.DUMMYFUNCTION("""COMPUTED_VALUE"""),"213974")</f>
        <v>213974</v>
      </c>
      <c r="P74" s="11">
        <f>IFERROR(__xludf.DUMMYFUNCTION("""COMPUTED_VALUE"""),7.0)</f>
        <v>7</v>
      </c>
      <c r="Q74" s="11">
        <f>IFERROR(__xludf.DUMMYFUNCTION("""COMPUTED_VALUE"""),16.0)</f>
        <v>16</v>
      </c>
      <c r="R74" s="11">
        <f>IFERROR(__xludf.DUMMYFUNCTION("""COMPUTED_VALUE"""),0.4375)</f>
        <v>0.4375</v>
      </c>
      <c r="S74" s="11" t="str">
        <f>IFERROR(__xludf.DUMMYFUNCTION("""COMPUTED_VALUE"""),"Inactive")</f>
        <v>Inactive</v>
      </c>
      <c r="T74" s="11" t="str">
        <f>IFERROR(__xludf.DUMMYFUNCTION("""COMPUTED_VALUE"""),"Discontinued mid-course")</f>
        <v>Discontinued mid-course</v>
      </c>
      <c r="U74" s="11" t="str">
        <f>IFERROR(__xludf.DUMMYFUNCTION("""COMPUTED_VALUE"""),"Nghỉ giữa chừng")</f>
        <v>Nghỉ giữa chừng</v>
      </c>
    </row>
    <row r="75">
      <c r="A75" s="11" t="str">
        <f>IFERROR(__xludf.DUMMYFUNCTION("""COMPUTED_VALUE"""),"EL008")</f>
        <v>EL008</v>
      </c>
      <c r="B75" s="11" t="str">
        <f>IFERROR(__xludf.DUMMYFUNCTION("""COMPUTED_VALUE"""),"Communication 1")</f>
        <v>Communication 1</v>
      </c>
      <c r="C75" s="11" t="str">
        <f>IFERROR(__xludf.DUMMYFUNCTION("""COMPUTED_VALUE"""),"193523")</f>
        <v>193523</v>
      </c>
      <c r="D75" s="11">
        <f>IFERROR(__xludf.DUMMYFUNCTION("""COMPUTED_VALUE"""),10.0)</f>
        <v>10</v>
      </c>
      <c r="E75" s="11">
        <f>IFERROR(VLOOKUP(B75,COURSE_PLAN!A:B,2,FALSE),"")</f>
        <v>10</v>
      </c>
      <c r="F75" s="11">
        <f t="shared" si="1"/>
        <v>1</v>
      </c>
      <c r="G75" s="11" t="str">
        <f>IFERROR(VLOOKUP(C75,STUDENTS!A:E,5,FALSE),"")</f>
        <v>Active</v>
      </c>
      <c r="H75" s="11" t="str">
        <f>IFERROR(VLOOKUP(C75,STUDENTS!A:M,13,FALSE),"")</f>
        <v/>
      </c>
      <c r="I75" s="11" t="str">
        <f>IF(D75="","",IF(AND(VLOOKUP(C75,STUDENTS!$A:$R,17,FALSE)=A75,VLOOKUP(C75,STUDENTS!$A:$R,18,FALSE)=B75,G75="Active"),"Đang học",IF(F75&gt;=0.8,IF(G75="Active","Tiếp tục khóa sau",IF(G75="Waiting for class","Chờ lớp mới",IF(G75="Inactive",IF(IFERROR(H75,"")="Discontinued mid-course","Nghỉ giữa chừng","Hoàn thành rồi nghỉ luôn"),""))),IF(G75="Inactive","Nghỉ giữa chừng","Đang học"))))</f>
        <v>Tiếp tục khóa sau</v>
      </c>
      <c r="M75" s="11" t="str">
        <f>IFERROR(__xludf.DUMMYFUNCTION("""COMPUTED_VALUE"""),"EL020")</f>
        <v>EL020</v>
      </c>
      <c r="N75" s="11" t="str">
        <f>IFERROR(__xludf.DUMMYFUNCTION("""COMPUTED_VALUE"""),"Communication 2")</f>
        <v>Communication 2</v>
      </c>
      <c r="O75" s="11" t="str">
        <f>IFERROR(__xludf.DUMMYFUNCTION("""COMPUTED_VALUE"""),"247389")</f>
        <v>247389</v>
      </c>
      <c r="P75" s="11">
        <f>IFERROR(__xludf.DUMMYFUNCTION("""COMPUTED_VALUE"""),7.0)</f>
        <v>7</v>
      </c>
      <c r="Q75" s="11">
        <f>IFERROR(__xludf.DUMMYFUNCTION("""COMPUTED_VALUE"""),16.0)</f>
        <v>16</v>
      </c>
      <c r="R75" s="11">
        <f>IFERROR(__xludf.DUMMYFUNCTION("""COMPUTED_VALUE"""),0.4375)</f>
        <v>0.4375</v>
      </c>
      <c r="S75" s="11" t="str">
        <f>IFERROR(__xludf.DUMMYFUNCTION("""COMPUTED_VALUE"""),"Inactive")</f>
        <v>Inactive</v>
      </c>
      <c r="T75" s="11" t="str">
        <f>IFERROR(__xludf.DUMMYFUNCTION("""COMPUTED_VALUE"""),"Discontinued mid-course")</f>
        <v>Discontinued mid-course</v>
      </c>
      <c r="U75" s="11" t="str">
        <f>IFERROR(__xludf.DUMMYFUNCTION("""COMPUTED_VALUE"""),"Nghỉ giữa chừng")</f>
        <v>Nghỉ giữa chừng</v>
      </c>
    </row>
    <row r="76">
      <c r="A76" s="11" t="str">
        <f>IFERROR(__xludf.DUMMYFUNCTION("""COMPUTED_VALUE"""),"EL008")</f>
        <v>EL008</v>
      </c>
      <c r="B76" s="11" t="str">
        <f>IFERROR(__xludf.DUMMYFUNCTION("""COMPUTED_VALUE"""),"Communication 1")</f>
        <v>Communication 1</v>
      </c>
      <c r="C76" s="11" t="str">
        <f>IFERROR(__xludf.DUMMYFUNCTION("""COMPUTED_VALUE"""),"193526")</f>
        <v>193526</v>
      </c>
      <c r="D76" s="11">
        <f>IFERROR(__xludf.DUMMYFUNCTION("""COMPUTED_VALUE"""),10.0)</f>
        <v>10</v>
      </c>
      <c r="E76" s="11">
        <f>IFERROR(VLOOKUP(B76,COURSE_PLAN!A:B,2,FALSE),"")</f>
        <v>10</v>
      </c>
      <c r="F76" s="11">
        <f t="shared" si="1"/>
        <v>1</v>
      </c>
      <c r="G76" s="11" t="str">
        <f>IFERROR(VLOOKUP(C76,STUDENTS!A:E,5,FALSE),"")</f>
        <v>Active</v>
      </c>
      <c r="H76" s="11" t="str">
        <f>IFERROR(VLOOKUP(C76,STUDENTS!A:M,13,FALSE),"")</f>
        <v/>
      </c>
      <c r="I76" s="11" t="str">
        <f>IF(D76="","",IF(AND(VLOOKUP(C76,STUDENTS!$A:$R,17,FALSE)=A76,VLOOKUP(C76,STUDENTS!$A:$R,18,FALSE)=B76,G76="Active"),"Đang học",IF(F76&gt;=0.8,IF(G76="Active","Tiếp tục khóa sau",IF(G76="Waiting for class","Chờ lớp mới",IF(G76="Inactive",IF(IFERROR(H76,"")="Discontinued mid-course","Nghỉ giữa chừng","Hoàn thành rồi nghỉ luôn"),""))),IF(G76="Inactive","Nghỉ giữa chừng","Đang học"))))</f>
        <v>Tiếp tục khóa sau</v>
      </c>
      <c r="M76" s="11" t="str">
        <f>IFERROR(__xludf.DUMMYFUNCTION("""COMPUTED_VALUE"""),"EL020")</f>
        <v>EL020</v>
      </c>
      <c r="N76" s="11" t="str">
        <f>IFERROR(__xludf.DUMMYFUNCTION("""COMPUTED_VALUE"""),"Communication 2")</f>
        <v>Communication 2</v>
      </c>
      <c r="O76" s="11" t="str">
        <f>IFERROR(__xludf.DUMMYFUNCTION("""COMPUTED_VALUE"""),"247390")</f>
        <v>247390</v>
      </c>
      <c r="P76" s="11">
        <f>IFERROR(__xludf.DUMMYFUNCTION("""COMPUTED_VALUE"""),7.0)</f>
        <v>7</v>
      </c>
      <c r="Q76" s="11">
        <f>IFERROR(__xludf.DUMMYFUNCTION("""COMPUTED_VALUE"""),16.0)</f>
        <v>16</v>
      </c>
      <c r="R76" s="11">
        <f>IFERROR(__xludf.DUMMYFUNCTION("""COMPUTED_VALUE"""),0.4375)</f>
        <v>0.4375</v>
      </c>
      <c r="S76" s="11" t="str">
        <f>IFERROR(__xludf.DUMMYFUNCTION("""COMPUTED_VALUE"""),"Inactive")</f>
        <v>Inactive</v>
      </c>
      <c r="T76" s="11" t="str">
        <f>IFERROR(__xludf.DUMMYFUNCTION("""COMPUTED_VALUE"""),"Discontinued mid-course")</f>
        <v>Discontinued mid-course</v>
      </c>
      <c r="U76" s="11" t="str">
        <f>IFERROR(__xludf.DUMMYFUNCTION("""COMPUTED_VALUE"""),"Nghỉ giữa chừng")</f>
        <v>Nghỉ giữa chừng</v>
      </c>
    </row>
    <row r="77">
      <c r="A77" s="11" t="str">
        <f>IFERROR(__xludf.DUMMYFUNCTION("""COMPUTED_VALUE"""),"EL008")</f>
        <v>EL008</v>
      </c>
      <c r="B77" s="11" t="str">
        <f>IFERROR(__xludf.DUMMYFUNCTION("""COMPUTED_VALUE"""),"Communication 1")</f>
        <v>Communication 1</v>
      </c>
      <c r="C77" s="11" t="str">
        <f>IFERROR(__xludf.DUMMYFUNCTION("""COMPUTED_VALUE"""),"203780")</f>
        <v>203780</v>
      </c>
      <c r="D77" s="11">
        <f>IFERROR(__xludf.DUMMYFUNCTION("""COMPUTED_VALUE"""),10.0)</f>
        <v>10</v>
      </c>
      <c r="E77" s="11">
        <f>IFERROR(VLOOKUP(B77,COURSE_PLAN!A:B,2,FALSE),"")</f>
        <v>10</v>
      </c>
      <c r="F77" s="11">
        <f t="shared" si="1"/>
        <v>1</v>
      </c>
      <c r="G77" s="11" t="str">
        <f>IFERROR(VLOOKUP(C77,STUDENTS!A:E,5,FALSE),"")</f>
        <v>Active</v>
      </c>
      <c r="H77" s="11" t="str">
        <f>IFERROR(VLOOKUP(C77,STUDENTS!A:M,13,FALSE),"")</f>
        <v/>
      </c>
      <c r="I77" s="11" t="str">
        <f>IF(D77="","",IF(AND(VLOOKUP(C77,STUDENTS!$A:$R,17,FALSE)=A77,VLOOKUP(C77,STUDENTS!$A:$R,18,FALSE)=B77,G77="Active"),"Đang học",IF(F77&gt;=0.8,IF(G77="Active","Tiếp tục khóa sau",IF(G77="Waiting for class","Chờ lớp mới",IF(G77="Inactive",IF(IFERROR(H77,"")="Discontinued mid-course","Nghỉ giữa chừng","Hoàn thành rồi nghỉ luôn"),""))),IF(G77="Inactive","Nghỉ giữa chừng","Đang học"))))</f>
        <v>Tiếp tục khóa sau</v>
      </c>
      <c r="M77" s="11" t="str">
        <f>IFERROR(__xludf.DUMMYFUNCTION("""COMPUTED_VALUE"""),"EL022")</f>
        <v>EL022</v>
      </c>
      <c r="N77" s="11" t="str">
        <f>IFERROR(__xludf.DUMMYFUNCTION("""COMPUTED_VALUE"""),"Communication 1")</f>
        <v>Communication 1</v>
      </c>
      <c r="O77" s="11" t="str">
        <f>IFERROR(__xludf.DUMMYFUNCTION("""COMPUTED_VALUE"""),"133051")</f>
        <v>133051</v>
      </c>
      <c r="P77" s="11">
        <f>IFERROR(__xludf.DUMMYFUNCTION("""COMPUTED_VALUE"""),12.0)</f>
        <v>12</v>
      </c>
      <c r="Q77" s="11">
        <f>IFERROR(__xludf.DUMMYFUNCTION("""COMPUTED_VALUE"""),10.0)</f>
        <v>10</v>
      </c>
      <c r="R77" s="11">
        <f>IFERROR(__xludf.DUMMYFUNCTION("""COMPUTED_VALUE"""),1.2)</f>
        <v>1.2</v>
      </c>
      <c r="S77" s="11" t="str">
        <f>IFERROR(__xludf.DUMMYFUNCTION("""COMPUTED_VALUE"""),"Inactive")</f>
        <v>Inactive</v>
      </c>
      <c r="T77" s="11" t="str">
        <f>IFERROR(__xludf.DUMMYFUNCTION("""COMPUTED_VALUE"""),"Discontinued mid-course")</f>
        <v>Discontinued mid-course</v>
      </c>
      <c r="U77" s="11" t="str">
        <f>IFERROR(__xludf.DUMMYFUNCTION("""COMPUTED_VALUE"""),"Nghỉ giữa chừng")</f>
        <v>Nghỉ giữa chừng</v>
      </c>
    </row>
    <row r="78">
      <c r="A78" s="11" t="str">
        <f>IFERROR(__xludf.DUMMYFUNCTION("""COMPUTED_VALUE"""),"EL008")</f>
        <v>EL008</v>
      </c>
      <c r="B78" s="11" t="str">
        <f>IFERROR(__xludf.DUMMYFUNCTION("""COMPUTED_VALUE"""),"Communication 1")</f>
        <v>Communication 1</v>
      </c>
      <c r="C78" s="11" t="str">
        <f>IFERROR(__xludf.DUMMYFUNCTION("""COMPUTED_VALUE"""),"237117")</f>
        <v>237117</v>
      </c>
      <c r="D78" s="11">
        <f>IFERROR(__xludf.DUMMYFUNCTION("""COMPUTED_VALUE"""),10.0)</f>
        <v>10</v>
      </c>
      <c r="E78" s="11">
        <f>IFERROR(VLOOKUP(B78,COURSE_PLAN!A:B,2,FALSE),"")</f>
        <v>10</v>
      </c>
      <c r="F78" s="11">
        <f t="shared" si="1"/>
        <v>1</v>
      </c>
      <c r="G78" s="11" t="str">
        <f>IFERROR(VLOOKUP(C78,STUDENTS!A:E,5,FALSE),"")</f>
        <v>Active</v>
      </c>
      <c r="H78" s="11" t="str">
        <f>IFERROR(VLOOKUP(C78,STUDENTS!A:M,13,FALSE),"")</f>
        <v/>
      </c>
      <c r="I78" s="11" t="str">
        <f>IF(D78="","",IF(AND(VLOOKUP(C78,STUDENTS!$A:$R,17,FALSE)=A78,VLOOKUP(C78,STUDENTS!$A:$R,18,FALSE)=B78,G78="Active"),"Đang học",IF(F78&gt;=0.8,IF(G78="Active","Tiếp tục khóa sau",IF(G78="Waiting for class","Chờ lớp mới",IF(G78="Inactive",IF(IFERROR(H78,"")="Discontinued mid-course","Nghỉ giữa chừng","Hoàn thành rồi nghỉ luôn"),""))),IF(G78="Inactive","Nghỉ giữa chừng","Đang học"))))</f>
        <v>Tiếp tục khóa sau</v>
      </c>
      <c r="M78" s="11" t="str">
        <f>IFERROR(__xludf.DUMMYFUNCTION("""COMPUTED_VALUE"""),"EL022")</f>
        <v>EL022</v>
      </c>
      <c r="N78" s="11" t="str">
        <f>IFERROR(__xludf.DUMMYFUNCTION("""COMPUTED_VALUE"""),"Communication 1")</f>
        <v>Communication 1</v>
      </c>
      <c r="O78" s="11" t="str">
        <f>IFERROR(__xludf.DUMMYFUNCTION("""COMPUTED_VALUE"""),"183340")</f>
        <v>183340</v>
      </c>
      <c r="P78" s="11">
        <f>IFERROR(__xludf.DUMMYFUNCTION("""COMPUTED_VALUE"""),12.0)</f>
        <v>12</v>
      </c>
      <c r="Q78" s="11">
        <f>IFERROR(__xludf.DUMMYFUNCTION("""COMPUTED_VALUE"""),10.0)</f>
        <v>10</v>
      </c>
      <c r="R78" s="11">
        <f>IFERROR(__xludf.DUMMYFUNCTION("""COMPUTED_VALUE"""),1.2)</f>
        <v>1.2</v>
      </c>
      <c r="S78" s="11" t="str">
        <f>IFERROR(__xludf.DUMMYFUNCTION("""COMPUTED_VALUE"""),"Inactive")</f>
        <v>Inactive</v>
      </c>
      <c r="T78" s="11" t="str">
        <f>IFERROR(__xludf.DUMMYFUNCTION("""COMPUTED_VALUE"""),"Discontinued mid-course")</f>
        <v>Discontinued mid-course</v>
      </c>
      <c r="U78" s="11" t="str">
        <f>IFERROR(__xludf.DUMMYFUNCTION("""COMPUTED_VALUE"""),"Nghỉ giữa chừng")</f>
        <v>Nghỉ giữa chừng</v>
      </c>
    </row>
    <row r="79">
      <c r="A79" s="11" t="str">
        <f>IFERROR(__xludf.DUMMYFUNCTION("""COMPUTED_VALUE"""),"EL008")</f>
        <v>EL008</v>
      </c>
      <c r="B79" s="11" t="str">
        <f>IFERROR(__xludf.DUMMYFUNCTION("""COMPUTED_VALUE"""),"Communication 1")</f>
        <v>Communication 1</v>
      </c>
      <c r="C79" s="11" t="str">
        <f>IFERROR(__xludf.DUMMYFUNCTION("""COMPUTED_VALUE"""),"237161")</f>
        <v>237161</v>
      </c>
      <c r="D79" s="11">
        <f>IFERROR(__xludf.DUMMYFUNCTION("""COMPUTED_VALUE"""),10.0)</f>
        <v>10</v>
      </c>
      <c r="E79" s="11">
        <f>IFERROR(VLOOKUP(B79,COURSE_PLAN!A:B,2,FALSE),"")</f>
        <v>10</v>
      </c>
      <c r="F79" s="11">
        <f t="shared" si="1"/>
        <v>1</v>
      </c>
      <c r="G79" s="11" t="str">
        <f>IFERROR(VLOOKUP(C79,STUDENTS!A:E,5,FALSE),"")</f>
        <v>Inactive</v>
      </c>
      <c r="H79" s="11" t="str">
        <f>IFERROR(VLOOKUP(C79,STUDENTS!A:M,13,FALSE),"")</f>
        <v>Discontinued mid-course</v>
      </c>
      <c r="I79" s="11" t="str">
        <f>IF(D79="","",IF(AND(VLOOKUP(C79,STUDENTS!$A:$R,17,FALSE)=A79,VLOOKUP(C79,STUDENTS!$A:$R,18,FALSE)=B79,G79="Active"),"Đang học",IF(F79&gt;=0.8,IF(G79="Active","Tiếp tục khóa sau",IF(G79="Waiting for class","Chờ lớp mới",IF(G79="Inactive",IF(IFERROR(H79,"")="Discontinued mid-course","Nghỉ giữa chừng","Hoàn thành rồi nghỉ luôn"),""))),IF(G79="Inactive","Nghỉ giữa chừng","Đang học"))))</f>
        <v>Nghỉ giữa chừng</v>
      </c>
      <c r="M79" s="11" t="str">
        <f>IFERROR(__xludf.DUMMYFUNCTION("""COMPUTED_VALUE"""),"EL022")</f>
        <v>EL022</v>
      </c>
      <c r="N79" s="11" t="str">
        <f>IFERROR(__xludf.DUMMYFUNCTION("""COMPUTED_VALUE"""),"Communication 1")</f>
        <v>Communication 1</v>
      </c>
      <c r="O79" s="11" t="str">
        <f>IFERROR(__xludf.DUMMYFUNCTION("""COMPUTED_VALUE"""),"193534")</f>
        <v>193534</v>
      </c>
      <c r="P79" s="11">
        <f>IFERROR(__xludf.DUMMYFUNCTION("""COMPUTED_VALUE"""),12.0)</f>
        <v>12</v>
      </c>
      <c r="Q79" s="11">
        <f>IFERROR(__xludf.DUMMYFUNCTION("""COMPUTED_VALUE"""),10.0)</f>
        <v>10</v>
      </c>
      <c r="R79" s="11">
        <f>IFERROR(__xludf.DUMMYFUNCTION("""COMPUTED_VALUE"""),1.2)</f>
        <v>1.2</v>
      </c>
      <c r="S79" s="11" t="str">
        <f>IFERROR(__xludf.DUMMYFUNCTION("""COMPUTED_VALUE"""),"Inactive")</f>
        <v>Inactive</v>
      </c>
      <c r="T79" s="11" t="str">
        <f>IFERROR(__xludf.DUMMYFUNCTION("""COMPUTED_VALUE"""),"Discontinued mid-course")</f>
        <v>Discontinued mid-course</v>
      </c>
      <c r="U79" s="11" t="str">
        <f>IFERROR(__xludf.DUMMYFUNCTION("""COMPUTED_VALUE"""),"Nghỉ giữa chừng")</f>
        <v>Nghỉ giữa chừng</v>
      </c>
    </row>
    <row r="80">
      <c r="A80" s="11" t="str">
        <f>IFERROR(__xludf.DUMMYFUNCTION("""COMPUTED_VALUE"""),"EL008")</f>
        <v>EL008</v>
      </c>
      <c r="B80" s="11" t="str">
        <f>IFERROR(__xludf.DUMMYFUNCTION("""COMPUTED_VALUE"""),"Communication 2")</f>
        <v>Communication 2</v>
      </c>
      <c r="C80" s="11" t="str">
        <f>IFERROR(__xludf.DUMMYFUNCTION("""COMPUTED_VALUE"""),"193523")</f>
        <v>193523</v>
      </c>
      <c r="D80" s="11">
        <f>IFERROR(__xludf.DUMMYFUNCTION("""COMPUTED_VALUE"""),15.0)</f>
        <v>15</v>
      </c>
      <c r="E80" s="11">
        <f>IFERROR(VLOOKUP(B80,COURSE_PLAN!A:B,2,FALSE),"")</f>
        <v>16</v>
      </c>
      <c r="F80" s="11">
        <f t="shared" si="1"/>
        <v>0.9375</v>
      </c>
      <c r="G80" s="11" t="str">
        <f>IFERROR(VLOOKUP(C80,STUDENTS!A:E,5,FALSE),"")</f>
        <v>Active</v>
      </c>
      <c r="H80" s="11" t="str">
        <f>IFERROR(VLOOKUP(C80,STUDENTS!A:M,13,FALSE),"")</f>
        <v/>
      </c>
      <c r="I80" s="11" t="str">
        <f>IF(D80="","",IF(AND(VLOOKUP(C80,STUDENTS!$A:$R,17,FALSE)=A80,VLOOKUP(C80,STUDENTS!$A:$R,18,FALSE)=B80,G80="Active"),"Đang học",IF(F80&gt;=0.8,IF(G80="Active","Tiếp tục khóa sau",IF(G80="Waiting for class","Chờ lớp mới",IF(G80="Inactive",IF(IFERROR(H80,"")="Discontinued mid-course","Nghỉ giữa chừng","Hoàn thành rồi nghỉ luôn"),""))),IF(G80="Inactive","Nghỉ giữa chừng","Đang học"))))</f>
        <v>Tiếp tục khóa sau</v>
      </c>
      <c r="M80" s="11" t="str">
        <f>IFERROR(__xludf.DUMMYFUNCTION("""COMPUTED_VALUE"""),"EL022")</f>
        <v>EL022</v>
      </c>
      <c r="N80" s="11" t="str">
        <f>IFERROR(__xludf.DUMMYFUNCTION("""COMPUTED_VALUE"""),"Communication 1")</f>
        <v>Communication 1</v>
      </c>
      <c r="O80" s="11" t="str">
        <f>IFERROR(__xludf.DUMMYFUNCTION("""COMPUTED_VALUE"""),"227047")</f>
        <v>227047</v>
      </c>
      <c r="P80" s="11">
        <f>IFERROR(__xludf.DUMMYFUNCTION("""COMPUTED_VALUE"""),12.0)</f>
        <v>12</v>
      </c>
      <c r="Q80" s="11">
        <f>IFERROR(__xludf.DUMMYFUNCTION("""COMPUTED_VALUE"""),10.0)</f>
        <v>10</v>
      </c>
      <c r="R80" s="11">
        <f>IFERROR(__xludf.DUMMYFUNCTION("""COMPUTED_VALUE"""),1.2)</f>
        <v>1.2</v>
      </c>
      <c r="S80" s="11" t="str">
        <f>IFERROR(__xludf.DUMMYFUNCTION("""COMPUTED_VALUE"""),"Inactive")</f>
        <v>Inactive</v>
      </c>
      <c r="T80" s="11" t="str">
        <f>IFERROR(__xludf.DUMMYFUNCTION("""COMPUTED_VALUE"""),"Discontinued mid-course")</f>
        <v>Discontinued mid-course</v>
      </c>
      <c r="U80" s="11" t="str">
        <f>IFERROR(__xludf.DUMMYFUNCTION("""COMPUTED_VALUE"""),"Nghỉ giữa chừng")</f>
        <v>Nghỉ giữa chừng</v>
      </c>
    </row>
    <row r="81">
      <c r="A81" s="11" t="str">
        <f>IFERROR(__xludf.DUMMYFUNCTION("""COMPUTED_VALUE"""),"EL008")</f>
        <v>EL008</v>
      </c>
      <c r="B81" s="11" t="str">
        <f>IFERROR(__xludf.DUMMYFUNCTION("""COMPUTED_VALUE"""),"Communication 2")</f>
        <v>Communication 2</v>
      </c>
      <c r="C81" s="11" t="str">
        <f>IFERROR(__xludf.DUMMYFUNCTION("""COMPUTED_VALUE"""),"193526")</f>
        <v>193526</v>
      </c>
      <c r="D81" s="11">
        <f>IFERROR(__xludf.DUMMYFUNCTION("""COMPUTED_VALUE"""),16.0)</f>
        <v>16</v>
      </c>
      <c r="E81" s="11">
        <f>IFERROR(VLOOKUP(B81,COURSE_PLAN!A:B,2,FALSE),"")</f>
        <v>16</v>
      </c>
      <c r="F81" s="11">
        <f t="shared" si="1"/>
        <v>1</v>
      </c>
      <c r="G81" s="11" t="str">
        <f>IFERROR(VLOOKUP(C81,STUDENTS!A:E,5,FALSE),"")</f>
        <v>Active</v>
      </c>
      <c r="H81" s="11" t="str">
        <f>IFERROR(VLOOKUP(C81,STUDENTS!A:M,13,FALSE),"")</f>
        <v/>
      </c>
      <c r="I81" s="11" t="str">
        <f>IF(D81="","",IF(AND(VLOOKUP(C81,STUDENTS!$A:$R,17,FALSE)=A81,VLOOKUP(C81,STUDENTS!$A:$R,18,FALSE)=B81,G81="Active"),"Đang học",IF(F81&gt;=0.8,IF(G81="Active","Tiếp tục khóa sau",IF(G81="Waiting for class","Chờ lớp mới",IF(G81="Inactive",IF(IFERROR(H81,"")="Discontinued mid-course","Nghỉ giữa chừng","Hoàn thành rồi nghỉ luôn"),""))),IF(G81="Inactive","Nghỉ giữa chừng","Đang học"))))</f>
        <v>Tiếp tục khóa sau</v>
      </c>
      <c r="M81" s="11" t="str">
        <f>IFERROR(__xludf.DUMMYFUNCTION("""COMPUTED_VALUE"""),"EL022")</f>
        <v>EL022</v>
      </c>
      <c r="N81" s="11" t="str">
        <f>IFERROR(__xludf.DUMMYFUNCTION("""COMPUTED_VALUE"""),"Communication 1")</f>
        <v>Communication 1</v>
      </c>
      <c r="O81" s="11" t="str">
        <f>IFERROR(__xludf.DUMMYFUNCTION("""COMPUTED_VALUE"""),"227048")</f>
        <v>227048</v>
      </c>
      <c r="P81" s="11">
        <f>IFERROR(__xludf.DUMMYFUNCTION("""COMPUTED_VALUE"""),12.0)</f>
        <v>12</v>
      </c>
      <c r="Q81" s="11">
        <f>IFERROR(__xludf.DUMMYFUNCTION("""COMPUTED_VALUE"""),10.0)</f>
        <v>10</v>
      </c>
      <c r="R81" s="11">
        <f>IFERROR(__xludf.DUMMYFUNCTION("""COMPUTED_VALUE"""),1.2)</f>
        <v>1.2</v>
      </c>
      <c r="S81" s="11" t="str">
        <f>IFERROR(__xludf.DUMMYFUNCTION("""COMPUTED_VALUE"""),"Inactive")</f>
        <v>Inactive</v>
      </c>
      <c r="T81" s="11" t="str">
        <f>IFERROR(__xludf.DUMMYFUNCTION("""COMPUTED_VALUE"""),"Discontinued mid-course")</f>
        <v>Discontinued mid-course</v>
      </c>
      <c r="U81" s="11" t="str">
        <f>IFERROR(__xludf.DUMMYFUNCTION("""COMPUTED_VALUE"""),"Nghỉ giữa chừng")</f>
        <v>Nghỉ giữa chừng</v>
      </c>
    </row>
    <row r="82">
      <c r="A82" s="11" t="str">
        <f>IFERROR(__xludf.DUMMYFUNCTION("""COMPUTED_VALUE"""),"EL008")</f>
        <v>EL008</v>
      </c>
      <c r="B82" s="11" t="str">
        <f>IFERROR(__xludf.DUMMYFUNCTION("""COMPUTED_VALUE"""),"Communication 2")</f>
        <v>Communication 2</v>
      </c>
      <c r="C82" s="11" t="str">
        <f>IFERROR(__xludf.DUMMYFUNCTION("""COMPUTED_VALUE"""),"203780")</f>
        <v>203780</v>
      </c>
      <c r="D82" s="11">
        <f>IFERROR(__xludf.DUMMYFUNCTION("""COMPUTED_VALUE"""),16.0)</f>
        <v>16</v>
      </c>
      <c r="E82" s="11">
        <f>IFERROR(VLOOKUP(B82,COURSE_PLAN!A:B,2,FALSE),"")</f>
        <v>16</v>
      </c>
      <c r="F82" s="11">
        <f t="shared" si="1"/>
        <v>1</v>
      </c>
      <c r="G82" s="11" t="str">
        <f>IFERROR(VLOOKUP(C82,STUDENTS!A:E,5,FALSE),"")</f>
        <v>Active</v>
      </c>
      <c r="H82" s="11" t="str">
        <f>IFERROR(VLOOKUP(C82,STUDENTS!A:M,13,FALSE),"")</f>
        <v/>
      </c>
      <c r="I82" s="11" t="str">
        <f>IF(D82="","",IF(AND(VLOOKUP(C82,STUDENTS!$A:$R,17,FALSE)=A82,VLOOKUP(C82,STUDENTS!$A:$R,18,FALSE)=B82,G82="Active"),"Đang học",IF(F82&gt;=0.8,IF(G82="Active","Tiếp tục khóa sau",IF(G82="Waiting for class","Chờ lớp mới",IF(G82="Inactive",IF(IFERROR(H82,"")="Discontinued mid-course","Nghỉ giữa chừng","Hoàn thành rồi nghỉ luôn"),""))),IF(G82="Inactive","Nghỉ giữa chừng","Đang học"))))</f>
        <v>Tiếp tục khóa sau</v>
      </c>
      <c r="M82" s="11" t="str">
        <f>IFERROR(__xludf.DUMMYFUNCTION("""COMPUTED_VALUE"""),"EL022")</f>
        <v>EL022</v>
      </c>
      <c r="N82" s="11" t="str">
        <f>IFERROR(__xludf.DUMMYFUNCTION("""COMPUTED_VALUE"""),"Communication 1")</f>
        <v>Communication 1</v>
      </c>
      <c r="O82" s="11" t="str">
        <f>IFERROR(__xludf.DUMMYFUNCTION("""COMPUTED_VALUE"""),"227064")</f>
        <v>227064</v>
      </c>
      <c r="P82" s="11">
        <f>IFERROR(__xludf.DUMMYFUNCTION("""COMPUTED_VALUE"""),12.0)</f>
        <v>12</v>
      </c>
      <c r="Q82" s="11">
        <f>IFERROR(__xludf.DUMMYFUNCTION("""COMPUTED_VALUE"""),10.0)</f>
        <v>10</v>
      </c>
      <c r="R82" s="11">
        <f>IFERROR(__xludf.DUMMYFUNCTION("""COMPUTED_VALUE"""),1.2)</f>
        <v>1.2</v>
      </c>
      <c r="S82" s="11" t="str">
        <f>IFERROR(__xludf.DUMMYFUNCTION("""COMPUTED_VALUE"""),"Inactive")</f>
        <v>Inactive</v>
      </c>
      <c r="T82" s="11" t="str">
        <f>IFERROR(__xludf.DUMMYFUNCTION("""COMPUTED_VALUE"""),"Discontinued mid-course")</f>
        <v>Discontinued mid-course</v>
      </c>
      <c r="U82" s="11" t="str">
        <f>IFERROR(__xludf.DUMMYFUNCTION("""COMPUTED_VALUE"""),"Nghỉ giữa chừng")</f>
        <v>Nghỉ giữa chừng</v>
      </c>
    </row>
    <row r="83">
      <c r="A83" s="11" t="str">
        <f>IFERROR(__xludf.DUMMYFUNCTION("""COMPUTED_VALUE"""),"EL008")</f>
        <v>EL008</v>
      </c>
      <c r="B83" s="11" t="str">
        <f>IFERROR(__xludf.DUMMYFUNCTION("""COMPUTED_VALUE"""),"Communication 2")</f>
        <v>Communication 2</v>
      </c>
      <c r="C83" s="11" t="str">
        <f>IFERROR(__xludf.DUMMYFUNCTION("""COMPUTED_VALUE"""),"237117")</f>
        <v>237117</v>
      </c>
      <c r="D83" s="11">
        <f>IFERROR(__xludf.DUMMYFUNCTION("""COMPUTED_VALUE"""),16.0)</f>
        <v>16</v>
      </c>
      <c r="E83" s="11">
        <f>IFERROR(VLOOKUP(B83,COURSE_PLAN!A:B,2,FALSE),"")</f>
        <v>16</v>
      </c>
      <c r="F83" s="11">
        <f t="shared" si="1"/>
        <v>1</v>
      </c>
      <c r="G83" s="11" t="str">
        <f>IFERROR(VLOOKUP(C83,STUDENTS!A:E,5,FALSE),"")</f>
        <v>Active</v>
      </c>
      <c r="H83" s="11" t="str">
        <f>IFERROR(VLOOKUP(C83,STUDENTS!A:M,13,FALSE),"")</f>
        <v/>
      </c>
      <c r="I83" s="11" t="str">
        <f>IF(D83="","",IF(AND(VLOOKUP(C83,STUDENTS!$A:$R,17,FALSE)=A83,VLOOKUP(C83,STUDENTS!$A:$R,18,FALSE)=B83,G83="Active"),"Đang học",IF(F83&gt;=0.8,IF(G83="Active","Tiếp tục khóa sau",IF(G83="Waiting for class","Chờ lớp mới",IF(G83="Inactive",IF(IFERROR(H83,"")="Discontinued mid-course","Nghỉ giữa chừng","Hoàn thành rồi nghỉ luôn"),""))),IF(G83="Inactive","Nghỉ giữa chừng","Đang học"))))</f>
        <v>Tiếp tục khóa sau</v>
      </c>
      <c r="M83" s="11" t="str">
        <f>IFERROR(__xludf.DUMMYFUNCTION("""COMPUTED_VALUE"""),"EL022")</f>
        <v>EL022</v>
      </c>
      <c r="N83" s="11" t="str">
        <f>IFERROR(__xludf.DUMMYFUNCTION("""COMPUTED_VALUE"""),"Communication 1")</f>
        <v>Communication 1</v>
      </c>
      <c r="O83" s="11" t="str">
        <f>IFERROR(__xludf.DUMMYFUNCTION("""COMPUTED_VALUE"""),"227080")</f>
        <v>227080</v>
      </c>
      <c r="P83" s="11">
        <f>IFERROR(__xludf.DUMMYFUNCTION("""COMPUTED_VALUE"""),12.0)</f>
        <v>12</v>
      </c>
      <c r="Q83" s="11">
        <f>IFERROR(__xludf.DUMMYFUNCTION("""COMPUTED_VALUE"""),10.0)</f>
        <v>10</v>
      </c>
      <c r="R83" s="11">
        <f>IFERROR(__xludf.DUMMYFUNCTION("""COMPUTED_VALUE"""),1.2)</f>
        <v>1.2</v>
      </c>
      <c r="S83" s="11" t="str">
        <f>IFERROR(__xludf.DUMMYFUNCTION("""COMPUTED_VALUE"""),"Inactive")</f>
        <v>Inactive</v>
      </c>
      <c r="T83" s="11" t="str">
        <f>IFERROR(__xludf.DUMMYFUNCTION("""COMPUTED_VALUE"""),"Discontinued mid-course")</f>
        <v>Discontinued mid-course</v>
      </c>
      <c r="U83" s="11" t="str">
        <f>IFERROR(__xludf.DUMMYFUNCTION("""COMPUTED_VALUE"""),"Nghỉ giữa chừng")</f>
        <v>Nghỉ giữa chừng</v>
      </c>
    </row>
    <row r="84">
      <c r="A84" s="11" t="str">
        <f>IFERROR(__xludf.DUMMYFUNCTION("""COMPUTED_VALUE"""),"EL008")</f>
        <v>EL008</v>
      </c>
      <c r="B84" s="11" t="str">
        <f>IFERROR(__xludf.DUMMYFUNCTION("""COMPUTED_VALUE"""),"Communication 2")</f>
        <v>Communication 2</v>
      </c>
      <c r="C84" s="11" t="str">
        <f>IFERROR(__xludf.DUMMYFUNCTION("""COMPUTED_VALUE"""),"237161")</f>
        <v>237161</v>
      </c>
      <c r="D84" s="11">
        <f>IFERROR(__xludf.DUMMYFUNCTION("""COMPUTED_VALUE"""),16.0)</f>
        <v>16</v>
      </c>
      <c r="E84" s="11">
        <f>IFERROR(VLOOKUP(B84,COURSE_PLAN!A:B,2,FALSE),"")</f>
        <v>16</v>
      </c>
      <c r="F84" s="11">
        <f t="shared" si="1"/>
        <v>1</v>
      </c>
      <c r="G84" s="11" t="str">
        <f>IFERROR(VLOOKUP(C84,STUDENTS!A:E,5,FALSE),"")</f>
        <v>Inactive</v>
      </c>
      <c r="H84" s="11" t="str">
        <f>IFERROR(VLOOKUP(C84,STUDENTS!A:M,13,FALSE),"")</f>
        <v>Discontinued mid-course</v>
      </c>
      <c r="I84" s="11" t="str">
        <f>IF(D84="","",IF(AND(VLOOKUP(C84,STUDENTS!$A:$R,17,FALSE)=A84,VLOOKUP(C84,STUDENTS!$A:$R,18,FALSE)=B84,G84="Active"),"Đang học",IF(F84&gt;=0.8,IF(G84="Active","Tiếp tục khóa sau",IF(G84="Waiting for class","Chờ lớp mới",IF(G84="Inactive",IF(IFERROR(H84,"")="Discontinued mid-course","Nghỉ giữa chừng","Hoàn thành rồi nghỉ luôn"),""))),IF(G84="Inactive","Nghỉ giữa chừng","Đang học"))))</f>
        <v>Nghỉ giữa chừng</v>
      </c>
      <c r="M84" s="11" t="str">
        <f>IFERROR(__xludf.DUMMYFUNCTION("""COMPUTED_VALUE"""),"EL022")</f>
        <v>EL022</v>
      </c>
      <c r="N84" s="11" t="str">
        <f>IFERROR(__xludf.DUMMYFUNCTION("""COMPUTED_VALUE"""),"Communication 2")</f>
        <v>Communication 2</v>
      </c>
      <c r="O84" s="11" t="str">
        <f>IFERROR(__xludf.DUMMYFUNCTION("""COMPUTED_VALUE"""),"133051")</f>
        <v>133051</v>
      </c>
      <c r="P84" s="11">
        <f>IFERROR(__xludf.DUMMYFUNCTION("""COMPUTED_VALUE"""),15.0)</f>
        <v>15</v>
      </c>
      <c r="Q84" s="11">
        <f>IFERROR(__xludf.DUMMYFUNCTION("""COMPUTED_VALUE"""),16.0)</f>
        <v>16</v>
      </c>
      <c r="R84" s="11">
        <f>IFERROR(__xludf.DUMMYFUNCTION("""COMPUTED_VALUE"""),0.9375)</f>
        <v>0.9375</v>
      </c>
      <c r="S84" s="11" t="str">
        <f>IFERROR(__xludf.DUMMYFUNCTION("""COMPUTED_VALUE"""),"Inactive")</f>
        <v>Inactive</v>
      </c>
      <c r="T84" s="11" t="str">
        <f>IFERROR(__xludf.DUMMYFUNCTION("""COMPUTED_VALUE"""),"Discontinued mid-course")</f>
        <v>Discontinued mid-course</v>
      </c>
      <c r="U84" s="11" t="str">
        <f>IFERROR(__xludf.DUMMYFUNCTION("""COMPUTED_VALUE"""),"Nghỉ giữa chừng")</f>
        <v>Nghỉ giữa chừng</v>
      </c>
    </row>
    <row r="85">
      <c r="A85" s="11" t="str">
        <f>IFERROR(__xludf.DUMMYFUNCTION("""COMPUTED_VALUE"""),"EL009")</f>
        <v>EL009</v>
      </c>
      <c r="B85" s="11" t="str">
        <f>IFERROR(__xludf.DUMMYFUNCTION("""COMPUTED_VALUE"""),"Communication 1")</f>
        <v>Communication 1</v>
      </c>
      <c r="C85" s="11" t="str">
        <f>IFERROR(__xludf.DUMMYFUNCTION("""COMPUTED_VALUE"""),"173272")</f>
        <v>173272</v>
      </c>
      <c r="D85" s="11">
        <f>IFERROR(__xludf.DUMMYFUNCTION("""COMPUTED_VALUE"""),10.0)</f>
        <v>10</v>
      </c>
      <c r="E85" s="11">
        <f>IFERROR(VLOOKUP(B85,COURSE_PLAN!A:B,2,FALSE),"")</f>
        <v>10</v>
      </c>
      <c r="F85" s="11">
        <f t="shared" si="1"/>
        <v>1</v>
      </c>
      <c r="G85" s="11" t="str">
        <f>IFERROR(VLOOKUP(C85,STUDENTS!A:E,5,FALSE),"")</f>
        <v>Inactive</v>
      </c>
      <c r="H85" s="11" t="str">
        <f>IFERROR(VLOOKUP(C85,STUDENTS!A:M,13,FALSE),"")</f>
        <v>Completed (no continuation)</v>
      </c>
      <c r="I85" s="11" t="str">
        <f>IF(D85="","",IF(AND(VLOOKUP(C85,STUDENTS!$A:$R,17,FALSE)=A85,VLOOKUP(C85,STUDENTS!$A:$R,18,FALSE)=B85,G85="Active"),"Đang học",IF(F85&gt;=0.8,IF(G85="Active","Tiếp tục khóa sau",IF(G85="Waiting for class","Chờ lớp mới",IF(G85="Inactive",IF(IFERROR(H85,"")="Discontinued mid-course","Nghỉ giữa chừng","Hoàn thành rồi nghỉ luôn"),""))),IF(G85="Inactive","Nghỉ giữa chừng","Đang học"))))</f>
        <v>Hoàn thành rồi nghỉ luôn</v>
      </c>
      <c r="M85" s="11" t="str">
        <f>IFERROR(__xludf.DUMMYFUNCTION("""COMPUTED_VALUE"""),"EL022")</f>
        <v>EL022</v>
      </c>
      <c r="N85" s="11" t="str">
        <f>IFERROR(__xludf.DUMMYFUNCTION("""COMPUTED_VALUE"""),"Communication 2")</f>
        <v>Communication 2</v>
      </c>
      <c r="O85" s="11" t="str">
        <f>IFERROR(__xludf.DUMMYFUNCTION("""COMPUTED_VALUE"""),"183340")</f>
        <v>183340</v>
      </c>
      <c r="P85" s="11">
        <f>IFERROR(__xludf.DUMMYFUNCTION("""COMPUTED_VALUE"""),15.0)</f>
        <v>15</v>
      </c>
      <c r="Q85" s="11">
        <f>IFERROR(__xludf.DUMMYFUNCTION("""COMPUTED_VALUE"""),16.0)</f>
        <v>16</v>
      </c>
      <c r="R85" s="11">
        <f>IFERROR(__xludf.DUMMYFUNCTION("""COMPUTED_VALUE"""),0.9375)</f>
        <v>0.9375</v>
      </c>
      <c r="S85" s="11" t="str">
        <f>IFERROR(__xludf.DUMMYFUNCTION("""COMPUTED_VALUE"""),"Inactive")</f>
        <v>Inactive</v>
      </c>
      <c r="T85" s="11" t="str">
        <f>IFERROR(__xludf.DUMMYFUNCTION("""COMPUTED_VALUE"""),"Discontinued mid-course")</f>
        <v>Discontinued mid-course</v>
      </c>
      <c r="U85" s="11" t="str">
        <f>IFERROR(__xludf.DUMMYFUNCTION("""COMPUTED_VALUE"""),"Nghỉ giữa chừng")</f>
        <v>Nghỉ giữa chừng</v>
      </c>
    </row>
    <row r="86">
      <c r="A86" s="11" t="str">
        <f>IFERROR(__xludf.DUMMYFUNCTION("""COMPUTED_VALUE"""),"EL009")</f>
        <v>EL009</v>
      </c>
      <c r="B86" s="11" t="str">
        <f>IFERROR(__xludf.DUMMYFUNCTION("""COMPUTED_VALUE"""),"Communication 1")</f>
        <v>Communication 1</v>
      </c>
      <c r="C86" s="11" t="str">
        <f>IFERROR(__xludf.DUMMYFUNCTION("""COMPUTED_VALUE"""),"203790")</f>
        <v>203790</v>
      </c>
      <c r="D86" s="11">
        <f>IFERROR(__xludf.DUMMYFUNCTION("""COMPUTED_VALUE"""),10.0)</f>
        <v>10</v>
      </c>
      <c r="E86" s="11">
        <f>IFERROR(VLOOKUP(B86,COURSE_PLAN!A:B,2,FALSE),"")</f>
        <v>10</v>
      </c>
      <c r="F86" s="11">
        <f t="shared" si="1"/>
        <v>1</v>
      </c>
      <c r="G86" s="11" t="str">
        <f>IFERROR(VLOOKUP(C86,STUDENTS!A:E,5,FALSE),"")</f>
        <v>Active</v>
      </c>
      <c r="H86" s="11" t="str">
        <f>IFERROR(VLOOKUP(C86,STUDENTS!A:M,13,FALSE),"")</f>
        <v/>
      </c>
      <c r="I86" s="11" t="str">
        <f>IF(D86="","",IF(AND(VLOOKUP(C86,STUDENTS!$A:$R,17,FALSE)=A86,VLOOKUP(C86,STUDENTS!$A:$R,18,FALSE)=B86,G86="Active"),"Đang học",IF(F86&gt;=0.8,IF(G86="Active","Tiếp tục khóa sau",IF(G86="Waiting for class","Chờ lớp mới",IF(G86="Inactive",IF(IFERROR(H86,"")="Discontinued mid-course","Nghỉ giữa chừng","Hoàn thành rồi nghỉ luôn"),""))),IF(G86="Inactive","Nghỉ giữa chừng","Đang học"))))</f>
        <v>Tiếp tục khóa sau</v>
      </c>
      <c r="M86" s="11" t="str">
        <f>IFERROR(__xludf.DUMMYFUNCTION("""COMPUTED_VALUE"""),"EL022")</f>
        <v>EL022</v>
      </c>
      <c r="N86" s="11" t="str">
        <f>IFERROR(__xludf.DUMMYFUNCTION("""COMPUTED_VALUE"""),"Communication 2")</f>
        <v>Communication 2</v>
      </c>
      <c r="O86" s="11" t="str">
        <f>IFERROR(__xludf.DUMMYFUNCTION("""COMPUTED_VALUE"""),"193534")</f>
        <v>193534</v>
      </c>
      <c r="P86" s="11">
        <f>IFERROR(__xludf.DUMMYFUNCTION("""COMPUTED_VALUE"""),15.0)</f>
        <v>15</v>
      </c>
      <c r="Q86" s="11">
        <f>IFERROR(__xludf.DUMMYFUNCTION("""COMPUTED_VALUE"""),16.0)</f>
        <v>16</v>
      </c>
      <c r="R86" s="11">
        <f>IFERROR(__xludf.DUMMYFUNCTION("""COMPUTED_VALUE"""),0.9375)</f>
        <v>0.9375</v>
      </c>
      <c r="S86" s="11" t="str">
        <f>IFERROR(__xludf.DUMMYFUNCTION("""COMPUTED_VALUE"""),"Inactive")</f>
        <v>Inactive</v>
      </c>
      <c r="T86" s="11" t="str">
        <f>IFERROR(__xludf.DUMMYFUNCTION("""COMPUTED_VALUE"""),"Discontinued mid-course")</f>
        <v>Discontinued mid-course</v>
      </c>
      <c r="U86" s="11" t="str">
        <f>IFERROR(__xludf.DUMMYFUNCTION("""COMPUTED_VALUE"""),"Nghỉ giữa chừng")</f>
        <v>Nghỉ giữa chừng</v>
      </c>
    </row>
    <row r="87">
      <c r="A87" s="11" t="str">
        <f>IFERROR(__xludf.DUMMYFUNCTION("""COMPUTED_VALUE"""),"EL009")</f>
        <v>EL009</v>
      </c>
      <c r="B87" s="11" t="str">
        <f>IFERROR(__xludf.DUMMYFUNCTION("""COMPUTED_VALUE"""),"Communication 1")</f>
        <v>Communication 1</v>
      </c>
      <c r="C87" s="11" t="str">
        <f>IFERROR(__xludf.DUMMYFUNCTION("""COMPUTED_VALUE"""),"237158")</f>
        <v>237158</v>
      </c>
      <c r="D87" s="11">
        <f>IFERROR(__xludf.DUMMYFUNCTION("""COMPUTED_VALUE"""),10.0)</f>
        <v>10</v>
      </c>
      <c r="E87" s="11">
        <f>IFERROR(VLOOKUP(B87,COURSE_PLAN!A:B,2,FALSE),"")</f>
        <v>10</v>
      </c>
      <c r="F87" s="11">
        <f t="shared" si="1"/>
        <v>1</v>
      </c>
      <c r="G87" s="11" t="str">
        <f>IFERROR(VLOOKUP(C87,STUDENTS!A:E,5,FALSE),"")</f>
        <v>Inactive</v>
      </c>
      <c r="H87" s="11" t="str">
        <f>IFERROR(VLOOKUP(C87,STUDENTS!A:M,13,FALSE),"")</f>
        <v>Completed (no continuation)</v>
      </c>
      <c r="I87" s="11" t="str">
        <f>IF(D87="","",IF(AND(VLOOKUP(C87,STUDENTS!$A:$R,17,FALSE)=A87,VLOOKUP(C87,STUDENTS!$A:$R,18,FALSE)=B87,G87="Active"),"Đang học",IF(F87&gt;=0.8,IF(G87="Active","Tiếp tục khóa sau",IF(G87="Waiting for class","Chờ lớp mới",IF(G87="Inactive",IF(IFERROR(H87,"")="Discontinued mid-course","Nghỉ giữa chừng","Hoàn thành rồi nghỉ luôn"),""))),IF(G87="Inactive","Nghỉ giữa chừng","Đang học"))))</f>
        <v>Hoàn thành rồi nghỉ luôn</v>
      </c>
      <c r="M87" s="11" t="str">
        <f>IFERROR(__xludf.DUMMYFUNCTION("""COMPUTED_VALUE"""),"EL022")</f>
        <v>EL022</v>
      </c>
      <c r="N87" s="11" t="str">
        <f>IFERROR(__xludf.DUMMYFUNCTION("""COMPUTED_VALUE"""),"Communication 2")</f>
        <v>Communication 2</v>
      </c>
      <c r="O87" s="11" t="str">
        <f>IFERROR(__xludf.DUMMYFUNCTION("""COMPUTED_VALUE"""),"227047")</f>
        <v>227047</v>
      </c>
      <c r="P87" s="11">
        <f>IFERROR(__xludf.DUMMYFUNCTION("""COMPUTED_VALUE"""),15.0)</f>
        <v>15</v>
      </c>
      <c r="Q87" s="11">
        <f>IFERROR(__xludf.DUMMYFUNCTION("""COMPUTED_VALUE"""),16.0)</f>
        <v>16</v>
      </c>
      <c r="R87" s="11">
        <f>IFERROR(__xludf.DUMMYFUNCTION("""COMPUTED_VALUE"""),0.9375)</f>
        <v>0.9375</v>
      </c>
      <c r="S87" s="11" t="str">
        <f>IFERROR(__xludf.DUMMYFUNCTION("""COMPUTED_VALUE"""),"Inactive")</f>
        <v>Inactive</v>
      </c>
      <c r="T87" s="11" t="str">
        <f>IFERROR(__xludf.DUMMYFUNCTION("""COMPUTED_VALUE"""),"Discontinued mid-course")</f>
        <v>Discontinued mid-course</v>
      </c>
      <c r="U87" s="11" t="str">
        <f>IFERROR(__xludf.DUMMYFUNCTION("""COMPUTED_VALUE"""),"Nghỉ giữa chừng")</f>
        <v>Nghỉ giữa chừng</v>
      </c>
    </row>
    <row r="88">
      <c r="A88" s="11" t="str">
        <f>IFERROR(__xludf.DUMMYFUNCTION("""COMPUTED_VALUE"""),"EL009")</f>
        <v>EL009</v>
      </c>
      <c r="B88" s="11" t="str">
        <f>IFERROR(__xludf.DUMMYFUNCTION("""COMPUTED_VALUE"""),"Communication 1")</f>
        <v>Communication 1</v>
      </c>
      <c r="C88" s="11" t="str">
        <f>IFERROR(__xludf.DUMMYFUNCTION("""COMPUTED_VALUE"""),"237206")</f>
        <v>237206</v>
      </c>
      <c r="D88" s="11">
        <f>IFERROR(__xludf.DUMMYFUNCTION("""COMPUTED_VALUE"""),10.0)</f>
        <v>10</v>
      </c>
      <c r="E88" s="11">
        <f>IFERROR(VLOOKUP(B88,COURSE_PLAN!A:B,2,FALSE),"")</f>
        <v>10</v>
      </c>
      <c r="F88" s="11">
        <f t="shared" si="1"/>
        <v>1</v>
      </c>
      <c r="G88" s="11" t="str">
        <f>IFERROR(VLOOKUP(C88,STUDENTS!A:E,5,FALSE),"")</f>
        <v>Inactive</v>
      </c>
      <c r="H88" s="11" t="str">
        <f>IFERROR(VLOOKUP(C88,STUDENTS!A:M,13,FALSE),"")</f>
        <v>Completed (no continuation)</v>
      </c>
      <c r="I88" s="11" t="str">
        <f>IF(D88="","",IF(AND(VLOOKUP(C88,STUDENTS!$A:$R,17,FALSE)=A88,VLOOKUP(C88,STUDENTS!$A:$R,18,FALSE)=B88,G88="Active"),"Đang học",IF(F88&gt;=0.8,IF(G88="Active","Tiếp tục khóa sau",IF(G88="Waiting for class","Chờ lớp mới",IF(G88="Inactive",IF(IFERROR(H88,"")="Discontinued mid-course","Nghỉ giữa chừng","Hoàn thành rồi nghỉ luôn"),""))),IF(G88="Inactive","Nghỉ giữa chừng","Đang học"))))</f>
        <v>Hoàn thành rồi nghỉ luôn</v>
      </c>
      <c r="M88" s="11" t="str">
        <f>IFERROR(__xludf.DUMMYFUNCTION("""COMPUTED_VALUE"""),"EL022")</f>
        <v>EL022</v>
      </c>
      <c r="N88" s="11" t="str">
        <f>IFERROR(__xludf.DUMMYFUNCTION("""COMPUTED_VALUE"""),"Communication 2")</f>
        <v>Communication 2</v>
      </c>
      <c r="O88" s="11" t="str">
        <f>IFERROR(__xludf.DUMMYFUNCTION("""COMPUTED_VALUE"""),"227048")</f>
        <v>227048</v>
      </c>
      <c r="P88" s="11">
        <f>IFERROR(__xludf.DUMMYFUNCTION("""COMPUTED_VALUE"""),15.0)</f>
        <v>15</v>
      </c>
      <c r="Q88" s="11">
        <f>IFERROR(__xludf.DUMMYFUNCTION("""COMPUTED_VALUE"""),16.0)</f>
        <v>16</v>
      </c>
      <c r="R88" s="11">
        <f>IFERROR(__xludf.DUMMYFUNCTION("""COMPUTED_VALUE"""),0.9375)</f>
        <v>0.9375</v>
      </c>
      <c r="S88" s="11" t="str">
        <f>IFERROR(__xludf.DUMMYFUNCTION("""COMPUTED_VALUE"""),"Inactive")</f>
        <v>Inactive</v>
      </c>
      <c r="T88" s="11" t="str">
        <f>IFERROR(__xludf.DUMMYFUNCTION("""COMPUTED_VALUE"""),"Discontinued mid-course")</f>
        <v>Discontinued mid-course</v>
      </c>
      <c r="U88" s="11" t="str">
        <f>IFERROR(__xludf.DUMMYFUNCTION("""COMPUTED_VALUE"""),"Nghỉ giữa chừng")</f>
        <v>Nghỉ giữa chừng</v>
      </c>
    </row>
    <row r="89">
      <c r="A89" s="11" t="str">
        <f>IFERROR(__xludf.DUMMYFUNCTION("""COMPUTED_VALUE"""),"EL009")</f>
        <v>EL009</v>
      </c>
      <c r="B89" s="11" t="str">
        <f>IFERROR(__xludf.DUMMYFUNCTION("""COMPUTED_VALUE"""),"Communication 1")</f>
        <v>Communication 1</v>
      </c>
      <c r="C89" s="11" t="str">
        <f>IFERROR(__xludf.DUMMYFUNCTION("""COMPUTED_VALUE"""),"237207")</f>
        <v>237207</v>
      </c>
      <c r="D89" s="11">
        <f>IFERROR(__xludf.DUMMYFUNCTION("""COMPUTED_VALUE"""),10.0)</f>
        <v>10</v>
      </c>
      <c r="E89" s="11">
        <f>IFERROR(VLOOKUP(B89,COURSE_PLAN!A:B,2,FALSE),"")</f>
        <v>10</v>
      </c>
      <c r="F89" s="11">
        <f t="shared" si="1"/>
        <v>1</v>
      </c>
      <c r="G89" s="11" t="str">
        <f>IFERROR(VLOOKUP(C89,STUDENTS!A:E,5,FALSE),"")</f>
        <v>Inactive</v>
      </c>
      <c r="H89" s="11" t="str">
        <f>IFERROR(VLOOKUP(C89,STUDENTS!A:M,13,FALSE),"")</f>
        <v>Discontinued mid-course</v>
      </c>
      <c r="I89" s="11" t="str">
        <f>IF(D89="","",IF(AND(VLOOKUP(C89,STUDENTS!$A:$R,17,FALSE)=A89,VLOOKUP(C89,STUDENTS!$A:$R,18,FALSE)=B89,G89="Active"),"Đang học",IF(F89&gt;=0.8,IF(G89="Active","Tiếp tục khóa sau",IF(G89="Waiting for class","Chờ lớp mới",IF(G89="Inactive",IF(IFERROR(H89,"")="Discontinued mid-course","Nghỉ giữa chừng","Hoàn thành rồi nghỉ luôn"),""))),IF(G89="Inactive","Nghỉ giữa chừng","Đang học"))))</f>
        <v>Nghỉ giữa chừng</v>
      </c>
      <c r="M89" s="11" t="str">
        <f>IFERROR(__xludf.DUMMYFUNCTION("""COMPUTED_VALUE"""),"EL022")</f>
        <v>EL022</v>
      </c>
      <c r="N89" s="11" t="str">
        <f>IFERROR(__xludf.DUMMYFUNCTION("""COMPUTED_VALUE"""),"Communication 2")</f>
        <v>Communication 2</v>
      </c>
      <c r="O89" s="11" t="str">
        <f>IFERROR(__xludf.DUMMYFUNCTION("""COMPUTED_VALUE"""),"227064")</f>
        <v>227064</v>
      </c>
      <c r="P89" s="11">
        <f>IFERROR(__xludf.DUMMYFUNCTION("""COMPUTED_VALUE"""),15.0)</f>
        <v>15</v>
      </c>
      <c r="Q89" s="11">
        <f>IFERROR(__xludf.DUMMYFUNCTION("""COMPUTED_VALUE"""),16.0)</f>
        <v>16</v>
      </c>
      <c r="R89" s="11">
        <f>IFERROR(__xludf.DUMMYFUNCTION("""COMPUTED_VALUE"""),0.9375)</f>
        <v>0.9375</v>
      </c>
      <c r="S89" s="11" t="str">
        <f>IFERROR(__xludf.DUMMYFUNCTION("""COMPUTED_VALUE"""),"Inactive")</f>
        <v>Inactive</v>
      </c>
      <c r="T89" s="11" t="str">
        <f>IFERROR(__xludf.DUMMYFUNCTION("""COMPUTED_VALUE"""),"Discontinued mid-course")</f>
        <v>Discontinued mid-course</v>
      </c>
      <c r="U89" s="11" t="str">
        <f>IFERROR(__xludf.DUMMYFUNCTION("""COMPUTED_VALUE"""),"Nghỉ giữa chừng")</f>
        <v>Nghỉ giữa chừng</v>
      </c>
    </row>
    <row r="90">
      <c r="A90" s="11" t="str">
        <f>IFERROR(__xludf.DUMMYFUNCTION("""COMPUTED_VALUE"""),"EL009")</f>
        <v>EL009</v>
      </c>
      <c r="B90" s="11" t="str">
        <f>IFERROR(__xludf.DUMMYFUNCTION("""COMPUTED_VALUE"""),"Communication 1")</f>
        <v>Communication 1</v>
      </c>
      <c r="C90" s="11" t="str">
        <f>IFERROR(__xludf.DUMMYFUNCTION("""COMPUTED_VALUE"""),"247043")</f>
        <v>247043</v>
      </c>
      <c r="D90" s="11">
        <f>IFERROR(__xludf.DUMMYFUNCTION("""COMPUTED_VALUE"""),10.0)</f>
        <v>10</v>
      </c>
      <c r="E90" s="11">
        <f>IFERROR(VLOOKUP(B90,COURSE_PLAN!A:B,2,FALSE),"")</f>
        <v>10</v>
      </c>
      <c r="F90" s="11">
        <f t="shared" si="1"/>
        <v>1</v>
      </c>
      <c r="G90" s="11" t="str">
        <f>IFERROR(VLOOKUP(C90,STUDENTS!A:E,5,FALSE),"")</f>
        <v>Inactive</v>
      </c>
      <c r="H90" s="11" t="str">
        <f>IFERROR(VLOOKUP(C90,STUDENTS!A:M,13,FALSE),"")</f>
        <v>Completed (no continuation)</v>
      </c>
      <c r="I90" s="11" t="str">
        <f>IF(D90="","",IF(AND(VLOOKUP(C90,STUDENTS!$A:$R,17,FALSE)=A90,VLOOKUP(C90,STUDENTS!$A:$R,18,FALSE)=B90,G90="Active"),"Đang học",IF(F90&gt;=0.8,IF(G90="Active","Tiếp tục khóa sau",IF(G90="Waiting for class","Chờ lớp mới",IF(G90="Inactive",IF(IFERROR(H90,"")="Discontinued mid-course","Nghỉ giữa chừng","Hoàn thành rồi nghỉ luôn"),""))),IF(G90="Inactive","Nghỉ giữa chừng","Đang học"))))</f>
        <v>Hoàn thành rồi nghỉ luôn</v>
      </c>
      <c r="M90" s="11" t="str">
        <f>IFERROR(__xludf.DUMMYFUNCTION("""COMPUTED_VALUE"""),"EL022")</f>
        <v>EL022</v>
      </c>
      <c r="N90" s="11" t="str">
        <f>IFERROR(__xludf.DUMMYFUNCTION("""COMPUTED_VALUE"""),"Communication 2")</f>
        <v>Communication 2</v>
      </c>
      <c r="O90" s="11" t="str">
        <f>IFERROR(__xludf.DUMMYFUNCTION("""COMPUTED_VALUE"""),"227080")</f>
        <v>227080</v>
      </c>
      <c r="P90" s="11">
        <f>IFERROR(__xludf.DUMMYFUNCTION("""COMPUTED_VALUE"""),15.0)</f>
        <v>15</v>
      </c>
      <c r="Q90" s="11">
        <f>IFERROR(__xludf.DUMMYFUNCTION("""COMPUTED_VALUE"""),16.0)</f>
        <v>16</v>
      </c>
      <c r="R90" s="11">
        <f>IFERROR(__xludf.DUMMYFUNCTION("""COMPUTED_VALUE"""),0.9375)</f>
        <v>0.9375</v>
      </c>
      <c r="S90" s="11" t="str">
        <f>IFERROR(__xludf.DUMMYFUNCTION("""COMPUTED_VALUE"""),"Inactive")</f>
        <v>Inactive</v>
      </c>
      <c r="T90" s="11" t="str">
        <f>IFERROR(__xludf.DUMMYFUNCTION("""COMPUTED_VALUE"""),"Discontinued mid-course")</f>
        <v>Discontinued mid-course</v>
      </c>
      <c r="U90" s="11" t="str">
        <f>IFERROR(__xludf.DUMMYFUNCTION("""COMPUTED_VALUE"""),"Nghỉ giữa chừng")</f>
        <v>Nghỉ giữa chừng</v>
      </c>
    </row>
    <row r="91">
      <c r="A91" s="11" t="str">
        <f>IFERROR(__xludf.DUMMYFUNCTION("""COMPUTED_VALUE"""),"EL009")</f>
        <v>EL009</v>
      </c>
      <c r="B91" s="11" t="str">
        <f>IFERROR(__xludf.DUMMYFUNCTION("""COMPUTED_VALUE"""),"Communication 2")</f>
        <v>Communication 2</v>
      </c>
      <c r="C91" s="11" t="str">
        <f>IFERROR(__xludf.DUMMYFUNCTION("""COMPUTED_VALUE"""),"193447")</f>
        <v>193447</v>
      </c>
      <c r="D91" s="11">
        <f>IFERROR(__xludf.DUMMYFUNCTION("""COMPUTED_VALUE"""),16.0)</f>
        <v>16</v>
      </c>
      <c r="E91" s="11">
        <f>IFERROR(VLOOKUP(B91,COURSE_PLAN!A:B,2,FALSE),"")</f>
        <v>16</v>
      </c>
      <c r="F91" s="11">
        <f t="shared" si="1"/>
        <v>1</v>
      </c>
      <c r="G91" s="11" t="str">
        <f>IFERROR(VLOOKUP(C91,STUDENTS!A:E,5,FALSE),"")</f>
        <v>Inactive</v>
      </c>
      <c r="H91" s="11" t="str">
        <f>IFERROR(VLOOKUP(C91,STUDENTS!A:M,13,FALSE),"")</f>
        <v>Completed (no continuation)</v>
      </c>
      <c r="I91" s="11" t="str">
        <f>IF(D91="","",IF(AND(VLOOKUP(C91,STUDENTS!$A:$R,17,FALSE)=A91,VLOOKUP(C91,STUDENTS!$A:$R,18,FALSE)=B91,G91="Active"),"Đang học",IF(F91&gt;=0.8,IF(G91="Active","Tiếp tục khóa sau",IF(G91="Waiting for class","Chờ lớp mới",IF(G91="Inactive",IF(IFERROR(H91,"")="Discontinued mid-course","Nghỉ giữa chừng","Hoàn thành rồi nghỉ luôn"),""))),IF(G91="Inactive","Nghỉ giữa chừng","Đang học"))))</f>
        <v>Hoàn thành rồi nghỉ luôn</v>
      </c>
      <c r="M91" s="11" t="str">
        <f>IFERROR(__xludf.DUMMYFUNCTION("""COMPUTED_VALUE"""),"EL022")</f>
        <v>EL022</v>
      </c>
      <c r="N91" s="11" t="str">
        <f>IFERROR(__xludf.DUMMYFUNCTION("""COMPUTED_VALUE"""),"Communication 3")</f>
        <v>Communication 3</v>
      </c>
      <c r="O91" s="11" t="str">
        <f>IFERROR(__xludf.DUMMYFUNCTION("""COMPUTED_VALUE"""),"133051")</f>
        <v>133051</v>
      </c>
      <c r="P91" s="11">
        <f>IFERROR(__xludf.DUMMYFUNCTION("""COMPUTED_VALUE"""),9.0)</f>
        <v>9</v>
      </c>
      <c r="Q91" s="11">
        <f>IFERROR(__xludf.DUMMYFUNCTION("""COMPUTED_VALUE"""),16.0)</f>
        <v>16</v>
      </c>
      <c r="R91" s="11">
        <f>IFERROR(__xludf.DUMMYFUNCTION("""COMPUTED_VALUE"""),0.5625)</f>
        <v>0.5625</v>
      </c>
      <c r="S91" s="11" t="str">
        <f>IFERROR(__xludf.DUMMYFUNCTION("""COMPUTED_VALUE"""),"Inactive")</f>
        <v>Inactive</v>
      </c>
      <c r="T91" s="11" t="str">
        <f>IFERROR(__xludf.DUMMYFUNCTION("""COMPUTED_VALUE"""),"Discontinued mid-course")</f>
        <v>Discontinued mid-course</v>
      </c>
      <c r="U91" s="11" t="str">
        <f>IFERROR(__xludf.DUMMYFUNCTION("""COMPUTED_VALUE"""),"Nghỉ giữa chừng")</f>
        <v>Nghỉ giữa chừng</v>
      </c>
    </row>
    <row r="92">
      <c r="A92" s="11" t="str">
        <f>IFERROR(__xludf.DUMMYFUNCTION("""COMPUTED_VALUE"""),"EL009")</f>
        <v>EL009</v>
      </c>
      <c r="B92" s="11" t="str">
        <f>IFERROR(__xludf.DUMMYFUNCTION("""COMPUTED_VALUE"""),"Communication 2")</f>
        <v>Communication 2</v>
      </c>
      <c r="C92" s="11" t="str">
        <f>IFERROR(__xludf.DUMMYFUNCTION("""COMPUTED_VALUE"""),"227092")</f>
        <v>227092</v>
      </c>
      <c r="D92" s="11">
        <f>IFERROR(__xludf.DUMMYFUNCTION("""COMPUTED_VALUE"""),16.0)</f>
        <v>16</v>
      </c>
      <c r="E92" s="11">
        <f>IFERROR(VLOOKUP(B92,COURSE_PLAN!A:B,2,FALSE),"")</f>
        <v>16</v>
      </c>
      <c r="F92" s="11">
        <f t="shared" si="1"/>
        <v>1</v>
      </c>
      <c r="G92" s="11" t="str">
        <f>IFERROR(VLOOKUP(C92,STUDENTS!A:E,5,FALSE),"")</f>
        <v>Inactive</v>
      </c>
      <c r="H92" s="11" t="str">
        <f>IFERROR(VLOOKUP(C92,STUDENTS!A:M,13,FALSE),"")</f>
        <v>Completed (no continuation)</v>
      </c>
      <c r="I92" s="11" t="str">
        <f>IF(D92="","",IF(AND(VLOOKUP(C92,STUDENTS!$A:$R,17,FALSE)=A92,VLOOKUP(C92,STUDENTS!$A:$R,18,FALSE)=B92,G92="Active"),"Đang học",IF(F92&gt;=0.8,IF(G92="Active","Tiếp tục khóa sau",IF(G92="Waiting for class","Chờ lớp mới",IF(G92="Inactive",IF(IFERROR(H92,"")="Discontinued mid-course","Nghỉ giữa chừng","Hoàn thành rồi nghỉ luôn"),""))),IF(G92="Inactive","Nghỉ giữa chừng","Đang học"))))</f>
        <v>Hoàn thành rồi nghỉ luôn</v>
      </c>
      <c r="M92" s="11" t="str">
        <f>IFERROR(__xludf.DUMMYFUNCTION("""COMPUTED_VALUE"""),"EL022")</f>
        <v>EL022</v>
      </c>
      <c r="N92" s="11" t="str">
        <f>IFERROR(__xludf.DUMMYFUNCTION("""COMPUTED_VALUE"""),"Communication 3")</f>
        <v>Communication 3</v>
      </c>
      <c r="O92" s="11" t="str">
        <f>IFERROR(__xludf.DUMMYFUNCTION("""COMPUTED_VALUE"""),"183340")</f>
        <v>183340</v>
      </c>
      <c r="P92" s="11">
        <f>IFERROR(__xludf.DUMMYFUNCTION("""COMPUTED_VALUE"""),9.0)</f>
        <v>9</v>
      </c>
      <c r="Q92" s="11">
        <f>IFERROR(__xludf.DUMMYFUNCTION("""COMPUTED_VALUE"""),16.0)</f>
        <v>16</v>
      </c>
      <c r="R92" s="11">
        <f>IFERROR(__xludf.DUMMYFUNCTION("""COMPUTED_VALUE"""),0.5625)</f>
        <v>0.5625</v>
      </c>
      <c r="S92" s="11" t="str">
        <f>IFERROR(__xludf.DUMMYFUNCTION("""COMPUTED_VALUE"""),"Inactive")</f>
        <v>Inactive</v>
      </c>
      <c r="T92" s="11" t="str">
        <f>IFERROR(__xludf.DUMMYFUNCTION("""COMPUTED_VALUE"""),"Discontinued mid-course")</f>
        <v>Discontinued mid-course</v>
      </c>
      <c r="U92" s="11" t="str">
        <f>IFERROR(__xludf.DUMMYFUNCTION("""COMPUTED_VALUE"""),"Nghỉ giữa chừng")</f>
        <v>Nghỉ giữa chừng</v>
      </c>
    </row>
    <row r="93">
      <c r="A93" s="11" t="str">
        <f>IFERROR(__xludf.DUMMYFUNCTION("""COMPUTED_VALUE"""),"EL009")</f>
        <v>EL009</v>
      </c>
      <c r="B93" s="11" t="str">
        <f>IFERROR(__xludf.DUMMYFUNCTION("""COMPUTED_VALUE"""),"Communication 2")</f>
        <v>Communication 2</v>
      </c>
      <c r="C93" s="11" t="str">
        <f>IFERROR(__xludf.DUMMYFUNCTION("""COMPUTED_VALUE"""),"227160")</f>
        <v>227160</v>
      </c>
      <c r="D93" s="11">
        <f>IFERROR(__xludf.DUMMYFUNCTION("""COMPUTED_VALUE"""),16.0)</f>
        <v>16</v>
      </c>
      <c r="E93" s="11">
        <f>IFERROR(VLOOKUP(B93,COURSE_PLAN!A:B,2,FALSE),"")</f>
        <v>16</v>
      </c>
      <c r="F93" s="11">
        <f t="shared" si="1"/>
        <v>1</v>
      </c>
      <c r="G93" s="11" t="str">
        <f>IFERROR(VLOOKUP(C93,STUDENTS!A:E,5,FALSE),"")</f>
        <v>Inactive</v>
      </c>
      <c r="H93" s="11" t="str">
        <f>IFERROR(VLOOKUP(C93,STUDENTS!A:M,13,FALSE),"")</f>
        <v>Completed (no continuation)</v>
      </c>
      <c r="I93" s="11" t="str">
        <f>IF(D93="","",IF(AND(VLOOKUP(C93,STUDENTS!$A:$R,17,FALSE)=A93,VLOOKUP(C93,STUDENTS!$A:$R,18,FALSE)=B93,G93="Active"),"Đang học",IF(F93&gt;=0.8,IF(G93="Active","Tiếp tục khóa sau",IF(G93="Waiting for class","Chờ lớp mới",IF(G93="Inactive",IF(IFERROR(H93,"")="Discontinued mid-course","Nghỉ giữa chừng","Hoàn thành rồi nghỉ luôn"),""))),IF(G93="Inactive","Nghỉ giữa chừng","Đang học"))))</f>
        <v>Hoàn thành rồi nghỉ luôn</v>
      </c>
      <c r="M93" s="11" t="str">
        <f>IFERROR(__xludf.DUMMYFUNCTION("""COMPUTED_VALUE"""),"EL022")</f>
        <v>EL022</v>
      </c>
      <c r="N93" s="11" t="str">
        <f>IFERROR(__xludf.DUMMYFUNCTION("""COMPUTED_VALUE"""),"Communication 3")</f>
        <v>Communication 3</v>
      </c>
      <c r="O93" s="11" t="str">
        <f>IFERROR(__xludf.DUMMYFUNCTION("""COMPUTED_VALUE"""),"193534")</f>
        <v>193534</v>
      </c>
      <c r="P93" s="11">
        <f>IFERROR(__xludf.DUMMYFUNCTION("""COMPUTED_VALUE"""),9.0)</f>
        <v>9</v>
      </c>
      <c r="Q93" s="11">
        <f>IFERROR(__xludf.DUMMYFUNCTION("""COMPUTED_VALUE"""),16.0)</f>
        <v>16</v>
      </c>
      <c r="R93" s="11">
        <f>IFERROR(__xludf.DUMMYFUNCTION("""COMPUTED_VALUE"""),0.5625)</f>
        <v>0.5625</v>
      </c>
      <c r="S93" s="11" t="str">
        <f>IFERROR(__xludf.DUMMYFUNCTION("""COMPUTED_VALUE"""),"Inactive")</f>
        <v>Inactive</v>
      </c>
      <c r="T93" s="11" t="str">
        <f>IFERROR(__xludf.DUMMYFUNCTION("""COMPUTED_VALUE"""),"Discontinued mid-course")</f>
        <v>Discontinued mid-course</v>
      </c>
      <c r="U93" s="11" t="str">
        <f>IFERROR(__xludf.DUMMYFUNCTION("""COMPUTED_VALUE"""),"Nghỉ giữa chừng")</f>
        <v>Nghỉ giữa chừng</v>
      </c>
    </row>
    <row r="94">
      <c r="A94" s="11" t="str">
        <f>IFERROR(__xludf.DUMMYFUNCTION("""COMPUTED_VALUE"""),"EL009")</f>
        <v>EL009</v>
      </c>
      <c r="B94" s="11" t="str">
        <f>IFERROR(__xludf.DUMMYFUNCTION("""COMPUTED_VALUE"""),"Communication 2")</f>
        <v>Communication 2</v>
      </c>
      <c r="C94" s="11" t="str">
        <f>IFERROR(__xludf.DUMMYFUNCTION("""COMPUTED_VALUE"""),"237008")</f>
        <v>237008</v>
      </c>
      <c r="D94" s="11">
        <f>IFERROR(__xludf.DUMMYFUNCTION("""COMPUTED_VALUE"""),16.0)</f>
        <v>16</v>
      </c>
      <c r="E94" s="11">
        <f>IFERROR(VLOOKUP(B94,COURSE_PLAN!A:B,2,FALSE),"")</f>
        <v>16</v>
      </c>
      <c r="F94" s="11">
        <f t="shared" si="1"/>
        <v>1</v>
      </c>
      <c r="G94" s="11" t="str">
        <f>IFERROR(VLOOKUP(C94,STUDENTS!A:E,5,FALSE),"")</f>
        <v>Inactive</v>
      </c>
      <c r="H94" s="11" t="str">
        <f>IFERROR(VLOOKUP(C94,STUDENTS!A:M,13,FALSE),"")</f>
        <v>Completed (no continuation)</v>
      </c>
      <c r="I94" s="11" t="str">
        <f>IF(D94="","",IF(AND(VLOOKUP(C94,STUDENTS!$A:$R,17,FALSE)=A94,VLOOKUP(C94,STUDENTS!$A:$R,18,FALSE)=B94,G94="Active"),"Đang học",IF(F94&gt;=0.8,IF(G94="Active","Tiếp tục khóa sau",IF(G94="Waiting for class","Chờ lớp mới",IF(G94="Inactive",IF(IFERROR(H94,"")="Discontinued mid-course","Nghỉ giữa chừng","Hoàn thành rồi nghỉ luôn"),""))),IF(G94="Inactive","Nghỉ giữa chừng","Đang học"))))</f>
        <v>Hoàn thành rồi nghỉ luôn</v>
      </c>
      <c r="M94" s="11" t="str">
        <f>IFERROR(__xludf.DUMMYFUNCTION("""COMPUTED_VALUE"""),"EL022")</f>
        <v>EL022</v>
      </c>
      <c r="N94" s="11" t="str">
        <f>IFERROR(__xludf.DUMMYFUNCTION("""COMPUTED_VALUE"""),"Communication 3")</f>
        <v>Communication 3</v>
      </c>
      <c r="O94" s="11" t="str">
        <f>IFERROR(__xludf.DUMMYFUNCTION("""COMPUTED_VALUE"""),"227047")</f>
        <v>227047</v>
      </c>
      <c r="P94" s="11">
        <f>IFERROR(__xludf.DUMMYFUNCTION("""COMPUTED_VALUE"""),9.0)</f>
        <v>9</v>
      </c>
      <c r="Q94" s="11">
        <f>IFERROR(__xludf.DUMMYFUNCTION("""COMPUTED_VALUE"""),16.0)</f>
        <v>16</v>
      </c>
      <c r="R94" s="11">
        <f>IFERROR(__xludf.DUMMYFUNCTION("""COMPUTED_VALUE"""),0.5625)</f>
        <v>0.5625</v>
      </c>
      <c r="S94" s="11" t="str">
        <f>IFERROR(__xludf.DUMMYFUNCTION("""COMPUTED_VALUE"""),"Inactive")</f>
        <v>Inactive</v>
      </c>
      <c r="T94" s="11" t="str">
        <f>IFERROR(__xludf.DUMMYFUNCTION("""COMPUTED_VALUE"""),"Discontinued mid-course")</f>
        <v>Discontinued mid-course</v>
      </c>
      <c r="U94" s="11" t="str">
        <f>IFERROR(__xludf.DUMMYFUNCTION("""COMPUTED_VALUE"""),"Nghỉ giữa chừng")</f>
        <v>Nghỉ giữa chừng</v>
      </c>
    </row>
    <row r="95">
      <c r="A95" s="11" t="str">
        <f>IFERROR(__xludf.DUMMYFUNCTION("""COMPUTED_VALUE"""),"EL009")</f>
        <v>EL009</v>
      </c>
      <c r="B95" s="11" t="str">
        <f>IFERROR(__xludf.DUMMYFUNCTION("""COMPUTED_VALUE"""),"Communication 2")</f>
        <v>Communication 2</v>
      </c>
      <c r="C95" s="11" t="str">
        <f>IFERROR(__xludf.DUMMYFUNCTION("""COMPUTED_VALUE"""),"237158")</f>
        <v>237158</v>
      </c>
      <c r="D95" s="11">
        <f>IFERROR(__xludf.DUMMYFUNCTION("""COMPUTED_VALUE"""),16.0)</f>
        <v>16</v>
      </c>
      <c r="E95" s="11">
        <f>IFERROR(VLOOKUP(B95,COURSE_PLAN!A:B,2,FALSE),"")</f>
        <v>16</v>
      </c>
      <c r="F95" s="11">
        <f t="shared" si="1"/>
        <v>1</v>
      </c>
      <c r="G95" s="11" t="str">
        <f>IFERROR(VLOOKUP(C95,STUDENTS!A:E,5,FALSE),"")</f>
        <v>Inactive</v>
      </c>
      <c r="H95" s="11" t="str">
        <f>IFERROR(VLOOKUP(C95,STUDENTS!A:M,13,FALSE),"")</f>
        <v>Completed (no continuation)</v>
      </c>
      <c r="I95" s="11" t="str">
        <f>IF(D95="","",IF(AND(VLOOKUP(C95,STUDENTS!$A:$R,17,FALSE)=A95,VLOOKUP(C95,STUDENTS!$A:$R,18,FALSE)=B95,G95="Active"),"Đang học",IF(F95&gt;=0.8,IF(G95="Active","Tiếp tục khóa sau",IF(G95="Waiting for class","Chờ lớp mới",IF(G95="Inactive",IF(IFERROR(H95,"")="Discontinued mid-course","Nghỉ giữa chừng","Hoàn thành rồi nghỉ luôn"),""))),IF(G95="Inactive","Nghỉ giữa chừng","Đang học"))))</f>
        <v>Hoàn thành rồi nghỉ luôn</v>
      </c>
      <c r="M95" s="11" t="str">
        <f>IFERROR(__xludf.DUMMYFUNCTION("""COMPUTED_VALUE"""),"EL022")</f>
        <v>EL022</v>
      </c>
      <c r="N95" s="11" t="str">
        <f>IFERROR(__xludf.DUMMYFUNCTION("""COMPUTED_VALUE"""),"Communication 3")</f>
        <v>Communication 3</v>
      </c>
      <c r="O95" s="11" t="str">
        <f>IFERROR(__xludf.DUMMYFUNCTION("""COMPUTED_VALUE"""),"227048")</f>
        <v>227048</v>
      </c>
      <c r="P95" s="11">
        <f>IFERROR(__xludf.DUMMYFUNCTION("""COMPUTED_VALUE"""),9.0)</f>
        <v>9</v>
      </c>
      <c r="Q95" s="11">
        <f>IFERROR(__xludf.DUMMYFUNCTION("""COMPUTED_VALUE"""),16.0)</f>
        <v>16</v>
      </c>
      <c r="R95" s="11">
        <f>IFERROR(__xludf.DUMMYFUNCTION("""COMPUTED_VALUE"""),0.5625)</f>
        <v>0.5625</v>
      </c>
      <c r="S95" s="11" t="str">
        <f>IFERROR(__xludf.DUMMYFUNCTION("""COMPUTED_VALUE"""),"Inactive")</f>
        <v>Inactive</v>
      </c>
      <c r="T95" s="11" t="str">
        <f>IFERROR(__xludf.DUMMYFUNCTION("""COMPUTED_VALUE"""),"Discontinued mid-course")</f>
        <v>Discontinued mid-course</v>
      </c>
      <c r="U95" s="11" t="str">
        <f>IFERROR(__xludf.DUMMYFUNCTION("""COMPUTED_VALUE"""),"Nghỉ giữa chừng")</f>
        <v>Nghỉ giữa chừng</v>
      </c>
    </row>
    <row r="96">
      <c r="A96" s="11" t="str">
        <f>IFERROR(__xludf.DUMMYFUNCTION("""COMPUTED_VALUE"""),"EL009")</f>
        <v>EL009</v>
      </c>
      <c r="B96" s="11" t="str">
        <f>IFERROR(__xludf.DUMMYFUNCTION("""COMPUTED_VALUE"""),"Communication 2")</f>
        <v>Communication 2</v>
      </c>
      <c r="C96" s="11" t="str">
        <f>IFERROR(__xludf.DUMMYFUNCTION("""COMPUTED_VALUE"""),"237206")</f>
        <v>237206</v>
      </c>
      <c r="D96" s="11">
        <f>IFERROR(__xludf.DUMMYFUNCTION("""COMPUTED_VALUE"""),16.0)</f>
        <v>16</v>
      </c>
      <c r="E96" s="11">
        <f>IFERROR(VLOOKUP(B96,COURSE_PLAN!A:B,2,FALSE),"")</f>
        <v>16</v>
      </c>
      <c r="F96" s="11">
        <f t="shared" si="1"/>
        <v>1</v>
      </c>
      <c r="G96" s="11" t="str">
        <f>IFERROR(VLOOKUP(C96,STUDENTS!A:E,5,FALSE),"")</f>
        <v>Inactive</v>
      </c>
      <c r="H96" s="11" t="str">
        <f>IFERROR(VLOOKUP(C96,STUDENTS!A:M,13,FALSE),"")</f>
        <v>Completed (no continuation)</v>
      </c>
      <c r="I96" s="11" t="str">
        <f>IF(D96="","",IF(AND(VLOOKUP(C96,STUDENTS!$A:$R,17,FALSE)=A96,VLOOKUP(C96,STUDENTS!$A:$R,18,FALSE)=B96,G96="Active"),"Đang học",IF(F96&gt;=0.8,IF(G96="Active","Tiếp tục khóa sau",IF(G96="Waiting for class","Chờ lớp mới",IF(G96="Inactive",IF(IFERROR(H96,"")="Discontinued mid-course","Nghỉ giữa chừng","Hoàn thành rồi nghỉ luôn"),""))),IF(G96="Inactive","Nghỉ giữa chừng","Đang học"))))</f>
        <v>Hoàn thành rồi nghỉ luôn</v>
      </c>
      <c r="M96" s="11" t="str">
        <f>IFERROR(__xludf.DUMMYFUNCTION("""COMPUTED_VALUE"""),"EL023")</f>
        <v>EL023</v>
      </c>
      <c r="N96" s="11" t="str">
        <f>IFERROR(__xludf.DUMMYFUNCTION("""COMPUTED_VALUE"""),"Communication 1")</f>
        <v>Communication 1</v>
      </c>
      <c r="O96" s="11" t="str">
        <f>IFERROR(__xludf.DUMMYFUNCTION("""COMPUTED_VALUE"""),"227035")</f>
        <v>227035</v>
      </c>
      <c r="P96" s="11">
        <f>IFERROR(__xludf.DUMMYFUNCTION("""COMPUTED_VALUE"""),10.0)</f>
        <v>10</v>
      </c>
      <c r="Q96" s="11">
        <f>IFERROR(__xludf.DUMMYFUNCTION("""COMPUTED_VALUE"""),10.0)</f>
        <v>10</v>
      </c>
      <c r="R96" s="11">
        <f>IFERROR(__xludf.DUMMYFUNCTION("""COMPUTED_VALUE"""),1.0)</f>
        <v>1</v>
      </c>
      <c r="S96" s="11" t="str">
        <f>IFERROR(__xludf.DUMMYFUNCTION("""COMPUTED_VALUE"""),"Inactive")</f>
        <v>Inactive</v>
      </c>
      <c r="T96" s="11" t="str">
        <f>IFERROR(__xludf.DUMMYFUNCTION("""COMPUTED_VALUE"""),"Discontinued mid-course")</f>
        <v>Discontinued mid-course</v>
      </c>
      <c r="U96" s="11" t="str">
        <f>IFERROR(__xludf.DUMMYFUNCTION("""COMPUTED_VALUE"""),"Nghỉ giữa chừng")</f>
        <v>Nghỉ giữa chừng</v>
      </c>
    </row>
    <row r="97">
      <c r="A97" s="11" t="str">
        <f>IFERROR(__xludf.DUMMYFUNCTION("""COMPUTED_VALUE"""),"EL009")</f>
        <v>EL009</v>
      </c>
      <c r="B97" s="11" t="str">
        <f>IFERROR(__xludf.DUMMYFUNCTION("""COMPUTED_VALUE"""),"Communication 2")</f>
        <v>Communication 2</v>
      </c>
      <c r="C97" s="11" t="str">
        <f>IFERROR(__xludf.DUMMYFUNCTION("""COMPUTED_VALUE"""),"237207")</f>
        <v>237207</v>
      </c>
      <c r="D97" s="11">
        <f>IFERROR(__xludf.DUMMYFUNCTION("""COMPUTED_VALUE"""),16.0)</f>
        <v>16</v>
      </c>
      <c r="E97" s="11">
        <f>IFERROR(VLOOKUP(B97,COURSE_PLAN!A:B,2,FALSE),"")</f>
        <v>16</v>
      </c>
      <c r="F97" s="11">
        <f t="shared" si="1"/>
        <v>1</v>
      </c>
      <c r="G97" s="11" t="str">
        <f>IFERROR(VLOOKUP(C97,STUDENTS!A:E,5,FALSE),"")</f>
        <v>Inactive</v>
      </c>
      <c r="H97" s="11" t="str">
        <f>IFERROR(VLOOKUP(C97,STUDENTS!A:M,13,FALSE),"")</f>
        <v>Discontinued mid-course</v>
      </c>
      <c r="I97" s="11" t="str">
        <f>IF(D97="","",IF(AND(VLOOKUP(C97,STUDENTS!$A:$R,17,FALSE)=A97,VLOOKUP(C97,STUDENTS!$A:$R,18,FALSE)=B97,G97="Active"),"Đang học",IF(F97&gt;=0.8,IF(G97="Active","Tiếp tục khóa sau",IF(G97="Waiting for class","Chờ lớp mới",IF(G97="Inactive",IF(IFERROR(H97,"")="Discontinued mid-course","Nghỉ giữa chừng","Hoàn thành rồi nghỉ luôn"),""))),IF(G97="Inactive","Nghỉ giữa chừng","Đang học"))))</f>
        <v>Nghỉ giữa chừng</v>
      </c>
      <c r="M97" s="11" t="str">
        <f>IFERROR(__xludf.DUMMYFUNCTION("""COMPUTED_VALUE"""),"EL024")</f>
        <v>EL024</v>
      </c>
      <c r="N97" s="11" t="str">
        <f>IFERROR(__xludf.DUMMYFUNCTION("""COMPUTED_VALUE"""),"Communication 1")</f>
        <v>Communication 1</v>
      </c>
      <c r="O97" s="11" t="str">
        <f>IFERROR(__xludf.DUMMYFUNCTION("""COMPUTED_VALUE"""),"247086")</f>
        <v>247086</v>
      </c>
      <c r="P97" s="11">
        <f>IFERROR(__xludf.DUMMYFUNCTION("""COMPUTED_VALUE"""),13.0)</f>
        <v>13</v>
      </c>
      <c r="Q97" s="11">
        <f>IFERROR(__xludf.DUMMYFUNCTION("""COMPUTED_VALUE"""),10.0)</f>
        <v>10</v>
      </c>
      <c r="R97" s="11">
        <f>IFERROR(__xludf.DUMMYFUNCTION("""COMPUTED_VALUE"""),1.3)</f>
        <v>1.3</v>
      </c>
      <c r="S97" s="11" t="str">
        <f>IFERROR(__xludf.DUMMYFUNCTION("""COMPUTED_VALUE"""),"Inactive")</f>
        <v>Inactive</v>
      </c>
      <c r="T97" s="11" t="str">
        <f>IFERROR(__xludf.DUMMYFUNCTION("""COMPUTED_VALUE"""),"Discontinued mid-course")</f>
        <v>Discontinued mid-course</v>
      </c>
      <c r="U97" s="11" t="str">
        <f>IFERROR(__xludf.DUMMYFUNCTION("""COMPUTED_VALUE"""),"Nghỉ giữa chừng")</f>
        <v>Nghỉ giữa chừng</v>
      </c>
    </row>
    <row r="98">
      <c r="A98" s="11" t="str">
        <f>IFERROR(__xludf.DUMMYFUNCTION("""COMPUTED_VALUE"""),"EL009")</f>
        <v>EL009</v>
      </c>
      <c r="B98" s="11" t="str">
        <f>IFERROR(__xludf.DUMMYFUNCTION("""COMPUTED_VALUE"""),"Communication 2")</f>
        <v>Communication 2</v>
      </c>
      <c r="C98" s="11" t="str">
        <f>IFERROR(__xludf.DUMMYFUNCTION("""COMPUTED_VALUE"""),"247043")</f>
        <v>247043</v>
      </c>
      <c r="D98" s="11">
        <f>IFERROR(__xludf.DUMMYFUNCTION("""COMPUTED_VALUE"""),16.0)</f>
        <v>16</v>
      </c>
      <c r="E98" s="11">
        <f>IFERROR(VLOOKUP(B98,COURSE_PLAN!A:B,2,FALSE),"")</f>
        <v>16</v>
      </c>
      <c r="F98" s="11">
        <f t="shared" si="1"/>
        <v>1</v>
      </c>
      <c r="G98" s="11" t="str">
        <f>IFERROR(VLOOKUP(C98,STUDENTS!A:E,5,FALSE),"")</f>
        <v>Inactive</v>
      </c>
      <c r="H98" s="11" t="str">
        <f>IFERROR(VLOOKUP(C98,STUDENTS!A:M,13,FALSE),"")</f>
        <v>Completed (no continuation)</v>
      </c>
      <c r="I98" s="11" t="str">
        <f>IF(D98="","",IF(AND(VLOOKUP(C98,STUDENTS!$A:$R,17,FALSE)=A98,VLOOKUP(C98,STUDENTS!$A:$R,18,FALSE)=B98,G98="Active"),"Đang học",IF(F98&gt;=0.8,IF(G98="Active","Tiếp tục khóa sau",IF(G98="Waiting for class","Chờ lớp mới",IF(G98="Inactive",IF(IFERROR(H98,"")="Discontinued mid-course","Nghỉ giữa chừng","Hoàn thành rồi nghỉ luôn"),""))),IF(G98="Inactive","Nghỉ giữa chừng","Đang học"))))</f>
        <v>Hoàn thành rồi nghỉ luôn</v>
      </c>
      <c r="M98" s="11" t="str">
        <f>IFERROR(__xludf.DUMMYFUNCTION("""COMPUTED_VALUE"""),"EL024")</f>
        <v>EL024</v>
      </c>
      <c r="N98" s="11" t="str">
        <f>IFERROR(__xludf.DUMMYFUNCTION("""COMPUTED_VALUE"""),"Communication 2")</f>
        <v>Communication 2</v>
      </c>
      <c r="O98" s="11" t="str">
        <f>IFERROR(__xludf.DUMMYFUNCTION("""COMPUTED_VALUE"""),"247086")</f>
        <v>247086</v>
      </c>
      <c r="P98" s="11">
        <f>IFERROR(__xludf.DUMMYFUNCTION("""COMPUTED_VALUE"""),11.0)</f>
        <v>11</v>
      </c>
      <c r="Q98" s="11">
        <f>IFERROR(__xludf.DUMMYFUNCTION("""COMPUTED_VALUE"""),16.0)</f>
        <v>16</v>
      </c>
      <c r="R98" s="11">
        <f>IFERROR(__xludf.DUMMYFUNCTION("""COMPUTED_VALUE"""),0.6875)</f>
        <v>0.6875</v>
      </c>
      <c r="S98" s="11" t="str">
        <f>IFERROR(__xludf.DUMMYFUNCTION("""COMPUTED_VALUE"""),"Inactive")</f>
        <v>Inactive</v>
      </c>
      <c r="T98" s="11" t="str">
        <f>IFERROR(__xludf.DUMMYFUNCTION("""COMPUTED_VALUE"""),"Discontinued mid-course")</f>
        <v>Discontinued mid-course</v>
      </c>
      <c r="U98" s="11" t="str">
        <f>IFERROR(__xludf.DUMMYFUNCTION("""COMPUTED_VALUE"""),"Nghỉ giữa chừng")</f>
        <v>Nghỉ giữa chừng</v>
      </c>
    </row>
    <row r="99">
      <c r="A99" s="11" t="str">
        <f>IFERROR(__xludf.DUMMYFUNCTION("""COMPUTED_VALUE"""),"EL009")</f>
        <v>EL009</v>
      </c>
      <c r="B99" s="11" t="str">
        <f>IFERROR(__xludf.DUMMYFUNCTION("""COMPUTED_VALUE"""),"Communication 2")</f>
        <v>Communication 2</v>
      </c>
      <c r="C99" s="11" t="str">
        <f>IFERROR(__xludf.DUMMYFUNCTION("""COMPUTED_VALUE"""),"247187")</f>
        <v>247187</v>
      </c>
      <c r="D99" s="11">
        <f>IFERROR(__xludf.DUMMYFUNCTION("""COMPUTED_VALUE"""),16.0)</f>
        <v>16</v>
      </c>
      <c r="E99" s="11">
        <f>IFERROR(VLOOKUP(B99,COURSE_PLAN!A:B,2,FALSE),"")</f>
        <v>16</v>
      </c>
      <c r="F99" s="11">
        <f t="shared" si="1"/>
        <v>1</v>
      </c>
      <c r="G99" s="11" t="str">
        <f>IFERROR(VLOOKUP(C99,STUDENTS!A:E,5,FALSE),"")</f>
        <v>Inactive</v>
      </c>
      <c r="H99" s="11" t="str">
        <f>IFERROR(VLOOKUP(C99,STUDENTS!A:M,13,FALSE),"")</f>
        <v>Completed (no continuation)</v>
      </c>
      <c r="I99" s="11" t="str">
        <f>IF(D99="","",IF(AND(VLOOKUP(C99,STUDENTS!$A:$R,17,FALSE)=A99,VLOOKUP(C99,STUDENTS!$A:$R,18,FALSE)=B99,G99="Active"),"Đang học",IF(F99&gt;=0.8,IF(G99="Active","Tiếp tục khóa sau",IF(G99="Waiting for class","Chờ lớp mới",IF(G99="Inactive",IF(IFERROR(H99,"")="Discontinued mid-course","Nghỉ giữa chừng","Hoàn thành rồi nghỉ luôn"),""))),IF(G99="Inactive","Nghỉ giữa chừng","Đang học"))))</f>
        <v>Hoàn thành rồi nghỉ luôn</v>
      </c>
      <c r="M99" s="11" t="str">
        <f>IFERROR(__xludf.DUMMYFUNCTION("""COMPUTED_VALUE"""),"EL025")</f>
        <v>EL025</v>
      </c>
      <c r="N99" s="11" t="str">
        <f>IFERROR(__xludf.DUMMYFUNCTION("""COMPUTED_VALUE"""),"Communication 1")</f>
        <v>Communication 1</v>
      </c>
      <c r="O99" s="11" t="str">
        <f>IFERROR(__xludf.DUMMYFUNCTION("""COMPUTED_VALUE"""),"247245")</f>
        <v>247245</v>
      </c>
      <c r="P99" s="11">
        <f>IFERROR(__xludf.DUMMYFUNCTION("""COMPUTED_VALUE"""),10.0)</f>
        <v>10</v>
      </c>
      <c r="Q99" s="11">
        <f>IFERROR(__xludf.DUMMYFUNCTION("""COMPUTED_VALUE"""),10.0)</f>
        <v>10</v>
      </c>
      <c r="R99" s="11">
        <f>IFERROR(__xludf.DUMMYFUNCTION("""COMPUTED_VALUE"""),1.0)</f>
        <v>1</v>
      </c>
      <c r="S99" s="11" t="str">
        <f>IFERROR(__xludf.DUMMYFUNCTION("""COMPUTED_VALUE"""),"Inactive")</f>
        <v>Inactive</v>
      </c>
      <c r="T99" s="11" t="str">
        <f>IFERROR(__xludf.DUMMYFUNCTION("""COMPUTED_VALUE"""),"Discontinued mid-course")</f>
        <v>Discontinued mid-course</v>
      </c>
      <c r="U99" s="11" t="str">
        <f>IFERROR(__xludf.DUMMYFUNCTION("""COMPUTED_VALUE"""),"Nghỉ giữa chừng")</f>
        <v>Nghỉ giữa chừng</v>
      </c>
    </row>
    <row r="100">
      <c r="A100" s="11" t="str">
        <f>IFERROR(__xludf.DUMMYFUNCTION("""COMPUTED_VALUE"""),"EL010")</f>
        <v>EL010</v>
      </c>
      <c r="B100" s="11" t="str">
        <f>IFERROR(__xludf.DUMMYFUNCTION("""COMPUTED_VALUE"""),"Communication 1")</f>
        <v>Communication 1</v>
      </c>
      <c r="C100" s="11" t="str">
        <f>IFERROR(__xludf.DUMMYFUNCTION("""COMPUTED_VALUE"""),"247079")</f>
        <v>247079</v>
      </c>
      <c r="D100" s="11">
        <f>IFERROR(__xludf.DUMMYFUNCTION("""COMPUTED_VALUE"""),10.0)</f>
        <v>10</v>
      </c>
      <c r="E100" s="11">
        <f>IFERROR(VLOOKUP(B100,COURSE_PLAN!A:B,2,FALSE),"")</f>
        <v>10</v>
      </c>
      <c r="F100" s="11">
        <f t="shared" si="1"/>
        <v>1</v>
      </c>
      <c r="G100" s="11" t="str">
        <f>IFERROR(VLOOKUP(C100,STUDENTS!A:E,5,FALSE),"")</f>
        <v>Inactive</v>
      </c>
      <c r="H100" s="11" t="str">
        <f>IFERROR(VLOOKUP(C100,STUDENTS!A:M,13,FALSE),"")</f>
        <v>Discontinued mid-course</v>
      </c>
      <c r="I100" s="11" t="str">
        <f>IF(D100="","",IF(AND(VLOOKUP(C100,STUDENTS!$A:$R,17,FALSE)=A100,VLOOKUP(C100,STUDENTS!$A:$R,18,FALSE)=B100,G100="Active"),"Đang học",IF(F100&gt;=0.8,IF(G100="Active","Tiếp tục khóa sau",IF(G100="Waiting for class","Chờ lớp mới",IF(G100="Inactive",IF(IFERROR(H100,"")="Discontinued mid-course","Nghỉ giữa chừng","Hoàn thành rồi nghỉ luôn"),""))),IF(G100="Inactive","Nghỉ giữa chừng","Đang học"))))</f>
        <v>Nghỉ giữa chừng</v>
      </c>
      <c r="M100" s="11" t="str">
        <f>IFERROR(__xludf.DUMMYFUNCTION("""COMPUTED_VALUE"""),"EL026")</f>
        <v>EL026</v>
      </c>
      <c r="N100" s="11" t="str">
        <f>IFERROR(__xludf.DUMMYFUNCTION("""COMPUTED_VALUE"""),"Communication 1")</f>
        <v>Communication 1</v>
      </c>
      <c r="O100" s="11" t="str">
        <f>IFERROR(__xludf.DUMMYFUNCTION("""COMPUTED_VALUE"""),"227008")</f>
        <v>227008</v>
      </c>
      <c r="P100" s="11">
        <f>IFERROR(__xludf.DUMMYFUNCTION("""COMPUTED_VALUE"""),10.0)</f>
        <v>10</v>
      </c>
      <c r="Q100" s="11">
        <f>IFERROR(__xludf.DUMMYFUNCTION("""COMPUTED_VALUE"""),10.0)</f>
        <v>10</v>
      </c>
      <c r="R100" s="11">
        <f>IFERROR(__xludf.DUMMYFUNCTION("""COMPUTED_VALUE"""),1.0)</f>
        <v>1</v>
      </c>
      <c r="S100" s="11" t="str">
        <f>IFERROR(__xludf.DUMMYFUNCTION("""COMPUTED_VALUE"""),"Inactive")</f>
        <v>Inactive</v>
      </c>
      <c r="T100" s="11" t="str">
        <f>IFERROR(__xludf.DUMMYFUNCTION("""COMPUTED_VALUE"""),"Discontinued mid-course")</f>
        <v>Discontinued mid-course</v>
      </c>
      <c r="U100" s="11" t="str">
        <f>IFERROR(__xludf.DUMMYFUNCTION("""COMPUTED_VALUE"""),"Nghỉ giữa chừng")</f>
        <v>Nghỉ giữa chừng</v>
      </c>
    </row>
    <row r="101">
      <c r="A101" s="11" t="str">
        <f>IFERROR(__xludf.DUMMYFUNCTION("""COMPUTED_VALUE"""),"EL010")</f>
        <v>EL010</v>
      </c>
      <c r="B101" s="11" t="str">
        <f>IFERROR(__xludf.DUMMYFUNCTION("""COMPUTED_VALUE"""),"Communication 1")</f>
        <v>Communication 1</v>
      </c>
      <c r="C101" s="11" t="str">
        <f>IFERROR(__xludf.DUMMYFUNCTION("""COMPUTED_VALUE"""),"247080")</f>
        <v>247080</v>
      </c>
      <c r="D101" s="11">
        <f>IFERROR(__xludf.DUMMYFUNCTION("""COMPUTED_VALUE"""),10.0)</f>
        <v>10</v>
      </c>
      <c r="E101" s="11">
        <f>IFERROR(VLOOKUP(B101,COURSE_PLAN!A:B,2,FALSE),"")</f>
        <v>10</v>
      </c>
      <c r="F101" s="11">
        <f t="shared" si="1"/>
        <v>1</v>
      </c>
      <c r="G101" s="11" t="str">
        <f>IFERROR(VLOOKUP(C101,STUDENTS!A:E,5,FALSE),"")</f>
        <v>Inactive</v>
      </c>
      <c r="H101" s="11" t="str">
        <f>IFERROR(VLOOKUP(C101,STUDENTS!A:M,13,FALSE),"")</f>
        <v>Discontinued mid-course</v>
      </c>
      <c r="I101" s="11" t="str">
        <f>IF(D101="","",IF(AND(VLOOKUP(C101,STUDENTS!$A:$R,17,FALSE)=A101,VLOOKUP(C101,STUDENTS!$A:$R,18,FALSE)=B101,G101="Active"),"Đang học",IF(F101&gt;=0.8,IF(G101="Active","Tiếp tục khóa sau",IF(G101="Waiting for class","Chờ lớp mới",IF(G101="Inactive",IF(IFERROR(H101,"")="Discontinued mid-course","Nghỉ giữa chừng","Hoàn thành rồi nghỉ luôn"),""))),IF(G101="Inactive","Nghỉ giữa chừng","Đang học"))))</f>
        <v>Nghỉ giữa chừng</v>
      </c>
      <c r="M101" s="11" t="str">
        <f>IFERROR(__xludf.DUMMYFUNCTION("""COMPUTED_VALUE"""),"EL026")</f>
        <v>EL026</v>
      </c>
      <c r="N101" s="11" t="str">
        <f>IFERROR(__xludf.DUMMYFUNCTION("""COMPUTED_VALUE"""),"Communication 1")</f>
        <v>Communication 1</v>
      </c>
      <c r="O101" s="11" t="str">
        <f>IFERROR(__xludf.DUMMYFUNCTION("""COMPUTED_VALUE"""),"227069")</f>
        <v>227069</v>
      </c>
      <c r="P101" s="11">
        <f>IFERROR(__xludf.DUMMYFUNCTION("""COMPUTED_VALUE"""),10.0)</f>
        <v>10</v>
      </c>
      <c r="Q101" s="11">
        <f>IFERROR(__xludf.DUMMYFUNCTION("""COMPUTED_VALUE"""),10.0)</f>
        <v>10</v>
      </c>
      <c r="R101" s="11">
        <f>IFERROR(__xludf.DUMMYFUNCTION("""COMPUTED_VALUE"""),1.0)</f>
        <v>1</v>
      </c>
      <c r="S101" s="11" t="str">
        <f>IFERROR(__xludf.DUMMYFUNCTION("""COMPUTED_VALUE"""),"Inactive")</f>
        <v>Inactive</v>
      </c>
      <c r="T101" s="11" t="str">
        <f>IFERROR(__xludf.DUMMYFUNCTION("""COMPUTED_VALUE"""),"Discontinued mid-course")</f>
        <v>Discontinued mid-course</v>
      </c>
      <c r="U101" s="11" t="str">
        <f>IFERROR(__xludf.DUMMYFUNCTION("""COMPUTED_VALUE"""),"Nghỉ giữa chừng")</f>
        <v>Nghỉ giữa chừng</v>
      </c>
    </row>
    <row r="102">
      <c r="A102" s="11" t="str">
        <f>IFERROR(__xludf.DUMMYFUNCTION("""COMPUTED_VALUE"""),"EL010")</f>
        <v>EL010</v>
      </c>
      <c r="B102" s="11" t="str">
        <f>IFERROR(__xludf.DUMMYFUNCTION("""COMPUTED_VALUE"""),"Communication 1")</f>
        <v>Communication 1</v>
      </c>
      <c r="C102" s="11" t="str">
        <f>IFERROR(__xludf.DUMMYFUNCTION("""COMPUTED_VALUE"""),"247161")</f>
        <v>247161</v>
      </c>
      <c r="D102" s="11">
        <f>IFERROR(__xludf.DUMMYFUNCTION("""COMPUTED_VALUE"""),10.0)</f>
        <v>10</v>
      </c>
      <c r="E102" s="11">
        <f>IFERROR(VLOOKUP(B102,COURSE_PLAN!A:B,2,FALSE),"")</f>
        <v>10</v>
      </c>
      <c r="F102" s="11">
        <f t="shared" si="1"/>
        <v>1</v>
      </c>
      <c r="G102" s="11" t="str">
        <f>IFERROR(VLOOKUP(C102,STUDENTS!A:E,5,FALSE),"")</f>
        <v>Inactive</v>
      </c>
      <c r="H102" s="11" t="str">
        <f>IFERROR(VLOOKUP(C102,STUDENTS!A:M,13,FALSE),"")</f>
        <v>Discontinued mid-course</v>
      </c>
      <c r="I102" s="11" t="str">
        <f>IF(D102="","",IF(AND(VLOOKUP(C102,STUDENTS!$A:$R,17,FALSE)=A102,VLOOKUP(C102,STUDENTS!$A:$R,18,FALSE)=B102,G102="Active"),"Đang học",IF(F102&gt;=0.8,IF(G102="Active","Tiếp tục khóa sau",IF(G102="Waiting for class","Chờ lớp mới",IF(G102="Inactive",IF(IFERROR(H102,"")="Discontinued mid-course","Nghỉ giữa chừng","Hoàn thành rồi nghỉ luôn"),""))),IF(G102="Inactive","Nghỉ giữa chừng","Đang học"))))</f>
        <v>Nghỉ giữa chừng</v>
      </c>
      <c r="M102" s="11" t="str">
        <f>IFERROR(__xludf.DUMMYFUNCTION("""COMPUTED_VALUE"""),"EL026")</f>
        <v>EL026</v>
      </c>
      <c r="N102" s="11" t="str">
        <f>IFERROR(__xludf.DUMMYFUNCTION("""COMPUTED_VALUE"""),"Communication 1")</f>
        <v>Communication 1</v>
      </c>
      <c r="O102" s="11" t="str">
        <f>IFERROR(__xludf.DUMMYFUNCTION("""COMPUTED_VALUE"""),"227144")</f>
        <v>227144</v>
      </c>
      <c r="P102" s="11">
        <f>IFERROR(__xludf.DUMMYFUNCTION("""COMPUTED_VALUE"""),10.0)</f>
        <v>10</v>
      </c>
      <c r="Q102" s="11">
        <f>IFERROR(__xludf.DUMMYFUNCTION("""COMPUTED_VALUE"""),10.0)</f>
        <v>10</v>
      </c>
      <c r="R102" s="11">
        <f>IFERROR(__xludf.DUMMYFUNCTION("""COMPUTED_VALUE"""),1.0)</f>
        <v>1</v>
      </c>
      <c r="S102" s="11" t="str">
        <f>IFERROR(__xludf.DUMMYFUNCTION("""COMPUTED_VALUE"""),"Inactive")</f>
        <v>Inactive</v>
      </c>
      <c r="T102" s="11" t="str">
        <f>IFERROR(__xludf.DUMMYFUNCTION("""COMPUTED_VALUE"""),"Discontinued mid-course")</f>
        <v>Discontinued mid-course</v>
      </c>
      <c r="U102" s="11" t="str">
        <f>IFERROR(__xludf.DUMMYFUNCTION("""COMPUTED_VALUE"""),"Nghỉ giữa chừng")</f>
        <v>Nghỉ giữa chừng</v>
      </c>
    </row>
    <row r="103">
      <c r="A103" s="11" t="str">
        <f>IFERROR(__xludf.DUMMYFUNCTION("""COMPUTED_VALUE"""),"EL010")</f>
        <v>EL010</v>
      </c>
      <c r="B103" s="11" t="str">
        <f>IFERROR(__xludf.DUMMYFUNCTION("""COMPUTED_VALUE"""),"Communication 1")</f>
        <v>Communication 1</v>
      </c>
      <c r="C103" s="11" t="str">
        <f>IFERROR(__xludf.DUMMYFUNCTION("""COMPUTED_VALUE"""),"247184")</f>
        <v>247184</v>
      </c>
      <c r="D103" s="11">
        <f>IFERROR(__xludf.DUMMYFUNCTION("""COMPUTED_VALUE"""),10.0)</f>
        <v>10</v>
      </c>
      <c r="E103" s="11">
        <f>IFERROR(VLOOKUP(B103,COURSE_PLAN!A:B,2,FALSE),"")</f>
        <v>10</v>
      </c>
      <c r="F103" s="11">
        <f t="shared" si="1"/>
        <v>1</v>
      </c>
      <c r="G103" s="11" t="str">
        <f>IFERROR(VLOOKUP(C103,STUDENTS!A:E,5,FALSE),"")</f>
        <v>Inactive</v>
      </c>
      <c r="H103" s="11" t="str">
        <f>IFERROR(VLOOKUP(C103,STUDENTS!A:M,13,FALSE),"")</f>
        <v>Discontinued mid-course</v>
      </c>
      <c r="I103" s="11" t="str">
        <f>IF(D103="","",IF(AND(VLOOKUP(C103,STUDENTS!$A:$R,17,FALSE)=A103,VLOOKUP(C103,STUDENTS!$A:$R,18,FALSE)=B103,G103="Active"),"Đang học",IF(F103&gt;=0.8,IF(G103="Active","Tiếp tục khóa sau",IF(G103="Waiting for class","Chờ lớp mới",IF(G103="Inactive",IF(IFERROR(H103,"")="Discontinued mid-course","Nghỉ giữa chừng","Hoàn thành rồi nghỉ luôn"),""))),IF(G103="Inactive","Nghỉ giữa chừng","Đang học"))))</f>
        <v>Nghỉ giữa chừng</v>
      </c>
      <c r="M103" s="11" t="str">
        <f>IFERROR(__xludf.DUMMYFUNCTION("""COMPUTED_VALUE"""),"EL026")</f>
        <v>EL026</v>
      </c>
      <c r="N103" s="11" t="str">
        <f>IFERROR(__xludf.DUMMYFUNCTION("""COMPUTED_VALUE"""),"Communication 1")</f>
        <v>Communication 1</v>
      </c>
      <c r="O103" s="11" t="str">
        <f>IFERROR(__xludf.DUMMYFUNCTION("""COMPUTED_VALUE"""),"227188")</f>
        <v>227188</v>
      </c>
      <c r="P103" s="11">
        <f>IFERROR(__xludf.DUMMYFUNCTION("""COMPUTED_VALUE"""),10.0)</f>
        <v>10</v>
      </c>
      <c r="Q103" s="11">
        <f>IFERROR(__xludf.DUMMYFUNCTION("""COMPUTED_VALUE"""),10.0)</f>
        <v>10</v>
      </c>
      <c r="R103" s="11">
        <f>IFERROR(__xludf.DUMMYFUNCTION("""COMPUTED_VALUE"""),1.0)</f>
        <v>1</v>
      </c>
      <c r="S103" s="11" t="str">
        <f>IFERROR(__xludf.DUMMYFUNCTION("""COMPUTED_VALUE"""),"Inactive")</f>
        <v>Inactive</v>
      </c>
      <c r="T103" s="11" t="str">
        <f>IFERROR(__xludf.DUMMYFUNCTION("""COMPUTED_VALUE"""),"Discontinued mid-course")</f>
        <v>Discontinued mid-course</v>
      </c>
      <c r="U103" s="11" t="str">
        <f>IFERROR(__xludf.DUMMYFUNCTION("""COMPUTED_VALUE"""),"Nghỉ giữa chừng")</f>
        <v>Nghỉ giữa chừng</v>
      </c>
    </row>
    <row r="104">
      <c r="A104" s="11" t="str">
        <f>IFERROR(__xludf.DUMMYFUNCTION("""COMPUTED_VALUE"""),"EL010")</f>
        <v>EL010</v>
      </c>
      <c r="B104" s="11" t="str">
        <f>IFERROR(__xludf.DUMMYFUNCTION("""COMPUTED_VALUE"""),"Communication 1")</f>
        <v>Communication 1</v>
      </c>
      <c r="C104" s="11" t="str">
        <f>IFERROR(__xludf.DUMMYFUNCTION("""COMPUTED_VALUE"""),"247260")</f>
        <v>247260</v>
      </c>
      <c r="D104" s="11">
        <f>IFERROR(__xludf.DUMMYFUNCTION("""COMPUTED_VALUE"""),10.0)</f>
        <v>10</v>
      </c>
      <c r="E104" s="11">
        <f>IFERROR(VLOOKUP(B104,COURSE_PLAN!A:B,2,FALSE),"")</f>
        <v>10</v>
      </c>
      <c r="F104" s="11">
        <f t="shared" si="1"/>
        <v>1</v>
      </c>
      <c r="G104" s="11" t="str">
        <f>IFERROR(VLOOKUP(C104,STUDENTS!A:E,5,FALSE),"")</f>
        <v>Inactive</v>
      </c>
      <c r="H104" s="11" t="str">
        <f>IFERROR(VLOOKUP(C104,STUDENTS!A:M,13,FALSE),"")</f>
        <v>Discontinued mid-course</v>
      </c>
      <c r="I104" s="11" t="str">
        <f>IF(D104="","",IF(AND(VLOOKUP(C104,STUDENTS!$A:$R,17,FALSE)=A104,VLOOKUP(C104,STUDENTS!$A:$R,18,FALSE)=B104,G104="Active"),"Đang học",IF(F104&gt;=0.8,IF(G104="Active","Tiếp tục khóa sau",IF(G104="Waiting for class","Chờ lớp mới",IF(G104="Inactive",IF(IFERROR(H104,"")="Discontinued mid-course","Nghỉ giữa chừng","Hoàn thành rồi nghỉ luôn"),""))),IF(G104="Inactive","Nghỉ giữa chừng","Đang học"))))</f>
        <v>Nghỉ giữa chừng</v>
      </c>
      <c r="M104" s="11" t="str">
        <f>IFERROR(__xludf.DUMMYFUNCTION("""COMPUTED_VALUE"""),"EL026")</f>
        <v>EL026</v>
      </c>
      <c r="N104" s="11" t="str">
        <f>IFERROR(__xludf.DUMMYFUNCTION("""COMPUTED_VALUE"""),"Communication 1")</f>
        <v>Communication 1</v>
      </c>
      <c r="O104" s="11" t="str">
        <f>IFERROR(__xludf.DUMMYFUNCTION("""COMPUTED_VALUE"""),"237061")</f>
        <v>237061</v>
      </c>
      <c r="P104" s="11">
        <f>IFERROR(__xludf.DUMMYFUNCTION("""COMPUTED_VALUE"""),10.0)</f>
        <v>10</v>
      </c>
      <c r="Q104" s="11">
        <f>IFERROR(__xludf.DUMMYFUNCTION("""COMPUTED_VALUE"""),10.0)</f>
        <v>10</v>
      </c>
      <c r="R104" s="11">
        <f>IFERROR(__xludf.DUMMYFUNCTION("""COMPUTED_VALUE"""),1.0)</f>
        <v>1</v>
      </c>
      <c r="S104" s="11" t="str">
        <f>IFERROR(__xludf.DUMMYFUNCTION("""COMPUTED_VALUE"""),"Inactive")</f>
        <v>Inactive</v>
      </c>
      <c r="T104" s="11" t="str">
        <f>IFERROR(__xludf.DUMMYFUNCTION("""COMPUTED_VALUE"""),"Discontinued mid-course")</f>
        <v>Discontinued mid-course</v>
      </c>
      <c r="U104" s="11" t="str">
        <f>IFERROR(__xludf.DUMMYFUNCTION("""COMPUTED_VALUE"""),"Nghỉ giữa chừng")</f>
        <v>Nghỉ giữa chừng</v>
      </c>
    </row>
    <row r="105">
      <c r="A105" s="11" t="str">
        <f>IFERROR(__xludf.DUMMYFUNCTION("""COMPUTED_VALUE"""),"EL010")</f>
        <v>EL010</v>
      </c>
      <c r="B105" s="11" t="str">
        <f>IFERROR(__xludf.DUMMYFUNCTION("""COMPUTED_VALUE"""),"Communication 2")</f>
        <v>Communication 2</v>
      </c>
      <c r="C105" s="11" t="str">
        <f>IFERROR(__xludf.DUMMYFUNCTION("""COMPUTED_VALUE"""),"247037")</f>
        <v>247037</v>
      </c>
      <c r="D105" s="11">
        <f>IFERROR(__xludf.DUMMYFUNCTION("""COMPUTED_VALUE"""),4.0)</f>
        <v>4</v>
      </c>
      <c r="E105" s="11">
        <f>IFERROR(VLOOKUP(B105,COURSE_PLAN!A:B,2,FALSE),"")</f>
        <v>16</v>
      </c>
      <c r="F105" s="11">
        <f t="shared" si="1"/>
        <v>0.25</v>
      </c>
      <c r="G105" s="11" t="str">
        <f>IFERROR(VLOOKUP(C105,STUDENTS!A:E,5,FALSE),"")</f>
        <v>Inactive</v>
      </c>
      <c r="H105" s="11" t="str">
        <f>IFERROR(VLOOKUP(C105,STUDENTS!A:M,13,FALSE),"")</f>
        <v>Discontinued mid-course</v>
      </c>
      <c r="I105" s="11" t="str">
        <f>IF(D105="","",IF(AND(VLOOKUP(C105,STUDENTS!$A:$R,17,FALSE)=A105,VLOOKUP(C105,STUDENTS!$A:$R,18,FALSE)=B105,G105="Active"),"Đang học",IF(F105&gt;=0.8,IF(G105="Active","Tiếp tục khóa sau",IF(G105="Waiting for class","Chờ lớp mới",IF(G105="Inactive",IF(IFERROR(H105,"")="Discontinued mid-course","Nghỉ giữa chừng","Hoàn thành rồi nghỉ luôn"),""))),IF(G105="Inactive","Nghỉ giữa chừng","Đang học"))))</f>
        <v>Nghỉ giữa chừng</v>
      </c>
      <c r="M105" s="11" t="str">
        <f>IFERROR(__xludf.DUMMYFUNCTION("""COMPUTED_VALUE"""),"EL026")</f>
        <v>EL026</v>
      </c>
      <c r="N105" s="11" t="str">
        <f>IFERROR(__xludf.DUMMYFUNCTION("""COMPUTED_VALUE"""),"Communication 1")</f>
        <v>Communication 1</v>
      </c>
      <c r="O105" s="11" t="str">
        <f>IFERROR(__xludf.DUMMYFUNCTION("""COMPUTED_VALUE"""),"237245")</f>
        <v>237245</v>
      </c>
      <c r="P105" s="11">
        <f>IFERROR(__xludf.DUMMYFUNCTION("""COMPUTED_VALUE"""),10.0)</f>
        <v>10</v>
      </c>
      <c r="Q105" s="11">
        <f>IFERROR(__xludf.DUMMYFUNCTION("""COMPUTED_VALUE"""),10.0)</f>
        <v>10</v>
      </c>
      <c r="R105" s="11">
        <f>IFERROR(__xludf.DUMMYFUNCTION("""COMPUTED_VALUE"""),1.0)</f>
        <v>1</v>
      </c>
      <c r="S105" s="11" t="str">
        <f>IFERROR(__xludf.DUMMYFUNCTION("""COMPUTED_VALUE"""),"Inactive")</f>
        <v>Inactive</v>
      </c>
      <c r="T105" s="11" t="str">
        <f>IFERROR(__xludf.DUMMYFUNCTION("""COMPUTED_VALUE"""),"Discontinued mid-course")</f>
        <v>Discontinued mid-course</v>
      </c>
      <c r="U105" s="11" t="str">
        <f>IFERROR(__xludf.DUMMYFUNCTION("""COMPUTED_VALUE"""),"Nghỉ giữa chừng")</f>
        <v>Nghỉ giữa chừng</v>
      </c>
    </row>
    <row r="106">
      <c r="A106" s="11" t="str">
        <f>IFERROR(__xludf.DUMMYFUNCTION("""COMPUTED_VALUE"""),"EL010")</f>
        <v>EL010</v>
      </c>
      <c r="B106" s="11" t="str">
        <f>IFERROR(__xludf.DUMMYFUNCTION("""COMPUTED_VALUE"""),"Communication 2")</f>
        <v>Communication 2</v>
      </c>
      <c r="C106" s="11" t="str">
        <f>IFERROR(__xludf.DUMMYFUNCTION("""COMPUTED_VALUE"""),"247038")</f>
        <v>247038</v>
      </c>
      <c r="D106" s="11">
        <f>IFERROR(__xludf.DUMMYFUNCTION("""COMPUTED_VALUE"""),4.0)</f>
        <v>4</v>
      </c>
      <c r="E106" s="11">
        <f>IFERROR(VLOOKUP(B106,COURSE_PLAN!A:B,2,FALSE),"")</f>
        <v>16</v>
      </c>
      <c r="F106" s="11">
        <f t="shared" si="1"/>
        <v>0.25</v>
      </c>
      <c r="G106" s="11" t="str">
        <f>IFERROR(VLOOKUP(C106,STUDENTS!A:E,5,FALSE),"")</f>
        <v>Inactive</v>
      </c>
      <c r="H106" s="11" t="str">
        <f>IFERROR(VLOOKUP(C106,STUDENTS!A:M,13,FALSE),"")</f>
        <v>Discontinued mid-course</v>
      </c>
      <c r="I106" s="11" t="str">
        <f>IF(D106="","",IF(AND(VLOOKUP(C106,STUDENTS!$A:$R,17,FALSE)=A106,VLOOKUP(C106,STUDENTS!$A:$R,18,FALSE)=B106,G106="Active"),"Đang học",IF(F106&gt;=0.8,IF(G106="Active","Tiếp tục khóa sau",IF(G106="Waiting for class","Chờ lớp mới",IF(G106="Inactive",IF(IFERROR(H106,"")="Discontinued mid-course","Nghỉ giữa chừng","Hoàn thành rồi nghỉ luôn"),""))),IF(G106="Inactive","Nghỉ giữa chừng","Đang học"))))</f>
        <v>Nghỉ giữa chừng</v>
      </c>
      <c r="M106" s="11" t="str">
        <f>IFERROR(__xludf.DUMMYFUNCTION("""COMPUTED_VALUE"""),"EL026")</f>
        <v>EL026</v>
      </c>
      <c r="N106" s="11" t="str">
        <f>IFERROR(__xludf.DUMMYFUNCTION("""COMPUTED_VALUE"""),"Communication 1")</f>
        <v>Communication 1</v>
      </c>
      <c r="O106" s="11" t="str">
        <f>IFERROR(__xludf.DUMMYFUNCTION("""COMPUTED_VALUE"""),"237246")</f>
        <v>237246</v>
      </c>
      <c r="P106" s="11">
        <f>IFERROR(__xludf.DUMMYFUNCTION("""COMPUTED_VALUE"""),10.0)</f>
        <v>10</v>
      </c>
      <c r="Q106" s="11">
        <f>IFERROR(__xludf.DUMMYFUNCTION("""COMPUTED_VALUE"""),10.0)</f>
        <v>10</v>
      </c>
      <c r="R106" s="11">
        <f>IFERROR(__xludf.DUMMYFUNCTION("""COMPUTED_VALUE"""),1.0)</f>
        <v>1</v>
      </c>
      <c r="S106" s="11" t="str">
        <f>IFERROR(__xludf.DUMMYFUNCTION("""COMPUTED_VALUE"""),"Inactive")</f>
        <v>Inactive</v>
      </c>
      <c r="T106" s="11" t="str">
        <f>IFERROR(__xludf.DUMMYFUNCTION("""COMPUTED_VALUE"""),"Discontinued mid-course")</f>
        <v>Discontinued mid-course</v>
      </c>
      <c r="U106" s="11" t="str">
        <f>IFERROR(__xludf.DUMMYFUNCTION("""COMPUTED_VALUE"""),"Nghỉ giữa chừng")</f>
        <v>Nghỉ giữa chừng</v>
      </c>
    </row>
    <row r="107">
      <c r="A107" s="11" t="str">
        <f>IFERROR(__xludf.DUMMYFUNCTION("""COMPUTED_VALUE"""),"EL010")</f>
        <v>EL010</v>
      </c>
      <c r="B107" s="11" t="str">
        <f>IFERROR(__xludf.DUMMYFUNCTION("""COMPUTED_VALUE"""),"Communication 2")</f>
        <v>Communication 2</v>
      </c>
      <c r="C107" s="11" t="str">
        <f>IFERROR(__xludf.DUMMYFUNCTION("""COMPUTED_VALUE"""),"247078")</f>
        <v>247078</v>
      </c>
      <c r="D107" s="11">
        <f>IFERROR(__xludf.DUMMYFUNCTION("""COMPUTED_VALUE"""),4.0)</f>
        <v>4</v>
      </c>
      <c r="E107" s="11">
        <f>IFERROR(VLOOKUP(B107,COURSE_PLAN!A:B,2,FALSE),"")</f>
        <v>16</v>
      </c>
      <c r="F107" s="11">
        <f t="shared" si="1"/>
        <v>0.25</v>
      </c>
      <c r="G107" s="11" t="str">
        <f>IFERROR(VLOOKUP(C107,STUDENTS!A:E,5,FALSE),"")</f>
        <v>Inactive</v>
      </c>
      <c r="H107" s="11" t="str">
        <f>IFERROR(VLOOKUP(C107,STUDENTS!A:M,13,FALSE),"")</f>
        <v>Discontinued mid-course</v>
      </c>
      <c r="I107" s="11" t="str">
        <f>IF(D107="","",IF(AND(VLOOKUP(C107,STUDENTS!$A:$R,17,FALSE)=A107,VLOOKUP(C107,STUDENTS!$A:$R,18,FALSE)=B107,G107="Active"),"Đang học",IF(F107&gt;=0.8,IF(G107="Active","Tiếp tục khóa sau",IF(G107="Waiting for class","Chờ lớp mới",IF(G107="Inactive",IF(IFERROR(H107,"")="Discontinued mid-course","Nghỉ giữa chừng","Hoàn thành rồi nghỉ luôn"),""))),IF(G107="Inactive","Nghỉ giữa chừng","Đang học"))))</f>
        <v>Nghỉ giữa chừng</v>
      </c>
      <c r="M107" s="11" t="str">
        <f>IFERROR(__xludf.DUMMYFUNCTION("""COMPUTED_VALUE"""),"EL026")</f>
        <v>EL026</v>
      </c>
      <c r="N107" s="11" t="str">
        <f>IFERROR(__xludf.DUMMYFUNCTION("""COMPUTED_VALUE"""),"Communication 1")</f>
        <v>Communication 1</v>
      </c>
      <c r="O107" s="11" t="str">
        <f>IFERROR(__xludf.DUMMYFUNCTION("""COMPUTED_VALUE"""),"247359")</f>
        <v>247359</v>
      </c>
      <c r="P107" s="11">
        <f>IFERROR(__xludf.DUMMYFUNCTION("""COMPUTED_VALUE"""),10.0)</f>
        <v>10</v>
      </c>
      <c r="Q107" s="11">
        <f>IFERROR(__xludf.DUMMYFUNCTION("""COMPUTED_VALUE"""),10.0)</f>
        <v>10</v>
      </c>
      <c r="R107" s="11">
        <f>IFERROR(__xludf.DUMMYFUNCTION("""COMPUTED_VALUE"""),1.0)</f>
        <v>1</v>
      </c>
      <c r="S107" s="11" t="str">
        <f>IFERROR(__xludf.DUMMYFUNCTION("""COMPUTED_VALUE"""),"Inactive")</f>
        <v>Inactive</v>
      </c>
      <c r="T107" s="11" t="str">
        <f>IFERROR(__xludf.DUMMYFUNCTION("""COMPUTED_VALUE"""),"Discontinued mid-course")</f>
        <v>Discontinued mid-course</v>
      </c>
      <c r="U107" s="11" t="str">
        <f>IFERROR(__xludf.DUMMYFUNCTION("""COMPUTED_VALUE"""),"Nghỉ giữa chừng")</f>
        <v>Nghỉ giữa chừng</v>
      </c>
    </row>
    <row r="108">
      <c r="A108" s="11" t="str">
        <f>IFERROR(__xludf.DUMMYFUNCTION("""COMPUTED_VALUE"""),"EL010")</f>
        <v>EL010</v>
      </c>
      <c r="B108" s="11" t="str">
        <f>IFERROR(__xludf.DUMMYFUNCTION("""COMPUTED_VALUE"""),"Communication 2")</f>
        <v>Communication 2</v>
      </c>
      <c r="C108" s="11" t="str">
        <f>IFERROR(__xludf.DUMMYFUNCTION("""COMPUTED_VALUE"""),"247080")</f>
        <v>247080</v>
      </c>
      <c r="D108" s="11">
        <f>IFERROR(__xludf.DUMMYFUNCTION("""COMPUTED_VALUE"""),4.0)</f>
        <v>4</v>
      </c>
      <c r="E108" s="11">
        <f>IFERROR(VLOOKUP(B108,COURSE_PLAN!A:B,2,FALSE),"")</f>
        <v>16</v>
      </c>
      <c r="F108" s="11">
        <f t="shared" si="1"/>
        <v>0.25</v>
      </c>
      <c r="G108" s="11" t="str">
        <f>IFERROR(VLOOKUP(C108,STUDENTS!A:E,5,FALSE),"")</f>
        <v>Inactive</v>
      </c>
      <c r="H108" s="11" t="str">
        <f>IFERROR(VLOOKUP(C108,STUDENTS!A:M,13,FALSE),"")</f>
        <v>Discontinued mid-course</v>
      </c>
      <c r="I108" s="11" t="str">
        <f>IF(D108="","",IF(AND(VLOOKUP(C108,STUDENTS!$A:$R,17,FALSE)=A108,VLOOKUP(C108,STUDENTS!$A:$R,18,FALSE)=B108,G108="Active"),"Đang học",IF(F108&gt;=0.8,IF(G108="Active","Tiếp tục khóa sau",IF(G108="Waiting for class","Chờ lớp mới",IF(G108="Inactive",IF(IFERROR(H108,"")="Discontinued mid-course","Nghỉ giữa chừng","Hoàn thành rồi nghỉ luôn"),""))),IF(G108="Inactive","Nghỉ giữa chừng","Đang học"))))</f>
        <v>Nghỉ giữa chừng</v>
      </c>
      <c r="M108" s="11" t="str">
        <f>IFERROR(__xludf.DUMMYFUNCTION("""COMPUTED_VALUE"""),"EL026")</f>
        <v>EL026</v>
      </c>
      <c r="N108" s="11" t="str">
        <f>IFERROR(__xludf.DUMMYFUNCTION("""COMPUTED_VALUE"""),"Communication 2")</f>
        <v>Communication 2</v>
      </c>
      <c r="O108" s="11" t="str">
        <f>IFERROR(__xludf.DUMMYFUNCTION("""COMPUTED_VALUE"""),"227069")</f>
        <v>227069</v>
      </c>
      <c r="P108" s="11">
        <f>IFERROR(__xludf.DUMMYFUNCTION("""COMPUTED_VALUE"""),11.0)</f>
        <v>11</v>
      </c>
      <c r="Q108" s="11">
        <f>IFERROR(__xludf.DUMMYFUNCTION("""COMPUTED_VALUE"""),16.0)</f>
        <v>16</v>
      </c>
      <c r="R108" s="11">
        <f>IFERROR(__xludf.DUMMYFUNCTION("""COMPUTED_VALUE"""),0.6875)</f>
        <v>0.6875</v>
      </c>
      <c r="S108" s="11" t="str">
        <f>IFERROR(__xludf.DUMMYFUNCTION("""COMPUTED_VALUE"""),"Inactive")</f>
        <v>Inactive</v>
      </c>
      <c r="T108" s="11" t="str">
        <f>IFERROR(__xludf.DUMMYFUNCTION("""COMPUTED_VALUE"""),"Discontinued mid-course")</f>
        <v>Discontinued mid-course</v>
      </c>
      <c r="U108" s="11" t="str">
        <f>IFERROR(__xludf.DUMMYFUNCTION("""COMPUTED_VALUE"""),"Nghỉ giữa chừng")</f>
        <v>Nghỉ giữa chừng</v>
      </c>
    </row>
    <row r="109">
      <c r="A109" s="11" t="str">
        <f>IFERROR(__xludf.DUMMYFUNCTION("""COMPUTED_VALUE"""),"EL010")</f>
        <v>EL010</v>
      </c>
      <c r="B109" s="11" t="str">
        <f>IFERROR(__xludf.DUMMYFUNCTION("""COMPUTED_VALUE"""),"Communication 2")</f>
        <v>Communication 2</v>
      </c>
      <c r="C109" s="11" t="str">
        <f>IFERROR(__xludf.DUMMYFUNCTION("""COMPUTED_VALUE"""),"247106")</f>
        <v>247106</v>
      </c>
      <c r="D109" s="11">
        <f>IFERROR(__xludf.DUMMYFUNCTION("""COMPUTED_VALUE"""),4.0)</f>
        <v>4</v>
      </c>
      <c r="E109" s="11">
        <f>IFERROR(VLOOKUP(B109,COURSE_PLAN!A:B,2,FALSE),"")</f>
        <v>16</v>
      </c>
      <c r="F109" s="11">
        <f t="shared" si="1"/>
        <v>0.25</v>
      </c>
      <c r="G109" s="11" t="str">
        <f>IFERROR(VLOOKUP(C109,STUDENTS!A:E,5,FALSE),"")</f>
        <v>Inactive</v>
      </c>
      <c r="H109" s="11" t="str">
        <f>IFERROR(VLOOKUP(C109,STUDENTS!A:M,13,FALSE),"")</f>
        <v>Discontinued mid-course</v>
      </c>
      <c r="I109" s="11" t="str">
        <f>IF(D109="","",IF(AND(VLOOKUP(C109,STUDENTS!$A:$R,17,FALSE)=A109,VLOOKUP(C109,STUDENTS!$A:$R,18,FALSE)=B109,G109="Active"),"Đang học",IF(F109&gt;=0.8,IF(G109="Active","Tiếp tục khóa sau",IF(G109="Waiting for class","Chờ lớp mới",IF(G109="Inactive",IF(IFERROR(H109,"")="Discontinued mid-course","Nghỉ giữa chừng","Hoàn thành rồi nghỉ luôn"),""))),IF(G109="Inactive","Nghỉ giữa chừng","Đang học"))))</f>
        <v>Nghỉ giữa chừng</v>
      </c>
      <c r="M109" s="11" t="str">
        <f>IFERROR(__xludf.DUMMYFUNCTION("""COMPUTED_VALUE"""),"EL026")</f>
        <v>EL026</v>
      </c>
      <c r="N109" s="11" t="str">
        <f>IFERROR(__xludf.DUMMYFUNCTION("""COMPUTED_VALUE"""),"Communication 2")</f>
        <v>Communication 2</v>
      </c>
      <c r="O109" s="11" t="str">
        <f>IFERROR(__xludf.DUMMYFUNCTION("""COMPUTED_VALUE"""),"227144")</f>
        <v>227144</v>
      </c>
      <c r="P109" s="11">
        <f>IFERROR(__xludf.DUMMYFUNCTION("""COMPUTED_VALUE"""),11.0)</f>
        <v>11</v>
      </c>
      <c r="Q109" s="11">
        <f>IFERROR(__xludf.DUMMYFUNCTION("""COMPUTED_VALUE"""),16.0)</f>
        <v>16</v>
      </c>
      <c r="R109" s="11">
        <f>IFERROR(__xludf.DUMMYFUNCTION("""COMPUTED_VALUE"""),0.6875)</f>
        <v>0.6875</v>
      </c>
      <c r="S109" s="11" t="str">
        <f>IFERROR(__xludf.DUMMYFUNCTION("""COMPUTED_VALUE"""),"Inactive")</f>
        <v>Inactive</v>
      </c>
      <c r="T109" s="11" t="str">
        <f>IFERROR(__xludf.DUMMYFUNCTION("""COMPUTED_VALUE"""),"Discontinued mid-course")</f>
        <v>Discontinued mid-course</v>
      </c>
      <c r="U109" s="11" t="str">
        <f>IFERROR(__xludf.DUMMYFUNCTION("""COMPUTED_VALUE"""),"Nghỉ giữa chừng")</f>
        <v>Nghỉ giữa chừng</v>
      </c>
    </row>
    <row r="110">
      <c r="A110" s="11" t="str">
        <f>IFERROR(__xludf.DUMMYFUNCTION("""COMPUTED_VALUE"""),"EL010")</f>
        <v>EL010</v>
      </c>
      <c r="B110" s="11" t="str">
        <f>IFERROR(__xludf.DUMMYFUNCTION("""COMPUTED_VALUE"""),"Communication 2")</f>
        <v>Communication 2</v>
      </c>
      <c r="C110" s="11" t="str">
        <f>IFERROR(__xludf.DUMMYFUNCTION("""COMPUTED_VALUE"""),"247161")</f>
        <v>247161</v>
      </c>
      <c r="D110" s="11">
        <f>IFERROR(__xludf.DUMMYFUNCTION("""COMPUTED_VALUE"""),4.0)</f>
        <v>4</v>
      </c>
      <c r="E110" s="11">
        <f>IFERROR(VLOOKUP(B110,COURSE_PLAN!A:B,2,FALSE),"")</f>
        <v>16</v>
      </c>
      <c r="F110" s="11">
        <f t="shared" si="1"/>
        <v>0.25</v>
      </c>
      <c r="G110" s="11" t="str">
        <f>IFERROR(VLOOKUP(C110,STUDENTS!A:E,5,FALSE),"")</f>
        <v>Inactive</v>
      </c>
      <c r="H110" s="11" t="str">
        <f>IFERROR(VLOOKUP(C110,STUDENTS!A:M,13,FALSE),"")</f>
        <v>Discontinued mid-course</v>
      </c>
      <c r="I110" s="11" t="str">
        <f>IF(D110="","",IF(AND(VLOOKUP(C110,STUDENTS!$A:$R,17,FALSE)=A110,VLOOKUP(C110,STUDENTS!$A:$R,18,FALSE)=B110,G110="Active"),"Đang học",IF(F110&gt;=0.8,IF(G110="Active","Tiếp tục khóa sau",IF(G110="Waiting for class","Chờ lớp mới",IF(G110="Inactive",IF(IFERROR(H110,"")="Discontinued mid-course","Nghỉ giữa chừng","Hoàn thành rồi nghỉ luôn"),""))),IF(G110="Inactive","Nghỉ giữa chừng","Đang học"))))</f>
        <v>Nghỉ giữa chừng</v>
      </c>
      <c r="M110" s="11" t="str">
        <f>IFERROR(__xludf.DUMMYFUNCTION("""COMPUTED_VALUE"""),"EL026")</f>
        <v>EL026</v>
      </c>
      <c r="N110" s="11" t="str">
        <f>IFERROR(__xludf.DUMMYFUNCTION("""COMPUTED_VALUE"""),"Communication 2")</f>
        <v>Communication 2</v>
      </c>
      <c r="O110" s="11" t="str">
        <f>IFERROR(__xludf.DUMMYFUNCTION("""COMPUTED_VALUE"""),"237043")</f>
        <v>237043</v>
      </c>
      <c r="P110" s="11">
        <f>IFERROR(__xludf.DUMMYFUNCTION("""COMPUTED_VALUE"""),11.0)</f>
        <v>11</v>
      </c>
      <c r="Q110" s="11">
        <f>IFERROR(__xludf.DUMMYFUNCTION("""COMPUTED_VALUE"""),16.0)</f>
        <v>16</v>
      </c>
      <c r="R110" s="11">
        <f>IFERROR(__xludf.DUMMYFUNCTION("""COMPUTED_VALUE"""),0.6875)</f>
        <v>0.6875</v>
      </c>
      <c r="S110" s="11" t="str">
        <f>IFERROR(__xludf.DUMMYFUNCTION("""COMPUTED_VALUE"""),"Inactive")</f>
        <v>Inactive</v>
      </c>
      <c r="T110" s="11" t="str">
        <f>IFERROR(__xludf.DUMMYFUNCTION("""COMPUTED_VALUE"""),"Discontinued mid-course")</f>
        <v>Discontinued mid-course</v>
      </c>
      <c r="U110" s="11" t="str">
        <f>IFERROR(__xludf.DUMMYFUNCTION("""COMPUTED_VALUE"""),"Nghỉ giữa chừng")</f>
        <v>Nghỉ giữa chừng</v>
      </c>
    </row>
    <row r="111">
      <c r="A111" s="11" t="str">
        <f>IFERROR(__xludf.DUMMYFUNCTION("""COMPUTED_VALUE"""),"EL010")</f>
        <v>EL010</v>
      </c>
      <c r="B111" s="11" t="str">
        <f>IFERROR(__xludf.DUMMYFUNCTION("""COMPUTED_VALUE"""),"Communication 2")</f>
        <v>Communication 2</v>
      </c>
      <c r="C111" s="11" t="str">
        <f>IFERROR(__xludf.DUMMYFUNCTION("""COMPUTED_VALUE"""),"247184")</f>
        <v>247184</v>
      </c>
      <c r="D111" s="11">
        <f>IFERROR(__xludf.DUMMYFUNCTION("""COMPUTED_VALUE"""),4.0)</f>
        <v>4</v>
      </c>
      <c r="E111" s="11">
        <f>IFERROR(VLOOKUP(B111,COURSE_PLAN!A:B,2,FALSE),"")</f>
        <v>16</v>
      </c>
      <c r="F111" s="11">
        <f t="shared" si="1"/>
        <v>0.25</v>
      </c>
      <c r="G111" s="11" t="str">
        <f>IFERROR(VLOOKUP(C111,STUDENTS!A:E,5,FALSE),"")</f>
        <v>Inactive</v>
      </c>
      <c r="H111" s="11" t="str">
        <f>IFERROR(VLOOKUP(C111,STUDENTS!A:M,13,FALSE),"")</f>
        <v>Discontinued mid-course</v>
      </c>
      <c r="I111" s="11" t="str">
        <f>IF(D111="","",IF(AND(VLOOKUP(C111,STUDENTS!$A:$R,17,FALSE)=A111,VLOOKUP(C111,STUDENTS!$A:$R,18,FALSE)=B111,G111="Active"),"Đang học",IF(F111&gt;=0.8,IF(G111="Active","Tiếp tục khóa sau",IF(G111="Waiting for class","Chờ lớp mới",IF(G111="Inactive",IF(IFERROR(H111,"")="Discontinued mid-course","Nghỉ giữa chừng","Hoàn thành rồi nghỉ luôn"),""))),IF(G111="Inactive","Nghỉ giữa chừng","Đang học"))))</f>
        <v>Nghỉ giữa chừng</v>
      </c>
      <c r="M111" s="11" t="str">
        <f>IFERROR(__xludf.DUMMYFUNCTION("""COMPUTED_VALUE"""),"EL026")</f>
        <v>EL026</v>
      </c>
      <c r="N111" s="11" t="str">
        <f>IFERROR(__xludf.DUMMYFUNCTION("""COMPUTED_VALUE"""),"Communication 2")</f>
        <v>Communication 2</v>
      </c>
      <c r="O111" s="11" t="str">
        <f>IFERROR(__xludf.DUMMYFUNCTION("""COMPUTED_VALUE"""),"237246")</f>
        <v>237246</v>
      </c>
      <c r="P111" s="11">
        <f>IFERROR(__xludf.DUMMYFUNCTION("""COMPUTED_VALUE"""),11.0)</f>
        <v>11</v>
      </c>
      <c r="Q111" s="11">
        <f>IFERROR(__xludf.DUMMYFUNCTION("""COMPUTED_VALUE"""),16.0)</f>
        <v>16</v>
      </c>
      <c r="R111" s="11">
        <f>IFERROR(__xludf.DUMMYFUNCTION("""COMPUTED_VALUE"""),0.6875)</f>
        <v>0.6875</v>
      </c>
      <c r="S111" s="11" t="str">
        <f>IFERROR(__xludf.DUMMYFUNCTION("""COMPUTED_VALUE"""),"Inactive")</f>
        <v>Inactive</v>
      </c>
      <c r="T111" s="11" t="str">
        <f>IFERROR(__xludf.DUMMYFUNCTION("""COMPUTED_VALUE"""),"Discontinued mid-course")</f>
        <v>Discontinued mid-course</v>
      </c>
      <c r="U111" s="11" t="str">
        <f>IFERROR(__xludf.DUMMYFUNCTION("""COMPUTED_VALUE"""),"Nghỉ giữa chừng")</f>
        <v>Nghỉ giữa chừng</v>
      </c>
    </row>
    <row r="112">
      <c r="A112" s="11" t="str">
        <f>IFERROR(__xludf.DUMMYFUNCTION("""COMPUTED_VALUE"""),"EL010")</f>
        <v>EL010</v>
      </c>
      <c r="B112" s="11" t="str">
        <f>IFERROR(__xludf.DUMMYFUNCTION("""COMPUTED_VALUE"""),"Communication 2")</f>
        <v>Communication 2</v>
      </c>
      <c r="C112" s="11" t="str">
        <f>IFERROR(__xludf.DUMMYFUNCTION("""COMPUTED_VALUE"""),"247207")</f>
        <v>247207</v>
      </c>
      <c r="D112" s="11">
        <f>IFERROR(__xludf.DUMMYFUNCTION("""COMPUTED_VALUE"""),4.0)</f>
        <v>4</v>
      </c>
      <c r="E112" s="11">
        <f>IFERROR(VLOOKUP(B112,COURSE_PLAN!A:B,2,FALSE),"")</f>
        <v>16</v>
      </c>
      <c r="F112" s="11">
        <f t="shared" si="1"/>
        <v>0.25</v>
      </c>
      <c r="G112" s="11" t="str">
        <f>IFERROR(VLOOKUP(C112,STUDENTS!A:E,5,FALSE),"")</f>
        <v>Inactive</v>
      </c>
      <c r="H112" s="11" t="str">
        <f>IFERROR(VLOOKUP(C112,STUDENTS!A:M,13,FALSE),"")</f>
        <v>Discontinued mid-course</v>
      </c>
      <c r="I112" s="11" t="str">
        <f>IF(D112="","",IF(AND(VLOOKUP(C112,STUDENTS!$A:$R,17,FALSE)=A112,VLOOKUP(C112,STUDENTS!$A:$R,18,FALSE)=B112,G112="Active"),"Đang học",IF(F112&gt;=0.8,IF(G112="Active","Tiếp tục khóa sau",IF(G112="Waiting for class","Chờ lớp mới",IF(G112="Inactive",IF(IFERROR(H112,"")="Discontinued mid-course","Nghỉ giữa chừng","Hoàn thành rồi nghỉ luôn"),""))),IF(G112="Inactive","Nghỉ giữa chừng","Đang học"))))</f>
        <v>Nghỉ giữa chừng</v>
      </c>
      <c r="M112" s="11" t="str">
        <f>IFERROR(__xludf.DUMMYFUNCTION("""COMPUTED_VALUE"""),"EL026")</f>
        <v>EL026</v>
      </c>
      <c r="N112" s="11" t="str">
        <f>IFERROR(__xludf.DUMMYFUNCTION("""COMPUTED_VALUE"""),"Communication 2")</f>
        <v>Communication 2</v>
      </c>
      <c r="O112" s="11" t="str">
        <f>IFERROR(__xludf.DUMMYFUNCTION("""COMPUTED_VALUE"""),"247298")</f>
        <v>247298</v>
      </c>
      <c r="P112" s="11">
        <f>IFERROR(__xludf.DUMMYFUNCTION("""COMPUTED_VALUE"""),11.0)</f>
        <v>11</v>
      </c>
      <c r="Q112" s="11">
        <f>IFERROR(__xludf.DUMMYFUNCTION("""COMPUTED_VALUE"""),16.0)</f>
        <v>16</v>
      </c>
      <c r="R112" s="11">
        <f>IFERROR(__xludf.DUMMYFUNCTION("""COMPUTED_VALUE"""),0.6875)</f>
        <v>0.6875</v>
      </c>
      <c r="S112" s="11" t="str">
        <f>IFERROR(__xludf.DUMMYFUNCTION("""COMPUTED_VALUE"""),"Inactive")</f>
        <v>Inactive</v>
      </c>
      <c r="T112" s="11" t="str">
        <f>IFERROR(__xludf.DUMMYFUNCTION("""COMPUTED_VALUE"""),"Discontinued mid-course")</f>
        <v>Discontinued mid-course</v>
      </c>
      <c r="U112" s="11" t="str">
        <f>IFERROR(__xludf.DUMMYFUNCTION("""COMPUTED_VALUE"""),"Nghỉ giữa chừng")</f>
        <v>Nghỉ giữa chừng</v>
      </c>
    </row>
    <row r="113">
      <c r="A113" s="11" t="str">
        <f>IFERROR(__xludf.DUMMYFUNCTION("""COMPUTED_VALUE"""),"EL011")</f>
        <v>EL011</v>
      </c>
      <c r="B113" s="11" t="str">
        <f>IFERROR(__xludf.DUMMYFUNCTION("""COMPUTED_VALUE"""),"Communication 1")</f>
        <v>Communication 1</v>
      </c>
      <c r="C113" s="11" t="str">
        <f>IFERROR(__xludf.DUMMYFUNCTION("""COMPUTED_VALUE"""),"247037")</f>
        <v>247037</v>
      </c>
      <c r="D113" s="11">
        <f>IFERROR(__xludf.DUMMYFUNCTION("""COMPUTED_VALUE"""),10.0)</f>
        <v>10</v>
      </c>
      <c r="E113" s="11">
        <f>IFERROR(VLOOKUP(B113,COURSE_PLAN!A:B,2,FALSE),"")</f>
        <v>10</v>
      </c>
      <c r="F113" s="11">
        <f t="shared" si="1"/>
        <v>1</v>
      </c>
      <c r="G113" s="11" t="str">
        <f>IFERROR(VLOOKUP(C113,STUDENTS!A:E,5,FALSE),"")</f>
        <v>Inactive</v>
      </c>
      <c r="H113" s="11" t="str">
        <f>IFERROR(VLOOKUP(C113,STUDENTS!A:M,13,FALSE),"")</f>
        <v>Discontinued mid-course</v>
      </c>
      <c r="I113" s="11" t="str">
        <f>IF(D113="","",IF(AND(VLOOKUP(C113,STUDENTS!$A:$R,17,FALSE)=A113,VLOOKUP(C113,STUDENTS!$A:$R,18,FALSE)=B113,G113="Active"),"Đang học",IF(F113&gt;=0.8,IF(G113="Active","Tiếp tục khóa sau",IF(G113="Waiting for class","Chờ lớp mới",IF(G113="Inactive",IF(IFERROR(H113,"")="Discontinued mid-course","Nghỉ giữa chừng","Hoàn thành rồi nghỉ luôn"),""))),IF(G113="Inactive","Nghỉ giữa chừng","Đang học"))))</f>
        <v>Nghỉ giữa chừng</v>
      </c>
      <c r="M113" s="11" t="str">
        <f>IFERROR(__xludf.DUMMYFUNCTION("""COMPUTED_VALUE"""),"EL026")</f>
        <v>EL026</v>
      </c>
      <c r="N113" s="11" t="str">
        <f>IFERROR(__xludf.DUMMYFUNCTION("""COMPUTED_VALUE"""),"Communication 2")</f>
        <v>Communication 2</v>
      </c>
      <c r="O113" s="11" t="str">
        <f>IFERROR(__xludf.DUMMYFUNCTION("""COMPUTED_VALUE"""),"247359")</f>
        <v>247359</v>
      </c>
      <c r="P113" s="11">
        <f>IFERROR(__xludf.DUMMYFUNCTION("""COMPUTED_VALUE"""),11.0)</f>
        <v>11</v>
      </c>
      <c r="Q113" s="11">
        <f>IFERROR(__xludf.DUMMYFUNCTION("""COMPUTED_VALUE"""),16.0)</f>
        <v>16</v>
      </c>
      <c r="R113" s="11">
        <f>IFERROR(__xludf.DUMMYFUNCTION("""COMPUTED_VALUE"""),0.6875)</f>
        <v>0.6875</v>
      </c>
      <c r="S113" s="11" t="str">
        <f>IFERROR(__xludf.DUMMYFUNCTION("""COMPUTED_VALUE"""),"Inactive")</f>
        <v>Inactive</v>
      </c>
      <c r="T113" s="11" t="str">
        <f>IFERROR(__xludf.DUMMYFUNCTION("""COMPUTED_VALUE"""),"Discontinued mid-course")</f>
        <v>Discontinued mid-course</v>
      </c>
      <c r="U113" s="11" t="str">
        <f>IFERROR(__xludf.DUMMYFUNCTION("""COMPUTED_VALUE"""),"Nghỉ giữa chừng")</f>
        <v>Nghỉ giữa chừng</v>
      </c>
    </row>
    <row r="114">
      <c r="A114" s="11" t="str">
        <f>IFERROR(__xludf.DUMMYFUNCTION("""COMPUTED_VALUE"""),"EL011")</f>
        <v>EL011</v>
      </c>
      <c r="B114" s="11" t="str">
        <f>IFERROR(__xludf.DUMMYFUNCTION("""COMPUTED_VALUE"""),"Communication 1")</f>
        <v>Communication 1</v>
      </c>
      <c r="C114" s="11" t="str">
        <f>IFERROR(__xludf.DUMMYFUNCTION("""COMPUTED_VALUE"""),"247038")</f>
        <v>247038</v>
      </c>
      <c r="D114" s="11">
        <f>IFERROR(__xludf.DUMMYFUNCTION("""COMPUTED_VALUE"""),10.0)</f>
        <v>10</v>
      </c>
      <c r="E114" s="11">
        <f>IFERROR(VLOOKUP(B114,COURSE_PLAN!A:B,2,FALSE),"")</f>
        <v>10</v>
      </c>
      <c r="F114" s="11">
        <f t="shared" si="1"/>
        <v>1</v>
      </c>
      <c r="G114" s="11" t="str">
        <f>IFERROR(VLOOKUP(C114,STUDENTS!A:E,5,FALSE),"")</f>
        <v>Inactive</v>
      </c>
      <c r="H114" s="11" t="str">
        <f>IFERROR(VLOOKUP(C114,STUDENTS!A:M,13,FALSE),"")</f>
        <v>Discontinued mid-course</v>
      </c>
      <c r="I114" s="11" t="str">
        <f>IF(D114="","",IF(AND(VLOOKUP(C114,STUDENTS!$A:$R,17,FALSE)=A114,VLOOKUP(C114,STUDENTS!$A:$R,18,FALSE)=B114,G114="Active"),"Đang học",IF(F114&gt;=0.8,IF(G114="Active","Tiếp tục khóa sau",IF(G114="Waiting for class","Chờ lớp mới",IF(G114="Inactive",IF(IFERROR(H114,"")="Discontinued mid-course","Nghỉ giữa chừng","Hoàn thành rồi nghỉ luôn"),""))),IF(G114="Inactive","Nghỉ giữa chừng","Đang học"))))</f>
        <v>Nghỉ giữa chừng</v>
      </c>
      <c r="M114" s="11" t="str">
        <f>IFERROR(__xludf.DUMMYFUNCTION("""COMPUTED_VALUE"""),"EL026")</f>
        <v>EL026</v>
      </c>
      <c r="N114" s="11" t="str">
        <f>IFERROR(__xludf.DUMMYFUNCTION("""COMPUTED_VALUE"""),"Communication 2")</f>
        <v>Communication 2</v>
      </c>
      <c r="O114" s="11" t="str">
        <f>IFERROR(__xludf.DUMMYFUNCTION("""COMPUTED_VALUE"""),"247405")</f>
        <v>247405</v>
      </c>
      <c r="P114" s="11">
        <f>IFERROR(__xludf.DUMMYFUNCTION("""COMPUTED_VALUE"""),11.0)</f>
        <v>11</v>
      </c>
      <c r="Q114" s="11">
        <f>IFERROR(__xludf.DUMMYFUNCTION("""COMPUTED_VALUE"""),16.0)</f>
        <v>16</v>
      </c>
      <c r="R114" s="11">
        <f>IFERROR(__xludf.DUMMYFUNCTION("""COMPUTED_VALUE"""),0.6875)</f>
        <v>0.6875</v>
      </c>
      <c r="S114" s="11" t="str">
        <f>IFERROR(__xludf.DUMMYFUNCTION("""COMPUTED_VALUE"""),"Inactive")</f>
        <v>Inactive</v>
      </c>
      <c r="T114" s="11" t="str">
        <f>IFERROR(__xludf.DUMMYFUNCTION("""COMPUTED_VALUE"""),"Completed (no continuation)")</f>
        <v>Completed (no continuation)</v>
      </c>
      <c r="U114" s="11" t="str">
        <f>IFERROR(__xludf.DUMMYFUNCTION("""COMPUTED_VALUE"""),"Nghỉ giữa chừng")</f>
        <v>Nghỉ giữa chừng</v>
      </c>
    </row>
    <row r="115">
      <c r="A115" s="11" t="str">
        <f>IFERROR(__xludf.DUMMYFUNCTION("""COMPUTED_VALUE"""),"EL011")</f>
        <v>EL011</v>
      </c>
      <c r="B115" s="11" t="str">
        <f>IFERROR(__xludf.DUMMYFUNCTION("""COMPUTED_VALUE"""),"Communication 1")</f>
        <v>Communication 1</v>
      </c>
      <c r="C115" s="11" t="str">
        <f>IFERROR(__xludf.DUMMYFUNCTION("""COMPUTED_VALUE"""),"247078")</f>
        <v>247078</v>
      </c>
      <c r="D115" s="11">
        <f>IFERROR(__xludf.DUMMYFUNCTION("""COMPUTED_VALUE"""),10.0)</f>
        <v>10</v>
      </c>
      <c r="E115" s="11">
        <f>IFERROR(VLOOKUP(B115,COURSE_PLAN!A:B,2,FALSE),"")</f>
        <v>10</v>
      </c>
      <c r="F115" s="11">
        <f t="shared" si="1"/>
        <v>1</v>
      </c>
      <c r="G115" s="11" t="str">
        <f>IFERROR(VLOOKUP(C115,STUDENTS!A:E,5,FALSE),"")</f>
        <v>Inactive</v>
      </c>
      <c r="H115" s="11" t="str">
        <f>IFERROR(VLOOKUP(C115,STUDENTS!A:M,13,FALSE),"")</f>
        <v>Discontinued mid-course</v>
      </c>
      <c r="I115" s="11" t="str">
        <f>IF(D115="","",IF(AND(VLOOKUP(C115,STUDENTS!$A:$R,17,FALSE)=A115,VLOOKUP(C115,STUDENTS!$A:$R,18,FALSE)=B115,G115="Active"),"Đang học",IF(F115&gt;=0.8,IF(G115="Active","Tiếp tục khóa sau",IF(G115="Waiting for class","Chờ lớp mới",IF(G115="Inactive",IF(IFERROR(H115,"")="Discontinued mid-course","Nghỉ giữa chừng","Hoàn thành rồi nghỉ luôn"),""))),IF(G115="Inactive","Nghỉ giữa chừng","Đang học"))))</f>
        <v>Nghỉ giữa chừng</v>
      </c>
      <c r="M115" s="11" t="str">
        <f>IFERROR(__xludf.DUMMYFUNCTION("""COMPUTED_VALUE"""),"EL027")</f>
        <v>EL027</v>
      </c>
      <c r="N115" s="11" t="str">
        <f>IFERROR(__xludf.DUMMYFUNCTION("""COMPUTED_VALUE"""),"Communication 1")</f>
        <v>Communication 1</v>
      </c>
      <c r="O115" s="11" t="str">
        <f>IFERROR(__xludf.DUMMYFUNCTION("""COMPUTED_VALUE"""),"143084")</f>
        <v>143084</v>
      </c>
      <c r="P115" s="11">
        <f>IFERROR(__xludf.DUMMYFUNCTION("""COMPUTED_VALUE"""),10.0)</f>
        <v>10</v>
      </c>
      <c r="Q115" s="11">
        <f>IFERROR(__xludf.DUMMYFUNCTION("""COMPUTED_VALUE"""),10.0)</f>
        <v>10</v>
      </c>
      <c r="R115" s="11">
        <f>IFERROR(__xludf.DUMMYFUNCTION("""COMPUTED_VALUE"""),1.0)</f>
        <v>1</v>
      </c>
      <c r="S115" s="11" t="str">
        <f>IFERROR(__xludf.DUMMYFUNCTION("""COMPUTED_VALUE"""),"Inactive")</f>
        <v>Inactive</v>
      </c>
      <c r="T115" s="11" t="str">
        <f>IFERROR(__xludf.DUMMYFUNCTION("""COMPUTED_VALUE"""),"Discontinued mid-course")</f>
        <v>Discontinued mid-course</v>
      </c>
      <c r="U115" s="11" t="str">
        <f>IFERROR(__xludf.DUMMYFUNCTION("""COMPUTED_VALUE"""),"Nghỉ giữa chừng")</f>
        <v>Nghỉ giữa chừng</v>
      </c>
    </row>
    <row r="116">
      <c r="A116" s="11" t="str">
        <f>IFERROR(__xludf.DUMMYFUNCTION("""COMPUTED_VALUE"""),"EL011")</f>
        <v>EL011</v>
      </c>
      <c r="B116" s="11" t="str">
        <f>IFERROR(__xludf.DUMMYFUNCTION("""COMPUTED_VALUE"""),"Communication 1")</f>
        <v>Communication 1</v>
      </c>
      <c r="C116" s="11" t="str">
        <f>IFERROR(__xludf.DUMMYFUNCTION("""COMPUTED_VALUE"""),"247106")</f>
        <v>247106</v>
      </c>
      <c r="D116" s="11">
        <f>IFERROR(__xludf.DUMMYFUNCTION("""COMPUTED_VALUE"""),10.0)</f>
        <v>10</v>
      </c>
      <c r="E116" s="11">
        <f>IFERROR(VLOOKUP(B116,COURSE_PLAN!A:B,2,FALSE),"")</f>
        <v>10</v>
      </c>
      <c r="F116" s="11">
        <f t="shared" si="1"/>
        <v>1</v>
      </c>
      <c r="G116" s="11" t="str">
        <f>IFERROR(VLOOKUP(C116,STUDENTS!A:E,5,FALSE),"")</f>
        <v>Inactive</v>
      </c>
      <c r="H116" s="11" t="str">
        <f>IFERROR(VLOOKUP(C116,STUDENTS!A:M,13,FALSE),"")</f>
        <v>Discontinued mid-course</v>
      </c>
      <c r="I116" s="11" t="str">
        <f>IF(D116="","",IF(AND(VLOOKUP(C116,STUDENTS!$A:$R,17,FALSE)=A116,VLOOKUP(C116,STUDENTS!$A:$R,18,FALSE)=B116,G116="Active"),"Đang học",IF(F116&gt;=0.8,IF(G116="Active","Tiếp tục khóa sau",IF(G116="Waiting for class","Chờ lớp mới",IF(G116="Inactive",IF(IFERROR(H116,"")="Discontinued mid-course","Nghỉ giữa chừng","Hoàn thành rồi nghỉ luôn"),""))),IF(G116="Inactive","Nghỉ giữa chừng","Đang học"))))</f>
        <v>Nghỉ giữa chừng</v>
      </c>
      <c r="M116" s="11" t="str">
        <f>IFERROR(__xludf.DUMMYFUNCTION("""COMPUTED_VALUE"""),"EL027")</f>
        <v>EL027</v>
      </c>
      <c r="N116" s="11" t="str">
        <f>IFERROR(__xludf.DUMMYFUNCTION("""COMPUTED_VALUE"""),"Communication 1")</f>
        <v>Communication 1</v>
      </c>
      <c r="O116" s="11" t="str">
        <f>IFERROR(__xludf.DUMMYFUNCTION("""COMPUTED_VALUE"""),"213929")</f>
        <v>213929</v>
      </c>
      <c r="P116" s="11">
        <f>IFERROR(__xludf.DUMMYFUNCTION("""COMPUTED_VALUE"""),10.0)</f>
        <v>10</v>
      </c>
      <c r="Q116" s="11">
        <f>IFERROR(__xludf.DUMMYFUNCTION("""COMPUTED_VALUE"""),10.0)</f>
        <v>10</v>
      </c>
      <c r="R116" s="11">
        <f>IFERROR(__xludf.DUMMYFUNCTION("""COMPUTED_VALUE"""),1.0)</f>
        <v>1</v>
      </c>
      <c r="S116" s="11" t="str">
        <f>IFERROR(__xludf.DUMMYFUNCTION("""COMPUTED_VALUE"""),"Inactive")</f>
        <v>Inactive</v>
      </c>
      <c r="T116" s="11" t="str">
        <f>IFERROR(__xludf.DUMMYFUNCTION("""COMPUTED_VALUE"""),"Discontinued mid-course")</f>
        <v>Discontinued mid-course</v>
      </c>
      <c r="U116" s="11" t="str">
        <f>IFERROR(__xludf.DUMMYFUNCTION("""COMPUTED_VALUE"""),"Nghỉ giữa chừng")</f>
        <v>Nghỉ giữa chừng</v>
      </c>
    </row>
    <row r="117">
      <c r="A117" s="11" t="str">
        <f>IFERROR(__xludf.DUMMYFUNCTION("""COMPUTED_VALUE"""),"EL011")</f>
        <v>EL011</v>
      </c>
      <c r="B117" s="11" t="str">
        <f>IFERROR(__xludf.DUMMYFUNCTION("""COMPUTED_VALUE"""),"Communication 1")</f>
        <v>Communication 1</v>
      </c>
      <c r="C117" s="11" t="str">
        <f>IFERROR(__xludf.DUMMYFUNCTION("""COMPUTED_VALUE"""),"247207")</f>
        <v>247207</v>
      </c>
      <c r="D117" s="11">
        <f>IFERROR(__xludf.DUMMYFUNCTION("""COMPUTED_VALUE"""),10.0)</f>
        <v>10</v>
      </c>
      <c r="E117" s="11">
        <f>IFERROR(VLOOKUP(B117,COURSE_PLAN!A:B,2,FALSE),"")</f>
        <v>10</v>
      </c>
      <c r="F117" s="11">
        <f t="shared" si="1"/>
        <v>1</v>
      </c>
      <c r="G117" s="11" t="str">
        <f>IFERROR(VLOOKUP(C117,STUDENTS!A:E,5,FALSE),"")</f>
        <v>Inactive</v>
      </c>
      <c r="H117" s="11" t="str">
        <f>IFERROR(VLOOKUP(C117,STUDENTS!A:M,13,FALSE),"")</f>
        <v>Discontinued mid-course</v>
      </c>
      <c r="I117" s="11" t="str">
        <f>IF(D117="","",IF(AND(VLOOKUP(C117,STUDENTS!$A:$R,17,FALSE)=A117,VLOOKUP(C117,STUDENTS!$A:$R,18,FALSE)=B117,G117="Active"),"Đang học",IF(F117&gt;=0.8,IF(G117="Active","Tiếp tục khóa sau",IF(G117="Waiting for class","Chờ lớp mới",IF(G117="Inactive",IF(IFERROR(H117,"")="Discontinued mid-course","Nghỉ giữa chừng","Hoàn thành rồi nghỉ luôn"),""))),IF(G117="Inactive","Nghỉ giữa chừng","Đang học"))))</f>
        <v>Nghỉ giữa chừng</v>
      </c>
      <c r="M117" s="11" t="str">
        <f>IFERROR(__xludf.DUMMYFUNCTION("""COMPUTED_VALUE"""),"EL027")</f>
        <v>EL027</v>
      </c>
      <c r="N117" s="11" t="str">
        <f>IFERROR(__xludf.DUMMYFUNCTION("""COMPUTED_VALUE"""),"Communication 2")</f>
        <v>Communication 2</v>
      </c>
      <c r="O117" s="11" t="str">
        <f>IFERROR(__xludf.DUMMYFUNCTION("""COMPUTED_VALUE"""),"143084")</f>
        <v>143084</v>
      </c>
      <c r="P117" s="11">
        <f>IFERROR(__xludf.DUMMYFUNCTION("""COMPUTED_VALUE"""),15.0)</f>
        <v>15</v>
      </c>
      <c r="Q117" s="11">
        <f>IFERROR(__xludf.DUMMYFUNCTION("""COMPUTED_VALUE"""),16.0)</f>
        <v>16</v>
      </c>
      <c r="R117" s="11">
        <f>IFERROR(__xludf.DUMMYFUNCTION("""COMPUTED_VALUE"""),0.9375)</f>
        <v>0.9375</v>
      </c>
      <c r="S117" s="11" t="str">
        <f>IFERROR(__xludf.DUMMYFUNCTION("""COMPUTED_VALUE"""),"Inactive")</f>
        <v>Inactive</v>
      </c>
      <c r="T117" s="11" t="str">
        <f>IFERROR(__xludf.DUMMYFUNCTION("""COMPUTED_VALUE"""),"Discontinued mid-course")</f>
        <v>Discontinued mid-course</v>
      </c>
      <c r="U117" s="11" t="str">
        <f>IFERROR(__xludf.DUMMYFUNCTION("""COMPUTED_VALUE"""),"Nghỉ giữa chừng")</f>
        <v>Nghỉ giữa chừng</v>
      </c>
    </row>
    <row r="118">
      <c r="A118" s="11" t="str">
        <f>IFERROR(__xludf.DUMMYFUNCTION("""COMPUTED_VALUE"""),"EL012")</f>
        <v>EL012</v>
      </c>
      <c r="B118" s="11" t="str">
        <f>IFERROR(__xludf.DUMMYFUNCTION("""COMPUTED_VALUE"""),"Communication 1")</f>
        <v>Communication 1</v>
      </c>
      <c r="C118" s="11" t="str">
        <f>IFERROR(__xludf.DUMMYFUNCTION("""COMPUTED_VALUE"""),"227153")</f>
        <v>227153</v>
      </c>
      <c r="D118" s="11">
        <f>IFERROR(__xludf.DUMMYFUNCTION("""COMPUTED_VALUE"""),10.0)</f>
        <v>10</v>
      </c>
      <c r="E118" s="11">
        <f>IFERROR(VLOOKUP(B118,COURSE_PLAN!A:B,2,FALSE),"")</f>
        <v>10</v>
      </c>
      <c r="F118" s="11">
        <f t="shared" si="1"/>
        <v>1</v>
      </c>
      <c r="G118" s="11" t="str">
        <f>IFERROR(VLOOKUP(C118,STUDENTS!A:E,5,FALSE),"")</f>
        <v>Inactive</v>
      </c>
      <c r="H118" s="11" t="str">
        <f>IFERROR(VLOOKUP(C118,STUDENTS!A:M,13,FALSE),"")</f>
        <v>Completed (no continuation)</v>
      </c>
      <c r="I118" s="11" t="str">
        <f>IF(D118="","",IF(AND(VLOOKUP(C118,STUDENTS!$A:$R,17,FALSE)=A118,VLOOKUP(C118,STUDENTS!$A:$R,18,FALSE)=B118,G118="Active"),"Đang học",IF(F118&gt;=0.8,IF(G118="Active","Tiếp tục khóa sau",IF(G118="Waiting for class","Chờ lớp mới",IF(G118="Inactive",IF(IFERROR(H118,"")="Discontinued mid-course","Nghỉ giữa chừng","Hoàn thành rồi nghỉ luôn"),""))),IF(G118="Inactive","Nghỉ giữa chừng","Đang học"))))</f>
        <v>Hoàn thành rồi nghỉ luôn</v>
      </c>
      <c r="M118" s="11" t="str">
        <f>IFERROR(__xludf.DUMMYFUNCTION("""COMPUTED_VALUE"""),"EL027")</f>
        <v>EL027</v>
      </c>
      <c r="N118" s="11" t="str">
        <f>IFERROR(__xludf.DUMMYFUNCTION("""COMPUTED_VALUE"""),"Communication 3")</f>
        <v>Communication 3</v>
      </c>
      <c r="O118" s="11" t="str">
        <f>IFERROR(__xludf.DUMMYFUNCTION("""COMPUTED_VALUE"""),"173272")</f>
        <v>173272</v>
      </c>
      <c r="P118" s="11">
        <f>IFERROR(__xludf.DUMMYFUNCTION("""COMPUTED_VALUE"""),10.0)</f>
        <v>10</v>
      </c>
      <c r="Q118" s="11">
        <f>IFERROR(__xludf.DUMMYFUNCTION("""COMPUTED_VALUE"""),16.0)</f>
        <v>16</v>
      </c>
      <c r="R118" s="11">
        <f>IFERROR(__xludf.DUMMYFUNCTION("""COMPUTED_VALUE"""),0.625)</f>
        <v>0.625</v>
      </c>
      <c r="S118" s="11" t="str">
        <f>IFERROR(__xludf.DUMMYFUNCTION("""COMPUTED_VALUE"""),"Inactive")</f>
        <v>Inactive</v>
      </c>
      <c r="T118" s="11" t="str">
        <f>IFERROR(__xludf.DUMMYFUNCTION("""COMPUTED_VALUE"""),"Completed (no continuation)")</f>
        <v>Completed (no continuation)</v>
      </c>
      <c r="U118" s="11" t="str">
        <f>IFERROR(__xludf.DUMMYFUNCTION("""COMPUTED_VALUE"""),"Nghỉ giữa chừng")</f>
        <v>Nghỉ giữa chừng</v>
      </c>
    </row>
    <row r="119">
      <c r="A119" s="11" t="str">
        <f>IFERROR(__xludf.DUMMYFUNCTION("""COMPUTED_VALUE"""),"EL012")</f>
        <v>EL012</v>
      </c>
      <c r="B119" s="11" t="str">
        <f>IFERROR(__xludf.DUMMYFUNCTION("""COMPUTED_VALUE"""),"Communication 1")</f>
        <v>Communication 1</v>
      </c>
      <c r="C119" s="11" t="str">
        <f>IFERROR(__xludf.DUMMYFUNCTION("""COMPUTED_VALUE"""),"237169")</f>
        <v>237169</v>
      </c>
      <c r="D119" s="11">
        <f>IFERROR(__xludf.DUMMYFUNCTION("""COMPUTED_VALUE"""),10.0)</f>
        <v>10</v>
      </c>
      <c r="E119" s="11">
        <f>IFERROR(VLOOKUP(B119,COURSE_PLAN!A:B,2,FALSE),"")</f>
        <v>10</v>
      </c>
      <c r="F119" s="11">
        <f t="shared" si="1"/>
        <v>1</v>
      </c>
      <c r="G119" s="11" t="str">
        <f>IFERROR(VLOOKUP(C119,STUDENTS!A:E,5,FALSE),"")</f>
        <v>Inactive</v>
      </c>
      <c r="H119" s="11" t="str">
        <f>IFERROR(VLOOKUP(C119,STUDENTS!A:M,13,FALSE),"")</f>
        <v>Discontinued mid-course</v>
      </c>
      <c r="I119" s="11" t="str">
        <f>IF(D119="","",IF(AND(VLOOKUP(C119,STUDENTS!$A:$R,17,FALSE)=A119,VLOOKUP(C119,STUDENTS!$A:$R,18,FALSE)=B119,G119="Active"),"Đang học",IF(F119&gt;=0.8,IF(G119="Active","Tiếp tục khóa sau",IF(G119="Waiting for class","Chờ lớp mới",IF(G119="Inactive",IF(IFERROR(H119,"")="Discontinued mid-course","Nghỉ giữa chừng","Hoàn thành rồi nghỉ luôn"),""))),IF(G119="Inactive","Nghỉ giữa chừng","Đang học"))))</f>
        <v>Nghỉ giữa chừng</v>
      </c>
      <c r="M119" s="11" t="str">
        <f>IFERROR(__xludf.DUMMYFUNCTION("""COMPUTED_VALUE"""),"EL027")</f>
        <v>EL027</v>
      </c>
      <c r="N119" s="11" t="str">
        <f>IFERROR(__xludf.DUMMYFUNCTION("""COMPUTED_VALUE"""),"Communication 3")</f>
        <v>Communication 3</v>
      </c>
      <c r="O119" s="11" t="str">
        <f>IFERROR(__xludf.DUMMYFUNCTION("""COMPUTED_VALUE"""),"237226")</f>
        <v>237226</v>
      </c>
      <c r="P119" s="11">
        <f>IFERROR(__xludf.DUMMYFUNCTION("""COMPUTED_VALUE"""),9.0)</f>
        <v>9</v>
      </c>
      <c r="Q119" s="11">
        <f>IFERROR(__xludf.DUMMYFUNCTION("""COMPUTED_VALUE"""),16.0)</f>
        <v>16</v>
      </c>
      <c r="R119" s="11">
        <f>IFERROR(__xludf.DUMMYFUNCTION("""COMPUTED_VALUE"""),0.5625)</f>
        <v>0.5625</v>
      </c>
      <c r="S119" s="11" t="str">
        <f>IFERROR(__xludf.DUMMYFUNCTION("""COMPUTED_VALUE"""),"Inactive")</f>
        <v>Inactive</v>
      </c>
      <c r="T119" s="11" t="str">
        <f>IFERROR(__xludf.DUMMYFUNCTION("""COMPUTED_VALUE"""),"Completed (no continuation)")</f>
        <v>Completed (no continuation)</v>
      </c>
      <c r="U119" s="11" t="str">
        <f>IFERROR(__xludf.DUMMYFUNCTION("""COMPUTED_VALUE"""),"Nghỉ giữa chừng")</f>
        <v>Nghỉ giữa chừng</v>
      </c>
    </row>
    <row r="120">
      <c r="A120" s="11" t="str">
        <f>IFERROR(__xludf.DUMMYFUNCTION("""COMPUTED_VALUE"""),"EL012")</f>
        <v>EL012</v>
      </c>
      <c r="B120" s="11" t="str">
        <f>IFERROR(__xludf.DUMMYFUNCTION("""COMPUTED_VALUE"""),"Communication 1")</f>
        <v>Communication 1</v>
      </c>
      <c r="C120" s="11" t="str">
        <f>IFERROR(__xludf.DUMMYFUNCTION("""COMPUTED_VALUE"""),"237222")</f>
        <v>237222</v>
      </c>
      <c r="D120" s="11">
        <f>IFERROR(__xludf.DUMMYFUNCTION("""COMPUTED_VALUE"""),10.0)</f>
        <v>10</v>
      </c>
      <c r="E120" s="11">
        <f>IFERROR(VLOOKUP(B120,COURSE_PLAN!A:B,2,FALSE),"")</f>
        <v>10</v>
      </c>
      <c r="F120" s="11">
        <f t="shared" si="1"/>
        <v>1</v>
      </c>
      <c r="G120" s="11" t="str">
        <f>IFERROR(VLOOKUP(C120,STUDENTS!A:E,5,FALSE),"")</f>
        <v>Inactive</v>
      </c>
      <c r="H120" s="11" t="str">
        <f>IFERROR(VLOOKUP(C120,STUDENTS!A:M,13,FALSE),"")</f>
        <v>Completed (no continuation)</v>
      </c>
      <c r="I120" s="11" t="str">
        <f>IF(D120="","",IF(AND(VLOOKUP(C120,STUDENTS!$A:$R,17,FALSE)=A120,VLOOKUP(C120,STUDENTS!$A:$R,18,FALSE)=B120,G120="Active"),"Đang học",IF(F120&gt;=0.8,IF(G120="Active","Tiếp tục khóa sau",IF(G120="Waiting for class","Chờ lớp mới",IF(G120="Inactive",IF(IFERROR(H120,"")="Discontinued mid-course","Nghỉ giữa chừng","Hoàn thành rồi nghỉ luôn"),""))),IF(G120="Inactive","Nghỉ giữa chừng","Đang học"))))</f>
        <v>Hoàn thành rồi nghỉ luôn</v>
      </c>
      <c r="M120" s="11" t="str">
        <f>IFERROR(__xludf.DUMMYFUNCTION("""COMPUTED_VALUE"""),"EL028")</f>
        <v>EL028</v>
      </c>
      <c r="N120" s="11" t="str">
        <f>IFERROR(__xludf.DUMMYFUNCTION("""COMPUTED_VALUE"""),"Communication 1")</f>
        <v>Communication 1</v>
      </c>
      <c r="O120" s="11" t="str">
        <f>IFERROR(__xludf.DUMMYFUNCTION("""COMPUTED_VALUE"""),"143071")</f>
        <v>143071</v>
      </c>
      <c r="P120" s="11">
        <f>IFERROR(__xludf.DUMMYFUNCTION("""COMPUTED_VALUE"""),10.0)</f>
        <v>10</v>
      </c>
      <c r="Q120" s="11">
        <f>IFERROR(__xludf.DUMMYFUNCTION("""COMPUTED_VALUE"""),10.0)</f>
        <v>10</v>
      </c>
      <c r="R120" s="11">
        <f>IFERROR(__xludf.DUMMYFUNCTION("""COMPUTED_VALUE"""),1.0)</f>
        <v>1</v>
      </c>
      <c r="S120" s="11" t="str">
        <f>IFERROR(__xludf.DUMMYFUNCTION("""COMPUTED_VALUE"""),"Inactive")</f>
        <v>Inactive</v>
      </c>
      <c r="T120" s="11" t="str">
        <f>IFERROR(__xludf.DUMMYFUNCTION("""COMPUTED_VALUE"""),"Discontinued mid-course")</f>
        <v>Discontinued mid-course</v>
      </c>
      <c r="U120" s="11" t="str">
        <f>IFERROR(__xludf.DUMMYFUNCTION("""COMPUTED_VALUE"""),"Nghỉ giữa chừng")</f>
        <v>Nghỉ giữa chừng</v>
      </c>
    </row>
    <row r="121">
      <c r="A121" s="11" t="str">
        <f>IFERROR(__xludf.DUMMYFUNCTION("""COMPUTED_VALUE"""),"EL012")</f>
        <v>EL012</v>
      </c>
      <c r="B121" s="11" t="str">
        <f>IFERROR(__xludf.DUMMYFUNCTION("""COMPUTED_VALUE"""),"Communication 1")</f>
        <v>Communication 1</v>
      </c>
      <c r="C121" s="11" t="str">
        <f>IFERROR(__xludf.DUMMYFUNCTION("""COMPUTED_VALUE"""),"237227")</f>
        <v>237227</v>
      </c>
      <c r="D121" s="11">
        <f>IFERROR(__xludf.DUMMYFUNCTION("""COMPUTED_VALUE"""),10.0)</f>
        <v>10</v>
      </c>
      <c r="E121" s="11">
        <f>IFERROR(VLOOKUP(B121,COURSE_PLAN!A:B,2,FALSE),"")</f>
        <v>10</v>
      </c>
      <c r="F121" s="11">
        <f t="shared" si="1"/>
        <v>1</v>
      </c>
      <c r="G121" s="11" t="str">
        <f>IFERROR(VLOOKUP(C121,STUDENTS!A:E,5,FALSE),"")</f>
        <v>Inactive</v>
      </c>
      <c r="H121" s="11" t="str">
        <f>IFERROR(VLOOKUP(C121,STUDENTS!A:M,13,FALSE),"")</f>
        <v>Discontinued mid-course</v>
      </c>
      <c r="I121" s="11" t="str">
        <f>IF(D121="","",IF(AND(VLOOKUP(C121,STUDENTS!$A:$R,17,FALSE)=A121,VLOOKUP(C121,STUDENTS!$A:$R,18,FALSE)=B121,G121="Active"),"Đang học",IF(F121&gt;=0.8,IF(G121="Active","Tiếp tục khóa sau",IF(G121="Waiting for class","Chờ lớp mới",IF(G121="Inactive",IF(IFERROR(H121,"")="Discontinued mid-course","Nghỉ giữa chừng","Hoàn thành rồi nghỉ luôn"),""))),IF(G121="Inactive","Nghỉ giữa chừng","Đang học"))))</f>
        <v>Nghỉ giữa chừng</v>
      </c>
      <c r="M121" s="11" t="str">
        <f>IFERROR(__xludf.DUMMYFUNCTION("""COMPUTED_VALUE"""),"EL028")</f>
        <v>EL028</v>
      </c>
      <c r="N121" s="11" t="str">
        <f>IFERROR(__xludf.DUMMYFUNCTION("""COMPUTED_VALUE"""),"Communication 1")</f>
        <v>Communication 1</v>
      </c>
      <c r="O121" s="11" t="str">
        <f>IFERROR(__xludf.DUMMYFUNCTION("""COMPUTED_VALUE"""),"227240")</f>
        <v>227240</v>
      </c>
      <c r="P121" s="11">
        <f>IFERROR(__xludf.DUMMYFUNCTION("""COMPUTED_VALUE"""),10.0)</f>
        <v>10</v>
      </c>
      <c r="Q121" s="11">
        <f>IFERROR(__xludf.DUMMYFUNCTION("""COMPUTED_VALUE"""),10.0)</f>
        <v>10</v>
      </c>
      <c r="R121" s="11">
        <f>IFERROR(__xludf.DUMMYFUNCTION("""COMPUTED_VALUE"""),1.0)</f>
        <v>1</v>
      </c>
      <c r="S121" s="11" t="str">
        <f>IFERROR(__xludf.DUMMYFUNCTION("""COMPUTED_VALUE"""),"Inactive")</f>
        <v>Inactive</v>
      </c>
      <c r="T121" s="11" t="str">
        <f>IFERROR(__xludf.DUMMYFUNCTION("""COMPUTED_VALUE"""),"Discontinued mid-course")</f>
        <v>Discontinued mid-course</v>
      </c>
      <c r="U121" s="11" t="str">
        <f>IFERROR(__xludf.DUMMYFUNCTION("""COMPUTED_VALUE"""),"Nghỉ giữa chừng")</f>
        <v>Nghỉ giữa chừng</v>
      </c>
    </row>
    <row r="122">
      <c r="A122" s="11" t="str">
        <f>IFERROR(__xludf.DUMMYFUNCTION("""COMPUTED_VALUE"""),"EL012")</f>
        <v>EL012</v>
      </c>
      <c r="B122" s="11" t="str">
        <f>IFERROR(__xludf.DUMMYFUNCTION("""COMPUTED_VALUE"""),"Communication 1")</f>
        <v>Communication 1</v>
      </c>
      <c r="C122" s="11" t="str">
        <f>IFERROR(__xludf.DUMMYFUNCTION("""COMPUTED_VALUE"""),"237235")</f>
        <v>237235</v>
      </c>
      <c r="D122" s="11">
        <f>IFERROR(__xludf.DUMMYFUNCTION("""COMPUTED_VALUE"""),10.0)</f>
        <v>10</v>
      </c>
      <c r="E122" s="11">
        <f>IFERROR(VLOOKUP(B122,COURSE_PLAN!A:B,2,FALSE),"")</f>
        <v>10</v>
      </c>
      <c r="F122" s="11">
        <f t="shared" si="1"/>
        <v>1</v>
      </c>
      <c r="G122" s="11" t="str">
        <f>IFERROR(VLOOKUP(C122,STUDENTS!A:E,5,FALSE),"")</f>
        <v>Inactive</v>
      </c>
      <c r="H122" s="11" t="str">
        <f>IFERROR(VLOOKUP(C122,STUDENTS!A:M,13,FALSE),"")</f>
        <v>Completed (no continuation)</v>
      </c>
      <c r="I122" s="11" t="str">
        <f>IF(D122="","",IF(AND(VLOOKUP(C122,STUDENTS!$A:$R,17,FALSE)=A122,VLOOKUP(C122,STUDENTS!$A:$R,18,FALSE)=B122,G122="Active"),"Đang học",IF(F122&gt;=0.8,IF(G122="Active","Tiếp tục khóa sau",IF(G122="Waiting for class","Chờ lớp mới",IF(G122="Inactive",IF(IFERROR(H122,"")="Discontinued mid-course","Nghỉ giữa chừng","Hoàn thành rồi nghỉ luôn"),""))),IF(G122="Inactive","Nghỉ giữa chừng","Đang học"))))</f>
        <v>Hoàn thành rồi nghỉ luôn</v>
      </c>
      <c r="M122" s="11" t="str">
        <f>IFERROR(__xludf.DUMMYFUNCTION("""COMPUTED_VALUE"""),"EL030")</f>
        <v>EL030</v>
      </c>
      <c r="N122" s="11" t="str">
        <f>IFERROR(__xludf.DUMMYFUNCTION("""COMPUTED_VALUE"""),"Communication 1")</f>
        <v>Communication 1</v>
      </c>
      <c r="O122" s="11" t="str">
        <f>IFERROR(__xludf.DUMMYFUNCTION("""COMPUTED_VALUE"""),"183332")</f>
        <v>183332</v>
      </c>
      <c r="P122" s="11">
        <f>IFERROR(__xludf.DUMMYFUNCTION("""COMPUTED_VALUE"""),10.0)</f>
        <v>10</v>
      </c>
      <c r="Q122" s="11">
        <f>IFERROR(__xludf.DUMMYFUNCTION("""COMPUTED_VALUE"""),10.0)</f>
        <v>10</v>
      </c>
      <c r="R122" s="11">
        <f>IFERROR(__xludf.DUMMYFUNCTION("""COMPUTED_VALUE"""),1.0)</f>
        <v>1</v>
      </c>
      <c r="S122" s="11" t="str">
        <f>IFERROR(__xludf.DUMMYFUNCTION("""COMPUTED_VALUE"""),"Inactive")</f>
        <v>Inactive</v>
      </c>
      <c r="T122" s="11" t="str">
        <f>IFERROR(__xludf.DUMMYFUNCTION("""COMPUTED_VALUE"""),"Discontinued mid-course")</f>
        <v>Discontinued mid-course</v>
      </c>
      <c r="U122" s="11" t="str">
        <f>IFERROR(__xludf.DUMMYFUNCTION("""COMPUTED_VALUE"""),"Nghỉ giữa chừng")</f>
        <v>Nghỉ giữa chừng</v>
      </c>
    </row>
    <row r="123">
      <c r="A123" s="11" t="str">
        <f>IFERROR(__xludf.DUMMYFUNCTION("""COMPUTED_VALUE"""),"EL012")</f>
        <v>EL012</v>
      </c>
      <c r="B123" s="11" t="str">
        <f>IFERROR(__xludf.DUMMYFUNCTION("""COMPUTED_VALUE"""),"Communication 1")</f>
        <v>Communication 1</v>
      </c>
      <c r="C123" s="11" t="str">
        <f>IFERROR(__xludf.DUMMYFUNCTION("""COMPUTED_VALUE"""),"237238")</f>
        <v>237238</v>
      </c>
      <c r="D123" s="11">
        <f>IFERROR(__xludf.DUMMYFUNCTION("""COMPUTED_VALUE"""),10.0)</f>
        <v>10</v>
      </c>
      <c r="E123" s="11">
        <f>IFERROR(VLOOKUP(B123,COURSE_PLAN!A:B,2,FALSE),"")</f>
        <v>10</v>
      </c>
      <c r="F123" s="11">
        <f t="shared" si="1"/>
        <v>1</v>
      </c>
      <c r="G123" s="11" t="str">
        <f>IFERROR(VLOOKUP(C123,STUDENTS!A:E,5,FALSE),"")</f>
        <v>Inactive</v>
      </c>
      <c r="H123" s="11" t="str">
        <f>IFERROR(VLOOKUP(C123,STUDENTS!A:M,13,FALSE),"")</f>
        <v>Completed (no continuation)</v>
      </c>
      <c r="I123" s="11" t="str">
        <f>IF(D123="","",IF(AND(VLOOKUP(C123,STUDENTS!$A:$R,17,FALSE)=A123,VLOOKUP(C123,STUDENTS!$A:$R,18,FALSE)=B123,G123="Active"),"Đang học",IF(F123&gt;=0.8,IF(G123="Active","Tiếp tục khóa sau",IF(G123="Waiting for class","Chờ lớp mới",IF(G123="Inactive",IF(IFERROR(H123,"")="Discontinued mid-course","Nghỉ giữa chừng","Hoàn thành rồi nghỉ luôn"),""))),IF(G123="Inactive","Nghỉ giữa chừng","Đang học"))))</f>
        <v>Hoàn thành rồi nghỉ luôn</v>
      </c>
      <c r="M123" s="11" t="str">
        <f>IFERROR(__xludf.DUMMYFUNCTION("""COMPUTED_VALUE"""),"EL030")</f>
        <v>EL030</v>
      </c>
      <c r="N123" s="11" t="str">
        <f>IFERROR(__xludf.DUMMYFUNCTION("""COMPUTED_VALUE"""),"Communication 1")</f>
        <v>Communication 1</v>
      </c>
      <c r="O123" s="11" t="str">
        <f>IFERROR(__xludf.DUMMYFUNCTION("""COMPUTED_VALUE"""),"227125")</f>
        <v>227125</v>
      </c>
      <c r="P123" s="11">
        <f>IFERROR(__xludf.DUMMYFUNCTION("""COMPUTED_VALUE"""),10.0)</f>
        <v>10</v>
      </c>
      <c r="Q123" s="11">
        <f>IFERROR(__xludf.DUMMYFUNCTION("""COMPUTED_VALUE"""),10.0)</f>
        <v>10</v>
      </c>
      <c r="R123" s="11">
        <f>IFERROR(__xludf.DUMMYFUNCTION("""COMPUTED_VALUE"""),1.0)</f>
        <v>1</v>
      </c>
      <c r="S123" s="11" t="str">
        <f>IFERROR(__xludf.DUMMYFUNCTION("""COMPUTED_VALUE"""),"Inactive")</f>
        <v>Inactive</v>
      </c>
      <c r="T123" s="11" t="str">
        <f>IFERROR(__xludf.DUMMYFUNCTION("""COMPUTED_VALUE"""),"Discontinued mid-course")</f>
        <v>Discontinued mid-course</v>
      </c>
      <c r="U123" s="11" t="str">
        <f>IFERROR(__xludf.DUMMYFUNCTION("""COMPUTED_VALUE"""),"Nghỉ giữa chừng")</f>
        <v>Nghỉ giữa chừng</v>
      </c>
    </row>
    <row r="124">
      <c r="A124" s="11" t="str">
        <f>IFERROR(__xludf.DUMMYFUNCTION("""COMPUTED_VALUE"""),"EL012")</f>
        <v>EL012</v>
      </c>
      <c r="B124" s="11" t="str">
        <f>IFERROR(__xludf.DUMMYFUNCTION("""COMPUTED_VALUE"""),"Communication 1")</f>
        <v>Communication 1</v>
      </c>
      <c r="C124" s="11" t="str">
        <f>IFERROR(__xludf.DUMMYFUNCTION("""COMPUTED_VALUE"""),"247379")</f>
        <v>247379</v>
      </c>
      <c r="D124" s="11">
        <f>IFERROR(__xludf.DUMMYFUNCTION("""COMPUTED_VALUE"""),10.0)</f>
        <v>10</v>
      </c>
      <c r="E124" s="11">
        <f>IFERROR(VLOOKUP(B124,COURSE_PLAN!A:B,2,FALSE),"")</f>
        <v>10</v>
      </c>
      <c r="F124" s="11">
        <f t="shared" si="1"/>
        <v>1</v>
      </c>
      <c r="G124" s="11" t="str">
        <f>IFERROR(VLOOKUP(C124,STUDENTS!A:E,5,FALSE),"")</f>
        <v>Inactive</v>
      </c>
      <c r="H124" s="11" t="str">
        <f>IFERROR(VLOOKUP(C124,STUDENTS!A:M,13,FALSE),"")</f>
        <v>Completed (no continuation)</v>
      </c>
      <c r="I124" s="11" t="str">
        <f>IF(D124="","",IF(AND(VLOOKUP(C124,STUDENTS!$A:$R,17,FALSE)=A124,VLOOKUP(C124,STUDENTS!$A:$R,18,FALSE)=B124,G124="Active"),"Đang học",IF(F124&gt;=0.8,IF(G124="Active","Tiếp tục khóa sau",IF(G124="Waiting for class","Chờ lớp mới",IF(G124="Inactive",IF(IFERROR(H124,"")="Discontinued mid-course","Nghỉ giữa chừng","Hoàn thành rồi nghỉ luôn"),""))),IF(G124="Inactive","Nghỉ giữa chừng","Đang học"))))</f>
        <v>Hoàn thành rồi nghỉ luôn</v>
      </c>
      <c r="M124" s="11" t="str">
        <f>IFERROR(__xludf.DUMMYFUNCTION("""COMPUTED_VALUE"""),"EL030")</f>
        <v>EL030</v>
      </c>
      <c r="N124" s="11" t="str">
        <f>IFERROR(__xludf.DUMMYFUNCTION("""COMPUTED_VALUE"""),"Communication 1")</f>
        <v>Communication 1</v>
      </c>
      <c r="O124" s="11" t="str">
        <f>IFERROR(__xludf.DUMMYFUNCTION("""COMPUTED_VALUE"""),"227220")</f>
        <v>227220</v>
      </c>
      <c r="P124" s="11">
        <f>IFERROR(__xludf.DUMMYFUNCTION("""COMPUTED_VALUE"""),10.0)</f>
        <v>10</v>
      </c>
      <c r="Q124" s="11">
        <f>IFERROR(__xludf.DUMMYFUNCTION("""COMPUTED_VALUE"""),10.0)</f>
        <v>10</v>
      </c>
      <c r="R124" s="11">
        <f>IFERROR(__xludf.DUMMYFUNCTION("""COMPUTED_VALUE"""),1.0)</f>
        <v>1</v>
      </c>
      <c r="S124" s="11" t="str">
        <f>IFERROR(__xludf.DUMMYFUNCTION("""COMPUTED_VALUE"""),"Inactive")</f>
        <v>Inactive</v>
      </c>
      <c r="T124" s="11" t="str">
        <f>IFERROR(__xludf.DUMMYFUNCTION("""COMPUTED_VALUE"""),"Discontinued mid-course")</f>
        <v>Discontinued mid-course</v>
      </c>
      <c r="U124" s="11" t="str">
        <f>IFERROR(__xludf.DUMMYFUNCTION("""COMPUTED_VALUE"""),"Nghỉ giữa chừng")</f>
        <v>Nghỉ giữa chừng</v>
      </c>
    </row>
    <row r="125">
      <c r="A125" s="11" t="str">
        <f>IFERROR(__xludf.DUMMYFUNCTION("""COMPUTED_VALUE"""),"EL013")</f>
        <v>EL013</v>
      </c>
      <c r="B125" s="11" t="str">
        <f>IFERROR(__xludf.DUMMYFUNCTION("""COMPUTED_VALUE"""),"Communication 1")</f>
        <v>Communication 1</v>
      </c>
      <c r="C125" s="11" t="str">
        <f>IFERROR(__xludf.DUMMYFUNCTION("""COMPUTED_VALUE"""),"183422")</f>
        <v>183422</v>
      </c>
      <c r="D125" s="11">
        <f>IFERROR(__xludf.DUMMYFUNCTION("""COMPUTED_VALUE"""),10.0)</f>
        <v>10</v>
      </c>
      <c r="E125" s="11">
        <f>IFERROR(VLOOKUP(B125,COURSE_PLAN!A:B,2,FALSE),"")</f>
        <v>10</v>
      </c>
      <c r="F125" s="11">
        <f t="shared" si="1"/>
        <v>1</v>
      </c>
      <c r="G125" s="11" t="str">
        <f>IFERROR(VLOOKUP(C125,STUDENTS!A:E,5,FALSE),"")</f>
        <v>Active</v>
      </c>
      <c r="H125" s="11" t="str">
        <f>IFERROR(VLOOKUP(C125,STUDENTS!A:M,13,FALSE),"")</f>
        <v/>
      </c>
      <c r="I125" s="11" t="str">
        <f>IF(D125="","",IF(AND(VLOOKUP(C125,STUDENTS!$A:$R,17,FALSE)=A125,VLOOKUP(C125,STUDENTS!$A:$R,18,FALSE)=B125,G125="Active"),"Đang học",IF(F125&gt;=0.8,IF(G125="Active","Tiếp tục khóa sau",IF(G125="Waiting for class","Chờ lớp mới",IF(G125="Inactive",IF(IFERROR(H125,"")="Discontinued mid-course","Nghỉ giữa chừng","Hoàn thành rồi nghỉ luôn"),""))),IF(G125="Inactive","Nghỉ giữa chừng","Đang học"))))</f>
        <v>Tiếp tục khóa sau</v>
      </c>
      <c r="M125" s="11" t="str">
        <f>IFERROR(__xludf.DUMMYFUNCTION("""COMPUTED_VALUE"""),"EL030")</f>
        <v>EL030</v>
      </c>
      <c r="N125" s="11" t="str">
        <f>IFERROR(__xludf.DUMMYFUNCTION("""COMPUTED_VALUE"""),"Communication 1")</f>
        <v>Communication 1</v>
      </c>
      <c r="O125" s="11" t="str">
        <f>IFERROR(__xludf.DUMMYFUNCTION("""COMPUTED_VALUE"""),"247146")</f>
        <v>247146</v>
      </c>
      <c r="P125" s="11">
        <f>IFERROR(__xludf.DUMMYFUNCTION("""COMPUTED_VALUE"""),10.0)</f>
        <v>10</v>
      </c>
      <c r="Q125" s="11">
        <f>IFERROR(__xludf.DUMMYFUNCTION("""COMPUTED_VALUE"""),10.0)</f>
        <v>10</v>
      </c>
      <c r="R125" s="11">
        <f>IFERROR(__xludf.DUMMYFUNCTION("""COMPUTED_VALUE"""),1.0)</f>
        <v>1</v>
      </c>
      <c r="S125" s="11" t="str">
        <f>IFERROR(__xludf.DUMMYFUNCTION("""COMPUTED_VALUE"""),"Inactive")</f>
        <v>Inactive</v>
      </c>
      <c r="T125" s="11" t="str">
        <f>IFERROR(__xludf.DUMMYFUNCTION("""COMPUTED_VALUE"""),"Discontinued mid-course")</f>
        <v>Discontinued mid-course</v>
      </c>
      <c r="U125" s="11" t="str">
        <f>IFERROR(__xludf.DUMMYFUNCTION("""COMPUTED_VALUE"""),"Nghỉ giữa chừng")</f>
        <v>Nghỉ giữa chừng</v>
      </c>
    </row>
    <row r="126">
      <c r="A126" s="11" t="str">
        <f>IFERROR(__xludf.DUMMYFUNCTION("""COMPUTED_VALUE"""),"EL013")</f>
        <v>EL013</v>
      </c>
      <c r="B126" s="11" t="str">
        <f>IFERROR(__xludf.DUMMYFUNCTION("""COMPUTED_VALUE"""),"Communication 1")</f>
        <v>Communication 1</v>
      </c>
      <c r="C126" s="11" t="str">
        <f>IFERROR(__xludf.DUMMYFUNCTION("""COMPUTED_VALUE"""),"193516")</f>
        <v>193516</v>
      </c>
      <c r="D126" s="11">
        <f>IFERROR(__xludf.DUMMYFUNCTION("""COMPUTED_VALUE"""),10.0)</f>
        <v>10</v>
      </c>
      <c r="E126" s="11">
        <f>IFERROR(VLOOKUP(B126,COURSE_PLAN!A:B,2,FALSE),"")</f>
        <v>10</v>
      </c>
      <c r="F126" s="11">
        <f t="shared" si="1"/>
        <v>1</v>
      </c>
      <c r="G126" s="11" t="str">
        <f>IFERROR(VLOOKUP(C126,STUDENTS!A:E,5,FALSE),"")</f>
        <v>Active</v>
      </c>
      <c r="H126" s="11" t="str">
        <f>IFERROR(VLOOKUP(C126,STUDENTS!A:M,13,FALSE),"")</f>
        <v/>
      </c>
      <c r="I126" s="11" t="str">
        <f>IF(D126="","",IF(AND(VLOOKUP(C126,STUDENTS!$A:$R,17,FALSE)=A126,VLOOKUP(C126,STUDENTS!$A:$R,18,FALSE)=B126,G126="Active"),"Đang học",IF(F126&gt;=0.8,IF(G126="Active","Tiếp tục khóa sau",IF(G126="Waiting for class","Chờ lớp mới",IF(G126="Inactive",IF(IFERROR(H126,"")="Discontinued mid-course","Nghỉ giữa chừng","Hoàn thành rồi nghỉ luôn"),""))),IF(G126="Inactive","Nghỉ giữa chừng","Đang học"))))</f>
        <v>Tiếp tục khóa sau</v>
      </c>
      <c r="M126" s="11" t="str">
        <f>IFERROR(__xludf.DUMMYFUNCTION("""COMPUTED_VALUE"""),"EL032")</f>
        <v>EL032</v>
      </c>
      <c r="N126" s="11" t="str">
        <f>IFERROR(__xludf.DUMMYFUNCTION("""COMPUTED_VALUE"""),"Communication 1")</f>
        <v>Communication 1</v>
      </c>
      <c r="O126" s="11" t="str">
        <f>IFERROR(__xludf.DUMMYFUNCTION("""COMPUTED_VALUE"""),"213889")</f>
        <v>213889</v>
      </c>
      <c r="P126" s="11">
        <f>IFERROR(__xludf.DUMMYFUNCTION("""COMPUTED_VALUE"""),10.0)</f>
        <v>10</v>
      </c>
      <c r="Q126" s="11">
        <f>IFERROR(__xludf.DUMMYFUNCTION("""COMPUTED_VALUE"""),10.0)</f>
        <v>10</v>
      </c>
      <c r="R126" s="11">
        <f>IFERROR(__xludf.DUMMYFUNCTION("""COMPUTED_VALUE"""),1.0)</f>
        <v>1</v>
      </c>
      <c r="S126" s="11" t="str">
        <f>IFERROR(__xludf.DUMMYFUNCTION("""COMPUTED_VALUE"""),"Inactive")</f>
        <v>Inactive</v>
      </c>
      <c r="T126" s="11" t="str">
        <f>IFERROR(__xludf.DUMMYFUNCTION("""COMPUTED_VALUE"""),"Discontinued mid-course")</f>
        <v>Discontinued mid-course</v>
      </c>
      <c r="U126" s="11" t="str">
        <f>IFERROR(__xludf.DUMMYFUNCTION("""COMPUTED_VALUE"""),"Nghỉ giữa chừng")</f>
        <v>Nghỉ giữa chừng</v>
      </c>
    </row>
    <row r="127">
      <c r="A127" s="11" t="str">
        <f>IFERROR(__xludf.DUMMYFUNCTION("""COMPUTED_VALUE"""),"EL013")</f>
        <v>EL013</v>
      </c>
      <c r="B127" s="11" t="str">
        <f>IFERROR(__xludf.DUMMYFUNCTION("""COMPUTED_VALUE"""),"Communication 1")</f>
        <v>Communication 1</v>
      </c>
      <c r="C127" s="11" t="str">
        <f>IFERROR(__xludf.DUMMYFUNCTION("""COMPUTED_VALUE"""),"213893")</f>
        <v>213893</v>
      </c>
      <c r="D127" s="11">
        <f>IFERROR(__xludf.DUMMYFUNCTION("""COMPUTED_VALUE"""),10.0)</f>
        <v>10</v>
      </c>
      <c r="E127" s="11">
        <f>IFERROR(VLOOKUP(B127,COURSE_PLAN!A:B,2,FALSE),"")</f>
        <v>10</v>
      </c>
      <c r="F127" s="11">
        <f t="shared" si="1"/>
        <v>1</v>
      </c>
      <c r="G127" s="11" t="str">
        <f>IFERROR(VLOOKUP(C127,STUDENTS!A:E,5,FALSE),"")</f>
        <v>Active</v>
      </c>
      <c r="H127" s="11" t="str">
        <f>IFERROR(VLOOKUP(C127,STUDENTS!A:M,13,FALSE),"")</f>
        <v/>
      </c>
      <c r="I127" s="11" t="str">
        <f>IF(D127="","",IF(AND(VLOOKUP(C127,STUDENTS!$A:$R,17,FALSE)=A127,VLOOKUP(C127,STUDENTS!$A:$R,18,FALSE)=B127,G127="Active"),"Đang học",IF(F127&gt;=0.8,IF(G127="Active","Tiếp tục khóa sau",IF(G127="Waiting for class","Chờ lớp mới",IF(G127="Inactive",IF(IFERROR(H127,"")="Discontinued mid-course","Nghỉ giữa chừng","Hoàn thành rồi nghỉ luôn"),""))),IF(G127="Inactive","Nghỉ giữa chừng","Đang học"))))</f>
        <v>Tiếp tục khóa sau</v>
      </c>
      <c r="M127" s="11" t="str">
        <f>IFERROR(__xludf.DUMMYFUNCTION("""COMPUTED_VALUE"""),"EL032")</f>
        <v>EL032</v>
      </c>
      <c r="N127" s="11" t="str">
        <f>IFERROR(__xludf.DUMMYFUNCTION("""COMPUTED_VALUE"""),"Communication 2")</f>
        <v>Communication 2</v>
      </c>
      <c r="O127" s="11" t="str">
        <f>IFERROR(__xludf.DUMMYFUNCTION("""COMPUTED_VALUE"""),"213889")</f>
        <v>213889</v>
      </c>
      <c r="P127" s="11">
        <f>IFERROR(__xludf.DUMMYFUNCTION("""COMPUTED_VALUE"""),15.0)</f>
        <v>15</v>
      </c>
      <c r="Q127" s="11">
        <f>IFERROR(__xludf.DUMMYFUNCTION("""COMPUTED_VALUE"""),16.0)</f>
        <v>16</v>
      </c>
      <c r="R127" s="11">
        <f>IFERROR(__xludf.DUMMYFUNCTION("""COMPUTED_VALUE"""),0.9375)</f>
        <v>0.9375</v>
      </c>
      <c r="S127" s="11" t="str">
        <f>IFERROR(__xludf.DUMMYFUNCTION("""COMPUTED_VALUE"""),"Inactive")</f>
        <v>Inactive</v>
      </c>
      <c r="T127" s="11" t="str">
        <f>IFERROR(__xludf.DUMMYFUNCTION("""COMPUTED_VALUE"""),"Discontinued mid-course")</f>
        <v>Discontinued mid-course</v>
      </c>
      <c r="U127" s="11" t="str">
        <f>IFERROR(__xludf.DUMMYFUNCTION("""COMPUTED_VALUE"""),"Nghỉ giữa chừng")</f>
        <v>Nghỉ giữa chừng</v>
      </c>
    </row>
    <row r="128">
      <c r="A128" s="11" t="str">
        <f>IFERROR(__xludf.DUMMYFUNCTION("""COMPUTED_VALUE"""),"EL013")</f>
        <v>EL013</v>
      </c>
      <c r="B128" s="11" t="str">
        <f>IFERROR(__xludf.DUMMYFUNCTION("""COMPUTED_VALUE"""),"Communication 1")</f>
        <v>Communication 1</v>
      </c>
      <c r="C128" s="11" t="str">
        <f>IFERROR(__xludf.DUMMYFUNCTION("""COMPUTED_VALUE"""),"213936")</f>
        <v>213936</v>
      </c>
      <c r="D128" s="11">
        <f>IFERROR(__xludf.DUMMYFUNCTION("""COMPUTED_VALUE"""),10.0)</f>
        <v>10</v>
      </c>
      <c r="E128" s="11">
        <f>IFERROR(VLOOKUP(B128,COURSE_PLAN!A:B,2,FALSE),"")</f>
        <v>10</v>
      </c>
      <c r="F128" s="11">
        <f t="shared" si="1"/>
        <v>1</v>
      </c>
      <c r="G128" s="11" t="str">
        <f>IFERROR(VLOOKUP(C128,STUDENTS!A:E,5,FALSE),"")</f>
        <v>Inactive</v>
      </c>
      <c r="H128" s="11" t="str">
        <f>IFERROR(VLOOKUP(C128,STUDENTS!A:M,13,FALSE),"")</f>
        <v>Discontinued mid-course</v>
      </c>
      <c r="I128" s="11" t="str">
        <f>IF(D128="","",IF(AND(VLOOKUP(C128,STUDENTS!$A:$R,17,FALSE)=A128,VLOOKUP(C128,STUDENTS!$A:$R,18,FALSE)=B128,G128="Active"),"Đang học",IF(F128&gt;=0.8,IF(G128="Active","Tiếp tục khóa sau",IF(G128="Waiting for class","Chờ lớp mới",IF(G128="Inactive",IF(IFERROR(H128,"")="Discontinued mid-course","Nghỉ giữa chừng","Hoàn thành rồi nghỉ luôn"),""))),IF(G128="Inactive","Nghỉ giữa chừng","Đang học"))))</f>
        <v>Nghỉ giữa chừng</v>
      </c>
      <c r="M128" s="11" t="str">
        <f>IFERROR(__xludf.DUMMYFUNCTION("""COMPUTED_VALUE"""),"EL032")</f>
        <v>EL032</v>
      </c>
      <c r="N128" s="11" t="str">
        <f>IFERROR(__xludf.DUMMYFUNCTION("""COMPUTED_VALUE"""),"Communication 2")</f>
        <v>Communication 2</v>
      </c>
      <c r="O128" s="11" t="str">
        <f>IFERROR(__xludf.DUMMYFUNCTION("""COMPUTED_VALUE"""),"213975")</f>
        <v>213975</v>
      </c>
      <c r="P128" s="11">
        <f>IFERROR(__xludf.DUMMYFUNCTION("""COMPUTED_VALUE"""),9.0)</f>
        <v>9</v>
      </c>
      <c r="Q128" s="11">
        <f>IFERROR(__xludf.DUMMYFUNCTION("""COMPUTED_VALUE"""),16.0)</f>
        <v>16</v>
      </c>
      <c r="R128" s="11">
        <f>IFERROR(__xludf.DUMMYFUNCTION("""COMPUTED_VALUE"""),0.5625)</f>
        <v>0.5625</v>
      </c>
      <c r="S128" s="11" t="str">
        <f>IFERROR(__xludf.DUMMYFUNCTION("""COMPUTED_VALUE"""),"Inactive")</f>
        <v>Inactive</v>
      </c>
      <c r="T128" s="11" t="str">
        <f>IFERROR(__xludf.DUMMYFUNCTION("""COMPUTED_VALUE"""),"Completed (no continuation)")</f>
        <v>Completed (no continuation)</v>
      </c>
      <c r="U128" s="11" t="str">
        <f>IFERROR(__xludf.DUMMYFUNCTION("""COMPUTED_VALUE"""),"Nghỉ giữa chừng")</f>
        <v>Nghỉ giữa chừng</v>
      </c>
    </row>
    <row r="129">
      <c r="A129" s="11" t="str">
        <f>IFERROR(__xludf.DUMMYFUNCTION("""COMPUTED_VALUE"""),"EL013")</f>
        <v>EL013</v>
      </c>
      <c r="B129" s="11" t="str">
        <f>IFERROR(__xludf.DUMMYFUNCTION("""COMPUTED_VALUE"""),"Communication 1")</f>
        <v>Communication 1</v>
      </c>
      <c r="C129" s="11" t="str">
        <f>IFERROR(__xludf.DUMMYFUNCTION("""COMPUTED_VALUE"""),"227244")</f>
        <v>227244</v>
      </c>
      <c r="D129" s="11">
        <f>IFERROR(__xludf.DUMMYFUNCTION("""COMPUTED_VALUE"""),10.0)</f>
        <v>10</v>
      </c>
      <c r="E129" s="11">
        <f>IFERROR(VLOOKUP(B129,COURSE_PLAN!A:B,2,FALSE),"")</f>
        <v>10</v>
      </c>
      <c r="F129" s="11">
        <f t="shared" si="1"/>
        <v>1</v>
      </c>
      <c r="G129" s="11" t="str">
        <f>IFERROR(VLOOKUP(C129,STUDENTS!A:E,5,FALSE),"")</f>
        <v>Active</v>
      </c>
      <c r="H129" s="11" t="str">
        <f>IFERROR(VLOOKUP(C129,STUDENTS!A:M,13,FALSE),"")</f>
        <v/>
      </c>
      <c r="I129" s="11" t="str">
        <f>IF(D129="","",IF(AND(VLOOKUP(C129,STUDENTS!$A:$R,17,FALSE)=A129,VLOOKUP(C129,STUDENTS!$A:$R,18,FALSE)=B129,G129="Active"),"Đang học",IF(F129&gt;=0.8,IF(G129="Active","Tiếp tục khóa sau",IF(G129="Waiting for class","Chờ lớp mới",IF(G129="Inactive",IF(IFERROR(H129,"")="Discontinued mid-course","Nghỉ giữa chừng","Hoàn thành rồi nghỉ luôn"),""))),IF(G129="Inactive","Nghỉ giữa chừng","Đang học"))))</f>
        <v>Tiếp tục khóa sau</v>
      </c>
      <c r="M129" s="11" t="str">
        <f>IFERROR(__xludf.DUMMYFUNCTION("""COMPUTED_VALUE"""),"EL034")</f>
        <v>EL034</v>
      </c>
      <c r="N129" s="11" t="str">
        <f>IFERROR(__xludf.DUMMYFUNCTION("""COMPUTED_VALUE"""),"Business English")</f>
        <v>Business English</v>
      </c>
      <c r="O129" s="11" t="str">
        <f>IFERROR(__xludf.DUMMYFUNCTION("""COMPUTED_VALUE"""),"227097")</f>
        <v>227097</v>
      </c>
      <c r="P129" s="11">
        <f>IFERROR(__xludf.DUMMYFUNCTION("""COMPUTED_VALUE"""),13.0)</f>
        <v>13</v>
      </c>
      <c r="Q129" s="11">
        <f>IFERROR(__xludf.DUMMYFUNCTION("""COMPUTED_VALUE"""),16.0)</f>
        <v>16</v>
      </c>
      <c r="R129" s="11">
        <f>IFERROR(__xludf.DUMMYFUNCTION("""COMPUTED_VALUE"""),0.8125)</f>
        <v>0.8125</v>
      </c>
      <c r="S129" s="11" t="str">
        <f>IFERROR(__xludf.DUMMYFUNCTION("""COMPUTED_VALUE"""),"Inactive")</f>
        <v>Inactive</v>
      </c>
      <c r="T129" s="11" t="str">
        <f>IFERROR(__xludf.DUMMYFUNCTION("""COMPUTED_VALUE"""),"Discontinued mid-course")</f>
        <v>Discontinued mid-course</v>
      </c>
      <c r="U129" s="11" t="str">
        <f>IFERROR(__xludf.DUMMYFUNCTION("""COMPUTED_VALUE"""),"Nghỉ giữa chừng")</f>
        <v>Nghỉ giữa chừng</v>
      </c>
    </row>
    <row r="130">
      <c r="A130" s="11" t="str">
        <f>IFERROR(__xludf.DUMMYFUNCTION("""COMPUTED_VALUE"""),"EL013")</f>
        <v>EL013</v>
      </c>
      <c r="B130" s="11" t="str">
        <f>IFERROR(__xludf.DUMMYFUNCTION("""COMPUTED_VALUE"""),"Communication 1")</f>
        <v>Communication 1</v>
      </c>
      <c r="C130" s="11" t="str">
        <f>IFERROR(__xludf.DUMMYFUNCTION("""COMPUTED_VALUE"""),"247234")</f>
        <v>247234</v>
      </c>
      <c r="D130" s="11">
        <f>IFERROR(__xludf.DUMMYFUNCTION("""COMPUTED_VALUE"""),10.0)</f>
        <v>10</v>
      </c>
      <c r="E130" s="11">
        <f>IFERROR(VLOOKUP(B130,COURSE_PLAN!A:B,2,FALSE),"")</f>
        <v>10</v>
      </c>
      <c r="F130" s="11">
        <f t="shared" si="1"/>
        <v>1</v>
      </c>
      <c r="G130" s="11" t="str">
        <f>IFERROR(VLOOKUP(C130,STUDENTS!A:E,5,FALSE),"")</f>
        <v>Active</v>
      </c>
      <c r="H130" s="11" t="str">
        <f>IFERROR(VLOOKUP(C130,STUDENTS!A:M,13,FALSE),"")</f>
        <v/>
      </c>
      <c r="I130" s="11" t="str">
        <f>IF(D130="","",IF(AND(VLOOKUP(C130,STUDENTS!$A:$R,17,FALSE)=A130,VLOOKUP(C130,STUDENTS!$A:$R,18,FALSE)=B130,G130="Active"),"Đang học",IF(F130&gt;=0.8,IF(G130="Active","Tiếp tục khóa sau",IF(G130="Waiting for class","Chờ lớp mới",IF(G130="Inactive",IF(IFERROR(H130,"")="Discontinued mid-course","Nghỉ giữa chừng","Hoàn thành rồi nghỉ luôn"),""))),IF(G130="Inactive","Nghỉ giữa chừng","Đang học"))))</f>
        <v>Tiếp tục khóa sau</v>
      </c>
      <c r="M130" s="11" t="str">
        <f>IFERROR(__xludf.DUMMYFUNCTION("""COMPUTED_VALUE"""),"EL034")</f>
        <v>EL034</v>
      </c>
      <c r="N130" s="11" t="str">
        <f>IFERROR(__xludf.DUMMYFUNCTION("""COMPUTED_VALUE"""),"Business English")</f>
        <v>Business English</v>
      </c>
      <c r="O130" s="11" t="str">
        <f>IFERROR(__xludf.DUMMYFUNCTION("""COMPUTED_VALUE"""),"247088")</f>
        <v>247088</v>
      </c>
      <c r="P130" s="11">
        <f>IFERROR(__xludf.DUMMYFUNCTION("""COMPUTED_VALUE"""),13.0)</f>
        <v>13</v>
      </c>
      <c r="Q130" s="11">
        <f>IFERROR(__xludf.DUMMYFUNCTION("""COMPUTED_VALUE"""),16.0)</f>
        <v>16</v>
      </c>
      <c r="R130" s="11">
        <f>IFERROR(__xludf.DUMMYFUNCTION("""COMPUTED_VALUE"""),0.8125)</f>
        <v>0.8125</v>
      </c>
      <c r="S130" s="11" t="str">
        <f>IFERROR(__xludf.DUMMYFUNCTION("""COMPUTED_VALUE"""),"Inactive")</f>
        <v>Inactive</v>
      </c>
      <c r="T130" s="11" t="str">
        <f>IFERROR(__xludf.DUMMYFUNCTION("""COMPUTED_VALUE"""),"Discontinued mid-course")</f>
        <v>Discontinued mid-course</v>
      </c>
      <c r="U130" s="11" t="str">
        <f>IFERROR(__xludf.DUMMYFUNCTION("""COMPUTED_VALUE"""),"Nghỉ giữa chừng")</f>
        <v>Nghỉ giữa chừng</v>
      </c>
    </row>
    <row r="131">
      <c r="A131" s="11" t="str">
        <f>IFERROR(__xludf.DUMMYFUNCTION("""COMPUTED_VALUE"""),"EL013")</f>
        <v>EL013</v>
      </c>
      <c r="B131" s="11" t="str">
        <f>IFERROR(__xludf.DUMMYFUNCTION("""COMPUTED_VALUE"""),"Communication 2")</f>
        <v>Communication 2</v>
      </c>
      <c r="C131" s="11" t="str">
        <f>IFERROR(__xludf.DUMMYFUNCTION("""COMPUTED_VALUE"""),"183422")</f>
        <v>183422</v>
      </c>
      <c r="D131" s="11">
        <f>IFERROR(__xludf.DUMMYFUNCTION("""COMPUTED_VALUE"""),16.0)</f>
        <v>16</v>
      </c>
      <c r="E131" s="11">
        <f>IFERROR(VLOOKUP(B131,COURSE_PLAN!A:B,2,FALSE),"")</f>
        <v>16</v>
      </c>
      <c r="F131" s="11">
        <f t="shared" si="1"/>
        <v>1</v>
      </c>
      <c r="G131" s="11" t="str">
        <f>IFERROR(VLOOKUP(C131,STUDENTS!A:E,5,FALSE),"")</f>
        <v>Active</v>
      </c>
      <c r="H131" s="11" t="str">
        <f>IFERROR(VLOOKUP(C131,STUDENTS!A:M,13,FALSE),"")</f>
        <v/>
      </c>
      <c r="I131" s="11" t="str">
        <f>IF(D131="","",IF(AND(VLOOKUP(C131,STUDENTS!$A:$R,17,FALSE)=A131,VLOOKUP(C131,STUDENTS!$A:$R,18,FALSE)=B131,G131="Active"),"Đang học",IF(F131&gt;=0.8,IF(G131="Active","Tiếp tục khóa sau",IF(G131="Waiting for class","Chờ lớp mới",IF(G131="Inactive",IF(IFERROR(H131,"")="Discontinued mid-course","Nghỉ giữa chừng","Hoàn thành rồi nghỉ luôn"),""))),IF(G131="Inactive","Nghỉ giữa chừng","Đang học"))))</f>
        <v>Tiếp tục khóa sau</v>
      </c>
      <c r="M131" s="11" t="str">
        <f>IFERROR(__xludf.DUMMYFUNCTION("""COMPUTED_VALUE"""),"EL034")</f>
        <v>EL034</v>
      </c>
      <c r="N131" s="11" t="str">
        <f>IFERROR(__xludf.DUMMYFUNCTION("""COMPUTED_VALUE"""),"Communication 1")</f>
        <v>Communication 1</v>
      </c>
      <c r="O131" s="11" t="str">
        <f>IFERROR(__xludf.DUMMYFUNCTION("""COMPUTED_VALUE"""),"227097")</f>
        <v>227097</v>
      </c>
      <c r="P131" s="11">
        <f>IFERROR(__xludf.DUMMYFUNCTION("""COMPUTED_VALUE"""),10.0)</f>
        <v>10</v>
      </c>
      <c r="Q131" s="11">
        <f>IFERROR(__xludf.DUMMYFUNCTION("""COMPUTED_VALUE"""),10.0)</f>
        <v>10</v>
      </c>
      <c r="R131" s="11">
        <f>IFERROR(__xludf.DUMMYFUNCTION("""COMPUTED_VALUE"""),1.0)</f>
        <v>1</v>
      </c>
      <c r="S131" s="11" t="str">
        <f>IFERROR(__xludf.DUMMYFUNCTION("""COMPUTED_VALUE"""),"Inactive")</f>
        <v>Inactive</v>
      </c>
      <c r="T131" s="11" t="str">
        <f>IFERROR(__xludf.DUMMYFUNCTION("""COMPUTED_VALUE"""),"Discontinued mid-course")</f>
        <v>Discontinued mid-course</v>
      </c>
      <c r="U131" s="11" t="str">
        <f>IFERROR(__xludf.DUMMYFUNCTION("""COMPUTED_VALUE"""),"Nghỉ giữa chừng")</f>
        <v>Nghỉ giữa chừng</v>
      </c>
    </row>
    <row r="132">
      <c r="A132" s="11" t="str">
        <f>IFERROR(__xludf.DUMMYFUNCTION("""COMPUTED_VALUE"""),"EL013")</f>
        <v>EL013</v>
      </c>
      <c r="B132" s="11" t="str">
        <f>IFERROR(__xludf.DUMMYFUNCTION("""COMPUTED_VALUE"""),"Communication 2")</f>
        <v>Communication 2</v>
      </c>
      <c r="C132" s="11" t="str">
        <f>IFERROR(__xludf.DUMMYFUNCTION("""COMPUTED_VALUE"""),"193516")</f>
        <v>193516</v>
      </c>
      <c r="D132" s="11">
        <f>IFERROR(__xludf.DUMMYFUNCTION("""COMPUTED_VALUE"""),16.0)</f>
        <v>16</v>
      </c>
      <c r="E132" s="11">
        <f>IFERROR(VLOOKUP(B132,COURSE_PLAN!A:B,2,FALSE),"")</f>
        <v>16</v>
      </c>
      <c r="F132" s="11">
        <f t="shared" si="1"/>
        <v>1</v>
      </c>
      <c r="G132" s="11" t="str">
        <f>IFERROR(VLOOKUP(C132,STUDENTS!A:E,5,FALSE),"")</f>
        <v>Active</v>
      </c>
      <c r="H132" s="11" t="str">
        <f>IFERROR(VLOOKUP(C132,STUDENTS!A:M,13,FALSE),"")</f>
        <v/>
      </c>
      <c r="I132" s="11" t="str">
        <f>IF(D132="","",IF(AND(VLOOKUP(C132,STUDENTS!$A:$R,17,FALSE)=A132,VLOOKUP(C132,STUDENTS!$A:$R,18,FALSE)=B132,G132="Active"),"Đang học",IF(F132&gt;=0.8,IF(G132="Active","Tiếp tục khóa sau",IF(G132="Waiting for class","Chờ lớp mới",IF(G132="Inactive",IF(IFERROR(H132,"")="Discontinued mid-course","Nghỉ giữa chừng","Hoàn thành rồi nghỉ luôn"),""))),IF(G132="Inactive","Nghỉ giữa chừng","Đang học"))))</f>
        <v>Tiếp tục khóa sau</v>
      </c>
      <c r="M132" s="11" t="str">
        <f>IFERROR(__xludf.DUMMYFUNCTION("""COMPUTED_VALUE"""),"EL034")</f>
        <v>EL034</v>
      </c>
      <c r="N132" s="11" t="str">
        <f>IFERROR(__xludf.DUMMYFUNCTION("""COMPUTED_VALUE"""),"Communication 1")</f>
        <v>Communication 1</v>
      </c>
      <c r="O132" s="11" t="str">
        <f>IFERROR(__xludf.DUMMYFUNCTION("""COMPUTED_VALUE"""),"247088")</f>
        <v>247088</v>
      </c>
      <c r="P132" s="11">
        <f>IFERROR(__xludf.DUMMYFUNCTION("""COMPUTED_VALUE"""),9.0)</f>
        <v>9</v>
      </c>
      <c r="Q132" s="11">
        <f>IFERROR(__xludf.DUMMYFUNCTION("""COMPUTED_VALUE"""),10.0)</f>
        <v>10</v>
      </c>
      <c r="R132" s="11">
        <f>IFERROR(__xludf.DUMMYFUNCTION("""COMPUTED_VALUE"""),0.9)</f>
        <v>0.9</v>
      </c>
      <c r="S132" s="11" t="str">
        <f>IFERROR(__xludf.DUMMYFUNCTION("""COMPUTED_VALUE"""),"Inactive")</f>
        <v>Inactive</v>
      </c>
      <c r="T132" s="11" t="str">
        <f>IFERROR(__xludf.DUMMYFUNCTION("""COMPUTED_VALUE"""),"Discontinued mid-course")</f>
        <v>Discontinued mid-course</v>
      </c>
      <c r="U132" s="11" t="str">
        <f>IFERROR(__xludf.DUMMYFUNCTION("""COMPUTED_VALUE"""),"Nghỉ giữa chừng")</f>
        <v>Nghỉ giữa chừng</v>
      </c>
    </row>
    <row r="133">
      <c r="A133" s="11" t="str">
        <f>IFERROR(__xludf.DUMMYFUNCTION("""COMPUTED_VALUE"""),"EL013")</f>
        <v>EL013</v>
      </c>
      <c r="B133" s="11" t="str">
        <f>IFERROR(__xludf.DUMMYFUNCTION("""COMPUTED_VALUE"""),"Communication 2")</f>
        <v>Communication 2</v>
      </c>
      <c r="C133" s="11" t="str">
        <f>IFERROR(__xludf.DUMMYFUNCTION("""COMPUTED_VALUE"""),"213893")</f>
        <v>213893</v>
      </c>
      <c r="D133" s="11">
        <f>IFERROR(__xludf.DUMMYFUNCTION("""COMPUTED_VALUE"""),16.0)</f>
        <v>16</v>
      </c>
      <c r="E133" s="11">
        <f>IFERROR(VLOOKUP(B133,COURSE_PLAN!A:B,2,FALSE),"")</f>
        <v>16</v>
      </c>
      <c r="F133" s="11">
        <f t="shared" si="1"/>
        <v>1</v>
      </c>
      <c r="G133" s="11" t="str">
        <f>IFERROR(VLOOKUP(C133,STUDENTS!A:E,5,FALSE),"")</f>
        <v>Active</v>
      </c>
      <c r="H133" s="11" t="str">
        <f>IFERROR(VLOOKUP(C133,STUDENTS!A:M,13,FALSE),"")</f>
        <v/>
      </c>
      <c r="I133" s="11" t="str">
        <f>IF(D133="","",IF(AND(VLOOKUP(C133,STUDENTS!$A:$R,17,FALSE)=A133,VLOOKUP(C133,STUDENTS!$A:$R,18,FALSE)=B133,G133="Active"),"Đang học",IF(F133&gt;=0.8,IF(G133="Active","Tiếp tục khóa sau",IF(G133="Waiting for class","Chờ lớp mới",IF(G133="Inactive",IF(IFERROR(H133,"")="Discontinued mid-course","Nghỉ giữa chừng","Hoàn thành rồi nghỉ luôn"),""))),IF(G133="Inactive","Nghỉ giữa chừng","Đang học"))))</f>
        <v>Tiếp tục khóa sau</v>
      </c>
      <c r="M133" s="11" t="str">
        <f>IFERROR(__xludf.DUMMYFUNCTION("""COMPUTED_VALUE"""),"EL034")</f>
        <v>EL034</v>
      </c>
      <c r="N133" s="11" t="str">
        <f>IFERROR(__xludf.DUMMYFUNCTION("""COMPUTED_VALUE"""),"Communication 2")</f>
        <v>Communication 2</v>
      </c>
      <c r="O133" s="11" t="str">
        <f>IFERROR(__xludf.DUMMYFUNCTION("""COMPUTED_VALUE"""),"227097")</f>
        <v>227097</v>
      </c>
      <c r="P133" s="11">
        <f>IFERROR(__xludf.DUMMYFUNCTION("""COMPUTED_VALUE"""),16.0)</f>
        <v>16</v>
      </c>
      <c r="Q133" s="11">
        <f>IFERROR(__xludf.DUMMYFUNCTION("""COMPUTED_VALUE"""),16.0)</f>
        <v>16</v>
      </c>
      <c r="R133" s="11">
        <f>IFERROR(__xludf.DUMMYFUNCTION("""COMPUTED_VALUE"""),1.0)</f>
        <v>1</v>
      </c>
      <c r="S133" s="11" t="str">
        <f>IFERROR(__xludf.DUMMYFUNCTION("""COMPUTED_VALUE"""),"Inactive")</f>
        <v>Inactive</v>
      </c>
      <c r="T133" s="11" t="str">
        <f>IFERROR(__xludf.DUMMYFUNCTION("""COMPUTED_VALUE"""),"Discontinued mid-course")</f>
        <v>Discontinued mid-course</v>
      </c>
      <c r="U133" s="11" t="str">
        <f>IFERROR(__xludf.DUMMYFUNCTION("""COMPUTED_VALUE"""),"Nghỉ giữa chừng")</f>
        <v>Nghỉ giữa chừng</v>
      </c>
    </row>
    <row r="134">
      <c r="A134" s="11" t="str">
        <f>IFERROR(__xludf.DUMMYFUNCTION("""COMPUTED_VALUE"""),"EL013")</f>
        <v>EL013</v>
      </c>
      <c r="B134" s="11" t="str">
        <f>IFERROR(__xludf.DUMMYFUNCTION("""COMPUTED_VALUE"""),"Communication 2")</f>
        <v>Communication 2</v>
      </c>
      <c r="C134" s="11" t="str">
        <f>IFERROR(__xludf.DUMMYFUNCTION("""COMPUTED_VALUE"""),"213936")</f>
        <v>213936</v>
      </c>
      <c r="D134" s="11">
        <f>IFERROR(__xludf.DUMMYFUNCTION("""COMPUTED_VALUE"""),16.0)</f>
        <v>16</v>
      </c>
      <c r="E134" s="11">
        <f>IFERROR(VLOOKUP(B134,COURSE_PLAN!A:B,2,FALSE),"")</f>
        <v>16</v>
      </c>
      <c r="F134" s="11">
        <f t="shared" si="1"/>
        <v>1</v>
      </c>
      <c r="G134" s="11" t="str">
        <f>IFERROR(VLOOKUP(C134,STUDENTS!A:E,5,FALSE),"")</f>
        <v>Inactive</v>
      </c>
      <c r="H134" s="11" t="str">
        <f>IFERROR(VLOOKUP(C134,STUDENTS!A:M,13,FALSE),"")</f>
        <v>Discontinued mid-course</v>
      </c>
      <c r="I134" s="11" t="str">
        <f>IF(D134="","",IF(AND(VLOOKUP(C134,STUDENTS!$A:$R,17,FALSE)=A134,VLOOKUP(C134,STUDENTS!$A:$R,18,FALSE)=B134,G134="Active"),"Đang học",IF(F134&gt;=0.8,IF(G134="Active","Tiếp tục khóa sau",IF(G134="Waiting for class","Chờ lớp mới",IF(G134="Inactive",IF(IFERROR(H134,"")="Discontinued mid-course","Nghỉ giữa chừng","Hoàn thành rồi nghỉ luôn"),""))),IF(G134="Inactive","Nghỉ giữa chừng","Đang học"))))</f>
        <v>Nghỉ giữa chừng</v>
      </c>
      <c r="M134" s="11" t="str">
        <f>IFERROR(__xludf.DUMMYFUNCTION("""COMPUTED_VALUE"""),"EL034")</f>
        <v>EL034</v>
      </c>
      <c r="N134" s="11" t="str">
        <f>IFERROR(__xludf.DUMMYFUNCTION("""COMPUTED_VALUE"""),"Communication 2")</f>
        <v>Communication 2</v>
      </c>
      <c r="O134" s="11" t="str">
        <f>IFERROR(__xludf.DUMMYFUNCTION("""COMPUTED_VALUE"""),"247088")</f>
        <v>247088</v>
      </c>
      <c r="P134" s="11">
        <f>IFERROR(__xludf.DUMMYFUNCTION("""COMPUTED_VALUE"""),16.0)</f>
        <v>16</v>
      </c>
      <c r="Q134" s="11">
        <f>IFERROR(__xludf.DUMMYFUNCTION("""COMPUTED_VALUE"""),16.0)</f>
        <v>16</v>
      </c>
      <c r="R134" s="11">
        <f>IFERROR(__xludf.DUMMYFUNCTION("""COMPUTED_VALUE"""),1.0)</f>
        <v>1</v>
      </c>
      <c r="S134" s="11" t="str">
        <f>IFERROR(__xludf.DUMMYFUNCTION("""COMPUTED_VALUE"""),"Inactive")</f>
        <v>Inactive</v>
      </c>
      <c r="T134" s="11" t="str">
        <f>IFERROR(__xludf.DUMMYFUNCTION("""COMPUTED_VALUE"""),"Discontinued mid-course")</f>
        <v>Discontinued mid-course</v>
      </c>
      <c r="U134" s="11" t="str">
        <f>IFERROR(__xludf.DUMMYFUNCTION("""COMPUTED_VALUE"""),"Nghỉ giữa chừng")</f>
        <v>Nghỉ giữa chừng</v>
      </c>
    </row>
    <row r="135">
      <c r="A135" s="11" t="str">
        <f>IFERROR(__xludf.DUMMYFUNCTION("""COMPUTED_VALUE"""),"EL013")</f>
        <v>EL013</v>
      </c>
      <c r="B135" s="11" t="str">
        <f>IFERROR(__xludf.DUMMYFUNCTION("""COMPUTED_VALUE"""),"Communication 2")</f>
        <v>Communication 2</v>
      </c>
      <c r="C135" s="11" t="str">
        <f>IFERROR(__xludf.DUMMYFUNCTION("""COMPUTED_VALUE"""),"227244")</f>
        <v>227244</v>
      </c>
      <c r="D135" s="11">
        <f>IFERROR(__xludf.DUMMYFUNCTION("""COMPUTED_VALUE"""),16.0)</f>
        <v>16</v>
      </c>
      <c r="E135" s="11">
        <f>IFERROR(VLOOKUP(B135,COURSE_PLAN!A:B,2,FALSE),"")</f>
        <v>16</v>
      </c>
      <c r="F135" s="11">
        <f t="shared" si="1"/>
        <v>1</v>
      </c>
      <c r="G135" s="11" t="str">
        <f>IFERROR(VLOOKUP(C135,STUDENTS!A:E,5,FALSE),"")</f>
        <v>Active</v>
      </c>
      <c r="H135" s="11" t="str">
        <f>IFERROR(VLOOKUP(C135,STUDENTS!A:M,13,FALSE),"")</f>
        <v/>
      </c>
      <c r="I135" s="11" t="str">
        <f>IF(D135="","",IF(AND(VLOOKUP(C135,STUDENTS!$A:$R,17,FALSE)=A135,VLOOKUP(C135,STUDENTS!$A:$R,18,FALSE)=B135,G135="Active"),"Đang học",IF(F135&gt;=0.8,IF(G135="Active","Tiếp tục khóa sau",IF(G135="Waiting for class","Chờ lớp mới",IF(G135="Inactive",IF(IFERROR(H135,"")="Discontinued mid-course","Nghỉ giữa chừng","Hoàn thành rồi nghỉ luôn"),""))),IF(G135="Inactive","Nghỉ giữa chừng","Đang học"))))</f>
        <v>Tiếp tục khóa sau</v>
      </c>
      <c r="M135" s="11" t="str">
        <f>IFERROR(__xludf.DUMMYFUNCTION("""COMPUTED_VALUE"""),"EL035")</f>
        <v>EL035</v>
      </c>
      <c r="N135" s="11" t="str">
        <f>IFERROR(__xludf.DUMMYFUNCTION("""COMPUTED_VALUE"""),"Business English")</f>
        <v>Business English</v>
      </c>
      <c r="O135" s="11" t="str">
        <f>IFERROR(__xludf.DUMMYFUNCTION("""COMPUTED_VALUE"""),"213889")</f>
        <v>213889</v>
      </c>
      <c r="P135" s="11">
        <f>IFERROR(__xludf.DUMMYFUNCTION("""COMPUTED_VALUE"""),13.0)</f>
        <v>13</v>
      </c>
      <c r="Q135" s="11">
        <f>IFERROR(__xludf.DUMMYFUNCTION("""COMPUTED_VALUE"""),16.0)</f>
        <v>16</v>
      </c>
      <c r="R135" s="11">
        <f>IFERROR(__xludf.DUMMYFUNCTION("""COMPUTED_VALUE"""),0.8125)</f>
        <v>0.8125</v>
      </c>
      <c r="S135" s="11" t="str">
        <f>IFERROR(__xludf.DUMMYFUNCTION("""COMPUTED_VALUE"""),"Inactive")</f>
        <v>Inactive</v>
      </c>
      <c r="T135" s="11" t="str">
        <f>IFERROR(__xludf.DUMMYFUNCTION("""COMPUTED_VALUE"""),"Discontinued mid-course")</f>
        <v>Discontinued mid-course</v>
      </c>
      <c r="U135" s="11" t="str">
        <f>IFERROR(__xludf.DUMMYFUNCTION("""COMPUTED_VALUE"""),"Nghỉ giữa chừng")</f>
        <v>Nghỉ giữa chừng</v>
      </c>
    </row>
    <row r="136">
      <c r="A136" s="11" t="str">
        <f>IFERROR(__xludf.DUMMYFUNCTION("""COMPUTED_VALUE"""),"EL013")</f>
        <v>EL013</v>
      </c>
      <c r="B136" s="11" t="str">
        <f>IFERROR(__xludf.DUMMYFUNCTION("""COMPUTED_VALUE"""),"Communication 2")</f>
        <v>Communication 2</v>
      </c>
      <c r="C136" s="11" t="str">
        <f>IFERROR(__xludf.DUMMYFUNCTION("""COMPUTED_VALUE"""),"247234")</f>
        <v>247234</v>
      </c>
      <c r="D136" s="11">
        <f>IFERROR(__xludf.DUMMYFUNCTION("""COMPUTED_VALUE"""),16.0)</f>
        <v>16</v>
      </c>
      <c r="E136" s="11">
        <f>IFERROR(VLOOKUP(B136,COURSE_PLAN!A:B,2,FALSE),"")</f>
        <v>16</v>
      </c>
      <c r="F136" s="11">
        <f t="shared" si="1"/>
        <v>1</v>
      </c>
      <c r="G136" s="11" t="str">
        <f>IFERROR(VLOOKUP(C136,STUDENTS!A:E,5,FALSE),"")</f>
        <v>Active</v>
      </c>
      <c r="H136" s="11" t="str">
        <f>IFERROR(VLOOKUP(C136,STUDENTS!A:M,13,FALSE),"")</f>
        <v/>
      </c>
      <c r="I136" s="11" t="str">
        <f>IF(D136="","",IF(AND(VLOOKUP(C136,STUDENTS!$A:$R,17,FALSE)=A136,VLOOKUP(C136,STUDENTS!$A:$R,18,FALSE)=B136,G136="Active"),"Đang học",IF(F136&gt;=0.8,IF(G136="Active","Tiếp tục khóa sau",IF(G136="Waiting for class","Chờ lớp mới",IF(G136="Inactive",IF(IFERROR(H136,"")="Discontinued mid-course","Nghỉ giữa chừng","Hoàn thành rồi nghỉ luôn"),""))),IF(G136="Inactive","Nghỉ giữa chừng","Đang học"))))</f>
        <v>Tiếp tục khóa sau</v>
      </c>
      <c r="M136" s="11" t="str">
        <f>IFERROR(__xludf.DUMMYFUNCTION("""COMPUTED_VALUE"""),"EL035")</f>
        <v>EL035</v>
      </c>
      <c r="N136" s="11" t="str">
        <f>IFERROR(__xludf.DUMMYFUNCTION("""COMPUTED_VALUE"""),"Business English")</f>
        <v>Business English</v>
      </c>
      <c r="O136" s="11" t="str">
        <f>IFERROR(__xludf.DUMMYFUNCTION("""COMPUTED_VALUE"""),"237183")</f>
        <v>237183</v>
      </c>
      <c r="P136" s="11">
        <f>IFERROR(__xludf.DUMMYFUNCTION("""COMPUTED_VALUE"""),14.0)</f>
        <v>14</v>
      </c>
      <c r="Q136" s="11">
        <f>IFERROR(__xludf.DUMMYFUNCTION("""COMPUTED_VALUE"""),16.0)</f>
        <v>16</v>
      </c>
      <c r="R136" s="11">
        <f>IFERROR(__xludf.DUMMYFUNCTION("""COMPUTED_VALUE"""),0.875)</f>
        <v>0.875</v>
      </c>
      <c r="S136" s="11" t="str">
        <f>IFERROR(__xludf.DUMMYFUNCTION("""COMPUTED_VALUE"""),"Inactive")</f>
        <v>Inactive</v>
      </c>
      <c r="T136" s="11" t="str">
        <f>IFERROR(__xludf.DUMMYFUNCTION("""COMPUTED_VALUE"""),"Discontinued mid-course")</f>
        <v>Discontinued mid-course</v>
      </c>
      <c r="U136" s="11" t="str">
        <f>IFERROR(__xludf.DUMMYFUNCTION("""COMPUTED_VALUE"""),"Nghỉ giữa chừng")</f>
        <v>Nghỉ giữa chừng</v>
      </c>
    </row>
    <row r="137">
      <c r="A137" s="11" t="str">
        <f>IFERROR(__xludf.DUMMYFUNCTION("""COMPUTED_VALUE"""),"EL013")</f>
        <v>EL013</v>
      </c>
      <c r="B137" s="11" t="str">
        <f>IFERROR(__xludf.DUMMYFUNCTION("""COMPUTED_VALUE"""),"Communication 3")</f>
        <v>Communication 3</v>
      </c>
      <c r="C137" s="11" t="str">
        <f>IFERROR(__xludf.DUMMYFUNCTION("""COMPUTED_VALUE"""),"183422")</f>
        <v>183422</v>
      </c>
      <c r="D137" s="11">
        <f>IFERROR(__xludf.DUMMYFUNCTION("""COMPUTED_VALUE"""),8.0)</f>
        <v>8</v>
      </c>
      <c r="E137" s="11">
        <f>IFERROR(VLOOKUP(B137,COURSE_PLAN!A:B,2,FALSE),"")</f>
        <v>16</v>
      </c>
      <c r="F137" s="11">
        <f t="shared" si="1"/>
        <v>0.5</v>
      </c>
      <c r="G137" s="11" t="str">
        <f>IFERROR(VLOOKUP(C137,STUDENTS!A:E,5,FALSE),"")</f>
        <v>Active</v>
      </c>
      <c r="H137" s="11" t="str">
        <f>IFERROR(VLOOKUP(C137,STUDENTS!A:M,13,FALSE),"")</f>
        <v/>
      </c>
      <c r="I137" s="11" t="str">
        <f>IF(D137="","",IF(AND(VLOOKUP(C137,STUDENTS!$A:$R,17,FALSE)=A137,VLOOKUP(C137,STUDENTS!$A:$R,18,FALSE)=B137,G137="Active"),"Đang học",IF(F137&gt;=0.8,IF(G137="Active","Tiếp tục khóa sau",IF(G137="Waiting for class","Chờ lớp mới",IF(G137="Inactive",IF(IFERROR(H137,"")="Discontinued mid-course","Nghỉ giữa chừng","Hoàn thành rồi nghỉ luôn"),""))),IF(G137="Inactive","Nghỉ giữa chừng","Đang học"))))</f>
        <v>Đang học</v>
      </c>
      <c r="M137" s="11" t="str">
        <f>IFERROR(__xludf.DUMMYFUNCTION("""COMPUTED_VALUE"""),"EL035")</f>
        <v>EL035</v>
      </c>
      <c r="N137" s="11" t="str">
        <f>IFERROR(__xludf.DUMMYFUNCTION("""COMPUTED_VALUE"""),"Communication 1")</f>
        <v>Communication 1</v>
      </c>
      <c r="O137" s="11" t="str">
        <f>IFERROR(__xludf.DUMMYFUNCTION("""COMPUTED_VALUE"""),"213863")</f>
        <v>213863</v>
      </c>
      <c r="P137" s="11">
        <f>IFERROR(__xludf.DUMMYFUNCTION("""COMPUTED_VALUE"""),10.0)</f>
        <v>10</v>
      </c>
      <c r="Q137" s="11">
        <f>IFERROR(__xludf.DUMMYFUNCTION("""COMPUTED_VALUE"""),10.0)</f>
        <v>10</v>
      </c>
      <c r="R137" s="11">
        <f>IFERROR(__xludf.DUMMYFUNCTION("""COMPUTED_VALUE"""),1.0)</f>
        <v>1</v>
      </c>
      <c r="S137" s="11" t="str">
        <f>IFERROR(__xludf.DUMMYFUNCTION("""COMPUTED_VALUE"""),"Inactive")</f>
        <v>Inactive</v>
      </c>
      <c r="T137" s="11" t="str">
        <f>IFERROR(__xludf.DUMMYFUNCTION("""COMPUTED_VALUE"""),"Discontinued mid-course")</f>
        <v>Discontinued mid-course</v>
      </c>
      <c r="U137" s="11" t="str">
        <f>IFERROR(__xludf.DUMMYFUNCTION("""COMPUTED_VALUE"""),"Nghỉ giữa chừng")</f>
        <v>Nghỉ giữa chừng</v>
      </c>
    </row>
    <row r="138">
      <c r="A138" s="11" t="str">
        <f>IFERROR(__xludf.DUMMYFUNCTION("""COMPUTED_VALUE"""),"EL013")</f>
        <v>EL013</v>
      </c>
      <c r="B138" s="11" t="str">
        <f>IFERROR(__xludf.DUMMYFUNCTION("""COMPUTED_VALUE"""),"Communication 3")</f>
        <v>Communication 3</v>
      </c>
      <c r="C138" s="11" t="str">
        <f>IFERROR(__xludf.DUMMYFUNCTION("""COMPUTED_VALUE"""),"183427")</f>
        <v>183427</v>
      </c>
      <c r="D138" s="11">
        <f>IFERROR(__xludf.DUMMYFUNCTION("""COMPUTED_VALUE"""),8.0)</f>
        <v>8</v>
      </c>
      <c r="E138" s="11">
        <f>IFERROR(VLOOKUP(B138,COURSE_PLAN!A:B,2,FALSE),"")</f>
        <v>16</v>
      </c>
      <c r="F138" s="11">
        <f t="shared" si="1"/>
        <v>0.5</v>
      </c>
      <c r="G138" s="11" t="str">
        <f>IFERROR(VLOOKUP(C138,STUDENTS!A:E,5,FALSE),"")</f>
        <v>Active</v>
      </c>
      <c r="H138" s="11" t="str">
        <f>IFERROR(VLOOKUP(C138,STUDENTS!A:M,13,FALSE),"")</f>
        <v/>
      </c>
      <c r="I138" s="11" t="str">
        <f>IF(D138="","",IF(AND(VLOOKUP(C138,STUDENTS!$A:$R,17,FALSE)=A138,VLOOKUP(C138,STUDENTS!$A:$R,18,FALSE)=B138,G138="Active"),"Đang học",IF(F138&gt;=0.8,IF(G138="Active","Tiếp tục khóa sau",IF(G138="Waiting for class","Chờ lớp mới",IF(G138="Inactive",IF(IFERROR(H138,"")="Discontinued mid-course","Nghỉ giữa chừng","Hoàn thành rồi nghỉ luôn"),""))),IF(G138="Inactive","Nghỉ giữa chừng","Đang học"))))</f>
        <v>Đang học</v>
      </c>
      <c r="M138" s="11" t="str">
        <f>IFERROR(__xludf.DUMMYFUNCTION("""COMPUTED_VALUE"""),"EL035")</f>
        <v>EL035</v>
      </c>
      <c r="N138" s="11" t="str">
        <f>IFERROR(__xludf.DUMMYFUNCTION("""COMPUTED_VALUE"""),"Communication 1")</f>
        <v>Communication 1</v>
      </c>
      <c r="O138" s="11" t="str">
        <f>IFERROR(__xludf.DUMMYFUNCTION("""COMPUTED_VALUE"""),"213898")</f>
        <v>213898</v>
      </c>
      <c r="P138" s="11">
        <f>IFERROR(__xludf.DUMMYFUNCTION("""COMPUTED_VALUE"""),10.0)</f>
        <v>10</v>
      </c>
      <c r="Q138" s="11">
        <f>IFERROR(__xludf.DUMMYFUNCTION("""COMPUTED_VALUE"""),10.0)</f>
        <v>10</v>
      </c>
      <c r="R138" s="11">
        <f>IFERROR(__xludf.DUMMYFUNCTION("""COMPUTED_VALUE"""),1.0)</f>
        <v>1</v>
      </c>
      <c r="S138" s="11" t="str">
        <f>IFERROR(__xludf.DUMMYFUNCTION("""COMPUTED_VALUE"""),"Inactive")</f>
        <v>Inactive</v>
      </c>
      <c r="T138" s="11" t="str">
        <f>IFERROR(__xludf.DUMMYFUNCTION("""COMPUTED_VALUE"""),"Discontinued mid-course")</f>
        <v>Discontinued mid-course</v>
      </c>
      <c r="U138" s="11" t="str">
        <f>IFERROR(__xludf.DUMMYFUNCTION("""COMPUTED_VALUE"""),"Nghỉ giữa chừng")</f>
        <v>Nghỉ giữa chừng</v>
      </c>
    </row>
    <row r="139">
      <c r="A139" s="11" t="str">
        <f>IFERROR(__xludf.DUMMYFUNCTION("""COMPUTED_VALUE"""),"EL013")</f>
        <v>EL013</v>
      </c>
      <c r="B139" s="11" t="str">
        <f>IFERROR(__xludf.DUMMYFUNCTION("""COMPUTED_VALUE"""),"Communication 3")</f>
        <v>Communication 3</v>
      </c>
      <c r="C139" s="11" t="str">
        <f>IFERROR(__xludf.DUMMYFUNCTION("""COMPUTED_VALUE"""),"193516")</f>
        <v>193516</v>
      </c>
      <c r="D139" s="11">
        <f>IFERROR(__xludf.DUMMYFUNCTION("""COMPUTED_VALUE"""),8.0)</f>
        <v>8</v>
      </c>
      <c r="E139" s="11">
        <f>IFERROR(VLOOKUP(B139,COURSE_PLAN!A:B,2,FALSE),"")</f>
        <v>16</v>
      </c>
      <c r="F139" s="11">
        <f t="shared" si="1"/>
        <v>0.5</v>
      </c>
      <c r="G139" s="11" t="str">
        <f>IFERROR(VLOOKUP(C139,STUDENTS!A:E,5,FALSE),"")</f>
        <v>Active</v>
      </c>
      <c r="H139" s="11" t="str">
        <f>IFERROR(VLOOKUP(C139,STUDENTS!A:M,13,FALSE),"")</f>
        <v/>
      </c>
      <c r="I139" s="11" t="str">
        <f>IF(D139="","",IF(AND(VLOOKUP(C139,STUDENTS!$A:$R,17,FALSE)=A139,VLOOKUP(C139,STUDENTS!$A:$R,18,FALSE)=B139,G139="Active"),"Đang học",IF(F139&gt;=0.8,IF(G139="Active","Tiếp tục khóa sau",IF(G139="Waiting for class","Chờ lớp mới",IF(G139="Inactive",IF(IFERROR(H139,"")="Discontinued mid-course","Nghỉ giữa chừng","Hoàn thành rồi nghỉ luôn"),""))),IF(G139="Inactive","Nghỉ giữa chừng","Đang học"))))</f>
        <v>Đang học</v>
      </c>
      <c r="M139" s="11" t="str">
        <f>IFERROR(__xludf.DUMMYFUNCTION("""COMPUTED_VALUE"""),"EL035")</f>
        <v>EL035</v>
      </c>
      <c r="N139" s="11" t="str">
        <f>IFERROR(__xludf.DUMMYFUNCTION("""COMPUTED_VALUE"""),"Communication 1")</f>
        <v>Communication 1</v>
      </c>
      <c r="O139" s="11" t="str">
        <f>IFERROR(__xludf.DUMMYFUNCTION("""COMPUTED_VALUE"""),"227104")</f>
        <v>227104</v>
      </c>
      <c r="P139" s="11">
        <f>IFERROR(__xludf.DUMMYFUNCTION("""COMPUTED_VALUE"""),10.0)</f>
        <v>10</v>
      </c>
      <c r="Q139" s="11">
        <f>IFERROR(__xludf.DUMMYFUNCTION("""COMPUTED_VALUE"""),10.0)</f>
        <v>10</v>
      </c>
      <c r="R139" s="11">
        <f>IFERROR(__xludf.DUMMYFUNCTION("""COMPUTED_VALUE"""),1.0)</f>
        <v>1</v>
      </c>
      <c r="S139" s="11" t="str">
        <f>IFERROR(__xludf.DUMMYFUNCTION("""COMPUTED_VALUE"""),"Inactive")</f>
        <v>Inactive</v>
      </c>
      <c r="T139" s="11" t="str">
        <f>IFERROR(__xludf.DUMMYFUNCTION("""COMPUTED_VALUE"""),"Discontinued mid-course")</f>
        <v>Discontinued mid-course</v>
      </c>
      <c r="U139" s="11" t="str">
        <f>IFERROR(__xludf.DUMMYFUNCTION("""COMPUTED_VALUE"""),"Nghỉ giữa chừng")</f>
        <v>Nghỉ giữa chừng</v>
      </c>
    </row>
    <row r="140">
      <c r="A140" s="11" t="str">
        <f>IFERROR(__xludf.DUMMYFUNCTION("""COMPUTED_VALUE"""),"EL013")</f>
        <v>EL013</v>
      </c>
      <c r="B140" s="11" t="str">
        <f>IFERROR(__xludf.DUMMYFUNCTION("""COMPUTED_VALUE"""),"Communication 3")</f>
        <v>Communication 3</v>
      </c>
      <c r="C140" s="11" t="str">
        <f>IFERROR(__xludf.DUMMYFUNCTION("""COMPUTED_VALUE"""),"213893")</f>
        <v>213893</v>
      </c>
      <c r="D140" s="11">
        <f>IFERROR(__xludf.DUMMYFUNCTION("""COMPUTED_VALUE"""),8.0)</f>
        <v>8</v>
      </c>
      <c r="E140" s="11">
        <f>IFERROR(VLOOKUP(B140,COURSE_PLAN!A:B,2,FALSE),"")</f>
        <v>16</v>
      </c>
      <c r="F140" s="11">
        <f t="shared" si="1"/>
        <v>0.5</v>
      </c>
      <c r="G140" s="11" t="str">
        <f>IFERROR(VLOOKUP(C140,STUDENTS!A:E,5,FALSE),"")</f>
        <v>Active</v>
      </c>
      <c r="H140" s="11" t="str">
        <f>IFERROR(VLOOKUP(C140,STUDENTS!A:M,13,FALSE),"")</f>
        <v/>
      </c>
      <c r="I140" s="11" t="str">
        <f>IF(D140="","",IF(AND(VLOOKUP(C140,STUDENTS!$A:$R,17,FALSE)=A140,VLOOKUP(C140,STUDENTS!$A:$R,18,FALSE)=B140,G140="Active"),"Đang học",IF(F140&gt;=0.8,IF(G140="Active","Tiếp tục khóa sau",IF(G140="Waiting for class","Chờ lớp mới",IF(G140="Inactive",IF(IFERROR(H140,"")="Discontinued mid-course","Nghỉ giữa chừng","Hoàn thành rồi nghỉ luôn"),""))),IF(G140="Inactive","Nghỉ giữa chừng","Đang học"))))</f>
        <v>Đang học</v>
      </c>
      <c r="M140" s="11" t="str">
        <f>IFERROR(__xludf.DUMMYFUNCTION("""COMPUTED_VALUE"""),"EL035")</f>
        <v>EL035</v>
      </c>
      <c r="N140" s="11" t="str">
        <f>IFERROR(__xludf.DUMMYFUNCTION("""COMPUTED_VALUE"""),"Communication 1")</f>
        <v>Communication 1</v>
      </c>
      <c r="O140" s="11" t="str">
        <f>IFERROR(__xludf.DUMMYFUNCTION("""COMPUTED_VALUE"""),"237183")</f>
        <v>237183</v>
      </c>
      <c r="P140" s="11">
        <f>IFERROR(__xludf.DUMMYFUNCTION("""COMPUTED_VALUE"""),10.0)</f>
        <v>10</v>
      </c>
      <c r="Q140" s="11">
        <f>IFERROR(__xludf.DUMMYFUNCTION("""COMPUTED_VALUE"""),10.0)</f>
        <v>10</v>
      </c>
      <c r="R140" s="11">
        <f>IFERROR(__xludf.DUMMYFUNCTION("""COMPUTED_VALUE"""),1.0)</f>
        <v>1</v>
      </c>
      <c r="S140" s="11" t="str">
        <f>IFERROR(__xludf.DUMMYFUNCTION("""COMPUTED_VALUE"""),"Inactive")</f>
        <v>Inactive</v>
      </c>
      <c r="T140" s="11" t="str">
        <f>IFERROR(__xludf.DUMMYFUNCTION("""COMPUTED_VALUE"""),"Discontinued mid-course")</f>
        <v>Discontinued mid-course</v>
      </c>
      <c r="U140" s="11" t="str">
        <f>IFERROR(__xludf.DUMMYFUNCTION("""COMPUTED_VALUE"""),"Nghỉ giữa chừng")</f>
        <v>Nghỉ giữa chừng</v>
      </c>
    </row>
    <row r="141">
      <c r="A141" s="11" t="str">
        <f>IFERROR(__xludf.DUMMYFUNCTION("""COMPUTED_VALUE"""),"EL013")</f>
        <v>EL013</v>
      </c>
      <c r="B141" s="11" t="str">
        <f>IFERROR(__xludf.DUMMYFUNCTION("""COMPUTED_VALUE"""),"Communication 3")</f>
        <v>Communication 3</v>
      </c>
      <c r="C141" s="11" t="str">
        <f>IFERROR(__xludf.DUMMYFUNCTION("""COMPUTED_VALUE"""),"227244")</f>
        <v>227244</v>
      </c>
      <c r="D141" s="11">
        <f>IFERROR(__xludf.DUMMYFUNCTION("""COMPUTED_VALUE"""),7.0)</f>
        <v>7</v>
      </c>
      <c r="E141" s="11">
        <f>IFERROR(VLOOKUP(B141,COURSE_PLAN!A:B,2,FALSE),"")</f>
        <v>16</v>
      </c>
      <c r="F141" s="11">
        <f t="shared" si="1"/>
        <v>0.4375</v>
      </c>
      <c r="G141" s="11" t="str">
        <f>IFERROR(VLOOKUP(C141,STUDENTS!A:E,5,FALSE),"")</f>
        <v>Active</v>
      </c>
      <c r="H141" s="11" t="str">
        <f>IFERROR(VLOOKUP(C141,STUDENTS!A:M,13,FALSE),"")</f>
        <v/>
      </c>
      <c r="I141" s="11" t="str">
        <f>IF(D141="","",IF(AND(VLOOKUP(C141,STUDENTS!$A:$R,17,FALSE)=A141,VLOOKUP(C141,STUDENTS!$A:$R,18,FALSE)=B141,G141="Active"),"Đang học",IF(F141&gt;=0.8,IF(G141="Active","Tiếp tục khóa sau",IF(G141="Waiting for class","Chờ lớp mới",IF(G141="Inactive",IF(IFERROR(H141,"")="Discontinued mid-course","Nghỉ giữa chừng","Hoàn thành rồi nghỉ luôn"),""))),IF(G141="Inactive","Nghỉ giữa chừng","Đang học"))))</f>
        <v>Đang học</v>
      </c>
      <c r="M141" s="11" t="str">
        <f>IFERROR(__xludf.DUMMYFUNCTION("""COMPUTED_VALUE"""),"EL035")</f>
        <v>EL035</v>
      </c>
      <c r="N141" s="11" t="str">
        <f>IFERROR(__xludf.DUMMYFUNCTION("""COMPUTED_VALUE"""),"Communication 2")</f>
        <v>Communication 2</v>
      </c>
      <c r="O141" s="11" t="str">
        <f>IFERROR(__xludf.DUMMYFUNCTION("""COMPUTED_VALUE"""),"213863")</f>
        <v>213863</v>
      </c>
      <c r="P141" s="11">
        <f>IFERROR(__xludf.DUMMYFUNCTION("""COMPUTED_VALUE"""),14.0)</f>
        <v>14</v>
      </c>
      <c r="Q141" s="11">
        <f>IFERROR(__xludf.DUMMYFUNCTION("""COMPUTED_VALUE"""),16.0)</f>
        <v>16</v>
      </c>
      <c r="R141" s="11">
        <f>IFERROR(__xludf.DUMMYFUNCTION("""COMPUTED_VALUE"""),0.875)</f>
        <v>0.875</v>
      </c>
      <c r="S141" s="11" t="str">
        <f>IFERROR(__xludf.DUMMYFUNCTION("""COMPUTED_VALUE"""),"Inactive")</f>
        <v>Inactive</v>
      </c>
      <c r="T141" s="11" t="str">
        <f>IFERROR(__xludf.DUMMYFUNCTION("""COMPUTED_VALUE"""),"Discontinued mid-course")</f>
        <v>Discontinued mid-course</v>
      </c>
      <c r="U141" s="11" t="str">
        <f>IFERROR(__xludf.DUMMYFUNCTION("""COMPUTED_VALUE"""),"Nghỉ giữa chừng")</f>
        <v>Nghỉ giữa chừng</v>
      </c>
    </row>
    <row r="142">
      <c r="A142" s="11" t="str">
        <f>IFERROR(__xludf.DUMMYFUNCTION("""COMPUTED_VALUE"""),"EL013")</f>
        <v>EL013</v>
      </c>
      <c r="B142" s="11" t="str">
        <f>IFERROR(__xludf.DUMMYFUNCTION("""COMPUTED_VALUE"""),"Communication 3")</f>
        <v>Communication 3</v>
      </c>
      <c r="C142" s="11" t="str">
        <f>IFERROR(__xludf.DUMMYFUNCTION("""COMPUTED_VALUE"""),"247234")</f>
        <v>247234</v>
      </c>
      <c r="D142" s="11">
        <f>IFERROR(__xludf.DUMMYFUNCTION("""COMPUTED_VALUE"""),9.0)</f>
        <v>9</v>
      </c>
      <c r="E142" s="11">
        <f>IFERROR(VLOOKUP(B142,COURSE_PLAN!A:B,2,FALSE),"")</f>
        <v>16</v>
      </c>
      <c r="F142" s="11">
        <f t="shared" si="1"/>
        <v>0.5625</v>
      </c>
      <c r="G142" s="11" t="str">
        <f>IFERROR(VLOOKUP(C142,STUDENTS!A:E,5,FALSE),"")</f>
        <v>Active</v>
      </c>
      <c r="H142" s="11" t="str">
        <f>IFERROR(VLOOKUP(C142,STUDENTS!A:M,13,FALSE),"")</f>
        <v/>
      </c>
      <c r="I142" s="11" t="str">
        <f>IF(D142="","",IF(AND(VLOOKUP(C142,STUDENTS!$A:$R,17,FALSE)=A142,VLOOKUP(C142,STUDENTS!$A:$R,18,FALSE)=B142,G142="Active"),"Đang học",IF(F142&gt;=0.8,IF(G142="Active","Tiếp tục khóa sau",IF(G142="Waiting for class","Chờ lớp mới",IF(G142="Inactive",IF(IFERROR(H142,"")="Discontinued mid-course","Nghỉ giữa chừng","Hoàn thành rồi nghỉ luôn"),""))),IF(G142="Inactive","Nghỉ giữa chừng","Đang học"))))</f>
        <v>Đang học</v>
      </c>
      <c r="M142" s="11" t="str">
        <f>IFERROR(__xludf.DUMMYFUNCTION("""COMPUTED_VALUE"""),"EL035")</f>
        <v>EL035</v>
      </c>
      <c r="N142" s="11" t="str">
        <f>IFERROR(__xludf.DUMMYFUNCTION("""COMPUTED_VALUE"""),"Communication 2")</f>
        <v>Communication 2</v>
      </c>
      <c r="O142" s="11" t="str">
        <f>IFERROR(__xludf.DUMMYFUNCTION("""COMPUTED_VALUE"""),"213898")</f>
        <v>213898</v>
      </c>
      <c r="P142" s="11">
        <f>IFERROR(__xludf.DUMMYFUNCTION("""COMPUTED_VALUE"""),16.0)</f>
        <v>16</v>
      </c>
      <c r="Q142" s="11">
        <f>IFERROR(__xludf.DUMMYFUNCTION("""COMPUTED_VALUE"""),16.0)</f>
        <v>16</v>
      </c>
      <c r="R142" s="11">
        <f>IFERROR(__xludf.DUMMYFUNCTION("""COMPUTED_VALUE"""),1.0)</f>
        <v>1</v>
      </c>
      <c r="S142" s="11" t="str">
        <f>IFERROR(__xludf.DUMMYFUNCTION("""COMPUTED_VALUE"""),"Inactive")</f>
        <v>Inactive</v>
      </c>
      <c r="T142" s="11" t="str">
        <f>IFERROR(__xludf.DUMMYFUNCTION("""COMPUTED_VALUE"""),"Discontinued mid-course")</f>
        <v>Discontinued mid-course</v>
      </c>
      <c r="U142" s="11" t="str">
        <f>IFERROR(__xludf.DUMMYFUNCTION("""COMPUTED_VALUE"""),"Nghỉ giữa chừng")</f>
        <v>Nghỉ giữa chừng</v>
      </c>
    </row>
    <row r="143">
      <c r="A143" s="11" t="str">
        <f>IFERROR(__xludf.DUMMYFUNCTION("""COMPUTED_VALUE"""),"EL014")</f>
        <v>EL014</v>
      </c>
      <c r="B143" s="11" t="str">
        <f>IFERROR(__xludf.DUMMYFUNCTION("""COMPUTED_VALUE"""),"Communication 1")</f>
        <v>Communication 1</v>
      </c>
      <c r="C143" s="11" t="str">
        <f>IFERROR(__xludf.DUMMYFUNCTION("""COMPUTED_VALUE"""),"193443")</f>
        <v>193443</v>
      </c>
      <c r="D143" s="11">
        <f>IFERROR(__xludf.DUMMYFUNCTION("""COMPUTED_VALUE"""),10.0)</f>
        <v>10</v>
      </c>
      <c r="E143" s="11">
        <f>IFERROR(VLOOKUP(B143,COURSE_PLAN!A:B,2,FALSE),"")</f>
        <v>10</v>
      </c>
      <c r="F143" s="11">
        <f t="shared" si="1"/>
        <v>1</v>
      </c>
      <c r="G143" s="11" t="str">
        <f>IFERROR(VLOOKUP(C143,STUDENTS!A:E,5,FALSE),"")</f>
        <v>Inactive</v>
      </c>
      <c r="H143" s="11" t="str">
        <f>IFERROR(VLOOKUP(C143,STUDENTS!A:M,13,FALSE),"")</f>
        <v>Completed (no continuation)</v>
      </c>
      <c r="I143" s="11" t="str">
        <f>IF(D143="","",IF(AND(VLOOKUP(C143,STUDENTS!$A:$R,17,FALSE)=A143,VLOOKUP(C143,STUDENTS!$A:$R,18,FALSE)=B143,G143="Active"),"Đang học",IF(F143&gt;=0.8,IF(G143="Active","Tiếp tục khóa sau",IF(G143="Waiting for class","Chờ lớp mới",IF(G143="Inactive",IF(IFERROR(H143,"")="Discontinued mid-course","Nghỉ giữa chừng","Hoàn thành rồi nghỉ luôn"),""))),IF(G143="Inactive","Nghỉ giữa chừng","Đang học"))))</f>
        <v>Hoàn thành rồi nghỉ luôn</v>
      </c>
      <c r="M143" s="11" t="str">
        <f>IFERROR(__xludf.DUMMYFUNCTION("""COMPUTED_VALUE"""),"EL035")</f>
        <v>EL035</v>
      </c>
      <c r="N143" s="11" t="str">
        <f>IFERROR(__xludf.DUMMYFUNCTION("""COMPUTED_VALUE"""),"Communication 2")</f>
        <v>Communication 2</v>
      </c>
      <c r="O143" s="11" t="str">
        <f>IFERROR(__xludf.DUMMYFUNCTION("""COMPUTED_VALUE"""),"227104")</f>
        <v>227104</v>
      </c>
      <c r="P143" s="11">
        <f>IFERROR(__xludf.DUMMYFUNCTION("""COMPUTED_VALUE"""),15.0)</f>
        <v>15</v>
      </c>
      <c r="Q143" s="11">
        <f>IFERROR(__xludf.DUMMYFUNCTION("""COMPUTED_VALUE"""),16.0)</f>
        <v>16</v>
      </c>
      <c r="R143" s="11">
        <f>IFERROR(__xludf.DUMMYFUNCTION("""COMPUTED_VALUE"""),0.9375)</f>
        <v>0.9375</v>
      </c>
      <c r="S143" s="11" t="str">
        <f>IFERROR(__xludf.DUMMYFUNCTION("""COMPUTED_VALUE"""),"Inactive")</f>
        <v>Inactive</v>
      </c>
      <c r="T143" s="11" t="str">
        <f>IFERROR(__xludf.DUMMYFUNCTION("""COMPUTED_VALUE"""),"Discontinued mid-course")</f>
        <v>Discontinued mid-course</v>
      </c>
      <c r="U143" s="11" t="str">
        <f>IFERROR(__xludf.DUMMYFUNCTION("""COMPUTED_VALUE"""),"Nghỉ giữa chừng")</f>
        <v>Nghỉ giữa chừng</v>
      </c>
    </row>
    <row r="144">
      <c r="A144" s="11" t="str">
        <f>IFERROR(__xludf.DUMMYFUNCTION("""COMPUTED_VALUE"""),"EL014")</f>
        <v>EL014</v>
      </c>
      <c r="B144" s="11" t="str">
        <f>IFERROR(__xludf.DUMMYFUNCTION("""COMPUTED_VALUE"""),"Communication 1")</f>
        <v>Communication 1</v>
      </c>
      <c r="C144" s="11" t="str">
        <f>IFERROR(__xludf.DUMMYFUNCTION("""COMPUTED_VALUE"""),"193451")</f>
        <v>193451</v>
      </c>
      <c r="D144" s="11">
        <f>IFERROR(__xludf.DUMMYFUNCTION("""COMPUTED_VALUE"""),10.0)</f>
        <v>10</v>
      </c>
      <c r="E144" s="11">
        <f>IFERROR(VLOOKUP(B144,COURSE_PLAN!A:B,2,FALSE),"")</f>
        <v>10</v>
      </c>
      <c r="F144" s="11">
        <f t="shared" si="1"/>
        <v>1</v>
      </c>
      <c r="G144" s="11" t="str">
        <f>IFERROR(VLOOKUP(C144,STUDENTS!A:E,5,FALSE),"")</f>
        <v>Inactive</v>
      </c>
      <c r="H144" s="11" t="str">
        <f>IFERROR(VLOOKUP(C144,STUDENTS!A:M,13,FALSE),"")</f>
        <v>Completed (no continuation)</v>
      </c>
      <c r="I144" s="11" t="str">
        <f>IF(D144="","",IF(AND(VLOOKUP(C144,STUDENTS!$A:$R,17,FALSE)=A144,VLOOKUP(C144,STUDENTS!$A:$R,18,FALSE)=B144,G144="Active"),"Đang học",IF(F144&gt;=0.8,IF(G144="Active","Tiếp tục khóa sau",IF(G144="Waiting for class","Chờ lớp mới",IF(G144="Inactive",IF(IFERROR(H144,"")="Discontinued mid-course","Nghỉ giữa chừng","Hoàn thành rồi nghỉ luôn"),""))),IF(G144="Inactive","Nghỉ giữa chừng","Đang học"))))</f>
        <v>Hoàn thành rồi nghỉ luôn</v>
      </c>
      <c r="M144" s="11" t="str">
        <f>IFERROR(__xludf.DUMMYFUNCTION("""COMPUTED_VALUE"""),"EL035")</f>
        <v>EL035</v>
      </c>
      <c r="N144" s="11" t="str">
        <f>IFERROR(__xludf.DUMMYFUNCTION("""COMPUTED_VALUE"""),"Communication 2")</f>
        <v>Communication 2</v>
      </c>
      <c r="O144" s="11" t="str">
        <f>IFERROR(__xludf.DUMMYFUNCTION("""COMPUTED_VALUE"""),"237183")</f>
        <v>237183</v>
      </c>
      <c r="P144" s="11">
        <f>IFERROR(__xludf.DUMMYFUNCTION("""COMPUTED_VALUE"""),16.0)</f>
        <v>16</v>
      </c>
      <c r="Q144" s="11">
        <f>IFERROR(__xludf.DUMMYFUNCTION("""COMPUTED_VALUE"""),16.0)</f>
        <v>16</v>
      </c>
      <c r="R144" s="11">
        <f>IFERROR(__xludf.DUMMYFUNCTION("""COMPUTED_VALUE"""),1.0)</f>
        <v>1</v>
      </c>
      <c r="S144" s="11" t="str">
        <f>IFERROR(__xludf.DUMMYFUNCTION("""COMPUTED_VALUE"""),"Inactive")</f>
        <v>Inactive</v>
      </c>
      <c r="T144" s="11" t="str">
        <f>IFERROR(__xludf.DUMMYFUNCTION("""COMPUTED_VALUE"""),"Discontinued mid-course")</f>
        <v>Discontinued mid-course</v>
      </c>
      <c r="U144" s="11" t="str">
        <f>IFERROR(__xludf.DUMMYFUNCTION("""COMPUTED_VALUE"""),"Nghỉ giữa chừng")</f>
        <v>Nghỉ giữa chừng</v>
      </c>
    </row>
    <row r="145">
      <c r="A145" s="11" t="str">
        <f>IFERROR(__xludf.DUMMYFUNCTION("""COMPUTED_VALUE"""),"EL014")</f>
        <v>EL014</v>
      </c>
      <c r="B145" s="11" t="str">
        <f>IFERROR(__xludf.DUMMYFUNCTION("""COMPUTED_VALUE"""),"Communication 1")</f>
        <v>Communication 1</v>
      </c>
      <c r="C145" s="11" t="str">
        <f>IFERROR(__xludf.DUMMYFUNCTION("""COMPUTED_VALUE"""),"193633")</f>
        <v>193633</v>
      </c>
      <c r="D145" s="11">
        <f>IFERROR(__xludf.DUMMYFUNCTION("""COMPUTED_VALUE"""),10.0)</f>
        <v>10</v>
      </c>
      <c r="E145" s="11">
        <f>IFERROR(VLOOKUP(B145,COURSE_PLAN!A:B,2,FALSE),"")</f>
        <v>10</v>
      </c>
      <c r="F145" s="11">
        <f t="shared" si="1"/>
        <v>1</v>
      </c>
      <c r="G145" s="11" t="str">
        <f>IFERROR(VLOOKUP(C145,STUDENTS!A:E,5,FALSE),"")</f>
        <v>Active</v>
      </c>
      <c r="H145" s="11" t="str">
        <f>IFERROR(VLOOKUP(C145,STUDENTS!A:M,13,FALSE),"")</f>
        <v/>
      </c>
      <c r="I145" s="11" t="str">
        <f>IF(D145="","",IF(AND(VLOOKUP(C145,STUDENTS!$A:$R,17,FALSE)=A145,VLOOKUP(C145,STUDENTS!$A:$R,18,FALSE)=B145,G145="Active"),"Đang học",IF(F145&gt;=0.8,IF(G145="Active","Tiếp tục khóa sau",IF(G145="Waiting for class","Chờ lớp mới",IF(G145="Inactive",IF(IFERROR(H145,"")="Discontinued mid-course","Nghỉ giữa chừng","Hoàn thành rồi nghỉ luôn"),""))),IF(G145="Inactive","Nghỉ giữa chừng","Đang học"))))</f>
        <v>Tiếp tục khóa sau</v>
      </c>
      <c r="M145" s="11" t="str">
        <f>IFERROR(__xludf.DUMMYFUNCTION("""COMPUTED_VALUE"""),"EL035")</f>
        <v>EL035</v>
      </c>
      <c r="N145" s="11" t="str">
        <f>IFERROR(__xludf.DUMMYFUNCTION("""COMPUTED_VALUE"""),"Communication 2")</f>
        <v>Communication 2</v>
      </c>
      <c r="O145" s="11" t="str">
        <f>IFERROR(__xludf.DUMMYFUNCTION("""COMPUTED_VALUE"""),"247098")</f>
        <v>247098</v>
      </c>
      <c r="P145" s="11">
        <f>IFERROR(__xludf.DUMMYFUNCTION("""COMPUTED_VALUE"""),10.0)</f>
        <v>10</v>
      </c>
      <c r="Q145" s="11">
        <f>IFERROR(__xludf.DUMMYFUNCTION("""COMPUTED_VALUE"""),16.0)</f>
        <v>16</v>
      </c>
      <c r="R145" s="11">
        <f>IFERROR(__xludf.DUMMYFUNCTION("""COMPUTED_VALUE"""),0.625)</f>
        <v>0.625</v>
      </c>
      <c r="S145" s="11" t="str">
        <f>IFERROR(__xludf.DUMMYFUNCTION("""COMPUTED_VALUE"""),"Inactive")</f>
        <v>Inactive</v>
      </c>
      <c r="T145" s="11" t="str">
        <f>IFERROR(__xludf.DUMMYFUNCTION("""COMPUTED_VALUE"""),"Completed (no continuation)")</f>
        <v>Completed (no continuation)</v>
      </c>
      <c r="U145" s="11" t="str">
        <f>IFERROR(__xludf.DUMMYFUNCTION("""COMPUTED_VALUE"""),"Nghỉ giữa chừng")</f>
        <v>Nghỉ giữa chừng</v>
      </c>
    </row>
    <row r="146">
      <c r="A146" s="11" t="str">
        <f>IFERROR(__xludf.DUMMYFUNCTION("""COMPUTED_VALUE"""),"EL014")</f>
        <v>EL014</v>
      </c>
      <c r="B146" s="11" t="str">
        <f>IFERROR(__xludf.DUMMYFUNCTION("""COMPUTED_VALUE"""),"Communication 1")</f>
        <v>Communication 1</v>
      </c>
      <c r="C146" s="11" t="str">
        <f>IFERROR(__xludf.DUMMYFUNCTION("""COMPUTED_VALUE"""),"213820")</f>
        <v>213820</v>
      </c>
      <c r="D146" s="11">
        <f>IFERROR(__xludf.DUMMYFUNCTION("""COMPUTED_VALUE"""),10.0)</f>
        <v>10</v>
      </c>
      <c r="E146" s="11">
        <f>IFERROR(VLOOKUP(B146,COURSE_PLAN!A:B,2,FALSE),"")</f>
        <v>10</v>
      </c>
      <c r="F146" s="11">
        <f t="shared" si="1"/>
        <v>1</v>
      </c>
      <c r="G146" s="11" t="str">
        <f>IFERROR(VLOOKUP(C146,STUDENTS!A:E,5,FALSE),"")</f>
        <v>Inactive</v>
      </c>
      <c r="H146" s="11" t="str">
        <f>IFERROR(VLOOKUP(C146,STUDENTS!A:M,13,FALSE),"")</f>
        <v>Completed (no continuation)</v>
      </c>
      <c r="I146" s="11" t="str">
        <f>IF(D146="","",IF(AND(VLOOKUP(C146,STUDENTS!$A:$R,17,FALSE)=A146,VLOOKUP(C146,STUDENTS!$A:$R,18,FALSE)=B146,G146="Active"),"Đang học",IF(F146&gt;=0.8,IF(G146="Active","Tiếp tục khóa sau",IF(G146="Waiting for class","Chờ lớp mới",IF(G146="Inactive",IF(IFERROR(H146,"")="Discontinued mid-course","Nghỉ giữa chừng","Hoàn thành rồi nghỉ luôn"),""))),IF(G146="Inactive","Nghỉ giữa chừng","Đang học"))))</f>
        <v>Hoàn thành rồi nghỉ luôn</v>
      </c>
      <c r="M146" s="11" t="str">
        <f>IFERROR(__xludf.DUMMYFUNCTION("""COMPUTED_VALUE"""),"EL037")</f>
        <v>EL037</v>
      </c>
      <c r="N146" s="11" t="str">
        <f>IFERROR(__xludf.DUMMYFUNCTION("""COMPUTED_VALUE"""),"Communication 2")</f>
        <v>Communication 2</v>
      </c>
      <c r="O146" s="11" t="str">
        <f>IFERROR(__xludf.DUMMYFUNCTION("""COMPUTED_VALUE"""),"213975")</f>
        <v>213975</v>
      </c>
      <c r="P146" s="11">
        <f>IFERROR(__xludf.DUMMYFUNCTION("""COMPUTED_VALUE"""),2.0)</f>
        <v>2</v>
      </c>
      <c r="Q146" s="11">
        <f>IFERROR(__xludf.DUMMYFUNCTION("""COMPUTED_VALUE"""),16.0)</f>
        <v>16</v>
      </c>
      <c r="R146" s="11">
        <f>IFERROR(__xludf.DUMMYFUNCTION("""COMPUTED_VALUE"""),0.125)</f>
        <v>0.125</v>
      </c>
      <c r="S146" s="11" t="str">
        <f>IFERROR(__xludf.DUMMYFUNCTION("""COMPUTED_VALUE"""),"Inactive")</f>
        <v>Inactive</v>
      </c>
      <c r="T146" s="11" t="str">
        <f>IFERROR(__xludf.DUMMYFUNCTION("""COMPUTED_VALUE"""),"Completed (no continuation)")</f>
        <v>Completed (no continuation)</v>
      </c>
      <c r="U146" s="11" t="str">
        <f>IFERROR(__xludf.DUMMYFUNCTION("""COMPUTED_VALUE"""),"Nghỉ giữa chừng")</f>
        <v>Nghỉ giữa chừng</v>
      </c>
    </row>
    <row r="147">
      <c r="A147" s="11" t="str">
        <f>IFERROR(__xludf.DUMMYFUNCTION("""COMPUTED_VALUE"""),"EL014")</f>
        <v>EL014</v>
      </c>
      <c r="B147" s="11" t="str">
        <f>IFERROR(__xludf.DUMMYFUNCTION("""COMPUTED_VALUE"""),"Communication 1")</f>
        <v>Communication 1</v>
      </c>
      <c r="C147" s="11" t="str">
        <f>IFERROR(__xludf.DUMMYFUNCTION("""COMPUTED_VALUE"""),"213938")</f>
        <v>213938</v>
      </c>
      <c r="D147" s="11">
        <f>IFERROR(__xludf.DUMMYFUNCTION("""COMPUTED_VALUE"""),10.0)</f>
        <v>10</v>
      </c>
      <c r="E147" s="11">
        <f>IFERROR(VLOOKUP(B147,COURSE_PLAN!A:B,2,FALSE),"")</f>
        <v>10</v>
      </c>
      <c r="F147" s="11">
        <f t="shared" si="1"/>
        <v>1</v>
      </c>
      <c r="G147" s="11" t="str">
        <f>IFERROR(VLOOKUP(C147,STUDENTS!A:E,5,FALSE),"")</f>
        <v>Inactive</v>
      </c>
      <c r="H147" s="11" t="str">
        <f>IFERROR(VLOOKUP(C147,STUDENTS!A:M,13,FALSE),"")</f>
        <v>Completed (no continuation)</v>
      </c>
      <c r="I147" s="11" t="str">
        <f>IF(D147="","",IF(AND(VLOOKUP(C147,STUDENTS!$A:$R,17,FALSE)=A147,VLOOKUP(C147,STUDENTS!$A:$R,18,FALSE)=B147,G147="Active"),"Đang học",IF(F147&gt;=0.8,IF(G147="Active","Tiếp tục khóa sau",IF(G147="Waiting for class","Chờ lớp mới",IF(G147="Inactive",IF(IFERROR(H147,"")="Discontinued mid-course","Nghỉ giữa chừng","Hoàn thành rồi nghỉ luôn"),""))),IF(G147="Inactive","Nghỉ giữa chừng","Đang học"))))</f>
        <v>Hoàn thành rồi nghỉ luôn</v>
      </c>
      <c r="M147" s="11" t="str">
        <f>IFERROR(__xludf.DUMMYFUNCTION("""COMPUTED_VALUE"""),"EL038")</f>
        <v>EL038</v>
      </c>
      <c r="N147" s="11" t="str">
        <f>IFERROR(__xludf.DUMMYFUNCTION("""COMPUTED_VALUE"""),"Communication 1")</f>
        <v>Communication 1</v>
      </c>
      <c r="O147" s="11" t="str">
        <f>IFERROR(__xludf.DUMMYFUNCTION("""COMPUTED_VALUE"""),"247313")</f>
        <v>247313</v>
      </c>
      <c r="P147" s="11">
        <f>IFERROR(__xludf.DUMMYFUNCTION("""COMPUTED_VALUE"""),10.0)</f>
        <v>10</v>
      </c>
      <c r="Q147" s="11">
        <f>IFERROR(__xludf.DUMMYFUNCTION("""COMPUTED_VALUE"""),10.0)</f>
        <v>10</v>
      </c>
      <c r="R147" s="11">
        <f>IFERROR(__xludf.DUMMYFUNCTION("""COMPUTED_VALUE"""),1.0)</f>
        <v>1</v>
      </c>
      <c r="S147" s="11" t="str">
        <f>IFERROR(__xludf.DUMMYFUNCTION("""COMPUTED_VALUE"""),"Inactive")</f>
        <v>Inactive</v>
      </c>
      <c r="T147" s="11" t="str">
        <f>IFERROR(__xludf.DUMMYFUNCTION("""COMPUTED_VALUE"""),"Discontinued mid-course")</f>
        <v>Discontinued mid-course</v>
      </c>
      <c r="U147" s="11" t="str">
        <f>IFERROR(__xludf.DUMMYFUNCTION("""COMPUTED_VALUE"""),"Nghỉ giữa chừng")</f>
        <v>Nghỉ giữa chừng</v>
      </c>
    </row>
    <row r="148">
      <c r="A148" s="11" t="str">
        <f>IFERROR(__xludf.DUMMYFUNCTION("""COMPUTED_VALUE"""),"EL015")</f>
        <v>EL015</v>
      </c>
      <c r="B148" s="11" t="str">
        <f>IFERROR(__xludf.DUMMYFUNCTION("""COMPUTED_VALUE"""),"Communication 1")</f>
        <v>Communication 1</v>
      </c>
      <c r="C148" s="11" t="str">
        <f>IFERROR(__xludf.DUMMYFUNCTION("""COMPUTED_VALUE"""),"213856")</f>
        <v>213856</v>
      </c>
      <c r="D148" s="11">
        <f>IFERROR(__xludf.DUMMYFUNCTION("""COMPUTED_VALUE"""),10.0)</f>
        <v>10</v>
      </c>
      <c r="E148" s="11">
        <f>IFERROR(VLOOKUP(B148,COURSE_PLAN!A:B,2,FALSE),"")</f>
        <v>10</v>
      </c>
      <c r="F148" s="11">
        <f t="shared" si="1"/>
        <v>1</v>
      </c>
      <c r="G148" s="11" t="str">
        <f>IFERROR(VLOOKUP(C148,STUDENTS!A:E,5,FALSE),"")</f>
        <v>Active</v>
      </c>
      <c r="H148" s="11" t="str">
        <f>IFERROR(VLOOKUP(C148,STUDENTS!A:M,13,FALSE),"")</f>
        <v/>
      </c>
      <c r="I148" s="11" t="str">
        <f>IF(D148="","",IF(AND(VLOOKUP(C148,STUDENTS!$A:$R,17,FALSE)=A148,VLOOKUP(C148,STUDENTS!$A:$R,18,FALSE)=B148,G148="Active"),"Đang học",IF(F148&gt;=0.8,IF(G148="Active","Tiếp tục khóa sau",IF(G148="Waiting for class","Chờ lớp mới",IF(G148="Inactive",IF(IFERROR(H148,"")="Discontinued mid-course","Nghỉ giữa chừng","Hoàn thành rồi nghỉ luôn"),""))),IF(G148="Inactive","Nghỉ giữa chừng","Đang học"))))</f>
        <v>Tiếp tục khóa sau</v>
      </c>
      <c r="M148" s="11" t="str">
        <f>IFERROR(__xludf.DUMMYFUNCTION("""COMPUTED_VALUE"""),"EL038")</f>
        <v>EL038</v>
      </c>
      <c r="N148" s="11" t="str">
        <f>IFERROR(__xludf.DUMMYFUNCTION("""COMPUTED_VALUE"""),"Communication 2")</f>
        <v>Communication 2</v>
      </c>
      <c r="O148" s="11" t="str">
        <f>IFERROR(__xludf.DUMMYFUNCTION("""COMPUTED_VALUE"""),"213870")</f>
        <v>213870</v>
      </c>
      <c r="P148" s="11">
        <f>IFERROR(__xludf.DUMMYFUNCTION("""COMPUTED_VALUE"""),5.0)</f>
        <v>5</v>
      </c>
      <c r="Q148" s="11">
        <f>IFERROR(__xludf.DUMMYFUNCTION("""COMPUTED_VALUE"""),16.0)</f>
        <v>16</v>
      </c>
      <c r="R148" s="11">
        <f>IFERROR(__xludf.DUMMYFUNCTION("""COMPUTED_VALUE"""),0.3125)</f>
        <v>0.3125</v>
      </c>
      <c r="S148" s="11" t="str">
        <f>IFERROR(__xludf.DUMMYFUNCTION("""COMPUTED_VALUE"""),"Inactive")</f>
        <v>Inactive</v>
      </c>
      <c r="T148" s="11" t="str">
        <f>IFERROR(__xludf.DUMMYFUNCTION("""COMPUTED_VALUE"""),"Completed (no continuation)")</f>
        <v>Completed (no continuation)</v>
      </c>
      <c r="U148" s="11" t="str">
        <f>IFERROR(__xludf.DUMMYFUNCTION("""COMPUTED_VALUE"""),"Nghỉ giữa chừng")</f>
        <v>Nghỉ giữa chừng</v>
      </c>
    </row>
    <row r="149">
      <c r="A149" s="11" t="str">
        <f>IFERROR(__xludf.DUMMYFUNCTION("""COMPUTED_VALUE"""),"EL015")</f>
        <v>EL015</v>
      </c>
      <c r="B149" s="11" t="str">
        <f>IFERROR(__xludf.DUMMYFUNCTION("""COMPUTED_VALUE"""),"Communication 1")</f>
        <v>Communication 1</v>
      </c>
      <c r="C149" s="11" t="str">
        <f>IFERROR(__xludf.DUMMYFUNCTION("""COMPUTED_VALUE"""),"227130")</f>
        <v>227130</v>
      </c>
      <c r="D149" s="11">
        <f>IFERROR(__xludf.DUMMYFUNCTION("""COMPUTED_VALUE"""),10.0)</f>
        <v>10</v>
      </c>
      <c r="E149" s="11">
        <f>IFERROR(VLOOKUP(B149,COURSE_PLAN!A:B,2,FALSE),"")</f>
        <v>10</v>
      </c>
      <c r="F149" s="11">
        <f t="shared" si="1"/>
        <v>1</v>
      </c>
      <c r="G149" s="11" t="str">
        <f>IFERROR(VLOOKUP(C149,STUDENTS!A:E,5,FALSE),"")</f>
        <v>Inactive</v>
      </c>
      <c r="H149" s="11" t="str">
        <f>IFERROR(VLOOKUP(C149,STUDENTS!A:M,13,FALSE),"")</f>
        <v>Discontinued mid-course</v>
      </c>
      <c r="I149" s="11" t="str">
        <f>IF(D149="","",IF(AND(VLOOKUP(C149,STUDENTS!$A:$R,17,FALSE)=A149,VLOOKUP(C149,STUDENTS!$A:$R,18,FALSE)=B149,G149="Active"),"Đang học",IF(F149&gt;=0.8,IF(G149="Active","Tiếp tục khóa sau",IF(G149="Waiting for class","Chờ lớp mới",IF(G149="Inactive",IF(IFERROR(H149,"")="Discontinued mid-course","Nghỉ giữa chừng","Hoàn thành rồi nghỉ luôn"),""))),IF(G149="Inactive","Nghỉ giữa chừng","Đang học"))))</f>
        <v>Nghỉ giữa chừng</v>
      </c>
      <c r="M149" s="11" t="str">
        <f>IFERROR(__xludf.DUMMYFUNCTION("""COMPUTED_VALUE"""),"EL038")</f>
        <v>EL038</v>
      </c>
      <c r="N149" s="11" t="str">
        <f>IFERROR(__xludf.DUMMYFUNCTION("""COMPUTED_VALUE"""),"Communication 2")</f>
        <v>Communication 2</v>
      </c>
      <c r="O149" s="11" t="str">
        <f>IFERROR(__xludf.DUMMYFUNCTION("""COMPUTED_VALUE"""),"237110")</f>
        <v>237110</v>
      </c>
      <c r="P149" s="11">
        <f>IFERROR(__xludf.DUMMYFUNCTION("""COMPUTED_VALUE"""),5.0)</f>
        <v>5</v>
      </c>
      <c r="Q149" s="11">
        <f>IFERROR(__xludf.DUMMYFUNCTION("""COMPUTED_VALUE"""),16.0)</f>
        <v>16</v>
      </c>
      <c r="R149" s="11">
        <f>IFERROR(__xludf.DUMMYFUNCTION("""COMPUTED_VALUE"""),0.3125)</f>
        <v>0.3125</v>
      </c>
      <c r="S149" s="11" t="str">
        <f>IFERROR(__xludf.DUMMYFUNCTION("""COMPUTED_VALUE"""),"Inactive")</f>
        <v>Inactive</v>
      </c>
      <c r="T149" s="11" t="str">
        <f>IFERROR(__xludf.DUMMYFUNCTION("""COMPUTED_VALUE"""),"Completed (no continuation)")</f>
        <v>Completed (no continuation)</v>
      </c>
      <c r="U149" s="11" t="str">
        <f>IFERROR(__xludf.DUMMYFUNCTION("""COMPUTED_VALUE"""),"Nghỉ giữa chừng")</f>
        <v>Nghỉ giữa chừng</v>
      </c>
    </row>
    <row r="150">
      <c r="A150" s="11" t="str">
        <f>IFERROR(__xludf.DUMMYFUNCTION("""COMPUTED_VALUE"""),"EL015")</f>
        <v>EL015</v>
      </c>
      <c r="B150" s="11" t="str">
        <f>IFERROR(__xludf.DUMMYFUNCTION("""COMPUTED_VALUE"""),"Communication 1")</f>
        <v>Communication 1</v>
      </c>
      <c r="C150" s="11" t="str">
        <f>IFERROR(__xludf.DUMMYFUNCTION("""COMPUTED_VALUE"""),"227177")</f>
        <v>227177</v>
      </c>
      <c r="D150" s="11">
        <f>IFERROR(__xludf.DUMMYFUNCTION("""COMPUTED_VALUE"""),10.0)</f>
        <v>10</v>
      </c>
      <c r="E150" s="11">
        <f>IFERROR(VLOOKUP(B150,COURSE_PLAN!A:B,2,FALSE),"")</f>
        <v>10</v>
      </c>
      <c r="F150" s="11">
        <f t="shared" si="1"/>
        <v>1</v>
      </c>
      <c r="G150" s="11" t="str">
        <f>IFERROR(VLOOKUP(C150,STUDENTS!A:E,5,FALSE),"")</f>
        <v>Active</v>
      </c>
      <c r="H150" s="11" t="str">
        <f>IFERROR(VLOOKUP(C150,STUDENTS!A:M,13,FALSE),"")</f>
        <v/>
      </c>
      <c r="I150" s="11" t="str">
        <f>IF(D150="","",IF(AND(VLOOKUP(C150,STUDENTS!$A:$R,17,FALSE)=A150,VLOOKUP(C150,STUDENTS!$A:$R,18,FALSE)=B150,G150="Active"),"Đang học",IF(F150&gt;=0.8,IF(G150="Active","Tiếp tục khóa sau",IF(G150="Waiting for class","Chờ lớp mới",IF(G150="Inactive",IF(IFERROR(H150,"")="Discontinued mid-course","Nghỉ giữa chừng","Hoàn thành rồi nghỉ luôn"),""))),IF(G150="Inactive","Nghỉ giữa chừng","Đang học"))))</f>
        <v>Tiếp tục khóa sau</v>
      </c>
      <c r="M150" s="11" t="str">
        <f>IFERROR(__xludf.DUMMYFUNCTION("""COMPUTED_VALUE"""),"EL038")</f>
        <v>EL038</v>
      </c>
      <c r="N150" s="11" t="str">
        <f>IFERROR(__xludf.DUMMYFUNCTION("""COMPUTED_VALUE"""),"Communication 2")</f>
        <v>Communication 2</v>
      </c>
      <c r="O150" s="11" t="str">
        <f>IFERROR(__xludf.DUMMYFUNCTION("""COMPUTED_VALUE"""),"237160")</f>
        <v>237160</v>
      </c>
      <c r="P150" s="11">
        <f>IFERROR(__xludf.DUMMYFUNCTION("""COMPUTED_VALUE"""),5.0)</f>
        <v>5</v>
      </c>
      <c r="Q150" s="11">
        <f>IFERROR(__xludf.DUMMYFUNCTION("""COMPUTED_VALUE"""),16.0)</f>
        <v>16</v>
      </c>
      <c r="R150" s="11">
        <f>IFERROR(__xludf.DUMMYFUNCTION("""COMPUTED_VALUE"""),0.3125)</f>
        <v>0.3125</v>
      </c>
      <c r="S150" s="11" t="str">
        <f>IFERROR(__xludf.DUMMYFUNCTION("""COMPUTED_VALUE"""),"Inactive")</f>
        <v>Inactive</v>
      </c>
      <c r="T150" s="11" t="str">
        <f>IFERROR(__xludf.DUMMYFUNCTION("""COMPUTED_VALUE"""),"Completed (no continuation)")</f>
        <v>Completed (no continuation)</v>
      </c>
      <c r="U150" s="11" t="str">
        <f>IFERROR(__xludf.DUMMYFUNCTION("""COMPUTED_VALUE"""),"Nghỉ giữa chừng")</f>
        <v>Nghỉ giữa chừng</v>
      </c>
    </row>
    <row r="151">
      <c r="A151" s="11" t="str">
        <f>IFERROR(__xludf.DUMMYFUNCTION("""COMPUTED_VALUE"""),"EL015")</f>
        <v>EL015</v>
      </c>
      <c r="B151" s="11" t="str">
        <f>IFERROR(__xludf.DUMMYFUNCTION("""COMPUTED_VALUE"""),"Communication 1")</f>
        <v>Communication 1</v>
      </c>
      <c r="C151" s="11" t="str">
        <f>IFERROR(__xludf.DUMMYFUNCTION("""COMPUTED_VALUE"""),"247163")</f>
        <v>247163</v>
      </c>
      <c r="D151" s="11">
        <f>IFERROR(__xludf.DUMMYFUNCTION("""COMPUTED_VALUE"""),10.0)</f>
        <v>10</v>
      </c>
      <c r="E151" s="11">
        <f>IFERROR(VLOOKUP(B151,COURSE_PLAN!A:B,2,FALSE),"")</f>
        <v>10</v>
      </c>
      <c r="F151" s="11">
        <f t="shared" si="1"/>
        <v>1</v>
      </c>
      <c r="G151" s="11" t="str">
        <f>IFERROR(VLOOKUP(C151,STUDENTS!A:E,5,FALSE),"")</f>
        <v>Inactive</v>
      </c>
      <c r="H151" s="11" t="str">
        <f>IFERROR(VLOOKUP(C151,STUDENTS!A:M,13,FALSE),"")</f>
        <v>Discontinued mid-course</v>
      </c>
      <c r="I151" s="11" t="str">
        <f>IF(D151="","",IF(AND(VLOOKUP(C151,STUDENTS!$A:$R,17,FALSE)=A151,VLOOKUP(C151,STUDENTS!$A:$R,18,FALSE)=B151,G151="Active"),"Đang học",IF(F151&gt;=0.8,IF(G151="Active","Tiếp tục khóa sau",IF(G151="Waiting for class","Chờ lớp mới",IF(G151="Inactive",IF(IFERROR(H151,"")="Discontinued mid-course","Nghỉ giữa chừng","Hoàn thành rồi nghỉ luôn"),""))),IF(G151="Inactive","Nghỉ giữa chừng","Đang học"))))</f>
        <v>Nghỉ giữa chừng</v>
      </c>
      <c r="M151" s="11" t="str">
        <f>IFERROR(__xludf.DUMMYFUNCTION("""COMPUTED_VALUE"""),"EL038")</f>
        <v>EL038</v>
      </c>
      <c r="N151" s="11" t="str">
        <f>IFERROR(__xludf.DUMMYFUNCTION("""COMPUTED_VALUE"""),"Communication 2")</f>
        <v>Communication 2</v>
      </c>
      <c r="O151" s="11" t="str">
        <f>IFERROR(__xludf.DUMMYFUNCTION("""COMPUTED_VALUE"""),"247313")</f>
        <v>247313</v>
      </c>
      <c r="P151" s="11">
        <f>IFERROR(__xludf.DUMMYFUNCTION("""COMPUTED_VALUE"""),5.0)</f>
        <v>5</v>
      </c>
      <c r="Q151" s="11">
        <f>IFERROR(__xludf.DUMMYFUNCTION("""COMPUTED_VALUE"""),16.0)</f>
        <v>16</v>
      </c>
      <c r="R151" s="11">
        <f>IFERROR(__xludf.DUMMYFUNCTION("""COMPUTED_VALUE"""),0.3125)</f>
        <v>0.3125</v>
      </c>
      <c r="S151" s="11" t="str">
        <f>IFERROR(__xludf.DUMMYFUNCTION("""COMPUTED_VALUE"""),"Inactive")</f>
        <v>Inactive</v>
      </c>
      <c r="T151" s="11" t="str">
        <f>IFERROR(__xludf.DUMMYFUNCTION("""COMPUTED_VALUE"""),"Discontinued mid-course")</f>
        <v>Discontinued mid-course</v>
      </c>
      <c r="U151" s="11" t="str">
        <f>IFERROR(__xludf.DUMMYFUNCTION("""COMPUTED_VALUE"""),"Nghỉ giữa chừng")</f>
        <v>Nghỉ giữa chừng</v>
      </c>
    </row>
    <row r="152">
      <c r="A152" s="11" t="str">
        <f>IFERROR(__xludf.DUMMYFUNCTION("""COMPUTED_VALUE"""),"EL015")</f>
        <v>EL015</v>
      </c>
      <c r="B152" s="11" t="str">
        <f>IFERROR(__xludf.DUMMYFUNCTION("""COMPUTED_VALUE"""),"Communication 1")</f>
        <v>Communication 1</v>
      </c>
      <c r="C152" s="11" t="str">
        <f>IFERROR(__xludf.DUMMYFUNCTION("""COMPUTED_VALUE"""),"247185")</f>
        <v>247185</v>
      </c>
      <c r="D152" s="11">
        <f>IFERROR(__xludf.DUMMYFUNCTION("""COMPUTED_VALUE"""),10.0)</f>
        <v>10</v>
      </c>
      <c r="E152" s="11">
        <f>IFERROR(VLOOKUP(B152,COURSE_PLAN!A:B,2,FALSE),"")</f>
        <v>10</v>
      </c>
      <c r="F152" s="11">
        <f t="shared" si="1"/>
        <v>1</v>
      </c>
      <c r="G152" s="11" t="str">
        <f>IFERROR(VLOOKUP(C152,STUDENTS!A:E,5,FALSE),"")</f>
        <v>Active</v>
      </c>
      <c r="H152" s="11" t="str">
        <f>IFERROR(VLOOKUP(C152,STUDENTS!A:M,13,FALSE),"")</f>
        <v/>
      </c>
      <c r="I152" s="11" t="str">
        <f>IF(D152="","",IF(AND(VLOOKUP(C152,STUDENTS!$A:$R,17,FALSE)=A152,VLOOKUP(C152,STUDENTS!$A:$R,18,FALSE)=B152,G152="Active"),"Đang học",IF(F152&gt;=0.8,IF(G152="Active","Tiếp tục khóa sau",IF(G152="Waiting for class","Chờ lớp mới",IF(G152="Inactive",IF(IFERROR(H152,"")="Discontinued mid-course","Nghỉ giữa chừng","Hoàn thành rồi nghỉ luôn"),""))),IF(G152="Inactive","Nghỉ giữa chừng","Đang học"))))</f>
        <v>Tiếp tục khóa sau</v>
      </c>
      <c r="M152" s="11" t="str">
        <f>IFERROR(__xludf.DUMMYFUNCTION("""COMPUTED_VALUE"""),"EL039")</f>
        <v>EL039</v>
      </c>
      <c r="N152" s="11" t="str">
        <f>IFERROR(__xludf.DUMMYFUNCTION("""COMPUTED_VALUE"""),"Communication 1")</f>
        <v>Communication 1</v>
      </c>
      <c r="O152" s="11" t="str">
        <f>IFERROR(__xludf.DUMMYFUNCTION("""COMPUTED_VALUE"""),"183423")</f>
        <v>183423</v>
      </c>
      <c r="P152" s="11">
        <f>IFERROR(__xludf.DUMMYFUNCTION("""COMPUTED_VALUE"""),6.0)</f>
        <v>6</v>
      </c>
      <c r="Q152" s="11">
        <f>IFERROR(__xludf.DUMMYFUNCTION("""COMPUTED_VALUE"""),10.0)</f>
        <v>10</v>
      </c>
      <c r="R152" s="11">
        <f>IFERROR(__xludf.DUMMYFUNCTION("""COMPUTED_VALUE"""),0.6)</f>
        <v>0.6</v>
      </c>
      <c r="S152" s="11" t="str">
        <f>IFERROR(__xludf.DUMMYFUNCTION("""COMPUTED_VALUE"""),"Inactive")</f>
        <v>Inactive</v>
      </c>
      <c r="T152" s="11" t="str">
        <f>IFERROR(__xludf.DUMMYFUNCTION("""COMPUTED_VALUE"""),"Discontinued mid-course")</f>
        <v>Discontinued mid-course</v>
      </c>
      <c r="U152" s="11" t="str">
        <f>IFERROR(__xludf.DUMMYFUNCTION("""COMPUTED_VALUE"""),"Nghỉ giữa chừng")</f>
        <v>Nghỉ giữa chừng</v>
      </c>
    </row>
    <row r="153">
      <c r="A153" s="11" t="str">
        <f>IFERROR(__xludf.DUMMYFUNCTION("""COMPUTED_VALUE"""),"EL015")</f>
        <v>EL015</v>
      </c>
      <c r="B153" s="11" t="str">
        <f>IFERROR(__xludf.DUMMYFUNCTION("""COMPUTED_VALUE"""),"Communication 1")</f>
        <v>Communication 1</v>
      </c>
      <c r="C153" s="11" t="str">
        <f>IFERROR(__xludf.DUMMYFUNCTION("""COMPUTED_VALUE"""),"247384")</f>
        <v>247384</v>
      </c>
      <c r="D153" s="11">
        <f>IFERROR(__xludf.DUMMYFUNCTION("""COMPUTED_VALUE"""),10.0)</f>
        <v>10</v>
      </c>
      <c r="E153" s="11">
        <f>IFERROR(VLOOKUP(B153,COURSE_PLAN!A:B,2,FALSE),"")</f>
        <v>10</v>
      </c>
      <c r="F153" s="11">
        <f t="shared" si="1"/>
        <v>1</v>
      </c>
      <c r="G153" s="11" t="str">
        <f>IFERROR(VLOOKUP(C153,STUDENTS!A:E,5,FALSE),"")</f>
        <v>Inactive</v>
      </c>
      <c r="H153" s="11" t="str">
        <f>IFERROR(VLOOKUP(C153,STUDENTS!A:M,13,FALSE),"")</f>
        <v>Discontinued mid-course</v>
      </c>
      <c r="I153" s="11" t="str">
        <f>IF(D153="","",IF(AND(VLOOKUP(C153,STUDENTS!$A:$R,17,FALSE)=A153,VLOOKUP(C153,STUDENTS!$A:$R,18,FALSE)=B153,G153="Active"),"Đang học",IF(F153&gt;=0.8,IF(G153="Active","Tiếp tục khóa sau",IF(G153="Waiting for class","Chờ lớp mới",IF(G153="Inactive",IF(IFERROR(H153,"")="Discontinued mid-course","Nghỉ giữa chừng","Hoàn thành rồi nghỉ luôn"),""))),IF(G153="Inactive","Nghỉ giữa chừng","Đang học"))))</f>
        <v>Nghỉ giữa chừng</v>
      </c>
      <c r="M153" s="11" t="str">
        <f>IFERROR(__xludf.DUMMYFUNCTION("""COMPUTED_VALUE"""),"EL039")</f>
        <v>EL039</v>
      </c>
      <c r="N153" s="11" t="str">
        <f>IFERROR(__xludf.DUMMYFUNCTION("""COMPUTED_VALUE"""),"Communication 1")</f>
        <v>Communication 1</v>
      </c>
      <c r="O153" s="11" t="str">
        <f>IFERROR(__xludf.DUMMYFUNCTION("""COMPUTED_VALUE"""),"213946")</f>
        <v>213946</v>
      </c>
      <c r="P153" s="11">
        <f>IFERROR(__xludf.DUMMYFUNCTION("""COMPUTED_VALUE"""),6.0)</f>
        <v>6</v>
      </c>
      <c r="Q153" s="11">
        <f>IFERROR(__xludf.DUMMYFUNCTION("""COMPUTED_VALUE"""),10.0)</f>
        <v>10</v>
      </c>
      <c r="R153" s="11">
        <f>IFERROR(__xludf.DUMMYFUNCTION("""COMPUTED_VALUE"""),0.6)</f>
        <v>0.6</v>
      </c>
      <c r="S153" s="11" t="str">
        <f>IFERROR(__xludf.DUMMYFUNCTION("""COMPUTED_VALUE"""),"Inactive")</f>
        <v>Inactive</v>
      </c>
      <c r="T153" s="11" t="str">
        <f>IFERROR(__xludf.DUMMYFUNCTION("""COMPUTED_VALUE"""),"Completed (no continuation)")</f>
        <v>Completed (no continuation)</v>
      </c>
      <c r="U153" s="11" t="str">
        <f>IFERROR(__xludf.DUMMYFUNCTION("""COMPUTED_VALUE"""),"Nghỉ giữa chừng")</f>
        <v>Nghỉ giữa chừng</v>
      </c>
    </row>
    <row r="154">
      <c r="A154" s="11" t="str">
        <f>IFERROR(__xludf.DUMMYFUNCTION("""COMPUTED_VALUE"""),"EL015")</f>
        <v>EL015</v>
      </c>
      <c r="B154" s="11" t="str">
        <f>IFERROR(__xludf.DUMMYFUNCTION("""COMPUTED_VALUE"""),"Communication 2")</f>
        <v>Communication 2</v>
      </c>
      <c r="C154" s="11" t="str">
        <f>IFERROR(__xludf.DUMMYFUNCTION("""COMPUTED_VALUE"""),"227130")</f>
        <v>227130</v>
      </c>
      <c r="D154" s="11">
        <f>IFERROR(__xludf.DUMMYFUNCTION("""COMPUTED_VALUE"""),4.0)</f>
        <v>4</v>
      </c>
      <c r="E154" s="11">
        <f>IFERROR(VLOOKUP(B154,COURSE_PLAN!A:B,2,FALSE),"")</f>
        <v>16</v>
      </c>
      <c r="F154" s="11">
        <f t="shared" si="1"/>
        <v>0.25</v>
      </c>
      <c r="G154" s="11" t="str">
        <f>IFERROR(VLOOKUP(C154,STUDENTS!A:E,5,FALSE),"")</f>
        <v>Inactive</v>
      </c>
      <c r="H154" s="11" t="str">
        <f>IFERROR(VLOOKUP(C154,STUDENTS!A:M,13,FALSE),"")</f>
        <v>Discontinued mid-course</v>
      </c>
      <c r="I154" s="11" t="str">
        <f>IF(D154="","",IF(AND(VLOOKUP(C154,STUDENTS!$A:$R,17,FALSE)=A154,VLOOKUP(C154,STUDENTS!$A:$R,18,FALSE)=B154,G154="Active"),"Đang học",IF(F154&gt;=0.8,IF(G154="Active","Tiếp tục khóa sau",IF(G154="Waiting for class","Chờ lớp mới",IF(G154="Inactive",IF(IFERROR(H154,"")="Discontinued mid-course","Nghỉ giữa chừng","Hoàn thành rồi nghỉ luôn"),""))),IF(G154="Inactive","Nghỉ giữa chừng","Đang học"))))</f>
        <v>Nghỉ giữa chừng</v>
      </c>
      <c r="M154" s="11" t="str">
        <f>IFERROR(__xludf.DUMMYFUNCTION("""COMPUTED_VALUE"""),"EL039")</f>
        <v>EL039</v>
      </c>
      <c r="N154" s="11" t="str">
        <f>IFERROR(__xludf.DUMMYFUNCTION("""COMPUTED_VALUE"""),"Communication 1")</f>
        <v>Communication 1</v>
      </c>
      <c r="O154" s="11" t="str">
        <f>IFERROR(__xludf.DUMMYFUNCTION("""COMPUTED_VALUE"""),"227035")</f>
        <v>227035</v>
      </c>
      <c r="P154" s="11">
        <f>IFERROR(__xludf.DUMMYFUNCTION("""COMPUTED_VALUE"""),6.0)</f>
        <v>6</v>
      </c>
      <c r="Q154" s="11">
        <f>IFERROR(__xludf.DUMMYFUNCTION("""COMPUTED_VALUE"""),10.0)</f>
        <v>10</v>
      </c>
      <c r="R154" s="11">
        <f>IFERROR(__xludf.DUMMYFUNCTION("""COMPUTED_VALUE"""),0.6)</f>
        <v>0.6</v>
      </c>
      <c r="S154" s="11" t="str">
        <f>IFERROR(__xludf.DUMMYFUNCTION("""COMPUTED_VALUE"""),"Inactive")</f>
        <v>Inactive</v>
      </c>
      <c r="T154" s="11" t="str">
        <f>IFERROR(__xludf.DUMMYFUNCTION("""COMPUTED_VALUE"""),"Discontinued mid-course")</f>
        <v>Discontinued mid-course</v>
      </c>
      <c r="U154" s="11" t="str">
        <f>IFERROR(__xludf.DUMMYFUNCTION("""COMPUTED_VALUE"""),"Nghỉ giữa chừng")</f>
        <v>Nghỉ giữa chừng</v>
      </c>
    </row>
    <row r="155">
      <c r="A155" s="11" t="str">
        <f>IFERROR(__xludf.DUMMYFUNCTION("""COMPUTED_VALUE"""),"EL015")</f>
        <v>EL015</v>
      </c>
      <c r="B155" s="11" t="str">
        <f>IFERROR(__xludf.DUMMYFUNCTION("""COMPUTED_VALUE"""),"Communication 2")</f>
        <v>Communication 2</v>
      </c>
      <c r="C155" s="11" t="str">
        <f>IFERROR(__xludf.DUMMYFUNCTION("""COMPUTED_VALUE"""),"227177")</f>
        <v>227177</v>
      </c>
      <c r="D155" s="11">
        <f>IFERROR(__xludf.DUMMYFUNCTION("""COMPUTED_VALUE"""),4.0)</f>
        <v>4</v>
      </c>
      <c r="E155" s="11">
        <f>IFERROR(VLOOKUP(B155,COURSE_PLAN!A:B,2,FALSE),"")</f>
        <v>16</v>
      </c>
      <c r="F155" s="11">
        <f t="shared" si="1"/>
        <v>0.25</v>
      </c>
      <c r="G155" s="11" t="str">
        <f>IFERROR(VLOOKUP(C155,STUDENTS!A:E,5,FALSE),"")</f>
        <v>Active</v>
      </c>
      <c r="H155" s="11" t="str">
        <f>IFERROR(VLOOKUP(C155,STUDENTS!A:M,13,FALSE),"")</f>
        <v/>
      </c>
      <c r="I155" s="11" t="str">
        <f>IF(D155="","",IF(AND(VLOOKUP(C155,STUDENTS!$A:$R,17,FALSE)=A155,VLOOKUP(C155,STUDENTS!$A:$R,18,FALSE)=B155,G155="Active"),"Đang học",IF(F155&gt;=0.8,IF(G155="Active","Tiếp tục khóa sau",IF(G155="Waiting for class","Chờ lớp mới",IF(G155="Inactive",IF(IFERROR(H155,"")="Discontinued mid-course","Nghỉ giữa chừng","Hoàn thành rồi nghỉ luôn"),""))),IF(G155="Inactive","Nghỉ giữa chừng","Đang học"))))</f>
        <v>Đang học</v>
      </c>
      <c r="M155" s="11" t="str">
        <f>IFERROR(__xludf.DUMMYFUNCTION("""COMPUTED_VALUE"""),"EL039")</f>
        <v>EL039</v>
      </c>
      <c r="N155" s="11" t="str">
        <f>IFERROR(__xludf.DUMMYFUNCTION("""COMPUTED_VALUE"""),"Communication 1")</f>
        <v>Communication 1</v>
      </c>
      <c r="O155" s="11" t="str">
        <f>IFERROR(__xludf.DUMMYFUNCTION("""COMPUTED_VALUE"""),"227188")</f>
        <v>227188</v>
      </c>
      <c r="P155" s="11">
        <f>IFERROR(__xludf.DUMMYFUNCTION("""COMPUTED_VALUE"""),6.0)</f>
        <v>6</v>
      </c>
      <c r="Q155" s="11">
        <f>IFERROR(__xludf.DUMMYFUNCTION("""COMPUTED_VALUE"""),10.0)</f>
        <v>10</v>
      </c>
      <c r="R155" s="11">
        <f>IFERROR(__xludf.DUMMYFUNCTION("""COMPUTED_VALUE"""),0.6)</f>
        <v>0.6</v>
      </c>
      <c r="S155" s="11" t="str">
        <f>IFERROR(__xludf.DUMMYFUNCTION("""COMPUTED_VALUE"""),"Inactive")</f>
        <v>Inactive</v>
      </c>
      <c r="T155" s="11" t="str">
        <f>IFERROR(__xludf.DUMMYFUNCTION("""COMPUTED_VALUE"""),"Discontinued mid-course")</f>
        <v>Discontinued mid-course</v>
      </c>
      <c r="U155" s="11" t="str">
        <f>IFERROR(__xludf.DUMMYFUNCTION("""COMPUTED_VALUE"""),"Nghỉ giữa chừng")</f>
        <v>Nghỉ giữa chừng</v>
      </c>
    </row>
    <row r="156">
      <c r="A156" s="11" t="str">
        <f>IFERROR(__xludf.DUMMYFUNCTION("""COMPUTED_VALUE"""),"EL015")</f>
        <v>EL015</v>
      </c>
      <c r="B156" s="11" t="str">
        <f>IFERROR(__xludf.DUMMYFUNCTION("""COMPUTED_VALUE"""),"Communication 2")</f>
        <v>Communication 2</v>
      </c>
      <c r="C156" s="11" t="str">
        <f>IFERROR(__xludf.DUMMYFUNCTION("""COMPUTED_VALUE"""),"247185")</f>
        <v>247185</v>
      </c>
      <c r="D156" s="11">
        <f>IFERROR(__xludf.DUMMYFUNCTION("""COMPUTED_VALUE"""),4.0)</f>
        <v>4</v>
      </c>
      <c r="E156" s="11">
        <f>IFERROR(VLOOKUP(B156,COURSE_PLAN!A:B,2,FALSE),"")</f>
        <v>16</v>
      </c>
      <c r="F156" s="11">
        <f t="shared" si="1"/>
        <v>0.25</v>
      </c>
      <c r="G156" s="11" t="str">
        <f>IFERROR(VLOOKUP(C156,STUDENTS!A:E,5,FALSE),"")</f>
        <v>Active</v>
      </c>
      <c r="H156" s="11" t="str">
        <f>IFERROR(VLOOKUP(C156,STUDENTS!A:M,13,FALSE),"")</f>
        <v/>
      </c>
      <c r="I156" s="11" t="str">
        <f>IF(D156="","",IF(AND(VLOOKUP(C156,STUDENTS!$A:$R,17,FALSE)=A156,VLOOKUP(C156,STUDENTS!$A:$R,18,FALSE)=B156,G156="Active"),"Đang học",IF(F156&gt;=0.8,IF(G156="Active","Tiếp tục khóa sau",IF(G156="Waiting for class","Chờ lớp mới",IF(G156="Inactive",IF(IFERROR(H156,"")="Discontinued mid-course","Nghỉ giữa chừng","Hoàn thành rồi nghỉ luôn"),""))),IF(G156="Inactive","Nghỉ giữa chừng","Đang học"))))</f>
        <v>Đang học</v>
      </c>
      <c r="M156" s="11" t="str">
        <f>IFERROR(__xludf.DUMMYFUNCTION("""COMPUTED_VALUE"""),"EL039")</f>
        <v>EL039</v>
      </c>
      <c r="N156" s="11" t="str">
        <f>IFERROR(__xludf.DUMMYFUNCTION("""COMPUTED_VALUE"""),"Communication 1")</f>
        <v>Communication 1</v>
      </c>
      <c r="O156" s="11" t="str">
        <f>IFERROR(__xludf.DUMMYFUNCTION("""COMPUTED_VALUE"""),"237061")</f>
        <v>237061</v>
      </c>
      <c r="P156" s="11">
        <f>IFERROR(__xludf.DUMMYFUNCTION("""COMPUTED_VALUE"""),6.0)</f>
        <v>6</v>
      </c>
      <c r="Q156" s="11">
        <f>IFERROR(__xludf.DUMMYFUNCTION("""COMPUTED_VALUE"""),10.0)</f>
        <v>10</v>
      </c>
      <c r="R156" s="11">
        <f>IFERROR(__xludf.DUMMYFUNCTION("""COMPUTED_VALUE"""),0.6)</f>
        <v>0.6</v>
      </c>
      <c r="S156" s="11" t="str">
        <f>IFERROR(__xludf.DUMMYFUNCTION("""COMPUTED_VALUE"""),"Inactive")</f>
        <v>Inactive</v>
      </c>
      <c r="T156" s="11" t="str">
        <f>IFERROR(__xludf.DUMMYFUNCTION("""COMPUTED_VALUE"""),"Discontinued mid-course")</f>
        <v>Discontinued mid-course</v>
      </c>
      <c r="U156" s="11" t="str">
        <f>IFERROR(__xludf.DUMMYFUNCTION("""COMPUTED_VALUE"""),"Nghỉ giữa chừng")</f>
        <v>Nghỉ giữa chừng</v>
      </c>
    </row>
    <row r="157">
      <c r="A157" s="11" t="str">
        <f>IFERROR(__xludf.DUMMYFUNCTION("""COMPUTED_VALUE"""),"EL015")</f>
        <v>EL015</v>
      </c>
      <c r="B157" s="11" t="str">
        <f>IFERROR(__xludf.DUMMYFUNCTION("""COMPUTED_VALUE"""),"Communication 2")</f>
        <v>Communication 2</v>
      </c>
      <c r="C157" s="11" t="str">
        <f>IFERROR(__xludf.DUMMYFUNCTION("""COMPUTED_VALUE"""),"247384")</f>
        <v>247384</v>
      </c>
      <c r="D157" s="11">
        <f>IFERROR(__xludf.DUMMYFUNCTION("""COMPUTED_VALUE"""),4.0)</f>
        <v>4</v>
      </c>
      <c r="E157" s="11">
        <f>IFERROR(VLOOKUP(B157,COURSE_PLAN!A:B,2,FALSE),"")</f>
        <v>16</v>
      </c>
      <c r="F157" s="11">
        <f t="shared" si="1"/>
        <v>0.25</v>
      </c>
      <c r="G157" s="11" t="str">
        <f>IFERROR(VLOOKUP(C157,STUDENTS!A:E,5,FALSE),"")</f>
        <v>Inactive</v>
      </c>
      <c r="H157" s="11" t="str">
        <f>IFERROR(VLOOKUP(C157,STUDENTS!A:M,13,FALSE),"")</f>
        <v>Discontinued mid-course</v>
      </c>
      <c r="I157" s="11" t="str">
        <f>IF(D157="","",IF(AND(VLOOKUP(C157,STUDENTS!$A:$R,17,FALSE)=A157,VLOOKUP(C157,STUDENTS!$A:$R,18,FALSE)=B157,G157="Active"),"Đang học",IF(F157&gt;=0.8,IF(G157="Active","Tiếp tục khóa sau",IF(G157="Waiting for class","Chờ lớp mới",IF(G157="Inactive",IF(IFERROR(H157,"")="Discontinued mid-course","Nghỉ giữa chừng","Hoàn thành rồi nghỉ luôn"),""))),IF(G157="Inactive","Nghỉ giữa chừng","Đang học"))))</f>
        <v>Nghỉ giữa chừng</v>
      </c>
      <c r="M157" s="11" t="str">
        <f>IFERROR(__xludf.DUMMYFUNCTION("""COMPUTED_VALUE"""),"EL039")</f>
        <v>EL039</v>
      </c>
      <c r="N157" s="11" t="str">
        <f>IFERROR(__xludf.DUMMYFUNCTION("""COMPUTED_VALUE"""),"Communication 1")</f>
        <v>Communication 1</v>
      </c>
      <c r="O157" s="11" t="str">
        <f>IFERROR(__xludf.DUMMYFUNCTION("""COMPUTED_VALUE"""),"237245")</f>
        <v>237245</v>
      </c>
      <c r="P157" s="11">
        <f>IFERROR(__xludf.DUMMYFUNCTION("""COMPUTED_VALUE"""),6.0)</f>
        <v>6</v>
      </c>
      <c r="Q157" s="11">
        <f>IFERROR(__xludf.DUMMYFUNCTION("""COMPUTED_VALUE"""),10.0)</f>
        <v>10</v>
      </c>
      <c r="R157" s="11">
        <f>IFERROR(__xludf.DUMMYFUNCTION("""COMPUTED_VALUE"""),0.6)</f>
        <v>0.6</v>
      </c>
      <c r="S157" s="11" t="str">
        <f>IFERROR(__xludf.DUMMYFUNCTION("""COMPUTED_VALUE"""),"Inactive")</f>
        <v>Inactive</v>
      </c>
      <c r="T157" s="11" t="str">
        <f>IFERROR(__xludf.DUMMYFUNCTION("""COMPUTED_VALUE"""),"Discontinued mid-course")</f>
        <v>Discontinued mid-course</v>
      </c>
      <c r="U157" s="11" t="str">
        <f>IFERROR(__xludf.DUMMYFUNCTION("""COMPUTED_VALUE"""),"Nghỉ giữa chừng")</f>
        <v>Nghỉ giữa chừng</v>
      </c>
    </row>
    <row r="158">
      <c r="A158" s="11" t="str">
        <f>IFERROR(__xludf.DUMMYFUNCTION("""COMPUTED_VALUE"""),"EL016")</f>
        <v>EL016</v>
      </c>
      <c r="B158" s="11" t="str">
        <f>IFERROR(__xludf.DUMMYFUNCTION("""COMPUTED_VALUE"""),"Communication 1")</f>
        <v>Communication 1</v>
      </c>
      <c r="C158" s="11" t="str">
        <f>IFERROR(__xludf.DUMMYFUNCTION("""COMPUTED_VALUE"""),"213895")</f>
        <v>213895</v>
      </c>
      <c r="D158" s="11">
        <f>IFERROR(__xludf.DUMMYFUNCTION("""COMPUTED_VALUE"""),3.0)</f>
        <v>3</v>
      </c>
      <c r="E158" s="11">
        <f>IFERROR(VLOOKUP(B158,COURSE_PLAN!A:B,2,FALSE),"")</f>
        <v>10</v>
      </c>
      <c r="F158" s="11">
        <f t="shared" si="1"/>
        <v>0.3</v>
      </c>
      <c r="G158" s="11" t="str">
        <f>IFERROR(VLOOKUP(C158,STUDENTS!A:E,5,FALSE),"")</f>
        <v>Inactive</v>
      </c>
      <c r="H158" s="11" t="str">
        <f>IFERROR(VLOOKUP(C158,STUDENTS!A:M,13,FALSE),"")</f>
        <v>Discontinued mid-course</v>
      </c>
      <c r="I158" s="11" t="str">
        <f>IF(D158="","",IF(AND(VLOOKUP(C158,STUDENTS!$A:$R,17,FALSE)=A158,VLOOKUP(C158,STUDENTS!$A:$R,18,FALSE)=B158,G158="Active"),"Đang học",IF(F158&gt;=0.8,IF(G158="Active","Tiếp tục khóa sau",IF(G158="Waiting for class","Chờ lớp mới",IF(G158="Inactive",IF(IFERROR(H158,"")="Discontinued mid-course","Nghỉ giữa chừng","Hoàn thành rồi nghỉ luôn"),""))),IF(G158="Inactive","Nghỉ giữa chừng","Đang học"))))</f>
        <v>Nghỉ giữa chừng</v>
      </c>
      <c r="M158" s="11" t="str">
        <f>IFERROR(__xludf.DUMMYFUNCTION("""COMPUTED_VALUE"""),"EL039")</f>
        <v>EL039</v>
      </c>
      <c r="N158" s="11" t="str">
        <f>IFERROR(__xludf.DUMMYFUNCTION("""COMPUTED_VALUE"""),"Communication 1")</f>
        <v>Communication 1</v>
      </c>
      <c r="O158" s="11" t="str">
        <f>IFERROR(__xludf.DUMMYFUNCTION("""COMPUTED_VALUE"""),"247265")</f>
        <v>247265</v>
      </c>
      <c r="P158" s="11">
        <f>IFERROR(__xludf.DUMMYFUNCTION("""COMPUTED_VALUE"""),5.0)</f>
        <v>5</v>
      </c>
      <c r="Q158" s="11">
        <f>IFERROR(__xludf.DUMMYFUNCTION("""COMPUTED_VALUE"""),10.0)</f>
        <v>10</v>
      </c>
      <c r="R158" s="11">
        <f>IFERROR(__xludf.DUMMYFUNCTION("""COMPUTED_VALUE"""),0.5)</f>
        <v>0.5</v>
      </c>
      <c r="S158" s="11" t="str">
        <f>IFERROR(__xludf.DUMMYFUNCTION("""COMPUTED_VALUE"""),"Inactive")</f>
        <v>Inactive</v>
      </c>
      <c r="T158" s="11" t="str">
        <f>IFERROR(__xludf.DUMMYFUNCTION("""COMPUTED_VALUE"""),"Completed (no continuation)")</f>
        <v>Completed (no continuation)</v>
      </c>
      <c r="U158" s="11" t="str">
        <f>IFERROR(__xludf.DUMMYFUNCTION("""COMPUTED_VALUE"""),"Nghỉ giữa chừng")</f>
        <v>Nghỉ giữa chừng</v>
      </c>
    </row>
    <row r="159">
      <c r="A159" s="11" t="str">
        <f>IFERROR(__xludf.DUMMYFUNCTION("""COMPUTED_VALUE"""),"EL016")</f>
        <v>EL016</v>
      </c>
      <c r="B159" s="11" t="str">
        <f>IFERROR(__xludf.DUMMYFUNCTION("""COMPUTED_VALUE"""),"Communication 1")</f>
        <v>Communication 1</v>
      </c>
      <c r="C159" s="11" t="str">
        <f>IFERROR(__xludf.DUMMYFUNCTION("""COMPUTED_VALUE"""),"213991")</f>
        <v>213991</v>
      </c>
      <c r="D159" s="11">
        <f>IFERROR(__xludf.DUMMYFUNCTION("""COMPUTED_VALUE"""),3.0)</f>
        <v>3</v>
      </c>
      <c r="E159" s="11">
        <f>IFERROR(VLOOKUP(B159,COURSE_PLAN!A:B,2,FALSE),"")</f>
        <v>10</v>
      </c>
      <c r="F159" s="11">
        <f t="shared" si="1"/>
        <v>0.3</v>
      </c>
      <c r="G159" s="11" t="str">
        <f>IFERROR(VLOOKUP(C159,STUDENTS!A:E,5,FALSE),"")</f>
        <v>Inactive</v>
      </c>
      <c r="H159" s="11" t="str">
        <f>IFERROR(VLOOKUP(C159,STUDENTS!A:M,13,FALSE),"")</f>
        <v>Discontinued mid-course</v>
      </c>
      <c r="I159" s="11" t="str">
        <f>IF(D159="","",IF(AND(VLOOKUP(C159,STUDENTS!$A:$R,17,FALSE)=A159,VLOOKUP(C159,STUDENTS!$A:$R,18,FALSE)=B159,G159="Active"),"Đang học",IF(F159&gt;=0.8,IF(G159="Active","Tiếp tục khóa sau",IF(G159="Waiting for class","Chờ lớp mới",IF(G159="Inactive",IF(IFERROR(H159,"")="Discontinued mid-course","Nghỉ giữa chừng","Hoàn thành rồi nghỉ luôn"),""))),IF(G159="Inactive","Nghỉ giữa chừng","Đang học"))))</f>
        <v>Nghỉ giữa chừng</v>
      </c>
      <c r="M159" s="11" t="str">
        <f>IFERROR(__xludf.DUMMYFUNCTION("""COMPUTED_VALUE"""),"EL039")</f>
        <v>EL039</v>
      </c>
      <c r="N159" s="11" t="str">
        <f>IFERROR(__xludf.DUMMYFUNCTION("""COMPUTED_VALUE"""),"Communication 1")</f>
        <v>Communication 1</v>
      </c>
      <c r="O159" s="11" t="str">
        <f>IFERROR(__xludf.DUMMYFUNCTION("""COMPUTED_VALUE"""),"247415")</f>
        <v>247415</v>
      </c>
      <c r="P159" s="11">
        <f>IFERROR(__xludf.DUMMYFUNCTION("""COMPUTED_VALUE"""),5.0)</f>
        <v>5</v>
      </c>
      <c r="Q159" s="11">
        <f>IFERROR(__xludf.DUMMYFUNCTION("""COMPUTED_VALUE"""),10.0)</f>
        <v>10</v>
      </c>
      <c r="R159" s="11">
        <f>IFERROR(__xludf.DUMMYFUNCTION("""COMPUTED_VALUE"""),0.5)</f>
        <v>0.5</v>
      </c>
      <c r="S159" s="11" t="str">
        <f>IFERROR(__xludf.DUMMYFUNCTION("""COMPUTED_VALUE"""),"Inactive")</f>
        <v>Inactive</v>
      </c>
      <c r="T159" s="11" t="str">
        <f>IFERROR(__xludf.DUMMYFUNCTION("""COMPUTED_VALUE"""),"Completed (no continuation)")</f>
        <v>Completed (no continuation)</v>
      </c>
      <c r="U159" s="11" t="str">
        <f>IFERROR(__xludf.DUMMYFUNCTION("""COMPUTED_VALUE"""),"Nghỉ giữa chừng")</f>
        <v>Nghỉ giữa chừng</v>
      </c>
    </row>
    <row r="160">
      <c r="A160" s="11" t="str">
        <f>IFERROR(__xludf.DUMMYFUNCTION("""COMPUTED_VALUE"""),"EL016")</f>
        <v>EL016</v>
      </c>
      <c r="B160" s="11" t="str">
        <f>IFERROR(__xludf.DUMMYFUNCTION("""COMPUTED_VALUE"""),"Communication 1")</f>
        <v>Communication 1</v>
      </c>
      <c r="C160" s="11" t="str">
        <f>IFERROR(__xludf.DUMMYFUNCTION("""COMPUTED_VALUE"""),"237237")</f>
        <v>237237</v>
      </c>
      <c r="D160" s="11">
        <f>IFERROR(__xludf.DUMMYFUNCTION("""COMPUTED_VALUE"""),3.0)</f>
        <v>3</v>
      </c>
      <c r="E160" s="11">
        <f>IFERROR(VLOOKUP(B160,COURSE_PLAN!A:B,2,FALSE),"")</f>
        <v>10</v>
      </c>
      <c r="F160" s="11">
        <f t="shared" si="1"/>
        <v>0.3</v>
      </c>
      <c r="G160" s="11" t="str">
        <f>IFERROR(VLOOKUP(C160,STUDENTS!A:E,5,FALSE),"")</f>
        <v>Inactive</v>
      </c>
      <c r="H160" s="11" t="str">
        <f>IFERROR(VLOOKUP(C160,STUDENTS!A:M,13,FALSE),"")</f>
        <v>Discontinued mid-course</v>
      </c>
      <c r="I160" s="11" t="str">
        <f>IF(D160="","",IF(AND(VLOOKUP(C160,STUDENTS!$A:$R,17,FALSE)=A160,VLOOKUP(C160,STUDENTS!$A:$R,18,FALSE)=B160,G160="Active"),"Đang học",IF(F160&gt;=0.8,IF(G160="Active","Tiếp tục khóa sau",IF(G160="Waiting for class","Chờ lớp mới",IF(G160="Inactive",IF(IFERROR(H160,"")="Discontinued mid-course","Nghỉ giữa chừng","Hoàn thành rồi nghỉ luôn"),""))),IF(G160="Inactive","Nghỉ giữa chừng","Đang học"))))</f>
        <v>Nghỉ giữa chừng</v>
      </c>
      <c r="M160" s="11" t="str">
        <f>IFERROR(__xludf.DUMMYFUNCTION("""COMPUTED_VALUE"""),"EL040")</f>
        <v>EL040</v>
      </c>
      <c r="N160" s="11" t="str">
        <f>IFERROR(__xludf.DUMMYFUNCTION("""COMPUTED_VALUE"""),"Foundation")</f>
        <v>Foundation</v>
      </c>
      <c r="O160" s="11" t="str">
        <f>IFERROR(__xludf.DUMMYFUNCTION("""COMPUTED_VALUE"""),"217001")</f>
        <v>217001</v>
      </c>
      <c r="P160" s="11">
        <f>IFERROR(__xludf.DUMMYFUNCTION("""COMPUTED_VALUE"""),16.0)</f>
        <v>16</v>
      </c>
      <c r="Q160" s="11">
        <f>IFERROR(__xludf.DUMMYFUNCTION("""COMPUTED_VALUE"""),16.0)</f>
        <v>16</v>
      </c>
      <c r="R160" s="11">
        <f>IFERROR(__xludf.DUMMYFUNCTION("""COMPUTED_VALUE"""),1.0)</f>
        <v>1</v>
      </c>
      <c r="S160" s="11" t="str">
        <f>IFERROR(__xludf.DUMMYFUNCTION("""COMPUTED_VALUE"""),"Inactive")</f>
        <v>Inactive</v>
      </c>
      <c r="T160" s="11" t="str">
        <f>IFERROR(__xludf.DUMMYFUNCTION("""COMPUTED_VALUE"""),"Discontinued mid-course")</f>
        <v>Discontinued mid-course</v>
      </c>
      <c r="U160" s="11" t="str">
        <f>IFERROR(__xludf.DUMMYFUNCTION("""COMPUTED_VALUE"""),"Nghỉ giữa chừng")</f>
        <v>Nghỉ giữa chừng</v>
      </c>
    </row>
    <row r="161">
      <c r="A161" s="11" t="str">
        <f>IFERROR(__xludf.DUMMYFUNCTION("""COMPUTED_VALUE"""),"EL016")</f>
        <v>EL016</v>
      </c>
      <c r="B161" s="11" t="str">
        <f>IFERROR(__xludf.DUMMYFUNCTION("""COMPUTED_VALUE"""),"Communication 1")</f>
        <v>Communication 1</v>
      </c>
      <c r="C161" s="11" t="str">
        <f>IFERROR(__xludf.DUMMYFUNCTION("""COMPUTED_VALUE"""),"247036")</f>
        <v>247036</v>
      </c>
      <c r="D161" s="11">
        <f>IFERROR(__xludf.DUMMYFUNCTION("""COMPUTED_VALUE"""),3.0)</f>
        <v>3</v>
      </c>
      <c r="E161" s="11">
        <f>IFERROR(VLOOKUP(B161,COURSE_PLAN!A:B,2,FALSE),"")</f>
        <v>10</v>
      </c>
      <c r="F161" s="11">
        <f t="shared" si="1"/>
        <v>0.3</v>
      </c>
      <c r="G161" s="11" t="str">
        <f>IFERROR(VLOOKUP(C161,STUDENTS!A:E,5,FALSE),"")</f>
        <v>Inactive</v>
      </c>
      <c r="H161" s="11" t="str">
        <f>IFERROR(VLOOKUP(C161,STUDENTS!A:M,13,FALSE),"")</f>
        <v>Discontinued mid-course</v>
      </c>
      <c r="I161" s="11" t="str">
        <f>IF(D161="","",IF(AND(VLOOKUP(C161,STUDENTS!$A:$R,17,FALSE)=A161,VLOOKUP(C161,STUDENTS!$A:$R,18,FALSE)=B161,G161="Active"),"Đang học",IF(F161&gt;=0.8,IF(G161="Active","Tiếp tục khóa sau",IF(G161="Waiting for class","Chờ lớp mới",IF(G161="Inactive",IF(IFERROR(H161,"")="Discontinued mid-course","Nghỉ giữa chừng","Hoàn thành rồi nghỉ luôn"),""))),IF(G161="Inactive","Nghỉ giữa chừng","Đang học"))))</f>
        <v>Nghỉ giữa chừng</v>
      </c>
      <c r="M161" s="11" t="str">
        <f>IFERROR(__xludf.DUMMYFUNCTION("""COMPUTED_VALUE"""),"EL041")</f>
        <v>EL041</v>
      </c>
      <c r="N161" s="11" t="str">
        <f>IFERROR(__xludf.DUMMYFUNCTION("""COMPUTED_VALUE"""),"Communication 1")</f>
        <v>Communication 1</v>
      </c>
      <c r="O161" s="11" t="str">
        <f>IFERROR(__xludf.DUMMYFUNCTION("""COMPUTED_VALUE"""),"133067")</f>
        <v>133067</v>
      </c>
      <c r="P161" s="11">
        <f>IFERROR(__xludf.DUMMYFUNCTION("""COMPUTED_VALUE"""),10.0)</f>
        <v>10</v>
      </c>
      <c r="Q161" s="11">
        <f>IFERROR(__xludf.DUMMYFUNCTION("""COMPUTED_VALUE"""),10.0)</f>
        <v>10</v>
      </c>
      <c r="R161" s="11">
        <f>IFERROR(__xludf.DUMMYFUNCTION("""COMPUTED_VALUE"""),1.0)</f>
        <v>1</v>
      </c>
      <c r="S161" s="11" t="str">
        <f>IFERROR(__xludf.DUMMYFUNCTION("""COMPUTED_VALUE"""),"Inactive")</f>
        <v>Inactive</v>
      </c>
      <c r="T161" s="11" t="str">
        <f>IFERROR(__xludf.DUMMYFUNCTION("""COMPUTED_VALUE"""),"Discontinued mid-course")</f>
        <v>Discontinued mid-course</v>
      </c>
      <c r="U161" s="11" t="str">
        <f>IFERROR(__xludf.DUMMYFUNCTION("""COMPUTED_VALUE"""),"Nghỉ giữa chừng")</f>
        <v>Nghỉ giữa chừng</v>
      </c>
    </row>
    <row r="162">
      <c r="A162" s="11" t="str">
        <f>IFERROR(__xludf.DUMMYFUNCTION("""COMPUTED_VALUE"""),"EL016")</f>
        <v>EL016</v>
      </c>
      <c r="B162" s="11" t="str">
        <f>IFERROR(__xludf.DUMMYFUNCTION("""COMPUTED_VALUE"""),"Communication 1")</f>
        <v>Communication 1</v>
      </c>
      <c r="C162" s="11" t="str">
        <f>IFERROR(__xludf.DUMMYFUNCTION("""COMPUTED_VALUE"""),"247076")</f>
        <v>247076</v>
      </c>
      <c r="D162" s="11">
        <f>IFERROR(__xludf.DUMMYFUNCTION("""COMPUTED_VALUE"""),3.0)</f>
        <v>3</v>
      </c>
      <c r="E162" s="11">
        <f>IFERROR(VLOOKUP(B162,COURSE_PLAN!A:B,2,FALSE),"")</f>
        <v>10</v>
      </c>
      <c r="F162" s="11">
        <f t="shared" si="1"/>
        <v>0.3</v>
      </c>
      <c r="G162" s="11" t="str">
        <f>IFERROR(VLOOKUP(C162,STUDENTS!A:E,5,FALSE),"")</f>
        <v>Inactive</v>
      </c>
      <c r="H162" s="11" t="str">
        <f>IFERROR(VLOOKUP(C162,STUDENTS!A:M,13,FALSE),"")</f>
        <v>Discontinued mid-course</v>
      </c>
      <c r="I162" s="11" t="str">
        <f>IF(D162="","",IF(AND(VLOOKUP(C162,STUDENTS!$A:$R,17,FALSE)=A162,VLOOKUP(C162,STUDENTS!$A:$R,18,FALSE)=B162,G162="Active"),"Đang học",IF(F162&gt;=0.8,IF(G162="Active","Tiếp tục khóa sau",IF(G162="Waiting for class","Chờ lớp mới",IF(G162="Inactive",IF(IFERROR(H162,"")="Discontinued mid-course","Nghỉ giữa chừng","Hoàn thành rồi nghỉ luôn"),""))),IF(G162="Inactive","Nghỉ giữa chừng","Đang học"))))</f>
        <v>Nghỉ giữa chừng</v>
      </c>
      <c r="M162" s="11" t="str">
        <f>IFERROR(__xludf.DUMMYFUNCTION("""COMPUTED_VALUE"""),"EL041")</f>
        <v>EL041</v>
      </c>
      <c r="N162" s="11" t="str">
        <f>IFERROR(__xludf.DUMMYFUNCTION("""COMPUTED_VALUE"""),"Communication 1")</f>
        <v>Communication 1</v>
      </c>
      <c r="O162" s="11" t="str">
        <f>IFERROR(__xludf.DUMMYFUNCTION("""COMPUTED_VALUE"""),"173231")</f>
        <v>173231</v>
      </c>
      <c r="P162" s="11">
        <f>IFERROR(__xludf.DUMMYFUNCTION("""COMPUTED_VALUE"""),10.0)</f>
        <v>10</v>
      </c>
      <c r="Q162" s="11">
        <f>IFERROR(__xludf.DUMMYFUNCTION("""COMPUTED_VALUE"""),10.0)</f>
        <v>10</v>
      </c>
      <c r="R162" s="11">
        <f>IFERROR(__xludf.DUMMYFUNCTION("""COMPUTED_VALUE"""),1.0)</f>
        <v>1</v>
      </c>
      <c r="S162" s="11" t="str">
        <f>IFERROR(__xludf.DUMMYFUNCTION("""COMPUTED_VALUE"""),"Inactive")</f>
        <v>Inactive</v>
      </c>
      <c r="T162" s="11" t="str">
        <f>IFERROR(__xludf.DUMMYFUNCTION("""COMPUTED_VALUE"""),"Discontinued mid-course")</f>
        <v>Discontinued mid-course</v>
      </c>
      <c r="U162" s="11" t="str">
        <f>IFERROR(__xludf.DUMMYFUNCTION("""COMPUTED_VALUE"""),"Nghỉ giữa chừng")</f>
        <v>Nghỉ giữa chừng</v>
      </c>
    </row>
    <row r="163">
      <c r="A163" s="11" t="str">
        <f>IFERROR(__xludf.DUMMYFUNCTION("""COMPUTED_VALUE"""),"EL016")</f>
        <v>EL016</v>
      </c>
      <c r="B163" s="11" t="str">
        <f>IFERROR(__xludf.DUMMYFUNCTION("""COMPUTED_VALUE"""),"Communication 1")</f>
        <v>Communication 1</v>
      </c>
      <c r="C163" s="11" t="str">
        <f>IFERROR(__xludf.DUMMYFUNCTION("""COMPUTED_VALUE"""),"247127")</f>
        <v>247127</v>
      </c>
      <c r="D163" s="11">
        <f>IFERROR(__xludf.DUMMYFUNCTION("""COMPUTED_VALUE"""),3.0)</f>
        <v>3</v>
      </c>
      <c r="E163" s="11">
        <f>IFERROR(VLOOKUP(B163,COURSE_PLAN!A:B,2,FALSE),"")</f>
        <v>10</v>
      </c>
      <c r="F163" s="11">
        <f t="shared" si="1"/>
        <v>0.3</v>
      </c>
      <c r="G163" s="11" t="str">
        <f>IFERROR(VLOOKUP(C163,STUDENTS!A:E,5,FALSE),"")</f>
        <v>Inactive</v>
      </c>
      <c r="H163" s="11" t="str">
        <f>IFERROR(VLOOKUP(C163,STUDENTS!A:M,13,FALSE),"")</f>
        <v>Discontinued mid-course</v>
      </c>
      <c r="I163" s="11" t="str">
        <f>IF(D163="","",IF(AND(VLOOKUP(C163,STUDENTS!$A:$R,17,FALSE)=A163,VLOOKUP(C163,STUDENTS!$A:$R,18,FALSE)=B163,G163="Active"),"Đang học",IF(F163&gt;=0.8,IF(G163="Active","Tiếp tục khóa sau",IF(G163="Waiting for class","Chờ lớp mới",IF(G163="Inactive",IF(IFERROR(H163,"")="Discontinued mid-course","Nghỉ giữa chừng","Hoàn thành rồi nghỉ luôn"),""))),IF(G163="Inactive","Nghỉ giữa chừng","Đang học"))))</f>
        <v>Nghỉ giữa chừng</v>
      </c>
      <c r="M163" s="11" t="str">
        <f>IFERROR(__xludf.DUMMYFUNCTION("""COMPUTED_VALUE"""),"EL041")</f>
        <v>EL041</v>
      </c>
      <c r="N163" s="11" t="str">
        <f>IFERROR(__xludf.DUMMYFUNCTION("""COMPUTED_VALUE"""),"Communication 1")</f>
        <v>Communication 1</v>
      </c>
      <c r="O163" s="11" t="str">
        <f>IFERROR(__xludf.DUMMYFUNCTION("""COMPUTED_VALUE"""),"193550")</f>
        <v>193550</v>
      </c>
      <c r="P163" s="11">
        <f>IFERROR(__xludf.DUMMYFUNCTION("""COMPUTED_VALUE"""),10.0)</f>
        <v>10</v>
      </c>
      <c r="Q163" s="11">
        <f>IFERROR(__xludf.DUMMYFUNCTION("""COMPUTED_VALUE"""),10.0)</f>
        <v>10</v>
      </c>
      <c r="R163" s="11">
        <f>IFERROR(__xludf.DUMMYFUNCTION("""COMPUTED_VALUE"""),1.0)</f>
        <v>1</v>
      </c>
      <c r="S163" s="11" t="str">
        <f>IFERROR(__xludf.DUMMYFUNCTION("""COMPUTED_VALUE"""),"Inactive")</f>
        <v>Inactive</v>
      </c>
      <c r="T163" s="11" t="str">
        <f>IFERROR(__xludf.DUMMYFUNCTION("""COMPUTED_VALUE"""),"Discontinued mid-course")</f>
        <v>Discontinued mid-course</v>
      </c>
      <c r="U163" s="11" t="str">
        <f>IFERROR(__xludf.DUMMYFUNCTION("""COMPUTED_VALUE"""),"Nghỉ giữa chừng")</f>
        <v>Nghỉ giữa chừng</v>
      </c>
    </row>
    <row r="164">
      <c r="A164" s="11" t="str">
        <f>IFERROR(__xludf.DUMMYFUNCTION("""COMPUTED_VALUE"""),"EL017")</f>
        <v>EL017</v>
      </c>
      <c r="B164" s="11" t="str">
        <f>IFERROR(__xludf.DUMMYFUNCTION("""COMPUTED_VALUE"""),"Communication 1")</f>
        <v>Communication 1</v>
      </c>
      <c r="C164" s="11" t="str">
        <f>IFERROR(__xludf.DUMMYFUNCTION("""COMPUTED_VALUE"""),"212007")</f>
        <v>212007</v>
      </c>
      <c r="D164" s="11">
        <f>IFERROR(__xludf.DUMMYFUNCTION("""COMPUTED_VALUE"""),10.0)</f>
        <v>10</v>
      </c>
      <c r="E164" s="11">
        <f>IFERROR(VLOOKUP(B164,COURSE_PLAN!A:B,2,FALSE),"")</f>
        <v>10</v>
      </c>
      <c r="F164" s="11">
        <f t="shared" si="1"/>
        <v>1</v>
      </c>
      <c r="G164" s="11" t="str">
        <f>IFERROR(VLOOKUP(C164,STUDENTS!A:E,5,FALSE),"")</f>
        <v>Inactive</v>
      </c>
      <c r="H164" s="11" t="str">
        <f>IFERROR(VLOOKUP(C164,STUDENTS!A:M,13,FALSE),"")</f>
        <v>Completed (no continuation)</v>
      </c>
      <c r="I164" s="11" t="str">
        <f>IF(D164="","",IF(AND(VLOOKUP(C164,STUDENTS!$A:$R,17,FALSE)=A164,VLOOKUP(C164,STUDENTS!$A:$R,18,FALSE)=B164,G164="Active"),"Đang học",IF(F164&gt;=0.8,IF(G164="Active","Tiếp tục khóa sau",IF(G164="Waiting for class","Chờ lớp mới",IF(G164="Inactive",IF(IFERROR(H164,"")="Discontinued mid-course","Nghỉ giữa chừng","Hoàn thành rồi nghỉ luôn"),""))),IF(G164="Inactive","Nghỉ giữa chừng","Đang học"))))</f>
        <v>Hoàn thành rồi nghỉ luôn</v>
      </c>
      <c r="M164" s="11" t="str">
        <f>IFERROR(__xludf.DUMMYFUNCTION("""COMPUTED_VALUE"""),"EL041")</f>
        <v>EL041</v>
      </c>
      <c r="N164" s="11" t="str">
        <f>IFERROR(__xludf.DUMMYFUNCTION("""COMPUTED_VALUE"""),"Communication 1")</f>
        <v>Communication 1</v>
      </c>
      <c r="O164" s="11" t="str">
        <f>IFERROR(__xludf.DUMMYFUNCTION("""COMPUTED_VALUE"""),"193607")</f>
        <v>193607</v>
      </c>
      <c r="P164" s="11">
        <f>IFERROR(__xludf.DUMMYFUNCTION("""COMPUTED_VALUE"""),10.0)</f>
        <v>10</v>
      </c>
      <c r="Q164" s="11">
        <f>IFERROR(__xludf.DUMMYFUNCTION("""COMPUTED_VALUE"""),10.0)</f>
        <v>10</v>
      </c>
      <c r="R164" s="11">
        <f>IFERROR(__xludf.DUMMYFUNCTION("""COMPUTED_VALUE"""),1.0)</f>
        <v>1</v>
      </c>
      <c r="S164" s="11" t="str">
        <f>IFERROR(__xludf.DUMMYFUNCTION("""COMPUTED_VALUE"""),"Inactive")</f>
        <v>Inactive</v>
      </c>
      <c r="T164" s="11" t="str">
        <f>IFERROR(__xludf.DUMMYFUNCTION("""COMPUTED_VALUE"""),"Discontinued mid-course")</f>
        <v>Discontinued mid-course</v>
      </c>
      <c r="U164" s="11" t="str">
        <f>IFERROR(__xludf.DUMMYFUNCTION("""COMPUTED_VALUE"""),"Nghỉ giữa chừng")</f>
        <v>Nghỉ giữa chừng</v>
      </c>
    </row>
    <row r="165">
      <c r="A165" s="11" t="str">
        <f>IFERROR(__xludf.DUMMYFUNCTION("""COMPUTED_VALUE"""),"EL017")</f>
        <v>EL017</v>
      </c>
      <c r="B165" s="11" t="str">
        <f>IFERROR(__xludf.DUMMYFUNCTION("""COMPUTED_VALUE"""),"Communication 1")</f>
        <v>Communication 1</v>
      </c>
      <c r="C165" s="11" t="str">
        <f>IFERROR(__xludf.DUMMYFUNCTION("""COMPUTED_VALUE"""),"222010")</f>
        <v>222010</v>
      </c>
      <c r="D165" s="11">
        <f>IFERROR(__xludf.DUMMYFUNCTION("""COMPUTED_VALUE"""),10.0)</f>
        <v>10</v>
      </c>
      <c r="E165" s="11">
        <f>IFERROR(VLOOKUP(B165,COURSE_PLAN!A:B,2,FALSE),"")</f>
        <v>10</v>
      </c>
      <c r="F165" s="11">
        <f t="shared" si="1"/>
        <v>1</v>
      </c>
      <c r="G165" s="11" t="str">
        <f>IFERROR(VLOOKUP(C165,STUDENTS!A:E,5,FALSE),"")</f>
        <v>Inactive</v>
      </c>
      <c r="H165" s="11" t="str">
        <f>IFERROR(VLOOKUP(C165,STUDENTS!A:M,13,FALSE),"")</f>
        <v>Completed (no continuation)</v>
      </c>
      <c r="I165" s="11" t="str">
        <f>IF(D165="","",IF(AND(VLOOKUP(C165,STUDENTS!$A:$R,17,FALSE)=A165,VLOOKUP(C165,STUDENTS!$A:$R,18,FALSE)=B165,G165="Active"),"Đang học",IF(F165&gt;=0.8,IF(G165="Active","Tiếp tục khóa sau",IF(G165="Waiting for class","Chờ lớp mới",IF(G165="Inactive",IF(IFERROR(H165,"")="Discontinued mid-course","Nghỉ giữa chừng","Hoàn thành rồi nghỉ luôn"),""))),IF(G165="Inactive","Nghỉ giữa chừng","Đang học"))))</f>
        <v>Hoàn thành rồi nghỉ luôn</v>
      </c>
      <c r="M165" s="11" t="str">
        <f>IFERROR(__xludf.DUMMYFUNCTION("""COMPUTED_VALUE"""),"EL041")</f>
        <v>EL041</v>
      </c>
      <c r="N165" s="11" t="str">
        <f>IFERROR(__xludf.DUMMYFUNCTION("""COMPUTED_VALUE"""),"Communication 1")</f>
        <v>Communication 1</v>
      </c>
      <c r="O165" s="11" t="str">
        <f>IFERROR(__xludf.DUMMYFUNCTION("""COMPUTED_VALUE"""),"203748")</f>
        <v>203748</v>
      </c>
      <c r="P165" s="11">
        <f>IFERROR(__xludf.DUMMYFUNCTION("""COMPUTED_VALUE"""),10.0)</f>
        <v>10</v>
      </c>
      <c r="Q165" s="11">
        <f>IFERROR(__xludf.DUMMYFUNCTION("""COMPUTED_VALUE"""),10.0)</f>
        <v>10</v>
      </c>
      <c r="R165" s="11">
        <f>IFERROR(__xludf.DUMMYFUNCTION("""COMPUTED_VALUE"""),1.0)</f>
        <v>1</v>
      </c>
      <c r="S165" s="11" t="str">
        <f>IFERROR(__xludf.DUMMYFUNCTION("""COMPUTED_VALUE"""),"Inactive")</f>
        <v>Inactive</v>
      </c>
      <c r="T165" s="11" t="str">
        <f>IFERROR(__xludf.DUMMYFUNCTION("""COMPUTED_VALUE"""),"Discontinued mid-course")</f>
        <v>Discontinued mid-course</v>
      </c>
      <c r="U165" s="11" t="str">
        <f>IFERROR(__xludf.DUMMYFUNCTION("""COMPUTED_VALUE"""),"Nghỉ giữa chừng")</f>
        <v>Nghỉ giữa chừng</v>
      </c>
    </row>
    <row r="166">
      <c r="A166" s="11" t="str">
        <f>IFERROR(__xludf.DUMMYFUNCTION("""COMPUTED_VALUE"""),"EL017")</f>
        <v>EL017</v>
      </c>
      <c r="B166" s="11" t="str">
        <f>IFERROR(__xludf.DUMMYFUNCTION("""COMPUTED_VALUE"""),"Communication 1")</f>
        <v>Communication 1</v>
      </c>
      <c r="C166" s="11" t="str">
        <f>IFERROR(__xludf.DUMMYFUNCTION("""COMPUTED_VALUE"""),"222014")</f>
        <v>222014</v>
      </c>
      <c r="D166" s="11">
        <f>IFERROR(__xludf.DUMMYFUNCTION("""COMPUTED_VALUE"""),10.0)</f>
        <v>10</v>
      </c>
      <c r="E166" s="11">
        <f>IFERROR(VLOOKUP(B166,COURSE_PLAN!A:B,2,FALSE),"")</f>
        <v>10</v>
      </c>
      <c r="F166" s="11">
        <f t="shared" si="1"/>
        <v>1</v>
      </c>
      <c r="G166" s="11" t="str">
        <f>IFERROR(VLOOKUP(C166,STUDENTS!A:E,5,FALSE),"")</f>
        <v>Inactive</v>
      </c>
      <c r="H166" s="11" t="str">
        <f>IFERROR(VLOOKUP(C166,STUDENTS!A:M,13,FALSE),"")</f>
        <v>Completed (no continuation)</v>
      </c>
      <c r="I166" s="11" t="str">
        <f>IF(D166="","",IF(AND(VLOOKUP(C166,STUDENTS!$A:$R,17,FALSE)=A166,VLOOKUP(C166,STUDENTS!$A:$R,18,FALSE)=B166,G166="Active"),"Đang học",IF(F166&gt;=0.8,IF(G166="Active","Tiếp tục khóa sau",IF(G166="Waiting for class","Chờ lớp mới",IF(G166="Inactive",IF(IFERROR(H166,"")="Discontinued mid-course","Nghỉ giữa chừng","Hoàn thành rồi nghỉ luôn"),""))),IF(G166="Inactive","Nghỉ giữa chừng","Đang học"))))</f>
        <v>Hoàn thành rồi nghỉ luôn</v>
      </c>
      <c r="M166" s="11" t="str">
        <f>IFERROR(__xludf.DUMMYFUNCTION("""COMPUTED_VALUE"""),"EL041")</f>
        <v>EL041</v>
      </c>
      <c r="N166" s="11" t="str">
        <f>IFERROR(__xludf.DUMMYFUNCTION("""COMPUTED_VALUE"""),"Communication 1")</f>
        <v>Communication 1</v>
      </c>
      <c r="O166" s="11" t="str">
        <f>IFERROR(__xludf.DUMMYFUNCTION("""COMPUTED_VALUE"""),"213857")</f>
        <v>213857</v>
      </c>
      <c r="P166" s="11">
        <f>IFERROR(__xludf.DUMMYFUNCTION("""COMPUTED_VALUE"""),10.0)</f>
        <v>10</v>
      </c>
      <c r="Q166" s="11">
        <f>IFERROR(__xludf.DUMMYFUNCTION("""COMPUTED_VALUE"""),10.0)</f>
        <v>10</v>
      </c>
      <c r="R166" s="11">
        <f>IFERROR(__xludf.DUMMYFUNCTION("""COMPUTED_VALUE"""),1.0)</f>
        <v>1</v>
      </c>
      <c r="S166" s="11" t="str">
        <f>IFERROR(__xludf.DUMMYFUNCTION("""COMPUTED_VALUE"""),"Inactive")</f>
        <v>Inactive</v>
      </c>
      <c r="T166" s="11" t="str">
        <f>IFERROR(__xludf.DUMMYFUNCTION("""COMPUTED_VALUE"""),"Discontinued mid-course")</f>
        <v>Discontinued mid-course</v>
      </c>
      <c r="U166" s="11" t="str">
        <f>IFERROR(__xludf.DUMMYFUNCTION("""COMPUTED_VALUE"""),"Nghỉ giữa chừng")</f>
        <v>Nghỉ giữa chừng</v>
      </c>
    </row>
    <row r="167">
      <c r="A167" s="11" t="str">
        <f>IFERROR(__xludf.DUMMYFUNCTION("""COMPUTED_VALUE"""),"EL017")</f>
        <v>EL017</v>
      </c>
      <c r="B167" s="11" t="str">
        <f>IFERROR(__xludf.DUMMYFUNCTION("""COMPUTED_VALUE"""),"Communication 1")</f>
        <v>Communication 1</v>
      </c>
      <c r="C167" s="11" t="str">
        <f>IFERROR(__xludf.DUMMYFUNCTION("""COMPUTED_VALUE"""),"232002")</f>
        <v>232002</v>
      </c>
      <c r="D167" s="11">
        <f>IFERROR(__xludf.DUMMYFUNCTION("""COMPUTED_VALUE"""),10.0)</f>
        <v>10</v>
      </c>
      <c r="E167" s="11">
        <f>IFERROR(VLOOKUP(B167,COURSE_PLAN!A:B,2,FALSE),"")</f>
        <v>10</v>
      </c>
      <c r="F167" s="11">
        <f t="shared" si="1"/>
        <v>1</v>
      </c>
      <c r="G167" s="11" t="str">
        <f>IFERROR(VLOOKUP(C167,STUDENTS!A:E,5,FALSE),"")</f>
        <v>Inactive</v>
      </c>
      <c r="H167" s="11" t="str">
        <f>IFERROR(VLOOKUP(C167,STUDENTS!A:M,13,FALSE),"")</f>
        <v>Completed (no continuation)</v>
      </c>
      <c r="I167" s="11" t="str">
        <f>IF(D167="","",IF(AND(VLOOKUP(C167,STUDENTS!$A:$R,17,FALSE)=A167,VLOOKUP(C167,STUDENTS!$A:$R,18,FALSE)=B167,G167="Active"),"Đang học",IF(F167&gt;=0.8,IF(G167="Active","Tiếp tục khóa sau",IF(G167="Waiting for class","Chờ lớp mới",IF(G167="Inactive",IF(IFERROR(H167,"")="Discontinued mid-course","Nghỉ giữa chừng","Hoàn thành rồi nghỉ luôn"),""))),IF(G167="Inactive","Nghỉ giữa chừng","Đang học"))))</f>
        <v>Hoàn thành rồi nghỉ luôn</v>
      </c>
      <c r="M167" s="11" t="str">
        <f>IFERROR(__xludf.DUMMYFUNCTION("""COMPUTED_VALUE"""),"EL041")</f>
        <v>EL041</v>
      </c>
      <c r="N167" s="11" t="str">
        <f>IFERROR(__xludf.DUMMYFUNCTION("""COMPUTED_VALUE"""),"Communication 1")</f>
        <v>Communication 1</v>
      </c>
      <c r="O167" s="11" t="str">
        <f>IFERROR(__xludf.DUMMYFUNCTION("""COMPUTED_VALUE"""),"227055")</f>
        <v>227055</v>
      </c>
      <c r="P167" s="11">
        <f>IFERROR(__xludf.DUMMYFUNCTION("""COMPUTED_VALUE"""),10.0)</f>
        <v>10</v>
      </c>
      <c r="Q167" s="11">
        <f>IFERROR(__xludf.DUMMYFUNCTION("""COMPUTED_VALUE"""),10.0)</f>
        <v>10</v>
      </c>
      <c r="R167" s="11">
        <f>IFERROR(__xludf.DUMMYFUNCTION("""COMPUTED_VALUE"""),1.0)</f>
        <v>1</v>
      </c>
      <c r="S167" s="11" t="str">
        <f>IFERROR(__xludf.DUMMYFUNCTION("""COMPUTED_VALUE"""),"Inactive")</f>
        <v>Inactive</v>
      </c>
      <c r="T167" s="11" t="str">
        <f>IFERROR(__xludf.DUMMYFUNCTION("""COMPUTED_VALUE"""),"Discontinued mid-course")</f>
        <v>Discontinued mid-course</v>
      </c>
      <c r="U167" s="11" t="str">
        <f>IFERROR(__xludf.DUMMYFUNCTION("""COMPUTED_VALUE"""),"Nghỉ giữa chừng")</f>
        <v>Nghỉ giữa chừng</v>
      </c>
    </row>
    <row r="168">
      <c r="A168" s="11" t="str">
        <f>IFERROR(__xludf.DUMMYFUNCTION("""COMPUTED_VALUE"""),"EL017")</f>
        <v>EL017</v>
      </c>
      <c r="B168" s="11" t="str">
        <f>IFERROR(__xludf.DUMMYFUNCTION("""COMPUTED_VALUE"""),"Communication 1")</f>
        <v>Communication 1</v>
      </c>
      <c r="C168" s="11" t="str">
        <f>IFERROR(__xludf.DUMMYFUNCTION("""COMPUTED_VALUE"""),"242001")</f>
        <v>242001</v>
      </c>
      <c r="D168" s="11">
        <f>IFERROR(__xludf.DUMMYFUNCTION("""COMPUTED_VALUE"""),10.0)</f>
        <v>10</v>
      </c>
      <c r="E168" s="11">
        <f>IFERROR(VLOOKUP(B168,COURSE_PLAN!A:B,2,FALSE),"")</f>
        <v>10</v>
      </c>
      <c r="F168" s="11">
        <f t="shared" si="1"/>
        <v>1</v>
      </c>
      <c r="G168" s="11" t="str">
        <f>IFERROR(VLOOKUP(C168,STUDENTS!A:E,5,FALSE),"")</f>
        <v>Inactive</v>
      </c>
      <c r="H168" s="11" t="str">
        <f>IFERROR(VLOOKUP(C168,STUDENTS!A:M,13,FALSE),"")</f>
        <v>Completed (no continuation)</v>
      </c>
      <c r="I168" s="11" t="str">
        <f>IF(D168="","",IF(AND(VLOOKUP(C168,STUDENTS!$A:$R,17,FALSE)=A168,VLOOKUP(C168,STUDENTS!$A:$R,18,FALSE)=B168,G168="Active"),"Đang học",IF(F168&gt;=0.8,IF(G168="Active","Tiếp tục khóa sau",IF(G168="Waiting for class","Chờ lớp mới",IF(G168="Inactive",IF(IFERROR(H168,"")="Discontinued mid-course","Nghỉ giữa chừng","Hoàn thành rồi nghỉ luôn"),""))),IF(G168="Inactive","Nghỉ giữa chừng","Đang học"))))</f>
        <v>Hoàn thành rồi nghỉ luôn</v>
      </c>
      <c r="M168" s="11" t="str">
        <f>IFERROR(__xludf.DUMMYFUNCTION("""COMPUTED_VALUE"""),"EL041")</f>
        <v>EL041</v>
      </c>
      <c r="N168" s="11" t="str">
        <f>IFERROR(__xludf.DUMMYFUNCTION("""COMPUTED_VALUE"""),"Communication 1")</f>
        <v>Communication 1</v>
      </c>
      <c r="O168" s="11" t="str">
        <f>IFERROR(__xludf.DUMMYFUNCTION("""COMPUTED_VALUE"""),"257045")</f>
        <v>257045</v>
      </c>
      <c r="P168" s="11">
        <f>IFERROR(__xludf.DUMMYFUNCTION("""COMPUTED_VALUE"""),10.0)</f>
        <v>10</v>
      </c>
      <c r="Q168" s="11">
        <f>IFERROR(__xludf.DUMMYFUNCTION("""COMPUTED_VALUE"""),10.0)</f>
        <v>10</v>
      </c>
      <c r="R168" s="11">
        <f>IFERROR(__xludf.DUMMYFUNCTION("""COMPUTED_VALUE"""),1.0)</f>
        <v>1</v>
      </c>
      <c r="S168" s="11" t="str">
        <f>IFERROR(__xludf.DUMMYFUNCTION("""COMPUTED_VALUE"""),"Inactive")</f>
        <v>Inactive</v>
      </c>
      <c r="T168" s="11" t="str">
        <f>IFERROR(__xludf.DUMMYFUNCTION("""COMPUTED_VALUE"""),"Discontinued mid-course")</f>
        <v>Discontinued mid-course</v>
      </c>
      <c r="U168" s="11" t="str">
        <f>IFERROR(__xludf.DUMMYFUNCTION("""COMPUTED_VALUE"""),"Nghỉ giữa chừng")</f>
        <v>Nghỉ giữa chừng</v>
      </c>
    </row>
    <row r="169">
      <c r="A169" s="11" t="str">
        <f>IFERROR(__xludf.DUMMYFUNCTION("""COMPUTED_VALUE"""),"EL017")</f>
        <v>EL017</v>
      </c>
      <c r="B169" s="11" t="str">
        <f>IFERROR(__xludf.DUMMYFUNCTION("""COMPUTED_VALUE"""),"Communication 1")</f>
        <v>Communication 1</v>
      </c>
      <c r="C169" s="11" t="str">
        <f>IFERROR(__xludf.DUMMYFUNCTION("""COMPUTED_VALUE"""),"242003")</f>
        <v>242003</v>
      </c>
      <c r="D169" s="11">
        <f>IFERROR(__xludf.DUMMYFUNCTION("""COMPUTED_VALUE"""),10.0)</f>
        <v>10</v>
      </c>
      <c r="E169" s="11">
        <f>IFERROR(VLOOKUP(B169,COURSE_PLAN!A:B,2,FALSE),"")</f>
        <v>10</v>
      </c>
      <c r="F169" s="11">
        <f t="shared" si="1"/>
        <v>1</v>
      </c>
      <c r="G169" s="11" t="str">
        <f>IFERROR(VLOOKUP(C169,STUDENTS!A:E,5,FALSE),"")</f>
        <v>Inactive</v>
      </c>
      <c r="H169" s="11" t="str">
        <f>IFERROR(VLOOKUP(C169,STUDENTS!A:M,13,FALSE),"")</f>
        <v>Completed (no continuation)</v>
      </c>
      <c r="I169" s="11" t="str">
        <f>IF(D169="","",IF(AND(VLOOKUP(C169,STUDENTS!$A:$R,17,FALSE)=A169,VLOOKUP(C169,STUDENTS!$A:$R,18,FALSE)=B169,G169="Active"),"Đang học",IF(F169&gt;=0.8,IF(G169="Active","Tiếp tục khóa sau",IF(G169="Waiting for class","Chờ lớp mới",IF(G169="Inactive",IF(IFERROR(H169,"")="Discontinued mid-course","Nghỉ giữa chừng","Hoàn thành rồi nghỉ luôn"),""))),IF(G169="Inactive","Nghỉ giữa chừng","Đang học"))))</f>
        <v>Hoàn thành rồi nghỉ luôn</v>
      </c>
      <c r="M169" s="11" t="str">
        <f>IFERROR(__xludf.DUMMYFUNCTION("""COMPUTED_VALUE"""),"EL042")</f>
        <v>EL042</v>
      </c>
      <c r="N169" s="11" t="str">
        <f>IFERROR(__xludf.DUMMYFUNCTION("""COMPUTED_VALUE"""),"Communication 1")</f>
        <v>Communication 1</v>
      </c>
      <c r="O169" s="11" t="str">
        <f>IFERROR(__xludf.DUMMYFUNCTION("""COMPUTED_VALUE"""),"227035")</f>
        <v>227035</v>
      </c>
      <c r="P169" s="11">
        <f>IFERROR(__xludf.DUMMYFUNCTION("""COMPUTED_VALUE"""),15.0)</f>
        <v>15</v>
      </c>
      <c r="Q169" s="11">
        <f>IFERROR(__xludf.DUMMYFUNCTION("""COMPUTED_VALUE"""),10.0)</f>
        <v>10</v>
      </c>
      <c r="R169" s="11">
        <f>IFERROR(__xludf.DUMMYFUNCTION("""COMPUTED_VALUE"""),1.5)</f>
        <v>1.5</v>
      </c>
      <c r="S169" s="11" t="str">
        <f>IFERROR(__xludf.DUMMYFUNCTION("""COMPUTED_VALUE"""),"Inactive")</f>
        <v>Inactive</v>
      </c>
      <c r="T169" s="11" t="str">
        <f>IFERROR(__xludf.DUMMYFUNCTION("""COMPUTED_VALUE"""),"Discontinued mid-course")</f>
        <v>Discontinued mid-course</v>
      </c>
      <c r="U169" s="11" t="str">
        <f>IFERROR(__xludf.DUMMYFUNCTION("""COMPUTED_VALUE"""),"Nghỉ giữa chừng")</f>
        <v>Nghỉ giữa chừng</v>
      </c>
    </row>
    <row r="170">
      <c r="A170" s="11" t="str">
        <f>IFERROR(__xludf.DUMMYFUNCTION("""COMPUTED_VALUE"""),"EL017")</f>
        <v>EL017</v>
      </c>
      <c r="B170" s="11" t="str">
        <f>IFERROR(__xludf.DUMMYFUNCTION("""COMPUTED_VALUE"""),"Communication 1")</f>
        <v>Communication 1</v>
      </c>
      <c r="C170" s="11" t="str">
        <f>IFERROR(__xludf.DUMMYFUNCTION("""COMPUTED_VALUE"""),"242006")</f>
        <v>242006</v>
      </c>
      <c r="D170" s="11">
        <f>IFERROR(__xludf.DUMMYFUNCTION("""COMPUTED_VALUE"""),10.0)</f>
        <v>10</v>
      </c>
      <c r="E170" s="11">
        <f>IFERROR(VLOOKUP(B170,COURSE_PLAN!A:B,2,FALSE),"")</f>
        <v>10</v>
      </c>
      <c r="F170" s="11">
        <f t="shared" si="1"/>
        <v>1</v>
      </c>
      <c r="G170" s="11" t="str">
        <f>IFERROR(VLOOKUP(C170,STUDENTS!A:E,5,FALSE),"")</f>
        <v>Inactive</v>
      </c>
      <c r="H170" s="11" t="str">
        <f>IFERROR(VLOOKUP(C170,STUDENTS!A:M,13,FALSE),"")</f>
        <v>Discontinued mid-course</v>
      </c>
      <c r="I170" s="11" t="str">
        <f>IF(D170="","",IF(AND(VLOOKUP(C170,STUDENTS!$A:$R,17,FALSE)=A170,VLOOKUP(C170,STUDENTS!$A:$R,18,FALSE)=B170,G170="Active"),"Đang học",IF(F170&gt;=0.8,IF(G170="Active","Tiếp tục khóa sau",IF(G170="Waiting for class","Chờ lớp mới",IF(G170="Inactive",IF(IFERROR(H170,"")="Discontinued mid-course","Nghỉ giữa chừng","Hoàn thành rồi nghỉ luôn"),""))),IF(G170="Inactive","Nghỉ giữa chừng","Đang học"))))</f>
        <v>Nghỉ giữa chừng</v>
      </c>
      <c r="M170" s="11" t="str">
        <f>IFERROR(__xludf.DUMMYFUNCTION("""COMPUTED_VALUE"""),"EL042")</f>
        <v>EL042</v>
      </c>
      <c r="N170" s="11" t="str">
        <f>IFERROR(__xludf.DUMMYFUNCTION("""COMPUTED_VALUE"""),"Communication 2")</f>
        <v>Communication 2</v>
      </c>
      <c r="O170" s="11" t="str">
        <f>IFERROR(__xludf.DUMMYFUNCTION("""COMPUTED_VALUE"""),"227035")</f>
        <v>227035</v>
      </c>
      <c r="P170" s="11">
        <f>IFERROR(__xludf.DUMMYFUNCTION("""COMPUTED_VALUE"""),8.0)</f>
        <v>8</v>
      </c>
      <c r="Q170" s="11">
        <f>IFERROR(__xludf.DUMMYFUNCTION("""COMPUTED_VALUE"""),16.0)</f>
        <v>16</v>
      </c>
      <c r="R170" s="11">
        <f>IFERROR(__xludf.DUMMYFUNCTION("""COMPUTED_VALUE"""),0.5)</f>
        <v>0.5</v>
      </c>
      <c r="S170" s="11" t="str">
        <f>IFERROR(__xludf.DUMMYFUNCTION("""COMPUTED_VALUE"""),"Inactive")</f>
        <v>Inactive</v>
      </c>
      <c r="T170" s="11" t="str">
        <f>IFERROR(__xludf.DUMMYFUNCTION("""COMPUTED_VALUE"""),"Discontinued mid-course")</f>
        <v>Discontinued mid-course</v>
      </c>
      <c r="U170" s="11" t="str">
        <f>IFERROR(__xludf.DUMMYFUNCTION("""COMPUTED_VALUE"""),"Nghỉ giữa chừng")</f>
        <v>Nghỉ giữa chừng</v>
      </c>
    </row>
    <row r="171">
      <c r="A171" s="11" t="str">
        <f>IFERROR(__xludf.DUMMYFUNCTION("""COMPUTED_VALUE"""),"EL017")</f>
        <v>EL017</v>
      </c>
      <c r="B171" s="11" t="str">
        <f>IFERROR(__xludf.DUMMYFUNCTION("""COMPUTED_VALUE"""),"Communication 1")</f>
        <v>Communication 1</v>
      </c>
      <c r="C171" s="11" t="str">
        <f>IFERROR(__xludf.DUMMYFUNCTION("""COMPUTED_VALUE"""),"242009")</f>
        <v>242009</v>
      </c>
      <c r="D171" s="11">
        <f>IFERROR(__xludf.DUMMYFUNCTION("""COMPUTED_VALUE"""),10.0)</f>
        <v>10</v>
      </c>
      <c r="E171" s="11">
        <f>IFERROR(VLOOKUP(B171,COURSE_PLAN!A:B,2,FALSE),"")</f>
        <v>10</v>
      </c>
      <c r="F171" s="11">
        <f t="shared" si="1"/>
        <v>1</v>
      </c>
      <c r="G171" s="11" t="str">
        <f>IFERROR(VLOOKUP(C171,STUDENTS!A:E,5,FALSE),"")</f>
        <v>Inactive</v>
      </c>
      <c r="H171" s="11" t="str">
        <f>IFERROR(VLOOKUP(C171,STUDENTS!A:M,13,FALSE),"")</f>
        <v>Completed (no continuation)</v>
      </c>
      <c r="I171" s="11" t="str">
        <f>IF(D171="","",IF(AND(VLOOKUP(C171,STUDENTS!$A:$R,17,FALSE)=A171,VLOOKUP(C171,STUDENTS!$A:$R,18,FALSE)=B171,G171="Active"),"Đang học",IF(F171&gt;=0.8,IF(G171="Active","Tiếp tục khóa sau",IF(G171="Waiting for class","Chờ lớp mới",IF(G171="Inactive",IF(IFERROR(H171,"")="Discontinued mid-course","Nghỉ giữa chừng","Hoàn thành rồi nghỉ luôn"),""))),IF(G171="Inactive","Nghỉ giữa chừng","Đang học"))))</f>
        <v>Hoàn thành rồi nghỉ luôn</v>
      </c>
      <c r="M171" s="11" t="str">
        <f>IFERROR(__xludf.DUMMYFUNCTION("""COMPUTED_VALUE"""),"EL043")</f>
        <v>EL043</v>
      </c>
      <c r="N171" s="11" t="str">
        <f>IFERROR(__xludf.DUMMYFUNCTION("""COMPUTED_VALUE"""),"Foundation")</f>
        <v>Foundation</v>
      </c>
      <c r="O171" s="11" t="str">
        <f>IFERROR(__xludf.DUMMYFUNCTION("""COMPUTED_VALUE"""),"213929")</f>
        <v>213929</v>
      </c>
      <c r="P171" s="11">
        <f>IFERROR(__xludf.DUMMYFUNCTION("""COMPUTED_VALUE"""),13.0)</f>
        <v>13</v>
      </c>
      <c r="Q171" s="11">
        <f>IFERROR(__xludf.DUMMYFUNCTION("""COMPUTED_VALUE"""),16.0)</f>
        <v>16</v>
      </c>
      <c r="R171" s="11">
        <f>IFERROR(__xludf.DUMMYFUNCTION("""COMPUTED_VALUE"""),0.8125)</f>
        <v>0.8125</v>
      </c>
      <c r="S171" s="11" t="str">
        <f>IFERROR(__xludf.DUMMYFUNCTION("""COMPUTED_VALUE"""),"Inactive")</f>
        <v>Inactive</v>
      </c>
      <c r="T171" s="11" t="str">
        <f>IFERROR(__xludf.DUMMYFUNCTION("""COMPUTED_VALUE"""),"Discontinued mid-course")</f>
        <v>Discontinued mid-course</v>
      </c>
      <c r="U171" s="11" t="str">
        <f>IFERROR(__xludf.DUMMYFUNCTION("""COMPUTED_VALUE"""),"Nghỉ giữa chừng")</f>
        <v>Nghỉ giữa chừng</v>
      </c>
    </row>
    <row r="172">
      <c r="A172" s="11" t="str">
        <f>IFERROR(__xludf.DUMMYFUNCTION("""COMPUTED_VALUE"""),"EL018")</f>
        <v>EL018</v>
      </c>
      <c r="B172" s="11" t="str">
        <f>IFERROR(__xludf.DUMMYFUNCTION("""COMPUTED_VALUE"""),"Communication 1")</f>
        <v>Communication 1</v>
      </c>
      <c r="C172" s="11" t="str">
        <f>IFERROR(__xludf.DUMMYFUNCTION("""COMPUTED_VALUE"""),"183400")</f>
        <v>183400</v>
      </c>
      <c r="D172" s="11">
        <f>IFERROR(__xludf.DUMMYFUNCTION("""COMPUTED_VALUE"""),12.0)</f>
        <v>12</v>
      </c>
      <c r="E172" s="11">
        <f>IFERROR(VLOOKUP(B172,COURSE_PLAN!A:B,2,FALSE),"")</f>
        <v>10</v>
      </c>
      <c r="F172" s="11">
        <f t="shared" si="1"/>
        <v>1.2</v>
      </c>
      <c r="G172" s="11" t="str">
        <f>IFERROR(VLOOKUP(C172,STUDENTS!A:E,5,FALSE),"")</f>
        <v>Inactive</v>
      </c>
      <c r="H172" s="11" t="str">
        <f>IFERROR(VLOOKUP(C172,STUDENTS!A:M,13,FALSE),"")</f>
        <v>Completed (no continuation)</v>
      </c>
      <c r="I172" s="11" t="str">
        <f>IF(D172="","",IF(AND(VLOOKUP(C172,STUDENTS!$A:$R,17,FALSE)=A172,VLOOKUP(C172,STUDENTS!$A:$R,18,FALSE)=B172,G172="Active"),"Đang học",IF(F172&gt;=0.8,IF(G172="Active","Tiếp tục khóa sau",IF(G172="Waiting for class","Chờ lớp mới",IF(G172="Inactive",IF(IFERROR(H172,"")="Discontinued mid-course","Nghỉ giữa chừng","Hoàn thành rồi nghỉ luôn"),""))),IF(G172="Inactive","Nghỉ giữa chừng","Đang học"))))</f>
        <v>Hoàn thành rồi nghỉ luôn</v>
      </c>
      <c r="M172" s="11" t="str">
        <f>IFERROR(__xludf.DUMMYFUNCTION("""COMPUTED_VALUE"""),"EL043")</f>
        <v>EL043</v>
      </c>
      <c r="N172" s="11" t="str">
        <f>IFERROR(__xludf.DUMMYFUNCTION("""COMPUTED_VALUE"""),"Foundation")</f>
        <v>Foundation</v>
      </c>
      <c r="O172" s="11" t="str">
        <f>IFERROR(__xludf.DUMMYFUNCTION("""COMPUTED_VALUE"""),"247082")</f>
        <v>247082</v>
      </c>
      <c r="P172" s="11">
        <f>IFERROR(__xludf.DUMMYFUNCTION("""COMPUTED_VALUE"""),13.0)</f>
        <v>13</v>
      </c>
      <c r="Q172" s="11">
        <f>IFERROR(__xludf.DUMMYFUNCTION("""COMPUTED_VALUE"""),16.0)</f>
        <v>16</v>
      </c>
      <c r="R172" s="11">
        <f>IFERROR(__xludf.DUMMYFUNCTION("""COMPUTED_VALUE"""),0.8125)</f>
        <v>0.8125</v>
      </c>
      <c r="S172" s="11" t="str">
        <f>IFERROR(__xludf.DUMMYFUNCTION("""COMPUTED_VALUE"""),"Inactive")</f>
        <v>Inactive</v>
      </c>
      <c r="T172" s="11" t="str">
        <f>IFERROR(__xludf.DUMMYFUNCTION("""COMPUTED_VALUE"""),"Discontinued mid-course")</f>
        <v>Discontinued mid-course</v>
      </c>
      <c r="U172" s="11" t="str">
        <f>IFERROR(__xludf.DUMMYFUNCTION("""COMPUTED_VALUE"""),"Nghỉ giữa chừng")</f>
        <v>Nghỉ giữa chừng</v>
      </c>
    </row>
    <row r="173">
      <c r="A173" s="11" t="str">
        <f>IFERROR(__xludf.DUMMYFUNCTION("""COMPUTED_VALUE"""),"EL018")</f>
        <v>EL018</v>
      </c>
      <c r="B173" s="11" t="str">
        <f>IFERROR(__xludf.DUMMYFUNCTION("""COMPUTED_VALUE"""),"Communication 1")</f>
        <v>Communication 1</v>
      </c>
      <c r="C173" s="11" t="str">
        <f>IFERROR(__xludf.DUMMYFUNCTION("""COMPUTED_VALUE"""),"183432")</f>
        <v>183432</v>
      </c>
      <c r="D173" s="11">
        <f>IFERROR(__xludf.DUMMYFUNCTION("""COMPUTED_VALUE"""),11.0)</f>
        <v>11</v>
      </c>
      <c r="E173" s="11">
        <f>IFERROR(VLOOKUP(B173,COURSE_PLAN!A:B,2,FALSE),"")</f>
        <v>10</v>
      </c>
      <c r="F173" s="11">
        <f t="shared" si="1"/>
        <v>1.1</v>
      </c>
      <c r="G173" s="11" t="str">
        <f>IFERROR(VLOOKUP(C173,STUDENTS!A:E,5,FALSE),"")</f>
        <v>Inactive</v>
      </c>
      <c r="H173" s="11" t="str">
        <f>IFERROR(VLOOKUP(C173,STUDENTS!A:M,13,FALSE),"")</f>
        <v>Completed (no continuation)</v>
      </c>
      <c r="I173" s="11" t="str">
        <f>IF(D173="","",IF(AND(VLOOKUP(C173,STUDENTS!$A:$R,17,FALSE)=A173,VLOOKUP(C173,STUDENTS!$A:$R,18,FALSE)=B173,G173="Active"),"Đang học",IF(F173&gt;=0.8,IF(G173="Active","Tiếp tục khóa sau",IF(G173="Waiting for class","Chờ lớp mới",IF(G173="Inactive",IF(IFERROR(H173,"")="Discontinued mid-course","Nghỉ giữa chừng","Hoàn thành rồi nghỉ luôn"),""))),IF(G173="Inactive","Nghỉ giữa chừng","Đang học"))))</f>
        <v>Hoàn thành rồi nghỉ luôn</v>
      </c>
      <c r="M173" s="11" t="str">
        <f>IFERROR(__xludf.DUMMYFUNCTION("""COMPUTED_VALUE"""),"EL044")</f>
        <v>EL044</v>
      </c>
      <c r="N173" s="11" t="str">
        <f>IFERROR(__xludf.DUMMYFUNCTION("""COMPUTED_VALUE"""),"Communication 1")</f>
        <v>Communication 1</v>
      </c>
      <c r="O173" s="11" t="str">
        <f>IFERROR(__xludf.DUMMYFUNCTION("""COMPUTED_VALUE"""),"163215")</f>
        <v>163215</v>
      </c>
      <c r="P173" s="11">
        <f>IFERROR(__xludf.DUMMYFUNCTION("""COMPUTED_VALUE"""),14.0)</f>
        <v>14</v>
      </c>
      <c r="Q173" s="11">
        <f>IFERROR(__xludf.DUMMYFUNCTION("""COMPUTED_VALUE"""),10.0)</f>
        <v>10</v>
      </c>
      <c r="R173" s="11">
        <f>IFERROR(__xludf.DUMMYFUNCTION("""COMPUTED_VALUE"""),1.4)</f>
        <v>1.4</v>
      </c>
      <c r="S173" s="11" t="str">
        <f>IFERROR(__xludf.DUMMYFUNCTION("""COMPUTED_VALUE"""),"Inactive")</f>
        <v>Inactive</v>
      </c>
      <c r="T173" s="11" t="str">
        <f>IFERROR(__xludf.DUMMYFUNCTION("""COMPUTED_VALUE"""),"Discontinued mid-course")</f>
        <v>Discontinued mid-course</v>
      </c>
      <c r="U173" s="11" t="str">
        <f>IFERROR(__xludf.DUMMYFUNCTION("""COMPUTED_VALUE"""),"Nghỉ giữa chừng")</f>
        <v>Nghỉ giữa chừng</v>
      </c>
    </row>
    <row r="174">
      <c r="A174" s="11" t="str">
        <f>IFERROR(__xludf.DUMMYFUNCTION("""COMPUTED_VALUE"""),"EL018")</f>
        <v>EL018</v>
      </c>
      <c r="B174" s="11" t="str">
        <f>IFERROR(__xludf.DUMMYFUNCTION("""COMPUTED_VALUE"""),"Communication 1")</f>
        <v>Communication 1</v>
      </c>
      <c r="C174" s="11" t="str">
        <f>IFERROR(__xludf.DUMMYFUNCTION("""COMPUTED_VALUE"""),"183440")</f>
        <v>183440</v>
      </c>
      <c r="D174" s="11">
        <f>IFERROR(__xludf.DUMMYFUNCTION("""COMPUTED_VALUE"""),12.0)</f>
        <v>12</v>
      </c>
      <c r="E174" s="11">
        <f>IFERROR(VLOOKUP(B174,COURSE_PLAN!A:B,2,FALSE),"")</f>
        <v>10</v>
      </c>
      <c r="F174" s="11">
        <f t="shared" si="1"/>
        <v>1.2</v>
      </c>
      <c r="G174" s="11" t="str">
        <f>IFERROR(VLOOKUP(C174,STUDENTS!A:E,5,FALSE),"")</f>
        <v>Inactive</v>
      </c>
      <c r="H174" s="11" t="str">
        <f>IFERROR(VLOOKUP(C174,STUDENTS!A:M,13,FALSE),"")</f>
        <v>Completed (no continuation)</v>
      </c>
      <c r="I174" s="11" t="str">
        <f>IF(D174="","",IF(AND(VLOOKUP(C174,STUDENTS!$A:$R,17,FALSE)=A174,VLOOKUP(C174,STUDENTS!$A:$R,18,FALSE)=B174,G174="Active"),"Đang học",IF(F174&gt;=0.8,IF(G174="Active","Tiếp tục khóa sau",IF(G174="Waiting for class","Chờ lớp mới",IF(G174="Inactive",IF(IFERROR(H174,"")="Discontinued mid-course","Nghỉ giữa chừng","Hoàn thành rồi nghỉ luôn"),""))),IF(G174="Inactive","Nghỉ giữa chừng","Đang học"))))</f>
        <v>Hoàn thành rồi nghỉ luôn</v>
      </c>
      <c r="M174" s="11" t="str">
        <f>IFERROR(__xludf.DUMMYFUNCTION("""COMPUTED_VALUE"""),"EL044")</f>
        <v>EL044</v>
      </c>
      <c r="N174" s="11" t="str">
        <f>IFERROR(__xludf.DUMMYFUNCTION("""COMPUTED_VALUE"""),"Communication 1")</f>
        <v>Communication 1</v>
      </c>
      <c r="O174" s="11" t="str">
        <f>IFERROR(__xludf.DUMMYFUNCTION("""COMPUTED_VALUE"""),"193620")</f>
        <v>193620</v>
      </c>
      <c r="P174" s="11">
        <f>IFERROR(__xludf.DUMMYFUNCTION("""COMPUTED_VALUE"""),15.0)</f>
        <v>15</v>
      </c>
      <c r="Q174" s="11">
        <f>IFERROR(__xludf.DUMMYFUNCTION("""COMPUTED_VALUE"""),10.0)</f>
        <v>10</v>
      </c>
      <c r="R174" s="11">
        <f>IFERROR(__xludf.DUMMYFUNCTION("""COMPUTED_VALUE"""),1.5)</f>
        <v>1.5</v>
      </c>
      <c r="S174" s="11" t="str">
        <f>IFERROR(__xludf.DUMMYFUNCTION("""COMPUTED_VALUE"""),"Inactive")</f>
        <v>Inactive</v>
      </c>
      <c r="T174" s="11" t="str">
        <f>IFERROR(__xludf.DUMMYFUNCTION("""COMPUTED_VALUE"""),"Discontinued mid-course")</f>
        <v>Discontinued mid-course</v>
      </c>
      <c r="U174" s="11" t="str">
        <f>IFERROR(__xludf.DUMMYFUNCTION("""COMPUTED_VALUE"""),"Nghỉ giữa chừng")</f>
        <v>Nghỉ giữa chừng</v>
      </c>
    </row>
    <row r="175">
      <c r="A175" s="11" t="str">
        <f>IFERROR(__xludf.DUMMYFUNCTION("""COMPUTED_VALUE"""),"EL018")</f>
        <v>EL018</v>
      </c>
      <c r="B175" s="11" t="str">
        <f>IFERROR(__xludf.DUMMYFUNCTION("""COMPUTED_VALUE"""),"Communication 1")</f>
        <v>Communication 1</v>
      </c>
      <c r="C175" s="11" t="str">
        <f>IFERROR(__xludf.DUMMYFUNCTION("""COMPUTED_VALUE"""),"227023")</f>
        <v>227023</v>
      </c>
      <c r="D175" s="11">
        <f>IFERROR(__xludf.DUMMYFUNCTION("""COMPUTED_VALUE"""),12.0)</f>
        <v>12</v>
      </c>
      <c r="E175" s="11">
        <f>IFERROR(VLOOKUP(B175,COURSE_PLAN!A:B,2,FALSE),"")</f>
        <v>10</v>
      </c>
      <c r="F175" s="11">
        <f t="shared" si="1"/>
        <v>1.2</v>
      </c>
      <c r="G175" s="11" t="str">
        <f>IFERROR(VLOOKUP(C175,STUDENTS!A:E,5,FALSE),"")</f>
        <v>Inactive</v>
      </c>
      <c r="H175" s="11" t="str">
        <f>IFERROR(VLOOKUP(C175,STUDENTS!A:M,13,FALSE),"")</f>
        <v>Completed (no continuation)</v>
      </c>
      <c r="I175" s="11" t="str">
        <f>IF(D175="","",IF(AND(VLOOKUP(C175,STUDENTS!$A:$R,17,FALSE)=A175,VLOOKUP(C175,STUDENTS!$A:$R,18,FALSE)=B175,G175="Active"),"Đang học",IF(F175&gt;=0.8,IF(G175="Active","Tiếp tục khóa sau",IF(G175="Waiting for class","Chờ lớp mới",IF(G175="Inactive",IF(IFERROR(H175,"")="Discontinued mid-course","Nghỉ giữa chừng","Hoàn thành rồi nghỉ luôn"),""))),IF(G175="Inactive","Nghỉ giữa chừng","Đang học"))))</f>
        <v>Hoàn thành rồi nghỉ luôn</v>
      </c>
      <c r="M175" s="11" t="str">
        <f>IFERROR(__xludf.DUMMYFUNCTION("""COMPUTED_VALUE"""),"EL044")</f>
        <v>EL044</v>
      </c>
      <c r="N175" s="11" t="str">
        <f>IFERROR(__xludf.DUMMYFUNCTION("""COMPUTED_VALUE"""),"Communication 1")</f>
        <v>Communication 1</v>
      </c>
      <c r="O175" s="11" t="str">
        <f>IFERROR(__xludf.DUMMYFUNCTION("""COMPUTED_VALUE"""),"213929")</f>
        <v>213929</v>
      </c>
      <c r="P175" s="11">
        <f>IFERROR(__xludf.DUMMYFUNCTION("""COMPUTED_VALUE"""),7.0)</f>
        <v>7</v>
      </c>
      <c r="Q175" s="11">
        <f>IFERROR(__xludf.DUMMYFUNCTION("""COMPUTED_VALUE"""),10.0)</f>
        <v>10</v>
      </c>
      <c r="R175" s="11">
        <f>IFERROR(__xludf.DUMMYFUNCTION("""COMPUTED_VALUE"""),0.7)</f>
        <v>0.7</v>
      </c>
      <c r="S175" s="11" t="str">
        <f>IFERROR(__xludf.DUMMYFUNCTION("""COMPUTED_VALUE"""),"Inactive")</f>
        <v>Inactive</v>
      </c>
      <c r="T175" s="11" t="str">
        <f>IFERROR(__xludf.DUMMYFUNCTION("""COMPUTED_VALUE"""),"Discontinued mid-course")</f>
        <v>Discontinued mid-course</v>
      </c>
      <c r="U175" s="11" t="str">
        <f>IFERROR(__xludf.DUMMYFUNCTION("""COMPUTED_VALUE"""),"Nghỉ giữa chừng")</f>
        <v>Nghỉ giữa chừng</v>
      </c>
    </row>
    <row r="176">
      <c r="A176" s="11" t="str">
        <f>IFERROR(__xludf.DUMMYFUNCTION("""COMPUTED_VALUE"""),"EL018")</f>
        <v>EL018</v>
      </c>
      <c r="B176" s="11" t="str">
        <f>IFERROR(__xludf.DUMMYFUNCTION("""COMPUTED_VALUE"""),"Communication 2")</f>
        <v>Communication 2</v>
      </c>
      <c r="C176" s="11" t="str">
        <f>IFERROR(__xludf.DUMMYFUNCTION("""COMPUTED_VALUE"""),"183400")</f>
        <v>183400</v>
      </c>
      <c r="D176" s="11">
        <f>IFERROR(__xludf.DUMMYFUNCTION("""COMPUTED_VALUE"""),12.0)</f>
        <v>12</v>
      </c>
      <c r="E176" s="11">
        <f>IFERROR(VLOOKUP(B176,COURSE_PLAN!A:B,2,FALSE),"")</f>
        <v>16</v>
      </c>
      <c r="F176" s="11">
        <f t="shared" si="1"/>
        <v>0.75</v>
      </c>
      <c r="G176" s="11" t="str">
        <f>IFERROR(VLOOKUP(C176,STUDENTS!A:E,5,FALSE),"")</f>
        <v>Inactive</v>
      </c>
      <c r="H176" s="11" t="str">
        <f>IFERROR(VLOOKUP(C176,STUDENTS!A:M,13,FALSE),"")</f>
        <v>Completed (no continuation)</v>
      </c>
      <c r="I176" s="11" t="str">
        <f>IF(D176="","",IF(AND(VLOOKUP(C176,STUDENTS!$A:$R,17,FALSE)=A176,VLOOKUP(C176,STUDENTS!$A:$R,18,FALSE)=B176,G176="Active"),"Đang học",IF(F176&gt;=0.8,IF(G176="Active","Tiếp tục khóa sau",IF(G176="Waiting for class","Chờ lớp mới",IF(G176="Inactive",IF(IFERROR(H176,"")="Discontinued mid-course","Nghỉ giữa chừng","Hoàn thành rồi nghỉ luôn"),""))),IF(G176="Inactive","Nghỉ giữa chừng","Đang học"))))</f>
        <v>Nghỉ giữa chừng</v>
      </c>
      <c r="M176" s="11" t="str">
        <f>IFERROR(__xludf.DUMMYFUNCTION("""COMPUTED_VALUE"""),"EL044")</f>
        <v>EL044</v>
      </c>
      <c r="N176" s="11" t="str">
        <f>IFERROR(__xludf.DUMMYFUNCTION("""COMPUTED_VALUE"""),"Communication 1")</f>
        <v>Communication 1</v>
      </c>
      <c r="O176" s="11" t="str">
        <f>IFERROR(__xludf.DUMMYFUNCTION("""COMPUTED_VALUE"""),"227131")</f>
        <v>227131</v>
      </c>
      <c r="P176" s="11">
        <f>IFERROR(__xludf.DUMMYFUNCTION("""COMPUTED_VALUE"""),15.0)</f>
        <v>15</v>
      </c>
      <c r="Q176" s="11">
        <f>IFERROR(__xludf.DUMMYFUNCTION("""COMPUTED_VALUE"""),10.0)</f>
        <v>10</v>
      </c>
      <c r="R176" s="11">
        <f>IFERROR(__xludf.DUMMYFUNCTION("""COMPUTED_VALUE"""),1.5)</f>
        <v>1.5</v>
      </c>
      <c r="S176" s="11" t="str">
        <f>IFERROR(__xludf.DUMMYFUNCTION("""COMPUTED_VALUE"""),"Inactive")</f>
        <v>Inactive</v>
      </c>
      <c r="T176" s="11" t="str">
        <f>IFERROR(__xludf.DUMMYFUNCTION("""COMPUTED_VALUE"""),"Discontinued mid-course")</f>
        <v>Discontinued mid-course</v>
      </c>
      <c r="U176" s="11" t="str">
        <f>IFERROR(__xludf.DUMMYFUNCTION("""COMPUTED_VALUE"""),"Nghỉ giữa chừng")</f>
        <v>Nghỉ giữa chừng</v>
      </c>
    </row>
    <row r="177">
      <c r="A177" s="11" t="str">
        <f>IFERROR(__xludf.DUMMYFUNCTION("""COMPUTED_VALUE"""),"EL018")</f>
        <v>EL018</v>
      </c>
      <c r="B177" s="11" t="str">
        <f>IFERROR(__xludf.DUMMYFUNCTION("""COMPUTED_VALUE"""),"Communication 2")</f>
        <v>Communication 2</v>
      </c>
      <c r="C177" s="11" t="str">
        <f>IFERROR(__xludf.DUMMYFUNCTION("""COMPUTED_VALUE"""),"183432")</f>
        <v>183432</v>
      </c>
      <c r="D177" s="11">
        <f>IFERROR(__xludf.DUMMYFUNCTION("""COMPUTED_VALUE"""),12.0)</f>
        <v>12</v>
      </c>
      <c r="E177" s="11">
        <f>IFERROR(VLOOKUP(B177,COURSE_PLAN!A:B,2,FALSE),"")</f>
        <v>16</v>
      </c>
      <c r="F177" s="11">
        <f t="shared" si="1"/>
        <v>0.75</v>
      </c>
      <c r="G177" s="11" t="str">
        <f>IFERROR(VLOOKUP(C177,STUDENTS!A:E,5,FALSE),"")</f>
        <v>Inactive</v>
      </c>
      <c r="H177" s="11" t="str">
        <f>IFERROR(VLOOKUP(C177,STUDENTS!A:M,13,FALSE),"")</f>
        <v>Completed (no continuation)</v>
      </c>
      <c r="I177" s="11" t="str">
        <f>IF(D177="","",IF(AND(VLOOKUP(C177,STUDENTS!$A:$R,17,FALSE)=A177,VLOOKUP(C177,STUDENTS!$A:$R,18,FALSE)=B177,G177="Active"),"Đang học",IF(F177&gt;=0.8,IF(G177="Active","Tiếp tục khóa sau",IF(G177="Waiting for class","Chờ lớp mới",IF(G177="Inactive",IF(IFERROR(H177,"")="Discontinued mid-course","Nghỉ giữa chừng","Hoàn thành rồi nghỉ luôn"),""))),IF(G177="Inactive","Nghỉ giữa chừng","Đang học"))))</f>
        <v>Nghỉ giữa chừng</v>
      </c>
      <c r="M177" s="11" t="str">
        <f>IFERROR(__xludf.DUMMYFUNCTION("""COMPUTED_VALUE"""),"EL044")</f>
        <v>EL044</v>
      </c>
      <c r="N177" s="11" t="str">
        <f>IFERROR(__xludf.DUMMYFUNCTION("""COMPUTED_VALUE"""),"Communication 1")</f>
        <v>Communication 1</v>
      </c>
      <c r="O177" s="11" t="str">
        <f>IFERROR(__xludf.DUMMYFUNCTION("""COMPUTED_VALUE"""),"247082")</f>
        <v>247082</v>
      </c>
      <c r="P177" s="11">
        <f>IFERROR(__xludf.DUMMYFUNCTION("""COMPUTED_VALUE"""),7.0)</f>
        <v>7</v>
      </c>
      <c r="Q177" s="11">
        <f>IFERROR(__xludf.DUMMYFUNCTION("""COMPUTED_VALUE"""),10.0)</f>
        <v>10</v>
      </c>
      <c r="R177" s="11">
        <f>IFERROR(__xludf.DUMMYFUNCTION("""COMPUTED_VALUE"""),0.7)</f>
        <v>0.7</v>
      </c>
      <c r="S177" s="11" t="str">
        <f>IFERROR(__xludf.DUMMYFUNCTION("""COMPUTED_VALUE"""),"Inactive")</f>
        <v>Inactive</v>
      </c>
      <c r="T177" s="11" t="str">
        <f>IFERROR(__xludf.DUMMYFUNCTION("""COMPUTED_VALUE"""),"Discontinued mid-course")</f>
        <v>Discontinued mid-course</v>
      </c>
      <c r="U177" s="11" t="str">
        <f>IFERROR(__xludf.DUMMYFUNCTION("""COMPUTED_VALUE"""),"Nghỉ giữa chừng")</f>
        <v>Nghỉ giữa chừng</v>
      </c>
    </row>
    <row r="178">
      <c r="A178" s="11" t="str">
        <f>IFERROR(__xludf.DUMMYFUNCTION("""COMPUTED_VALUE"""),"EL018")</f>
        <v>EL018</v>
      </c>
      <c r="B178" s="11" t="str">
        <f>IFERROR(__xludf.DUMMYFUNCTION("""COMPUTED_VALUE"""),"Communication 2")</f>
        <v>Communication 2</v>
      </c>
      <c r="C178" s="11" t="str">
        <f>IFERROR(__xludf.DUMMYFUNCTION("""COMPUTED_VALUE"""),"227023")</f>
        <v>227023</v>
      </c>
      <c r="D178" s="11">
        <f>IFERROR(__xludf.DUMMYFUNCTION("""COMPUTED_VALUE"""),12.0)</f>
        <v>12</v>
      </c>
      <c r="E178" s="11">
        <f>IFERROR(VLOOKUP(B178,COURSE_PLAN!A:B,2,FALSE),"")</f>
        <v>16</v>
      </c>
      <c r="F178" s="11">
        <f t="shared" si="1"/>
        <v>0.75</v>
      </c>
      <c r="G178" s="11" t="str">
        <f>IFERROR(VLOOKUP(C178,STUDENTS!A:E,5,FALSE),"")</f>
        <v>Inactive</v>
      </c>
      <c r="H178" s="11" t="str">
        <f>IFERROR(VLOOKUP(C178,STUDENTS!A:M,13,FALSE),"")</f>
        <v>Completed (no continuation)</v>
      </c>
      <c r="I178" s="11" t="str">
        <f>IF(D178="","",IF(AND(VLOOKUP(C178,STUDENTS!$A:$R,17,FALSE)=A178,VLOOKUP(C178,STUDENTS!$A:$R,18,FALSE)=B178,G178="Active"),"Đang học",IF(F178&gt;=0.8,IF(G178="Active","Tiếp tục khóa sau",IF(G178="Waiting for class","Chờ lớp mới",IF(G178="Inactive",IF(IFERROR(H178,"")="Discontinued mid-course","Nghỉ giữa chừng","Hoàn thành rồi nghỉ luôn"),""))),IF(G178="Inactive","Nghỉ giữa chừng","Đang học"))))</f>
        <v>Nghỉ giữa chừng</v>
      </c>
      <c r="M178" s="11" t="str">
        <f>IFERROR(__xludf.DUMMYFUNCTION("""COMPUTED_VALUE"""),"EL044")</f>
        <v>EL044</v>
      </c>
      <c r="N178" s="11" t="str">
        <f>IFERROR(__xludf.DUMMYFUNCTION("""COMPUTED_VALUE"""),"Communication 1")</f>
        <v>Communication 1</v>
      </c>
      <c r="O178" s="11" t="str">
        <f>IFERROR(__xludf.DUMMYFUNCTION("""COMPUTED_VALUE"""),"257036")</f>
        <v>257036</v>
      </c>
      <c r="P178" s="11">
        <f>IFERROR(__xludf.DUMMYFUNCTION("""COMPUTED_VALUE"""),15.0)</f>
        <v>15</v>
      </c>
      <c r="Q178" s="11">
        <f>IFERROR(__xludf.DUMMYFUNCTION("""COMPUTED_VALUE"""),10.0)</f>
        <v>10</v>
      </c>
      <c r="R178" s="11">
        <f>IFERROR(__xludf.DUMMYFUNCTION("""COMPUTED_VALUE"""),1.5)</f>
        <v>1.5</v>
      </c>
      <c r="S178" s="11" t="str">
        <f>IFERROR(__xludf.DUMMYFUNCTION("""COMPUTED_VALUE"""),"Inactive")</f>
        <v>Inactive</v>
      </c>
      <c r="T178" s="11" t="str">
        <f>IFERROR(__xludf.DUMMYFUNCTION("""COMPUTED_VALUE"""),"Discontinued mid-course")</f>
        <v>Discontinued mid-course</v>
      </c>
      <c r="U178" s="11" t="str">
        <f>IFERROR(__xludf.DUMMYFUNCTION("""COMPUTED_VALUE"""),"Nghỉ giữa chừng")</f>
        <v>Nghỉ giữa chừng</v>
      </c>
    </row>
    <row r="179">
      <c r="A179" s="11" t="str">
        <f>IFERROR(__xludf.DUMMYFUNCTION("""COMPUTED_VALUE"""),"EL018")</f>
        <v>EL018</v>
      </c>
      <c r="B179" s="11" t="str">
        <f>IFERROR(__xludf.DUMMYFUNCTION("""COMPUTED_VALUE"""),"Communication 2")</f>
        <v>Communication 2</v>
      </c>
      <c r="C179" s="11" t="str">
        <f>IFERROR(__xludf.DUMMYFUNCTION("""COMPUTED_VALUE"""),"227024")</f>
        <v>227024</v>
      </c>
      <c r="D179" s="11">
        <f>IFERROR(__xludf.DUMMYFUNCTION("""COMPUTED_VALUE"""),12.0)</f>
        <v>12</v>
      </c>
      <c r="E179" s="11">
        <f>IFERROR(VLOOKUP(B179,COURSE_PLAN!A:B,2,FALSE),"")</f>
        <v>16</v>
      </c>
      <c r="F179" s="11">
        <f t="shared" si="1"/>
        <v>0.75</v>
      </c>
      <c r="G179" s="11" t="str">
        <f>IFERROR(VLOOKUP(C179,STUDENTS!A:E,5,FALSE),"")</f>
        <v>Inactive</v>
      </c>
      <c r="H179" s="11" t="str">
        <f>IFERROR(VLOOKUP(C179,STUDENTS!A:M,13,FALSE),"")</f>
        <v>Completed (no continuation)</v>
      </c>
      <c r="I179" s="11" t="str">
        <f>IF(D179="","",IF(AND(VLOOKUP(C179,STUDENTS!$A:$R,17,FALSE)=A179,VLOOKUP(C179,STUDENTS!$A:$R,18,FALSE)=B179,G179="Active"),"Đang học",IF(F179&gt;=0.8,IF(G179="Active","Tiếp tục khóa sau",IF(G179="Waiting for class","Chờ lớp mới",IF(G179="Inactive",IF(IFERROR(H179,"")="Discontinued mid-course","Nghỉ giữa chừng","Hoàn thành rồi nghỉ luôn"),""))),IF(G179="Inactive","Nghỉ giữa chừng","Đang học"))))</f>
        <v>Nghỉ giữa chừng</v>
      </c>
      <c r="M179" s="11" t="str">
        <f>IFERROR(__xludf.DUMMYFUNCTION("""COMPUTED_VALUE"""),"EL047")</f>
        <v>EL047</v>
      </c>
      <c r="N179" s="11" t="str">
        <f>IFERROR(__xludf.DUMMYFUNCTION("""COMPUTED_VALUE"""),"Communication 1")</f>
        <v>Communication 1</v>
      </c>
      <c r="O179" s="11" t="str">
        <f>IFERROR(__xludf.DUMMYFUNCTION("""COMPUTED_VALUE"""),"193607")</f>
        <v>193607</v>
      </c>
      <c r="P179" s="11">
        <f>IFERROR(__xludf.DUMMYFUNCTION("""COMPUTED_VALUE"""),12.0)</f>
        <v>12</v>
      </c>
      <c r="Q179" s="11">
        <f>IFERROR(__xludf.DUMMYFUNCTION("""COMPUTED_VALUE"""),10.0)</f>
        <v>10</v>
      </c>
      <c r="R179" s="11">
        <f>IFERROR(__xludf.DUMMYFUNCTION("""COMPUTED_VALUE"""),1.2)</f>
        <v>1.2</v>
      </c>
      <c r="S179" s="11" t="str">
        <f>IFERROR(__xludf.DUMMYFUNCTION("""COMPUTED_VALUE"""),"Inactive")</f>
        <v>Inactive</v>
      </c>
      <c r="T179" s="11" t="str">
        <f>IFERROR(__xludf.DUMMYFUNCTION("""COMPUTED_VALUE"""),"Discontinued mid-course")</f>
        <v>Discontinued mid-course</v>
      </c>
      <c r="U179" s="11" t="str">
        <f>IFERROR(__xludf.DUMMYFUNCTION("""COMPUTED_VALUE"""),"Nghỉ giữa chừng")</f>
        <v>Nghỉ giữa chừng</v>
      </c>
    </row>
    <row r="180">
      <c r="A180" s="11" t="str">
        <f>IFERROR(__xludf.DUMMYFUNCTION("""COMPUTED_VALUE"""),"EL018")</f>
        <v>EL018</v>
      </c>
      <c r="B180" s="11" t="str">
        <f>IFERROR(__xludf.DUMMYFUNCTION("""COMPUTED_VALUE"""),"Communication 2")</f>
        <v>Communication 2</v>
      </c>
      <c r="C180" s="11" t="str">
        <f>IFERROR(__xludf.DUMMYFUNCTION("""COMPUTED_VALUE"""),"227032")</f>
        <v>227032</v>
      </c>
      <c r="D180" s="11">
        <f>IFERROR(__xludf.DUMMYFUNCTION("""COMPUTED_VALUE"""),12.0)</f>
        <v>12</v>
      </c>
      <c r="E180" s="11">
        <f>IFERROR(VLOOKUP(B180,COURSE_PLAN!A:B,2,FALSE),"")</f>
        <v>16</v>
      </c>
      <c r="F180" s="11">
        <f t="shared" si="1"/>
        <v>0.75</v>
      </c>
      <c r="G180" s="11" t="str">
        <f>IFERROR(VLOOKUP(C180,STUDENTS!A:E,5,FALSE),"")</f>
        <v>Inactive</v>
      </c>
      <c r="H180" s="11" t="str">
        <f>IFERROR(VLOOKUP(C180,STUDENTS!A:M,13,FALSE),"")</f>
        <v>Completed (no continuation)</v>
      </c>
      <c r="I180" s="11" t="str">
        <f>IF(D180="","",IF(AND(VLOOKUP(C180,STUDENTS!$A:$R,17,FALSE)=A180,VLOOKUP(C180,STUDENTS!$A:$R,18,FALSE)=B180,G180="Active"),"Đang học",IF(F180&gt;=0.8,IF(G180="Active","Tiếp tục khóa sau",IF(G180="Waiting for class","Chờ lớp mới",IF(G180="Inactive",IF(IFERROR(H180,"")="Discontinued mid-course","Nghỉ giữa chừng","Hoàn thành rồi nghỉ luôn"),""))),IF(G180="Inactive","Nghỉ giữa chừng","Đang học"))))</f>
        <v>Nghỉ giữa chừng</v>
      </c>
    </row>
    <row r="181">
      <c r="A181" s="11" t="str">
        <f>IFERROR(__xludf.DUMMYFUNCTION("""COMPUTED_VALUE"""),"EL018")</f>
        <v>EL018</v>
      </c>
      <c r="B181" s="11" t="str">
        <f>IFERROR(__xludf.DUMMYFUNCTION("""COMPUTED_VALUE"""),"Communication 2")</f>
        <v>Communication 2</v>
      </c>
      <c r="C181" s="11" t="str">
        <f>IFERROR(__xludf.DUMMYFUNCTION("""COMPUTED_VALUE"""),"247357")</f>
        <v>247357</v>
      </c>
      <c r="D181" s="11">
        <f>IFERROR(__xludf.DUMMYFUNCTION("""COMPUTED_VALUE"""),12.0)</f>
        <v>12</v>
      </c>
      <c r="E181" s="11">
        <f>IFERROR(VLOOKUP(B181,COURSE_PLAN!A:B,2,FALSE),"")</f>
        <v>16</v>
      </c>
      <c r="F181" s="11">
        <f t="shared" si="1"/>
        <v>0.75</v>
      </c>
      <c r="G181" s="11" t="str">
        <f>IFERROR(VLOOKUP(C181,STUDENTS!A:E,5,FALSE),"")</f>
        <v>Inactive</v>
      </c>
      <c r="H181" s="11" t="str">
        <f>IFERROR(VLOOKUP(C181,STUDENTS!A:M,13,FALSE),"")</f>
        <v>Completed (no continuation)</v>
      </c>
      <c r="I181" s="11" t="str">
        <f>IF(D181="","",IF(AND(VLOOKUP(C181,STUDENTS!$A:$R,17,FALSE)=A181,VLOOKUP(C181,STUDENTS!$A:$R,18,FALSE)=B181,G181="Active"),"Đang học",IF(F181&gt;=0.8,IF(G181="Active","Tiếp tục khóa sau",IF(G181="Waiting for class","Chờ lớp mới",IF(G181="Inactive",IF(IFERROR(H181,"")="Discontinued mid-course","Nghỉ giữa chừng","Hoàn thành rồi nghỉ luôn"),""))),IF(G181="Inactive","Nghỉ giữa chừng","Đang học"))))</f>
        <v>Nghỉ giữa chừng</v>
      </c>
    </row>
    <row r="182">
      <c r="A182" s="11" t="str">
        <f>IFERROR(__xludf.DUMMYFUNCTION("""COMPUTED_VALUE"""),"EL019")</f>
        <v>EL019</v>
      </c>
      <c r="B182" s="11" t="str">
        <f>IFERROR(__xludf.DUMMYFUNCTION("""COMPUTED_VALUE"""),"Communication 1")</f>
        <v>Communication 1</v>
      </c>
      <c r="C182" s="11" t="str">
        <f>IFERROR(__xludf.DUMMYFUNCTION("""COMPUTED_VALUE"""),"173286")</f>
        <v>173286</v>
      </c>
      <c r="D182" s="11">
        <f>IFERROR(__xludf.DUMMYFUNCTION("""COMPUTED_VALUE"""),12.0)</f>
        <v>12</v>
      </c>
      <c r="E182" s="11">
        <f>IFERROR(VLOOKUP(B182,COURSE_PLAN!A:B,2,FALSE),"")</f>
        <v>10</v>
      </c>
      <c r="F182" s="11">
        <f t="shared" si="1"/>
        <v>1.2</v>
      </c>
      <c r="G182" s="11" t="str">
        <f>IFERROR(VLOOKUP(C182,STUDENTS!A:E,5,FALSE),"")</f>
        <v>Waiting for class</v>
      </c>
      <c r="H182" s="11" t="str">
        <f>IFERROR(VLOOKUP(C182,STUDENTS!A:M,13,FALSE),"")</f>
        <v>Waiting for class</v>
      </c>
      <c r="I182" s="11" t="str">
        <f>IF(D182="","",IF(AND(VLOOKUP(C182,STUDENTS!$A:$R,17,FALSE)=A182,VLOOKUP(C182,STUDENTS!$A:$R,18,FALSE)=B182,G182="Active"),"Đang học",IF(F182&gt;=0.8,IF(G182="Active","Tiếp tục khóa sau",IF(G182="Waiting for class","Chờ lớp mới",IF(G182="Inactive",IF(IFERROR(H182,"")="Discontinued mid-course","Nghỉ giữa chừng","Hoàn thành rồi nghỉ luôn"),""))),IF(G182="Inactive","Nghỉ giữa chừng","Đang học"))))</f>
        <v>Chờ lớp mới</v>
      </c>
    </row>
    <row r="183">
      <c r="A183" s="11" t="str">
        <f>IFERROR(__xludf.DUMMYFUNCTION("""COMPUTED_VALUE"""),"EL019")</f>
        <v>EL019</v>
      </c>
      <c r="B183" s="11" t="str">
        <f>IFERROR(__xludf.DUMMYFUNCTION("""COMPUTED_VALUE"""),"Communication 1")</f>
        <v>Communication 1</v>
      </c>
      <c r="C183" s="11" t="str">
        <f>IFERROR(__xludf.DUMMYFUNCTION("""COMPUTED_VALUE"""),"193519")</f>
        <v>193519</v>
      </c>
      <c r="D183" s="11">
        <f>IFERROR(__xludf.DUMMYFUNCTION("""COMPUTED_VALUE"""),12.0)</f>
        <v>12</v>
      </c>
      <c r="E183" s="11">
        <f>IFERROR(VLOOKUP(B183,COURSE_PLAN!A:B,2,FALSE),"")</f>
        <v>10</v>
      </c>
      <c r="F183" s="11">
        <f t="shared" si="1"/>
        <v>1.2</v>
      </c>
      <c r="G183" s="11" t="str">
        <f>IFERROR(VLOOKUP(C183,STUDENTS!A:E,5,FALSE),"")</f>
        <v>Inactive</v>
      </c>
      <c r="H183" s="11" t="str">
        <f>IFERROR(VLOOKUP(C183,STUDENTS!A:M,13,FALSE),"")</f>
        <v>Discontinued mid-course</v>
      </c>
      <c r="I183" s="11" t="str">
        <f>IF(D183="","",IF(AND(VLOOKUP(C183,STUDENTS!$A:$R,17,FALSE)=A183,VLOOKUP(C183,STUDENTS!$A:$R,18,FALSE)=B183,G183="Active"),"Đang học",IF(F183&gt;=0.8,IF(G183="Active","Tiếp tục khóa sau",IF(G183="Waiting for class","Chờ lớp mới",IF(G183="Inactive",IF(IFERROR(H183,"")="Discontinued mid-course","Nghỉ giữa chừng","Hoàn thành rồi nghỉ luôn"),""))),IF(G183="Inactive","Nghỉ giữa chừng","Đang học"))))</f>
        <v>Nghỉ giữa chừng</v>
      </c>
    </row>
    <row r="184">
      <c r="A184" s="11" t="str">
        <f>IFERROR(__xludf.DUMMYFUNCTION("""COMPUTED_VALUE"""),"EL019")</f>
        <v>EL019</v>
      </c>
      <c r="B184" s="11" t="str">
        <f>IFERROR(__xludf.DUMMYFUNCTION("""COMPUTED_VALUE"""),"Communication 1")</f>
        <v>Communication 1</v>
      </c>
      <c r="C184" s="11" t="str">
        <f>IFERROR(__xludf.DUMMYFUNCTION("""COMPUTED_VALUE"""),"213810")</f>
        <v>213810</v>
      </c>
      <c r="D184" s="11">
        <f>IFERROR(__xludf.DUMMYFUNCTION("""COMPUTED_VALUE"""),12.0)</f>
        <v>12</v>
      </c>
      <c r="E184" s="11">
        <f>IFERROR(VLOOKUP(B184,COURSE_PLAN!A:B,2,FALSE),"")</f>
        <v>10</v>
      </c>
      <c r="F184" s="11">
        <f t="shared" si="1"/>
        <v>1.2</v>
      </c>
      <c r="G184" s="11" t="str">
        <f>IFERROR(VLOOKUP(C184,STUDENTS!A:E,5,FALSE),"")</f>
        <v>Waiting for class</v>
      </c>
      <c r="H184" s="11" t="str">
        <f>IFERROR(VLOOKUP(C184,STUDENTS!A:M,13,FALSE),"")</f>
        <v>Waiting for class</v>
      </c>
      <c r="I184" s="11" t="str">
        <f>IF(D184="","",IF(AND(VLOOKUP(C184,STUDENTS!$A:$R,17,FALSE)=A184,VLOOKUP(C184,STUDENTS!$A:$R,18,FALSE)=B184,G184="Active"),"Đang học",IF(F184&gt;=0.8,IF(G184="Active","Tiếp tục khóa sau",IF(G184="Waiting for class","Chờ lớp mới",IF(G184="Inactive",IF(IFERROR(H184,"")="Discontinued mid-course","Nghỉ giữa chừng","Hoàn thành rồi nghỉ luôn"),""))),IF(G184="Inactive","Nghỉ giữa chừng","Đang học"))))</f>
        <v>Chờ lớp mới</v>
      </c>
    </row>
    <row r="185">
      <c r="A185" s="11" t="str">
        <f>IFERROR(__xludf.DUMMYFUNCTION("""COMPUTED_VALUE"""),"EL019")</f>
        <v>EL019</v>
      </c>
      <c r="B185" s="11" t="str">
        <f>IFERROR(__xludf.DUMMYFUNCTION("""COMPUTED_VALUE"""),"Communication 1")</f>
        <v>Communication 1</v>
      </c>
      <c r="C185" s="11" t="str">
        <f>IFERROR(__xludf.DUMMYFUNCTION("""COMPUTED_VALUE"""),"227024")</f>
        <v>227024</v>
      </c>
      <c r="D185" s="11">
        <f>IFERROR(__xludf.DUMMYFUNCTION("""COMPUTED_VALUE"""),12.0)</f>
        <v>12</v>
      </c>
      <c r="E185" s="11">
        <f>IFERROR(VLOOKUP(B185,COURSE_PLAN!A:B,2,FALSE),"")</f>
        <v>10</v>
      </c>
      <c r="F185" s="11">
        <f t="shared" si="1"/>
        <v>1.2</v>
      </c>
      <c r="G185" s="11" t="str">
        <f>IFERROR(VLOOKUP(C185,STUDENTS!A:E,5,FALSE),"")</f>
        <v>Inactive</v>
      </c>
      <c r="H185" s="11" t="str">
        <f>IFERROR(VLOOKUP(C185,STUDENTS!A:M,13,FALSE),"")</f>
        <v>Completed (no continuation)</v>
      </c>
      <c r="I185" s="11" t="str">
        <f>IF(D185="","",IF(AND(VLOOKUP(C185,STUDENTS!$A:$R,17,FALSE)=A185,VLOOKUP(C185,STUDENTS!$A:$R,18,FALSE)=B185,G185="Active"),"Đang học",IF(F185&gt;=0.8,IF(G185="Active","Tiếp tục khóa sau",IF(G185="Waiting for class","Chờ lớp mới",IF(G185="Inactive",IF(IFERROR(H185,"")="Discontinued mid-course","Nghỉ giữa chừng","Hoàn thành rồi nghỉ luôn"),""))),IF(G185="Inactive","Nghỉ giữa chừng","Đang học"))))</f>
        <v>Hoàn thành rồi nghỉ luôn</v>
      </c>
    </row>
    <row r="186">
      <c r="A186" s="11" t="str">
        <f>IFERROR(__xludf.DUMMYFUNCTION("""COMPUTED_VALUE"""),"EL019")</f>
        <v>EL019</v>
      </c>
      <c r="B186" s="11" t="str">
        <f>IFERROR(__xludf.DUMMYFUNCTION("""COMPUTED_VALUE"""),"Communication 1")</f>
        <v>Communication 1</v>
      </c>
      <c r="C186" s="11" t="str">
        <f>IFERROR(__xludf.DUMMYFUNCTION("""COMPUTED_VALUE"""),"227032")</f>
        <v>227032</v>
      </c>
      <c r="D186" s="11">
        <f>IFERROR(__xludf.DUMMYFUNCTION("""COMPUTED_VALUE"""),12.0)</f>
        <v>12</v>
      </c>
      <c r="E186" s="11">
        <f>IFERROR(VLOOKUP(B186,COURSE_PLAN!A:B,2,FALSE),"")</f>
        <v>10</v>
      </c>
      <c r="F186" s="11">
        <f t="shared" si="1"/>
        <v>1.2</v>
      </c>
      <c r="G186" s="11" t="str">
        <f>IFERROR(VLOOKUP(C186,STUDENTS!A:E,5,FALSE),"")</f>
        <v>Inactive</v>
      </c>
      <c r="H186" s="11" t="str">
        <f>IFERROR(VLOOKUP(C186,STUDENTS!A:M,13,FALSE),"")</f>
        <v>Completed (no continuation)</v>
      </c>
      <c r="I186" s="11" t="str">
        <f>IF(D186="","",IF(AND(VLOOKUP(C186,STUDENTS!$A:$R,17,FALSE)=A186,VLOOKUP(C186,STUDENTS!$A:$R,18,FALSE)=B186,G186="Active"),"Đang học",IF(F186&gt;=0.8,IF(G186="Active","Tiếp tục khóa sau",IF(G186="Waiting for class","Chờ lớp mới",IF(G186="Inactive",IF(IFERROR(H186,"")="Discontinued mid-course","Nghỉ giữa chừng","Hoàn thành rồi nghỉ luôn"),""))),IF(G186="Inactive","Nghỉ giữa chừng","Đang học"))))</f>
        <v>Hoàn thành rồi nghỉ luôn</v>
      </c>
    </row>
    <row r="187">
      <c r="A187" s="11" t="str">
        <f>IFERROR(__xludf.DUMMYFUNCTION("""COMPUTED_VALUE"""),"EL019")</f>
        <v>EL019</v>
      </c>
      <c r="B187" s="11" t="str">
        <f>IFERROR(__xludf.DUMMYFUNCTION("""COMPUTED_VALUE"""),"Communication 1")</f>
        <v>Communication 1</v>
      </c>
      <c r="C187" s="11" t="str">
        <f>IFERROR(__xludf.DUMMYFUNCTION("""COMPUTED_VALUE"""),"247357")</f>
        <v>247357</v>
      </c>
      <c r="D187" s="11">
        <f>IFERROR(__xludf.DUMMYFUNCTION("""COMPUTED_VALUE"""),12.0)</f>
        <v>12</v>
      </c>
      <c r="E187" s="11">
        <f>IFERROR(VLOOKUP(B187,COURSE_PLAN!A:B,2,FALSE),"")</f>
        <v>10</v>
      </c>
      <c r="F187" s="11">
        <f t="shared" si="1"/>
        <v>1.2</v>
      </c>
      <c r="G187" s="11" t="str">
        <f>IFERROR(VLOOKUP(C187,STUDENTS!A:E,5,FALSE),"")</f>
        <v>Inactive</v>
      </c>
      <c r="H187" s="11" t="str">
        <f>IFERROR(VLOOKUP(C187,STUDENTS!A:M,13,FALSE),"")</f>
        <v>Completed (no continuation)</v>
      </c>
      <c r="I187" s="11" t="str">
        <f>IF(D187="","",IF(AND(VLOOKUP(C187,STUDENTS!$A:$R,17,FALSE)=A187,VLOOKUP(C187,STUDENTS!$A:$R,18,FALSE)=B187,G187="Active"),"Đang học",IF(F187&gt;=0.8,IF(G187="Active","Tiếp tục khóa sau",IF(G187="Waiting for class","Chờ lớp mới",IF(G187="Inactive",IF(IFERROR(H187,"")="Discontinued mid-course","Nghỉ giữa chừng","Hoàn thành rồi nghỉ luôn"),""))),IF(G187="Inactive","Nghỉ giữa chừng","Đang học"))))</f>
        <v>Hoàn thành rồi nghỉ luôn</v>
      </c>
    </row>
    <row r="188">
      <c r="A188" s="11" t="str">
        <f>IFERROR(__xludf.DUMMYFUNCTION("""COMPUTED_VALUE"""),"EL020")</f>
        <v>EL020</v>
      </c>
      <c r="B188" s="11" t="str">
        <f>IFERROR(__xludf.DUMMYFUNCTION("""COMPUTED_VALUE"""),"Communication 1")</f>
        <v>Communication 1</v>
      </c>
      <c r="C188" s="11" t="str">
        <f>IFERROR(__xludf.DUMMYFUNCTION("""COMPUTED_VALUE"""),"193579")</f>
        <v>193579</v>
      </c>
      <c r="D188" s="11">
        <f>IFERROR(__xludf.DUMMYFUNCTION("""COMPUTED_VALUE"""),10.0)</f>
        <v>10</v>
      </c>
      <c r="E188" s="11">
        <f>IFERROR(VLOOKUP(B188,COURSE_PLAN!A:B,2,FALSE),"")</f>
        <v>10</v>
      </c>
      <c r="F188" s="11">
        <f t="shared" si="1"/>
        <v>1</v>
      </c>
      <c r="G188" s="11" t="str">
        <f>IFERROR(VLOOKUP(C188,STUDENTS!A:E,5,FALSE),"")</f>
        <v>Inactive</v>
      </c>
      <c r="H188" s="11" t="str">
        <f>IFERROR(VLOOKUP(C188,STUDENTS!A:M,13,FALSE),"")</f>
        <v>Discontinued mid-course</v>
      </c>
      <c r="I188" s="11" t="str">
        <f>IF(D188="","",IF(AND(VLOOKUP(C188,STUDENTS!$A:$R,17,FALSE)=A188,VLOOKUP(C188,STUDENTS!$A:$R,18,FALSE)=B188,G188="Active"),"Đang học",IF(F188&gt;=0.8,IF(G188="Active","Tiếp tục khóa sau",IF(G188="Waiting for class","Chờ lớp mới",IF(G188="Inactive",IF(IFERROR(H188,"")="Discontinued mid-course","Nghỉ giữa chừng","Hoàn thành rồi nghỉ luôn"),""))),IF(G188="Inactive","Nghỉ giữa chừng","Đang học"))))</f>
        <v>Nghỉ giữa chừng</v>
      </c>
    </row>
    <row r="189">
      <c r="A189" s="11" t="str">
        <f>IFERROR(__xludf.DUMMYFUNCTION("""COMPUTED_VALUE"""),"EL020")</f>
        <v>EL020</v>
      </c>
      <c r="B189" s="11" t="str">
        <f>IFERROR(__xludf.DUMMYFUNCTION("""COMPUTED_VALUE"""),"Communication 1")</f>
        <v>Communication 1</v>
      </c>
      <c r="C189" s="11" t="str">
        <f>IFERROR(__xludf.DUMMYFUNCTION("""COMPUTED_VALUE"""),"213891")</f>
        <v>213891</v>
      </c>
      <c r="D189" s="11">
        <f>IFERROR(__xludf.DUMMYFUNCTION("""COMPUTED_VALUE"""),10.0)</f>
        <v>10</v>
      </c>
      <c r="E189" s="11">
        <f>IFERROR(VLOOKUP(B189,COURSE_PLAN!A:B,2,FALSE),"")</f>
        <v>10</v>
      </c>
      <c r="F189" s="11">
        <f t="shared" si="1"/>
        <v>1</v>
      </c>
      <c r="G189" s="11" t="str">
        <f>IFERROR(VLOOKUP(C189,STUDENTS!A:E,5,FALSE),"")</f>
        <v>Inactive</v>
      </c>
      <c r="H189" s="11" t="str">
        <f>IFERROR(VLOOKUP(C189,STUDENTS!A:M,13,FALSE),"")</f>
        <v>Discontinued mid-course</v>
      </c>
      <c r="I189" s="11" t="str">
        <f>IF(D189="","",IF(AND(VLOOKUP(C189,STUDENTS!$A:$R,17,FALSE)=A189,VLOOKUP(C189,STUDENTS!$A:$R,18,FALSE)=B189,G189="Active"),"Đang học",IF(F189&gt;=0.8,IF(G189="Active","Tiếp tục khóa sau",IF(G189="Waiting for class","Chờ lớp mới",IF(G189="Inactive",IF(IFERROR(H189,"")="Discontinued mid-course","Nghỉ giữa chừng","Hoàn thành rồi nghỉ luôn"),""))),IF(G189="Inactive","Nghỉ giữa chừng","Đang học"))))</f>
        <v>Nghỉ giữa chừng</v>
      </c>
    </row>
    <row r="190">
      <c r="A190" s="11" t="str">
        <f>IFERROR(__xludf.DUMMYFUNCTION("""COMPUTED_VALUE"""),"EL020")</f>
        <v>EL020</v>
      </c>
      <c r="B190" s="11" t="str">
        <f>IFERROR(__xludf.DUMMYFUNCTION("""COMPUTED_VALUE"""),"Communication 1")</f>
        <v>Communication 1</v>
      </c>
      <c r="C190" s="11" t="str">
        <f>IFERROR(__xludf.DUMMYFUNCTION("""COMPUTED_VALUE"""),"213954")</f>
        <v>213954</v>
      </c>
      <c r="D190" s="11">
        <f>IFERROR(__xludf.DUMMYFUNCTION("""COMPUTED_VALUE"""),10.0)</f>
        <v>10</v>
      </c>
      <c r="E190" s="11">
        <f>IFERROR(VLOOKUP(B190,COURSE_PLAN!A:B,2,FALSE),"")</f>
        <v>10</v>
      </c>
      <c r="F190" s="11">
        <f t="shared" si="1"/>
        <v>1</v>
      </c>
      <c r="G190" s="11" t="str">
        <f>IFERROR(VLOOKUP(C190,STUDENTS!A:E,5,FALSE),"")</f>
        <v>Inactive</v>
      </c>
      <c r="H190" s="11" t="str">
        <f>IFERROR(VLOOKUP(C190,STUDENTS!A:M,13,FALSE),"")</f>
        <v>Completed (no continuation)</v>
      </c>
      <c r="I190" s="11" t="str">
        <f>IF(D190="","",IF(AND(VLOOKUP(C190,STUDENTS!$A:$R,17,FALSE)=A190,VLOOKUP(C190,STUDENTS!$A:$R,18,FALSE)=B190,G190="Active"),"Đang học",IF(F190&gt;=0.8,IF(G190="Active","Tiếp tục khóa sau",IF(G190="Waiting for class","Chờ lớp mới",IF(G190="Inactive",IF(IFERROR(H190,"")="Discontinued mid-course","Nghỉ giữa chừng","Hoàn thành rồi nghỉ luôn"),""))),IF(G190="Inactive","Nghỉ giữa chừng","Đang học"))))</f>
        <v>Hoàn thành rồi nghỉ luôn</v>
      </c>
    </row>
    <row r="191">
      <c r="A191" s="11" t="str">
        <f>IFERROR(__xludf.DUMMYFUNCTION("""COMPUTED_VALUE"""),"EL020")</f>
        <v>EL020</v>
      </c>
      <c r="B191" s="11" t="str">
        <f>IFERROR(__xludf.DUMMYFUNCTION("""COMPUTED_VALUE"""),"Communication 1")</f>
        <v>Communication 1</v>
      </c>
      <c r="C191" s="11" t="str">
        <f>IFERROR(__xludf.DUMMYFUNCTION("""COMPUTED_VALUE"""),"213974")</f>
        <v>213974</v>
      </c>
      <c r="D191" s="11">
        <f>IFERROR(__xludf.DUMMYFUNCTION("""COMPUTED_VALUE"""),10.0)</f>
        <v>10</v>
      </c>
      <c r="E191" s="11">
        <f>IFERROR(VLOOKUP(B191,COURSE_PLAN!A:B,2,FALSE),"")</f>
        <v>10</v>
      </c>
      <c r="F191" s="11">
        <f t="shared" si="1"/>
        <v>1</v>
      </c>
      <c r="G191" s="11" t="str">
        <f>IFERROR(VLOOKUP(C191,STUDENTS!A:E,5,FALSE),"")</f>
        <v>Inactive</v>
      </c>
      <c r="H191" s="11" t="str">
        <f>IFERROR(VLOOKUP(C191,STUDENTS!A:M,13,FALSE),"")</f>
        <v>Discontinued mid-course</v>
      </c>
      <c r="I191" s="11" t="str">
        <f>IF(D191="","",IF(AND(VLOOKUP(C191,STUDENTS!$A:$R,17,FALSE)=A191,VLOOKUP(C191,STUDENTS!$A:$R,18,FALSE)=B191,G191="Active"),"Đang học",IF(F191&gt;=0.8,IF(G191="Active","Tiếp tục khóa sau",IF(G191="Waiting for class","Chờ lớp mới",IF(G191="Inactive",IF(IFERROR(H191,"")="Discontinued mid-course","Nghỉ giữa chừng","Hoàn thành rồi nghỉ luôn"),""))),IF(G191="Inactive","Nghỉ giữa chừng","Đang học"))))</f>
        <v>Nghỉ giữa chừng</v>
      </c>
    </row>
    <row r="192">
      <c r="A192" s="11" t="str">
        <f>IFERROR(__xludf.DUMMYFUNCTION("""COMPUTED_VALUE"""),"EL020")</f>
        <v>EL020</v>
      </c>
      <c r="B192" s="11" t="str">
        <f>IFERROR(__xludf.DUMMYFUNCTION("""COMPUTED_VALUE"""),"Communication 1")</f>
        <v>Communication 1</v>
      </c>
      <c r="C192" s="11" t="str">
        <f>IFERROR(__xludf.DUMMYFUNCTION("""COMPUTED_VALUE"""),"227112")</f>
        <v>227112</v>
      </c>
      <c r="D192" s="11">
        <f>IFERROR(__xludf.DUMMYFUNCTION("""COMPUTED_VALUE"""),10.0)</f>
        <v>10</v>
      </c>
      <c r="E192" s="11">
        <f>IFERROR(VLOOKUP(B192,COURSE_PLAN!A:B,2,FALSE),"")</f>
        <v>10</v>
      </c>
      <c r="F192" s="11">
        <f t="shared" si="1"/>
        <v>1</v>
      </c>
      <c r="G192" s="11" t="str">
        <f>IFERROR(VLOOKUP(C192,STUDENTS!A:E,5,FALSE),"")</f>
        <v>Waiting for class</v>
      </c>
      <c r="H192" s="11" t="str">
        <f>IFERROR(VLOOKUP(C192,STUDENTS!A:M,13,FALSE),"")</f>
        <v>Waiting for class</v>
      </c>
      <c r="I192" s="11" t="str">
        <f>IF(D192="","",IF(AND(VLOOKUP(C192,STUDENTS!$A:$R,17,FALSE)=A192,VLOOKUP(C192,STUDENTS!$A:$R,18,FALSE)=B192,G192="Active"),"Đang học",IF(F192&gt;=0.8,IF(G192="Active","Tiếp tục khóa sau",IF(G192="Waiting for class","Chờ lớp mới",IF(G192="Inactive",IF(IFERROR(H192,"")="Discontinued mid-course","Nghỉ giữa chừng","Hoàn thành rồi nghỉ luôn"),""))),IF(G192="Inactive","Nghỉ giữa chừng","Đang học"))))</f>
        <v>Chờ lớp mới</v>
      </c>
    </row>
    <row r="193">
      <c r="A193" s="11" t="str">
        <f>IFERROR(__xludf.DUMMYFUNCTION("""COMPUTED_VALUE"""),"EL020")</f>
        <v>EL020</v>
      </c>
      <c r="B193" s="11" t="str">
        <f>IFERROR(__xludf.DUMMYFUNCTION("""COMPUTED_VALUE"""),"Communication 1")</f>
        <v>Communication 1</v>
      </c>
      <c r="C193" s="11" t="str">
        <f>IFERROR(__xludf.DUMMYFUNCTION("""COMPUTED_VALUE"""),"227183")</f>
        <v>227183</v>
      </c>
      <c r="D193" s="11">
        <f>IFERROR(__xludf.DUMMYFUNCTION("""COMPUTED_VALUE"""),9.0)</f>
        <v>9</v>
      </c>
      <c r="E193" s="11">
        <f>IFERROR(VLOOKUP(B193,COURSE_PLAN!A:B,2,FALSE),"")</f>
        <v>10</v>
      </c>
      <c r="F193" s="11">
        <f t="shared" si="1"/>
        <v>0.9</v>
      </c>
      <c r="G193" s="11" t="str">
        <f>IFERROR(VLOOKUP(C193,STUDENTS!A:E,5,FALSE),"")</f>
        <v>Waiting for class</v>
      </c>
      <c r="H193" s="11" t="str">
        <f>IFERROR(VLOOKUP(C193,STUDENTS!A:M,13,FALSE),"")</f>
        <v>Waiting for class</v>
      </c>
      <c r="I193" s="11" t="str">
        <f>IF(D193="","",IF(AND(VLOOKUP(C193,STUDENTS!$A:$R,17,FALSE)=A193,VLOOKUP(C193,STUDENTS!$A:$R,18,FALSE)=B193,G193="Active"),"Đang học",IF(F193&gt;=0.8,IF(G193="Active","Tiếp tục khóa sau",IF(G193="Waiting for class","Chờ lớp mới",IF(G193="Inactive",IF(IFERROR(H193,"")="Discontinued mid-course","Nghỉ giữa chừng","Hoàn thành rồi nghỉ luôn"),""))),IF(G193="Inactive","Nghỉ giữa chừng","Đang học"))))</f>
        <v>Chờ lớp mới</v>
      </c>
    </row>
    <row r="194">
      <c r="A194" s="11" t="str">
        <f>IFERROR(__xludf.DUMMYFUNCTION("""COMPUTED_VALUE"""),"EL020")</f>
        <v>EL020</v>
      </c>
      <c r="B194" s="11" t="str">
        <f>IFERROR(__xludf.DUMMYFUNCTION("""COMPUTED_VALUE"""),"Communication 1")</f>
        <v>Communication 1</v>
      </c>
      <c r="C194" s="11" t="str">
        <f>IFERROR(__xludf.DUMMYFUNCTION("""COMPUTED_VALUE"""),"247389")</f>
        <v>247389</v>
      </c>
      <c r="D194" s="11">
        <f>IFERROR(__xludf.DUMMYFUNCTION("""COMPUTED_VALUE"""),10.0)</f>
        <v>10</v>
      </c>
      <c r="E194" s="11">
        <f>IFERROR(VLOOKUP(B194,COURSE_PLAN!A:B,2,FALSE),"")</f>
        <v>10</v>
      </c>
      <c r="F194" s="11">
        <f t="shared" si="1"/>
        <v>1</v>
      </c>
      <c r="G194" s="11" t="str">
        <f>IFERROR(VLOOKUP(C194,STUDENTS!A:E,5,FALSE),"")</f>
        <v>Inactive</v>
      </c>
      <c r="H194" s="11" t="str">
        <f>IFERROR(VLOOKUP(C194,STUDENTS!A:M,13,FALSE),"")</f>
        <v>Discontinued mid-course</v>
      </c>
      <c r="I194" s="11" t="str">
        <f>IF(D194="","",IF(AND(VLOOKUP(C194,STUDENTS!$A:$R,17,FALSE)=A194,VLOOKUP(C194,STUDENTS!$A:$R,18,FALSE)=B194,G194="Active"),"Đang học",IF(F194&gt;=0.8,IF(G194="Active","Tiếp tục khóa sau",IF(G194="Waiting for class","Chờ lớp mới",IF(G194="Inactive",IF(IFERROR(H194,"")="Discontinued mid-course","Nghỉ giữa chừng","Hoàn thành rồi nghỉ luôn"),""))),IF(G194="Inactive","Nghỉ giữa chừng","Đang học"))))</f>
        <v>Nghỉ giữa chừng</v>
      </c>
    </row>
    <row r="195">
      <c r="A195" s="11" t="str">
        <f>IFERROR(__xludf.DUMMYFUNCTION("""COMPUTED_VALUE"""),"EL020")</f>
        <v>EL020</v>
      </c>
      <c r="B195" s="11" t="str">
        <f>IFERROR(__xludf.DUMMYFUNCTION("""COMPUTED_VALUE"""),"Communication 1")</f>
        <v>Communication 1</v>
      </c>
      <c r="C195" s="11" t="str">
        <f>IFERROR(__xludf.DUMMYFUNCTION("""COMPUTED_VALUE"""),"247390")</f>
        <v>247390</v>
      </c>
      <c r="D195" s="11">
        <f>IFERROR(__xludf.DUMMYFUNCTION("""COMPUTED_VALUE"""),10.0)</f>
        <v>10</v>
      </c>
      <c r="E195" s="11">
        <f>IFERROR(VLOOKUP(B195,COURSE_PLAN!A:B,2,FALSE),"")</f>
        <v>10</v>
      </c>
      <c r="F195" s="11">
        <f t="shared" si="1"/>
        <v>1</v>
      </c>
      <c r="G195" s="11" t="str">
        <f>IFERROR(VLOOKUP(C195,STUDENTS!A:E,5,FALSE),"")</f>
        <v>Inactive</v>
      </c>
      <c r="H195" s="11" t="str">
        <f>IFERROR(VLOOKUP(C195,STUDENTS!A:M,13,FALSE),"")</f>
        <v>Discontinued mid-course</v>
      </c>
      <c r="I195" s="11" t="str">
        <f>IF(D195="","",IF(AND(VLOOKUP(C195,STUDENTS!$A:$R,17,FALSE)=A195,VLOOKUP(C195,STUDENTS!$A:$R,18,FALSE)=B195,G195="Active"),"Đang học",IF(F195&gt;=0.8,IF(G195="Active","Tiếp tục khóa sau",IF(G195="Waiting for class","Chờ lớp mới",IF(G195="Inactive",IF(IFERROR(H195,"")="Discontinued mid-course","Nghỉ giữa chừng","Hoàn thành rồi nghỉ luôn"),""))),IF(G195="Inactive","Nghỉ giữa chừng","Đang học"))))</f>
        <v>Nghỉ giữa chừng</v>
      </c>
    </row>
    <row r="196">
      <c r="A196" s="11" t="str">
        <f>IFERROR(__xludf.DUMMYFUNCTION("""COMPUTED_VALUE"""),"EL020")</f>
        <v>EL020</v>
      </c>
      <c r="B196" s="11" t="str">
        <f>IFERROR(__xludf.DUMMYFUNCTION("""COMPUTED_VALUE"""),"Communication 2")</f>
        <v>Communication 2</v>
      </c>
      <c r="C196" s="11" t="str">
        <f>IFERROR(__xludf.DUMMYFUNCTION("""COMPUTED_VALUE"""),"213891")</f>
        <v>213891</v>
      </c>
      <c r="D196" s="11">
        <f>IFERROR(__xludf.DUMMYFUNCTION("""COMPUTED_VALUE"""),7.0)</f>
        <v>7</v>
      </c>
      <c r="E196" s="11">
        <f>IFERROR(VLOOKUP(B196,COURSE_PLAN!A:B,2,FALSE),"")</f>
        <v>16</v>
      </c>
      <c r="F196" s="11">
        <f t="shared" si="1"/>
        <v>0.4375</v>
      </c>
      <c r="G196" s="11" t="str">
        <f>IFERROR(VLOOKUP(C196,STUDENTS!A:E,5,FALSE),"")</f>
        <v>Inactive</v>
      </c>
      <c r="H196" s="11" t="str">
        <f>IFERROR(VLOOKUP(C196,STUDENTS!A:M,13,FALSE),"")</f>
        <v>Discontinued mid-course</v>
      </c>
      <c r="I196" s="11" t="str">
        <f>IF(D196="","",IF(AND(VLOOKUP(C196,STUDENTS!$A:$R,17,FALSE)=A196,VLOOKUP(C196,STUDENTS!$A:$R,18,FALSE)=B196,G196="Active"),"Đang học",IF(F196&gt;=0.8,IF(G196="Active","Tiếp tục khóa sau",IF(G196="Waiting for class","Chờ lớp mới",IF(G196="Inactive",IF(IFERROR(H196,"")="Discontinued mid-course","Nghỉ giữa chừng","Hoàn thành rồi nghỉ luôn"),""))),IF(G196="Inactive","Nghỉ giữa chừng","Đang học"))))</f>
        <v>Nghỉ giữa chừng</v>
      </c>
    </row>
    <row r="197">
      <c r="A197" s="11" t="str">
        <f>IFERROR(__xludf.DUMMYFUNCTION("""COMPUTED_VALUE"""),"EL020")</f>
        <v>EL020</v>
      </c>
      <c r="B197" s="11" t="str">
        <f>IFERROR(__xludf.DUMMYFUNCTION("""COMPUTED_VALUE"""),"Communication 2")</f>
        <v>Communication 2</v>
      </c>
      <c r="C197" s="11" t="str">
        <f>IFERROR(__xludf.DUMMYFUNCTION("""COMPUTED_VALUE"""),"213974")</f>
        <v>213974</v>
      </c>
      <c r="D197" s="11">
        <f>IFERROR(__xludf.DUMMYFUNCTION("""COMPUTED_VALUE"""),7.0)</f>
        <v>7</v>
      </c>
      <c r="E197" s="11">
        <f>IFERROR(VLOOKUP(B197,COURSE_PLAN!A:B,2,FALSE),"")</f>
        <v>16</v>
      </c>
      <c r="F197" s="11">
        <f t="shared" si="1"/>
        <v>0.4375</v>
      </c>
      <c r="G197" s="11" t="str">
        <f>IFERROR(VLOOKUP(C197,STUDENTS!A:E,5,FALSE),"")</f>
        <v>Inactive</v>
      </c>
      <c r="H197" s="11" t="str">
        <f>IFERROR(VLOOKUP(C197,STUDENTS!A:M,13,FALSE),"")</f>
        <v>Discontinued mid-course</v>
      </c>
      <c r="I197" s="11" t="str">
        <f>IF(D197="","",IF(AND(VLOOKUP(C197,STUDENTS!$A:$R,17,FALSE)=A197,VLOOKUP(C197,STUDENTS!$A:$R,18,FALSE)=B197,G197="Active"),"Đang học",IF(F197&gt;=0.8,IF(G197="Active","Tiếp tục khóa sau",IF(G197="Waiting for class","Chờ lớp mới",IF(G197="Inactive",IF(IFERROR(H197,"")="Discontinued mid-course","Nghỉ giữa chừng","Hoàn thành rồi nghỉ luôn"),""))),IF(G197="Inactive","Nghỉ giữa chừng","Đang học"))))</f>
        <v>Nghỉ giữa chừng</v>
      </c>
    </row>
    <row r="198">
      <c r="A198" s="11" t="str">
        <f>IFERROR(__xludf.DUMMYFUNCTION("""COMPUTED_VALUE"""),"EL020")</f>
        <v>EL020</v>
      </c>
      <c r="B198" s="11" t="str">
        <f>IFERROR(__xludf.DUMMYFUNCTION("""COMPUTED_VALUE"""),"Communication 2")</f>
        <v>Communication 2</v>
      </c>
      <c r="C198" s="11" t="str">
        <f>IFERROR(__xludf.DUMMYFUNCTION("""COMPUTED_VALUE"""),"227183")</f>
        <v>227183</v>
      </c>
      <c r="D198" s="11">
        <f>IFERROR(__xludf.DUMMYFUNCTION("""COMPUTED_VALUE"""),7.0)</f>
        <v>7</v>
      </c>
      <c r="E198" s="11">
        <f>IFERROR(VLOOKUP(B198,COURSE_PLAN!A:B,2,FALSE),"")</f>
        <v>16</v>
      </c>
      <c r="F198" s="11">
        <f t="shared" si="1"/>
        <v>0.4375</v>
      </c>
      <c r="G198" s="11" t="str">
        <f>IFERROR(VLOOKUP(C198,STUDENTS!A:E,5,FALSE),"")</f>
        <v>Waiting for class</v>
      </c>
      <c r="H198" s="11" t="str">
        <f>IFERROR(VLOOKUP(C198,STUDENTS!A:M,13,FALSE),"")</f>
        <v>Waiting for class</v>
      </c>
      <c r="I198" s="11" t="str">
        <f>IF(D198="","",IF(AND(VLOOKUP(C198,STUDENTS!$A:$R,17,FALSE)=A198,VLOOKUP(C198,STUDENTS!$A:$R,18,FALSE)=B198,G198="Active"),"Đang học",IF(F198&gt;=0.8,IF(G198="Active","Tiếp tục khóa sau",IF(G198="Waiting for class","Chờ lớp mới",IF(G198="Inactive",IF(IFERROR(H198,"")="Discontinued mid-course","Nghỉ giữa chừng","Hoàn thành rồi nghỉ luôn"),""))),IF(G198="Inactive","Nghỉ giữa chừng","Đang học"))))</f>
        <v>Đang học</v>
      </c>
    </row>
    <row r="199">
      <c r="A199" s="11" t="str">
        <f>IFERROR(__xludf.DUMMYFUNCTION("""COMPUTED_VALUE"""),"EL020")</f>
        <v>EL020</v>
      </c>
      <c r="B199" s="11" t="str">
        <f>IFERROR(__xludf.DUMMYFUNCTION("""COMPUTED_VALUE"""),"Communication 2")</f>
        <v>Communication 2</v>
      </c>
      <c r="C199" s="11" t="str">
        <f>IFERROR(__xludf.DUMMYFUNCTION("""COMPUTED_VALUE"""),"247389")</f>
        <v>247389</v>
      </c>
      <c r="D199" s="11">
        <f>IFERROR(__xludf.DUMMYFUNCTION("""COMPUTED_VALUE"""),7.0)</f>
        <v>7</v>
      </c>
      <c r="E199" s="11">
        <f>IFERROR(VLOOKUP(B199,COURSE_PLAN!A:B,2,FALSE),"")</f>
        <v>16</v>
      </c>
      <c r="F199" s="11">
        <f t="shared" si="1"/>
        <v>0.4375</v>
      </c>
      <c r="G199" s="11" t="str">
        <f>IFERROR(VLOOKUP(C199,STUDENTS!A:E,5,FALSE),"")</f>
        <v>Inactive</v>
      </c>
      <c r="H199" s="11" t="str">
        <f>IFERROR(VLOOKUP(C199,STUDENTS!A:M,13,FALSE),"")</f>
        <v>Discontinued mid-course</v>
      </c>
      <c r="I199" s="11" t="str">
        <f>IF(D199="","",IF(AND(VLOOKUP(C199,STUDENTS!$A:$R,17,FALSE)=A199,VLOOKUP(C199,STUDENTS!$A:$R,18,FALSE)=B199,G199="Active"),"Đang học",IF(F199&gt;=0.8,IF(G199="Active","Tiếp tục khóa sau",IF(G199="Waiting for class","Chờ lớp mới",IF(G199="Inactive",IF(IFERROR(H199,"")="Discontinued mid-course","Nghỉ giữa chừng","Hoàn thành rồi nghỉ luôn"),""))),IF(G199="Inactive","Nghỉ giữa chừng","Đang học"))))</f>
        <v>Nghỉ giữa chừng</v>
      </c>
    </row>
    <row r="200">
      <c r="A200" s="11" t="str">
        <f>IFERROR(__xludf.DUMMYFUNCTION("""COMPUTED_VALUE"""),"EL020")</f>
        <v>EL020</v>
      </c>
      <c r="B200" s="11" t="str">
        <f>IFERROR(__xludf.DUMMYFUNCTION("""COMPUTED_VALUE"""),"Communication 2")</f>
        <v>Communication 2</v>
      </c>
      <c r="C200" s="11" t="str">
        <f>IFERROR(__xludf.DUMMYFUNCTION("""COMPUTED_VALUE"""),"247390")</f>
        <v>247390</v>
      </c>
      <c r="D200" s="11">
        <f>IFERROR(__xludf.DUMMYFUNCTION("""COMPUTED_VALUE"""),7.0)</f>
        <v>7</v>
      </c>
      <c r="E200" s="11">
        <f>IFERROR(VLOOKUP(B200,COURSE_PLAN!A:B,2,FALSE),"")</f>
        <v>16</v>
      </c>
      <c r="F200" s="11">
        <f t="shared" si="1"/>
        <v>0.4375</v>
      </c>
      <c r="G200" s="11" t="str">
        <f>IFERROR(VLOOKUP(C200,STUDENTS!A:E,5,FALSE),"")</f>
        <v>Inactive</v>
      </c>
      <c r="H200" s="11" t="str">
        <f>IFERROR(VLOOKUP(C200,STUDENTS!A:M,13,FALSE),"")</f>
        <v>Discontinued mid-course</v>
      </c>
      <c r="I200" s="11" t="str">
        <f>IF(D200="","",IF(AND(VLOOKUP(C200,STUDENTS!$A:$R,17,FALSE)=A200,VLOOKUP(C200,STUDENTS!$A:$R,18,FALSE)=B200,G200="Active"),"Đang học",IF(F200&gt;=0.8,IF(G200="Active","Tiếp tục khóa sau",IF(G200="Waiting for class","Chờ lớp mới",IF(G200="Inactive",IF(IFERROR(H200,"")="Discontinued mid-course","Nghỉ giữa chừng","Hoàn thành rồi nghỉ luôn"),""))),IF(G200="Inactive","Nghỉ giữa chừng","Đang học"))))</f>
        <v>Nghỉ giữa chừng</v>
      </c>
    </row>
    <row r="201">
      <c r="A201" s="11" t="str">
        <f>IFERROR(__xludf.DUMMYFUNCTION("""COMPUTED_VALUE"""),"EL021")</f>
        <v>EL021</v>
      </c>
      <c r="B201" s="11" t="str">
        <f>IFERROR(__xludf.DUMMYFUNCTION("""COMPUTED_VALUE"""),"Business English")</f>
        <v>Business English</v>
      </c>
      <c r="C201" s="11" t="str">
        <f>IFERROR(__xludf.DUMMYFUNCTION("""COMPUTED_VALUE"""),"237056")</f>
        <v>237056</v>
      </c>
      <c r="D201" s="11">
        <f>IFERROR(__xludf.DUMMYFUNCTION("""COMPUTED_VALUE"""),16.0)</f>
        <v>16</v>
      </c>
      <c r="E201" s="11">
        <f>IFERROR(VLOOKUP(B201,COURSE_PLAN!A:B,2,FALSE),"")</f>
        <v>16</v>
      </c>
      <c r="F201" s="11">
        <f t="shared" si="1"/>
        <v>1</v>
      </c>
      <c r="G201" s="11" t="str">
        <f>IFERROR(VLOOKUP(C201,STUDENTS!A:E,5,FALSE),"")</f>
        <v>Inactive</v>
      </c>
      <c r="H201" s="11" t="str">
        <f>IFERROR(VLOOKUP(C201,STUDENTS!A:M,13,FALSE),"")</f>
        <v>Completed (no continuation)</v>
      </c>
      <c r="I201" s="11" t="str">
        <f>IF(D201="","",IF(AND(VLOOKUP(C201,STUDENTS!$A:$R,17,FALSE)=A201,VLOOKUP(C201,STUDENTS!$A:$R,18,FALSE)=B201,G201="Active"),"Đang học",IF(F201&gt;=0.8,IF(G201="Active","Tiếp tục khóa sau",IF(G201="Waiting for class","Chờ lớp mới",IF(G201="Inactive",IF(IFERROR(H201,"")="Discontinued mid-course","Nghỉ giữa chừng","Hoàn thành rồi nghỉ luôn"),""))),IF(G201="Inactive","Nghỉ giữa chừng","Đang học"))))</f>
        <v>Hoàn thành rồi nghỉ luôn</v>
      </c>
    </row>
    <row r="202">
      <c r="A202" s="11" t="str">
        <f>IFERROR(__xludf.DUMMYFUNCTION("""COMPUTED_VALUE"""),"EL021")</f>
        <v>EL021</v>
      </c>
      <c r="B202" s="11" t="str">
        <f>IFERROR(__xludf.DUMMYFUNCTION("""COMPUTED_VALUE"""),"Business English")</f>
        <v>Business English</v>
      </c>
      <c r="C202" s="11" t="str">
        <f>IFERROR(__xludf.DUMMYFUNCTION("""COMPUTED_VALUE"""),"237230")</f>
        <v>237230</v>
      </c>
      <c r="D202" s="11">
        <f>IFERROR(__xludf.DUMMYFUNCTION("""COMPUTED_VALUE"""),16.0)</f>
        <v>16</v>
      </c>
      <c r="E202" s="11">
        <f>IFERROR(VLOOKUP(B202,COURSE_PLAN!A:B,2,FALSE),"")</f>
        <v>16</v>
      </c>
      <c r="F202" s="11">
        <f t="shared" si="1"/>
        <v>1</v>
      </c>
      <c r="G202" s="11" t="str">
        <f>IFERROR(VLOOKUP(C202,STUDENTS!A:E,5,FALSE),"")</f>
        <v>Inactive</v>
      </c>
      <c r="H202" s="11" t="str">
        <f>IFERROR(VLOOKUP(C202,STUDENTS!A:M,13,FALSE),"")</f>
        <v>Completed (no continuation)</v>
      </c>
      <c r="I202" s="11" t="str">
        <f>IF(D202="","",IF(AND(VLOOKUP(C202,STUDENTS!$A:$R,17,FALSE)=A202,VLOOKUP(C202,STUDENTS!$A:$R,18,FALSE)=B202,G202="Active"),"Đang học",IF(F202&gt;=0.8,IF(G202="Active","Tiếp tục khóa sau",IF(G202="Waiting for class","Chờ lớp mới",IF(G202="Inactive",IF(IFERROR(H202,"")="Discontinued mid-course","Nghỉ giữa chừng","Hoàn thành rồi nghỉ luôn"),""))),IF(G202="Inactive","Nghỉ giữa chừng","Đang học"))))</f>
        <v>Hoàn thành rồi nghỉ luôn</v>
      </c>
    </row>
    <row r="203">
      <c r="A203" s="11" t="str">
        <f>IFERROR(__xludf.DUMMYFUNCTION("""COMPUTED_VALUE"""),"EL021")</f>
        <v>EL021</v>
      </c>
      <c r="B203" s="11" t="str">
        <f>IFERROR(__xludf.DUMMYFUNCTION("""COMPUTED_VALUE"""),"Business English")</f>
        <v>Business English</v>
      </c>
      <c r="C203" s="11" t="str">
        <f>IFERROR(__xludf.DUMMYFUNCTION("""COMPUTED_VALUE"""),"242001")</f>
        <v>242001</v>
      </c>
      <c r="D203" s="11">
        <f>IFERROR(__xludf.DUMMYFUNCTION("""COMPUTED_VALUE"""),16.0)</f>
        <v>16</v>
      </c>
      <c r="E203" s="11">
        <f>IFERROR(VLOOKUP(B203,COURSE_PLAN!A:B,2,FALSE),"")</f>
        <v>16</v>
      </c>
      <c r="F203" s="11">
        <f t="shared" si="1"/>
        <v>1</v>
      </c>
      <c r="G203" s="11" t="str">
        <f>IFERROR(VLOOKUP(C203,STUDENTS!A:E,5,FALSE),"")</f>
        <v>Inactive</v>
      </c>
      <c r="H203" s="11" t="str">
        <f>IFERROR(VLOOKUP(C203,STUDENTS!A:M,13,FALSE),"")</f>
        <v>Completed (no continuation)</v>
      </c>
      <c r="I203" s="11" t="str">
        <f>IF(D203="","",IF(AND(VLOOKUP(C203,STUDENTS!$A:$R,17,FALSE)=A203,VLOOKUP(C203,STUDENTS!$A:$R,18,FALSE)=B203,G203="Active"),"Đang học",IF(F203&gt;=0.8,IF(G203="Active","Tiếp tục khóa sau",IF(G203="Waiting for class","Chờ lớp mới",IF(G203="Inactive",IF(IFERROR(H203,"")="Discontinued mid-course","Nghỉ giữa chừng","Hoàn thành rồi nghỉ luôn"),""))),IF(G203="Inactive","Nghỉ giữa chừng","Đang học"))))</f>
        <v>Hoàn thành rồi nghỉ luôn</v>
      </c>
    </row>
    <row r="204">
      <c r="A204" s="11" t="str">
        <f>IFERROR(__xludf.DUMMYFUNCTION("""COMPUTED_VALUE"""),"EL021")</f>
        <v>EL021</v>
      </c>
      <c r="B204" s="11" t="str">
        <f>IFERROR(__xludf.DUMMYFUNCTION("""COMPUTED_VALUE"""),"Business English")</f>
        <v>Business English</v>
      </c>
      <c r="C204" s="11" t="str">
        <f>IFERROR(__xludf.DUMMYFUNCTION("""COMPUTED_VALUE"""),"247183")</f>
        <v>247183</v>
      </c>
      <c r="D204" s="11">
        <f>IFERROR(__xludf.DUMMYFUNCTION("""COMPUTED_VALUE"""),16.0)</f>
        <v>16</v>
      </c>
      <c r="E204" s="11">
        <f>IFERROR(VLOOKUP(B204,COURSE_PLAN!A:B,2,FALSE),"")</f>
        <v>16</v>
      </c>
      <c r="F204" s="11">
        <f t="shared" si="1"/>
        <v>1</v>
      </c>
      <c r="G204" s="11" t="str">
        <f>IFERROR(VLOOKUP(C204,STUDENTS!A:E,5,FALSE),"")</f>
        <v>Inactive</v>
      </c>
      <c r="H204" s="11" t="str">
        <f>IFERROR(VLOOKUP(C204,STUDENTS!A:M,13,FALSE),"")</f>
        <v>Completed (no continuation)</v>
      </c>
      <c r="I204" s="11" t="str">
        <f>IF(D204="","",IF(AND(VLOOKUP(C204,STUDENTS!$A:$R,17,FALSE)=A204,VLOOKUP(C204,STUDENTS!$A:$R,18,FALSE)=B204,G204="Active"),"Đang học",IF(F204&gt;=0.8,IF(G204="Active","Tiếp tục khóa sau",IF(G204="Waiting for class","Chờ lớp mới",IF(G204="Inactive",IF(IFERROR(H204,"")="Discontinued mid-course","Nghỉ giữa chừng","Hoàn thành rồi nghỉ luôn"),""))),IF(G204="Inactive","Nghỉ giữa chừng","Đang học"))))</f>
        <v>Hoàn thành rồi nghỉ luôn</v>
      </c>
    </row>
    <row r="205">
      <c r="A205" s="11" t="str">
        <f>IFERROR(__xludf.DUMMYFUNCTION("""COMPUTED_VALUE"""),"EL021")</f>
        <v>EL021</v>
      </c>
      <c r="B205" s="11" t="str">
        <f>IFERROR(__xludf.DUMMYFUNCTION("""COMPUTED_VALUE"""),"Business English")</f>
        <v>Business English</v>
      </c>
      <c r="C205" s="11" t="str">
        <f>IFERROR(__xludf.DUMMYFUNCTION("""COMPUTED_VALUE"""),"247358")</f>
        <v>247358</v>
      </c>
      <c r="D205" s="11">
        <f>IFERROR(__xludf.DUMMYFUNCTION("""COMPUTED_VALUE"""),16.0)</f>
        <v>16</v>
      </c>
      <c r="E205" s="11">
        <f>IFERROR(VLOOKUP(B205,COURSE_PLAN!A:B,2,FALSE),"")</f>
        <v>16</v>
      </c>
      <c r="F205" s="11">
        <f t="shared" si="1"/>
        <v>1</v>
      </c>
      <c r="G205" s="11" t="str">
        <f>IFERROR(VLOOKUP(C205,STUDENTS!A:E,5,FALSE),"")</f>
        <v>Inactive</v>
      </c>
      <c r="H205" s="11" t="str">
        <f>IFERROR(VLOOKUP(C205,STUDENTS!A:M,13,FALSE),"")</f>
        <v>Completed (no continuation)</v>
      </c>
      <c r="I205" s="11" t="str">
        <f>IF(D205="","",IF(AND(VLOOKUP(C205,STUDENTS!$A:$R,17,FALSE)=A205,VLOOKUP(C205,STUDENTS!$A:$R,18,FALSE)=B205,G205="Active"),"Đang học",IF(F205&gt;=0.8,IF(G205="Active","Tiếp tục khóa sau",IF(G205="Waiting for class","Chờ lớp mới",IF(G205="Inactive",IF(IFERROR(H205,"")="Discontinued mid-course","Nghỉ giữa chừng","Hoàn thành rồi nghỉ luôn"),""))),IF(G205="Inactive","Nghỉ giữa chừng","Đang học"))))</f>
        <v>Hoàn thành rồi nghỉ luôn</v>
      </c>
    </row>
    <row r="206">
      <c r="A206" s="11" t="str">
        <f>IFERROR(__xludf.DUMMYFUNCTION("""COMPUTED_VALUE"""),"EL021")</f>
        <v>EL021</v>
      </c>
      <c r="B206" s="11" t="str">
        <f>IFERROR(__xludf.DUMMYFUNCTION("""COMPUTED_VALUE"""),"Business English")</f>
        <v>Business English</v>
      </c>
      <c r="C206" s="11" t="str">
        <f>IFERROR(__xludf.DUMMYFUNCTION("""COMPUTED_VALUE"""),"247377")</f>
        <v>247377</v>
      </c>
      <c r="D206" s="11">
        <f>IFERROR(__xludf.DUMMYFUNCTION("""COMPUTED_VALUE"""),16.0)</f>
        <v>16</v>
      </c>
      <c r="E206" s="11">
        <f>IFERROR(VLOOKUP(B206,COURSE_PLAN!A:B,2,FALSE),"")</f>
        <v>16</v>
      </c>
      <c r="F206" s="11">
        <f t="shared" si="1"/>
        <v>1</v>
      </c>
      <c r="G206" s="11" t="str">
        <f>IFERROR(VLOOKUP(C206,STUDENTS!A:E,5,FALSE),"")</f>
        <v>Inactive</v>
      </c>
      <c r="H206" s="11" t="str">
        <f>IFERROR(VLOOKUP(C206,STUDENTS!A:M,13,FALSE),"")</f>
        <v>Completed (no continuation)</v>
      </c>
      <c r="I206" s="11" t="str">
        <f>IF(D206="","",IF(AND(VLOOKUP(C206,STUDENTS!$A:$R,17,FALSE)=A206,VLOOKUP(C206,STUDENTS!$A:$R,18,FALSE)=B206,G206="Active"),"Đang học",IF(F206&gt;=0.8,IF(G206="Active","Tiếp tục khóa sau",IF(G206="Waiting for class","Chờ lớp mới",IF(G206="Inactive",IF(IFERROR(H206,"")="Discontinued mid-course","Nghỉ giữa chừng","Hoàn thành rồi nghỉ luôn"),""))),IF(G206="Inactive","Nghỉ giữa chừng","Đang học"))))</f>
        <v>Hoàn thành rồi nghỉ luôn</v>
      </c>
    </row>
    <row r="207">
      <c r="A207" s="11" t="str">
        <f>IFERROR(__xludf.DUMMYFUNCTION("""COMPUTED_VALUE"""),"EL021")</f>
        <v>EL021</v>
      </c>
      <c r="B207" s="11" t="str">
        <f>IFERROR(__xludf.DUMMYFUNCTION("""COMPUTED_VALUE"""),"Business English")</f>
        <v>Business English</v>
      </c>
      <c r="C207" s="11" t="str">
        <f>IFERROR(__xludf.DUMMYFUNCTION("""COMPUTED_VALUE"""),"247412")</f>
        <v>247412</v>
      </c>
      <c r="D207" s="11">
        <f>IFERROR(__xludf.DUMMYFUNCTION("""COMPUTED_VALUE"""),16.0)</f>
        <v>16</v>
      </c>
      <c r="E207" s="11">
        <f>IFERROR(VLOOKUP(B207,COURSE_PLAN!A:B,2,FALSE),"")</f>
        <v>16</v>
      </c>
      <c r="F207" s="11">
        <f t="shared" si="1"/>
        <v>1</v>
      </c>
      <c r="G207" s="11" t="str">
        <f>IFERROR(VLOOKUP(C207,STUDENTS!A:E,5,FALSE),"")</f>
        <v>Inactive</v>
      </c>
      <c r="H207" s="11" t="str">
        <f>IFERROR(VLOOKUP(C207,STUDENTS!A:M,13,FALSE),"")</f>
        <v>Completed (no continuation)</v>
      </c>
      <c r="I207" s="11" t="str">
        <f>IF(D207="","",IF(AND(VLOOKUP(C207,STUDENTS!$A:$R,17,FALSE)=A207,VLOOKUP(C207,STUDENTS!$A:$R,18,FALSE)=B207,G207="Active"),"Đang học",IF(F207&gt;=0.8,IF(G207="Active","Tiếp tục khóa sau",IF(G207="Waiting for class","Chờ lớp mới",IF(G207="Inactive",IF(IFERROR(H207,"")="Discontinued mid-course","Nghỉ giữa chừng","Hoàn thành rồi nghỉ luôn"),""))),IF(G207="Inactive","Nghỉ giữa chừng","Đang học"))))</f>
        <v>Hoàn thành rồi nghỉ luôn</v>
      </c>
    </row>
    <row r="208">
      <c r="A208" s="11" t="str">
        <f>IFERROR(__xludf.DUMMYFUNCTION("""COMPUTED_VALUE"""),"EL022")</f>
        <v>EL022</v>
      </c>
      <c r="B208" s="11" t="str">
        <f>IFERROR(__xludf.DUMMYFUNCTION("""COMPUTED_VALUE"""),"Communication 1")</f>
        <v>Communication 1</v>
      </c>
      <c r="C208" s="11" t="str">
        <f>IFERROR(__xludf.DUMMYFUNCTION("""COMPUTED_VALUE"""),"133051")</f>
        <v>133051</v>
      </c>
      <c r="D208" s="11">
        <f>IFERROR(__xludf.DUMMYFUNCTION("""COMPUTED_VALUE"""),12.0)</f>
        <v>12</v>
      </c>
      <c r="E208" s="11">
        <f>IFERROR(VLOOKUP(B208,COURSE_PLAN!A:B,2,FALSE),"")</f>
        <v>10</v>
      </c>
      <c r="F208" s="11">
        <f t="shared" si="1"/>
        <v>1.2</v>
      </c>
      <c r="G208" s="11" t="str">
        <f>IFERROR(VLOOKUP(C208,STUDENTS!A:E,5,FALSE),"")</f>
        <v>Inactive</v>
      </c>
      <c r="H208" s="11" t="str">
        <f>IFERROR(VLOOKUP(C208,STUDENTS!A:M,13,FALSE),"")</f>
        <v>Discontinued mid-course</v>
      </c>
      <c r="I208" s="11" t="str">
        <f>IF(D208="","",IF(AND(VLOOKUP(C208,STUDENTS!$A:$R,17,FALSE)=A208,VLOOKUP(C208,STUDENTS!$A:$R,18,FALSE)=B208,G208="Active"),"Đang học",IF(F208&gt;=0.8,IF(G208="Active","Tiếp tục khóa sau",IF(G208="Waiting for class","Chờ lớp mới",IF(G208="Inactive",IF(IFERROR(H208,"")="Discontinued mid-course","Nghỉ giữa chừng","Hoàn thành rồi nghỉ luôn"),""))),IF(G208="Inactive","Nghỉ giữa chừng","Đang học"))))</f>
        <v>Nghỉ giữa chừng</v>
      </c>
    </row>
    <row r="209">
      <c r="A209" s="11" t="str">
        <f>IFERROR(__xludf.DUMMYFUNCTION("""COMPUTED_VALUE"""),"EL022")</f>
        <v>EL022</v>
      </c>
      <c r="B209" s="11" t="str">
        <f>IFERROR(__xludf.DUMMYFUNCTION("""COMPUTED_VALUE"""),"Communication 1")</f>
        <v>Communication 1</v>
      </c>
      <c r="C209" s="11" t="str">
        <f>IFERROR(__xludf.DUMMYFUNCTION("""COMPUTED_VALUE"""),"183340")</f>
        <v>183340</v>
      </c>
      <c r="D209" s="11">
        <f>IFERROR(__xludf.DUMMYFUNCTION("""COMPUTED_VALUE"""),12.0)</f>
        <v>12</v>
      </c>
      <c r="E209" s="11">
        <f>IFERROR(VLOOKUP(B209,COURSE_PLAN!A:B,2,FALSE),"")</f>
        <v>10</v>
      </c>
      <c r="F209" s="11">
        <f t="shared" si="1"/>
        <v>1.2</v>
      </c>
      <c r="G209" s="11" t="str">
        <f>IFERROR(VLOOKUP(C209,STUDENTS!A:E,5,FALSE),"")</f>
        <v>Inactive</v>
      </c>
      <c r="H209" s="11" t="str">
        <f>IFERROR(VLOOKUP(C209,STUDENTS!A:M,13,FALSE),"")</f>
        <v>Discontinued mid-course</v>
      </c>
      <c r="I209" s="11" t="str">
        <f>IF(D209="","",IF(AND(VLOOKUP(C209,STUDENTS!$A:$R,17,FALSE)=A209,VLOOKUP(C209,STUDENTS!$A:$R,18,FALSE)=B209,G209="Active"),"Đang học",IF(F209&gt;=0.8,IF(G209="Active","Tiếp tục khóa sau",IF(G209="Waiting for class","Chờ lớp mới",IF(G209="Inactive",IF(IFERROR(H209,"")="Discontinued mid-course","Nghỉ giữa chừng","Hoàn thành rồi nghỉ luôn"),""))),IF(G209="Inactive","Nghỉ giữa chừng","Đang học"))))</f>
        <v>Nghỉ giữa chừng</v>
      </c>
    </row>
    <row r="210">
      <c r="A210" s="11" t="str">
        <f>IFERROR(__xludf.DUMMYFUNCTION("""COMPUTED_VALUE"""),"EL022")</f>
        <v>EL022</v>
      </c>
      <c r="B210" s="11" t="str">
        <f>IFERROR(__xludf.DUMMYFUNCTION("""COMPUTED_VALUE"""),"Communication 1")</f>
        <v>Communication 1</v>
      </c>
      <c r="C210" s="11" t="str">
        <f>IFERROR(__xludf.DUMMYFUNCTION("""COMPUTED_VALUE"""),"193534")</f>
        <v>193534</v>
      </c>
      <c r="D210" s="11">
        <f>IFERROR(__xludf.DUMMYFUNCTION("""COMPUTED_VALUE"""),12.0)</f>
        <v>12</v>
      </c>
      <c r="E210" s="11">
        <f>IFERROR(VLOOKUP(B210,COURSE_PLAN!A:B,2,FALSE),"")</f>
        <v>10</v>
      </c>
      <c r="F210" s="11">
        <f t="shared" si="1"/>
        <v>1.2</v>
      </c>
      <c r="G210" s="11" t="str">
        <f>IFERROR(VLOOKUP(C210,STUDENTS!A:E,5,FALSE),"")</f>
        <v>Inactive</v>
      </c>
      <c r="H210" s="11" t="str">
        <f>IFERROR(VLOOKUP(C210,STUDENTS!A:M,13,FALSE),"")</f>
        <v>Discontinued mid-course</v>
      </c>
      <c r="I210" s="11" t="str">
        <f>IF(D210="","",IF(AND(VLOOKUP(C210,STUDENTS!$A:$R,17,FALSE)=A210,VLOOKUP(C210,STUDENTS!$A:$R,18,FALSE)=B210,G210="Active"),"Đang học",IF(F210&gt;=0.8,IF(G210="Active","Tiếp tục khóa sau",IF(G210="Waiting for class","Chờ lớp mới",IF(G210="Inactive",IF(IFERROR(H210,"")="Discontinued mid-course","Nghỉ giữa chừng","Hoàn thành rồi nghỉ luôn"),""))),IF(G210="Inactive","Nghỉ giữa chừng","Đang học"))))</f>
        <v>Nghỉ giữa chừng</v>
      </c>
    </row>
    <row r="211">
      <c r="A211" s="11" t="str">
        <f>IFERROR(__xludf.DUMMYFUNCTION("""COMPUTED_VALUE"""),"EL022")</f>
        <v>EL022</v>
      </c>
      <c r="B211" s="11" t="str">
        <f>IFERROR(__xludf.DUMMYFUNCTION("""COMPUTED_VALUE"""),"Communication 1")</f>
        <v>Communication 1</v>
      </c>
      <c r="C211" s="11" t="str">
        <f>IFERROR(__xludf.DUMMYFUNCTION("""COMPUTED_VALUE"""),"203693")</f>
        <v>203693</v>
      </c>
      <c r="D211" s="11">
        <f>IFERROR(__xludf.DUMMYFUNCTION("""COMPUTED_VALUE"""),12.0)</f>
        <v>12</v>
      </c>
      <c r="E211" s="11">
        <f>IFERROR(VLOOKUP(B211,COURSE_PLAN!A:B,2,FALSE),"")</f>
        <v>10</v>
      </c>
      <c r="F211" s="11">
        <f t="shared" si="1"/>
        <v>1.2</v>
      </c>
      <c r="G211" s="11" t="str">
        <f>IFERROR(VLOOKUP(C211,STUDENTS!A:E,5,FALSE),"")</f>
        <v>Inactive</v>
      </c>
      <c r="H211" s="11" t="str">
        <f>IFERROR(VLOOKUP(C211,STUDENTS!A:M,13,FALSE),"")</f>
        <v>Completed (no continuation)</v>
      </c>
      <c r="I211" s="11" t="str">
        <f>IF(D211="","",IF(AND(VLOOKUP(C211,STUDENTS!$A:$R,17,FALSE)=A211,VLOOKUP(C211,STUDENTS!$A:$R,18,FALSE)=B211,G211="Active"),"Đang học",IF(F211&gt;=0.8,IF(G211="Active","Tiếp tục khóa sau",IF(G211="Waiting for class","Chờ lớp mới",IF(G211="Inactive",IF(IFERROR(H211,"")="Discontinued mid-course","Nghỉ giữa chừng","Hoàn thành rồi nghỉ luôn"),""))),IF(G211="Inactive","Nghỉ giữa chừng","Đang học"))))</f>
        <v>Hoàn thành rồi nghỉ luôn</v>
      </c>
    </row>
    <row r="212">
      <c r="A212" s="11" t="str">
        <f>IFERROR(__xludf.DUMMYFUNCTION("""COMPUTED_VALUE"""),"EL022")</f>
        <v>EL022</v>
      </c>
      <c r="B212" s="11" t="str">
        <f>IFERROR(__xludf.DUMMYFUNCTION("""COMPUTED_VALUE"""),"Communication 1")</f>
        <v>Communication 1</v>
      </c>
      <c r="C212" s="11" t="str">
        <f>IFERROR(__xludf.DUMMYFUNCTION("""COMPUTED_VALUE"""),"227047")</f>
        <v>227047</v>
      </c>
      <c r="D212" s="11">
        <f>IFERROR(__xludf.DUMMYFUNCTION("""COMPUTED_VALUE"""),12.0)</f>
        <v>12</v>
      </c>
      <c r="E212" s="11">
        <f>IFERROR(VLOOKUP(B212,COURSE_PLAN!A:B,2,FALSE),"")</f>
        <v>10</v>
      </c>
      <c r="F212" s="11">
        <f t="shared" si="1"/>
        <v>1.2</v>
      </c>
      <c r="G212" s="11" t="str">
        <f>IFERROR(VLOOKUP(C212,STUDENTS!A:E,5,FALSE),"")</f>
        <v>Inactive</v>
      </c>
      <c r="H212" s="11" t="str">
        <f>IFERROR(VLOOKUP(C212,STUDENTS!A:M,13,FALSE),"")</f>
        <v>Discontinued mid-course</v>
      </c>
      <c r="I212" s="11" t="str">
        <f>IF(D212="","",IF(AND(VLOOKUP(C212,STUDENTS!$A:$R,17,FALSE)=A212,VLOOKUP(C212,STUDENTS!$A:$R,18,FALSE)=B212,G212="Active"),"Đang học",IF(F212&gt;=0.8,IF(G212="Active","Tiếp tục khóa sau",IF(G212="Waiting for class","Chờ lớp mới",IF(G212="Inactive",IF(IFERROR(H212,"")="Discontinued mid-course","Nghỉ giữa chừng","Hoàn thành rồi nghỉ luôn"),""))),IF(G212="Inactive","Nghỉ giữa chừng","Đang học"))))</f>
        <v>Nghỉ giữa chừng</v>
      </c>
    </row>
    <row r="213">
      <c r="A213" s="11" t="str">
        <f>IFERROR(__xludf.DUMMYFUNCTION("""COMPUTED_VALUE"""),"EL022")</f>
        <v>EL022</v>
      </c>
      <c r="B213" s="11" t="str">
        <f>IFERROR(__xludf.DUMMYFUNCTION("""COMPUTED_VALUE"""),"Communication 1")</f>
        <v>Communication 1</v>
      </c>
      <c r="C213" s="11" t="str">
        <f>IFERROR(__xludf.DUMMYFUNCTION("""COMPUTED_VALUE"""),"227048")</f>
        <v>227048</v>
      </c>
      <c r="D213" s="11">
        <f>IFERROR(__xludf.DUMMYFUNCTION("""COMPUTED_VALUE"""),12.0)</f>
        <v>12</v>
      </c>
      <c r="E213" s="11">
        <f>IFERROR(VLOOKUP(B213,COURSE_PLAN!A:B,2,FALSE),"")</f>
        <v>10</v>
      </c>
      <c r="F213" s="11">
        <f t="shared" si="1"/>
        <v>1.2</v>
      </c>
      <c r="G213" s="11" t="str">
        <f>IFERROR(VLOOKUP(C213,STUDENTS!A:E,5,FALSE),"")</f>
        <v>Inactive</v>
      </c>
      <c r="H213" s="11" t="str">
        <f>IFERROR(VLOOKUP(C213,STUDENTS!A:M,13,FALSE),"")</f>
        <v>Discontinued mid-course</v>
      </c>
      <c r="I213" s="11" t="str">
        <f>IF(D213="","",IF(AND(VLOOKUP(C213,STUDENTS!$A:$R,17,FALSE)=A213,VLOOKUP(C213,STUDENTS!$A:$R,18,FALSE)=B213,G213="Active"),"Đang học",IF(F213&gt;=0.8,IF(G213="Active","Tiếp tục khóa sau",IF(G213="Waiting for class","Chờ lớp mới",IF(G213="Inactive",IF(IFERROR(H213,"")="Discontinued mid-course","Nghỉ giữa chừng","Hoàn thành rồi nghỉ luôn"),""))),IF(G213="Inactive","Nghỉ giữa chừng","Đang học"))))</f>
        <v>Nghỉ giữa chừng</v>
      </c>
    </row>
    <row r="214">
      <c r="A214" s="11" t="str">
        <f>IFERROR(__xludf.DUMMYFUNCTION("""COMPUTED_VALUE"""),"EL022")</f>
        <v>EL022</v>
      </c>
      <c r="B214" s="11" t="str">
        <f>IFERROR(__xludf.DUMMYFUNCTION("""COMPUTED_VALUE"""),"Communication 1")</f>
        <v>Communication 1</v>
      </c>
      <c r="C214" s="11" t="str">
        <f>IFERROR(__xludf.DUMMYFUNCTION("""COMPUTED_VALUE"""),"227064")</f>
        <v>227064</v>
      </c>
      <c r="D214" s="11">
        <f>IFERROR(__xludf.DUMMYFUNCTION("""COMPUTED_VALUE"""),12.0)</f>
        <v>12</v>
      </c>
      <c r="E214" s="11">
        <f>IFERROR(VLOOKUP(B214,COURSE_PLAN!A:B,2,FALSE),"")</f>
        <v>10</v>
      </c>
      <c r="F214" s="11">
        <f t="shared" si="1"/>
        <v>1.2</v>
      </c>
      <c r="G214" s="11" t="str">
        <f>IFERROR(VLOOKUP(C214,STUDENTS!A:E,5,FALSE),"")</f>
        <v>Inactive</v>
      </c>
      <c r="H214" s="11" t="str">
        <f>IFERROR(VLOOKUP(C214,STUDENTS!A:M,13,FALSE),"")</f>
        <v>Discontinued mid-course</v>
      </c>
      <c r="I214" s="11" t="str">
        <f>IF(D214="","",IF(AND(VLOOKUP(C214,STUDENTS!$A:$R,17,FALSE)=A214,VLOOKUP(C214,STUDENTS!$A:$R,18,FALSE)=B214,G214="Active"),"Đang học",IF(F214&gt;=0.8,IF(G214="Active","Tiếp tục khóa sau",IF(G214="Waiting for class","Chờ lớp mới",IF(G214="Inactive",IF(IFERROR(H214,"")="Discontinued mid-course","Nghỉ giữa chừng","Hoàn thành rồi nghỉ luôn"),""))),IF(G214="Inactive","Nghỉ giữa chừng","Đang học"))))</f>
        <v>Nghỉ giữa chừng</v>
      </c>
    </row>
    <row r="215">
      <c r="A215" s="11" t="str">
        <f>IFERROR(__xludf.DUMMYFUNCTION("""COMPUTED_VALUE"""),"EL022")</f>
        <v>EL022</v>
      </c>
      <c r="B215" s="11" t="str">
        <f>IFERROR(__xludf.DUMMYFUNCTION("""COMPUTED_VALUE"""),"Communication 1")</f>
        <v>Communication 1</v>
      </c>
      <c r="C215" s="11" t="str">
        <f>IFERROR(__xludf.DUMMYFUNCTION("""COMPUTED_VALUE"""),"227080")</f>
        <v>227080</v>
      </c>
      <c r="D215" s="11">
        <f>IFERROR(__xludf.DUMMYFUNCTION("""COMPUTED_VALUE"""),12.0)</f>
        <v>12</v>
      </c>
      <c r="E215" s="11">
        <f>IFERROR(VLOOKUP(B215,COURSE_PLAN!A:B,2,FALSE),"")</f>
        <v>10</v>
      </c>
      <c r="F215" s="11">
        <f t="shared" si="1"/>
        <v>1.2</v>
      </c>
      <c r="G215" s="11" t="str">
        <f>IFERROR(VLOOKUP(C215,STUDENTS!A:E,5,FALSE),"")</f>
        <v>Inactive</v>
      </c>
      <c r="H215" s="11" t="str">
        <f>IFERROR(VLOOKUP(C215,STUDENTS!A:M,13,FALSE),"")</f>
        <v>Discontinued mid-course</v>
      </c>
      <c r="I215" s="11" t="str">
        <f>IF(D215="","",IF(AND(VLOOKUP(C215,STUDENTS!$A:$R,17,FALSE)=A215,VLOOKUP(C215,STUDENTS!$A:$R,18,FALSE)=B215,G215="Active"),"Đang học",IF(F215&gt;=0.8,IF(G215="Active","Tiếp tục khóa sau",IF(G215="Waiting for class","Chờ lớp mới",IF(G215="Inactive",IF(IFERROR(H215,"")="Discontinued mid-course","Nghỉ giữa chừng","Hoàn thành rồi nghỉ luôn"),""))),IF(G215="Inactive","Nghỉ giữa chừng","Đang học"))))</f>
        <v>Nghỉ giữa chừng</v>
      </c>
    </row>
    <row r="216">
      <c r="A216" s="11" t="str">
        <f>IFERROR(__xludf.DUMMYFUNCTION("""COMPUTED_VALUE"""),"EL022")</f>
        <v>EL022</v>
      </c>
      <c r="B216" s="11" t="str">
        <f>IFERROR(__xludf.DUMMYFUNCTION("""COMPUTED_VALUE"""),"Communication 2")</f>
        <v>Communication 2</v>
      </c>
      <c r="C216" s="11" t="str">
        <f>IFERROR(__xludf.DUMMYFUNCTION("""COMPUTED_VALUE"""),"133051")</f>
        <v>133051</v>
      </c>
      <c r="D216" s="11">
        <f>IFERROR(__xludf.DUMMYFUNCTION("""COMPUTED_VALUE"""),15.0)</f>
        <v>15</v>
      </c>
      <c r="E216" s="11">
        <f>IFERROR(VLOOKUP(B216,COURSE_PLAN!A:B,2,FALSE),"")</f>
        <v>16</v>
      </c>
      <c r="F216" s="11">
        <f t="shared" si="1"/>
        <v>0.9375</v>
      </c>
      <c r="G216" s="11" t="str">
        <f>IFERROR(VLOOKUP(C216,STUDENTS!A:E,5,FALSE),"")</f>
        <v>Inactive</v>
      </c>
      <c r="H216" s="11" t="str">
        <f>IFERROR(VLOOKUP(C216,STUDENTS!A:M,13,FALSE),"")</f>
        <v>Discontinued mid-course</v>
      </c>
      <c r="I216" s="11" t="str">
        <f>IF(D216="","",IF(AND(VLOOKUP(C216,STUDENTS!$A:$R,17,FALSE)=A216,VLOOKUP(C216,STUDENTS!$A:$R,18,FALSE)=B216,G216="Active"),"Đang học",IF(F216&gt;=0.8,IF(G216="Active","Tiếp tục khóa sau",IF(G216="Waiting for class","Chờ lớp mới",IF(G216="Inactive",IF(IFERROR(H216,"")="Discontinued mid-course","Nghỉ giữa chừng","Hoàn thành rồi nghỉ luôn"),""))),IF(G216="Inactive","Nghỉ giữa chừng","Đang học"))))</f>
        <v>Nghỉ giữa chừng</v>
      </c>
    </row>
    <row r="217">
      <c r="A217" s="11" t="str">
        <f>IFERROR(__xludf.DUMMYFUNCTION("""COMPUTED_VALUE"""),"EL022")</f>
        <v>EL022</v>
      </c>
      <c r="B217" s="11" t="str">
        <f>IFERROR(__xludf.DUMMYFUNCTION("""COMPUTED_VALUE"""),"Communication 2")</f>
        <v>Communication 2</v>
      </c>
      <c r="C217" s="11" t="str">
        <f>IFERROR(__xludf.DUMMYFUNCTION("""COMPUTED_VALUE"""),"183340")</f>
        <v>183340</v>
      </c>
      <c r="D217" s="11">
        <f>IFERROR(__xludf.DUMMYFUNCTION("""COMPUTED_VALUE"""),15.0)</f>
        <v>15</v>
      </c>
      <c r="E217" s="11">
        <f>IFERROR(VLOOKUP(B217,COURSE_PLAN!A:B,2,FALSE),"")</f>
        <v>16</v>
      </c>
      <c r="F217" s="11">
        <f t="shared" si="1"/>
        <v>0.9375</v>
      </c>
      <c r="G217" s="11" t="str">
        <f>IFERROR(VLOOKUP(C217,STUDENTS!A:E,5,FALSE),"")</f>
        <v>Inactive</v>
      </c>
      <c r="H217" s="11" t="str">
        <f>IFERROR(VLOOKUP(C217,STUDENTS!A:M,13,FALSE),"")</f>
        <v>Discontinued mid-course</v>
      </c>
      <c r="I217" s="11" t="str">
        <f>IF(D217="","",IF(AND(VLOOKUP(C217,STUDENTS!$A:$R,17,FALSE)=A217,VLOOKUP(C217,STUDENTS!$A:$R,18,FALSE)=B217,G217="Active"),"Đang học",IF(F217&gt;=0.8,IF(G217="Active","Tiếp tục khóa sau",IF(G217="Waiting for class","Chờ lớp mới",IF(G217="Inactive",IF(IFERROR(H217,"")="Discontinued mid-course","Nghỉ giữa chừng","Hoàn thành rồi nghỉ luôn"),""))),IF(G217="Inactive","Nghỉ giữa chừng","Đang học"))))</f>
        <v>Nghỉ giữa chừng</v>
      </c>
    </row>
    <row r="218">
      <c r="A218" s="11" t="str">
        <f>IFERROR(__xludf.DUMMYFUNCTION("""COMPUTED_VALUE"""),"EL022")</f>
        <v>EL022</v>
      </c>
      <c r="B218" s="11" t="str">
        <f>IFERROR(__xludf.DUMMYFUNCTION("""COMPUTED_VALUE"""),"Communication 2")</f>
        <v>Communication 2</v>
      </c>
      <c r="C218" s="11" t="str">
        <f>IFERROR(__xludf.DUMMYFUNCTION("""COMPUTED_VALUE"""),"193534")</f>
        <v>193534</v>
      </c>
      <c r="D218" s="11">
        <f>IFERROR(__xludf.DUMMYFUNCTION("""COMPUTED_VALUE"""),15.0)</f>
        <v>15</v>
      </c>
      <c r="E218" s="11">
        <f>IFERROR(VLOOKUP(B218,COURSE_PLAN!A:B,2,FALSE),"")</f>
        <v>16</v>
      </c>
      <c r="F218" s="11">
        <f t="shared" si="1"/>
        <v>0.9375</v>
      </c>
      <c r="G218" s="11" t="str">
        <f>IFERROR(VLOOKUP(C218,STUDENTS!A:E,5,FALSE),"")</f>
        <v>Inactive</v>
      </c>
      <c r="H218" s="11" t="str">
        <f>IFERROR(VLOOKUP(C218,STUDENTS!A:M,13,FALSE),"")</f>
        <v>Discontinued mid-course</v>
      </c>
      <c r="I218" s="11" t="str">
        <f>IF(D218="","",IF(AND(VLOOKUP(C218,STUDENTS!$A:$R,17,FALSE)=A218,VLOOKUP(C218,STUDENTS!$A:$R,18,FALSE)=B218,G218="Active"),"Đang học",IF(F218&gt;=0.8,IF(G218="Active","Tiếp tục khóa sau",IF(G218="Waiting for class","Chờ lớp mới",IF(G218="Inactive",IF(IFERROR(H218,"")="Discontinued mid-course","Nghỉ giữa chừng","Hoàn thành rồi nghỉ luôn"),""))),IF(G218="Inactive","Nghỉ giữa chừng","Đang học"))))</f>
        <v>Nghỉ giữa chừng</v>
      </c>
    </row>
    <row r="219">
      <c r="A219" s="11" t="str">
        <f>IFERROR(__xludf.DUMMYFUNCTION("""COMPUTED_VALUE"""),"EL022")</f>
        <v>EL022</v>
      </c>
      <c r="B219" s="11" t="str">
        <f>IFERROR(__xludf.DUMMYFUNCTION("""COMPUTED_VALUE"""),"Communication 2")</f>
        <v>Communication 2</v>
      </c>
      <c r="C219" s="11" t="str">
        <f>IFERROR(__xludf.DUMMYFUNCTION("""COMPUTED_VALUE"""),"203693")</f>
        <v>203693</v>
      </c>
      <c r="D219" s="11">
        <f>IFERROR(__xludf.DUMMYFUNCTION("""COMPUTED_VALUE"""),15.0)</f>
        <v>15</v>
      </c>
      <c r="E219" s="11">
        <f>IFERROR(VLOOKUP(B219,COURSE_PLAN!A:B,2,FALSE),"")</f>
        <v>16</v>
      </c>
      <c r="F219" s="11">
        <f t="shared" si="1"/>
        <v>0.9375</v>
      </c>
      <c r="G219" s="11" t="str">
        <f>IFERROR(VLOOKUP(C219,STUDENTS!A:E,5,FALSE),"")</f>
        <v>Inactive</v>
      </c>
      <c r="H219" s="11" t="str">
        <f>IFERROR(VLOOKUP(C219,STUDENTS!A:M,13,FALSE),"")</f>
        <v>Completed (no continuation)</v>
      </c>
      <c r="I219" s="11" t="str">
        <f>IF(D219="","",IF(AND(VLOOKUP(C219,STUDENTS!$A:$R,17,FALSE)=A219,VLOOKUP(C219,STUDENTS!$A:$R,18,FALSE)=B219,G219="Active"),"Đang học",IF(F219&gt;=0.8,IF(G219="Active","Tiếp tục khóa sau",IF(G219="Waiting for class","Chờ lớp mới",IF(G219="Inactive",IF(IFERROR(H219,"")="Discontinued mid-course","Nghỉ giữa chừng","Hoàn thành rồi nghỉ luôn"),""))),IF(G219="Inactive","Nghỉ giữa chừng","Đang học"))))</f>
        <v>Hoàn thành rồi nghỉ luôn</v>
      </c>
    </row>
    <row r="220">
      <c r="A220" s="11" t="str">
        <f>IFERROR(__xludf.DUMMYFUNCTION("""COMPUTED_VALUE"""),"EL022")</f>
        <v>EL022</v>
      </c>
      <c r="B220" s="11" t="str">
        <f>IFERROR(__xludf.DUMMYFUNCTION("""COMPUTED_VALUE"""),"Communication 2")</f>
        <v>Communication 2</v>
      </c>
      <c r="C220" s="11" t="str">
        <f>IFERROR(__xludf.DUMMYFUNCTION("""COMPUTED_VALUE"""),"227047")</f>
        <v>227047</v>
      </c>
      <c r="D220" s="11">
        <f>IFERROR(__xludf.DUMMYFUNCTION("""COMPUTED_VALUE"""),15.0)</f>
        <v>15</v>
      </c>
      <c r="E220" s="11">
        <f>IFERROR(VLOOKUP(B220,COURSE_PLAN!A:B,2,FALSE),"")</f>
        <v>16</v>
      </c>
      <c r="F220" s="11">
        <f t="shared" si="1"/>
        <v>0.9375</v>
      </c>
      <c r="G220" s="11" t="str">
        <f>IFERROR(VLOOKUP(C220,STUDENTS!A:E,5,FALSE),"")</f>
        <v>Inactive</v>
      </c>
      <c r="H220" s="11" t="str">
        <f>IFERROR(VLOOKUP(C220,STUDENTS!A:M,13,FALSE),"")</f>
        <v>Discontinued mid-course</v>
      </c>
      <c r="I220" s="11" t="str">
        <f>IF(D220="","",IF(AND(VLOOKUP(C220,STUDENTS!$A:$R,17,FALSE)=A220,VLOOKUP(C220,STUDENTS!$A:$R,18,FALSE)=B220,G220="Active"),"Đang học",IF(F220&gt;=0.8,IF(G220="Active","Tiếp tục khóa sau",IF(G220="Waiting for class","Chờ lớp mới",IF(G220="Inactive",IF(IFERROR(H220,"")="Discontinued mid-course","Nghỉ giữa chừng","Hoàn thành rồi nghỉ luôn"),""))),IF(G220="Inactive","Nghỉ giữa chừng","Đang học"))))</f>
        <v>Nghỉ giữa chừng</v>
      </c>
    </row>
    <row r="221">
      <c r="A221" s="11" t="str">
        <f>IFERROR(__xludf.DUMMYFUNCTION("""COMPUTED_VALUE"""),"EL022")</f>
        <v>EL022</v>
      </c>
      <c r="B221" s="11" t="str">
        <f>IFERROR(__xludf.DUMMYFUNCTION("""COMPUTED_VALUE"""),"Communication 2")</f>
        <v>Communication 2</v>
      </c>
      <c r="C221" s="11" t="str">
        <f>IFERROR(__xludf.DUMMYFUNCTION("""COMPUTED_VALUE"""),"227048")</f>
        <v>227048</v>
      </c>
      <c r="D221" s="11">
        <f>IFERROR(__xludf.DUMMYFUNCTION("""COMPUTED_VALUE"""),15.0)</f>
        <v>15</v>
      </c>
      <c r="E221" s="11">
        <f>IFERROR(VLOOKUP(B221,COURSE_PLAN!A:B,2,FALSE),"")</f>
        <v>16</v>
      </c>
      <c r="F221" s="11">
        <f t="shared" si="1"/>
        <v>0.9375</v>
      </c>
      <c r="G221" s="11" t="str">
        <f>IFERROR(VLOOKUP(C221,STUDENTS!A:E,5,FALSE),"")</f>
        <v>Inactive</v>
      </c>
      <c r="H221" s="11" t="str">
        <f>IFERROR(VLOOKUP(C221,STUDENTS!A:M,13,FALSE),"")</f>
        <v>Discontinued mid-course</v>
      </c>
      <c r="I221" s="11" t="str">
        <f>IF(D221="","",IF(AND(VLOOKUP(C221,STUDENTS!$A:$R,17,FALSE)=A221,VLOOKUP(C221,STUDENTS!$A:$R,18,FALSE)=B221,G221="Active"),"Đang học",IF(F221&gt;=0.8,IF(G221="Active","Tiếp tục khóa sau",IF(G221="Waiting for class","Chờ lớp mới",IF(G221="Inactive",IF(IFERROR(H221,"")="Discontinued mid-course","Nghỉ giữa chừng","Hoàn thành rồi nghỉ luôn"),""))),IF(G221="Inactive","Nghỉ giữa chừng","Đang học"))))</f>
        <v>Nghỉ giữa chừng</v>
      </c>
    </row>
    <row r="222">
      <c r="A222" s="11" t="str">
        <f>IFERROR(__xludf.DUMMYFUNCTION("""COMPUTED_VALUE"""),"EL022")</f>
        <v>EL022</v>
      </c>
      <c r="B222" s="11" t="str">
        <f>IFERROR(__xludf.DUMMYFUNCTION("""COMPUTED_VALUE"""),"Communication 2")</f>
        <v>Communication 2</v>
      </c>
      <c r="C222" s="11" t="str">
        <f>IFERROR(__xludf.DUMMYFUNCTION("""COMPUTED_VALUE"""),"227064")</f>
        <v>227064</v>
      </c>
      <c r="D222" s="11">
        <f>IFERROR(__xludf.DUMMYFUNCTION("""COMPUTED_VALUE"""),15.0)</f>
        <v>15</v>
      </c>
      <c r="E222" s="11">
        <f>IFERROR(VLOOKUP(B222,COURSE_PLAN!A:B,2,FALSE),"")</f>
        <v>16</v>
      </c>
      <c r="F222" s="11">
        <f t="shared" si="1"/>
        <v>0.9375</v>
      </c>
      <c r="G222" s="11" t="str">
        <f>IFERROR(VLOOKUP(C222,STUDENTS!A:E,5,FALSE),"")</f>
        <v>Inactive</v>
      </c>
      <c r="H222" s="11" t="str">
        <f>IFERROR(VLOOKUP(C222,STUDENTS!A:M,13,FALSE),"")</f>
        <v>Discontinued mid-course</v>
      </c>
      <c r="I222" s="11" t="str">
        <f>IF(D222="","",IF(AND(VLOOKUP(C222,STUDENTS!$A:$R,17,FALSE)=A222,VLOOKUP(C222,STUDENTS!$A:$R,18,FALSE)=B222,G222="Active"),"Đang học",IF(F222&gt;=0.8,IF(G222="Active","Tiếp tục khóa sau",IF(G222="Waiting for class","Chờ lớp mới",IF(G222="Inactive",IF(IFERROR(H222,"")="Discontinued mid-course","Nghỉ giữa chừng","Hoàn thành rồi nghỉ luôn"),""))),IF(G222="Inactive","Nghỉ giữa chừng","Đang học"))))</f>
        <v>Nghỉ giữa chừng</v>
      </c>
    </row>
    <row r="223">
      <c r="A223" s="11" t="str">
        <f>IFERROR(__xludf.DUMMYFUNCTION("""COMPUTED_VALUE"""),"EL022")</f>
        <v>EL022</v>
      </c>
      <c r="B223" s="11" t="str">
        <f>IFERROR(__xludf.DUMMYFUNCTION("""COMPUTED_VALUE"""),"Communication 2")</f>
        <v>Communication 2</v>
      </c>
      <c r="C223" s="11" t="str">
        <f>IFERROR(__xludf.DUMMYFUNCTION("""COMPUTED_VALUE"""),"227080")</f>
        <v>227080</v>
      </c>
      <c r="D223" s="11">
        <f>IFERROR(__xludf.DUMMYFUNCTION("""COMPUTED_VALUE"""),15.0)</f>
        <v>15</v>
      </c>
      <c r="E223" s="11">
        <f>IFERROR(VLOOKUP(B223,COURSE_PLAN!A:B,2,FALSE),"")</f>
        <v>16</v>
      </c>
      <c r="F223" s="11">
        <f t="shared" si="1"/>
        <v>0.9375</v>
      </c>
      <c r="G223" s="11" t="str">
        <f>IFERROR(VLOOKUP(C223,STUDENTS!A:E,5,FALSE),"")</f>
        <v>Inactive</v>
      </c>
      <c r="H223" s="11" t="str">
        <f>IFERROR(VLOOKUP(C223,STUDENTS!A:M,13,FALSE),"")</f>
        <v>Discontinued mid-course</v>
      </c>
      <c r="I223" s="11" t="str">
        <f>IF(D223="","",IF(AND(VLOOKUP(C223,STUDENTS!$A:$R,17,FALSE)=A223,VLOOKUP(C223,STUDENTS!$A:$R,18,FALSE)=B223,G223="Active"),"Đang học",IF(F223&gt;=0.8,IF(G223="Active","Tiếp tục khóa sau",IF(G223="Waiting for class","Chờ lớp mới",IF(G223="Inactive",IF(IFERROR(H223,"")="Discontinued mid-course","Nghỉ giữa chừng","Hoàn thành rồi nghỉ luôn"),""))),IF(G223="Inactive","Nghỉ giữa chừng","Đang học"))))</f>
        <v>Nghỉ giữa chừng</v>
      </c>
    </row>
    <row r="224">
      <c r="A224" s="11" t="str">
        <f>IFERROR(__xludf.DUMMYFUNCTION("""COMPUTED_VALUE"""),"EL022")</f>
        <v>EL022</v>
      </c>
      <c r="B224" s="11" t="str">
        <f>IFERROR(__xludf.DUMMYFUNCTION("""COMPUTED_VALUE"""),"Communication 3")</f>
        <v>Communication 3</v>
      </c>
      <c r="C224" s="11" t="str">
        <f>IFERROR(__xludf.DUMMYFUNCTION("""COMPUTED_VALUE"""),"133051")</f>
        <v>133051</v>
      </c>
      <c r="D224" s="11">
        <f>IFERROR(__xludf.DUMMYFUNCTION("""COMPUTED_VALUE"""),9.0)</f>
        <v>9</v>
      </c>
      <c r="E224" s="11">
        <f>IFERROR(VLOOKUP(B224,COURSE_PLAN!A:B,2,FALSE),"")</f>
        <v>16</v>
      </c>
      <c r="F224" s="11">
        <f t="shared" si="1"/>
        <v>0.5625</v>
      </c>
      <c r="G224" s="11" t="str">
        <f>IFERROR(VLOOKUP(C224,STUDENTS!A:E,5,FALSE),"")</f>
        <v>Inactive</v>
      </c>
      <c r="H224" s="11" t="str">
        <f>IFERROR(VLOOKUP(C224,STUDENTS!A:M,13,FALSE),"")</f>
        <v>Discontinued mid-course</v>
      </c>
      <c r="I224" s="11" t="str">
        <f>IF(D224="","",IF(AND(VLOOKUP(C224,STUDENTS!$A:$R,17,FALSE)=A224,VLOOKUP(C224,STUDENTS!$A:$R,18,FALSE)=B224,G224="Active"),"Đang học",IF(F224&gt;=0.8,IF(G224="Active","Tiếp tục khóa sau",IF(G224="Waiting for class","Chờ lớp mới",IF(G224="Inactive",IF(IFERROR(H224,"")="Discontinued mid-course","Nghỉ giữa chừng","Hoàn thành rồi nghỉ luôn"),""))),IF(G224="Inactive","Nghỉ giữa chừng","Đang học"))))</f>
        <v>Nghỉ giữa chừng</v>
      </c>
    </row>
    <row r="225">
      <c r="A225" s="11" t="str">
        <f>IFERROR(__xludf.DUMMYFUNCTION("""COMPUTED_VALUE"""),"EL022")</f>
        <v>EL022</v>
      </c>
      <c r="B225" s="11" t="str">
        <f>IFERROR(__xludf.DUMMYFUNCTION("""COMPUTED_VALUE"""),"Communication 3")</f>
        <v>Communication 3</v>
      </c>
      <c r="C225" s="11" t="str">
        <f>IFERROR(__xludf.DUMMYFUNCTION("""COMPUTED_VALUE"""),"143079")</f>
        <v>143079</v>
      </c>
      <c r="D225" s="11">
        <f>IFERROR(__xludf.DUMMYFUNCTION("""COMPUTED_VALUE"""),9.0)</f>
        <v>9</v>
      </c>
      <c r="E225" s="11">
        <f>IFERROR(VLOOKUP(B225,COURSE_PLAN!A:B,2,FALSE),"")</f>
        <v>16</v>
      </c>
      <c r="F225" s="11">
        <f t="shared" si="1"/>
        <v>0.5625</v>
      </c>
      <c r="G225" s="11" t="str">
        <f>IFERROR(VLOOKUP(C225,STUDENTS!A:E,5,FALSE),"")</f>
        <v>Active</v>
      </c>
      <c r="H225" s="11" t="str">
        <f>IFERROR(VLOOKUP(C225,STUDENTS!A:M,13,FALSE),"")</f>
        <v/>
      </c>
      <c r="I225" s="11" t="str">
        <f>IF(D225="","",IF(AND(VLOOKUP(C225,STUDENTS!$A:$R,17,FALSE)=A225,VLOOKUP(C225,STUDENTS!$A:$R,18,FALSE)=B225,G225="Active"),"Đang học",IF(F225&gt;=0.8,IF(G225="Active","Tiếp tục khóa sau",IF(G225="Waiting for class","Chờ lớp mới",IF(G225="Inactive",IF(IFERROR(H225,"")="Discontinued mid-course","Nghỉ giữa chừng","Hoàn thành rồi nghỉ luôn"),""))),IF(G225="Inactive","Nghỉ giữa chừng","Đang học"))))</f>
        <v>Đang học</v>
      </c>
    </row>
    <row r="226">
      <c r="A226" s="11" t="str">
        <f>IFERROR(__xludf.DUMMYFUNCTION("""COMPUTED_VALUE"""),"EL022")</f>
        <v>EL022</v>
      </c>
      <c r="B226" s="11" t="str">
        <f>IFERROR(__xludf.DUMMYFUNCTION("""COMPUTED_VALUE"""),"Communication 3")</f>
        <v>Communication 3</v>
      </c>
      <c r="C226" s="11" t="str">
        <f>IFERROR(__xludf.DUMMYFUNCTION("""COMPUTED_VALUE"""),"173230")</f>
        <v>173230</v>
      </c>
      <c r="D226" s="11">
        <f>IFERROR(__xludf.DUMMYFUNCTION("""COMPUTED_VALUE"""),9.0)</f>
        <v>9</v>
      </c>
      <c r="E226" s="11">
        <f>IFERROR(VLOOKUP(B226,COURSE_PLAN!A:B,2,FALSE),"")</f>
        <v>16</v>
      </c>
      <c r="F226" s="11">
        <f t="shared" si="1"/>
        <v>0.5625</v>
      </c>
      <c r="G226" s="11" t="str">
        <f>IFERROR(VLOOKUP(C226,STUDENTS!A:E,5,FALSE),"")</f>
        <v>Active</v>
      </c>
      <c r="H226" s="11" t="str">
        <f>IFERROR(VLOOKUP(C226,STUDENTS!A:M,13,FALSE),"")</f>
        <v/>
      </c>
      <c r="I226" s="11" t="str">
        <f>IF(D226="","",IF(AND(VLOOKUP(C226,STUDENTS!$A:$R,17,FALSE)=A226,VLOOKUP(C226,STUDENTS!$A:$R,18,FALSE)=B226,G226="Active"),"Đang học",IF(F226&gt;=0.8,IF(G226="Active","Tiếp tục khóa sau",IF(G226="Waiting for class","Chờ lớp mới",IF(G226="Inactive",IF(IFERROR(H226,"")="Discontinued mid-course","Nghỉ giữa chừng","Hoàn thành rồi nghỉ luôn"),""))),IF(G226="Inactive","Nghỉ giữa chừng","Đang học"))))</f>
        <v>Đang học</v>
      </c>
    </row>
    <row r="227">
      <c r="A227" s="11" t="str">
        <f>IFERROR(__xludf.DUMMYFUNCTION("""COMPUTED_VALUE"""),"EL022")</f>
        <v>EL022</v>
      </c>
      <c r="B227" s="11" t="str">
        <f>IFERROR(__xludf.DUMMYFUNCTION("""COMPUTED_VALUE"""),"Communication 3")</f>
        <v>Communication 3</v>
      </c>
      <c r="C227" s="11" t="str">
        <f>IFERROR(__xludf.DUMMYFUNCTION("""COMPUTED_VALUE"""),"183340")</f>
        <v>183340</v>
      </c>
      <c r="D227" s="11">
        <f>IFERROR(__xludf.DUMMYFUNCTION("""COMPUTED_VALUE"""),9.0)</f>
        <v>9</v>
      </c>
      <c r="E227" s="11">
        <f>IFERROR(VLOOKUP(B227,COURSE_PLAN!A:B,2,FALSE),"")</f>
        <v>16</v>
      </c>
      <c r="F227" s="11">
        <f t="shared" si="1"/>
        <v>0.5625</v>
      </c>
      <c r="G227" s="11" t="str">
        <f>IFERROR(VLOOKUP(C227,STUDENTS!A:E,5,FALSE),"")</f>
        <v>Inactive</v>
      </c>
      <c r="H227" s="11" t="str">
        <f>IFERROR(VLOOKUP(C227,STUDENTS!A:M,13,FALSE),"")</f>
        <v>Discontinued mid-course</v>
      </c>
      <c r="I227" s="11" t="str">
        <f>IF(D227="","",IF(AND(VLOOKUP(C227,STUDENTS!$A:$R,17,FALSE)=A227,VLOOKUP(C227,STUDENTS!$A:$R,18,FALSE)=B227,G227="Active"),"Đang học",IF(F227&gt;=0.8,IF(G227="Active","Tiếp tục khóa sau",IF(G227="Waiting for class","Chờ lớp mới",IF(G227="Inactive",IF(IFERROR(H227,"")="Discontinued mid-course","Nghỉ giữa chừng","Hoàn thành rồi nghỉ luôn"),""))),IF(G227="Inactive","Nghỉ giữa chừng","Đang học"))))</f>
        <v>Nghỉ giữa chừng</v>
      </c>
    </row>
    <row r="228">
      <c r="A228" s="11" t="str">
        <f>IFERROR(__xludf.DUMMYFUNCTION("""COMPUTED_VALUE"""),"EL022")</f>
        <v>EL022</v>
      </c>
      <c r="B228" s="11" t="str">
        <f>IFERROR(__xludf.DUMMYFUNCTION("""COMPUTED_VALUE"""),"Communication 3")</f>
        <v>Communication 3</v>
      </c>
      <c r="C228" s="11" t="str">
        <f>IFERROR(__xludf.DUMMYFUNCTION("""COMPUTED_VALUE"""),"193534")</f>
        <v>193534</v>
      </c>
      <c r="D228" s="11">
        <f>IFERROR(__xludf.DUMMYFUNCTION("""COMPUTED_VALUE"""),9.0)</f>
        <v>9</v>
      </c>
      <c r="E228" s="11">
        <f>IFERROR(VLOOKUP(B228,COURSE_PLAN!A:B,2,FALSE),"")</f>
        <v>16</v>
      </c>
      <c r="F228" s="11">
        <f t="shared" si="1"/>
        <v>0.5625</v>
      </c>
      <c r="G228" s="11" t="str">
        <f>IFERROR(VLOOKUP(C228,STUDENTS!A:E,5,FALSE),"")</f>
        <v>Inactive</v>
      </c>
      <c r="H228" s="11" t="str">
        <f>IFERROR(VLOOKUP(C228,STUDENTS!A:M,13,FALSE),"")</f>
        <v>Discontinued mid-course</v>
      </c>
      <c r="I228" s="11" t="str">
        <f>IF(D228="","",IF(AND(VLOOKUP(C228,STUDENTS!$A:$R,17,FALSE)=A228,VLOOKUP(C228,STUDENTS!$A:$R,18,FALSE)=B228,G228="Active"),"Đang học",IF(F228&gt;=0.8,IF(G228="Active","Tiếp tục khóa sau",IF(G228="Waiting for class","Chờ lớp mới",IF(G228="Inactive",IF(IFERROR(H228,"")="Discontinued mid-course","Nghỉ giữa chừng","Hoàn thành rồi nghỉ luôn"),""))),IF(G228="Inactive","Nghỉ giữa chừng","Đang học"))))</f>
        <v>Nghỉ giữa chừng</v>
      </c>
    </row>
    <row r="229">
      <c r="A229" s="11" t="str">
        <f>IFERROR(__xludf.DUMMYFUNCTION("""COMPUTED_VALUE"""),"EL022")</f>
        <v>EL022</v>
      </c>
      <c r="B229" s="11" t="str">
        <f>IFERROR(__xludf.DUMMYFUNCTION("""COMPUTED_VALUE"""),"Communication 3")</f>
        <v>Communication 3</v>
      </c>
      <c r="C229" s="11" t="str">
        <f>IFERROR(__xludf.DUMMYFUNCTION("""COMPUTED_VALUE"""),"227047")</f>
        <v>227047</v>
      </c>
      <c r="D229" s="11">
        <f>IFERROR(__xludf.DUMMYFUNCTION("""COMPUTED_VALUE"""),9.0)</f>
        <v>9</v>
      </c>
      <c r="E229" s="11">
        <f>IFERROR(VLOOKUP(B229,COURSE_PLAN!A:B,2,FALSE),"")</f>
        <v>16</v>
      </c>
      <c r="F229" s="11">
        <f t="shared" si="1"/>
        <v>0.5625</v>
      </c>
      <c r="G229" s="11" t="str">
        <f>IFERROR(VLOOKUP(C229,STUDENTS!A:E,5,FALSE),"")</f>
        <v>Inactive</v>
      </c>
      <c r="H229" s="11" t="str">
        <f>IFERROR(VLOOKUP(C229,STUDENTS!A:M,13,FALSE),"")</f>
        <v>Discontinued mid-course</v>
      </c>
      <c r="I229" s="11" t="str">
        <f>IF(D229="","",IF(AND(VLOOKUP(C229,STUDENTS!$A:$R,17,FALSE)=A229,VLOOKUP(C229,STUDENTS!$A:$R,18,FALSE)=B229,G229="Active"),"Đang học",IF(F229&gt;=0.8,IF(G229="Active","Tiếp tục khóa sau",IF(G229="Waiting for class","Chờ lớp mới",IF(G229="Inactive",IF(IFERROR(H229,"")="Discontinued mid-course","Nghỉ giữa chừng","Hoàn thành rồi nghỉ luôn"),""))),IF(G229="Inactive","Nghỉ giữa chừng","Đang học"))))</f>
        <v>Nghỉ giữa chừng</v>
      </c>
    </row>
    <row r="230">
      <c r="A230" s="11" t="str">
        <f>IFERROR(__xludf.DUMMYFUNCTION("""COMPUTED_VALUE"""),"EL022")</f>
        <v>EL022</v>
      </c>
      <c r="B230" s="11" t="str">
        <f>IFERROR(__xludf.DUMMYFUNCTION("""COMPUTED_VALUE"""),"Communication 3")</f>
        <v>Communication 3</v>
      </c>
      <c r="C230" s="11" t="str">
        <f>IFERROR(__xludf.DUMMYFUNCTION("""COMPUTED_VALUE"""),"227048")</f>
        <v>227048</v>
      </c>
      <c r="D230" s="11">
        <f>IFERROR(__xludf.DUMMYFUNCTION("""COMPUTED_VALUE"""),9.0)</f>
        <v>9</v>
      </c>
      <c r="E230" s="11">
        <f>IFERROR(VLOOKUP(B230,COURSE_PLAN!A:B,2,FALSE),"")</f>
        <v>16</v>
      </c>
      <c r="F230" s="11">
        <f t="shared" si="1"/>
        <v>0.5625</v>
      </c>
      <c r="G230" s="11" t="str">
        <f>IFERROR(VLOOKUP(C230,STUDENTS!A:E,5,FALSE),"")</f>
        <v>Inactive</v>
      </c>
      <c r="H230" s="11" t="str">
        <f>IFERROR(VLOOKUP(C230,STUDENTS!A:M,13,FALSE),"")</f>
        <v>Discontinued mid-course</v>
      </c>
      <c r="I230" s="11" t="str">
        <f>IF(D230="","",IF(AND(VLOOKUP(C230,STUDENTS!$A:$R,17,FALSE)=A230,VLOOKUP(C230,STUDENTS!$A:$R,18,FALSE)=B230,G230="Active"),"Đang học",IF(F230&gt;=0.8,IF(G230="Active","Tiếp tục khóa sau",IF(G230="Waiting for class","Chờ lớp mới",IF(G230="Inactive",IF(IFERROR(H230,"")="Discontinued mid-course","Nghỉ giữa chừng","Hoàn thành rồi nghỉ luôn"),""))),IF(G230="Inactive","Nghỉ giữa chừng","Đang học"))))</f>
        <v>Nghỉ giữa chừng</v>
      </c>
    </row>
    <row r="231">
      <c r="A231" s="11" t="str">
        <f>IFERROR(__xludf.DUMMYFUNCTION("""COMPUTED_VALUE"""),"EL022")</f>
        <v>EL022</v>
      </c>
      <c r="B231" s="11" t="str">
        <f>IFERROR(__xludf.DUMMYFUNCTION("""COMPUTED_VALUE"""),"Communication 3")</f>
        <v>Communication 3</v>
      </c>
      <c r="C231" s="11" t="str">
        <f>IFERROR(__xludf.DUMMYFUNCTION("""COMPUTED_VALUE"""),"227122")</f>
        <v>227122</v>
      </c>
      <c r="D231" s="11">
        <f>IFERROR(__xludf.DUMMYFUNCTION("""COMPUTED_VALUE"""),8.0)</f>
        <v>8</v>
      </c>
      <c r="E231" s="11">
        <f>IFERROR(VLOOKUP(B231,COURSE_PLAN!A:B,2,FALSE),"")</f>
        <v>16</v>
      </c>
      <c r="F231" s="11">
        <f t="shared" si="1"/>
        <v>0.5</v>
      </c>
      <c r="G231" s="11" t="str">
        <f>IFERROR(VLOOKUP(C231,STUDENTS!A:E,5,FALSE),"")</f>
        <v>Active</v>
      </c>
      <c r="H231" s="11" t="str">
        <f>IFERROR(VLOOKUP(C231,STUDENTS!A:M,13,FALSE),"")</f>
        <v/>
      </c>
      <c r="I231" s="11" t="str">
        <f>IF(D231="","",IF(AND(VLOOKUP(C231,STUDENTS!$A:$R,17,FALSE)=A231,VLOOKUP(C231,STUDENTS!$A:$R,18,FALSE)=B231,G231="Active"),"Đang học",IF(F231&gt;=0.8,IF(G231="Active","Tiếp tục khóa sau",IF(G231="Waiting for class","Chờ lớp mới",IF(G231="Inactive",IF(IFERROR(H231,"")="Discontinued mid-course","Nghỉ giữa chừng","Hoàn thành rồi nghỉ luôn"),""))),IF(G231="Inactive","Nghỉ giữa chừng","Đang học"))))</f>
        <v>Đang học</v>
      </c>
    </row>
    <row r="232">
      <c r="A232" s="11" t="str">
        <f>IFERROR(__xludf.DUMMYFUNCTION("""COMPUTED_VALUE"""),"EL023")</f>
        <v>EL023</v>
      </c>
      <c r="B232" s="11" t="str">
        <f>IFERROR(__xludf.DUMMYFUNCTION("""COMPUTED_VALUE"""),"Communication 1")</f>
        <v>Communication 1</v>
      </c>
      <c r="C232" s="11" t="str">
        <f>IFERROR(__xludf.DUMMYFUNCTION("""COMPUTED_VALUE"""),"163188")</f>
        <v>163188</v>
      </c>
      <c r="D232" s="11">
        <f>IFERROR(__xludf.DUMMYFUNCTION("""COMPUTED_VALUE"""),10.0)</f>
        <v>10</v>
      </c>
      <c r="E232" s="11">
        <f>IFERROR(VLOOKUP(B232,COURSE_PLAN!A:B,2,FALSE),"")</f>
        <v>10</v>
      </c>
      <c r="F232" s="11">
        <f t="shared" si="1"/>
        <v>1</v>
      </c>
      <c r="G232" s="11" t="str">
        <f>IFERROR(VLOOKUP(C232,STUDENTS!A:E,5,FALSE),"")</f>
        <v>Active</v>
      </c>
      <c r="H232" s="11" t="str">
        <f>IFERROR(VLOOKUP(C232,STUDENTS!A:M,13,FALSE),"")</f>
        <v/>
      </c>
      <c r="I232" s="11" t="str">
        <f>IF(D232="","",IF(AND(VLOOKUP(C232,STUDENTS!$A:$R,17,FALSE)=A232,VLOOKUP(C232,STUDENTS!$A:$R,18,FALSE)=B232,G232="Active"),"Đang học",IF(F232&gt;=0.8,IF(G232="Active","Tiếp tục khóa sau",IF(G232="Waiting for class","Chờ lớp mới",IF(G232="Inactive",IF(IFERROR(H232,"")="Discontinued mid-course","Nghỉ giữa chừng","Hoàn thành rồi nghỉ luôn"),""))),IF(G232="Inactive","Nghỉ giữa chừng","Đang học"))))</f>
        <v>Tiếp tục khóa sau</v>
      </c>
    </row>
    <row r="233">
      <c r="A233" s="11" t="str">
        <f>IFERROR(__xludf.DUMMYFUNCTION("""COMPUTED_VALUE"""),"EL023")</f>
        <v>EL023</v>
      </c>
      <c r="B233" s="11" t="str">
        <f>IFERROR(__xludf.DUMMYFUNCTION("""COMPUTED_VALUE"""),"Communication 1")</f>
        <v>Communication 1</v>
      </c>
      <c r="C233" s="11" t="str">
        <f>IFERROR(__xludf.DUMMYFUNCTION("""COMPUTED_VALUE"""),"227035")</f>
        <v>227035</v>
      </c>
      <c r="D233" s="11">
        <f>IFERROR(__xludf.DUMMYFUNCTION("""COMPUTED_VALUE"""),10.0)</f>
        <v>10</v>
      </c>
      <c r="E233" s="11">
        <f>IFERROR(VLOOKUP(B233,COURSE_PLAN!A:B,2,FALSE),"")</f>
        <v>10</v>
      </c>
      <c r="F233" s="11">
        <f t="shared" si="1"/>
        <v>1</v>
      </c>
      <c r="G233" s="11" t="str">
        <f>IFERROR(VLOOKUP(C233,STUDENTS!A:E,5,FALSE),"")</f>
        <v>Inactive</v>
      </c>
      <c r="H233" s="11" t="str">
        <f>IFERROR(VLOOKUP(C233,STUDENTS!A:M,13,FALSE),"")</f>
        <v>Discontinued mid-course</v>
      </c>
      <c r="I233" s="11" t="str">
        <f>IF(D233="","",IF(AND(VLOOKUP(C233,STUDENTS!$A:$R,17,FALSE)=A233,VLOOKUP(C233,STUDENTS!$A:$R,18,FALSE)=B233,G233="Active"),"Đang học",IF(F233&gt;=0.8,IF(G233="Active","Tiếp tục khóa sau",IF(G233="Waiting for class","Chờ lớp mới",IF(G233="Inactive",IF(IFERROR(H233,"")="Discontinued mid-course","Nghỉ giữa chừng","Hoàn thành rồi nghỉ luôn"),""))),IF(G233="Inactive","Nghỉ giữa chừng","Đang học"))))</f>
        <v>Nghỉ giữa chừng</v>
      </c>
    </row>
    <row r="234">
      <c r="A234" s="11" t="str">
        <f>IFERROR(__xludf.DUMMYFUNCTION("""COMPUTED_VALUE"""),"EL023")</f>
        <v>EL023</v>
      </c>
      <c r="B234" s="11" t="str">
        <f>IFERROR(__xludf.DUMMYFUNCTION("""COMPUTED_VALUE"""),"Communication 1")</f>
        <v>Communication 1</v>
      </c>
      <c r="C234" s="11" t="str">
        <f>IFERROR(__xludf.DUMMYFUNCTION("""COMPUTED_VALUE"""),"237157")</f>
        <v>237157</v>
      </c>
      <c r="D234" s="11">
        <f>IFERROR(__xludf.DUMMYFUNCTION("""COMPUTED_VALUE"""),10.0)</f>
        <v>10</v>
      </c>
      <c r="E234" s="11">
        <f>IFERROR(VLOOKUP(B234,COURSE_PLAN!A:B,2,FALSE),"")</f>
        <v>10</v>
      </c>
      <c r="F234" s="11">
        <f t="shared" si="1"/>
        <v>1</v>
      </c>
      <c r="G234" s="11" t="str">
        <f>IFERROR(VLOOKUP(C234,STUDENTS!A:E,5,FALSE),"")</f>
        <v>Inactive</v>
      </c>
      <c r="H234" s="11" t="str">
        <f>IFERROR(VLOOKUP(C234,STUDENTS!A:M,13,FALSE),"")</f>
        <v>Completed (no continuation)</v>
      </c>
      <c r="I234" s="11" t="str">
        <f>IF(D234="","",IF(AND(VLOOKUP(C234,STUDENTS!$A:$R,17,FALSE)=A234,VLOOKUP(C234,STUDENTS!$A:$R,18,FALSE)=B234,G234="Active"),"Đang học",IF(F234&gt;=0.8,IF(G234="Active","Tiếp tục khóa sau",IF(G234="Waiting for class","Chờ lớp mới",IF(G234="Inactive",IF(IFERROR(H234,"")="Discontinued mid-course","Nghỉ giữa chừng","Hoàn thành rồi nghỉ luôn"),""))),IF(G234="Inactive","Nghỉ giữa chừng","Đang học"))))</f>
        <v>Hoàn thành rồi nghỉ luôn</v>
      </c>
    </row>
    <row r="235">
      <c r="A235" s="11" t="str">
        <f>IFERROR(__xludf.DUMMYFUNCTION("""COMPUTED_VALUE"""),"EL023")</f>
        <v>EL023</v>
      </c>
      <c r="B235" s="11" t="str">
        <f>IFERROR(__xludf.DUMMYFUNCTION("""COMPUTED_VALUE"""),"Communication 1")</f>
        <v>Communication 1</v>
      </c>
      <c r="C235" s="11" t="str">
        <f>IFERROR(__xludf.DUMMYFUNCTION("""COMPUTED_VALUE"""),"237196")</f>
        <v>237196</v>
      </c>
      <c r="D235" s="11">
        <f>IFERROR(__xludf.DUMMYFUNCTION("""COMPUTED_VALUE"""),10.0)</f>
        <v>10</v>
      </c>
      <c r="E235" s="11">
        <f>IFERROR(VLOOKUP(B235,COURSE_PLAN!A:B,2,FALSE),"")</f>
        <v>10</v>
      </c>
      <c r="F235" s="11">
        <f t="shared" si="1"/>
        <v>1</v>
      </c>
      <c r="G235" s="11" t="str">
        <f>IFERROR(VLOOKUP(C235,STUDENTS!A:E,5,FALSE),"")</f>
        <v>Inactive</v>
      </c>
      <c r="H235" s="11" t="str">
        <f>IFERROR(VLOOKUP(C235,STUDENTS!A:M,13,FALSE),"")</f>
        <v>Completed (no continuation)</v>
      </c>
      <c r="I235" s="11" t="str">
        <f>IF(D235="","",IF(AND(VLOOKUP(C235,STUDENTS!$A:$R,17,FALSE)=A235,VLOOKUP(C235,STUDENTS!$A:$R,18,FALSE)=B235,G235="Active"),"Đang học",IF(F235&gt;=0.8,IF(G235="Active","Tiếp tục khóa sau",IF(G235="Waiting for class","Chờ lớp mới",IF(G235="Inactive",IF(IFERROR(H235,"")="Discontinued mid-course","Nghỉ giữa chừng","Hoàn thành rồi nghỉ luôn"),""))),IF(G235="Inactive","Nghỉ giữa chừng","Đang học"))))</f>
        <v>Hoàn thành rồi nghỉ luôn</v>
      </c>
    </row>
    <row r="236">
      <c r="A236" s="11" t="str">
        <f>IFERROR(__xludf.DUMMYFUNCTION("""COMPUTED_VALUE"""),"EL023")</f>
        <v>EL023</v>
      </c>
      <c r="B236" s="11" t="str">
        <f>IFERROR(__xludf.DUMMYFUNCTION("""COMPUTED_VALUE"""),"Communication 1")</f>
        <v>Communication 1</v>
      </c>
      <c r="C236" s="11" t="str">
        <f>IFERROR(__xludf.DUMMYFUNCTION("""COMPUTED_VALUE"""),"247203")</f>
        <v>247203</v>
      </c>
      <c r="D236" s="11">
        <f>IFERROR(__xludf.DUMMYFUNCTION("""COMPUTED_VALUE"""),10.0)</f>
        <v>10</v>
      </c>
      <c r="E236" s="11">
        <f>IFERROR(VLOOKUP(B236,COURSE_PLAN!A:B,2,FALSE),"")</f>
        <v>10</v>
      </c>
      <c r="F236" s="11">
        <f t="shared" si="1"/>
        <v>1</v>
      </c>
      <c r="G236" s="11" t="str">
        <f>IFERROR(VLOOKUP(C236,STUDENTS!A:E,5,FALSE),"")</f>
        <v>Inactive</v>
      </c>
      <c r="H236" s="11" t="str">
        <f>IFERROR(VLOOKUP(C236,STUDENTS!A:M,13,FALSE),"")</f>
        <v>Completed (no continuation)</v>
      </c>
      <c r="I236" s="11" t="str">
        <f>IF(D236="","",IF(AND(VLOOKUP(C236,STUDENTS!$A:$R,17,FALSE)=A236,VLOOKUP(C236,STUDENTS!$A:$R,18,FALSE)=B236,G236="Active"),"Đang học",IF(F236&gt;=0.8,IF(G236="Active","Tiếp tục khóa sau",IF(G236="Waiting for class","Chờ lớp mới",IF(G236="Inactive",IF(IFERROR(H236,"")="Discontinued mid-course","Nghỉ giữa chừng","Hoàn thành rồi nghỉ luôn"),""))),IF(G236="Inactive","Nghỉ giữa chừng","Đang học"))))</f>
        <v>Hoàn thành rồi nghỉ luôn</v>
      </c>
    </row>
    <row r="237">
      <c r="A237" s="11" t="str">
        <f>IFERROR(__xludf.DUMMYFUNCTION("""COMPUTED_VALUE"""),"EL024")</f>
        <v>EL024</v>
      </c>
      <c r="B237" s="11" t="str">
        <f>IFERROR(__xludf.DUMMYFUNCTION("""COMPUTED_VALUE"""),"Communication 1")</f>
        <v>Communication 1</v>
      </c>
      <c r="C237" s="11" t="str">
        <f>IFERROR(__xludf.DUMMYFUNCTION("""COMPUTED_VALUE"""),"193613")</f>
        <v>193613</v>
      </c>
      <c r="D237" s="11">
        <f>IFERROR(__xludf.DUMMYFUNCTION("""COMPUTED_VALUE"""),14.0)</f>
        <v>14</v>
      </c>
      <c r="E237" s="11">
        <f>IFERROR(VLOOKUP(B237,COURSE_PLAN!A:B,2,FALSE),"")</f>
        <v>10</v>
      </c>
      <c r="F237" s="11">
        <f t="shared" si="1"/>
        <v>1.4</v>
      </c>
      <c r="G237" s="11" t="str">
        <f>IFERROR(VLOOKUP(C237,STUDENTS!A:E,5,FALSE),"")</f>
        <v>Active</v>
      </c>
      <c r="H237" s="11" t="str">
        <f>IFERROR(VLOOKUP(C237,STUDENTS!A:M,13,FALSE),"")</f>
        <v/>
      </c>
      <c r="I237" s="11" t="str">
        <f>IF(D237="","",IF(AND(VLOOKUP(C237,STUDENTS!$A:$R,17,FALSE)=A237,VLOOKUP(C237,STUDENTS!$A:$R,18,FALSE)=B237,G237="Active"),"Đang học",IF(F237&gt;=0.8,IF(G237="Active","Tiếp tục khóa sau",IF(G237="Waiting for class","Chờ lớp mới",IF(G237="Inactive",IF(IFERROR(H237,"")="Discontinued mid-course","Nghỉ giữa chừng","Hoàn thành rồi nghỉ luôn"),""))),IF(G237="Inactive","Nghỉ giữa chừng","Đang học"))))</f>
        <v>Tiếp tục khóa sau</v>
      </c>
    </row>
    <row r="238">
      <c r="A238" s="11" t="str">
        <f>IFERROR(__xludf.DUMMYFUNCTION("""COMPUTED_VALUE"""),"EL024")</f>
        <v>EL024</v>
      </c>
      <c r="B238" s="11" t="str">
        <f>IFERROR(__xludf.DUMMYFUNCTION("""COMPUTED_VALUE"""),"Communication 1")</f>
        <v>Communication 1</v>
      </c>
      <c r="C238" s="11" t="str">
        <f>IFERROR(__xludf.DUMMYFUNCTION("""COMPUTED_VALUE"""),"213835")</f>
        <v>213835</v>
      </c>
      <c r="D238" s="11">
        <f>IFERROR(__xludf.DUMMYFUNCTION("""COMPUTED_VALUE"""),14.0)</f>
        <v>14</v>
      </c>
      <c r="E238" s="11">
        <f>IFERROR(VLOOKUP(B238,COURSE_PLAN!A:B,2,FALSE),"")</f>
        <v>10</v>
      </c>
      <c r="F238" s="11">
        <f t="shared" si="1"/>
        <v>1.4</v>
      </c>
      <c r="G238" s="11" t="str">
        <f>IFERROR(VLOOKUP(C238,STUDENTS!A:E,5,FALSE),"")</f>
        <v>Active</v>
      </c>
      <c r="H238" s="11" t="str">
        <f>IFERROR(VLOOKUP(C238,STUDENTS!A:M,13,FALSE),"")</f>
        <v/>
      </c>
      <c r="I238" s="11" t="str">
        <f>IF(D238="","",IF(AND(VLOOKUP(C238,STUDENTS!$A:$R,17,FALSE)=A238,VLOOKUP(C238,STUDENTS!$A:$R,18,FALSE)=B238,G238="Active"),"Đang học",IF(F238&gt;=0.8,IF(G238="Active","Tiếp tục khóa sau",IF(G238="Waiting for class","Chờ lớp mới",IF(G238="Inactive",IF(IFERROR(H238,"")="Discontinued mid-course","Nghỉ giữa chừng","Hoàn thành rồi nghỉ luôn"),""))),IF(G238="Inactive","Nghỉ giữa chừng","Đang học"))))</f>
        <v>Tiếp tục khóa sau</v>
      </c>
    </row>
    <row r="239">
      <c r="A239" s="11" t="str">
        <f>IFERROR(__xludf.DUMMYFUNCTION("""COMPUTED_VALUE"""),"EL024")</f>
        <v>EL024</v>
      </c>
      <c r="B239" s="11" t="str">
        <f>IFERROR(__xludf.DUMMYFUNCTION("""COMPUTED_VALUE"""),"Communication 1")</f>
        <v>Communication 1</v>
      </c>
      <c r="C239" s="11" t="str">
        <f>IFERROR(__xludf.DUMMYFUNCTION("""COMPUTED_VALUE"""),"213901")</f>
        <v>213901</v>
      </c>
      <c r="D239" s="11">
        <f>IFERROR(__xludf.DUMMYFUNCTION("""COMPUTED_VALUE"""),14.0)</f>
        <v>14</v>
      </c>
      <c r="E239" s="11">
        <f>IFERROR(VLOOKUP(B239,COURSE_PLAN!A:B,2,FALSE),"")</f>
        <v>10</v>
      </c>
      <c r="F239" s="11">
        <f t="shared" si="1"/>
        <v>1.4</v>
      </c>
      <c r="G239" s="11" t="str">
        <f>IFERROR(VLOOKUP(C239,STUDENTS!A:E,5,FALSE),"")</f>
        <v>Active</v>
      </c>
      <c r="H239" s="11" t="str">
        <f>IFERROR(VLOOKUP(C239,STUDENTS!A:M,13,FALSE),"")</f>
        <v/>
      </c>
      <c r="I239" s="11" t="str">
        <f>IF(D239="","",IF(AND(VLOOKUP(C239,STUDENTS!$A:$R,17,FALSE)=A239,VLOOKUP(C239,STUDENTS!$A:$R,18,FALSE)=B239,G239="Active"),"Đang học",IF(F239&gt;=0.8,IF(G239="Active","Tiếp tục khóa sau",IF(G239="Waiting for class","Chờ lớp mới",IF(G239="Inactive",IF(IFERROR(H239,"")="Discontinued mid-course","Nghỉ giữa chừng","Hoàn thành rồi nghỉ luôn"),""))),IF(G239="Inactive","Nghỉ giữa chừng","Đang học"))))</f>
        <v>Tiếp tục khóa sau</v>
      </c>
    </row>
    <row r="240">
      <c r="A240" s="11" t="str">
        <f>IFERROR(__xludf.DUMMYFUNCTION("""COMPUTED_VALUE"""),"EL024")</f>
        <v>EL024</v>
      </c>
      <c r="B240" s="11" t="str">
        <f>IFERROR(__xludf.DUMMYFUNCTION("""COMPUTED_VALUE"""),"Communication 1")</f>
        <v>Communication 1</v>
      </c>
      <c r="C240" s="11" t="str">
        <f>IFERROR(__xludf.DUMMYFUNCTION("""COMPUTED_VALUE"""),"227081")</f>
        <v>227081</v>
      </c>
      <c r="D240" s="11">
        <f>IFERROR(__xludf.DUMMYFUNCTION("""COMPUTED_VALUE"""),14.0)</f>
        <v>14</v>
      </c>
      <c r="E240" s="11">
        <f>IFERROR(VLOOKUP(B240,COURSE_PLAN!A:B,2,FALSE),"")</f>
        <v>10</v>
      </c>
      <c r="F240" s="11">
        <f t="shared" si="1"/>
        <v>1.4</v>
      </c>
      <c r="G240" s="11" t="str">
        <f>IFERROR(VLOOKUP(C240,STUDENTS!A:E,5,FALSE),"")</f>
        <v>Active</v>
      </c>
      <c r="H240" s="11" t="str">
        <f>IFERROR(VLOOKUP(C240,STUDENTS!A:M,13,FALSE),"")</f>
        <v/>
      </c>
      <c r="I240" s="11" t="str">
        <f>IF(D240="","",IF(AND(VLOOKUP(C240,STUDENTS!$A:$R,17,FALSE)=A240,VLOOKUP(C240,STUDENTS!$A:$R,18,FALSE)=B240,G240="Active"),"Đang học",IF(F240&gt;=0.8,IF(G240="Active","Tiếp tục khóa sau",IF(G240="Waiting for class","Chờ lớp mới",IF(G240="Inactive",IF(IFERROR(H240,"")="Discontinued mid-course","Nghỉ giữa chừng","Hoàn thành rồi nghỉ luôn"),""))),IF(G240="Inactive","Nghỉ giữa chừng","Đang học"))))</f>
        <v>Tiếp tục khóa sau</v>
      </c>
    </row>
    <row r="241">
      <c r="A241" s="11" t="str">
        <f>IFERROR(__xludf.DUMMYFUNCTION("""COMPUTED_VALUE"""),"EL024")</f>
        <v>EL024</v>
      </c>
      <c r="B241" s="11" t="str">
        <f>IFERROR(__xludf.DUMMYFUNCTION("""COMPUTED_VALUE"""),"Communication 1")</f>
        <v>Communication 1</v>
      </c>
      <c r="C241" s="11" t="str">
        <f>IFERROR(__xludf.DUMMYFUNCTION("""COMPUTED_VALUE"""),"247086")</f>
        <v>247086</v>
      </c>
      <c r="D241" s="11">
        <f>IFERROR(__xludf.DUMMYFUNCTION("""COMPUTED_VALUE"""),13.0)</f>
        <v>13</v>
      </c>
      <c r="E241" s="11">
        <f>IFERROR(VLOOKUP(B241,COURSE_PLAN!A:B,2,FALSE),"")</f>
        <v>10</v>
      </c>
      <c r="F241" s="11">
        <f t="shared" si="1"/>
        <v>1.3</v>
      </c>
      <c r="G241" s="11" t="str">
        <f>IFERROR(VLOOKUP(C241,STUDENTS!A:E,5,FALSE),"")</f>
        <v>Inactive</v>
      </c>
      <c r="H241" s="11" t="str">
        <f>IFERROR(VLOOKUP(C241,STUDENTS!A:M,13,FALSE),"")</f>
        <v>Discontinued mid-course</v>
      </c>
      <c r="I241" s="11" t="str">
        <f>IF(D241="","",IF(AND(VLOOKUP(C241,STUDENTS!$A:$R,17,FALSE)=A241,VLOOKUP(C241,STUDENTS!$A:$R,18,FALSE)=B241,G241="Active"),"Đang học",IF(F241&gt;=0.8,IF(G241="Active","Tiếp tục khóa sau",IF(G241="Waiting for class","Chờ lớp mới",IF(G241="Inactive",IF(IFERROR(H241,"")="Discontinued mid-course","Nghỉ giữa chừng","Hoàn thành rồi nghỉ luôn"),""))),IF(G241="Inactive","Nghỉ giữa chừng","Đang học"))))</f>
        <v>Nghỉ giữa chừng</v>
      </c>
    </row>
    <row r="242">
      <c r="A242" s="11" t="str">
        <f>IFERROR(__xludf.DUMMYFUNCTION("""COMPUTED_VALUE"""),"EL024")</f>
        <v>EL024</v>
      </c>
      <c r="B242" s="11" t="str">
        <f>IFERROR(__xludf.DUMMYFUNCTION("""COMPUTED_VALUE"""),"Communication 1")</f>
        <v>Communication 1</v>
      </c>
      <c r="C242" s="11" t="str">
        <f>IFERROR(__xludf.DUMMYFUNCTION("""COMPUTED_VALUE"""),"247097")</f>
        <v>247097</v>
      </c>
      <c r="D242" s="11">
        <f>IFERROR(__xludf.DUMMYFUNCTION("""COMPUTED_VALUE"""),14.0)</f>
        <v>14</v>
      </c>
      <c r="E242" s="11">
        <f>IFERROR(VLOOKUP(B242,COURSE_PLAN!A:B,2,FALSE),"")</f>
        <v>10</v>
      </c>
      <c r="F242" s="11">
        <f t="shared" si="1"/>
        <v>1.4</v>
      </c>
      <c r="G242" s="11" t="str">
        <f>IFERROR(VLOOKUP(C242,STUDENTS!A:E,5,FALSE),"")</f>
        <v>Active</v>
      </c>
      <c r="H242" s="11" t="str">
        <f>IFERROR(VLOOKUP(C242,STUDENTS!A:M,13,FALSE),"")</f>
        <v/>
      </c>
      <c r="I242" s="11" t="str">
        <f>IF(D242="","",IF(AND(VLOOKUP(C242,STUDENTS!$A:$R,17,FALSE)=A242,VLOOKUP(C242,STUDENTS!$A:$R,18,FALSE)=B242,G242="Active"),"Đang học",IF(F242&gt;=0.8,IF(G242="Active","Tiếp tục khóa sau",IF(G242="Waiting for class","Chờ lớp mới",IF(G242="Inactive",IF(IFERROR(H242,"")="Discontinued mid-course","Nghỉ giữa chừng","Hoàn thành rồi nghỉ luôn"),""))),IF(G242="Inactive","Nghỉ giữa chừng","Đang học"))))</f>
        <v>Tiếp tục khóa sau</v>
      </c>
    </row>
    <row r="243">
      <c r="A243" s="11" t="str">
        <f>IFERROR(__xludf.DUMMYFUNCTION("""COMPUTED_VALUE"""),"EL024")</f>
        <v>EL024</v>
      </c>
      <c r="B243" s="11" t="str">
        <f>IFERROR(__xludf.DUMMYFUNCTION("""COMPUTED_VALUE"""),"Communication 1")</f>
        <v>Communication 1</v>
      </c>
      <c r="C243" s="11" t="str">
        <f>IFERROR(__xludf.DUMMYFUNCTION("""COMPUTED_VALUE"""),"247332")</f>
        <v>247332</v>
      </c>
      <c r="D243" s="11">
        <f>IFERROR(__xludf.DUMMYFUNCTION("""COMPUTED_VALUE"""),14.0)</f>
        <v>14</v>
      </c>
      <c r="E243" s="11">
        <f>IFERROR(VLOOKUP(B243,COURSE_PLAN!A:B,2,FALSE),"")</f>
        <v>10</v>
      </c>
      <c r="F243" s="11">
        <f t="shared" si="1"/>
        <v>1.4</v>
      </c>
      <c r="G243" s="11" t="str">
        <f>IFERROR(VLOOKUP(C243,STUDENTS!A:E,5,FALSE),"")</f>
        <v>Active</v>
      </c>
      <c r="H243" s="11" t="str">
        <f>IFERROR(VLOOKUP(C243,STUDENTS!A:M,13,FALSE),"")</f>
        <v/>
      </c>
      <c r="I243" s="11" t="str">
        <f>IF(D243="","",IF(AND(VLOOKUP(C243,STUDENTS!$A:$R,17,FALSE)=A243,VLOOKUP(C243,STUDENTS!$A:$R,18,FALSE)=B243,G243="Active"),"Đang học",IF(F243&gt;=0.8,IF(G243="Active","Tiếp tục khóa sau",IF(G243="Waiting for class","Chờ lớp mới",IF(G243="Inactive",IF(IFERROR(H243,"")="Discontinued mid-course","Nghỉ giữa chừng","Hoàn thành rồi nghỉ luôn"),""))),IF(G243="Inactive","Nghỉ giữa chừng","Đang học"))))</f>
        <v>Tiếp tục khóa sau</v>
      </c>
    </row>
    <row r="244">
      <c r="A244" s="11" t="str">
        <f>IFERROR(__xludf.DUMMYFUNCTION("""COMPUTED_VALUE"""),"EL024")</f>
        <v>EL024</v>
      </c>
      <c r="B244" s="11" t="str">
        <f>IFERROR(__xludf.DUMMYFUNCTION("""COMPUTED_VALUE"""),"Communication 2")</f>
        <v>Communication 2</v>
      </c>
      <c r="C244" s="11" t="str">
        <f>IFERROR(__xludf.DUMMYFUNCTION("""COMPUTED_VALUE"""),"193613")</f>
        <v>193613</v>
      </c>
      <c r="D244" s="11">
        <f>IFERROR(__xludf.DUMMYFUNCTION("""COMPUTED_VALUE"""),12.0)</f>
        <v>12</v>
      </c>
      <c r="E244" s="11">
        <f>IFERROR(VLOOKUP(B244,COURSE_PLAN!A:B,2,FALSE),"")</f>
        <v>16</v>
      </c>
      <c r="F244" s="11">
        <f t="shared" si="1"/>
        <v>0.75</v>
      </c>
      <c r="G244" s="11" t="str">
        <f>IFERROR(VLOOKUP(C244,STUDENTS!A:E,5,FALSE),"")</f>
        <v>Active</v>
      </c>
      <c r="H244" s="11" t="str">
        <f>IFERROR(VLOOKUP(C244,STUDENTS!A:M,13,FALSE),"")</f>
        <v/>
      </c>
      <c r="I244" s="11" t="str">
        <f>IF(D244="","",IF(AND(VLOOKUP(C244,STUDENTS!$A:$R,17,FALSE)=A244,VLOOKUP(C244,STUDENTS!$A:$R,18,FALSE)=B244,G244="Active"),"Đang học",IF(F244&gt;=0.8,IF(G244="Active","Tiếp tục khóa sau",IF(G244="Waiting for class","Chờ lớp mới",IF(G244="Inactive",IF(IFERROR(H244,"")="Discontinued mid-course","Nghỉ giữa chừng","Hoàn thành rồi nghỉ luôn"),""))),IF(G244="Inactive","Nghỉ giữa chừng","Đang học"))))</f>
        <v>Đang học</v>
      </c>
    </row>
    <row r="245">
      <c r="A245" s="11" t="str">
        <f>IFERROR(__xludf.DUMMYFUNCTION("""COMPUTED_VALUE"""),"EL024")</f>
        <v>EL024</v>
      </c>
      <c r="B245" s="11" t="str">
        <f>IFERROR(__xludf.DUMMYFUNCTION("""COMPUTED_VALUE"""),"Communication 2")</f>
        <v>Communication 2</v>
      </c>
      <c r="C245" s="11" t="str">
        <f>IFERROR(__xludf.DUMMYFUNCTION("""COMPUTED_VALUE"""),"213835")</f>
        <v>213835</v>
      </c>
      <c r="D245" s="11">
        <f>IFERROR(__xludf.DUMMYFUNCTION("""COMPUTED_VALUE"""),12.0)</f>
        <v>12</v>
      </c>
      <c r="E245" s="11">
        <f>IFERROR(VLOOKUP(B245,COURSE_PLAN!A:B,2,FALSE),"")</f>
        <v>16</v>
      </c>
      <c r="F245" s="11">
        <f t="shared" si="1"/>
        <v>0.75</v>
      </c>
      <c r="G245" s="11" t="str">
        <f>IFERROR(VLOOKUP(C245,STUDENTS!A:E,5,FALSE),"")</f>
        <v>Active</v>
      </c>
      <c r="H245" s="11" t="str">
        <f>IFERROR(VLOOKUP(C245,STUDENTS!A:M,13,FALSE),"")</f>
        <v/>
      </c>
      <c r="I245" s="11" t="str">
        <f>IF(D245="","",IF(AND(VLOOKUP(C245,STUDENTS!$A:$R,17,FALSE)=A245,VLOOKUP(C245,STUDENTS!$A:$R,18,FALSE)=B245,G245="Active"),"Đang học",IF(F245&gt;=0.8,IF(G245="Active","Tiếp tục khóa sau",IF(G245="Waiting for class","Chờ lớp mới",IF(G245="Inactive",IF(IFERROR(H245,"")="Discontinued mid-course","Nghỉ giữa chừng","Hoàn thành rồi nghỉ luôn"),""))),IF(G245="Inactive","Nghỉ giữa chừng","Đang học"))))</f>
        <v>Đang học</v>
      </c>
    </row>
    <row r="246">
      <c r="A246" s="11" t="str">
        <f>IFERROR(__xludf.DUMMYFUNCTION("""COMPUTED_VALUE"""),"EL024")</f>
        <v>EL024</v>
      </c>
      <c r="B246" s="11" t="str">
        <f>IFERROR(__xludf.DUMMYFUNCTION("""COMPUTED_VALUE"""),"Communication 2")</f>
        <v>Communication 2</v>
      </c>
      <c r="C246" s="11" t="str">
        <f>IFERROR(__xludf.DUMMYFUNCTION("""COMPUTED_VALUE"""),"213901")</f>
        <v>213901</v>
      </c>
      <c r="D246" s="11">
        <f>IFERROR(__xludf.DUMMYFUNCTION("""COMPUTED_VALUE"""),12.0)</f>
        <v>12</v>
      </c>
      <c r="E246" s="11">
        <f>IFERROR(VLOOKUP(B246,COURSE_PLAN!A:B,2,FALSE),"")</f>
        <v>16</v>
      </c>
      <c r="F246" s="11">
        <f t="shared" si="1"/>
        <v>0.75</v>
      </c>
      <c r="G246" s="11" t="str">
        <f>IFERROR(VLOOKUP(C246,STUDENTS!A:E,5,FALSE),"")</f>
        <v>Active</v>
      </c>
      <c r="H246" s="11" t="str">
        <f>IFERROR(VLOOKUP(C246,STUDENTS!A:M,13,FALSE),"")</f>
        <v/>
      </c>
      <c r="I246" s="11" t="str">
        <f>IF(D246="","",IF(AND(VLOOKUP(C246,STUDENTS!$A:$R,17,FALSE)=A246,VLOOKUP(C246,STUDENTS!$A:$R,18,FALSE)=B246,G246="Active"),"Đang học",IF(F246&gt;=0.8,IF(G246="Active","Tiếp tục khóa sau",IF(G246="Waiting for class","Chờ lớp mới",IF(G246="Inactive",IF(IFERROR(H246,"")="Discontinued mid-course","Nghỉ giữa chừng","Hoàn thành rồi nghỉ luôn"),""))),IF(G246="Inactive","Nghỉ giữa chừng","Đang học"))))</f>
        <v>Đang học</v>
      </c>
    </row>
    <row r="247">
      <c r="A247" s="11" t="str">
        <f>IFERROR(__xludf.DUMMYFUNCTION("""COMPUTED_VALUE"""),"EL024")</f>
        <v>EL024</v>
      </c>
      <c r="B247" s="11" t="str">
        <f>IFERROR(__xludf.DUMMYFUNCTION("""COMPUTED_VALUE"""),"Communication 2")</f>
        <v>Communication 2</v>
      </c>
      <c r="C247" s="11" t="str">
        <f>IFERROR(__xludf.DUMMYFUNCTION("""COMPUTED_VALUE"""),"227081")</f>
        <v>227081</v>
      </c>
      <c r="D247" s="11">
        <f>IFERROR(__xludf.DUMMYFUNCTION("""COMPUTED_VALUE"""),12.0)</f>
        <v>12</v>
      </c>
      <c r="E247" s="11">
        <f>IFERROR(VLOOKUP(B247,COURSE_PLAN!A:B,2,FALSE),"")</f>
        <v>16</v>
      </c>
      <c r="F247" s="11">
        <f t="shared" si="1"/>
        <v>0.75</v>
      </c>
      <c r="G247" s="11" t="str">
        <f>IFERROR(VLOOKUP(C247,STUDENTS!A:E,5,FALSE),"")</f>
        <v>Active</v>
      </c>
      <c r="H247" s="11" t="str">
        <f>IFERROR(VLOOKUP(C247,STUDENTS!A:M,13,FALSE),"")</f>
        <v/>
      </c>
      <c r="I247" s="11" t="str">
        <f>IF(D247="","",IF(AND(VLOOKUP(C247,STUDENTS!$A:$R,17,FALSE)=A247,VLOOKUP(C247,STUDENTS!$A:$R,18,FALSE)=B247,G247="Active"),"Đang học",IF(F247&gt;=0.8,IF(G247="Active","Tiếp tục khóa sau",IF(G247="Waiting for class","Chờ lớp mới",IF(G247="Inactive",IF(IFERROR(H247,"")="Discontinued mid-course","Nghỉ giữa chừng","Hoàn thành rồi nghỉ luôn"),""))),IF(G247="Inactive","Nghỉ giữa chừng","Đang học"))))</f>
        <v>Đang học</v>
      </c>
    </row>
    <row r="248">
      <c r="A248" s="11" t="str">
        <f>IFERROR(__xludf.DUMMYFUNCTION("""COMPUTED_VALUE"""),"EL024")</f>
        <v>EL024</v>
      </c>
      <c r="B248" s="11" t="str">
        <f>IFERROR(__xludf.DUMMYFUNCTION("""COMPUTED_VALUE"""),"Communication 2")</f>
        <v>Communication 2</v>
      </c>
      <c r="C248" s="11" t="str">
        <f>IFERROR(__xludf.DUMMYFUNCTION("""COMPUTED_VALUE"""),"247086")</f>
        <v>247086</v>
      </c>
      <c r="D248" s="11">
        <f>IFERROR(__xludf.DUMMYFUNCTION("""COMPUTED_VALUE"""),11.0)</f>
        <v>11</v>
      </c>
      <c r="E248" s="11">
        <f>IFERROR(VLOOKUP(B248,COURSE_PLAN!A:B,2,FALSE),"")</f>
        <v>16</v>
      </c>
      <c r="F248" s="11">
        <f t="shared" si="1"/>
        <v>0.6875</v>
      </c>
      <c r="G248" s="11" t="str">
        <f>IFERROR(VLOOKUP(C248,STUDENTS!A:E,5,FALSE),"")</f>
        <v>Inactive</v>
      </c>
      <c r="H248" s="11" t="str">
        <f>IFERROR(VLOOKUP(C248,STUDENTS!A:M,13,FALSE),"")</f>
        <v>Discontinued mid-course</v>
      </c>
      <c r="I248" s="11" t="str">
        <f>IF(D248="","",IF(AND(VLOOKUP(C248,STUDENTS!$A:$R,17,FALSE)=A248,VLOOKUP(C248,STUDENTS!$A:$R,18,FALSE)=B248,G248="Active"),"Đang học",IF(F248&gt;=0.8,IF(G248="Active","Tiếp tục khóa sau",IF(G248="Waiting for class","Chờ lớp mới",IF(G248="Inactive",IF(IFERROR(H248,"")="Discontinued mid-course","Nghỉ giữa chừng","Hoàn thành rồi nghỉ luôn"),""))),IF(G248="Inactive","Nghỉ giữa chừng","Đang học"))))</f>
        <v>Nghỉ giữa chừng</v>
      </c>
    </row>
    <row r="249">
      <c r="A249" s="11" t="str">
        <f>IFERROR(__xludf.DUMMYFUNCTION("""COMPUTED_VALUE"""),"EL024")</f>
        <v>EL024</v>
      </c>
      <c r="B249" s="11" t="str">
        <f>IFERROR(__xludf.DUMMYFUNCTION("""COMPUTED_VALUE"""),"Communication 2")</f>
        <v>Communication 2</v>
      </c>
      <c r="C249" s="11" t="str">
        <f>IFERROR(__xludf.DUMMYFUNCTION("""COMPUTED_VALUE"""),"247097")</f>
        <v>247097</v>
      </c>
      <c r="D249" s="11">
        <f>IFERROR(__xludf.DUMMYFUNCTION("""COMPUTED_VALUE"""),12.0)</f>
        <v>12</v>
      </c>
      <c r="E249" s="11">
        <f>IFERROR(VLOOKUP(B249,COURSE_PLAN!A:B,2,FALSE),"")</f>
        <v>16</v>
      </c>
      <c r="F249" s="11">
        <f t="shared" si="1"/>
        <v>0.75</v>
      </c>
      <c r="G249" s="11" t="str">
        <f>IFERROR(VLOOKUP(C249,STUDENTS!A:E,5,FALSE),"")</f>
        <v>Active</v>
      </c>
      <c r="H249" s="11" t="str">
        <f>IFERROR(VLOOKUP(C249,STUDENTS!A:M,13,FALSE),"")</f>
        <v/>
      </c>
      <c r="I249" s="11" t="str">
        <f>IF(D249="","",IF(AND(VLOOKUP(C249,STUDENTS!$A:$R,17,FALSE)=A249,VLOOKUP(C249,STUDENTS!$A:$R,18,FALSE)=B249,G249="Active"),"Đang học",IF(F249&gt;=0.8,IF(G249="Active","Tiếp tục khóa sau",IF(G249="Waiting for class","Chờ lớp mới",IF(G249="Inactive",IF(IFERROR(H249,"")="Discontinued mid-course","Nghỉ giữa chừng","Hoàn thành rồi nghỉ luôn"),""))),IF(G249="Inactive","Nghỉ giữa chừng","Đang học"))))</f>
        <v>Đang học</v>
      </c>
    </row>
    <row r="250">
      <c r="A250" s="11" t="str">
        <f>IFERROR(__xludf.DUMMYFUNCTION("""COMPUTED_VALUE"""),"EL024")</f>
        <v>EL024</v>
      </c>
      <c r="B250" s="11" t="str">
        <f>IFERROR(__xludf.DUMMYFUNCTION("""COMPUTED_VALUE"""),"Communication 2")</f>
        <v>Communication 2</v>
      </c>
      <c r="C250" s="11" t="str">
        <f>IFERROR(__xludf.DUMMYFUNCTION("""COMPUTED_VALUE"""),"247332")</f>
        <v>247332</v>
      </c>
      <c r="D250" s="11">
        <f>IFERROR(__xludf.DUMMYFUNCTION("""COMPUTED_VALUE"""),11.0)</f>
        <v>11</v>
      </c>
      <c r="E250" s="11">
        <f>IFERROR(VLOOKUP(B250,COURSE_PLAN!A:B,2,FALSE),"")</f>
        <v>16</v>
      </c>
      <c r="F250" s="11">
        <f t="shared" si="1"/>
        <v>0.6875</v>
      </c>
      <c r="G250" s="11" t="str">
        <f>IFERROR(VLOOKUP(C250,STUDENTS!A:E,5,FALSE),"")</f>
        <v>Active</v>
      </c>
      <c r="H250" s="11" t="str">
        <f>IFERROR(VLOOKUP(C250,STUDENTS!A:M,13,FALSE),"")</f>
        <v/>
      </c>
      <c r="I250" s="11" t="str">
        <f>IF(D250="","",IF(AND(VLOOKUP(C250,STUDENTS!$A:$R,17,FALSE)=A250,VLOOKUP(C250,STUDENTS!$A:$R,18,FALSE)=B250,G250="Active"),"Đang học",IF(F250&gt;=0.8,IF(G250="Active","Tiếp tục khóa sau",IF(G250="Waiting for class","Chờ lớp mới",IF(G250="Inactive",IF(IFERROR(H250,"")="Discontinued mid-course","Nghỉ giữa chừng","Hoàn thành rồi nghỉ luôn"),""))),IF(G250="Inactive","Nghỉ giữa chừng","Đang học"))))</f>
        <v>Đang học</v>
      </c>
    </row>
    <row r="251">
      <c r="A251" s="11" t="str">
        <f>IFERROR(__xludf.DUMMYFUNCTION("""COMPUTED_VALUE"""),"EL024")</f>
        <v>EL024</v>
      </c>
      <c r="B251" s="11" t="str">
        <f>IFERROR(__xludf.DUMMYFUNCTION("""COMPUTED_VALUE"""),"Foundation")</f>
        <v>Foundation</v>
      </c>
      <c r="C251" s="11" t="str">
        <f>IFERROR(__xludf.DUMMYFUNCTION("""COMPUTED_VALUE"""),"193613")</f>
        <v>193613</v>
      </c>
      <c r="D251" s="11">
        <f>IFERROR(__xludf.DUMMYFUNCTION("""COMPUTED_VALUE"""),16.0)</f>
        <v>16</v>
      </c>
      <c r="E251" s="11">
        <f>IFERROR(VLOOKUP(B251,COURSE_PLAN!A:B,2,FALSE),"")</f>
        <v>16</v>
      </c>
      <c r="F251" s="11">
        <f t="shared" si="1"/>
        <v>1</v>
      </c>
      <c r="G251" s="11" t="str">
        <f>IFERROR(VLOOKUP(C251,STUDENTS!A:E,5,FALSE),"")</f>
        <v>Active</v>
      </c>
      <c r="H251" s="11" t="str">
        <f>IFERROR(VLOOKUP(C251,STUDENTS!A:M,13,FALSE),"")</f>
        <v/>
      </c>
      <c r="I251" s="11" t="str">
        <f>IF(D251="","",IF(AND(VLOOKUP(C251,STUDENTS!$A:$R,17,FALSE)=A251,VLOOKUP(C251,STUDENTS!$A:$R,18,FALSE)=B251,G251="Active"),"Đang học",IF(F251&gt;=0.8,IF(G251="Active","Tiếp tục khóa sau",IF(G251="Waiting for class","Chờ lớp mới",IF(G251="Inactive",IF(IFERROR(H251,"")="Discontinued mid-course","Nghỉ giữa chừng","Hoàn thành rồi nghỉ luôn"),""))),IF(G251="Inactive","Nghỉ giữa chừng","Đang học"))))</f>
        <v>Tiếp tục khóa sau</v>
      </c>
    </row>
    <row r="252">
      <c r="A252" s="11" t="str">
        <f>IFERROR(__xludf.DUMMYFUNCTION("""COMPUTED_VALUE"""),"EL024")</f>
        <v>EL024</v>
      </c>
      <c r="B252" s="11" t="str">
        <f>IFERROR(__xludf.DUMMYFUNCTION("""COMPUTED_VALUE"""),"Foundation")</f>
        <v>Foundation</v>
      </c>
      <c r="C252" s="11" t="str">
        <f>IFERROR(__xludf.DUMMYFUNCTION("""COMPUTED_VALUE"""),"213835")</f>
        <v>213835</v>
      </c>
      <c r="D252" s="11">
        <f>IFERROR(__xludf.DUMMYFUNCTION("""COMPUTED_VALUE"""),16.0)</f>
        <v>16</v>
      </c>
      <c r="E252" s="11">
        <f>IFERROR(VLOOKUP(B252,COURSE_PLAN!A:B,2,FALSE),"")</f>
        <v>16</v>
      </c>
      <c r="F252" s="11">
        <f t="shared" si="1"/>
        <v>1</v>
      </c>
      <c r="G252" s="11" t="str">
        <f>IFERROR(VLOOKUP(C252,STUDENTS!A:E,5,FALSE),"")</f>
        <v>Active</v>
      </c>
      <c r="H252" s="11" t="str">
        <f>IFERROR(VLOOKUP(C252,STUDENTS!A:M,13,FALSE),"")</f>
        <v/>
      </c>
      <c r="I252" s="11" t="str">
        <f>IF(D252="","",IF(AND(VLOOKUP(C252,STUDENTS!$A:$R,17,FALSE)=A252,VLOOKUP(C252,STUDENTS!$A:$R,18,FALSE)=B252,G252="Active"),"Đang học",IF(F252&gt;=0.8,IF(G252="Active","Tiếp tục khóa sau",IF(G252="Waiting for class","Chờ lớp mới",IF(G252="Inactive",IF(IFERROR(H252,"")="Discontinued mid-course","Nghỉ giữa chừng","Hoàn thành rồi nghỉ luôn"),""))),IF(G252="Inactive","Nghỉ giữa chừng","Đang học"))))</f>
        <v>Tiếp tục khóa sau</v>
      </c>
    </row>
    <row r="253">
      <c r="A253" s="11" t="str">
        <f>IFERROR(__xludf.DUMMYFUNCTION("""COMPUTED_VALUE"""),"EL024")</f>
        <v>EL024</v>
      </c>
      <c r="B253" s="11" t="str">
        <f>IFERROR(__xludf.DUMMYFUNCTION("""COMPUTED_VALUE"""),"Foundation")</f>
        <v>Foundation</v>
      </c>
      <c r="C253" s="11" t="str">
        <f>IFERROR(__xludf.DUMMYFUNCTION("""COMPUTED_VALUE"""),"213901")</f>
        <v>213901</v>
      </c>
      <c r="D253" s="11">
        <f>IFERROR(__xludf.DUMMYFUNCTION("""COMPUTED_VALUE"""),16.0)</f>
        <v>16</v>
      </c>
      <c r="E253" s="11">
        <f>IFERROR(VLOOKUP(B253,COURSE_PLAN!A:B,2,FALSE),"")</f>
        <v>16</v>
      </c>
      <c r="F253" s="11">
        <f t="shared" si="1"/>
        <v>1</v>
      </c>
      <c r="G253" s="11" t="str">
        <f>IFERROR(VLOOKUP(C253,STUDENTS!A:E,5,FALSE),"")</f>
        <v>Active</v>
      </c>
      <c r="H253" s="11" t="str">
        <f>IFERROR(VLOOKUP(C253,STUDENTS!A:M,13,FALSE),"")</f>
        <v/>
      </c>
      <c r="I253" s="11" t="str">
        <f>IF(D253="","",IF(AND(VLOOKUP(C253,STUDENTS!$A:$R,17,FALSE)=A253,VLOOKUP(C253,STUDENTS!$A:$R,18,FALSE)=B253,G253="Active"),"Đang học",IF(F253&gt;=0.8,IF(G253="Active","Tiếp tục khóa sau",IF(G253="Waiting for class","Chờ lớp mới",IF(G253="Inactive",IF(IFERROR(H253,"")="Discontinued mid-course","Nghỉ giữa chừng","Hoàn thành rồi nghỉ luôn"),""))),IF(G253="Inactive","Nghỉ giữa chừng","Đang học"))))</f>
        <v>Tiếp tục khóa sau</v>
      </c>
    </row>
    <row r="254">
      <c r="A254" s="11" t="str">
        <f>IFERROR(__xludf.DUMMYFUNCTION("""COMPUTED_VALUE"""),"EL024")</f>
        <v>EL024</v>
      </c>
      <c r="B254" s="11" t="str">
        <f>IFERROR(__xludf.DUMMYFUNCTION("""COMPUTED_VALUE"""),"Foundation")</f>
        <v>Foundation</v>
      </c>
      <c r="C254" s="11" t="str">
        <f>IFERROR(__xludf.DUMMYFUNCTION("""COMPUTED_VALUE"""),"227081")</f>
        <v>227081</v>
      </c>
      <c r="D254" s="11">
        <f>IFERROR(__xludf.DUMMYFUNCTION("""COMPUTED_VALUE"""),16.0)</f>
        <v>16</v>
      </c>
      <c r="E254" s="11">
        <f>IFERROR(VLOOKUP(B254,COURSE_PLAN!A:B,2,FALSE),"")</f>
        <v>16</v>
      </c>
      <c r="F254" s="11">
        <f t="shared" si="1"/>
        <v>1</v>
      </c>
      <c r="G254" s="11" t="str">
        <f>IFERROR(VLOOKUP(C254,STUDENTS!A:E,5,FALSE),"")</f>
        <v>Active</v>
      </c>
      <c r="H254" s="11" t="str">
        <f>IFERROR(VLOOKUP(C254,STUDENTS!A:M,13,FALSE),"")</f>
        <v/>
      </c>
      <c r="I254" s="11" t="str">
        <f>IF(D254="","",IF(AND(VLOOKUP(C254,STUDENTS!$A:$R,17,FALSE)=A254,VLOOKUP(C254,STUDENTS!$A:$R,18,FALSE)=B254,G254="Active"),"Đang học",IF(F254&gt;=0.8,IF(G254="Active","Tiếp tục khóa sau",IF(G254="Waiting for class","Chờ lớp mới",IF(G254="Inactive",IF(IFERROR(H254,"")="Discontinued mid-course","Nghỉ giữa chừng","Hoàn thành rồi nghỉ luôn"),""))),IF(G254="Inactive","Nghỉ giữa chừng","Đang học"))))</f>
        <v>Tiếp tục khóa sau</v>
      </c>
    </row>
    <row r="255">
      <c r="A255" s="11" t="str">
        <f>IFERROR(__xludf.DUMMYFUNCTION("""COMPUTED_VALUE"""),"EL024")</f>
        <v>EL024</v>
      </c>
      <c r="B255" s="11" t="str">
        <f>IFERROR(__xludf.DUMMYFUNCTION("""COMPUTED_VALUE"""),"Foundation")</f>
        <v>Foundation</v>
      </c>
      <c r="C255" s="11" t="str">
        <f>IFERROR(__xludf.DUMMYFUNCTION("""COMPUTED_VALUE"""),"247097")</f>
        <v>247097</v>
      </c>
      <c r="D255" s="11">
        <f>IFERROR(__xludf.DUMMYFUNCTION("""COMPUTED_VALUE"""),16.0)</f>
        <v>16</v>
      </c>
      <c r="E255" s="11">
        <f>IFERROR(VLOOKUP(B255,COURSE_PLAN!A:B,2,FALSE),"")</f>
        <v>16</v>
      </c>
      <c r="F255" s="11">
        <f t="shared" si="1"/>
        <v>1</v>
      </c>
      <c r="G255" s="11" t="str">
        <f>IFERROR(VLOOKUP(C255,STUDENTS!A:E,5,FALSE),"")</f>
        <v>Active</v>
      </c>
      <c r="H255" s="11" t="str">
        <f>IFERROR(VLOOKUP(C255,STUDENTS!A:M,13,FALSE),"")</f>
        <v/>
      </c>
      <c r="I255" s="11" t="str">
        <f>IF(D255="","",IF(AND(VLOOKUP(C255,STUDENTS!$A:$R,17,FALSE)=A255,VLOOKUP(C255,STUDENTS!$A:$R,18,FALSE)=B255,G255="Active"),"Đang học",IF(F255&gt;=0.8,IF(G255="Active","Tiếp tục khóa sau",IF(G255="Waiting for class","Chờ lớp mới",IF(G255="Inactive",IF(IFERROR(H255,"")="Discontinued mid-course","Nghỉ giữa chừng","Hoàn thành rồi nghỉ luôn"),""))),IF(G255="Inactive","Nghỉ giữa chừng","Đang học"))))</f>
        <v>Tiếp tục khóa sau</v>
      </c>
    </row>
    <row r="256">
      <c r="A256" s="11" t="str">
        <f>IFERROR(__xludf.DUMMYFUNCTION("""COMPUTED_VALUE"""),"EL024")</f>
        <v>EL024</v>
      </c>
      <c r="B256" s="11" t="str">
        <f>IFERROR(__xludf.DUMMYFUNCTION("""COMPUTED_VALUE"""),"Foundation")</f>
        <v>Foundation</v>
      </c>
      <c r="C256" s="11" t="str">
        <f>IFERROR(__xludf.DUMMYFUNCTION("""COMPUTED_VALUE"""),"247332")</f>
        <v>247332</v>
      </c>
      <c r="D256" s="11">
        <f>IFERROR(__xludf.DUMMYFUNCTION("""COMPUTED_VALUE"""),16.0)</f>
        <v>16</v>
      </c>
      <c r="E256" s="11">
        <f>IFERROR(VLOOKUP(B256,COURSE_PLAN!A:B,2,FALSE),"")</f>
        <v>16</v>
      </c>
      <c r="F256" s="11">
        <f t="shared" si="1"/>
        <v>1</v>
      </c>
      <c r="G256" s="11" t="str">
        <f>IFERROR(VLOOKUP(C256,STUDENTS!A:E,5,FALSE),"")</f>
        <v>Active</v>
      </c>
      <c r="H256" s="11" t="str">
        <f>IFERROR(VLOOKUP(C256,STUDENTS!A:M,13,FALSE),"")</f>
        <v/>
      </c>
      <c r="I256" s="11" t="str">
        <f>IF(D256="","",IF(AND(VLOOKUP(C256,STUDENTS!$A:$R,17,FALSE)=A256,VLOOKUP(C256,STUDENTS!$A:$R,18,FALSE)=B256,G256="Active"),"Đang học",IF(F256&gt;=0.8,IF(G256="Active","Tiếp tục khóa sau",IF(G256="Waiting for class","Chờ lớp mới",IF(G256="Inactive",IF(IFERROR(H256,"")="Discontinued mid-course","Nghỉ giữa chừng","Hoàn thành rồi nghỉ luôn"),""))),IF(G256="Inactive","Nghỉ giữa chừng","Đang học"))))</f>
        <v>Tiếp tục khóa sau</v>
      </c>
    </row>
    <row r="257">
      <c r="A257" s="11" t="str">
        <f>IFERROR(__xludf.DUMMYFUNCTION("""COMPUTED_VALUE"""),"EL025")</f>
        <v>EL025</v>
      </c>
      <c r="B257" s="11" t="str">
        <f>IFERROR(__xludf.DUMMYFUNCTION("""COMPUTED_VALUE"""),"Communication 1")</f>
        <v>Communication 1</v>
      </c>
      <c r="C257" s="11" t="str">
        <f>IFERROR(__xludf.DUMMYFUNCTION("""COMPUTED_VALUE"""),"203765")</f>
        <v>203765</v>
      </c>
      <c r="D257" s="11">
        <f>IFERROR(__xludf.DUMMYFUNCTION("""COMPUTED_VALUE"""),10.0)</f>
        <v>10</v>
      </c>
      <c r="E257" s="11">
        <f>IFERROR(VLOOKUP(B257,COURSE_PLAN!A:B,2,FALSE),"")</f>
        <v>10</v>
      </c>
      <c r="F257" s="11">
        <f t="shared" si="1"/>
        <v>1</v>
      </c>
      <c r="G257" s="11" t="str">
        <f>IFERROR(VLOOKUP(C257,STUDENTS!A:E,5,FALSE),"")</f>
        <v>Waiting for class</v>
      </c>
      <c r="H257" s="11" t="str">
        <f>IFERROR(VLOOKUP(C257,STUDENTS!A:M,13,FALSE),"")</f>
        <v>Waiting for class</v>
      </c>
      <c r="I257" s="11" t="str">
        <f>IF(D257="","",IF(AND(VLOOKUP(C257,STUDENTS!$A:$R,17,FALSE)=A257,VLOOKUP(C257,STUDENTS!$A:$R,18,FALSE)=B257,G257="Active"),"Đang học",IF(F257&gt;=0.8,IF(G257="Active","Tiếp tục khóa sau",IF(G257="Waiting for class","Chờ lớp mới",IF(G257="Inactive",IF(IFERROR(H257,"")="Discontinued mid-course","Nghỉ giữa chừng","Hoàn thành rồi nghỉ luôn"),""))),IF(G257="Inactive","Nghỉ giữa chừng","Đang học"))))</f>
        <v>Chờ lớp mới</v>
      </c>
    </row>
    <row r="258">
      <c r="A258" s="11" t="str">
        <f>IFERROR(__xludf.DUMMYFUNCTION("""COMPUTED_VALUE"""),"EL025")</f>
        <v>EL025</v>
      </c>
      <c r="B258" s="11" t="str">
        <f>IFERROR(__xludf.DUMMYFUNCTION("""COMPUTED_VALUE"""),"Communication 1")</f>
        <v>Communication 1</v>
      </c>
      <c r="C258" s="11" t="str">
        <f>IFERROR(__xludf.DUMMYFUNCTION("""COMPUTED_VALUE"""),"213876")</f>
        <v>213876</v>
      </c>
      <c r="D258" s="11">
        <f>IFERROR(__xludf.DUMMYFUNCTION("""COMPUTED_VALUE"""),10.0)</f>
        <v>10</v>
      </c>
      <c r="E258" s="11">
        <f>IFERROR(VLOOKUP(B258,COURSE_PLAN!A:B,2,FALSE),"")</f>
        <v>10</v>
      </c>
      <c r="F258" s="11">
        <f t="shared" si="1"/>
        <v>1</v>
      </c>
      <c r="G258" s="11" t="str">
        <f>IFERROR(VLOOKUP(C258,STUDENTS!A:E,5,FALSE),"")</f>
        <v>Waiting for class</v>
      </c>
      <c r="H258" s="11" t="str">
        <f>IFERROR(VLOOKUP(C258,STUDENTS!A:M,13,FALSE),"")</f>
        <v>Waiting for class</v>
      </c>
      <c r="I258" s="11" t="str">
        <f>IF(D258="","",IF(AND(VLOOKUP(C258,STUDENTS!$A:$R,17,FALSE)=A258,VLOOKUP(C258,STUDENTS!$A:$R,18,FALSE)=B258,G258="Active"),"Đang học",IF(F258&gt;=0.8,IF(G258="Active","Tiếp tục khóa sau",IF(G258="Waiting for class","Chờ lớp mới",IF(G258="Inactive",IF(IFERROR(H258,"")="Discontinued mid-course","Nghỉ giữa chừng","Hoàn thành rồi nghỉ luôn"),""))),IF(G258="Inactive","Nghỉ giữa chừng","Đang học"))))</f>
        <v>Chờ lớp mới</v>
      </c>
    </row>
    <row r="259">
      <c r="A259" s="11" t="str">
        <f>IFERROR(__xludf.DUMMYFUNCTION("""COMPUTED_VALUE"""),"EL025")</f>
        <v>EL025</v>
      </c>
      <c r="B259" s="11" t="str">
        <f>IFERROR(__xludf.DUMMYFUNCTION("""COMPUTED_VALUE"""),"Communication 1")</f>
        <v>Communication 1</v>
      </c>
      <c r="C259" s="11" t="str">
        <f>IFERROR(__xludf.DUMMYFUNCTION("""COMPUTED_VALUE"""),"213947")</f>
        <v>213947</v>
      </c>
      <c r="D259" s="11">
        <f>IFERROR(__xludf.DUMMYFUNCTION("""COMPUTED_VALUE"""),10.0)</f>
        <v>10</v>
      </c>
      <c r="E259" s="11">
        <f>IFERROR(VLOOKUP(B259,COURSE_PLAN!A:B,2,FALSE),"")</f>
        <v>10</v>
      </c>
      <c r="F259" s="11">
        <f t="shared" si="1"/>
        <v>1</v>
      </c>
      <c r="G259" s="11" t="str">
        <f>IFERROR(VLOOKUP(C259,STUDENTS!A:E,5,FALSE),"")</f>
        <v>Waiting for class</v>
      </c>
      <c r="H259" s="11" t="str">
        <f>IFERROR(VLOOKUP(C259,STUDENTS!A:M,13,FALSE),"")</f>
        <v>Waiting for class</v>
      </c>
      <c r="I259" s="11" t="str">
        <f>IF(D259="","",IF(AND(VLOOKUP(C259,STUDENTS!$A:$R,17,FALSE)=A259,VLOOKUP(C259,STUDENTS!$A:$R,18,FALSE)=B259,G259="Active"),"Đang học",IF(F259&gt;=0.8,IF(G259="Active","Tiếp tục khóa sau",IF(G259="Waiting for class","Chờ lớp mới",IF(G259="Inactive",IF(IFERROR(H259,"")="Discontinued mid-course","Nghỉ giữa chừng","Hoàn thành rồi nghỉ luôn"),""))),IF(G259="Inactive","Nghỉ giữa chừng","Đang học"))))</f>
        <v>Chờ lớp mới</v>
      </c>
    </row>
    <row r="260">
      <c r="A260" s="11" t="str">
        <f>IFERROR(__xludf.DUMMYFUNCTION("""COMPUTED_VALUE"""),"EL025")</f>
        <v>EL025</v>
      </c>
      <c r="B260" s="11" t="str">
        <f>IFERROR(__xludf.DUMMYFUNCTION("""COMPUTED_VALUE"""),"Communication 1")</f>
        <v>Communication 1</v>
      </c>
      <c r="C260" s="11" t="str">
        <f>IFERROR(__xludf.DUMMYFUNCTION("""COMPUTED_VALUE"""),"247225")</f>
        <v>247225</v>
      </c>
      <c r="D260" s="11">
        <f>IFERROR(__xludf.DUMMYFUNCTION("""COMPUTED_VALUE"""),10.0)</f>
        <v>10</v>
      </c>
      <c r="E260" s="11">
        <f>IFERROR(VLOOKUP(B260,COURSE_PLAN!A:B,2,FALSE),"")</f>
        <v>10</v>
      </c>
      <c r="F260" s="11">
        <f t="shared" si="1"/>
        <v>1</v>
      </c>
      <c r="G260" s="11" t="str">
        <f>IFERROR(VLOOKUP(C260,STUDENTS!A:E,5,FALSE),"")</f>
        <v>Waiting for class</v>
      </c>
      <c r="H260" s="11" t="str">
        <f>IFERROR(VLOOKUP(C260,STUDENTS!A:M,13,FALSE),"")</f>
        <v>Waiting for class</v>
      </c>
      <c r="I260" s="11" t="str">
        <f>IF(D260="","",IF(AND(VLOOKUP(C260,STUDENTS!$A:$R,17,FALSE)=A260,VLOOKUP(C260,STUDENTS!$A:$R,18,FALSE)=B260,G260="Active"),"Đang học",IF(F260&gt;=0.8,IF(G260="Active","Tiếp tục khóa sau",IF(G260="Waiting for class","Chờ lớp mới",IF(G260="Inactive",IF(IFERROR(H260,"")="Discontinued mid-course","Nghỉ giữa chừng","Hoàn thành rồi nghỉ luôn"),""))),IF(G260="Inactive","Nghỉ giữa chừng","Đang học"))))</f>
        <v>Chờ lớp mới</v>
      </c>
    </row>
    <row r="261">
      <c r="A261" s="11" t="str">
        <f>IFERROR(__xludf.DUMMYFUNCTION("""COMPUTED_VALUE"""),"EL025")</f>
        <v>EL025</v>
      </c>
      <c r="B261" s="11" t="str">
        <f>IFERROR(__xludf.DUMMYFUNCTION("""COMPUTED_VALUE"""),"Communication 1")</f>
        <v>Communication 1</v>
      </c>
      <c r="C261" s="11" t="str">
        <f>IFERROR(__xludf.DUMMYFUNCTION("""COMPUTED_VALUE"""),"247245")</f>
        <v>247245</v>
      </c>
      <c r="D261" s="11">
        <f>IFERROR(__xludf.DUMMYFUNCTION("""COMPUTED_VALUE"""),10.0)</f>
        <v>10</v>
      </c>
      <c r="E261" s="11">
        <f>IFERROR(VLOOKUP(B261,COURSE_PLAN!A:B,2,FALSE),"")</f>
        <v>10</v>
      </c>
      <c r="F261" s="11">
        <f t="shared" si="1"/>
        <v>1</v>
      </c>
      <c r="G261" s="11" t="str">
        <f>IFERROR(VLOOKUP(C261,STUDENTS!A:E,5,FALSE),"")</f>
        <v>Inactive</v>
      </c>
      <c r="H261" s="11" t="str">
        <f>IFERROR(VLOOKUP(C261,STUDENTS!A:M,13,FALSE),"")</f>
        <v>Discontinued mid-course</v>
      </c>
      <c r="I261" s="11" t="str">
        <f>IF(D261="","",IF(AND(VLOOKUP(C261,STUDENTS!$A:$R,17,FALSE)=A261,VLOOKUP(C261,STUDENTS!$A:$R,18,FALSE)=B261,G261="Active"),"Đang học",IF(F261&gt;=0.8,IF(G261="Active","Tiếp tục khóa sau",IF(G261="Waiting for class","Chờ lớp mới",IF(G261="Inactive",IF(IFERROR(H261,"")="Discontinued mid-course","Nghỉ giữa chừng","Hoàn thành rồi nghỉ luôn"),""))),IF(G261="Inactive","Nghỉ giữa chừng","Đang học"))))</f>
        <v>Nghỉ giữa chừng</v>
      </c>
    </row>
    <row r="262">
      <c r="A262" s="11" t="str">
        <f>IFERROR(__xludf.DUMMYFUNCTION("""COMPUTED_VALUE"""),"EL025")</f>
        <v>EL025</v>
      </c>
      <c r="B262" s="11" t="str">
        <f>IFERROR(__xludf.DUMMYFUNCTION("""COMPUTED_VALUE"""),"Communication 1")</f>
        <v>Communication 1</v>
      </c>
      <c r="C262" s="11" t="str">
        <f>IFERROR(__xludf.DUMMYFUNCTION("""COMPUTED_VALUE"""),"247378")</f>
        <v>247378</v>
      </c>
      <c r="D262" s="11">
        <f>IFERROR(__xludf.DUMMYFUNCTION("""COMPUTED_VALUE"""),10.0)</f>
        <v>10</v>
      </c>
      <c r="E262" s="11">
        <f>IFERROR(VLOOKUP(B262,COURSE_PLAN!A:B,2,FALSE),"")</f>
        <v>10</v>
      </c>
      <c r="F262" s="11">
        <f t="shared" si="1"/>
        <v>1</v>
      </c>
      <c r="G262" s="11" t="str">
        <f>IFERROR(VLOOKUP(C262,STUDENTS!A:E,5,FALSE),"")</f>
        <v>Inactive</v>
      </c>
      <c r="H262" s="11" t="str">
        <f>IFERROR(VLOOKUP(C262,STUDENTS!A:M,13,FALSE),"")</f>
        <v>Completed (no continuation)</v>
      </c>
      <c r="I262" s="11" t="str">
        <f>IF(D262="","",IF(AND(VLOOKUP(C262,STUDENTS!$A:$R,17,FALSE)=A262,VLOOKUP(C262,STUDENTS!$A:$R,18,FALSE)=B262,G262="Active"),"Đang học",IF(F262&gt;=0.8,IF(G262="Active","Tiếp tục khóa sau",IF(G262="Waiting for class","Chờ lớp mới",IF(G262="Inactive",IF(IFERROR(H262,"")="Discontinued mid-course","Nghỉ giữa chừng","Hoàn thành rồi nghỉ luôn"),""))),IF(G262="Inactive","Nghỉ giữa chừng","Đang học"))))</f>
        <v>Hoàn thành rồi nghỉ luôn</v>
      </c>
    </row>
    <row r="263">
      <c r="A263" s="11" t="str">
        <f>IFERROR(__xludf.DUMMYFUNCTION("""COMPUTED_VALUE"""),"EL025")</f>
        <v>EL025</v>
      </c>
      <c r="B263" s="11" t="str">
        <f>IFERROR(__xludf.DUMMYFUNCTION("""COMPUTED_VALUE"""),"Communication 2")</f>
        <v>Communication 2</v>
      </c>
      <c r="C263" s="11" t="str">
        <f>IFERROR(__xludf.DUMMYFUNCTION("""COMPUTED_VALUE"""),"203765")</f>
        <v>203765</v>
      </c>
      <c r="D263" s="11">
        <f>IFERROR(__xludf.DUMMYFUNCTION("""COMPUTED_VALUE"""),15.0)</f>
        <v>15</v>
      </c>
      <c r="E263" s="11">
        <f>IFERROR(VLOOKUP(B263,COURSE_PLAN!A:B,2,FALSE),"")</f>
        <v>16</v>
      </c>
      <c r="F263" s="11">
        <f t="shared" si="1"/>
        <v>0.9375</v>
      </c>
      <c r="G263" s="11" t="str">
        <f>IFERROR(VLOOKUP(C263,STUDENTS!A:E,5,FALSE),"")</f>
        <v>Waiting for class</v>
      </c>
      <c r="H263" s="11" t="str">
        <f>IFERROR(VLOOKUP(C263,STUDENTS!A:M,13,FALSE),"")</f>
        <v>Waiting for class</v>
      </c>
      <c r="I263" s="11" t="str">
        <f>IF(D263="","",IF(AND(VLOOKUP(C263,STUDENTS!$A:$R,17,FALSE)=A263,VLOOKUP(C263,STUDENTS!$A:$R,18,FALSE)=B263,G263="Active"),"Đang học",IF(F263&gt;=0.8,IF(G263="Active","Tiếp tục khóa sau",IF(G263="Waiting for class","Chờ lớp mới",IF(G263="Inactive",IF(IFERROR(H263,"")="Discontinued mid-course","Nghỉ giữa chừng","Hoàn thành rồi nghỉ luôn"),""))),IF(G263="Inactive","Nghỉ giữa chừng","Đang học"))))</f>
        <v>Chờ lớp mới</v>
      </c>
    </row>
    <row r="264">
      <c r="A264" s="11" t="str">
        <f>IFERROR(__xludf.DUMMYFUNCTION("""COMPUTED_VALUE"""),"EL025")</f>
        <v>EL025</v>
      </c>
      <c r="B264" s="11" t="str">
        <f>IFERROR(__xludf.DUMMYFUNCTION("""COMPUTED_VALUE"""),"Communication 2")</f>
        <v>Communication 2</v>
      </c>
      <c r="C264" s="11" t="str">
        <f>IFERROR(__xludf.DUMMYFUNCTION("""COMPUTED_VALUE"""),"213876")</f>
        <v>213876</v>
      </c>
      <c r="D264" s="11">
        <f>IFERROR(__xludf.DUMMYFUNCTION("""COMPUTED_VALUE"""),15.0)</f>
        <v>15</v>
      </c>
      <c r="E264" s="11">
        <f>IFERROR(VLOOKUP(B264,COURSE_PLAN!A:B,2,FALSE),"")</f>
        <v>16</v>
      </c>
      <c r="F264" s="11">
        <f t="shared" si="1"/>
        <v>0.9375</v>
      </c>
      <c r="G264" s="11" t="str">
        <f>IFERROR(VLOOKUP(C264,STUDENTS!A:E,5,FALSE),"")</f>
        <v>Waiting for class</v>
      </c>
      <c r="H264" s="11" t="str">
        <f>IFERROR(VLOOKUP(C264,STUDENTS!A:M,13,FALSE),"")</f>
        <v>Waiting for class</v>
      </c>
      <c r="I264" s="11" t="str">
        <f>IF(D264="","",IF(AND(VLOOKUP(C264,STUDENTS!$A:$R,17,FALSE)=A264,VLOOKUP(C264,STUDENTS!$A:$R,18,FALSE)=B264,G264="Active"),"Đang học",IF(F264&gt;=0.8,IF(G264="Active","Tiếp tục khóa sau",IF(G264="Waiting for class","Chờ lớp mới",IF(G264="Inactive",IF(IFERROR(H264,"")="Discontinued mid-course","Nghỉ giữa chừng","Hoàn thành rồi nghỉ luôn"),""))),IF(G264="Inactive","Nghỉ giữa chừng","Đang học"))))</f>
        <v>Chờ lớp mới</v>
      </c>
    </row>
    <row r="265">
      <c r="A265" s="11" t="str">
        <f>IFERROR(__xludf.DUMMYFUNCTION("""COMPUTED_VALUE"""),"EL025")</f>
        <v>EL025</v>
      </c>
      <c r="B265" s="11" t="str">
        <f>IFERROR(__xludf.DUMMYFUNCTION("""COMPUTED_VALUE"""),"Communication 2")</f>
        <v>Communication 2</v>
      </c>
      <c r="C265" s="11" t="str">
        <f>IFERROR(__xludf.DUMMYFUNCTION("""COMPUTED_VALUE"""),"213947")</f>
        <v>213947</v>
      </c>
      <c r="D265" s="11">
        <f>IFERROR(__xludf.DUMMYFUNCTION("""COMPUTED_VALUE"""),15.0)</f>
        <v>15</v>
      </c>
      <c r="E265" s="11">
        <f>IFERROR(VLOOKUP(B265,COURSE_PLAN!A:B,2,FALSE),"")</f>
        <v>16</v>
      </c>
      <c r="F265" s="11">
        <f t="shared" si="1"/>
        <v>0.9375</v>
      </c>
      <c r="G265" s="11" t="str">
        <f>IFERROR(VLOOKUP(C265,STUDENTS!A:E,5,FALSE),"")</f>
        <v>Waiting for class</v>
      </c>
      <c r="H265" s="11" t="str">
        <f>IFERROR(VLOOKUP(C265,STUDENTS!A:M,13,FALSE),"")</f>
        <v>Waiting for class</v>
      </c>
      <c r="I265" s="11" t="str">
        <f>IF(D265="","",IF(AND(VLOOKUP(C265,STUDENTS!$A:$R,17,FALSE)=A265,VLOOKUP(C265,STUDENTS!$A:$R,18,FALSE)=B265,G265="Active"),"Đang học",IF(F265&gt;=0.8,IF(G265="Active","Tiếp tục khóa sau",IF(G265="Waiting for class","Chờ lớp mới",IF(G265="Inactive",IF(IFERROR(H265,"")="Discontinued mid-course","Nghỉ giữa chừng","Hoàn thành rồi nghỉ luôn"),""))),IF(G265="Inactive","Nghỉ giữa chừng","Đang học"))))</f>
        <v>Chờ lớp mới</v>
      </c>
    </row>
    <row r="266">
      <c r="A266" s="11" t="str">
        <f>IFERROR(__xludf.DUMMYFUNCTION("""COMPUTED_VALUE"""),"EL025")</f>
        <v>EL025</v>
      </c>
      <c r="B266" s="11" t="str">
        <f>IFERROR(__xludf.DUMMYFUNCTION("""COMPUTED_VALUE"""),"Communication 2")</f>
        <v>Communication 2</v>
      </c>
      <c r="C266" s="11" t="str">
        <f>IFERROR(__xludf.DUMMYFUNCTION("""COMPUTED_VALUE"""),"247225")</f>
        <v>247225</v>
      </c>
      <c r="D266" s="11">
        <f>IFERROR(__xludf.DUMMYFUNCTION("""COMPUTED_VALUE"""),15.0)</f>
        <v>15</v>
      </c>
      <c r="E266" s="11">
        <f>IFERROR(VLOOKUP(B266,COURSE_PLAN!A:B,2,FALSE),"")</f>
        <v>16</v>
      </c>
      <c r="F266" s="11">
        <f t="shared" si="1"/>
        <v>0.9375</v>
      </c>
      <c r="G266" s="11" t="str">
        <f>IFERROR(VLOOKUP(C266,STUDENTS!A:E,5,FALSE),"")</f>
        <v>Waiting for class</v>
      </c>
      <c r="H266" s="11" t="str">
        <f>IFERROR(VLOOKUP(C266,STUDENTS!A:M,13,FALSE),"")</f>
        <v>Waiting for class</v>
      </c>
      <c r="I266" s="11" t="str">
        <f>IF(D266="","",IF(AND(VLOOKUP(C266,STUDENTS!$A:$R,17,FALSE)=A266,VLOOKUP(C266,STUDENTS!$A:$R,18,FALSE)=B266,G266="Active"),"Đang học",IF(F266&gt;=0.8,IF(G266="Active","Tiếp tục khóa sau",IF(G266="Waiting for class","Chờ lớp mới",IF(G266="Inactive",IF(IFERROR(H266,"")="Discontinued mid-course","Nghỉ giữa chừng","Hoàn thành rồi nghỉ luôn"),""))),IF(G266="Inactive","Nghỉ giữa chừng","Đang học"))))</f>
        <v>Chờ lớp mới</v>
      </c>
    </row>
    <row r="267">
      <c r="A267" s="11" t="str">
        <f>IFERROR(__xludf.DUMMYFUNCTION("""COMPUTED_VALUE"""),"EL025")</f>
        <v>EL025</v>
      </c>
      <c r="B267" s="11" t="str">
        <f>IFERROR(__xludf.DUMMYFUNCTION("""COMPUTED_VALUE"""),"Communication 2")</f>
        <v>Communication 2</v>
      </c>
      <c r="C267" s="11" t="str">
        <f>IFERROR(__xludf.DUMMYFUNCTION("""COMPUTED_VALUE"""),"247378")</f>
        <v>247378</v>
      </c>
      <c r="D267" s="11">
        <f>IFERROR(__xludf.DUMMYFUNCTION("""COMPUTED_VALUE"""),15.0)</f>
        <v>15</v>
      </c>
      <c r="E267" s="11">
        <f>IFERROR(VLOOKUP(B267,COURSE_PLAN!A:B,2,FALSE),"")</f>
        <v>16</v>
      </c>
      <c r="F267" s="11">
        <f t="shared" si="1"/>
        <v>0.9375</v>
      </c>
      <c r="G267" s="11" t="str">
        <f>IFERROR(VLOOKUP(C267,STUDENTS!A:E,5,FALSE),"")</f>
        <v>Inactive</v>
      </c>
      <c r="H267" s="11" t="str">
        <f>IFERROR(VLOOKUP(C267,STUDENTS!A:M,13,FALSE),"")</f>
        <v>Completed (no continuation)</v>
      </c>
      <c r="I267" s="11" t="str">
        <f>IF(D267="","",IF(AND(VLOOKUP(C267,STUDENTS!$A:$R,17,FALSE)=A267,VLOOKUP(C267,STUDENTS!$A:$R,18,FALSE)=B267,G267="Active"),"Đang học",IF(F267&gt;=0.8,IF(G267="Active","Tiếp tục khóa sau",IF(G267="Waiting for class","Chờ lớp mới",IF(G267="Inactive",IF(IFERROR(H267,"")="Discontinued mid-course","Nghỉ giữa chừng","Hoàn thành rồi nghỉ luôn"),""))),IF(G267="Inactive","Nghỉ giữa chừng","Đang học"))))</f>
        <v>Hoàn thành rồi nghỉ luôn</v>
      </c>
    </row>
    <row r="268">
      <c r="A268" s="11" t="str">
        <f>IFERROR(__xludf.DUMMYFUNCTION("""COMPUTED_VALUE"""),"EL026")</f>
        <v>EL026</v>
      </c>
      <c r="B268" s="11" t="str">
        <f>IFERROR(__xludf.DUMMYFUNCTION("""COMPUTED_VALUE"""),"Communication 1")</f>
        <v>Communication 1</v>
      </c>
      <c r="C268" s="11" t="str">
        <f>IFERROR(__xludf.DUMMYFUNCTION("""COMPUTED_VALUE"""),"227008")</f>
        <v>227008</v>
      </c>
      <c r="D268" s="11">
        <f>IFERROR(__xludf.DUMMYFUNCTION("""COMPUTED_VALUE"""),10.0)</f>
        <v>10</v>
      </c>
      <c r="E268" s="11">
        <f>IFERROR(VLOOKUP(B268,COURSE_PLAN!A:B,2,FALSE),"")</f>
        <v>10</v>
      </c>
      <c r="F268" s="11">
        <f t="shared" si="1"/>
        <v>1</v>
      </c>
      <c r="G268" s="11" t="str">
        <f>IFERROR(VLOOKUP(C268,STUDENTS!A:E,5,FALSE),"")</f>
        <v>Inactive</v>
      </c>
      <c r="H268" s="11" t="str">
        <f>IFERROR(VLOOKUP(C268,STUDENTS!A:M,13,FALSE),"")</f>
        <v>Discontinued mid-course</v>
      </c>
      <c r="I268" s="11" t="str">
        <f>IF(D268="","",IF(AND(VLOOKUP(C268,STUDENTS!$A:$R,17,FALSE)=A268,VLOOKUP(C268,STUDENTS!$A:$R,18,FALSE)=B268,G268="Active"),"Đang học",IF(F268&gt;=0.8,IF(G268="Active","Tiếp tục khóa sau",IF(G268="Waiting for class","Chờ lớp mới",IF(G268="Inactive",IF(IFERROR(H268,"")="Discontinued mid-course","Nghỉ giữa chừng","Hoàn thành rồi nghỉ luôn"),""))),IF(G268="Inactive","Nghỉ giữa chừng","Đang học"))))</f>
        <v>Nghỉ giữa chừng</v>
      </c>
    </row>
    <row r="269">
      <c r="A269" s="11" t="str">
        <f>IFERROR(__xludf.DUMMYFUNCTION("""COMPUTED_VALUE"""),"EL026")</f>
        <v>EL026</v>
      </c>
      <c r="B269" s="11" t="str">
        <f>IFERROR(__xludf.DUMMYFUNCTION("""COMPUTED_VALUE"""),"Communication 1")</f>
        <v>Communication 1</v>
      </c>
      <c r="C269" s="11" t="str">
        <f>IFERROR(__xludf.DUMMYFUNCTION("""COMPUTED_VALUE"""),"227069")</f>
        <v>227069</v>
      </c>
      <c r="D269" s="11">
        <f>IFERROR(__xludf.DUMMYFUNCTION("""COMPUTED_VALUE"""),10.0)</f>
        <v>10</v>
      </c>
      <c r="E269" s="11">
        <f>IFERROR(VLOOKUP(B269,COURSE_PLAN!A:B,2,FALSE),"")</f>
        <v>10</v>
      </c>
      <c r="F269" s="11">
        <f t="shared" si="1"/>
        <v>1</v>
      </c>
      <c r="G269" s="11" t="str">
        <f>IFERROR(VLOOKUP(C269,STUDENTS!A:E,5,FALSE),"")</f>
        <v>Inactive</v>
      </c>
      <c r="H269" s="11" t="str">
        <f>IFERROR(VLOOKUP(C269,STUDENTS!A:M,13,FALSE),"")</f>
        <v>Discontinued mid-course</v>
      </c>
      <c r="I269" s="11" t="str">
        <f>IF(D269="","",IF(AND(VLOOKUP(C269,STUDENTS!$A:$R,17,FALSE)=A269,VLOOKUP(C269,STUDENTS!$A:$R,18,FALSE)=B269,G269="Active"),"Đang học",IF(F269&gt;=0.8,IF(G269="Active","Tiếp tục khóa sau",IF(G269="Waiting for class","Chờ lớp mới",IF(G269="Inactive",IF(IFERROR(H269,"")="Discontinued mid-course","Nghỉ giữa chừng","Hoàn thành rồi nghỉ luôn"),""))),IF(G269="Inactive","Nghỉ giữa chừng","Đang học"))))</f>
        <v>Nghỉ giữa chừng</v>
      </c>
    </row>
    <row r="270">
      <c r="A270" s="11" t="str">
        <f>IFERROR(__xludf.DUMMYFUNCTION("""COMPUTED_VALUE"""),"EL026")</f>
        <v>EL026</v>
      </c>
      <c r="B270" s="11" t="str">
        <f>IFERROR(__xludf.DUMMYFUNCTION("""COMPUTED_VALUE"""),"Communication 1")</f>
        <v>Communication 1</v>
      </c>
      <c r="C270" s="11" t="str">
        <f>IFERROR(__xludf.DUMMYFUNCTION("""COMPUTED_VALUE"""),"227144")</f>
        <v>227144</v>
      </c>
      <c r="D270" s="11">
        <f>IFERROR(__xludf.DUMMYFUNCTION("""COMPUTED_VALUE"""),10.0)</f>
        <v>10</v>
      </c>
      <c r="E270" s="11">
        <f>IFERROR(VLOOKUP(B270,COURSE_PLAN!A:B,2,FALSE),"")</f>
        <v>10</v>
      </c>
      <c r="F270" s="11">
        <f t="shared" si="1"/>
        <v>1</v>
      </c>
      <c r="G270" s="11" t="str">
        <f>IFERROR(VLOOKUP(C270,STUDENTS!A:E,5,FALSE),"")</f>
        <v>Inactive</v>
      </c>
      <c r="H270" s="11" t="str">
        <f>IFERROR(VLOOKUP(C270,STUDENTS!A:M,13,FALSE),"")</f>
        <v>Discontinued mid-course</v>
      </c>
      <c r="I270" s="11" t="str">
        <f>IF(D270="","",IF(AND(VLOOKUP(C270,STUDENTS!$A:$R,17,FALSE)=A270,VLOOKUP(C270,STUDENTS!$A:$R,18,FALSE)=B270,G270="Active"),"Đang học",IF(F270&gt;=0.8,IF(G270="Active","Tiếp tục khóa sau",IF(G270="Waiting for class","Chờ lớp mới",IF(G270="Inactive",IF(IFERROR(H270,"")="Discontinued mid-course","Nghỉ giữa chừng","Hoàn thành rồi nghỉ luôn"),""))),IF(G270="Inactive","Nghỉ giữa chừng","Đang học"))))</f>
        <v>Nghỉ giữa chừng</v>
      </c>
    </row>
    <row r="271">
      <c r="A271" s="11" t="str">
        <f>IFERROR(__xludf.DUMMYFUNCTION("""COMPUTED_VALUE"""),"EL026")</f>
        <v>EL026</v>
      </c>
      <c r="B271" s="11" t="str">
        <f>IFERROR(__xludf.DUMMYFUNCTION("""COMPUTED_VALUE"""),"Communication 1")</f>
        <v>Communication 1</v>
      </c>
      <c r="C271" s="11" t="str">
        <f>IFERROR(__xludf.DUMMYFUNCTION("""COMPUTED_VALUE"""),"227188")</f>
        <v>227188</v>
      </c>
      <c r="D271" s="11">
        <f>IFERROR(__xludf.DUMMYFUNCTION("""COMPUTED_VALUE"""),10.0)</f>
        <v>10</v>
      </c>
      <c r="E271" s="11">
        <f>IFERROR(VLOOKUP(B271,COURSE_PLAN!A:B,2,FALSE),"")</f>
        <v>10</v>
      </c>
      <c r="F271" s="11">
        <f t="shared" si="1"/>
        <v>1</v>
      </c>
      <c r="G271" s="11" t="str">
        <f>IFERROR(VLOOKUP(C271,STUDENTS!A:E,5,FALSE),"")</f>
        <v>Inactive</v>
      </c>
      <c r="H271" s="11" t="str">
        <f>IFERROR(VLOOKUP(C271,STUDENTS!A:M,13,FALSE),"")</f>
        <v>Discontinued mid-course</v>
      </c>
      <c r="I271" s="11" t="str">
        <f>IF(D271="","",IF(AND(VLOOKUP(C271,STUDENTS!$A:$R,17,FALSE)=A271,VLOOKUP(C271,STUDENTS!$A:$R,18,FALSE)=B271,G271="Active"),"Đang học",IF(F271&gt;=0.8,IF(G271="Active","Tiếp tục khóa sau",IF(G271="Waiting for class","Chờ lớp mới",IF(G271="Inactive",IF(IFERROR(H271,"")="Discontinued mid-course","Nghỉ giữa chừng","Hoàn thành rồi nghỉ luôn"),""))),IF(G271="Inactive","Nghỉ giữa chừng","Đang học"))))</f>
        <v>Nghỉ giữa chừng</v>
      </c>
    </row>
    <row r="272">
      <c r="A272" s="11" t="str">
        <f>IFERROR(__xludf.DUMMYFUNCTION("""COMPUTED_VALUE"""),"EL026")</f>
        <v>EL026</v>
      </c>
      <c r="B272" s="11" t="str">
        <f>IFERROR(__xludf.DUMMYFUNCTION("""COMPUTED_VALUE"""),"Communication 1")</f>
        <v>Communication 1</v>
      </c>
      <c r="C272" s="11" t="str">
        <f>IFERROR(__xludf.DUMMYFUNCTION("""COMPUTED_VALUE"""),"237061")</f>
        <v>237061</v>
      </c>
      <c r="D272" s="11">
        <f>IFERROR(__xludf.DUMMYFUNCTION("""COMPUTED_VALUE"""),10.0)</f>
        <v>10</v>
      </c>
      <c r="E272" s="11">
        <f>IFERROR(VLOOKUP(B272,COURSE_PLAN!A:B,2,FALSE),"")</f>
        <v>10</v>
      </c>
      <c r="F272" s="11">
        <f t="shared" si="1"/>
        <v>1</v>
      </c>
      <c r="G272" s="11" t="str">
        <f>IFERROR(VLOOKUP(C272,STUDENTS!A:E,5,FALSE),"")</f>
        <v>Inactive</v>
      </c>
      <c r="H272" s="11" t="str">
        <f>IFERROR(VLOOKUP(C272,STUDENTS!A:M,13,FALSE),"")</f>
        <v>Discontinued mid-course</v>
      </c>
      <c r="I272" s="11" t="str">
        <f>IF(D272="","",IF(AND(VLOOKUP(C272,STUDENTS!$A:$R,17,FALSE)=A272,VLOOKUP(C272,STUDENTS!$A:$R,18,FALSE)=B272,G272="Active"),"Đang học",IF(F272&gt;=0.8,IF(G272="Active","Tiếp tục khóa sau",IF(G272="Waiting for class","Chờ lớp mới",IF(G272="Inactive",IF(IFERROR(H272,"")="Discontinued mid-course","Nghỉ giữa chừng","Hoàn thành rồi nghỉ luôn"),""))),IF(G272="Inactive","Nghỉ giữa chừng","Đang học"))))</f>
        <v>Nghỉ giữa chừng</v>
      </c>
    </row>
    <row r="273">
      <c r="A273" s="11" t="str">
        <f>IFERROR(__xludf.DUMMYFUNCTION("""COMPUTED_VALUE"""),"EL026")</f>
        <v>EL026</v>
      </c>
      <c r="B273" s="11" t="str">
        <f>IFERROR(__xludf.DUMMYFUNCTION("""COMPUTED_VALUE"""),"Communication 1")</f>
        <v>Communication 1</v>
      </c>
      <c r="C273" s="11" t="str">
        <f>IFERROR(__xludf.DUMMYFUNCTION("""COMPUTED_VALUE"""),"237245")</f>
        <v>237245</v>
      </c>
      <c r="D273" s="11">
        <f>IFERROR(__xludf.DUMMYFUNCTION("""COMPUTED_VALUE"""),10.0)</f>
        <v>10</v>
      </c>
      <c r="E273" s="11">
        <f>IFERROR(VLOOKUP(B273,COURSE_PLAN!A:B,2,FALSE),"")</f>
        <v>10</v>
      </c>
      <c r="F273" s="11">
        <f t="shared" si="1"/>
        <v>1</v>
      </c>
      <c r="G273" s="11" t="str">
        <f>IFERROR(VLOOKUP(C273,STUDENTS!A:E,5,FALSE),"")</f>
        <v>Inactive</v>
      </c>
      <c r="H273" s="11" t="str">
        <f>IFERROR(VLOOKUP(C273,STUDENTS!A:M,13,FALSE),"")</f>
        <v>Discontinued mid-course</v>
      </c>
      <c r="I273" s="11" t="str">
        <f>IF(D273="","",IF(AND(VLOOKUP(C273,STUDENTS!$A:$R,17,FALSE)=A273,VLOOKUP(C273,STUDENTS!$A:$R,18,FALSE)=B273,G273="Active"),"Đang học",IF(F273&gt;=0.8,IF(G273="Active","Tiếp tục khóa sau",IF(G273="Waiting for class","Chờ lớp mới",IF(G273="Inactive",IF(IFERROR(H273,"")="Discontinued mid-course","Nghỉ giữa chừng","Hoàn thành rồi nghỉ luôn"),""))),IF(G273="Inactive","Nghỉ giữa chừng","Đang học"))))</f>
        <v>Nghỉ giữa chừng</v>
      </c>
    </row>
    <row r="274">
      <c r="A274" s="11" t="str">
        <f>IFERROR(__xludf.DUMMYFUNCTION("""COMPUTED_VALUE"""),"EL026")</f>
        <v>EL026</v>
      </c>
      <c r="B274" s="11" t="str">
        <f>IFERROR(__xludf.DUMMYFUNCTION("""COMPUTED_VALUE"""),"Communication 1")</f>
        <v>Communication 1</v>
      </c>
      <c r="C274" s="11" t="str">
        <f>IFERROR(__xludf.DUMMYFUNCTION("""COMPUTED_VALUE"""),"237246")</f>
        <v>237246</v>
      </c>
      <c r="D274" s="11">
        <f>IFERROR(__xludf.DUMMYFUNCTION("""COMPUTED_VALUE"""),10.0)</f>
        <v>10</v>
      </c>
      <c r="E274" s="11">
        <f>IFERROR(VLOOKUP(B274,COURSE_PLAN!A:B,2,FALSE),"")</f>
        <v>10</v>
      </c>
      <c r="F274" s="11">
        <f t="shared" si="1"/>
        <v>1</v>
      </c>
      <c r="G274" s="11" t="str">
        <f>IFERROR(VLOOKUP(C274,STUDENTS!A:E,5,FALSE),"")</f>
        <v>Inactive</v>
      </c>
      <c r="H274" s="11" t="str">
        <f>IFERROR(VLOOKUP(C274,STUDENTS!A:M,13,FALSE),"")</f>
        <v>Discontinued mid-course</v>
      </c>
      <c r="I274" s="11" t="str">
        <f>IF(D274="","",IF(AND(VLOOKUP(C274,STUDENTS!$A:$R,17,FALSE)=A274,VLOOKUP(C274,STUDENTS!$A:$R,18,FALSE)=B274,G274="Active"),"Đang học",IF(F274&gt;=0.8,IF(G274="Active","Tiếp tục khóa sau",IF(G274="Waiting for class","Chờ lớp mới",IF(G274="Inactive",IF(IFERROR(H274,"")="Discontinued mid-course","Nghỉ giữa chừng","Hoàn thành rồi nghỉ luôn"),""))),IF(G274="Inactive","Nghỉ giữa chừng","Đang học"))))</f>
        <v>Nghỉ giữa chừng</v>
      </c>
    </row>
    <row r="275">
      <c r="A275" s="11" t="str">
        <f>IFERROR(__xludf.DUMMYFUNCTION("""COMPUTED_VALUE"""),"EL026")</f>
        <v>EL026</v>
      </c>
      <c r="B275" s="11" t="str">
        <f>IFERROR(__xludf.DUMMYFUNCTION("""COMPUTED_VALUE"""),"Communication 1")</f>
        <v>Communication 1</v>
      </c>
      <c r="C275" s="11" t="str">
        <f>IFERROR(__xludf.DUMMYFUNCTION("""COMPUTED_VALUE"""),"247359")</f>
        <v>247359</v>
      </c>
      <c r="D275" s="11">
        <f>IFERROR(__xludf.DUMMYFUNCTION("""COMPUTED_VALUE"""),10.0)</f>
        <v>10</v>
      </c>
      <c r="E275" s="11">
        <f>IFERROR(VLOOKUP(B275,COURSE_PLAN!A:B,2,FALSE),"")</f>
        <v>10</v>
      </c>
      <c r="F275" s="11">
        <f t="shared" si="1"/>
        <v>1</v>
      </c>
      <c r="G275" s="11" t="str">
        <f>IFERROR(VLOOKUP(C275,STUDENTS!A:E,5,FALSE),"")</f>
        <v>Inactive</v>
      </c>
      <c r="H275" s="11" t="str">
        <f>IFERROR(VLOOKUP(C275,STUDENTS!A:M,13,FALSE),"")</f>
        <v>Discontinued mid-course</v>
      </c>
      <c r="I275" s="11" t="str">
        <f>IF(D275="","",IF(AND(VLOOKUP(C275,STUDENTS!$A:$R,17,FALSE)=A275,VLOOKUP(C275,STUDENTS!$A:$R,18,FALSE)=B275,G275="Active"),"Đang học",IF(F275&gt;=0.8,IF(G275="Active","Tiếp tục khóa sau",IF(G275="Waiting for class","Chờ lớp mới",IF(G275="Inactive",IF(IFERROR(H275,"")="Discontinued mid-course","Nghỉ giữa chừng","Hoàn thành rồi nghỉ luôn"),""))),IF(G275="Inactive","Nghỉ giữa chừng","Đang học"))))</f>
        <v>Nghỉ giữa chừng</v>
      </c>
    </row>
    <row r="276">
      <c r="A276" s="11" t="str">
        <f>IFERROR(__xludf.DUMMYFUNCTION("""COMPUTED_VALUE"""),"EL026")</f>
        <v>EL026</v>
      </c>
      <c r="B276" s="11" t="str">
        <f>IFERROR(__xludf.DUMMYFUNCTION("""COMPUTED_VALUE"""),"Communication 2")</f>
        <v>Communication 2</v>
      </c>
      <c r="C276" s="11" t="str">
        <f>IFERROR(__xludf.DUMMYFUNCTION("""COMPUTED_VALUE"""),"227069")</f>
        <v>227069</v>
      </c>
      <c r="D276" s="11">
        <f>IFERROR(__xludf.DUMMYFUNCTION("""COMPUTED_VALUE"""),11.0)</f>
        <v>11</v>
      </c>
      <c r="E276" s="11">
        <f>IFERROR(VLOOKUP(B276,COURSE_PLAN!A:B,2,FALSE),"")</f>
        <v>16</v>
      </c>
      <c r="F276" s="11">
        <f t="shared" si="1"/>
        <v>0.6875</v>
      </c>
      <c r="G276" s="11" t="str">
        <f>IFERROR(VLOOKUP(C276,STUDENTS!A:E,5,FALSE),"")</f>
        <v>Inactive</v>
      </c>
      <c r="H276" s="11" t="str">
        <f>IFERROR(VLOOKUP(C276,STUDENTS!A:M,13,FALSE),"")</f>
        <v>Discontinued mid-course</v>
      </c>
      <c r="I276" s="11" t="str">
        <f>IF(D276="","",IF(AND(VLOOKUP(C276,STUDENTS!$A:$R,17,FALSE)=A276,VLOOKUP(C276,STUDENTS!$A:$R,18,FALSE)=B276,G276="Active"),"Đang học",IF(F276&gt;=0.8,IF(G276="Active","Tiếp tục khóa sau",IF(G276="Waiting for class","Chờ lớp mới",IF(G276="Inactive",IF(IFERROR(H276,"")="Discontinued mid-course","Nghỉ giữa chừng","Hoàn thành rồi nghỉ luôn"),""))),IF(G276="Inactive","Nghỉ giữa chừng","Đang học"))))</f>
        <v>Nghỉ giữa chừng</v>
      </c>
    </row>
    <row r="277">
      <c r="A277" s="11" t="str">
        <f>IFERROR(__xludf.DUMMYFUNCTION("""COMPUTED_VALUE"""),"EL026")</f>
        <v>EL026</v>
      </c>
      <c r="B277" s="11" t="str">
        <f>IFERROR(__xludf.DUMMYFUNCTION("""COMPUTED_VALUE"""),"Communication 2")</f>
        <v>Communication 2</v>
      </c>
      <c r="C277" s="11" t="str">
        <f>IFERROR(__xludf.DUMMYFUNCTION("""COMPUTED_VALUE"""),"227144")</f>
        <v>227144</v>
      </c>
      <c r="D277" s="11">
        <f>IFERROR(__xludf.DUMMYFUNCTION("""COMPUTED_VALUE"""),11.0)</f>
        <v>11</v>
      </c>
      <c r="E277" s="11">
        <f>IFERROR(VLOOKUP(B277,COURSE_PLAN!A:B,2,FALSE),"")</f>
        <v>16</v>
      </c>
      <c r="F277" s="11">
        <f t="shared" si="1"/>
        <v>0.6875</v>
      </c>
      <c r="G277" s="11" t="str">
        <f>IFERROR(VLOOKUP(C277,STUDENTS!A:E,5,FALSE),"")</f>
        <v>Inactive</v>
      </c>
      <c r="H277" s="11" t="str">
        <f>IFERROR(VLOOKUP(C277,STUDENTS!A:M,13,FALSE),"")</f>
        <v>Discontinued mid-course</v>
      </c>
      <c r="I277" s="11" t="str">
        <f>IF(D277="","",IF(AND(VLOOKUP(C277,STUDENTS!$A:$R,17,FALSE)=A277,VLOOKUP(C277,STUDENTS!$A:$R,18,FALSE)=B277,G277="Active"),"Đang học",IF(F277&gt;=0.8,IF(G277="Active","Tiếp tục khóa sau",IF(G277="Waiting for class","Chờ lớp mới",IF(G277="Inactive",IF(IFERROR(H277,"")="Discontinued mid-course","Nghỉ giữa chừng","Hoàn thành rồi nghỉ luôn"),""))),IF(G277="Inactive","Nghỉ giữa chừng","Đang học"))))</f>
        <v>Nghỉ giữa chừng</v>
      </c>
    </row>
    <row r="278">
      <c r="A278" s="11" t="str">
        <f>IFERROR(__xludf.DUMMYFUNCTION("""COMPUTED_VALUE"""),"EL026")</f>
        <v>EL026</v>
      </c>
      <c r="B278" s="11" t="str">
        <f>IFERROR(__xludf.DUMMYFUNCTION("""COMPUTED_VALUE"""),"Communication 2")</f>
        <v>Communication 2</v>
      </c>
      <c r="C278" s="11" t="str">
        <f>IFERROR(__xludf.DUMMYFUNCTION("""COMPUTED_VALUE"""),"237043")</f>
        <v>237043</v>
      </c>
      <c r="D278" s="11">
        <f>IFERROR(__xludf.DUMMYFUNCTION("""COMPUTED_VALUE"""),11.0)</f>
        <v>11</v>
      </c>
      <c r="E278" s="11">
        <f>IFERROR(VLOOKUP(B278,COURSE_PLAN!A:B,2,FALSE),"")</f>
        <v>16</v>
      </c>
      <c r="F278" s="11">
        <f t="shared" si="1"/>
        <v>0.6875</v>
      </c>
      <c r="G278" s="11" t="str">
        <f>IFERROR(VLOOKUP(C278,STUDENTS!A:E,5,FALSE),"")</f>
        <v>Inactive</v>
      </c>
      <c r="H278" s="11" t="str">
        <f>IFERROR(VLOOKUP(C278,STUDENTS!A:M,13,FALSE),"")</f>
        <v>Discontinued mid-course</v>
      </c>
      <c r="I278" s="11" t="str">
        <f>IF(D278="","",IF(AND(VLOOKUP(C278,STUDENTS!$A:$R,17,FALSE)=A278,VLOOKUP(C278,STUDENTS!$A:$R,18,FALSE)=B278,G278="Active"),"Đang học",IF(F278&gt;=0.8,IF(G278="Active","Tiếp tục khóa sau",IF(G278="Waiting for class","Chờ lớp mới",IF(G278="Inactive",IF(IFERROR(H278,"")="Discontinued mid-course","Nghỉ giữa chừng","Hoàn thành rồi nghỉ luôn"),""))),IF(G278="Inactive","Nghỉ giữa chừng","Đang học"))))</f>
        <v>Nghỉ giữa chừng</v>
      </c>
    </row>
    <row r="279">
      <c r="A279" s="11" t="str">
        <f>IFERROR(__xludf.DUMMYFUNCTION("""COMPUTED_VALUE"""),"EL026")</f>
        <v>EL026</v>
      </c>
      <c r="B279" s="11" t="str">
        <f>IFERROR(__xludf.DUMMYFUNCTION("""COMPUTED_VALUE"""),"Communication 2")</f>
        <v>Communication 2</v>
      </c>
      <c r="C279" s="11" t="str">
        <f>IFERROR(__xludf.DUMMYFUNCTION("""COMPUTED_VALUE"""),"237246")</f>
        <v>237246</v>
      </c>
      <c r="D279" s="11">
        <f>IFERROR(__xludf.DUMMYFUNCTION("""COMPUTED_VALUE"""),11.0)</f>
        <v>11</v>
      </c>
      <c r="E279" s="11">
        <f>IFERROR(VLOOKUP(B279,COURSE_PLAN!A:B,2,FALSE),"")</f>
        <v>16</v>
      </c>
      <c r="F279" s="11">
        <f t="shared" si="1"/>
        <v>0.6875</v>
      </c>
      <c r="G279" s="11" t="str">
        <f>IFERROR(VLOOKUP(C279,STUDENTS!A:E,5,FALSE),"")</f>
        <v>Inactive</v>
      </c>
      <c r="H279" s="11" t="str">
        <f>IFERROR(VLOOKUP(C279,STUDENTS!A:M,13,FALSE),"")</f>
        <v>Discontinued mid-course</v>
      </c>
      <c r="I279" s="11" t="str">
        <f>IF(D279="","",IF(AND(VLOOKUP(C279,STUDENTS!$A:$R,17,FALSE)=A279,VLOOKUP(C279,STUDENTS!$A:$R,18,FALSE)=B279,G279="Active"),"Đang học",IF(F279&gt;=0.8,IF(G279="Active","Tiếp tục khóa sau",IF(G279="Waiting for class","Chờ lớp mới",IF(G279="Inactive",IF(IFERROR(H279,"")="Discontinued mid-course","Nghỉ giữa chừng","Hoàn thành rồi nghỉ luôn"),""))),IF(G279="Inactive","Nghỉ giữa chừng","Đang học"))))</f>
        <v>Nghỉ giữa chừng</v>
      </c>
    </row>
    <row r="280">
      <c r="A280" s="11" t="str">
        <f>IFERROR(__xludf.DUMMYFUNCTION("""COMPUTED_VALUE"""),"EL026")</f>
        <v>EL026</v>
      </c>
      <c r="B280" s="11" t="str">
        <f>IFERROR(__xludf.DUMMYFUNCTION("""COMPUTED_VALUE"""),"Communication 2")</f>
        <v>Communication 2</v>
      </c>
      <c r="C280" s="11" t="str">
        <f>IFERROR(__xludf.DUMMYFUNCTION("""COMPUTED_VALUE"""),"247298")</f>
        <v>247298</v>
      </c>
      <c r="D280" s="11">
        <f>IFERROR(__xludf.DUMMYFUNCTION("""COMPUTED_VALUE"""),11.0)</f>
        <v>11</v>
      </c>
      <c r="E280" s="11">
        <f>IFERROR(VLOOKUP(B280,COURSE_PLAN!A:B,2,FALSE),"")</f>
        <v>16</v>
      </c>
      <c r="F280" s="11">
        <f t="shared" si="1"/>
        <v>0.6875</v>
      </c>
      <c r="G280" s="11" t="str">
        <f>IFERROR(VLOOKUP(C280,STUDENTS!A:E,5,FALSE),"")</f>
        <v>Inactive</v>
      </c>
      <c r="H280" s="11" t="str">
        <f>IFERROR(VLOOKUP(C280,STUDENTS!A:M,13,FALSE),"")</f>
        <v>Discontinued mid-course</v>
      </c>
      <c r="I280" s="11" t="str">
        <f>IF(D280="","",IF(AND(VLOOKUP(C280,STUDENTS!$A:$R,17,FALSE)=A280,VLOOKUP(C280,STUDENTS!$A:$R,18,FALSE)=B280,G280="Active"),"Đang học",IF(F280&gt;=0.8,IF(G280="Active","Tiếp tục khóa sau",IF(G280="Waiting for class","Chờ lớp mới",IF(G280="Inactive",IF(IFERROR(H280,"")="Discontinued mid-course","Nghỉ giữa chừng","Hoàn thành rồi nghỉ luôn"),""))),IF(G280="Inactive","Nghỉ giữa chừng","Đang học"))))</f>
        <v>Nghỉ giữa chừng</v>
      </c>
    </row>
    <row r="281">
      <c r="A281" s="11" t="str">
        <f>IFERROR(__xludf.DUMMYFUNCTION("""COMPUTED_VALUE"""),"EL026")</f>
        <v>EL026</v>
      </c>
      <c r="B281" s="11" t="str">
        <f>IFERROR(__xludf.DUMMYFUNCTION("""COMPUTED_VALUE"""),"Communication 2")</f>
        <v>Communication 2</v>
      </c>
      <c r="C281" s="11" t="str">
        <f>IFERROR(__xludf.DUMMYFUNCTION("""COMPUTED_VALUE"""),"247359")</f>
        <v>247359</v>
      </c>
      <c r="D281" s="11">
        <f>IFERROR(__xludf.DUMMYFUNCTION("""COMPUTED_VALUE"""),11.0)</f>
        <v>11</v>
      </c>
      <c r="E281" s="11">
        <f>IFERROR(VLOOKUP(B281,COURSE_PLAN!A:B,2,FALSE),"")</f>
        <v>16</v>
      </c>
      <c r="F281" s="11">
        <f t="shared" si="1"/>
        <v>0.6875</v>
      </c>
      <c r="G281" s="11" t="str">
        <f>IFERROR(VLOOKUP(C281,STUDENTS!A:E,5,FALSE),"")</f>
        <v>Inactive</v>
      </c>
      <c r="H281" s="11" t="str">
        <f>IFERROR(VLOOKUP(C281,STUDENTS!A:M,13,FALSE),"")</f>
        <v>Discontinued mid-course</v>
      </c>
      <c r="I281" s="11" t="str">
        <f>IF(D281="","",IF(AND(VLOOKUP(C281,STUDENTS!$A:$R,17,FALSE)=A281,VLOOKUP(C281,STUDENTS!$A:$R,18,FALSE)=B281,G281="Active"),"Đang học",IF(F281&gt;=0.8,IF(G281="Active","Tiếp tục khóa sau",IF(G281="Waiting for class","Chờ lớp mới",IF(G281="Inactive",IF(IFERROR(H281,"")="Discontinued mid-course","Nghỉ giữa chừng","Hoàn thành rồi nghỉ luôn"),""))),IF(G281="Inactive","Nghỉ giữa chừng","Đang học"))))</f>
        <v>Nghỉ giữa chừng</v>
      </c>
    </row>
    <row r="282">
      <c r="A282" s="11" t="str">
        <f>IFERROR(__xludf.DUMMYFUNCTION("""COMPUTED_VALUE"""),"EL026")</f>
        <v>EL026</v>
      </c>
      <c r="B282" s="11" t="str">
        <f>IFERROR(__xludf.DUMMYFUNCTION("""COMPUTED_VALUE"""),"Communication 2")</f>
        <v>Communication 2</v>
      </c>
      <c r="C282" s="11" t="str">
        <f>IFERROR(__xludf.DUMMYFUNCTION("""COMPUTED_VALUE"""),"247405")</f>
        <v>247405</v>
      </c>
      <c r="D282" s="11">
        <f>IFERROR(__xludf.DUMMYFUNCTION("""COMPUTED_VALUE"""),11.0)</f>
        <v>11</v>
      </c>
      <c r="E282" s="11">
        <f>IFERROR(VLOOKUP(B282,COURSE_PLAN!A:B,2,FALSE),"")</f>
        <v>16</v>
      </c>
      <c r="F282" s="11">
        <f t="shared" si="1"/>
        <v>0.6875</v>
      </c>
      <c r="G282" s="11" t="str">
        <f>IFERROR(VLOOKUP(C282,STUDENTS!A:E,5,FALSE),"")</f>
        <v>Inactive</v>
      </c>
      <c r="H282" s="11" t="str">
        <f>IFERROR(VLOOKUP(C282,STUDENTS!A:M,13,FALSE),"")</f>
        <v>Completed (no continuation)</v>
      </c>
      <c r="I282" s="11" t="str">
        <f>IF(D282="","",IF(AND(VLOOKUP(C282,STUDENTS!$A:$R,17,FALSE)=A282,VLOOKUP(C282,STUDENTS!$A:$R,18,FALSE)=B282,G282="Active"),"Đang học",IF(F282&gt;=0.8,IF(G282="Active","Tiếp tục khóa sau",IF(G282="Waiting for class","Chờ lớp mới",IF(G282="Inactive",IF(IFERROR(H282,"")="Discontinued mid-course","Nghỉ giữa chừng","Hoàn thành rồi nghỉ luôn"),""))),IF(G282="Inactive","Nghỉ giữa chừng","Đang học"))))</f>
        <v>Nghỉ giữa chừng</v>
      </c>
    </row>
    <row r="283">
      <c r="A283" s="11" t="str">
        <f>IFERROR(__xludf.DUMMYFUNCTION("""COMPUTED_VALUE"""),"EL027")</f>
        <v>EL027</v>
      </c>
      <c r="B283" s="11" t="str">
        <f>IFERROR(__xludf.DUMMYFUNCTION("""COMPUTED_VALUE"""),"Communication 1")</f>
        <v>Communication 1</v>
      </c>
      <c r="C283" s="11" t="str">
        <f>IFERROR(__xludf.DUMMYFUNCTION("""COMPUTED_VALUE"""),"143084")</f>
        <v>143084</v>
      </c>
      <c r="D283" s="11">
        <f>IFERROR(__xludf.DUMMYFUNCTION("""COMPUTED_VALUE"""),10.0)</f>
        <v>10</v>
      </c>
      <c r="E283" s="11">
        <f>IFERROR(VLOOKUP(B283,COURSE_PLAN!A:B,2,FALSE),"")</f>
        <v>10</v>
      </c>
      <c r="F283" s="11">
        <f t="shared" si="1"/>
        <v>1</v>
      </c>
      <c r="G283" s="11" t="str">
        <f>IFERROR(VLOOKUP(C283,STUDENTS!A:E,5,FALSE),"")</f>
        <v>Inactive</v>
      </c>
      <c r="H283" s="11" t="str">
        <f>IFERROR(VLOOKUP(C283,STUDENTS!A:M,13,FALSE),"")</f>
        <v>Discontinued mid-course</v>
      </c>
      <c r="I283" s="11" t="str">
        <f>IF(D283="","",IF(AND(VLOOKUP(C283,STUDENTS!$A:$R,17,FALSE)=A283,VLOOKUP(C283,STUDENTS!$A:$R,18,FALSE)=B283,G283="Active"),"Đang học",IF(F283&gt;=0.8,IF(G283="Active","Tiếp tục khóa sau",IF(G283="Waiting for class","Chờ lớp mới",IF(G283="Inactive",IF(IFERROR(H283,"")="Discontinued mid-course","Nghỉ giữa chừng","Hoàn thành rồi nghỉ luôn"),""))),IF(G283="Inactive","Nghỉ giữa chừng","Đang học"))))</f>
        <v>Nghỉ giữa chừng</v>
      </c>
    </row>
    <row r="284">
      <c r="A284" s="11" t="str">
        <f>IFERROR(__xludf.DUMMYFUNCTION("""COMPUTED_VALUE"""),"EL027")</f>
        <v>EL027</v>
      </c>
      <c r="B284" s="11" t="str">
        <f>IFERROR(__xludf.DUMMYFUNCTION("""COMPUTED_VALUE"""),"Communication 1")</f>
        <v>Communication 1</v>
      </c>
      <c r="C284" s="11" t="str">
        <f>IFERROR(__xludf.DUMMYFUNCTION("""COMPUTED_VALUE"""),"193584")</f>
        <v>193584</v>
      </c>
      <c r="D284" s="11">
        <f>IFERROR(__xludf.DUMMYFUNCTION("""COMPUTED_VALUE"""),10.0)</f>
        <v>10</v>
      </c>
      <c r="E284" s="11">
        <f>IFERROR(VLOOKUP(B284,COURSE_PLAN!A:B,2,FALSE),"")</f>
        <v>10</v>
      </c>
      <c r="F284" s="11">
        <f t="shared" si="1"/>
        <v>1</v>
      </c>
      <c r="G284" s="11" t="str">
        <f>IFERROR(VLOOKUP(C284,STUDENTS!A:E,5,FALSE),"")</f>
        <v>Active</v>
      </c>
      <c r="H284" s="11" t="str">
        <f>IFERROR(VLOOKUP(C284,STUDENTS!A:M,13,FALSE),"")</f>
        <v/>
      </c>
      <c r="I284" s="11" t="str">
        <f>IF(D284="","",IF(AND(VLOOKUP(C284,STUDENTS!$A:$R,17,FALSE)=A284,VLOOKUP(C284,STUDENTS!$A:$R,18,FALSE)=B284,G284="Active"),"Đang học",IF(F284&gt;=0.8,IF(G284="Active","Tiếp tục khóa sau",IF(G284="Waiting for class","Chờ lớp mới",IF(G284="Inactive",IF(IFERROR(H284,"")="Discontinued mid-course","Nghỉ giữa chừng","Hoàn thành rồi nghỉ luôn"),""))),IF(G284="Inactive","Nghỉ giữa chừng","Đang học"))))</f>
        <v>Tiếp tục khóa sau</v>
      </c>
    </row>
    <row r="285">
      <c r="A285" s="11" t="str">
        <f>IFERROR(__xludf.DUMMYFUNCTION("""COMPUTED_VALUE"""),"EL027")</f>
        <v>EL027</v>
      </c>
      <c r="B285" s="11" t="str">
        <f>IFERROR(__xludf.DUMMYFUNCTION("""COMPUTED_VALUE"""),"Communication 1")</f>
        <v>Communication 1</v>
      </c>
      <c r="C285" s="11" t="str">
        <f>IFERROR(__xludf.DUMMYFUNCTION("""COMPUTED_VALUE"""),"213929")</f>
        <v>213929</v>
      </c>
      <c r="D285" s="11">
        <f>IFERROR(__xludf.DUMMYFUNCTION("""COMPUTED_VALUE"""),10.0)</f>
        <v>10</v>
      </c>
      <c r="E285" s="11">
        <f>IFERROR(VLOOKUP(B285,COURSE_PLAN!A:B,2,FALSE),"")</f>
        <v>10</v>
      </c>
      <c r="F285" s="11">
        <f t="shared" si="1"/>
        <v>1</v>
      </c>
      <c r="G285" s="11" t="str">
        <f>IFERROR(VLOOKUP(C285,STUDENTS!A:E,5,FALSE),"")</f>
        <v>Inactive</v>
      </c>
      <c r="H285" s="11" t="str">
        <f>IFERROR(VLOOKUP(C285,STUDENTS!A:M,13,FALSE),"")</f>
        <v>Discontinued mid-course</v>
      </c>
      <c r="I285" s="11" t="str">
        <f>IF(D285="","",IF(AND(VLOOKUP(C285,STUDENTS!$A:$R,17,FALSE)=A285,VLOOKUP(C285,STUDENTS!$A:$R,18,FALSE)=B285,G285="Active"),"Đang học",IF(F285&gt;=0.8,IF(G285="Active","Tiếp tục khóa sau",IF(G285="Waiting for class","Chờ lớp mới",IF(G285="Inactive",IF(IFERROR(H285,"")="Discontinued mid-course","Nghỉ giữa chừng","Hoàn thành rồi nghỉ luôn"),""))),IF(G285="Inactive","Nghỉ giữa chừng","Đang học"))))</f>
        <v>Nghỉ giữa chừng</v>
      </c>
    </row>
    <row r="286">
      <c r="A286" s="11" t="str">
        <f>IFERROR(__xludf.DUMMYFUNCTION("""COMPUTED_VALUE"""),"EL027")</f>
        <v>EL027</v>
      </c>
      <c r="B286" s="11" t="str">
        <f>IFERROR(__xludf.DUMMYFUNCTION("""COMPUTED_VALUE"""),"Communication 1")</f>
        <v>Communication 1</v>
      </c>
      <c r="C286" s="11" t="str">
        <f>IFERROR(__xludf.DUMMYFUNCTION("""COMPUTED_VALUE"""),"227058")</f>
        <v>227058</v>
      </c>
      <c r="D286" s="11">
        <f>IFERROR(__xludf.DUMMYFUNCTION("""COMPUTED_VALUE"""),10.0)</f>
        <v>10</v>
      </c>
      <c r="E286" s="11">
        <f>IFERROR(VLOOKUP(B286,COURSE_PLAN!A:B,2,FALSE),"")</f>
        <v>10</v>
      </c>
      <c r="F286" s="11">
        <f t="shared" si="1"/>
        <v>1</v>
      </c>
      <c r="G286" s="11" t="str">
        <f>IFERROR(VLOOKUP(C286,STUDENTS!A:E,5,FALSE),"")</f>
        <v>Inactive</v>
      </c>
      <c r="H286" s="11" t="str">
        <f>IFERROR(VLOOKUP(C286,STUDENTS!A:M,13,FALSE),"")</f>
        <v>Completed (no continuation)</v>
      </c>
      <c r="I286" s="11" t="str">
        <f>IF(D286="","",IF(AND(VLOOKUP(C286,STUDENTS!$A:$R,17,FALSE)=A286,VLOOKUP(C286,STUDENTS!$A:$R,18,FALSE)=B286,G286="Active"),"Đang học",IF(F286&gt;=0.8,IF(G286="Active","Tiếp tục khóa sau",IF(G286="Waiting for class","Chờ lớp mới",IF(G286="Inactive",IF(IFERROR(H286,"")="Discontinued mid-course","Nghỉ giữa chừng","Hoàn thành rồi nghỉ luôn"),""))),IF(G286="Inactive","Nghỉ giữa chừng","Đang học"))))</f>
        <v>Hoàn thành rồi nghỉ luôn</v>
      </c>
    </row>
    <row r="287">
      <c r="A287" s="11" t="str">
        <f>IFERROR(__xludf.DUMMYFUNCTION("""COMPUTED_VALUE"""),"EL027")</f>
        <v>EL027</v>
      </c>
      <c r="B287" s="11" t="str">
        <f>IFERROR(__xludf.DUMMYFUNCTION("""COMPUTED_VALUE"""),"Communication 1")</f>
        <v>Communication 1</v>
      </c>
      <c r="C287" s="11" t="str">
        <f>IFERROR(__xludf.DUMMYFUNCTION("""COMPUTED_VALUE"""),"227214")</f>
        <v>227214</v>
      </c>
      <c r="D287" s="11">
        <f>IFERROR(__xludf.DUMMYFUNCTION("""COMPUTED_VALUE"""),10.0)</f>
        <v>10</v>
      </c>
      <c r="E287" s="11">
        <f>IFERROR(VLOOKUP(B287,COURSE_PLAN!A:B,2,FALSE),"")</f>
        <v>10</v>
      </c>
      <c r="F287" s="11">
        <f t="shared" si="1"/>
        <v>1</v>
      </c>
      <c r="G287" s="11" t="str">
        <f>IFERROR(VLOOKUP(C287,STUDENTS!A:E,5,FALSE),"")</f>
        <v>Active</v>
      </c>
      <c r="H287" s="11" t="str">
        <f>IFERROR(VLOOKUP(C287,STUDENTS!A:M,13,FALSE),"")</f>
        <v/>
      </c>
      <c r="I287" s="11" t="str">
        <f>IF(D287="","",IF(AND(VLOOKUP(C287,STUDENTS!$A:$R,17,FALSE)=A287,VLOOKUP(C287,STUDENTS!$A:$R,18,FALSE)=B287,G287="Active"),"Đang học",IF(F287&gt;=0.8,IF(G287="Active","Tiếp tục khóa sau",IF(G287="Waiting for class","Chờ lớp mới",IF(G287="Inactive",IF(IFERROR(H287,"")="Discontinued mid-course","Nghỉ giữa chừng","Hoàn thành rồi nghỉ luôn"),""))),IF(G287="Inactive","Nghỉ giữa chừng","Đang học"))))</f>
        <v>Tiếp tục khóa sau</v>
      </c>
    </row>
    <row r="288">
      <c r="A288" s="11" t="str">
        <f>IFERROR(__xludf.DUMMYFUNCTION("""COMPUTED_VALUE"""),"EL027")</f>
        <v>EL027</v>
      </c>
      <c r="B288" s="11" t="str">
        <f>IFERROR(__xludf.DUMMYFUNCTION("""COMPUTED_VALUE"""),"Communication 1")</f>
        <v>Communication 1</v>
      </c>
      <c r="C288" s="11" t="str">
        <f>IFERROR(__xludf.DUMMYFUNCTION("""COMPUTED_VALUE"""),"237008")</f>
        <v>237008</v>
      </c>
      <c r="D288" s="11">
        <f>IFERROR(__xludf.DUMMYFUNCTION("""COMPUTED_VALUE"""),10.0)</f>
        <v>10</v>
      </c>
      <c r="E288" s="11">
        <f>IFERROR(VLOOKUP(B288,COURSE_PLAN!A:B,2,FALSE),"")</f>
        <v>10</v>
      </c>
      <c r="F288" s="11">
        <f t="shared" si="1"/>
        <v>1</v>
      </c>
      <c r="G288" s="11" t="str">
        <f>IFERROR(VLOOKUP(C288,STUDENTS!A:E,5,FALSE),"")</f>
        <v>Inactive</v>
      </c>
      <c r="H288" s="11" t="str">
        <f>IFERROR(VLOOKUP(C288,STUDENTS!A:M,13,FALSE),"")</f>
        <v>Completed (no continuation)</v>
      </c>
      <c r="I288" s="11" t="str">
        <f>IF(D288="","",IF(AND(VLOOKUP(C288,STUDENTS!$A:$R,17,FALSE)=A288,VLOOKUP(C288,STUDENTS!$A:$R,18,FALSE)=B288,G288="Active"),"Đang học",IF(F288&gt;=0.8,IF(G288="Active","Tiếp tục khóa sau",IF(G288="Waiting for class","Chờ lớp mới",IF(G288="Inactive",IF(IFERROR(H288,"")="Discontinued mid-course","Nghỉ giữa chừng","Hoàn thành rồi nghỉ luôn"),""))),IF(G288="Inactive","Nghỉ giữa chừng","Đang học"))))</f>
        <v>Hoàn thành rồi nghỉ luôn</v>
      </c>
    </row>
    <row r="289">
      <c r="A289" s="11" t="str">
        <f>IFERROR(__xludf.DUMMYFUNCTION("""COMPUTED_VALUE"""),"EL027")</f>
        <v>EL027</v>
      </c>
      <c r="B289" s="11" t="str">
        <f>IFERROR(__xludf.DUMMYFUNCTION("""COMPUTED_VALUE"""),"Communication 1")</f>
        <v>Communication 1</v>
      </c>
      <c r="C289" s="11" t="str">
        <f>IFERROR(__xludf.DUMMYFUNCTION("""COMPUTED_VALUE"""),"237226")</f>
        <v>237226</v>
      </c>
      <c r="D289" s="11">
        <f>IFERROR(__xludf.DUMMYFUNCTION("""COMPUTED_VALUE"""),10.0)</f>
        <v>10</v>
      </c>
      <c r="E289" s="11">
        <f>IFERROR(VLOOKUP(B289,COURSE_PLAN!A:B,2,FALSE),"")</f>
        <v>10</v>
      </c>
      <c r="F289" s="11">
        <f t="shared" si="1"/>
        <v>1</v>
      </c>
      <c r="G289" s="11" t="str">
        <f>IFERROR(VLOOKUP(C289,STUDENTS!A:E,5,FALSE),"")</f>
        <v>Inactive</v>
      </c>
      <c r="H289" s="11" t="str">
        <f>IFERROR(VLOOKUP(C289,STUDENTS!A:M,13,FALSE),"")</f>
        <v>Completed (no continuation)</v>
      </c>
      <c r="I289" s="11" t="str">
        <f>IF(D289="","",IF(AND(VLOOKUP(C289,STUDENTS!$A:$R,17,FALSE)=A289,VLOOKUP(C289,STUDENTS!$A:$R,18,FALSE)=B289,G289="Active"),"Đang học",IF(F289&gt;=0.8,IF(G289="Active","Tiếp tục khóa sau",IF(G289="Waiting for class","Chờ lớp mới",IF(G289="Inactive",IF(IFERROR(H289,"")="Discontinued mid-course","Nghỉ giữa chừng","Hoàn thành rồi nghỉ luôn"),""))),IF(G289="Inactive","Nghỉ giữa chừng","Đang học"))))</f>
        <v>Hoàn thành rồi nghỉ luôn</v>
      </c>
    </row>
    <row r="290">
      <c r="A290" s="11" t="str">
        <f>IFERROR(__xludf.DUMMYFUNCTION("""COMPUTED_VALUE"""),"EL027")</f>
        <v>EL027</v>
      </c>
      <c r="B290" s="11" t="str">
        <f>IFERROR(__xludf.DUMMYFUNCTION("""COMPUTED_VALUE"""),"Communication 1")</f>
        <v>Communication 1</v>
      </c>
      <c r="C290" s="11" t="str">
        <f>IFERROR(__xludf.DUMMYFUNCTION("""COMPUTED_VALUE"""),"247083")</f>
        <v>247083</v>
      </c>
      <c r="D290" s="11">
        <f>IFERROR(__xludf.DUMMYFUNCTION("""COMPUTED_VALUE"""),10.0)</f>
        <v>10</v>
      </c>
      <c r="E290" s="11">
        <f>IFERROR(VLOOKUP(B290,COURSE_PLAN!A:B,2,FALSE),"")</f>
        <v>10</v>
      </c>
      <c r="F290" s="11">
        <f t="shared" si="1"/>
        <v>1</v>
      </c>
      <c r="G290" s="11" t="str">
        <f>IFERROR(VLOOKUP(C290,STUDENTS!A:E,5,FALSE),"")</f>
        <v>Active</v>
      </c>
      <c r="H290" s="11" t="str">
        <f>IFERROR(VLOOKUP(C290,STUDENTS!A:M,13,FALSE),"")</f>
        <v/>
      </c>
      <c r="I290" s="11" t="str">
        <f>IF(D290="","",IF(AND(VLOOKUP(C290,STUDENTS!$A:$R,17,FALSE)=A290,VLOOKUP(C290,STUDENTS!$A:$R,18,FALSE)=B290,G290="Active"),"Đang học",IF(F290&gt;=0.8,IF(G290="Active","Tiếp tục khóa sau",IF(G290="Waiting for class","Chờ lớp mới",IF(G290="Inactive",IF(IFERROR(H290,"")="Discontinued mid-course","Nghỉ giữa chừng","Hoàn thành rồi nghỉ luôn"),""))),IF(G290="Inactive","Nghỉ giữa chừng","Đang học"))))</f>
        <v>Tiếp tục khóa sau</v>
      </c>
    </row>
    <row r="291">
      <c r="A291" s="11" t="str">
        <f>IFERROR(__xludf.DUMMYFUNCTION("""COMPUTED_VALUE"""),"EL027")</f>
        <v>EL027</v>
      </c>
      <c r="B291" s="11" t="str">
        <f>IFERROR(__xludf.DUMMYFUNCTION("""COMPUTED_VALUE"""),"Communication 1")</f>
        <v>Communication 1</v>
      </c>
      <c r="C291" s="11" t="str">
        <f>IFERROR(__xludf.DUMMYFUNCTION("""COMPUTED_VALUE"""),"247178")</f>
        <v>247178</v>
      </c>
      <c r="D291" s="11">
        <f>IFERROR(__xludf.DUMMYFUNCTION("""COMPUTED_VALUE"""),10.0)</f>
        <v>10</v>
      </c>
      <c r="E291" s="11">
        <f>IFERROR(VLOOKUP(B291,COURSE_PLAN!A:B,2,FALSE),"")</f>
        <v>10</v>
      </c>
      <c r="F291" s="11">
        <f t="shared" si="1"/>
        <v>1</v>
      </c>
      <c r="G291" s="11" t="str">
        <f>IFERROR(VLOOKUP(C291,STUDENTS!A:E,5,FALSE),"")</f>
        <v>Active</v>
      </c>
      <c r="H291" s="11" t="str">
        <f>IFERROR(VLOOKUP(C291,STUDENTS!A:M,13,FALSE),"")</f>
        <v/>
      </c>
      <c r="I291" s="11" t="str">
        <f>IF(D291="","",IF(AND(VLOOKUP(C291,STUDENTS!$A:$R,17,FALSE)=A291,VLOOKUP(C291,STUDENTS!$A:$R,18,FALSE)=B291,G291="Active"),"Đang học",IF(F291&gt;=0.8,IF(G291="Active","Tiếp tục khóa sau",IF(G291="Waiting for class","Chờ lớp mới",IF(G291="Inactive",IF(IFERROR(H291,"")="Discontinued mid-course","Nghỉ giữa chừng","Hoàn thành rồi nghỉ luôn"),""))),IF(G291="Inactive","Nghỉ giữa chừng","Đang học"))))</f>
        <v>Tiếp tục khóa sau</v>
      </c>
    </row>
    <row r="292">
      <c r="A292" s="11" t="str">
        <f>IFERROR(__xludf.DUMMYFUNCTION("""COMPUTED_VALUE"""),"EL027")</f>
        <v>EL027</v>
      </c>
      <c r="B292" s="11" t="str">
        <f>IFERROR(__xludf.DUMMYFUNCTION("""COMPUTED_VALUE"""),"Communication 2")</f>
        <v>Communication 2</v>
      </c>
      <c r="C292" s="11" t="str">
        <f>IFERROR(__xludf.DUMMYFUNCTION("""COMPUTED_VALUE"""),"143084")</f>
        <v>143084</v>
      </c>
      <c r="D292" s="11">
        <f>IFERROR(__xludf.DUMMYFUNCTION("""COMPUTED_VALUE"""),15.0)</f>
        <v>15</v>
      </c>
      <c r="E292" s="11">
        <f>IFERROR(VLOOKUP(B292,COURSE_PLAN!A:B,2,FALSE),"")</f>
        <v>16</v>
      </c>
      <c r="F292" s="11">
        <f t="shared" si="1"/>
        <v>0.9375</v>
      </c>
      <c r="G292" s="11" t="str">
        <f>IFERROR(VLOOKUP(C292,STUDENTS!A:E,5,FALSE),"")</f>
        <v>Inactive</v>
      </c>
      <c r="H292" s="11" t="str">
        <f>IFERROR(VLOOKUP(C292,STUDENTS!A:M,13,FALSE),"")</f>
        <v>Discontinued mid-course</v>
      </c>
      <c r="I292" s="11" t="str">
        <f>IF(D292="","",IF(AND(VLOOKUP(C292,STUDENTS!$A:$R,17,FALSE)=A292,VLOOKUP(C292,STUDENTS!$A:$R,18,FALSE)=B292,G292="Active"),"Đang học",IF(F292&gt;=0.8,IF(G292="Active","Tiếp tục khóa sau",IF(G292="Waiting for class","Chờ lớp mới",IF(G292="Inactive",IF(IFERROR(H292,"")="Discontinued mid-course","Nghỉ giữa chừng","Hoàn thành rồi nghỉ luôn"),""))),IF(G292="Inactive","Nghỉ giữa chừng","Đang học"))))</f>
        <v>Nghỉ giữa chừng</v>
      </c>
    </row>
    <row r="293">
      <c r="A293" s="11" t="str">
        <f>IFERROR(__xludf.DUMMYFUNCTION("""COMPUTED_VALUE"""),"EL027")</f>
        <v>EL027</v>
      </c>
      <c r="B293" s="11" t="str">
        <f>IFERROR(__xludf.DUMMYFUNCTION("""COMPUTED_VALUE"""),"Communication 2")</f>
        <v>Communication 2</v>
      </c>
      <c r="C293" s="11" t="str">
        <f>IFERROR(__xludf.DUMMYFUNCTION("""COMPUTED_VALUE"""),"173272")</f>
        <v>173272</v>
      </c>
      <c r="D293" s="11">
        <f>IFERROR(__xludf.DUMMYFUNCTION("""COMPUTED_VALUE"""),16.0)</f>
        <v>16</v>
      </c>
      <c r="E293" s="11">
        <f>IFERROR(VLOOKUP(B293,COURSE_PLAN!A:B,2,FALSE),"")</f>
        <v>16</v>
      </c>
      <c r="F293" s="11">
        <f t="shared" si="1"/>
        <v>1</v>
      </c>
      <c r="G293" s="11" t="str">
        <f>IFERROR(VLOOKUP(C293,STUDENTS!A:E,5,FALSE),"")</f>
        <v>Inactive</v>
      </c>
      <c r="H293" s="11" t="str">
        <f>IFERROR(VLOOKUP(C293,STUDENTS!A:M,13,FALSE),"")</f>
        <v>Completed (no continuation)</v>
      </c>
      <c r="I293" s="11" t="str">
        <f>IF(D293="","",IF(AND(VLOOKUP(C293,STUDENTS!$A:$R,17,FALSE)=A293,VLOOKUP(C293,STUDENTS!$A:$R,18,FALSE)=B293,G293="Active"),"Đang học",IF(F293&gt;=0.8,IF(G293="Active","Tiếp tục khóa sau",IF(G293="Waiting for class","Chờ lớp mới",IF(G293="Inactive",IF(IFERROR(H293,"")="Discontinued mid-course","Nghỉ giữa chừng","Hoàn thành rồi nghỉ luôn"),""))),IF(G293="Inactive","Nghỉ giữa chừng","Đang học"))))</f>
        <v>Hoàn thành rồi nghỉ luôn</v>
      </c>
    </row>
    <row r="294">
      <c r="A294" s="11" t="str">
        <f>IFERROR(__xludf.DUMMYFUNCTION("""COMPUTED_VALUE"""),"EL027")</f>
        <v>EL027</v>
      </c>
      <c r="B294" s="11" t="str">
        <f>IFERROR(__xludf.DUMMYFUNCTION("""COMPUTED_VALUE"""),"Communication 2")</f>
        <v>Communication 2</v>
      </c>
      <c r="C294" s="11" t="str">
        <f>IFERROR(__xludf.DUMMYFUNCTION("""COMPUTED_VALUE"""),"193584")</f>
        <v>193584</v>
      </c>
      <c r="D294" s="11">
        <f>IFERROR(__xludf.DUMMYFUNCTION("""COMPUTED_VALUE"""),16.0)</f>
        <v>16</v>
      </c>
      <c r="E294" s="11">
        <f>IFERROR(VLOOKUP(B294,COURSE_PLAN!A:B,2,FALSE),"")</f>
        <v>16</v>
      </c>
      <c r="F294" s="11">
        <f t="shared" si="1"/>
        <v>1</v>
      </c>
      <c r="G294" s="11" t="str">
        <f>IFERROR(VLOOKUP(C294,STUDENTS!A:E,5,FALSE),"")</f>
        <v>Active</v>
      </c>
      <c r="H294" s="11" t="str">
        <f>IFERROR(VLOOKUP(C294,STUDENTS!A:M,13,FALSE),"")</f>
        <v/>
      </c>
      <c r="I294" s="11" t="str">
        <f>IF(D294="","",IF(AND(VLOOKUP(C294,STUDENTS!$A:$R,17,FALSE)=A294,VLOOKUP(C294,STUDENTS!$A:$R,18,FALSE)=B294,G294="Active"),"Đang học",IF(F294&gt;=0.8,IF(G294="Active","Tiếp tục khóa sau",IF(G294="Waiting for class","Chờ lớp mới",IF(G294="Inactive",IF(IFERROR(H294,"")="Discontinued mid-course","Nghỉ giữa chừng","Hoàn thành rồi nghỉ luôn"),""))),IF(G294="Inactive","Nghỉ giữa chừng","Đang học"))))</f>
        <v>Tiếp tục khóa sau</v>
      </c>
    </row>
    <row r="295">
      <c r="A295" s="11" t="str">
        <f>IFERROR(__xludf.DUMMYFUNCTION("""COMPUTED_VALUE"""),"EL027")</f>
        <v>EL027</v>
      </c>
      <c r="B295" s="11" t="str">
        <f>IFERROR(__xludf.DUMMYFUNCTION("""COMPUTED_VALUE"""),"Communication 2")</f>
        <v>Communication 2</v>
      </c>
      <c r="C295" s="11" t="str">
        <f>IFERROR(__xludf.DUMMYFUNCTION("""COMPUTED_VALUE"""),"203790")</f>
        <v>203790</v>
      </c>
      <c r="D295" s="11">
        <f>IFERROR(__xludf.DUMMYFUNCTION("""COMPUTED_VALUE"""),16.0)</f>
        <v>16</v>
      </c>
      <c r="E295" s="11">
        <f>IFERROR(VLOOKUP(B295,COURSE_PLAN!A:B,2,FALSE),"")</f>
        <v>16</v>
      </c>
      <c r="F295" s="11">
        <f t="shared" si="1"/>
        <v>1</v>
      </c>
      <c r="G295" s="11" t="str">
        <f>IFERROR(VLOOKUP(C295,STUDENTS!A:E,5,FALSE),"")</f>
        <v>Active</v>
      </c>
      <c r="H295" s="11" t="str">
        <f>IFERROR(VLOOKUP(C295,STUDENTS!A:M,13,FALSE),"")</f>
        <v/>
      </c>
      <c r="I295" s="11" t="str">
        <f>IF(D295="","",IF(AND(VLOOKUP(C295,STUDENTS!$A:$R,17,FALSE)=A295,VLOOKUP(C295,STUDENTS!$A:$R,18,FALSE)=B295,G295="Active"),"Đang học",IF(F295&gt;=0.8,IF(G295="Active","Tiếp tục khóa sau",IF(G295="Waiting for class","Chờ lớp mới",IF(G295="Inactive",IF(IFERROR(H295,"")="Discontinued mid-course","Nghỉ giữa chừng","Hoàn thành rồi nghỉ luôn"),""))),IF(G295="Inactive","Nghỉ giữa chừng","Đang học"))))</f>
        <v>Tiếp tục khóa sau</v>
      </c>
    </row>
    <row r="296">
      <c r="A296" s="11" t="str">
        <f>IFERROR(__xludf.DUMMYFUNCTION("""COMPUTED_VALUE"""),"EL027")</f>
        <v>EL027</v>
      </c>
      <c r="B296" s="11" t="str">
        <f>IFERROR(__xludf.DUMMYFUNCTION("""COMPUTED_VALUE"""),"Communication 2")</f>
        <v>Communication 2</v>
      </c>
      <c r="C296" s="11" t="str">
        <f>IFERROR(__xludf.DUMMYFUNCTION("""COMPUTED_VALUE"""),"227214")</f>
        <v>227214</v>
      </c>
      <c r="D296" s="11">
        <f>IFERROR(__xludf.DUMMYFUNCTION("""COMPUTED_VALUE"""),16.0)</f>
        <v>16</v>
      </c>
      <c r="E296" s="11">
        <f>IFERROR(VLOOKUP(B296,COURSE_PLAN!A:B,2,FALSE),"")</f>
        <v>16</v>
      </c>
      <c r="F296" s="11">
        <f t="shared" si="1"/>
        <v>1</v>
      </c>
      <c r="G296" s="11" t="str">
        <f>IFERROR(VLOOKUP(C296,STUDENTS!A:E,5,FALSE),"")</f>
        <v>Active</v>
      </c>
      <c r="H296" s="11" t="str">
        <f>IFERROR(VLOOKUP(C296,STUDENTS!A:M,13,FALSE),"")</f>
        <v/>
      </c>
      <c r="I296" s="11" t="str">
        <f>IF(D296="","",IF(AND(VLOOKUP(C296,STUDENTS!$A:$R,17,FALSE)=A296,VLOOKUP(C296,STUDENTS!$A:$R,18,FALSE)=B296,G296="Active"),"Đang học",IF(F296&gt;=0.8,IF(G296="Active","Tiếp tục khóa sau",IF(G296="Waiting for class","Chờ lớp mới",IF(G296="Inactive",IF(IFERROR(H296,"")="Discontinued mid-course","Nghỉ giữa chừng","Hoàn thành rồi nghỉ luôn"),""))),IF(G296="Inactive","Nghỉ giữa chừng","Đang học"))))</f>
        <v>Tiếp tục khóa sau</v>
      </c>
    </row>
    <row r="297">
      <c r="A297" s="11" t="str">
        <f>IFERROR(__xludf.DUMMYFUNCTION("""COMPUTED_VALUE"""),"EL027")</f>
        <v>EL027</v>
      </c>
      <c r="B297" s="11" t="str">
        <f>IFERROR(__xludf.DUMMYFUNCTION("""COMPUTED_VALUE"""),"Communication 2")</f>
        <v>Communication 2</v>
      </c>
      <c r="C297" s="11" t="str">
        <f>IFERROR(__xludf.DUMMYFUNCTION("""COMPUTED_VALUE"""),"237226")</f>
        <v>237226</v>
      </c>
      <c r="D297" s="11">
        <f>IFERROR(__xludf.DUMMYFUNCTION("""COMPUTED_VALUE"""),16.0)</f>
        <v>16</v>
      </c>
      <c r="E297" s="11">
        <f>IFERROR(VLOOKUP(B297,COURSE_PLAN!A:B,2,FALSE),"")</f>
        <v>16</v>
      </c>
      <c r="F297" s="11">
        <f t="shared" si="1"/>
        <v>1</v>
      </c>
      <c r="G297" s="11" t="str">
        <f>IFERROR(VLOOKUP(C297,STUDENTS!A:E,5,FALSE),"")</f>
        <v>Inactive</v>
      </c>
      <c r="H297" s="11" t="str">
        <f>IFERROR(VLOOKUP(C297,STUDENTS!A:M,13,FALSE),"")</f>
        <v>Completed (no continuation)</v>
      </c>
      <c r="I297" s="11" t="str">
        <f>IF(D297="","",IF(AND(VLOOKUP(C297,STUDENTS!$A:$R,17,FALSE)=A297,VLOOKUP(C297,STUDENTS!$A:$R,18,FALSE)=B297,G297="Active"),"Đang học",IF(F297&gt;=0.8,IF(G297="Active","Tiếp tục khóa sau",IF(G297="Waiting for class","Chờ lớp mới",IF(G297="Inactive",IF(IFERROR(H297,"")="Discontinued mid-course","Nghỉ giữa chừng","Hoàn thành rồi nghỉ luôn"),""))),IF(G297="Inactive","Nghỉ giữa chừng","Đang học"))))</f>
        <v>Hoàn thành rồi nghỉ luôn</v>
      </c>
    </row>
    <row r="298">
      <c r="A298" s="11" t="str">
        <f>IFERROR(__xludf.DUMMYFUNCTION("""COMPUTED_VALUE"""),"EL027")</f>
        <v>EL027</v>
      </c>
      <c r="B298" s="11" t="str">
        <f>IFERROR(__xludf.DUMMYFUNCTION("""COMPUTED_VALUE"""),"Communication 2")</f>
        <v>Communication 2</v>
      </c>
      <c r="C298" s="11" t="str">
        <f>IFERROR(__xludf.DUMMYFUNCTION("""COMPUTED_VALUE"""),"247083")</f>
        <v>247083</v>
      </c>
      <c r="D298" s="11">
        <f>IFERROR(__xludf.DUMMYFUNCTION("""COMPUTED_VALUE"""),16.0)</f>
        <v>16</v>
      </c>
      <c r="E298" s="11">
        <f>IFERROR(VLOOKUP(B298,COURSE_PLAN!A:B,2,FALSE),"")</f>
        <v>16</v>
      </c>
      <c r="F298" s="11">
        <f t="shared" si="1"/>
        <v>1</v>
      </c>
      <c r="G298" s="11" t="str">
        <f>IFERROR(VLOOKUP(C298,STUDENTS!A:E,5,FALSE),"")</f>
        <v>Active</v>
      </c>
      <c r="H298" s="11" t="str">
        <f>IFERROR(VLOOKUP(C298,STUDENTS!A:M,13,FALSE),"")</f>
        <v/>
      </c>
      <c r="I298" s="11" t="str">
        <f>IF(D298="","",IF(AND(VLOOKUP(C298,STUDENTS!$A:$R,17,FALSE)=A298,VLOOKUP(C298,STUDENTS!$A:$R,18,FALSE)=B298,G298="Active"),"Đang học",IF(F298&gt;=0.8,IF(G298="Active","Tiếp tục khóa sau",IF(G298="Waiting for class","Chờ lớp mới",IF(G298="Inactive",IF(IFERROR(H298,"")="Discontinued mid-course","Nghỉ giữa chừng","Hoàn thành rồi nghỉ luôn"),""))),IF(G298="Inactive","Nghỉ giữa chừng","Đang học"))))</f>
        <v>Tiếp tục khóa sau</v>
      </c>
    </row>
    <row r="299">
      <c r="A299" s="11" t="str">
        <f>IFERROR(__xludf.DUMMYFUNCTION("""COMPUTED_VALUE"""),"EL027")</f>
        <v>EL027</v>
      </c>
      <c r="B299" s="11" t="str">
        <f>IFERROR(__xludf.DUMMYFUNCTION("""COMPUTED_VALUE"""),"Communication 2")</f>
        <v>Communication 2</v>
      </c>
      <c r="C299" s="11" t="str">
        <f>IFERROR(__xludf.DUMMYFUNCTION("""COMPUTED_VALUE"""),"247178")</f>
        <v>247178</v>
      </c>
      <c r="D299" s="11">
        <f>IFERROR(__xludf.DUMMYFUNCTION("""COMPUTED_VALUE"""),16.0)</f>
        <v>16</v>
      </c>
      <c r="E299" s="11">
        <f>IFERROR(VLOOKUP(B299,COURSE_PLAN!A:B,2,FALSE),"")</f>
        <v>16</v>
      </c>
      <c r="F299" s="11">
        <f t="shared" si="1"/>
        <v>1</v>
      </c>
      <c r="G299" s="11" t="str">
        <f>IFERROR(VLOOKUP(C299,STUDENTS!A:E,5,FALSE),"")</f>
        <v>Active</v>
      </c>
      <c r="H299" s="11" t="str">
        <f>IFERROR(VLOOKUP(C299,STUDENTS!A:M,13,FALSE),"")</f>
        <v/>
      </c>
      <c r="I299" s="11" t="str">
        <f>IF(D299="","",IF(AND(VLOOKUP(C299,STUDENTS!$A:$R,17,FALSE)=A299,VLOOKUP(C299,STUDENTS!$A:$R,18,FALSE)=B299,G299="Active"),"Đang học",IF(F299&gt;=0.8,IF(G299="Active","Tiếp tục khóa sau",IF(G299="Waiting for class","Chờ lớp mới",IF(G299="Inactive",IF(IFERROR(H299,"")="Discontinued mid-course","Nghỉ giữa chừng","Hoàn thành rồi nghỉ luôn"),""))),IF(G299="Inactive","Nghỉ giữa chừng","Đang học"))))</f>
        <v>Tiếp tục khóa sau</v>
      </c>
    </row>
    <row r="300">
      <c r="A300" s="11" t="str">
        <f>IFERROR(__xludf.DUMMYFUNCTION("""COMPUTED_VALUE"""),"EL027")</f>
        <v>EL027</v>
      </c>
      <c r="B300" s="11" t="str">
        <f>IFERROR(__xludf.DUMMYFUNCTION("""COMPUTED_VALUE"""),"Communication 3")</f>
        <v>Communication 3</v>
      </c>
      <c r="C300" s="11" t="str">
        <f>IFERROR(__xludf.DUMMYFUNCTION("""COMPUTED_VALUE"""),"173272")</f>
        <v>173272</v>
      </c>
      <c r="D300" s="11">
        <f>IFERROR(__xludf.DUMMYFUNCTION("""COMPUTED_VALUE"""),10.0)</f>
        <v>10</v>
      </c>
      <c r="E300" s="11">
        <f>IFERROR(VLOOKUP(B300,COURSE_PLAN!A:B,2,FALSE),"")</f>
        <v>16</v>
      </c>
      <c r="F300" s="11">
        <f t="shared" si="1"/>
        <v>0.625</v>
      </c>
      <c r="G300" s="11" t="str">
        <f>IFERROR(VLOOKUP(C300,STUDENTS!A:E,5,FALSE),"")</f>
        <v>Inactive</v>
      </c>
      <c r="H300" s="11" t="str">
        <f>IFERROR(VLOOKUP(C300,STUDENTS!A:M,13,FALSE),"")</f>
        <v>Completed (no continuation)</v>
      </c>
      <c r="I300" s="11" t="str">
        <f>IF(D300="","",IF(AND(VLOOKUP(C300,STUDENTS!$A:$R,17,FALSE)=A300,VLOOKUP(C300,STUDENTS!$A:$R,18,FALSE)=B300,G300="Active"),"Đang học",IF(F300&gt;=0.8,IF(G300="Active","Tiếp tục khóa sau",IF(G300="Waiting for class","Chờ lớp mới",IF(G300="Inactive",IF(IFERROR(H300,"")="Discontinued mid-course","Nghỉ giữa chừng","Hoàn thành rồi nghỉ luôn"),""))),IF(G300="Inactive","Nghỉ giữa chừng","Đang học"))))</f>
        <v>Nghỉ giữa chừng</v>
      </c>
    </row>
    <row r="301">
      <c r="A301" s="11" t="str">
        <f>IFERROR(__xludf.DUMMYFUNCTION("""COMPUTED_VALUE"""),"EL027")</f>
        <v>EL027</v>
      </c>
      <c r="B301" s="11" t="str">
        <f>IFERROR(__xludf.DUMMYFUNCTION("""COMPUTED_VALUE"""),"Communication 3")</f>
        <v>Communication 3</v>
      </c>
      <c r="C301" s="11" t="str">
        <f>IFERROR(__xludf.DUMMYFUNCTION("""COMPUTED_VALUE"""),"193584")</f>
        <v>193584</v>
      </c>
      <c r="D301" s="11">
        <f>IFERROR(__xludf.DUMMYFUNCTION("""COMPUTED_VALUE"""),10.0)</f>
        <v>10</v>
      </c>
      <c r="E301" s="11">
        <f>IFERROR(VLOOKUP(B301,COURSE_PLAN!A:B,2,FALSE),"")</f>
        <v>16</v>
      </c>
      <c r="F301" s="11">
        <f t="shared" si="1"/>
        <v>0.625</v>
      </c>
      <c r="G301" s="11" t="str">
        <f>IFERROR(VLOOKUP(C301,STUDENTS!A:E,5,FALSE),"")</f>
        <v>Active</v>
      </c>
      <c r="H301" s="11" t="str">
        <f>IFERROR(VLOOKUP(C301,STUDENTS!A:M,13,FALSE),"")</f>
        <v/>
      </c>
      <c r="I301" s="11" t="str">
        <f>IF(D301="","",IF(AND(VLOOKUP(C301,STUDENTS!$A:$R,17,FALSE)=A301,VLOOKUP(C301,STUDENTS!$A:$R,18,FALSE)=B301,G301="Active"),"Đang học",IF(F301&gt;=0.8,IF(G301="Active","Tiếp tục khóa sau",IF(G301="Waiting for class","Chờ lớp mới",IF(G301="Inactive",IF(IFERROR(H301,"")="Discontinued mid-course","Nghỉ giữa chừng","Hoàn thành rồi nghỉ luôn"),""))),IF(G301="Inactive","Nghỉ giữa chừng","Đang học"))))</f>
        <v>Đang học</v>
      </c>
    </row>
    <row r="302">
      <c r="A302" s="11" t="str">
        <f>IFERROR(__xludf.DUMMYFUNCTION("""COMPUTED_VALUE"""),"EL027")</f>
        <v>EL027</v>
      </c>
      <c r="B302" s="11" t="str">
        <f>IFERROR(__xludf.DUMMYFUNCTION("""COMPUTED_VALUE"""),"Communication 3")</f>
        <v>Communication 3</v>
      </c>
      <c r="C302" s="11" t="str">
        <f>IFERROR(__xludf.DUMMYFUNCTION("""COMPUTED_VALUE"""),"203790")</f>
        <v>203790</v>
      </c>
      <c r="D302" s="11">
        <f>IFERROR(__xludf.DUMMYFUNCTION("""COMPUTED_VALUE"""),10.0)</f>
        <v>10</v>
      </c>
      <c r="E302" s="11">
        <f>IFERROR(VLOOKUP(B302,COURSE_PLAN!A:B,2,FALSE),"")</f>
        <v>16</v>
      </c>
      <c r="F302" s="11">
        <f t="shared" si="1"/>
        <v>0.625</v>
      </c>
      <c r="G302" s="11" t="str">
        <f>IFERROR(VLOOKUP(C302,STUDENTS!A:E,5,FALSE),"")</f>
        <v>Active</v>
      </c>
      <c r="H302" s="11" t="str">
        <f>IFERROR(VLOOKUP(C302,STUDENTS!A:M,13,FALSE),"")</f>
        <v/>
      </c>
      <c r="I302" s="11" t="str">
        <f>IF(D302="","",IF(AND(VLOOKUP(C302,STUDENTS!$A:$R,17,FALSE)=A302,VLOOKUP(C302,STUDENTS!$A:$R,18,FALSE)=B302,G302="Active"),"Đang học",IF(F302&gt;=0.8,IF(G302="Active","Tiếp tục khóa sau",IF(G302="Waiting for class","Chờ lớp mới",IF(G302="Inactive",IF(IFERROR(H302,"")="Discontinued mid-course","Nghỉ giữa chừng","Hoàn thành rồi nghỉ luôn"),""))),IF(G302="Inactive","Nghỉ giữa chừng","Đang học"))))</f>
        <v>Đang học</v>
      </c>
    </row>
    <row r="303">
      <c r="A303" s="11" t="str">
        <f>IFERROR(__xludf.DUMMYFUNCTION("""COMPUTED_VALUE"""),"EL027")</f>
        <v>EL027</v>
      </c>
      <c r="B303" s="11" t="str">
        <f>IFERROR(__xludf.DUMMYFUNCTION("""COMPUTED_VALUE"""),"Communication 3")</f>
        <v>Communication 3</v>
      </c>
      <c r="C303" s="11" t="str">
        <f>IFERROR(__xludf.DUMMYFUNCTION("""COMPUTED_VALUE"""),"227214")</f>
        <v>227214</v>
      </c>
      <c r="D303" s="11">
        <f>IFERROR(__xludf.DUMMYFUNCTION("""COMPUTED_VALUE"""),10.0)</f>
        <v>10</v>
      </c>
      <c r="E303" s="11">
        <f>IFERROR(VLOOKUP(B303,COURSE_PLAN!A:B,2,FALSE),"")</f>
        <v>16</v>
      </c>
      <c r="F303" s="11">
        <f t="shared" si="1"/>
        <v>0.625</v>
      </c>
      <c r="G303" s="11" t="str">
        <f>IFERROR(VLOOKUP(C303,STUDENTS!A:E,5,FALSE),"")</f>
        <v>Active</v>
      </c>
      <c r="H303" s="11" t="str">
        <f>IFERROR(VLOOKUP(C303,STUDENTS!A:M,13,FALSE),"")</f>
        <v/>
      </c>
      <c r="I303" s="11" t="str">
        <f>IF(D303="","",IF(AND(VLOOKUP(C303,STUDENTS!$A:$R,17,FALSE)=A303,VLOOKUP(C303,STUDENTS!$A:$R,18,FALSE)=B303,G303="Active"),"Đang học",IF(F303&gt;=0.8,IF(G303="Active","Tiếp tục khóa sau",IF(G303="Waiting for class","Chờ lớp mới",IF(G303="Inactive",IF(IFERROR(H303,"")="Discontinued mid-course","Nghỉ giữa chừng","Hoàn thành rồi nghỉ luôn"),""))),IF(G303="Inactive","Nghỉ giữa chừng","Đang học"))))</f>
        <v>Đang học</v>
      </c>
    </row>
    <row r="304">
      <c r="A304" s="11" t="str">
        <f>IFERROR(__xludf.DUMMYFUNCTION("""COMPUTED_VALUE"""),"EL027")</f>
        <v>EL027</v>
      </c>
      <c r="B304" s="11" t="str">
        <f>IFERROR(__xludf.DUMMYFUNCTION("""COMPUTED_VALUE"""),"Communication 3")</f>
        <v>Communication 3</v>
      </c>
      <c r="C304" s="11" t="str">
        <f>IFERROR(__xludf.DUMMYFUNCTION("""COMPUTED_VALUE"""),"237226")</f>
        <v>237226</v>
      </c>
      <c r="D304" s="11">
        <f>IFERROR(__xludf.DUMMYFUNCTION("""COMPUTED_VALUE"""),9.0)</f>
        <v>9</v>
      </c>
      <c r="E304" s="11">
        <f>IFERROR(VLOOKUP(B304,COURSE_PLAN!A:B,2,FALSE),"")</f>
        <v>16</v>
      </c>
      <c r="F304" s="11">
        <f t="shared" si="1"/>
        <v>0.5625</v>
      </c>
      <c r="G304" s="11" t="str">
        <f>IFERROR(VLOOKUP(C304,STUDENTS!A:E,5,FALSE),"")</f>
        <v>Inactive</v>
      </c>
      <c r="H304" s="11" t="str">
        <f>IFERROR(VLOOKUP(C304,STUDENTS!A:M,13,FALSE),"")</f>
        <v>Completed (no continuation)</v>
      </c>
      <c r="I304" s="11" t="str">
        <f>IF(D304="","",IF(AND(VLOOKUP(C304,STUDENTS!$A:$R,17,FALSE)=A304,VLOOKUP(C304,STUDENTS!$A:$R,18,FALSE)=B304,G304="Active"),"Đang học",IF(F304&gt;=0.8,IF(G304="Active","Tiếp tục khóa sau",IF(G304="Waiting for class","Chờ lớp mới",IF(G304="Inactive",IF(IFERROR(H304,"")="Discontinued mid-course","Nghỉ giữa chừng","Hoàn thành rồi nghỉ luôn"),""))),IF(G304="Inactive","Nghỉ giữa chừng","Đang học"))))</f>
        <v>Nghỉ giữa chừng</v>
      </c>
    </row>
    <row r="305">
      <c r="A305" s="11" t="str">
        <f>IFERROR(__xludf.DUMMYFUNCTION("""COMPUTED_VALUE"""),"EL027")</f>
        <v>EL027</v>
      </c>
      <c r="B305" s="11" t="str">
        <f>IFERROR(__xludf.DUMMYFUNCTION("""COMPUTED_VALUE"""),"Communication 3")</f>
        <v>Communication 3</v>
      </c>
      <c r="C305" s="11" t="str">
        <f>IFERROR(__xludf.DUMMYFUNCTION("""COMPUTED_VALUE"""),"247083")</f>
        <v>247083</v>
      </c>
      <c r="D305" s="11">
        <f>IFERROR(__xludf.DUMMYFUNCTION("""COMPUTED_VALUE"""),9.0)</f>
        <v>9</v>
      </c>
      <c r="E305" s="11">
        <f>IFERROR(VLOOKUP(B305,COURSE_PLAN!A:B,2,FALSE),"")</f>
        <v>16</v>
      </c>
      <c r="F305" s="11">
        <f t="shared" si="1"/>
        <v>0.5625</v>
      </c>
      <c r="G305" s="11" t="str">
        <f>IFERROR(VLOOKUP(C305,STUDENTS!A:E,5,FALSE),"")</f>
        <v>Active</v>
      </c>
      <c r="H305" s="11" t="str">
        <f>IFERROR(VLOOKUP(C305,STUDENTS!A:M,13,FALSE),"")</f>
        <v/>
      </c>
      <c r="I305" s="11" t="str">
        <f>IF(D305="","",IF(AND(VLOOKUP(C305,STUDENTS!$A:$R,17,FALSE)=A305,VLOOKUP(C305,STUDENTS!$A:$R,18,FALSE)=B305,G305="Active"),"Đang học",IF(F305&gt;=0.8,IF(G305="Active","Tiếp tục khóa sau",IF(G305="Waiting for class","Chờ lớp mới",IF(G305="Inactive",IF(IFERROR(H305,"")="Discontinued mid-course","Nghỉ giữa chừng","Hoàn thành rồi nghỉ luôn"),""))),IF(G305="Inactive","Nghỉ giữa chừng","Đang học"))))</f>
        <v>Đang học</v>
      </c>
    </row>
    <row r="306">
      <c r="A306" s="11" t="str">
        <f>IFERROR(__xludf.DUMMYFUNCTION("""COMPUTED_VALUE"""),"EL027")</f>
        <v>EL027</v>
      </c>
      <c r="B306" s="11" t="str">
        <f>IFERROR(__xludf.DUMMYFUNCTION("""COMPUTED_VALUE"""),"Communication 3")</f>
        <v>Communication 3</v>
      </c>
      <c r="C306" s="11" t="str">
        <f>IFERROR(__xludf.DUMMYFUNCTION("""COMPUTED_VALUE"""),"247178")</f>
        <v>247178</v>
      </c>
      <c r="D306" s="11">
        <f>IFERROR(__xludf.DUMMYFUNCTION("""COMPUTED_VALUE"""),9.0)</f>
        <v>9</v>
      </c>
      <c r="E306" s="11">
        <f>IFERROR(VLOOKUP(B306,COURSE_PLAN!A:B,2,FALSE),"")</f>
        <v>16</v>
      </c>
      <c r="F306" s="11">
        <f t="shared" si="1"/>
        <v>0.5625</v>
      </c>
      <c r="G306" s="11" t="str">
        <f>IFERROR(VLOOKUP(C306,STUDENTS!A:E,5,FALSE),"")</f>
        <v>Active</v>
      </c>
      <c r="H306" s="11" t="str">
        <f>IFERROR(VLOOKUP(C306,STUDENTS!A:M,13,FALSE),"")</f>
        <v/>
      </c>
      <c r="I306" s="11" t="str">
        <f>IF(D306="","",IF(AND(VLOOKUP(C306,STUDENTS!$A:$R,17,FALSE)=A306,VLOOKUP(C306,STUDENTS!$A:$R,18,FALSE)=B306,G306="Active"),"Đang học",IF(F306&gt;=0.8,IF(G306="Active","Tiếp tục khóa sau",IF(G306="Waiting for class","Chờ lớp mới",IF(G306="Inactive",IF(IFERROR(H306,"")="Discontinued mid-course","Nghỉ giữa chừng","Hoàn thành rồi nghỉ luôn"),""))),IF(G306="Inactive","Nghỉ giữa chừng","Đang học"))))</f>
        <v>Đang học</v>
      </c>
    </row>
    <row r="307">
      <c r="A307" s="11" t="str">
        <f>IFERROR(__xludf.DUMMYFUNCTION("""COMPUTED_VALUE"""),"EL028")</f>
        <v>EL028</v>
      </c>
      <c r="B307" s="11" t="str">
        <f>IFERROR(__xludf.DUMMYFUNCTION("""COMPUTED_VALUE"""),"Communication 1")</f>
        <v>Communication 1</v>
      </c>
      <c r="C307" s="11" t="str">
        <f>IFERROR(__xludf.DUMMYFUNCTION("""COMPUTED_VALUE"""),"143071")</f>
        <v>143071</v>
      </c>
      <c r="D307" s="11">
        <f>IFERROR(__xludf.DUMMYFUNCTION("""COMPUTED_VALUE"""),10.0)</f>
        <v>10</v>
      </c>
      <c r="E307" s="11">
        <f>IFERROR(VLOOKUP(B307,COURSE_PLAN!A:B,2,FALSE),"")</f>
        <v>10</v>
      </c>
      <c r="F307" s="11">
        <f t="shared" si="1"/>
        <v>1</v>
      </c>
      <c r="G307" s="11" t="str">
        <f>IFERROR(VLOOKUP(C307,STUDENTS!A:E,5,FALSE),"")</f>
        <v>Inactive</v>
      </c>
      <c r="H307" s="11" t="str">
        <f>IFERROR(VLOOKUP(C307,STUDENTS!A:M,13,FALSE),"")</f>
        <v>Discontinued mid-course</v>
      </c>
      <c r="I307" s="11" t="str">
        <f>IF(D307="","",IF(AND(VLOOKUP(C307,STUDENTS!$A:$R,17,FALSE)=A307,VLOOKUP(C307,STUDENTS!$A:$R,18,FALSE)=B307,G307="Active"),"Đang học",IF(F307&gt;=0.8,IF(G307="Active","Tiếp tục khóa sau",IF(G307="Waiting for class","Chờ lớp mới",IF(G307="Inactive",IF(IFERROR(H307,"")="Discontinued mid-course","Nghỉ giữa chừng","Hoàn thành rồi nghỉ luôn"),""))),IF(G307="Inactive","Nghỉ giữa chừng","Đang học"))))</f>
        <v>Nghỉ giữa chừng</v>
      </c>
    </row>
    <row r="308">
      <c r="A308" s="11" t="str">
        <f>IFERROR(__xludf.DUMMYFUNCTION("""COMPUTED_VALUE"""),"EL028")</f>
        <v>EL028</v>
      </c>
      <c r="B308" s="11" t="str">
        <f>IFERROR(__xludf.DUMMYFUNCTION("""COMPUTED_VALUE"""),"Communication 1")</f>
        <v>Communication 1</v>
      </c>
      <c r="C308" s="11" t="str">
        <f>IFERROR(__xludf.DUMMYFUNCTION("""COMPUTED_VALUE"""),"193544")</f>
        <v>193544</v>
      </c>
      <c r="D308" s="11">
        <f>IFERROR(__xludf.DUMMYFUNCTION("""COMPUTED_VALUE"""),10.0)</f>
        <v>10</v>
      </c>
      <c r="E308" s="11">
        <f>IFERROR(VLOOKUP(B308,COURSE_PLAN!A:B,2,FALSE),"")</f>
        <v>10</v>
      </c>
      <c r="F308" s="11">
        <f t="shared" si="1"/>
        <v>1</v>
      </c>
      <c r="G308" s="11" t="str">
        <f>IFERROR(VLOOKUP(C308,STUDENTS!A:E,5,FALSE),"")</f>
        <v>Inactive</v>
      </c>
      <c r="H308" s="11" t="str">
        <f>IFERROR(VLOOKUP(C308,STUDENTS!A:M,13,FALSE),"")</f>
        <v>Completed (no continuation)</v>
      </c>
      <c r="I308" s="11" t="str">
        <f>IF(D308="","",IF(AND(VLOOKUP(C308,STUDENTS!$A:$R,17,FALSE)=A308,VLOOKUP(C308,STUDENTS!$A:$R,18,FALSE)=B308,G308="Active"),"Đang học",IF(F308&gt;=0.8,IF(G308="Active","Tiếp tục khóa sau",IF(G308="Waiting for class","Chờ lớp mới",IF(G308="Inactive",IF(IFERROR(H308,"")="Discontinued mid-course","Nghỉ giữa chừng","Hoàn thành rồi nghỉ luôn"),""))),IF(G308="Inactive","Nghỉ giữa chừng","Đang học"))))</f>
        <v>Hoàn thành rồi nghỉ luôn</v>
      </c>
    </row>
    <row r="309">
      <c r="A309" s="11" t="str">
        <f>IFERROR(__xludf.DUMMYFUNCTION("""COMPUTED_VALUE"""),"EL028")</f>
        <v>EL028</v>
      </c>
      <c r="B309" s="11" t="str">
        <f>IFERROR(__xludf.DUMMYFUNCTION("""COMPUTED_VALUE"""),"Communication 1")</f>
        <v>Communication 1</v>
      </c>
      <c r="C309" s="11" t="str">
        <f>IFERROR(__xludf.DUMMYFUNCTION("""COMPUTED_VALUE"""),"227200")</f>
        <v>227200</v>
      </c>
      <c r="D309" s="11">
        <f>IFERROR(__xludf.DUMMYFUNCTION("""COMPUTED_VALUE"""),10.0)</f>
        <v>10</v>
      </c>
      <c r="E309" s="11">
        <f>IFERROR(VLOOKUP(B309,COURSE_PLAN!A:B,2,FALSE),"")</f>
        <v>10</v>
      </c>
      <c r="F309" s="11">
        <f t="shared" si="1"/>
        <v>1</v>
      </c>
      <c r="G309" s="11" t="str">
        <f>IFERROR(VLOOKUP(C309,STUDENTS!A:E,5,FALSE),"")</f>
        <v>Inactive</v>
      </c>
      <c r="H309" s="11" t="str">
        <f>IFERROR(VLOOKUP(C309,STUDENTS!A:M,13,FALSE),"")</f>
        <v>Completed (no continuation)</v>
      </c>
      <c r="I309" s="11" t="str">
        <f>IF(D309="","",IF(AND(VLOOKUP(C309,STUDENTS!$A:$R,17,FALSE)=A309,VLOOKUP(C309,STUDENTS!$A:$R,18,FALSE)=B309,G309="Active"),"Đang học",IF(F309&gt;=0.8,IF(G309="Active","Tiếp tục khóa sau",IF(G309="Waiting for class","Chờ lớp mới",IF(G309="Inactive",IF(IFERROR(H309,"")="Discontinued mid-course","Nghỉ giữa chừng","Hoàn thành rồi nghỉ luôn"),""))),IF(G309="Inactive","Nghỉ giữa chừng","Đang học"))))</f>
        <v>Hoàn thành rồi nghỉ luôn</v>
      </c>
    </row>
    <row r="310">
      <c r="A310" s="11" t="str">
        <f>IFERROR(__xludf.DUMMYFUNCTION("""COMPUTED_VALUE"""),"EL028")</f>
        <v>EL028</v>
      </c>
      <c r="B310" s="11" t="str">
        <f>IFERROR(__xludf.DUMMYFUNCTION("""COMPUTED_VALUE"""),"Communication 1")</f>
        <v>Communication 1</v>
      </c>
      <c r="C310" s="11" t="str">
        <f>IFERROR(__xludf.DUMMYFUNCTION("""COMPUTED_VALUE"""),"227225")</f>
        <v>227225</v>
      </c>
      <c r="D310" s="11">
        <f>IFERROR(__xludf.DUMMYFUNCTION("""COMPUTED_VALUE"""),10.0)</f>
        <v>10</v>
      </c>
      <c r="E310" s="11">
        <f>IFERROR(VLOOKUP(B310,COURSE_PLAN!A:B,2,FALSE),"")</f>
        <v>10</v>
      </c>
      <c r="F310" s="11">
        <f t="shared" si="1"/>
        <v>1</v>
      </c>
      <c r="G310" s="11" t="str">
        <f>IFERROR(VLOOKUP(C310,STUDENTS!A:E,5,FALSE),"")</f>
        <v>Inactive</v>
      </c>
      <c r="H310" s="11" t="str">
        <f>IFERROR(VLOOKUP(C310,STUDENTS!A:M,13,FALSE),"")</f>
        <v>Completed (no continuation)</v>
      </c>
      <c r="I310" s="11" t="str">
        <f>IF(D310="","",IF(AND(VLOOKUP(C310,STUDENTS!$A:$R,17,FALSE)=A310,VLOOKUP(C310,STUDENTS!$A:$R,18,FALSE)=B310,G310="Active"),"Đang học",IF(F310&gt;=0.8,IF(G310="Active","Tiếp tục khóa sau",IF(G310="Waiting for class","Chờ lớp mới",IF(G310="Inactive",IF(IFERROR(H310,"")="Discontinued mid-course","Nghỉ giữa chừng","Hoàn thành rồi nghỉ luôn"),""))),IF(G310="Inactive","Nghỉ giữa chừng","Đang học"))))</f>
        <v>Hoàn thành rồi nghỉ luôn</v>
      </c>
    </row>
    <row r="311">
      <c r="A311" s="11" t="str">
        <f>IFERROR(__xludf.DUMMYFUNCTION("""COMPUTED_VALUE"""),"EL028")</f>
        <v>EL028</v>
      </c>
      <c r="B311" s="11" t="str">
        <f>IFERROR(__xludf.DUMMYFUNCTION("""COMPUTED_VALUE"""),"Communication 1")</f>
        <v>Communication 1</v>
      </c>
      <c r="C311" s="11" t="str">
        <f>IFERROR(__xludf.DUMMYFUNCTION("""COMPUTED_VALUE"""),"227240")</f>
        <v>227240</v>
      </c>
      <c r="D311" s="11">
        <f>IFERROR(__xludf.DUMMYFUNCTION("""COMPUTED_VALUE"""),10.0)</f>
        <v>10</v>
      </c>
      <c r="E311" s="11">
        <f>IFERROR(VLOOKUP(B311,COURSE_PLAN!A:B,2,FALSE),"")</f>
        <v>10</v>
      </c>
      <c r="F311" s="11">
        <f t="shared" si="1"/>
        <v>1</v>
      </c>
      <c r="G311" s="11" t="str">
        <f>IFERROR(VLOOKUP(C311,STUDENTS!A:E,5,FALSE),"")</f>
        <v>Inactive</v>
      </c>
      <c r="H311" s="11" t="str">
        <f>IFERROR(VLOOKUP(C311,STUDENTS!A:M,13,FALSE),"")</f>
        <v>Discontinued mid-course</v>
      </c>
      <c r="I311" s="11" t="str">
        <f>IF(D311="","",IF(AND(VLOOKUP(C311,STUDENTS!$A:$R,17,FALSE)=A311,VLOOKUP(C311,STUDENTS!$A:$R,18,FALSE)=B311,G311="Active"),"Đang học",IF(F311&gt;=0.8,IF(G311="Active","Tiếp tục khóa sau",IF(G311="Waiting for class","Chờ lớp mới",IF(G311="Inactive",IF(IFERROR(H311,"")="Discontinued mid-course","Nghỉ giữa chừng","Hoàn thành rồi nghỉ luôn"),""))),IF(G311="Inactive","Nghỉ giữa chừng","Đang học"))))</f>
        <v>Nghỉ giữa chừng</v>
      </c>
    </row>
    <row r="312">
      <c r="A312" s="11" t="str">
        <f>IFERROR(__xludf.DUMMYFUNCTION("""COMPUTED_VALUE"""),"EL028")</f>
        <v>EL028</v>
      </c>
      <c r="B312" s="11" t="str">
        <f>IFERROR(__xludf.DUMMYFUNCTION("""COMPUTED_VALUE"""),"Communication 1")</f>
        <v>Communication 1</v>
      </c>
      <c r="C312" s="11" t="str">
        <f>IFERROR(__xludf.DUMMYFUNCTION("""COMPUTED_VALUE"""),"237006")</f>
        <v>237006</v>
      </c>
      <c r="D312" s="11">
        <f>IFERROR(__xludf.DUMMYFUNCTION("""COMPUTED_VALUE"""),10.0)</f>
        <v>10</v>
      </c>
      <c r="E312" s="11">
        <f>IFERROR(VLOOKUP(B312,COURSE_PLAN!A:B,2,FALSE),"")</f>
        <v>10</v>
      </c>
      <c r="F312" s="11">
        <f t="shared" si="1"/>
        <v>1</v>
      </c>
      <c r="G312" s="11" t="str">
        <f>IFERROR(VLOOKUP(C312,STUDENTS!A:E,5,FALSE),"")</f>
        <v>Inactive</v>
      </c>
      <c r="H312" s="11" t="str">
        <f>IFERROR(VLOOKUP(C312,STUDENTS!A:M,13,FALSE),"")</f>
        <v>Completed (no continuation)</v>
      </c>
      <c r="I312" s="11" t="str">
        <f>IF(D312="","",IF(AND(VLOOKUP(C312,STUDENTS!$A:$R,17,FALSE)=A312,VLOOKUP(C312,STUDENTS!$A:$R,18,FALSE)=B312,G312="Active"),"Đang học",IF(F312&gt;=0.8,IF(G312="Active","Tiếp tục khóa sau",IF(G312="Waiting for class","Chờ lớp mới",IF(G312="Inactive",IF(IFERROR(H312,"")="Discontinued mid-course","Nghỉ giữa chừng","Hoàn thành rồi nghỉ luôn"),""))),IF(G312="Inactive","Nghỉ giữa chừng","Đang học"))))</f>
        <v>Hoàn thành rồi nghỉ luôn</v>
      </c>
    </row>
    <row r="313">
      <c r="A313" s="11" t="str">
        <f>IFERROR(__xludf.DUMMYFUNCTION("""COMPUTED_VALUE"""),"EL029")</f>
        <v>EL029</v>
      </c>
      <c r="B313" s="11" t="str">
        <f>IFERROR(__xludf.DUMMYFUNCTION("""COMPUTED_VALUE"""),"Communication 1")</f>
        <v>Communication 1</v>
      </c>
      <c r="C313" s="11" t="str">
        <f>IFERROR(__xludf.DUMMYFUNCTION("""COMPUTED_VALUE"""),"183324")</f>
        <v>183324</v>
      </c>
      <c r="D313" s="11">
        <f>IFERROR(__xludf.DUMMYFUNCTION("""COMPUTED_VALUE"""),10.0)</f>
        <v>10</v>
      </c>
      <c r="E313" s="11">
        <f>IFERROR(VLOOKUP(B313,COURSE_PLAN!A:B,2,FALSE),"")</f>
        <v>10</v>
      </c>
      <c r="F313" s="11">
        <f t="shared" si="1"/>
        <v>1</v>
      </c>
      <c r="G313" s="11" t="str">
        <f>IFERROR(VLOOKUP(C313,STUDENTS!A:E,5,FALSE),"")</f>
        <v>Inactive</v>
      </c>
      <c r="H313" s="11" t="str">
        <f>IFERROR(VLOOKUP(C313,STUDENTS!A:M,13,FALSE),"")</f>
        <v>Completed (no continuation)</v>
      </c>
      <c r="I313" s="11" t="str">
        <f>IF(D313="","",IF(AND(VLOOKUP(C313,STUDENTS!$A:$R,17,FALSE)=A313,VLOOKUP(C313,STUDENTS!$A:$R,18,FALSE)=B313,G313="Active"),"Đang học",IF(F313&gt;=0.8,IF(G313="Active","Tiếp tục khóa sau",IF(G313="Waiting for class","Chờ lớp mới",IF(G313="Inactive",IF(IFERROR(H313,"")="Discontinued mid-course","Nghỉ giữa chừng","Hoàn thành rồi nghỉ luôn"),""))),IF(G313="Inactive","Nghỉ giữa chừng","Đang học"))))</f>
        <v>Hoàn thành rồi nghỉ luôn</v>
      </c>
    </row>
    <row r="314">
      <c r="A314" s="11" t="str">
        <f>IFERROR(__xludf.DUMMYFUNCTION("""COMPUTED_VALUE"""),"EL029")</f>
        <v>EL029</v>
      </c>
      <c r="B314" s="11" t="str">
        <f>IFERROR(__xludf.DUMMYFUNCTION("""COMPUTED_VALUE"""),"Communication 1")</f>
        <v>Communication 1</v>
      </c>
      <c r="C314" s="11" t="str">
        <f>IFERROR(__xludf.DUMMYFUNCTION("""COMPUTED_VALUE"""),"227170")</f>
        <v>227170</v>
      </c>
      <c r="D314" s="11">
        <f>IFERROR(__xludf.DUMMYFUNCTION("""COMPUTED_VALUE"""),10.0)</f>
        <v>10</v>
      </c>
      <c r="E314" s="11">
        <f>IFERROR(VLOOKUP(B314,COURSE_PLAN!A:B,2,FALSE),"")</f>
        <v>10</v>
      </c>
      <c r="F314" s="11">
        <f t="shared" si="1"/>
        <v>1</v>
      </c>
      <c r="G314" s="11" t="str">
        <f>IFERROR(VLOOKUP(C314,STUDENTS!A:E,5,FALSE),"")</f>
        <v>Inactive</v>
      </c>
      <c r="H314" s="11" t="str">
        <f>IFERROR(VLOOKUP(C314,STUDENTS!A:M,13,FALSE),"")</f>
        <v>Completed (no continuation)</v>
      </c>
      <c r="I314" s="11" t="str">
        <f>IF(D314="","",IF(AND(VLOOKUP(C314,STUDENTS!$A:$R,17,FALSE)=A314,VLOOKUP(C314,STUDENTS!$A:$R,18,FALSE)=B314,G314="Active"),"Đang học",IF(F314&gt;=0.8,IF(G314="Active","Tiếp tục khóa sau",IF(G314="Waiting for class","Chờ lớp mới",IF(G314="Inactive",IF(IFERROR(H314,"")="Discontinued mid-course","Nghỉ giữa chừng","Hoàn thành rồi nghỉ luôn"),""))),IF(G314="Inactive","Nghỉ giữa chừng","Đang học"))))</f>
        <v>Hoàn thành rồi nghỉ luôn</v>
      </c>
    </row>
    <row r="315">
      <c r="A315" s="11" t="str">
        <f>IFERROR(__xludf.DUMMYFUNCTION("""COMPUTED_VALUE"""),"EL029")</f>
        <v>EL029</v>
      </c>
      <c r="B315" s="11" t="str">
        <f>IFERROR(__xludf.DUMMYFUNCTION("""COMPUTED_VALUE"""),"Communication 1")</f>
        <v>Communication 1</v>
      </c>
      <c r="C315" s="11" t="str">
        <f>IFERROR(__xludf.DUMMYFUNCTION("""COMPUTED_VALUE"""),"227224")</f>
        <v>227224</v>
      </c>
      <c r="D315" s="11">
        <f>IFERROR(__xludf.DUMMYFUNCTION("""COMPUTED_VALUE"""),10.0)</f>
        <v>10</v>
      </c>
      <c r="E315" s="11">
        <f>IFERROR(VLOOKUP(B315,COURSE_PLAN!A:B,2,FALSE),"")</f>
        <v>10</v>
      </c>
      <c r="F315" s="11">
        <f t="shared" si="1"/>
        <v>1</v>
      </c>
      <c r="G315" s="11" t="str">
        <f>IFERROR(VLOOKUP(C315,STUDENTS!A:E,5,FALSE),"")</f>
        <v>Inactive</v>
      </c>
      <c r="H315" s="11" t="str">
        <f>IFERROR(VLOOKUP(C315,STUDENTS!A:M,13,FALSE),"")</f>
        <v>Completed (no continuation)</v>
      </c>
      <c r="I315" s="11" t="str">
        <f>IF(D315="","",IF(AND(VLOOKUP(C315,STUDENTS!$A:$R,17,FALSE)=A315,VLOOKUP(C315,STUDENTS!$A:$R,18,FALSE)=B315,G315="Active"),"Đang học",IF(F315&gt;=0.8,IF(G315="Active","Tiếp tục khóa sau",IF(G315="Waiting for class","Chờ lớp mới",IF(G315="Inactive",IF(IFERROR(H315,"")="Discontinued mid-course","Nghỉ giữa chừng","Hoàn thành rồi nghỉ luôn"),""))),IF(G315="Inactive","Nghỉ giữa chừng","Đang học"))))</f>
        <v>Hoàn thành rồi nghỉ luôn</v>
      </c>
    </row>
    <row r="316">
      <c r="A316" s="11" t="str">
        <f>IFERROR(__xludf.DUMMYFUNCTION("""COMPUTED_VALUE"""),"EL029")</f>
        <v>EL029</v>
      </c>
      <c r="B316" s="11" t="str">
        <f>IFERROR(__xludf.DUMMYFUNCTION("""COMPUTED_VALUE"""),"Communication 1")</f>
        <v>Communication 1</v>
      </c>
      <c r="C316" s="11" t="str">
        <f>IFERROR(__xludf.DUMMYFUNCTION("""COMPUTED_VALUE"""),"237023")</f>
        <v>237023</v>
      </c>
      <c r="D316" s="11">
        <f>IFERROR(__xludf.DUMMYFUNCTION("""COMPUTED_VALUE"""),10.0)</f>
        <v>10</v>
      </c>
      <c r="E316" s="11">
        <f>IFERROR(VLOOKUP(B316,COURSE_PLAN!A:B,2,FALSE),"")</f>
        <v>10</v>
      </c>
      <c r="F316" s="11">
        <f t="shared" si="1"/>
        <v>1</v>
      </c>
      <c r="G316" s="11" t="str">
        <f>IFERROR(VLOOKUP(C316,STUDENTS!A:E,5,FALSE),"")</f>
        <v>Inactive</v>
      </c>
      <c r="H316" s="11" t="str">
        <f>IFERROR(VLOOKUP(C316,STUDENTS!A:M,13,FALSE),"")</f>
        <v>Completed (no continuation)</v>
      </c>
      <c r="I316" s="11" t="str">
        <f>IF(D316="","",IF(AND(VLOOKUP(C316,STUDENTS!$A:$R,17,FALSE)=A316,VLOOKUP(C316,STUDENTS!$A:$R,18,FALSE)=B316,G316="Active"),"Đang học",IF(F316&gt;=0.8,IF(G316="Active","Tiếp tục khóa sau",IF(G316="Waiting for class","Chờ lớp mới",IF(G316="Inactive",IF(IFERROR(H316,"")="Discontinued mid-course","Nghỉ giữa chừng","Hoàn thành rồi nghỉ luôn"),""))),IF(G316="Inactive","Nghỉ giữa chừng","Đang học"))))</f>
        <v>Hoàn thành rồi nghỉ luôn</v>
      </c>
    </row>
    <row r="317">
      <c r="A317" s="11" t="str">
        <f>IFERROR(__xludf.DUMMYFUNCTION("""COMPUTED_VALUE"""),"EL029")</f>
        <v>EL029</v>
      </c>
      <c r="B317" s="11" t="str">
        <f>IFERROR(__xludf.DUMMYFUNCTION("""COMPUTED_VALUE"""),"Communication 1")</f>
        <v>Communication 1</v>
      </c>
      <c r="C317" s="11" t="str">
        <f>IFERROR(__xludf.DUMMYFUNCTION("""COMPUTED_VALUE"""),"247114")</f>
        <v>247114</v>
      </c>
      <c r="D317" s="11">
        <f>IFERROR(__xludf.DUMMYFUNCTION("""COMPUTED_VALUE"""),10.0)</f>
        <v>10</v>
      </c>
      <c r="E317" s="11">
        <f>IFERROR(VLOOKUP(B317,COURSE_PLAN!A:B,2,FALSE),"")</f>
        <v>10</v>
      </c>
      <c r="F317" s="11">
        <f t="shared" si="1"/>
        <v>1</v>
      </c>
      <c r="G317" s="11" t="str">
        <f>IFERROR(VLOOKUP(C317,STUDENTS!A:E,5,FALSE),"")</f>
        <v>Inactive</v>
      </c>
      <c r="H317" s="11" t="str">
        <f>IFERROR(VLOOKUP(C317,STUDENTS!A:M,13,FALSE),"")</f>
        <v>Completed (no continuation)</v>
      </c>
      <c r="I317" s="11" t="str">
        <f>IF(D317="","",IF(AND(VLOOKUP(C317,STUDENTS!$A:$R,17,FALSE)=A317,VLOOKUP(C317,STUDENTS!$A:$R,18,FALSE)=B317,G317="Active"),"Đang học",IF(F317&gt;=0.8,IF(G317="Active","Tiếp tục khóa sau",IF(G317="Waiting for class","Chờ lớp mới",IF(G317="Inactive",IF(IFERROR(H317,"")="Discontinued mid-course","Nghỉ giữa chừng","Hoàn thành rồi nghỉ luôn"),""))),IF(G317="Inactive","Nghỉ giữa chừng","Đang học"))))</f>
        <v>Hoàn thành rồi nghỉ luôn</v>
      </c>
    </row>
    <row r="318">
      <c r="A318" s="11" t="str">
        <f>IFERROR(__xludf.DUMMYFUNCTION("""COMPUTED_VALUE"""),"EL029")</f>
        <v>EL029</v>
      </c>
      <c r="B318" s="11" t="str">
        <f>IFERROR(__xludf.DUMMYFUNCTION("""COMPUTED_VALUE"""),"Communication 1")</f>
        <v>Communication 1</v>
      </c>
      <c r="C318" s="11" t="str">
        <f>IFERROR(__xludf.DUMMYFUNCTION("""COMPUTED_VALUE"""),"247230")</f>
        <v>247230</v>
      </c>
      <c r="D318" s="11">
        <f>IFERROR(__xludf.DUMMYFUNCTION("""COMPUTED_VALUE"""),10.0)</f>
        <v>10</v>
      </c>
      <c r="E318" s="11">
        <f>IFERROR(VLOOKUP(B318,COURSE_PLAN!A:B,2,FALSE),"")</f>
        <v>10</v>
      </c>
      <c r="F318" s="11">
        <f t="shared" si="1"/>
        <v>1</v>
      </c>
      <c r="G318" s="11" t="str">
        <f>IFERROR(VLOOKUP(C318,STUDENTS!A:E,5,FALSE),"")</f>
        <v>Inactive</v>
      </c>
      <c r="H318" s="11" t="str">
        <f>IFERROR(VLOOKUP(C318,STUDENTS!A:M,13,FALSE),"")</f>
        <v>Completed (no continuation)</v>
      </c>
      <c r="I318" s="11" t="str">
        <f>IF(D318="","",IF(AND(VLOOKUP(C318,STUDENTS!$A:$R,17,FALSE)=A318,VLOOKUP(C318,STUDENTS!$A:$R,18,FALSE)=B318,G318="Active"),"Đang học",IF(F318&gt;=0.8,IF(G318="Active","Tiếp tục khóa sau",IF(G318="Waiting for class","Chờ lớp mới",IF(G318="Inactive",IF(IFERROR(H318,"")="Discontinued mid-course","Nghỉ giữa chừng","Hoàn thành rồi nghỉ luôn"),""))),IF(G318="Inactive","Nghỉ giữa chừng","Đang học"))))</f>
        <v>Hoàn thành rồi nghỉ luôn</v>
      </c>
    </row>
    <row r="319">
      <c r="A319" s="11" t="str">
        <f>IFERROR(__xludf.DUMMYFUNCTION("""COMPUTED_VALUE"""),"EL030")</f>
        <v>EL030</v>
      </c>
      <c r="B319" s="11" t="str">
        <f>IFERROR(__xludf.DUMMYFUNCTION("""COMPUTED_VALUE"""),"Communication 1")</f>
        <v>Communication 1</v>
      </c>
      <c r="C319" s="11" t="str">
        <f>IFERROR(__xludf.DUMMYFUNCTION("""COMPUTED_VALUE"""),"183332")</f>
        <v>183332</v>
      </c>
      <c r="D319" s="11">
        <f>IFERROR(__xludf.DUMMYFUNCTION("""COMPUTED_VALUE"""),10.0)</f>
        <v>10</v>
      </c>
      <c r="E319" s="11">
        <f>IFERROR(VLOOKUP(B319,COURSE_PLAN!A:B,2,FALSE),"")</f>
        <v>10</v>
      </c>
      <c r="F319" s="11">
        <f t="shared" si="1"/>
        <v>1</v>
      </c>
      <c r="G319" s="11" t="str">
        <f>IFERROR(VLOOKUP(C319,STUDENTS!A:E,5,FALSE),"")</f>
        <v>Inactive</v>
      </c>
      <c r="H319" s="11" t="str">
        <f>IFERROR(VLOOKUP(C319,STUDENTS!A:M,13,FALSE),"")</f>
        <v>Discontinued mid-course</v>
      </c>
      <c r="I319" s="11" t="str">
        <f>IF(D319="","",IF(AND(VLOOKUP(C319,STUDENTS!$A:$R,17,FALSE)=A319,VLOOKUP(C319,STUDENTS!$A:$R,18,FALSE)=B319,G319="Active"),"Đang học",IF(F319&gt;=0.8,IF(G319="Active","Tiếp tục khóa sau",IF(G319="Waiting for class","Chờ lớp mới",IF(G319="Inactive",IF(IFERROR(H319,"")="Discontinued mid-course","Nghỉ giữa chừng","Hoàn thành rồi nghỉ luôn"),""))),IF(G319="Inactive","Nghỉ giữa chừng","Đang học"))))</f>
        <v>Nghỉ giữa chừng</v>
      </c>
    </row>
    <row r="320">
      <c r="A320" s="11" t="str">
        <f>IFERROR(__xludf.DUMMYFUNCTION("""COMPUTED_VALUE"""),"EL030")</f>
        <v>EL030</v>
      </c>
      <c r="B320" s="11" t="str">
        <f>IFERROR(__xludf.DUMMYFUNCTION("""COMPUTED_VALUE"""),"Communication 1")</f>
        <v>Communication 1</v>
      </c>
      <c r="C320" s="11" t="str">
        <f>IFERROR(__xludf.DUMMYFUNCTION("""COMPUTED_VALUE"""),"227125")</f>
        <v>227125</v>
      </c>
      <c r="D320" s="11">
        <f>IFERROR(__xludf.DUMMYFUNCTION("""COMPUTED_VALUE"""),10.0)</f>
        <v>10</v>
      </c>
      <c r="E320" s="11">
        <f>IFERROR(VLOOKUP(B320,COURSE_PLAN!A:B,2,FALSE),"")</f>
        <v>10</v>
      </c>
      <c r="F320" s="11">
        <f t="shared" si="1"/>
        <v>1</v>
      </c>
      <c r="G320" s="11" t="str">
        <f>IFERROR(VLOOKUP(C320,STUDENTS!A:E,5,FALSE),"")</f>
        <v>Inactive</v>
      </c>
      <c r="H320" s="11" t="str">
        <f>IFERROR(VLOOKUP(C320,STUDENTS!A:M,13,FALSE),"")</f>
        <v>Discontinued mid-course</v>
      </c>
      <c r="I320" s="11" t="str">
        <f>IF(D320="","",IF(AND(VLOOKUP(C320,STUDENTS!$A:$R,17,FALSE)=A320,VLOOKUP(C320,STUDENTS!$A:$R,18,FALSE)=B320,G320="Active"),"Đang học",IF(F320&gt;=0.8,IF(G320="Active","Tiếp tục khóa sau",IF(G320="Waiting for class","Chờ lớp mới",IF(G320="Inactive",IF(IFERROR(H320,"")="Discontinued mid-course","Nghỉ giữa chừng","Hoàn thành rồi nghỉ luôn"),""))),IF(G320="Inactive","Nghỉ giữa chừng","Đang học"))))</f>
        <v>Nghỉ giữa chừng</v>
      </c>
    </row>
    <row r="321">
      <c r="A321" s="11" t="str">
        <f>IFERROR(__xludf.DUMMYFUNCTION("""COMPUTED_VALUE"""),"EL030")</f>
        <v>EL030</v>
      </c>
      <c r="B321" s="11" t="str">
        <f>IFERROR(__xludf.DUMMYFUNCTION("""COMPUTED_VALUE"""),"Communication 1")</f>
        <v>Communication 1</v>
      </c>
      <c r="C321" s="11" t="str">
        <f>IFERROR(__xludf.DUMMYFUNCTION("""COMPUTED_VALUE"""),"227220")</f>
        <v>227220</v>
      </c>
      <c r="D321" s="11">
        <f>IFERROR(__xludf.DUMMYFUNCTION("""COMPUTED_VALUE"""),10.0)</f>
        <v>10</v>
      </c>
      <c r="E321" s="11">
        <f>IFERROR(VLOOKUP(B321,COURSE_PLAN!A:B,2,FALSE),"")</f>
        <v>10</v>
      </c>
      <c r="F321" s="11">
        <f t="shared" si="1"/>
        <v>1</v>
      </c>
      <c r="G321" s="11" t="str">
        <f>IFERROR(VLOOKUP(C321,STUDENTS!A:E,5,FALSE),"")</f>
        <v>Inactive</v>
      </c>
      <c r="H321" s="11" t="str">
        <f>IFERROR(VLOOKUP(C321,STUDENTS!A:M,13,FALSE),"")</f>
        <v>Discontinued mid-course</v>
      </c>
      <c r="I321" s="11" t="str">
        <f>IF(D321="","",IF(AND(VLOOKUP(C321,STUDENTS!$A:$R,17,FALSE)=A321,VLOOKUP(C321,STUDENTS!$A:$R,18,FALSE)=B321,G321="Active"),"Đang học",IF(F321&gt;=0.8,IF(G321="Active","Tiếp tục khóa sau",IF(G321="Waiting for class","Chờ lớp mới",IF(G321="Inactive",IF(IFERROR(H321,"")="Discontinued mid-course","Nghỉ giữa chừng","Hoàn thành rồi nghỉ luôn"),""))),IF(G321="Inactive","Nghỉ giữa chừng","Đang học"))))</f>
        <v>Nghỉ giữa chừng</v>
      </c>
    </row>
    <row r="322">
      <c r="A322" s="11" t="str">
        <f>IFERROR(__xludf.DUMMYFUNCTION("""COMPUTED_VALUE"""),"EL030")</f>
        <v>EL030</v>
      </c>
      <c r="B322" s="11" t="str">
        <f>IFERROR(__xludf.DUMMYFUNCTION("""COMPUTED_VALUE"""),"Communication 1")</f>
        <v>Communication 1</v>
      </c>
      <c r="C322" s="11" t="str">
        <f>IFERROR(__xludf.DUMMYFUNCTION("""COMPUTED_VALUE"""),"237049")</f>
        <v>237049</v>
      </c>
      <c r="D322" s="11">
        <f>IFERROR(__xludf.DUMMYFUNCTION("""COMPUTED_VALUE"""),10.0)</f>
        <v>10</v>
      </c>
      <c r="E322" s="11">
        <f>IFERROR(VLOOKUP(B322,COURSE_PLAN!A:B,2,FALSE),"")</f>
        <v>10</v>
      </c>
      <c r="F322" s="11">
        <f t="shared" si="1"/>
        <v>1</v>
      </c>
      <c r="G322" s="11" t="str">
        <f>IFERROR(VLOOKUP(C322,STUDENTS!A:E,5,FALSE),"")</f>
        <v>Inactive</v>
      </c>
      <c r="H322" s="11" t="str">
        <f>IFERROR(VLOOKUP(C322,STUDENTS!A:M,13,FALSE),"")</f>
        <v>Completed (no continuation)</v>
      </c>
      <c r="I322" s="11" t="str">
        <f>IF(D322="","",IF(AND(VLOOKUP(C322,STUDENTS!$A:$R,17,FALSE)=A322,VLOOKUP(C322,STUDENTS!$A:$R,18,FALSE)=B322,G322="Active"),"Đang học",IF(F322&gt;=0.8,IF(G322="Active","Tiếp tục khóa sau",IF(G322="Waiting for class","Chờ lớp mới",IF(G322="Inactive",IF(IFERROR(H322,"")="Discontinued mid-course","Nghỉ giữa chừng","Hoàn thành rồi nghỉ luôn"),""))),IF(G322="Inactive","Nghỉ giữa chừng","Đang học"))))</f>
        <v>Hoàn thành rồi nghỉ luôn</v>
      </c>
    </row>
    <row r="323">
      <c r="A323" s="11" t="str">
        <f>IFERROR(__xludf.DUMMYFUNCTION("""COMPUTED_VALUE"""),"EL030")</f>
        <v>EL030</v>
      </c>
      <c r="B323" s="11" t="str">
        <f>IFERROR(__xludf.DUMMYFUNCTION("""COMPUTED_VALUE"""),"Communication 1")</f>
        <v>Communication 1</v>
      </c>
      <c r="C323" s="11" t="str">
        <f>IFERROR(__xludf.DUMMYFUNCTION("""COMPUTED_VALUE"""),"237101")</f>
        <v>237101</v>
      </c>
      <c r="D323" s="11">
        <f>IFERROR(__xludf.DUMMYFUNCTION("""COMPUTED_VALUE"""),10.0)</f>
        <v>10</v>
      </c>
      <c r="E323" s="11">
        <f>IFERROR(VLOOKUP(B323,COURSE_PLAN!A:B,2,FALSE),"")</f>
        <v>10</v>
      </c>
      <c r="F323" s="11">
        <f t="shared" si="1"/>
        <v>1</v>
      </c>
      <c r="G323" s="11" t="str">
        <f>IFERROR(VLOOKUP(C323,STUDENTS!A:E,5,FALSE),"")</f>
        <v>Inactive</v>
      </c>
      <c r="H323" s="11" t="str">
        <f>IFERROR(VLOOKUP(C323,STUDENTS!A:M,13,FALSE),"")</f>
        <v>Completed (no continuation)</v>
      </c>
      <c r="I323" s="11" t="str">
        <f>IF(D323="","",IF(AND(VLOOKUP(C323,STUDENTS!$A:$R,17,FALSE)=A323,VLOOKUP(C323,STUDENTS!$A:$R,18,FALSE)=B323,G323="Active"),"Đang học",IF(F323&gt;=0.8,IF(G323="Active","Tiếp tục khóa sau",IF(G323="Waiting for class","Chờ lớp mới",IF(G323="Inactive",IF(IFERROR(H323,"")="Discontinued mid-course","Nghỉ giữa chừng","Hoàn thành rồi nghỉ luôn"),""))),IF(G323="Inactive","Nghỉ giữa chừng","Đang học"))))</f>
        <v>Hoàn thành rồi nghỉ luôn</v>
      </c>
    </row>
    <row r="324">
      <c r="A324" s="11" t="str">
        <f>IFERROR(__xludf.DUMMYFUNCTION("""COMPUTED_VALUE"""),"EL030")</f>
        <v>EL030</v>
      </c>
      <c r="B324" s="11" t="str">
        <f>IFERROR(__xludf.DUMMYFUNCTION("""COMPUTED_VALUE"""),"Communication 1")</f>
        <v>Communication 1</v>
      </c>
      <c r="C324" s="11" t="str">
        <f>IFERROR(__xludf.DUMMYFUNCTION("""COMPUTED_VALUE"""),"247122")</f>
        <v>247122</v>
      </c>
      <c r="D324" s="11">
        <f>IFERROR(__xludf.DUMMYFUNCTION("""COMPUTED_VALUE"""),10.0)</f>
        <v>10</v>
      </c>
      <c r="E324" s="11">
        <f>IFERROR(VLOOKUP(B324,COURSE_PLAN!A:B,2,FALSE),"")</f>
        <v>10</v>
      </c>
      <c r="F324" s="11">
        <f t="shared" si="1"/>
        <v>1</v>
      </c>
      <c r="G324" s="11" t="str">
        <f>IFERROR(VLOOKUP(C324,STUDENTS!A:E,5,FALSE),"")</f>
        <v>Inactive</v>
      </c>
      <c r="H324" s="11" t="str">
        <f>IFERROR(VLOOKUP(C324,STUDENTS!A:M,13,FALSE),"")</f>
        <v>Completed (no continuation)</v>
      </c>
      <c r="I324" s="11" t="str">
        <f>IF(D324="","",IF(AND(VLOOKUP(C324,STUDENTS!$A:$R,17,FALSE)=A324,VLOOKUP(C324,STUDENTS!$A:$R,18,FALSE)=B324,G324="Active"),"Đang học",IF(F324&gt;=0.8,IF(G324="Active","Tiếp tục khóa sau",IF(G324="Waiting for class","Chờ lớp mới",IF(G324="Inactive",IF(IFERROR(H324,"")="Discontinued mid-course","Nghỉ giữa chừng","Hoàn thành rồi nghỉ luôn"),""))),IF(G324="Inactive","Nghỉ giữa chừng","Đang học"))))</f>
        <v>Hoàn thành rồi nghỉ luôn</v>
      </c>
    </row>
    <row r="325">
      <c r="A325" s="11" t="str">
        <f>IFERROR(__xludf.DUMMYFUNCTION("""COMPUTED_VALUE"""),"EL030")</f>
        <v>EL030</v>
      </c>
      <c r="B325" s="11" t="str">
        <f>IFERROR(__xludf.DUMMYFUNCTION("""COMPUTED_VALUE"""),"Communication 1")</f>
        <v>Communication 1</v>
      </c>
      <c r="C325" s="11" t="str">
        <f>IFERROR(__xludf.DUMMYFUNCTION("""COMPUTED_VALUE"""),"247146")</f>
        <v>247146</v>
      </c>
      <c r="D325" s="11">
        <f>IFERROR(__xludf.DUMMYFUNCTION("""COMPUTED_VALUE"""),10.0)</f>
        <v>10</v>
      </c>
      <c r="E325" s="11">
        <f>IFERROR(VLOOKUP(B325,COURSE_PLAN!A:B,2,FALSE),"")</f>
        <v>10</v>
      </c>
      <c r="F325" s="11">
        <f t="shared" si="1"/>
        <v>1</v>
      </c>
      <c r="G325" s="11" t="str">
        <f>IFERROR(VLOOKUP(C325,STUDENTS!A:E,5,FALSE),"")</f>
        <v>Inactive</v>
      </c>
      <c r="H325" s="11" t="str">
        <f>IFERROR(VLOOKUP(C325,STUDENTS!A:M,13,FALSE),"")</f>
        <v>Discontinued mid-course</v>
      </c>
      <c r="I325" s="11" t="str">
        <f>IF(D325="","",IF(AND(VLOOKUP(C325,STUDENTS!$A:$R,17,FALSE)=A325,VLOOKUP(C325,STUDENTS!$A:$R,18,FALSE)=B325,G325="Active"),"Đang học",IF(F325&gt;=0.8,IF(G325="Active","Tiếp tục khóa sau",IF(G325="Waiting for class","Chờ lớp mới",IF(G325="Inactive",IF(IFERROR(H325,"")="Discontinued mid-course","Nghỉ giữa chừng","Hoàn thành rồi nghỉ luôn"),""))),IF(G325="Inactive","Nghỉ giữa chừng","Đang học"))))</f>
        <v>Nghỉ giữa chừng</v>
      </c>
    </row>
    <row r="326">
      <c r="A326" s="11" t="str">
        <f>IFERROR(__xludf.DUMMYFUNCTION("""COMPUTED_VALUE"""),"EL031")</f>
        <v>EL031</v>
      </c>
      <c r="B326" s="11" t="str">
        <f>IFERROR(__xludf.DUMMYFUNCTION("""COMPUTED_VALUE"""),"Communication 1")</f>
        <v>Communication 1</v>
      </c>
      <c r="C326" s="11" t="str">
        <f>IFERROR(__xludf.DUMMYFUNCTION("""COMPUTED_VALUE"""),"203764")</f>
        <v>203764</v>
      </c>
      <c r="D326" s="11">
        <f>IFERROR(__xludf.DUMMYFUNCTION("""COMPUTED_VALUE"""),10.0)</f>
        <v>10</v>
      </c>
      <c r="E326" s="11">
        <f>IFERROR(VLOOKUP(B326,COURSE_PLAN!A:B,2,FALSE),"")</f>
        <v>10</v>
      </c>
      <c r="F326" s="11">
        <f t="shared" si="1"/>
        <v>1</v>
      </c>
      <c r="G326" s="11" t="str">
        <f>IFERROR(VLOOKUP(C326,STUDENTS!A:E,5,FALSE),"")</f>
        <v>Active</v>
      </c>
      <c r="H326" s="11" t="str">
        <f>IFERROR(VLOOKUP(C326,STUDENTS!A:M,13,FALSE),"")</f>
        <v/>
      </c>
      <c r="I326" s="11" t="str">
        <f>IF(D326="","",IF(AND(VLOOKUP(C326,STUDENTS!$A:$R,17,FALSE)=A326,VLOOKUP(C326,STUDENTS!$A:$R,18,FALSE)=B326,G326="Active"),"Đang học",IF(F326&gt;=0.8,IF(G326="Active","Tiếp tục khóa sau",IF(G326="Waiting for class","Chờ lớp mới",IF(G326="Inactive",IF(IFERROR(H326,"")="Discontinued mid-course","Nghỉ giữa chừng","Hoàn thành rồi nghỉ luôn"),""))),IF(G326="Inactive","Nghỉ giữa chừng","Đang học"))))</f>
        <v>Tiếp tục khóa sau</v>
      </c>
    </row>
    <row r="327">
      <c r="A327" s="11" t="str">
        <f>IFERROR(__xludf.DUMMYFUNCTION("""COMPUTED_VALUE"""),"EL031")</f>
        <v>EL031</v>
      </c>
      <c r="B327" s="11" t="str">
        <f>IFERROR(__xludf.DUMMYFUNCTION("""COMPUTED_VALUE"""),"Communication 1")</f>
        <v>Communication 1</v>
      </c>
      <c r="C327" s="11" t="str">
        <f>IFERROR(__xludf.DUMMYFUNCTION("""COMPUTED_VALUE"""),"237156")</f>
        <v>237156</v>
      </c>
      <c r="D327" s="11">
        <f>IFERROR(__xludf.DUMMYFUNCTION("""COMPUTED_VALUE"""),10.0)</f>
        <v>10</v>
      </c>
      <c r="E327" s="11">
        <f>IFERROR(VLOOKUP(B327,COURSE_PLAN!A:B,2,FALSE),"")</f>
        <v>10</v>
      </c>
      <c r="F327" s="11">
        <f t="shared" si="1"/>
        <v>1</v>
      </c>
      <c r="G327" s="11" t="str">
        <f>IFERROR(VLOOKUP(C327,STUDENTS!A:E,5,FALSE),"")</f>
        <v>Inactive</v>
      </c>
      <c r="H327" s="11" t="str">
        <f>IFERROR(VLOOKUP(C327,STUDENTS!A:M,13,FALSE),"")</f>
        <v>Completed (no continuation)</v>
      </c>
      <c r="I327" s="11" t="str">
        <f>IF(D327="","",IF(AND(VLOOKUP(C327,STUDENTS!$A:$R,17,FALSE)=A327,VLOOKUP(C327,STUDENTS!$A:$R,18,FALSE)=B327,G327="Active"),"Đang học",IF(F327&gt;=0.8,IF(G327="Active","Tiếp tục khóa sau",IF(G327="Waiting for class","Chờ lớp mới",IF(G327="Inactive",IF(IFERROR(H327,"")="Discontinued mid-course","Nghỉ giữa chừng","Hoàn thành rồi nghỉ luôn"),""))),IF(G327="Inactive","Nghỉ giữa chừng","Đang học"))))</f>
        <v>Hoàn thành rồi nghỉ luôn</v>
      </c>
    </row>
    <row r="328">
      <c r="A328" s="11" t="str">
        <f>IFERROR(__xludf.DUMMYFUNCTION("""COMPUTED_VALUE"""),"EL031")</f>
        <v>EL031</v>
      </c>
      <c r="B328" s="11" t="str">
        <f>IFERROR(__xludf.DUMMYFUNCTION("""COMPUTED_VALUE"""),"Communication 1")</f>
        <v>Communication 1</v>
      </c>
      <c r="C328" s="11" t="str">
        <f>IFERROR(__xludf.DUMMYFUNCTION("""COMPUTED_VALUE"""),"247098")</f>
        <v>247098</v>
      </c>
      <c r="D328" s="11">
        <f>IFERROR(__xludf.DUMMYFUNCTION("""COMPUTED_VALUE"""),10.0)</f>
        <v>10</v>
      </c>
      <c r="E328" s="11">
        <f>IFERROR(VLOOKUP(B328,COURSE_PLAN!A:B,2,FALSE),"")</f>
        <v>10</v>
      </c>
      <c r="F328" s="11">
        <f t="shared" si="1"/>
        <v>1</v>
      </c>
      <c r="G328" s="11" t="str">
        <f>IFERROR(VLOOKUP(C328,STUDENTS!A:E,5,FALSE),"")</f>
        <v>Inactive</v>
      </c>
      <c r="H328" s="11" t="str">
        <f>IFERROR(VLOOKUP(C328,STUDENTS!A:M,13,FALSE),"")</f>
        <v>Completed (no continuation)</v>
      </c>
      <c r="I328" s="11" t="str">
        <f>IF(D328="","",IF(AND(VLOOKUP(C328,STUDENTS!$A:$R,17,FALSE)=A328,VLOOKUP(C328,STUDENTS!$A:$R,18,FALSE)=B328,G328="Active"),"Đang học",IF(F328&gt;=0.8,IF(G328="Active","Tiếp tục khóa sau",IF(G328="Waiting for class","Chờ lớp mới",IF(G328="Inactive",IF(IFERROR(H328,"")="Discontinued mid-course","Nghỉ giữa chừng","Hoàn thành rồi nghỉ luôn"),""))),IF(G328="Inactive","Nghỉ giữa chừng","Đang học"))))</f>
        <v>Hoàn thành rồi nghỉ luôn</v>
      </c>
    </row>
    <row r="329">
      <c r="A329" s="11" t="str">
        <f>IFERROR(__xludf.DUMMYFUNCTION("""COMPUTED_VALUE"""),"EL031")</f>
        <v>EL031</v>
      </c>
      <c r="B329" s="11" t="str">
        <f>IFERROR(__xludf.DUMMYFUNCTION("""COMPUTED_VALUE"""),"Communication 1")</f>
        <v>Communication 1</v>
      </c>
      <c r="C329" s="11" t="str">
        <f>IFERROR(__xludf.DUMMYFUNCTION("""COMPUTED_VALUE"""),"247119")</f>
        <v>247119</v>
      </c>
      <c r="D329" s="11">
        <f>IFERROR(__xludf.DUMMYFUNCTION("""COMPUTED_VALUE"""),10.0)</f>
        <v>10</v>
      </c>
      <c r="E329" s="11">
        <f>IFERROR(VLOOKUP(B329,COURSE_PLAN!A:B,2,FALSE),"")</f>
        <v>10</v>
      </c>
      <c r="F329" s="11">
        <f t="shared" si="1"/>
        <v>1</v>
      </c>
      <c r="G329" s="11" t="str">
        <f>IFERROR(VLOOKUP(C329,STUDENTS!A:E,5,FALSE),"")</f>
        <v>Active</v>
      </c>
      <c r="H329" s="11" t="str">
        <f>IFERROR(VLOOKUP(C329,STUDENTS!A:M,13,FALSE),"")</f>
        <v/>
      </c>
      <c r="I329" s="11" t="str">
        <f>IF(D329="","",IF(AND(VLOOKUP(C329,STUDENTS!$A:$R,17,FALSE)=A329,VLOOKUP(C329,STUDENTS!$A:$R,18,FALSE)=B329,G329="Active"),"Đang học",IF(F329&gt;=0.8,IF(G329="Active","Tiếp tục khóa sau",IF(G329="Waiting for class","Chờ lớp mới",IF(G329="Inactive",IF(IFERROR(H329,"")="Discontinued mid-course","Nghỉ giữa chừng","Hoàn thành rồi nghỉ luôn"),""))),IF(G329="Inactive","Nghỉ giữa chừng","Đang học"))))</f>
        <v>Tiếp tục khóa sau</v>
      </c>
    </row>
    <row r="330">
      <c r="A330" s="11" t="str">
        <f>IFERROR(__xludf.DUMMYFUNCTION("""COMPUTED_VALUE"""),"EL032")</f>
        <v>EL032</v>
      </c>
      <c r="B330" s="11" t="str">
        <f>IFERROR(__xludf.DUMMYFUNCTION("""COMPUTED_VALUE"""),"Communication 1")</f>
        <v>Communication 1</v>
      </c>
      <c r="C330" s="11" t="str">
        <f>IFERROR(__xludf.DUMMYFUNCTION("""COMPUTED_VALUE"""),"193536")</f>
        <v>193536</v>
      </c>
      <c r="D330" s="11">
        <f>IFERROR(__xludf.DUMMYFUNCTION("""COMPUTED_VALUE"""),10.0)</f>
        <v>10</v>
      </c>
      <c r="E330" s="11">
        <f>IFERROR(VLOOKUP(B330,COURSE_PLAN!A:B,2,FALSE),"")</f>
        <v>10</v>
      </c>
      <c r="F330" s="11">
        <f t="shared" si="1"/>
        <v>1</v>
      </c>
      <c r="G330" s="11" t="str">
        <f>IFERROR(VLOOKUP(C330,STUDENTS!A:E,5,FALSE),"")</f>
        <v>Inactive</v>
      </c>
      <c r="H330" s="11" t="str">
        <f>IFERROR(VLOOKUP(C330,STUDENTS!A:M,13,FALSE),"")</f>
        <v>Completed (no continuation)</v>
      </c>
      <c r="I330" s="11" t="str">
        <f>IF(D330="","",IF(AND(VLOOKUP(C330,STUDENTS!$A:$R,17,FALSE)=A330,VLOOKUP(C330,STUDENTS!$A:$R,18,FALSE)=B330,G330="Active"),"Đang học",IF(F330&gt;=0.8,IF(G330="Active","Tiếp tục khóa sau",IF(G330="Waiting for class","Chờ lớp mới",IF(G330="Inactive",IF(IFERROR(H330,"")="Discontinued mid-course","Nghỉ giữa chừng","Hoàn thành rồi nghỉ luôn"),""))),IF(G330="Inactive","Nghỉ giữa chừng","Đang học"))))</f>
        <v>Hoàn thành rồi nghỉ luôn</v>
      </c>
    </row>
    <row r="331">
      <c r="A331" s="11" t="str">
        <f>IFERROR(__xludf.DUMMYFUNCTION("""COMPUTED_VALUE"""),"EL032")</f>
        <v>EL032</v>
      </c>
      <c r="B331" s="11" t="str">
        <f>IFERROR(__xludf.DUMMYFUNCTION("""COMPUTED_VALUE"""),"Communication 1")</f>
        <v>Communication 1</v>
      </c>
      <c r="C331" s="11" t="str">
        <f>IFERROR(__xludf.DUMMYFUNCTION("""COMPUTED_VALUE"""),"213808")</f>
        <v>213808</v>
      </c>
      <c r="D331" s="11">
        <f>IFERROR(__xludf.DUMMYFUNCTION("""COMPUTED_VALUE"""),10.0)</f>
        <v>10</v>
      </c>
      <c r="E331" s="11">
        <f>IFERROR(VLOOKUP(B331,COURSE_PLAN!A:B,2,FALSE),"")</f>
        <v>10</v>
      </c>
      <c r="F331" s="11">
        <f t="shared" si="1"/>
        <v>1</v>
      </c>
      <c r="G331" s="11" t="str">
        <f>IFERROR(VLOOKUP(C331,STUDENTS!A:E,5,FALSE),"")</f>
        <v>Inactive</v>
      </c>
      <c r="H331" s="11" t="str">
        <f>IFERROR(VLOOKUP(C331,STUDENTS!A:M,13,FALSE),"")</f>
        <v>Completed (no continuation)</v>
      </c>
      <c r="I331" s="11" t="str">
        <f>IF(D331="","",IF(AND(VLOOKUP(C331,STUDENTS!$A:$R,17,FALSE)=A331,VLOOKUP(C331,STUDENTS!$A:$R,18,FALSE)=B331,G331="Active"),"Đang học",IF(F331&gt;=0.8,IF(G331="Active","Tiếp tục khóa sau",IF(G331="Waiting for class","Chờ lớp mới",IF(G331="Inactive",IF(IFERROR(H331,"")="Discontinued mid-course","Nghỉ giữa chừng","Hoàn thành rồi nghỉ luôn"),""))),IF(G331="Inactive","Nghỉ giữa chừng","Đang học"))))</f>
        <v>Hoàn thành rồi nghỉ luôn</v>
      </c>
    </row>
    <row r="332">
      <c r="A332" s="11" t="str">
        <f>IFERROR(__xludf.DUMMYFUNCTION("""COMPUTED_VALUE"""),"EL032")</f>
        <v>EL032</v>
      </c>
      <c r="B332" s="11" t="str">
        <f>IFERROR(__xludf.DUMMYFUNCTION("""COMPUTED_VALUE"""),"Communication 1")</f>
        <v>Communication 1</v>
      </c>
      <c r="C332" s="11" t="str">
        <f>IFERROR(__xludf.DUMMYFUNCTION("""COMPUTED_VALUE"""),"213889")</f>
        <v>213889</v>
      </c>
      <c r="D332" s="11">
        <f>IFERROR(__xludf.DUMMYFUNCTION("""COMPUTED_VALUE"""),10.0)</f>
        <v>10</v>
      </c>
      <c r="E332" s="11">
        <f>IFERROR(VLOOKUP(B332,COURSE_PLAN!A:B,2,FALSE),"")</f>
        <v>10</v>
      </c>
      <c r="F332" s="11">
        <f t="shared" si="1"/>
        <v>1</v>
      </c>
      <c r="G332" s="11" t="str">
        <f>IFERROR(VLOOKUP(C332,STUDENTS!A:E,5,FALSE),"")</f>
        <v>Inactive</v>
      </c>
      <c r="H332" s="11" t="str">
        <f>IFERROR(VLOOKUP(C332,STUDENTS!A:M,13,FALSE),"")</f>
        <v>Discontinued mid-course</v>
      </c>
      <c r="I332" s="11" t="str">
        <f>IF(D332="","",IF(AND(VLOOKUP(C332,STUDENTS!$A:$R,17,FALSE)=A332,VLOOKUP(C332,STUDENTS!$A:$R,18,FALSE)=B332,G332="Active"),"Đang học",IF(F332&gt;=0.8,IF(G332="Active","Tiếp tục khóa sau",IF(G332="Waiting for class","Chờ lớp mới",IF(G332="Inactive",IF(IFERROR(H332,"")="Discontinued mid-course","Nghỉ giữa chừng","Hoàn thành rồi nghỉ luôn"),""))),IF(G332="Inactive","Nghỉ giữa chừng","Đang học"))))</f>
        <v>Nghỉ giữa chừng</v>
      </c>
    </row>
    <row r="333">
      <c r="A333" s="11" t="str">
        <f>IFERROR(__xludf.DUMMYFUNCTION("""COMPUTED_VALUE"""),"EL032")</f>
        <v>EL032</v>
      </c>
      <c r="B333" s="11" t="str">
        <f>IFERROR(__xludf.DUMMYFUNCTION("""COMPUTED_VALUE"""),"Communication 1")</f>
        <v>Communication 1</v>
      </c>
      <c r="C333" s="11" t="str">
        <f>IFERROR(__xludf.DUMMYFUNCTION("""COMPUTED_VALUE"""),"213975")</f>
        <v>213975</v>
      </c>
      <c r="D333" s="11">
        <f>IFERROR(__xludf.DUMMYFUNCTION("""COMPUTED_VALUE"""),10.0)</f>
        <v>10</v>
      </c>
      <c r="E333" s="11">
        <f>IFERROR(VLOOKUP(B333,COURSE_PLAN!A:B,2,FALSE),"")</f>
        <v>10</v>
      </c>
      <c r="F333" s="11">
        <f t="shared" si="1"/>
        <v>1</v>
      </c>
      <c r="G333" s="11" t="str">
        <f>IFERROR(VLOOKUP(C333,STUDENTS!A:E,5,FALSE),"")</f>
        <v>Inactive</v>
      </c>
      <c r="H333" s="11" t="str">
        <f>IFERROR(VLOOKUP(C333,STUDENTS!A:M,13,FALSE),"")</f>
        <v>Completed (no continuation)</v>
      </c>
      <c r="I333" s="11" t="str">
        <f>IF(D333="","",IF(AND(VLOOKUP(C333,STUDENTS!$A:$R,17,FALSE)=A333,VLOOKUP(C333,STUDENTS!$A:$R,18,FALSE)=B333,G333="Active"),"Đang học",IF(F333&gt;=0.8,IF(G333="Active","Tiếp tục khóa sau",IF(G333="Waiting for class","Chờ lớp mới",IF(G333="Inactive",IF(IFERROR(H333,"")="Discontinued mid-course","Nghỉ giữa chừng","Hoàn thành rồi nghỉ luôn"),""))),IF(G333="Inactive","Nghỉ giữa chừng","Đang học"))))</f>
        <v>Hoàn thành rồi nghỉ luôn</v>
      </c>
    </row>
    <row r="334">
      <c r="A334" s="11" t="str">
        <f>IFERROR(__xludf.DUMMYFUNCTION("""COMPUTED_VALUE"""),"EL032")</f>
        <v>EL032</v>
      </c>
      <c r="B334" s="11" t="str">
        <f>IFERROR(__xludf.DUMMYFUNCTION("""COMPUTED_VALUE"""),"Communication 1")</f>
        <v>Communication 1</v>
      </c>
      <c r="C334" s="11" t="str">
        <f>IFERROR(__xludf.DUMMYFUNCTION("""COMPUTED_VALUE"""),"247054")</f>
        <v>247054</v>
      </c>
      <c r="D334" s="11">
        <f>IFERROR(__xludf.DUMMYFUNCTION("""COMPUTED_VALUE"""),10.0)</f>
        <v>10</v>
      </c>
      <c r="E334" s="11">
        <f>IFERROR(VLOOKUP(B334,COURSE_PLAN!A:B,2,FALSE),"")</f>
        <v>10</v>
      </c>
      <c r="F334" s="11">
        <f t="shared" si="1"/>
        <v>1</v>
      </c>
      <c r="G334" s="11" t="str">
        <f>IFERROR(VLOOKUP(C334,STUDENTS!A:E,5,FALSE),"")</f>
        <v>Inactive</v>
      </c>
      <c r="H334" s="11" t="str">
        <f>IFERROR(VLOOKUP(C334,STUDENTS!A:M,13,FALSE),"")</f>
        <v>Completed (no continuation)</v>
      </c>
      <c r="I334" s="11" t="str">
        <f>IF(D334="","",IF(AND(VLOOKUP(C334,STUDENTS!$A:$R,17,FALSE)=A334,VLOOKUP(C334,STUDENTS!$A:$R,18,FALSE)=B334,G334="Active"),"Đang học",IF(F334&gt;=0.8,IF(G334="Active","Tiếp tục khóa sau",IF(G334="Waiting for class","Chờ lớp mới",IF(G334="Inactive",IF(IFERROR(H334,"")="Discontinued mid-course","Nghỉ giữa chừng","Hoàn thành rồi nghỉ luôn"),""))),IF(G334="Inactive","Nghỉ giữa chừng","Đang học"))))</f>
        <v>Hoàn thành rồi nghỉ luôn</v>
      </c>
    </row>
    <row r="335">
      <c r="A335" s="11" t="str">
        <f>IFERROR(__xludf.DUMMYFUNCTION("""COMPUTED_VALUE"""),"EL032")</f>
        <v>EL032</v>
      </c>
      <c r="B335" s="11" t="str">
        <f>IFERROR(__xludf.DUMMYFUNCTION("""COMPUTED_VALUE"""),"Communication 2")</f>
        <v>Communication 2</v>
      </c>
      <c r="C335" s="11" t="str">
        <f>IFERROR(__xludf.DUMMYFUNCTION("""COMPUTED_VALUE"""),"163188")</f>
        <v>163188</v>
      </c>
      <c r="D335" s="11">
        <f>IFERROR(__xludf.DUMMYFUNCTION("""COMPUTED_VALUE"""),15.0)</f>
        <v>15</v>
      </c>
      <c r="E335" s="11">
        <f>IFERROR(VLOOKUP(B335,COURSE_PLAN!A:B,2,FALSE),"")</f>
        <v>16</v>
      </c>
      <c r="F335" s="11">
        <f t="shared" si="1"/>
        <v>0.9375</v>
      </c>
      <c r="G335" s="11" t="str">
        <f>IFERROR(VLOOKUP(C335,STUDENTS!A:E,5,FALSE),"")</f>
        <v>Active</v>
      </c>
      <c r="H335" s="11" t="str">
        <f>IFERROR(VLOOKUP(C335,STUDENTS!A:M,13,FALSE),"")</f>
        <v/>
      </c>
      <c r="I335" s="11" t="str">
        <f>IF(D335="","",IF(AND(VLOOKUP(C335,STUDENTS!$A:$R,17,FALSE)=A335,VLOOKUP(C335,STUDENTS!$A:$R,18,FALSE)=B335,G335="Active"),"Đang học",IF(F335&gt;=0.8,IF(G335="Active","Tiếp tục khóa sau",IF(G335="Waiting for class","Chờ lớp mới",IF(G335="Inactive",IF(IFERROR(H335,"")="Discontinued mid-course","Nghỉ giữa chừng","Hoàn thành rồi nghỉ luôn"),""))),IF(G335="Inactive","Nghỉ giữa chừng","Đang học"))))</f>
        <v>Tiếp tục khóa sau</v>
      </c>
    </row>
    <row r="336">
      <c r="A336" s="11" t="str">
        <f>IFERROR(__xludf.DUMMYFUNCTION("""COMPUTED_VALUE"""),"EL032")</f>
        <v>EL032</v>
      </c>
      <c r="B336" s="11" t="str">
        <f>IFERROR(__xludf.DUMMYFUNCTION("""COMPUTED_VALUE"""),"Communication 2")</f>
        <v>Communication 2</v>
      </c>
      <c r="C336" s="11" t="str">
        <f>IFERROR(__xludf.DUMMYFUNCTION("""COMPUTED_VALUE"""),"193536")</f>
        <v>193536</v>
      </c>
      <c r="D336" s="11">
        <f>IFERROR(__xludf.DUMMYFUNCTION("""COMPUTED_VALUE"""),15.0)</f>
        <v>15</v>
      </c>
      <c r="E336" s="11">
        <f>IFERROR(VLOOKUP(B336,COURSE_PLAN!A:B,2,FALSE),"")</f>
        <v>16</v>
      </c>
      <c r="F336" s="11">
        <f t="shared" si="1"/>
        <v>0.9375</v>
      </c>
      <c r="G336" s="11" t="str">
        <f>IFERROR(VLOOKUP(C336,STUDENTS!A:E,5,FALSE),"")</f>
        <v>Inactive</v>
      </c>
      <c r="H336" s="11" t="str">
        <f>IFERROR(VLOOKUP(C336,STUDENTS!A:M,13,FALSE),"")</f>
        <v>Completed (no continuation)</v>
      </c>
      <c r="I336" s="11" t="str">
        <f>IF(D336="","",IF(AND(VLOOKUP(C336,STUDENTS!$A:$R,17,FALSE)=A336,VLOOKUP(C336,STUDENTS!$A:$R,18,FALSE)=B336,G336="Active"),"Đang học",IF(F336&gt;=0.8,IF(G336="Active","Tiếp tục khóa sau",IF(G336="Waiting for class","Chờ lớp mới",IF(G336="Inactive",IF(IFERROR(H336,"")="Discontinued mid-course","Nghỉ giữa chừng","Hoàn thành rồi nghỉ luôn"),""))),IF(G336="Inactive","Nghỉ giữa chừng","Đang học"))))</f>
        <v>Hoàn thành rồi nghỉ luôn</v>
      </c>
    </row>
    <row r="337">
      <c r="A337" s="11" t="str">
        <f>IFERROR(__xludf.DUMMYFUNCTION("""COMPUTED_VALUE"""),"EL032")</f>
        <v>EL032</v>
      </c>
      <c r="B337" s="11" t="str">
        <f>IFERROR(__xludf.DUMMYFUNCTION("""COMPUTED_VALUE"""),"Communication 2")</f>
        <v>Communication 2</v>
      </c>
      <c r="C337" s="11" t="str">
        <f>IFERROR(__xludf.DUMMYFUNCTION("""COMPUTED_VALUE"""),"213808")</f>
        <v>213808</v>
      </c>
      <c r="D337" s="11">
        <f>IFERROR(__xludf.DUMMYFUNCTION("""COMPUTED_VALUE"""),15.0)</f>
        <v>15</v>
      </c>
      <c r="E337" s="11">
        <f>IFERROR(VLOOKUP(B337,COURSE_PLAN!A:B,2,FALSE),"")</f>
        <v>16</v>
      </c>
      <c r="F337" s="11">
        <f t="shared" si="1"/>
        <v>0.9375</v>
      </c>
      <c r="G337" s="11" t="str">
        <f>IFERROR(VLOOKUP(C337,STUDENTS!A:E,5,FALSE),"")</f>
        <v>Inactive</v>
      </c>
      <c r="H337" s="11" t="str">
        <f>IFERROR(VLOOKUP(C337,STUDENTS!A:M,13,FALSE),"")</f>
        <v>Completed (no continuation)</v>
      </c>
      <c r="I337" s="11" t="str">
        <f>IF(D337="","",IF(AND(VLOOKUP(C337,STUDENTS!$A:$R,17,FALSE)=A337,VLOOKUP(C337,STUDENTS!$A:$R,18,FALSE)=B337,G337="Active"),"Đang học",IF(F337&gt;=0.8,IF(G337="Active","Tiếp tục khóa sau",IF(G337="Waiting for class","Chờ lớp mới",IF(G337="Inactive",IF(IFERROR(H337,"")="Discontinued mid-course","Nghỉ giữa chừng","Hoàn thành rồi nghỉ luôn"),""))),IF(G337="Inactive","Nghỉ giữa chừng","Đang học"))))</f>
        <v>Hoàn thành rồi nghỉ luôn</v>
      </c>
    </row>
    <row r="338">
      <c r="A338" s="11" t="str">
        <f>IFERROR(__xludf.DUMMYFUNCTION("""COMPUTED_VALUE"""),"EL032")</f>
        <v>EL032</v>
      </c>
      <c r="B338" s="11" t="str">
        <f>IFERROR(__xludf.DUMMYFUNCTION("""COMPUTED_VALUE"""),"Communication 2")</f>
        <v>Communication 2</v>
      </c>
      <c r="C338" s="11" t="str">
        <f>IFERROR(__xludf.DUMMYFUNCTION("""COMPUTED_VALUE"""),"213889")</f>
        <v>213889</v>
      </c>
      <c r="D338" s="11">
        <f>IFERROR(__xludf.DUMMYFUNCTION("""COMPUTED_VALUE"""),15.0)</f>
        <v>15</v>
      </c>
      <c r="E338" s="11">
        <f>IFERROR(VLOOKUP(B338,COURSE_PLAN!A:B,2,FALSE),"")</f>
        <v>16</v>
      </c>
      <c r="F338" s="11">
        <f t="shared" si="1"/>
        <v>0.9375</v>
      </c>
      <c r="G338" s="11" t="str">
        <f>IFERROR(VLOOKUP(C338,STUDENTS!A:E,5,FALSE),"")</f>
        <v>Inactive</v>
      </c>
      <c r="H338" s="11" t="str">
        <f>IFERROR(VLOOKUP(C338,STUDENTS!A:M,13,FALSE),"")</f>
        <v>Discontinued mid-course</v>
      </c>
      <c r="I338" s="11" t="str">
        <f>IF(D338="","",IF(AND(VLOOKUP(C338,STUDENTS!$A:$R,17,FALSE)=A338,VLOOKUP(C338,STUDENTS!$A:$R,18,FALSE)=B338,G338="Active"),"Đang học",IF(F338&gt;=0.8,IF(G338="Active","Tiếp tục khóa sau",IF(G338="Waiting for class","Chờ lớp mới",IF(G338="Inactive",IF(IFERROR(H338,"")="Discontinued mid-course","Nghỉ giữa chừng","Hoàn thành rồi nghỉ luôn"),""))),IF(G338="Inactive","Nghỉ giữa chừng","Đang học"))))</f>
        <v>Nghỉ giữa chừng</v>
      </c>
    </row>
    <row r="339">
      <c r="A339" s="11" t="str">
        <f>IFERROR(__xludf.DUMMYFUNCTION("""COMPUTED_VALUE"""),"EL032")</f>
        <v>EL032</v>
      </c>
      <c r="B339" s="11" t="str">
        <f>IFERROR(__xludf.DUMMYFUNCTION("""COMPUTED_VALUE"""),"Communication 2")</f>
        <v>Communication 2</v>
      </c>
      <c r="C339" s="11" t="str">
        <f>IFERROR(__xludf.DUMMYFUNCTION("""COMPUTED_VALUE"""),"213975")</f>
        <v>213975</v>
      </c>
      <c r="D339" s="11">
        <f>IFERROR(__xludf.DUMMYFUNCTION("""COMPUTED_VALUE"""),9.0)</f>
        <v>9</v>
      </c>
      <c r="E339" s="11">
        <f>IFERROR(VLOOKUP(B339,COURSE_PLAN!A:B,2,FALSE),"")</f>
        <v>16</v>
      </c>
      <c r="F339" s="11">
        <f t="shared" si="1"/>
        <v>0.5625</v>
      </c>
      <c r="G339" s="11" t="str">
        <f>IFERROR(VLOOKUP(C339,STUDENTS!A:E,5,FALSE),"")</f>
        <v>Inactive</v>
      </c>
      <c r="H339" s="11" t="str">
        <f>IFERROR(VLOOKUP(C339,STUDENTS!A:M,13,FALSE),"")</f>
        <v>Completed (no continuation)</v>
      </c>
      <c r="I339" s="11" t="str">
        <f>IF(D339="","",IF(AND(VLOOKUP(C339,STUDENTS!$A:$R,17,FALSE)=A339,VLOOKUP(C339,STUDENTS!$A:$R,18,FALSE)=B339,G339="Active"),"Đang học",IF(F339&gt;=0.8,IF(G339="Active","Tiếp tục khóa sau",IF(G339="Waiting for class","Chờ lớp mới",IF(G339="Inactive",IF(IFERROR(H339,"")="Discontinued mid-course","Nghỉ giữa chừng","Hoàn thành rồi nghỉ luôn"),""))),IF(G339="Inactive","Nghỉ giữa chừng","Đang học"))))</f>
        <v>Nghỉ giữa chừng</v>
      </c>
    </row>
    <row r="340">
      <c r="A340" s="11" t="str">
        <f>IFERROR(__xludf.DUMMYFUNCTION("""COMPUTED_VALUE"""),"EL032")</f>
        <v>EL032</v>
      </c>
      <c r="B340" s="11" t="str">
        <f>IFERROR(__xludf.DUMMYFUNCTION("""COMPUTED_VALUE"""),"Communication 2")</f>
        <v>Communication 2</v>
      </c>
      <c r="C340" s="11" t="str">
        <f>IFERROR(__xludf.DUMMYFUNCTION("""COMPUTED_VALUE"""),"237157")</f>
        <v>237157</v>
      </c>
      <c r="D340" s="11">
        <f>IFERROR(__xludf.DUMMYFUNCTION("""COMPUTED_VALUE"""),15.0)</f>
        <v>15</v>
      </c>
      <c r="E340" s="11">
        <f>IFERROR(VLOOKUP(B340,COURSE_PLAN!A:B,2,FALSE),"")</f>
        <v>16</v>
      </c>
      <c r="F340" s="11">
        <f t="shared" si="1"/>
        <v>0.9375</v>
      </c>
      <c r="G340" s="11" t="str">
        <f>IFERROR(VLOOKUP(C340,STUDENTS!A:E,5,FALSE),"")</f>
        <v>Inactive</v>
      </c>
      <c r="H340" s="11" t="str">
        <f>IFERROR(VLOOKUP(C340,STUDENTS!A:M,13,FALSE),"")</f>
        <v>Completed (no continuation)</v>
      </c>
      <c r="I340" s="11" t="str">
        <f>IF(D340="","",IF(AND(VLOOKUP(C340,STUDENTS!$A:$R,17,FALSE)=A340,VLOOKUP(C340,STUDENTS!$A:$R,18,FALSE)=B340,G340="Active"),"Đang học",IF(F340&gt;=0.8,IF(G340="Active","Tiếp tục khóa sau",IF(G340="Waiting for class","Chờ lớp mới",IF(G340="Inactive",IF(IFERROR(H340,"")="Discontinued mid-course","Nghỉ giữa chừng","Hoàn thành rồi nghỉ luôn"),""))),IF(G340="Inactive","Nghỉ giữa chừng","Đang học"))))</f>
        <v>Hoàn thành rồi nghỉ luôn</v>
      </c>
    </row>
    <row r="341">
      <c r="A341" s="11" t="str">
        <f>IFERROR(__xludf.DUMMYFUNCTION("""COMPUTED_VALUE"""),"EL032")</f>
        <v>EL032</v>
      </c>
      <c r="B341" s="11" t="str">
        <f>IFERROR(__xludf.DUMMYFUNCTION("""COMPUTED_VALUE"""),"Communication 2")</f>
        <v>Communication 2</v>
      </c>
      <c r="C341" s="11" t="str">
        <f>IFERROR(__xludf.DUMMYFUNCTION("""COMPUTED_VALUE"""),"237196")</f>
        <v>237196</v>
      </c>
      <c r="D341" s="11">
        <f>IFERROR(__xludf.DUMMYFUNCTION("""COMPUTED_VALUE"""),15.0)</f>
        <v>15</v>
      </c>
      <c r="E341" s="11">
        <f>IFERROR(VLOOKUP(B341,COURSE_PLAN!A:B,2,FALSE),"")</f>
        <v>16</v>
      </c>
      <c r="F341" s="11">
        <f t="shared" si="1"/>
        <v>0.9375</v>
      </c>
      <c r="G341" s="11" t="str">
        <f>IFERROR(VLOOKUP(C341,STUDENTS!A:E,5,FALSE),"")</f>
        <v>Inactive</v>
      </c>
      <c r="H341" s="11" t="str">
        <f>IFERROR(VLOOKUP(C341,STUDENTS!A:M,13,FALSE),"")</f>
        <v>Completed (no continuation)</v>
      </c>
      <c r="I341" s="11" t="str">
        <f>IF(D341="","",IF(AND(VLOOKUP(C341,STUDENTS!$A:$R,17,FALSE)=A341,VLOOKUP(C341,STUDENTS!$A:$R,18,FALSE)=B341,G341="Active"),"Đang học",IF(F341&gt;=0.8,IF(G341="Active","Tiếp tục khóa sau",IF(G341="Waiting for class","Chờ lớp mới",IF(G341="Inactive",IF(IFERROR(H341,"")="Discontinued mid-course","Nghỉ giữa chừng","Hoàn thành rồi nghỉ luôn"),""))),IF(G341="Inactive","Nghỉ giữa chừng","Đang học"))))</f>
        <v>Hoàn thành rồi nghỉ luôn</v>
      </c>
    </row>
    <row r="342">
      <c r="A342" s="11" t="str">
        <f>IFERROR(__xludf.DUMMYFUNCTION("""COMPUTED_VALUE"""),"EL032")</f>
        <v>EL032</v>
      </c>
      <c r="B342" s="11" t="str">
        <f>IFERROR(__xludf.DUMMYFUNCTION("""COMPUTED_VALUE"""),"Communication 2")</f>
        <v>Communication 2</v>
      </c>
      <c r="C342" s="11" t="str">
        <f>IFERROR(__xludf.DUMMYFUNCTION("""COMPUTED_VALUE"""),"247203")</f>
        <v>247203</v>
      </c>
      <c r="D342" s="11">
        <f>IFERROR(__xludf.DUMMYFUNCTION("""COMPUTED_VALUE"""),15.0)</f>
        <v>15</v>
      </c>
      <c r="E342" s="11">
        <f>IFERROR(VLOOKUP(B342,COURSE_PLAN!A:B,2,FALSE),"")</f>
        <v>16</v>
      </c>
      <c r="F342" s="11">
        <f t="shared" si="1"/>
        <v>0.9375</v>
      </c>
      <c r="G342" s="11" t="str">
        <f>IFERROR(VLOOKUP(C342,STUDENTS!A:E,5,FALSE),"")</f>
        <v>Inactive</v>
      </c>
      <c r="H342" s="11" t="str">
        <f>IFERROR(VLOOKUP(C342,STUDENTS!A:M,13,FALSE),"")</f>
        <v>Completed (no continuation)</v>
      </c>
      <c r="I342" s="11" t="str">
        <f>IF(D342="","",IF(AND(VLOOKUP(C342,STUDENTS!$A:$R,17,FALSE)=A342,VLOOKUP(C342,STUDENTS!$A:$R,18,FALSE)=B342,G342="Active"),"Đang học",IF(F342&gt;=0.8,IF(G342="Active","Tiếp tục khóa sau",IF(G342="Waiting for class","Chờ lớp mới",IF(G342="Inactive",IF(IFERROR(H342,"")="Discontinued mid-course","Nghỉ giữa chừng","Hoàn thành rồi nghỉ luôn"),""))),IF(G342="Inactive","Nghỉ giữa chừng","Đang học"))))</f>
        <v>Hoàn thành rồi nghỉ luôn</v>
      </c>
    </row>
    <row r="343">
      <c r="A343" s="11" t="str">
        <f>IFERROR(__xludf.DUMMYFUNCTION("""COMPUTED_VALUE"""),"EL033")</f>
        <v>EL033</v>
      </c>
      <c r="B343" s="11" t="str">
        <f>IFERROR(__xludf.DUMMYFUNCTION("""COMPUTED_VALUE"""),"Communication 1")</f>
        <v>Communication 1</v>
      </c>
      <c r="C343" s="11" t="str">
        <f>IFERROR(__xludf.DUMMYFUNCTION("""COMPUTED_VALUE"""),"113024")</f>
        <v>113024</v>
      </c>
      <c r="D343" s="11">
        <f>IFERROR(__xludf.DUMMYFUNCTION("""COMPUTED_VALUE"""),10.0)</f>
        <v>10</v>
      </c>
      <c r="E343" s="11">
        <f>IFERROR(VLOOKUP(B343,COURSE_PLAN!A:B,2,FALSE),"")</f>
        <v>10</v>
      </c>
      <c r="F343" s="11">
        <f t="shared" si="1"/>
        <v>1</v>
      </c>
      <c r="G343" s="11" t="str">
        <f>IFERROR(VLOOKUP(C343,STUDENTS!A:E,5,FALSE),"")</f>
        <v>Waiting for class</v>
      </c>
      <c r="H343" s="11" t="str">
        <f>IFERROR(VLOOKUP(C343,STUDENTS!A:M,13,FALSE),"")</f>
        <v>Waiting for class</v>
      </c>
      <c r="I343" s="11" t="str">
        <f>IF(D343="","",IF(AND(VLOOKUP(C343,STUDENTS!$A:$R,17,FALSE)=A343,VLOOKUP(C343,STUDENTS!$A:$R,18,FALSE)=B343,G343="Active"),"Đang học",IF(F343&gt;=0.8,IF(G343="Active","Tiếp tục khóa sau",IF(G343="Waiting for class","Chờ lớp mới",IF(G343="Inactive",IF(IFERROR(H343,"")="Discontinued mid-course","Nghỉ giữa chừng","Hoàn thành rồi nghỉ luôn"),""))),IF(G343="Inactive","Nghỉ giữa chừng","Đang học"))))</f>
        <v>Chờ lớp mới</v>
      </c>
    </row>
    <row r="344">
      <c r="A344" s="11" t="str">
        <f>IFERROR(__xludf.DUMMYFUNCTION("""COMPUTED_VALUE"""),"EL033")</f>
        <v>EL033</v>
      </c>
      <c r="B344" s="11" t="str">
        <f>IFERROR(__xludf.DUMMYFUNCTION("""COMPUTED_VALUE"""),"Communication 1")</f>
        <v>Communication 1</v>
      </c>
      <c r="C344" s="11" t="str">
        <f>IFERROR(__xludf.DUMMYFUNCTION("""COMPUTED_VALUE"""),"193588")</f>
        <v>193588</v>
      </c>
      <c r="D344" s="11">
        <f>IFERROR(__xludf.DUMMYFUNCTION("""COMPUTED_VALUE"""),10.0)</f>
        <v>10</v>
      </c>
      <c r="E344" s="11">
        <f>IFERROR(VLOOKUP(B344,COURSE_PLAN!A:B,2,FALSE),"")</f>
        <v>10</v>
      </c>
      <c r="F344" s="11">
        <f t="shared" si="1"/>
        <v>1</v>
      </c>
      <c r="G344" s="11" t="str">
        <f>IFERROR(VLOOKUP(C344,STUDENTS!A:E,5,FALSE),"")</f>
        <v>Active</v>
      </c>
      <c r="H344" s="11" t="str">
        <f>IFERROR(VLOOKUP(C344,STUDENTS!A:M,13,FALSE),"")</f>
        <v/>
      </c>
      <c r="I344" s="11" t="str">
        <f>IF(D344="","",IF(AND(VLOOKUP(C344,STUDENTS!$A:$R,17,FALSE)=A344,VLOOKUP(C344,STUDENTS!$A:$R,18,FALSE)=B344,G344="Active"),"Đang học",IF(F344&gt;=0.8,IF(G344="Active","Tiếp tục khóa sau",IF(G344="Waiting for class","Chờ lớp mới",IF(G344="Inactive",IF(IFERROR(H344,"")="Discontinued mid-course","Nghỉ giữa chừng","Hoàn thành rồi nghỉ luôn"),""))),IF(G344="Inactive","Nghỉ giữa chừng","Đang học"))))</f>
        <v>Tiếp tục khóa sau</v>
      </c>
    </row>
    <row r="345">
      <c r="A345" s="11" t="str">
        <f>IFERROR(__xludf.DUMMYFUNCTION("""COMPUTED_VALUE"""),"EL033")</f>
        <v>EL033</v>
      </c>
      <c r="B345" s="11" t="str">
        <f>IFERROR(__xludf.DUMMYFUNCTION("""COMPUTED_VALUE"""),"Communication 1")</f>
        <v>Communication 1</v>
      </c>
      <c r="C345" s="11" t="str">
        <f>IFERROR(__xludf.DUMMYFUNCTION("""COMPUTED_VALUE"""),"213815")</f>
        <v>213815</v>
      </c>
      <c r="D345" s="11">
        <f>IFERROR(__xludf.DUMMYFUNCTION("""COMPUTED_VALUE"""),10.0)</f>
        <v>10</v>
      </c>
      <c r="E345" s="11">
        <f>IFERROR(VLOOKUP(B345,COURSE_PLAN!A:B,2,FALSE),"")</f>
        <v>10</v>
      </c>
      <c r="F345" s="11">
        <f t="shared" si="1"/>
        <v>1</v>
      </c>
      <c r="G345" s="11" t="str">
        <f>IFERROR(VLOOKUP(C345,STUDENTS!A:E,5,FALSE),"")</f>
        <v>Inactive</v>
      </c>
      <c r="H345" s="11" t="str">
        <f>IFERROR(VLOOKUP(C345,STUDENTS!A:M,13,FALSE),"")</f>
        <v>Completed (no continuation)</v>
      </c>
      <c r="I345" s="11" t="str">
        <f>IF(D345="","",IF(AND(VLOOKUP(C345,STUDENTS!$A:$R,17,FALSE)=A345,VLOOKUP(C345,STUDENTS!$A:$R,18,FALSE)=B345,G345="Active"),"Đang học",IF(F345&gt;=0.8,IF(G345="Active","Tiếp tục khóa sau",IF(G345="Waiting for class","Chờ lớp mới",IF(G345="Inactive",IF(IFERROR(H345,"")="Discontinued mid-course","Nghỉ giữa chừng","Hoàn thành rồi nghỉ luôn"),""))),IF(G345="Inactive","Nghỉ giữa chừng","Đang học"))))</f>
        <v>Hoàn thành rồi nghỉ luôn</v>
      </c>
    </row>
    <row r="346">
      <c r="A346" s="11" t="str">
        <f>IFERROR(__xludf.DUMMYFUNCTION("""COMPUTED_VALUE"""),"EL033")</f>
        <v>EL033</v>
      </c>
      <c r="B346" s="11" t="str">
        <f>IFERROR(__xludf.DUMMYFUNCTION("""COMPUTED_VALUE"""),"Communication 1")</f>
        <v>Communication 1</v>
      </c>
      <c r="C346" s="11" t="str">
        <f>IFERROR(__xludf.DUMMYFUNCTION("""COMPUTED_VALUE"""),"213851")</f>
        <v>213851</v>
      </c>
      <c r="D346" s="11">
        <f>IFERROR(__xludf.DUMMYFUNCTION("""COMPUTED_VALUE"""),10.0)</f>
        <v>10</v>
      </c>
      <c r="E346" s="11">
        <f>IFERROR(VLOOKUP(B346,COURSE_PLAN!A:B,2,FALSE),"")</f>
        <v>10</v>
      </c>
      <c r="F346" s="11">
        <f t="shared" si="1"/>
        <v>1</v>
      </c>
      <c r="G346" s="11" t="str">
        <f>IFERROR(VLOOKUP(C346,STUDENTS!A:E,5,FALSE),"")</f>
        <v>Inactive</v>
      </c>
      <c r="H346" s="11" t="str">
        <f>IFERROR(VLOOKUP(C346,STUDENTS!A:M,13,FALSE),"")</f>
        <v>Completed (no continuation)</v>
      </c>
      <c r="I346" s="11" t="str">
        <f>IF(D346="","",IF(AND(VLOOKUP(C346,STUDENTS!$A:$R,17,FALSE)=A346,VLOOKUP(C346,STUDENTS!$A:$R,18,FALSE)=B346,G346="Active"),"Đang học",IF(F346&gt;=0.8,IF(G346="Active","Tiếp tục khóa sau",IF(G346="Waiting for class","Chờ lớp mới",IF(G346="Inactive",IF(IFERROR(H346,"")="Discontinued mid-course","Nghỉ giữa chừng","Hoàn thành rồi nghỉ luôn"),""))),IF(G346="Inactive","Nghỉ giữa chừng","Đang học"))))</f>
        <v>Hoàn thành rồi nghỉ luôn</v>
      </c>
    </row>
    <row r="347">
      <c r="A347" s="11" t="str">
        <f>IFERROR(__xludf.DUMMYFUNCTION("""COMPUTED_VALUE"""),"EL033")</f>
        <v>EL033</v>
      </c>
      <c r="B347" s="11" t="str">
        <f>IFERROR(__xludf.DUMMYFUNCTION("""COMPUTED_VALUE"""),"Communication 1")</f>
        <v>Communication 1</v>
      </c>
      <c r="C347" s="11" t="str">
        <f>IFERROR(__xludf.DUMMYFUNCTION("""COMPUTED_VALUE"""),"213861")</f>
        <v>213861</v>
      </c>
      <c r="D347" s="11">
        <f>IFERROR(__xludf.DUMMYFUNCTION("""COMPUTED_VALUE"""),10.0)</f>
        <v>10</v>
      </c>
      <c r="E347" s="11">
        <f>IFERROR(VLOOKUP(B347,COURSE_PLAN!A:B,2,FALSE),"")</f>
        <v>10</v>
      </c>
      <c r="F347" s="11">
        <f t="shared" si="1"/>
        <v>1</v>
      </c>
      <c r="G347" s="11" t="str">
        <f>IFERROR(VLOOKUP(C347,STUDENTS!A:E,5,FALSE),"")</f>
        <v>Inactive</v>
      </c>
      <c r="H347" s="11" t="str">
        <f>IFERROR(VLOOKUP(C347,STUDENTS!A:M,13,FALSE),"")</f>
        <v>Completed (no continuation)</v>
      </c>
      <c r="I347" s="11" t="str">
        <f>IF(D347="","",IF(AND(VLOOKUP(C347,STUDENTS!$A:$R,17,FALSE)=A347,VLOOKUP(C347,STUDENTS!$A:$R,18,FALSE)=B347,G347="Active"),"Đang học",IF(F347&gt;=0.8,IF(G347="Active","Tiếp tục khóa sau",IF(G347="Waiting for class","Chờ lớp mới",IF(G347="Inactive",IF(IFERROR(H347,"")="Discontinued mid-course","Nghỉ giữa chừng","Hoàn thành rồi nghỉ luôn"),""))),IF(G347="Inactive","Nghỉ giữa chừng","Đang học"))))</f>
        <v>Hoàn thành rồi nghỉ luôn</v>
      </c>
    </row>
    <row r="348">
      <c r="A348" s="11" t="str">
        <f>IFERROR(__xludf.DUMMYFUNCTION("""COMPUTED_VALUE"""),"EL033")</f>
        <v>EL033</v>
      </c>
      <c r="B348" s="11" t="str">
        <f>IFERROR(__xludf.DUMMYFUNCTION("""COMPUTED_VALUE"""),"Communication 1")</f>
        <v>Communication 1</v>
      </c>
      <c r="C348" s="11" t="str">
        <f>IFERROR(__xludf.DUMMYFUNCTION("""COMPUTED_VALUE"""),"213914")</f>
        <v>213914</v>
      </c>
      <c r="D348" s="11">
        <f>IFERROR(__xludf.DUMMYFUNCTION("""COMPUTED_VALUE"""),10.0)</f>
        <v>10</v>
      </c>
      <c r="E348" s="11">
        <f>IFERROR(VLOOKUP(B348,COURSE_PLAN!A:B,2,FALSE),"")</f>
        <v>10</v>
      </c>
      <c r="F348" s="11">
        <f t="shared" si="1"/>
        <v>1</v>
      </c>
      <c r="G348" s="11" t="str">
        <f>IFERROR(VLOOKUP(C348,STUDENTS!A:E,5,FALSE),"")</f>
        <v>Inactive</v>
      </c>
      <c r="H348" s="11" t="str">
        <f>IFERROR(VLOOKUP(C348,STUDENTS!A:M,13,FALSE),"")</f>
        <v>Completed (no continuation)</v>
      </c>
      <c r="I348" s="11" t="str">
        <f>IF(D348="","",IF(AND(VLOOKUP(C348,STUDENTS!$A:$R,17,FALSE)=A348,VLOOKUP(C348,STUDENTS!$A:$R,18,FALSE)=B348,G348="Active"),"Đang học",IF(F348&gt;=0.8,IF(G348="Active","Tiếp tục khóa sau",IF(G348="Waiting for class","Chờ lớp mới",IF(G348="Inactive",IF(IFERROR(H348,"")="Discontinued mid-course","Nghỉ giữa chừng","Hoàn thành rồi nghỉ luôn"),""))),IF(G348="Inactive","Nghỉ giữa chừng","Đang học"))))</f>
        <v>Hoàn thành rồi nghỉ luôn</v>
      </c>
    </row>
    <row r="349">
      <c r="A349" s="11" t="str">
        <f>IFERROR(__xludf.DUMMYFUNCTION("""COMPUTED_VALUE"""),"EL033")</f>
        <v>EL033</v>
      </c>
      <c r="B349" s="11" t="str">
        <f>IFERROR(__xludf.DUMMYFUNCTION("""COMPUTED_VALUE"""),"Communication 1")</f>
        <v>Communication 1</v>
      </c>
      <c r="C349" s="11" t="str">
        <f>IFERROR(__xludf.DUMMYFUNCTION("""COMPUTED_VALUE"""),"247223")</f>
        <v>247223</v>
      </c>
      <c r="D349" s="11">
        <f>IFERROR(__xludf.DUMMYFUNCTION("""COMPUTED_VALUE"""),10.0)</f>
        <v>10</v>
      </c>
      <c r="E349" s="11">
        <f>IFERROR(VLOOKUP(B349,COURSE_PLAN!A:B,2,FALSE),"")</f>
        <v>10</v>
      </c>
      <c r="F349" s="11">
        <f t="shared" si="1"/>
        <v>1</v>
      </c>
      <c r="G349" s="11" t="str">
        <f>IFERROR(VLOOKUP(C349,STUDENTS!A:E,5,FALSE),"")</f>
        <v>Inactive</v>
      </c>
      <c r="H349" s="11" t="str">
        <f>IFERROR(VLOOKUP(C349,STUDENTS!A:M,13,FALSE),"")</f>
        <v>Completed (no continuation)</v>
      </c>
      <c r="I349" s="11" t="str">
        <f>IF(D349="","",IF(AND(VLOOKUP(C349,STUDENTS!$A:$R,17,FALSE)=A349,VLOOKUP(C349,STUDENTS!$A:$R,18,FALSE)=B349,G349="Active"),"Đang học",IF(F349&gt;=0.8,IF(G349="Active","Tiếp tục khóa sau",IF(G349="Waiting for class","Chờ lớp mới",IF(G349="Inactive",IF(IFERROR(H349,"")="Discontinued mid-course","Nghỉ giữa chừng","Hoàn thành rồi nghỉ luôn"),""))),IF(G349="Inactive","Nghỉ giữa chừng","Đang học"))))</f>
        <v>Hoàn thành rồi nghỉ luôn</v>
      </c>
    </row>
    <row r="350">
      <c r="A350" s="11" t="str">
        <f>IFERROR(__xludf.DUMMYFUNCTION("""COMPUTED_VALUE"""),"EL033")</f>
        <v>EL033</v>
      </c>
      <c r="B350" s="11" t="str">
        <f>IFERROR(__xludf.DUMMYFUNCTION("""COMPUTED_VALUE"""),"Communication 2")</f>
        <v>Communication 2</v>
      </c>
      <c r="C350" s="11" t="str">
        <f>IFERROR(__xludf.DUMMYFUNCTION("""COMPUTED_VALUE"""),"113024")</f>
        <v>113024</v>
      </c>
      <c r="D350" s="11">
        <f>IFERROR(__xludf.DUMMYFUNCTION("""COMPUTED_VALUE"""),16.0)</f>
        <v>16</v>
      </c>
      <c r="E350" s="11">
        <f>IFERROR(VLOOKUP(B350,COURSE_PLAN!A:B,2,FALSE),"")</f>
        <v>16</v>
      </c>
      <c r="F350" s="11">
        <f t="shared" si="1"/>
        <v>1</v>
      </c>
      <c r="G350" s="11" t="str">
        <f>IFERROR(VLOOKUP(C350,STUDENTS!A:E,5,FALSE),"")</f>
        <v>Waiting for class</v>
      </c>
      <c r="H350" s="11" t="str">
        <f>IFERROR(VLOOKUP(C350,STUDENTS!A:M,13,FALSE),"")</f>
        <v>Waiting for class</v>
      </c>
      <c r="I350" s="11" t="str">
        <f>IF(D350="","",IF(AND(VLOOKUP(C350,STUDENTS!$A:$R,17,FALSE)=A350,VLOOKUP(C350,STUDENTS!$A:$R,18,FALSE)=B350,G350="Active"),"Đang học",IF(F350&gt;=0.8,IF(G350="Active","Tiếp tục khóa sau",IF(G350="Waiting for class","Chờ lớp mới",IF(G350="Inactive",IF(IFERROR(H350,"")="Discontinued mid-course","Nghỉ giữa chừng","Hoàn thành rồi nghỉ luôn"),""))),IF(G350="Inactive","Nghỉ giữa chừng","Đang học"))))</f>
        <v>Chờ lớp mới</v>
      </c>
    </row>
    <row r="351">
      <c r="A351" s="11" t="str">
        <f>IFERROR(__xludf.DUMMYFUNCTION("""COMPUTED_VALUE"""),"EL033")</f>
        <v>EL033</v>
      </c>
      <c r="B351" s="11" t="str">
        <f>IFERROR(__xludf.DUMMYFUNCTION("""COMPUTED_VALUE"""),"Communication 2")</f>
        <v>Communication 2</v>
      </c>
      <c r="C351" s="11" t="str">
        <f>IFERROR(__xludf.DUMMYFUNCTION("""COMPUTED_VALUE"""),"193445")</f>
        <v>193445</v>
      </c>
      <c r="D351" s="11">
        <f>IFERROR(__xludf.DUMMYFUNCTION("""COMPUTED_VALUE"""),16.0)</f>
        <v>16</v>
      </c>
      <c r="E351" s="11">
        <f>IFERROR(VLOOKUP(B351,COURSE_PLAN!A:B,2,FALSE),"")</f>
        <v>16</v>
      </c>
      <c r="F351" s="11">
        <f t="shared" si="1"/>
        <v>1</v>
      </c>
      <c r="G351" s="11" t="str">
        <f>IFERROR(VLOOKUP(C351,STUDENTS!A:E,5,FALSE),"")</f>
        <v>Inactive</v>
      </c>
      <c r="H351" s="11" t="str">
        <f>IFERROR(VLOOKUP(C351,STUDENTS!A:M,13,FALSE),"")</f>
        <v>Completed (no continuation)</v>
      </c>
      <c r="I351" s="11" t="str">
        <f>IF(D351="","",IF(AND(VLOOKUP(C351,STUDENTS!$A:$R,17,FALSE)=A351,VLOOKUP(C351,STUDENTS!$A:$R,18,FALSE)=B351,G351="Active"),"Đang học",IF(F351&gt;=0.8,IF(G351="Active","Tiếp tục khóa sau",IF(G351="Waiting for class","Chờ lớp mới",IF(G351="Inactive",IF(IFERROR(H351,"")="Discontinued mid-course","Nghỉ giữa chừng","Hoàn thành rồi nghỉ luôn"),""))),IF(G351="Inactive","Nghỉ giữa chừng","Đang học"))))</f>
        <v>Hoàn thành rồi nghỉ luôn</v>
      </c>
    </row>
    <row r="352">
      <c r="A352" s="11" t="str">
        <f>IFERROR(__xludf.DUMMYFUNCTION("""COMPUTED_VALUE"""),"EL033")</f>
        <v>EL033</v>
      </c>
      <c r="B352" s="11" t="str">
        <f>IFERROR(__xludf.DUMMYFUNCTION("""COMPUTED_VALUE"""),"Communication 2")</f>
        <v>Communication 2</v>
      </c>
      <c r="C352" s="11" t="str">
        <f>IFERROR(__xludf.DUMMYFUNCTION("""COMPUTED_VALUE"""),"193588")</f>
        <v>193588</v>
      </c>
      <c r="D352" s="11">
        <f>IFERROR(__xludf.DUMMYFUNCTION("""COMPUTED_VALUE"""),16.0)</f>
        <v>16</v>
      </c>
      <c r="E352" s="11">
        <f>IFERROR(VLOOKUP(B352,COURSE_PLAN!A:B,2,FALSE),"")</f>
        <v>16</v>
      </c>
      <c r="F352" s="11">
        <f t="shared" si="1"/>
        <v>1</v>
      </c>
      <c r="G352" s="11" t="str">
        <f>IFERROR(VLOOKUP(C352,STUDENTS!A:E,5,FALSE),"")</f>
        <v>Active</v>
      </c>
      <c r="H352" s="11" t="str">
        <f>IFERROR(VLOOKUP(C352,STUDENTS!A:M,13,FALSE),"")</f>
        <v/>
      </c>
      <c r="I352" s="11" t="str">
        <f>IF(D352="","",IF(AND(VLOOKUP(C352,STUDENTS!$A:$R,17,FALSE)=A352,VLOOKUP(C352,STUDENTS!$A:$R,18,FALSE)=B352,G352="Active"),"Đang học",IF(F352&gt;=0.8,IF(G352="Active","Tiếp tục khóa sau",IF(G352="Waiting for class","Chờ lớp mới",IF(G352="Inactive",IF(IFERROR(H352,"")="Discontinued mid-course","Nghỉ giữa chừng","Hoàn thành rồi nghỉ luôn"),""))),IF(G352="Inactive","Nghỉ giữa chừng","Đang học"))))</f>
        <v>Tiếp tục khóa sau</v>
      </c>
    </row>
    <row r="353">
      <c r="A353" s="11" t="str">
        <f>IFERROR(__xludf.DUMMYFUNCTION("""COMPUTED_VALUE"""),"EL033")</f>
        <v>EL033</v>
      </c>
      <c r="B353" s="11" t="str">
        <f>IFERROR(__xludf.DUMMYFUNCTION("""COMPUTED_VALUE"""),"Communication 2")</f>
        <v>Communication 2</v>
      </c>
      <c r="C353" s="11" t="str">
        <f>IFERROR(__xludf.DUMMYFUNCTION("""COMPUTED_VALUE"""),"213815")</f>
        <v>213815</v>
      </c>
      <c r="D353" s="11">
        <f>IFERROR(__xludf.DUMMYFUNCTION("""COMPUTED_VALUE"""),16.0)</f>
        <v>16</v>
      </c>
      <c r="E353" s="11">
        <f>IFERROR(VLOOKUP(B353,COURSE_PLAN!A:B,2,FALSE),"")</f>
        <v>16</v>
      </c>
      <c r="F353" s="11">
        <f t="shared" si="1"/>
        <v>1</v>
      </c>
      <c r="G353" s="11" t="str">
        <f>IFERROR(VLOOKUP(C353,STUDENTS!A:E,5,FALSE),"")</f>
        <v>Inactive</v>
      </c>
      <c r="H353" s="11" t="str">
        <f>IFERROR(VLOOKUP(C353,STUDENTS!A:M,13,FALSE),"")</f>
        <v>Completed (no continuation)</v>
      </c>
      <c r="I353" s="11" t="str">
        <f>IF(D353="","",IF(AND(VLOOKUP(C353,STUDENTS!$A:$R,17,FALSE)=A353,VLOOKUP(C353,STUDENTS!$A:$R,18,FALSE)=B353,G353="Active"),"Đang học",IF(F353&gt;=0.8,IF(G353="Active","Tiếp tục khóa sau",IF(G353="Waiting for class","Chờ lớp mới",IF(G353="Inactive",IF(IFERROR(H353,"")="Discontinued mid-course","Nghỉ giữa chừng","Hoàn thành rồi nghỉ luôn"),""))),IF(G353="Inactive","Nghỉ giữa chừng","Đang học"))))</f>
        <v>Hoàn thành rồi nghỉ luôn</v>
      </c>
    </row>
    <row r="354">
      <c r="A354" s="11" t="str">
        <f>IFERROR(__xludf.DUMMYFUNCTION("""COMPUTED_VALUE"""),"EL033")</f>
        <v>EL033</v>
      </c>
      <c r="B354" s="11" t="str">
        <f>IFERROR(__xludf.DUMMYFUNCTION("""COMPUTED_VALUE"""),"Communication 2")</f>
        <v>Communication 2</v>
      </c>
      <c r="C354" s="11" t="str">
        <f>IFERROR(__xludf.DUMMYFUNCTION("""COMPUTED_VALUE"""),"213851")</f>
        <v>213851</v>
      </c>
      <c r="D354" s="11">
        <f>IFERROR(__xludf.DUMMYFUNCTION("""COMPUTED_VALUE"""),16.0)</f>
        <v>16</v>
      </c>
      <c r="E354" s="11">
        <f>IFERROR(VLOOKUP(B354,COURSE_PLAN!A:B,2,FALSE),"")</f>
        <v>16</v>
      </c>
      <c r="F354" s="11">
        <f t="shared" si="1"/>
        <v>1</v>
      </c>
      <c r="G354" s="11" t="str">
        <f>IFERROR(VLOOKUP(C354,STUDENTS!A:E,5,FALSE),"")</f>
        <v>Inactive</v>
      </c>
      <c r="H354" s="11" t="str">
        <f>IFERROR(VLOOKUP(C354,STUDENTS!A:M,13,FALSE),"")</f>
        <v>Completed (no continuation)</v>
      </c>
      <c r="I354" s="11" t="str">
        <f>IF(D354="","",IF(AND(VLOOKUP(C354,STUDENTS!$A:$R,17,FALSE)=A354,VLOOKUP(C354,STUDENTS!$A:$R,18,FALSE)=B354,G354="Active"),"Đang học",IF(F354&gt;=0.8,IF(G354="Active","Tiếp tục khóa sau",IF(G354="Waiting for class","Chờ lớp mới",IF(G354="Inactive",IF(IFERROR(H354,"")="Discontinued mid-course","Nghỉ giữa chừng","Hoàn thành rồi nghỉ luôn"),""))),IF(G354="Inactive","Nghỉ giữa chừng","Đang học"))))</f>
        <v>Hoàn thành rồi nghỉ luôn</v>
      </c>
    </row>
    <row r="355">
      <c r="A355" s="11" t="str">
        <f>IFERROR(__xludf.DUMMYFUNCTION("""COMPUTED_VALUE"""),"EL033")</f>
        <v>EL033</v>
      </c>
      <c r="B355" s="11" t="str">
        <f>IFERROR(__xludf.DUMMYFUNCTION("""COMPUTED_VALUE"""),"Communication 2")</f>
        <v>Communication 2</v>
      </c>
      <c r="C355" s="11" t="str">
        <f>IFERROR(__xludf.DUMMYFUNCTION("""COMPUTED_VALUE"""),"213861")</f>
        <v>213861</v>
      </c>
      <c r="D355" s="11">
        <f>IFERROR(__xludf.DUMMYFUNCTION("""COMPUTED_VALUE"""),16.0)</f>
        <v>16</v>
      </c>
      <c r="E355" s="11">
        <f>IFERROR(VLOOKUP(B355,COURSE_PLAN!A:B,2,FALSE),"")</f>
        <v>16</v>
      </c>
      <c r="F355" s="11">
        <f t="shared" si="1"/>
        <v>1</v>
      </c>
      <c r="G355" s="11" t="str">
        <f>IFERROR(VLOOKUP(C355,STUDENTS!A:E,5,FALSE),"")</f>
        <v>Inactive</v>
      </c>
      <c r="H355" s="11" t="str">
        <f>IFERROR(VLOOKUP(C355,STUDENTS!A:M,13,FALSE),"")</f>
        <v>Completed (no continuation)</v>
      </c>
      <c r="I355" s="11" t="str">
        <f>IF(D355="","",IF(AND(VLOOKUP(C355,STUDENTS!$A:$R,17,FALSE)=A355,VLOOKUP(C355,STUDENTS!$A:$R,18,FALSE)=B355,G355="Active"),"Đang học",IF(F355&gt;=0.8,IF(G355="Active","Tiếp tục khóa sau",IF(G355="Waiting for class","Chờ lớp mới",IF(G355="Inactive",IF(IFERROR(H355,"")="Discontinued mid-course","Nghỉ giữa chừng","Hoàn thành rồi nghỉ luôn"),""))),IF(G355="Inactive","Nghỉ giữa chừng","Đang học"))))</f>
        <v>Hoàn thành rồi nghỉ luôn</v>
      </c>
    </row>
    <row r="356">
      <c r="A356" s="11" t="str">
        <f>IFERROR(__xludf.DUMMYFUNCTION("""COMPUTED_VALUE"""),"EL033")</f>
        <v>EL033</v>
      </c>
      <c r="B356" s="11" t="str">
        <f>IFERROR(__xludf.DUMMYFUNCTION("""COMPUTED_VALUE"""),"Communication 2")</f>
        <v>Communication 2</v>
      </c>
      <c r="C356" s="11" t="str">
        <f>IFERROR(__xludf.DUMMYFUNCTION("""COMPUTED_VALUE"""),"213914")</f>
        <v>213914</v>
      </c>
      <c r="D356" s="11">
        <f>IFERROR(__xludf.DUMMYFUNCTION("""COMPUTED_VALUE"""),16.0)</f>
        <v>16</v>
      </c>
      <c r="E356" s="11">
        <f>IFERROR(VLOOKUP(B356,COURSE_PLAN!A:B,2,FALSE),"")</f>
        <v>16</v>
      </c>
      <c r="F356" s="11">
        <f t="shared" si="1"/>
        <v>1</v>
      </c>
      <c r="G356" s="11" t="str">
        <f>IFERROR(VLOOKUP(C356,STUDENTS!A:E,5,FALSE),"")</f>
        <v>Inactive</v>
      </c>
      <c r="H356" s="11" t="str">
        <f>IFERROR(VLOOKUP(C356,STUDENTS!A:M,13,FALSE),"")</f>
        <v>Completed (no continuation)</v>
      </c>
      <c r="I356" s="11" t="str">
        <f>IF(D356="","",IF(AND(VLOOKUP(C356,STUDENTS!$A:$R,17,FALSE)=A356,VLOOKUP(C356,STUDENTS!$A:$R,18,FALSE)=B356,G356="Active"),"Đang học",IF(F356&gt;=0.8,IF(G356="Active","Tiếp tục khóa sau",IF(G356="Waiting for class","Chờ lớp mới",IF(G356="Inactive",IF(IFERROR(H356,"")="Discontinued mid-course","Nghỉ giữa chừng","Hoàn thành rồi nghỉ luôn"),""))),IF(G356="Inactive","Nghỉ giữa chừng","Đang học"))))</f>
        <v>Hoàn thành rồi nghỉ luôn</v>
      </c>
    </row>
    <row r="357">
      <c r="A357" s="11" t="str">
        <f>IFERROR(__xludf.DUMMYFUNCTION("""COMPUTED_VALUE"""),"EL033")</f>
        <v>EL033</v>
      </c>
      <c r="B357" s="11" t="str">
        <f>IFERROR(__xludf.DUMMYFUNCTION("""COMPUTED_VALUE"""),"Communication 2")</f>
        <v>Communication 2</v>
      </c>
      <c r="C357" s="11" t="str">
        <f>IFERROR(__xludf.DUMMYFUNCTION("""COMPUTED_VALUE"""),"213968")</f>
        <v>213968</v>
      </c>
      <c r="D357" s="11">
        <f>IFERROR(__xludf.DUMMYFUNCTION("""COMPUTED_VALUE"""),16.0)</f>
        <v>16</v>
      </c>
      <c r="E357" s="11">
        <f>IFERROR(VLOOKUP(B357,COURSE_PLAN!A:B,2,FALSE),"")</f>
        <v>16</v>
      </c>
      <c r="F357" s="11">
        <f t="shared" si="1"/>
        <v>1</v>
      </c>
      <c r="G357" s="11" t="str">
        <f>IFERROR(VLOOKUP(C357,STUDENTS!A:E,5,FALSE),"")</f>
        <v>Inactive</v>
      </c>
      <c r="H357" s="11" t="str">
        <f>IFERROR(VLOOKUP(C357,STUDENTS!A:M,13,FALSE),"")</f>
        <v>Completed (no continuation)</v>
      </c>
      <c r="I357" s="11" t="str">
        <f>IF(D357="","",IF(AND(VLOOKUP(C357,STUDENTS!$A:$R,17,FALSE)=A357,VLOOKUP(C357,STUDENTS!$A:$R,18,FALSE)=B357,G357="Active"),"Đang học",IF(F357&gt;=0.8,IF(G357="Active","Tiếp tục khóa sau",IF(G357="Waiting for class","Chờ lớp mới",IF(G357="Inactive",IF(IFERROR(H357,"")="Discontinued mid-course","Nghỉ giữa chừng","Hoàn thành rồi nghỉ luôn"),""))),IF(G357="Inactive","Nghỉ giữa chừng","Đang học"))))</f>
        <v>Hoàn thành rồi nghỉ luôn</v>
      </c>
    </row>
    <row r="358">
      <c r="A358" s="11" t="str">
        <f>IFERROR(__xludf.DUMMYFUNCTION("""COMPUTED_VALUE"""),"EL033")</f>
        <v>EL033</v>
      </c>
      <c r="B358" s="11" t="str">
        <f>IFERROR(__xludf.DUMMYFUNCTION("""COMPUTED_VALUE"""),"Communication 2")</f>
        <v>Communication 2</v>
      </c>
      <c r="C358" s="11" t="str">
        <f>IFERROR(__xludf.DUMMYFUNCTION("""COMPUTED_VALUE"""),"247223")</f>
        <v>247223</v>
      </c>
      <c r="D358" s="11">
        <f>IFERROR(__xludf.DUMMYFUNCTION("""COMPUTED_VALUE"""),16.0)</f>
        <v>16</v>
      </c>
      <c r="E358" s="11">
        <f>IFERROR(VLOOKUP(B358,COURSE_PLAN!A:B,2,FALSE),"")</f>
        <v>16</v>
      </c>
      <c r="F358" s="11">
        <f t="shared" si="1"/>
        <v>1</v>
      </c>
      <c r="G358" s="11" t="str">
        <f>IFERROR(VLOOKUP(C358,STUDENTS!A:E,5,FALSE),"")</f>
        <v>Inactive</v>
      </c>
      <c r="H358" s="11" t="str">
        <f>IFERROR(VLOOKUP(C358,STUDENTS!A:M,13,FALSE),"")</f>
        <v>Completed (no continuation)</v>
      </c>
      <c r="I358" s="11" t="str">
        <f>IF(D358="","",IF(AND(VLOOKUP(C358,STUDENTS!$A:$R,17,FALSE)=A358,VLOOKUP(C358,STUDENTS!$A:$R,18,FALSE)=B358,G358="Active"),"Đang học",IF(F358&gt;=0.8,IF(G358="Active","Tiếp tục khóa sau",IF(G358="Waiting for class","Chờ lớp mới",IF(G358="Inactive",IF(IFERROR(H358,"")="Discontinued mid-course","Nghỉ giữa chừng","Hoàn thành rồi nghỉ luôn"),""))),IF(G358="Inactive","Nghỉ giữa chừng","Đang học"))))</f>
        <v>Hoàn thành rồi nghỉ luôn</v>
      </c>
    </row>
    <row r="359">
      <c r="A359" s="11" t="str">
        <f>IFERROR(__xludf.DUMMYFUNCTION("""COMPUTED_VALUE"""),"EL034")</f>
        <v>EL034</v>
      </c>
      <c r="B359" s="11" t="str">
        <f>IFERROR(__xludf.DUMMYFUNCTION("""COMPUTED_VALUE"""),"Business English")</f>
        <v>Business English</v>
      </c>
      <c r="C359" s="11" t="str">
        <f>IFERROR(__xludf.DUMMYFUNCTION("""COMPUTED_VALUE"""),"193632")</f>
        <v>193632</v>
      </c>
      <c r="D359" s="11">
        <f>IFERROR(__xludf.DUMMYFUNCTION("""COMPUTED_VALUE"""),13.0)</f>
        <v>13</v>
      </c>
      <c r="E359" s="11">
        <f>IFERROR(VLOOKUP(B359,COURSE_PLAN!A:B,2,FALSE),"")</f>
        <v>16</v>
      </c>
      <c r="F359" s="11">
        <f t="shared" si="1"/>
        <v>0.8125</v>
      </c>
      <c r="G359" s="11" t="str">
        <f>IFERROR(VLOOKUP(C359,STUDENTS!A:E,5,FALSE),"")</f>
        <v>Active</v>
      </c>
      <c r="H359" s="11" t="str">
        <f>IFERROR(VLOOKUP(C359,STUDENTS!A:M,13,FALSE),"")</f>
        <v/>
      </c>
      <c r="I359" s="11" t="str">
        <f>IF(D359="","",IF(AND(VLOOKUP(C359,STUDENTS!$A:$R,17,FALSE)=A359,VLOOKUP(C359,STUDENTS!$A:$R,18,FALSE)=B359,G359="Active"),"Đang học",IF(F359&gt;=0.8,IF(G359="Active","Tiếp tục khóa sau",IF(G359="Waiting for class","Chờ lớp mới",IF(G359="Inactive",IF(IFERROR(H359,"")="Discontinued mid-course","Nghỉ giữa chừng","Hoàn thành rồi nghỉ luôn"),""))),IF(G359="Inactive","Nghỉ giữa chừng","Đang học"))))</f>
        <v>Đang học</v>
      </c>
    </row>
    <row r="360">
      <c r="A360" s="11" t="str">
        <f>IFERROR(__xludf.DUMMYFUNCTION("""COMPUTED_VALUE"""),"EL034")</f>
        <v>EL034</v>
      </c>
      <c r="B360" s="11" t="str">
        <f>IFERROR(__xludf.DUMMYFUNCTION("""COMPUTED_VALUE"""),"Business English")</f>
        <v>Business English</v>
      </c>
      <c r="C360" s="11" t="str">
        <f>IFERROR(__xludf.DUMMYFUNCTION("""COMPUTED_VALUE"""),"213859")</f>
        <v>213859</v>
      </c>
      <c r="D360" s="11">
        <f>IFERROR(__xludf.DUMMYFUNCTION("""COMPUTED_VALUE"""),13.0)</f>
        <v>13</v>
      </c>
      <c r="E360" s="11">
        <f>IFERROR(VLOOKUP(B360,COURSE_PLAN!A:B,2,FALSE),"")</f>
        <v>16</v>
      </c>
      <c r="F360" s="11">
        <f t="shared" si="1"/>
        <v>0.8125</v>
      </c>
      <c r="G360" s="11" t="str">
        <f>IFERROR(VLOOKUP(C360,STUDENTS!A:E,5,FALSE),"")</f>
        <v>Active</v>
      </c>
      <c r="H360" s="11" t="str">
        <f>IFERROR(VLOOKUP(C360,STUDENTS!A:M,13,FALSE),"")</f>
        <v/>
      </c>
      <c r="I360" s="11" t="str">
        <f>IF(D360="","",IF(AND(VLOOKUP(C360,STUDENTS!$A:$R,17,FALSE)=A360,VLOOKUP(C360,STUDENTS!$A:$R,18,FALSE)=B360,G360="Active"),"Đang học",IF(F360&gt;=0.8,IF(G360="Active","Tiếp tục khóa sau",IF(G360="Waiting for class","Chờ lớp mới",IF(G360="Inactive",IF(IFERROR(H360,"")="Discontinued mid-course","Nghỉ giữa chừng","Hoàn thành rồi nghỉ luôn"),""))),IF(G360="Inactive","Nghỉ giữa chừng","Đang học"))))</f>
        <v>Đang học</v>
      </c>
    </row>
    <row r="361">
      <c r="A361" s="11" t="str">
        <f>IFERROR(__xludf.DUMMYFUNCTION("""COMPUTED_VALUE"""),"EL034")</f>
        <v>EL034</v>
      </c>
      <c r="B361" s="11" t="str">
        <f>IFERROR(__xludf.DUMMYFUNCTION("""COMPUTED_VALUE"""),"Business English")</f>
        <v>Business English</v>
      </c>
      <c r="C361" s="11" t="str">
        <f>IFERROR(__xludf.DUMMYFUNCTION("""COMPUTED_VALUE"""),"227097")</f>
        <v>227097</v>
      </c>
      <c r="D361" s="11">
        <f>IFERROR(__xludf.DUMMYFUNCTION("""COMPUTED_VALUE"""),13.0)</f>
        <v>13</v>
      </c>
      <c r="E361" s="11">
        <f>IFERROR(VLOOKUP(B361,COURSE_PLAN!A:B,2,FALSE),"")</f>
        <v>16</v>
      </c>
      <c r="F361" s="11">
        <f t="shared" si="1"/>
        <v>0.8125</v>
      </c>
      <c r="G361" s="11" t="str">
        <f>IFERROR(VLOOKUP(C361,STUDENTS!A:E,5,FALSE),"")</f>
        <v>Inactive</v>
      </c>
      <c r="H361" s="11" t="str">
        <f>IFERROR(VLOOKUP(C361,STUDENTS!A:M,13,FALSE),"")</f>
        <v>Discontinued mid-course</v>
      </c>
      <c r="I361" s="11" t="str">
        <f>IF(D361="","",IF(AND(VLOOKUP(C361,STUDENTS!$A:$R,17,FALSE)=A361,VLOOKUP(C361,STUDENTS!$A:$R,18,FALSE)=B361,G361="Active"),"Đang học",IF(F361&gt;=0.8,IF(G361="Active","Tiếp tục khóa sau",IF(G361="Waiting for class","Chờ lớp mới",IF(G361="Inactive",IF(IFERROR(H361,"")="Discontinued mid-course","Nghỉ giữa chừng","Hoàn thành rồi nghỉ luôn"),""))),IF(G361="Inactive","Nghỉ giữa chừng","Đang học"))))</f>
        <v>Nghỉ giữa chừng</v>
      </c>
    </row>
    <row r="362">
      <c r="A362" s="11" t="str">
        <f>IFERROR(__xludf.DUMMYFUNCTION("""COMPUTED_VALUE"""),"EL034")</f>
        <v>EL034</v>
      </c>
      <c r="B362" s="11" t="str">
        <f>IFERROR(__xludf.DUMMYFUNCTION("""COMPUTED_VALUE"""),"Business English")</f>
        <v>Business English</v>
      </c>
      <c r="C362" s="11" t="str">
        <f>IFERROR(__xludf.DUMMYFUNCTION("""COMPUTED_VALUE"""),"237147")</f>
        <v>237147</v>
      </c>
      <c r="D362" s="11">
        <f>IFERROR(__xludf.DUMMYFUNCTION("""COMPUTED_VALUE"""),13.0)</f>
        <v>13</v>
      </c>
      <c r="E362" s="11">
        <f>IFERROR(VLOOKUP(B362,COURSE_PLAN!A:B,2,FALSE),"")</f>
        <v>16</v>
      </c>
      <c r="F362" s="11">
        <f t="shared" si="1"/>
        <v>0.8125</v>
      </c>
      <c r="G362" s="11" t="str">
        <f>IFERROR(VLOOKUP(C362,STUDENTS!A:E,5,FALSE),"")</f>
        <v>Active</v>
      </c>
      <c r="H362" s="11" t="str">
        <f>IFERROR(VLOOKUP(C362,STUDENTS!A:M,13,FALSE),"")</f>
        <v/>
      </c>
      <c r="I362" s="11" t="str">
        <f>IF(D362="","",IF(AND(VLOOKUP(C362,STUDENTS!$A:$R,17,FALSE)=A362,VLOOKUP(C362,STUDENTS!$A:$R,18,FALSE)=B362,G362="Active"),"Đang học",IF(F362&gt;=0.8,IF(G362="Active","Tiếp tục khóa sau",IF(G362="Waiting for class","Chờ lớp mới",IF(G362="Inactive",IF(IFERROR(H362,"")="Discontinued mid-course","Nghỉ giữa chừng","Hoàn thành rồi nghỉ luôn"),""))),IF(G362="Inactive","Nghỉ giữa chừng","Đang học"))))</f>
        <v>Đang học</v>
      </c>
    </row>
    <row r="363">
      <c r="A363" s="11" t="str">
        <f>IFERROR(__xludf.DUMMYFUNCTION("""COMPUTED_VALUE"""),"EL034")</f>
        <v>EL034</v>
      </c>
      <c r="B363" s="11" t="str">
        <f>IFERROR(__xludf.DUMMYFUNCTION("""COMPUTED_VALUE"""),"Business English")</f>
        <v>Business English</v>
      </c>
      <c r="C363" s="11" t="str">
        <f>IFERROR(__xludf.DUMMYFUNCTION("""COMPUTED_VALUE"""),"247088")</f>
        <v>247088</v>
      </c>
      <c r="D363" s="11">
        <f>IFERROR(__xludf.DUMMYFUNCTION("""COMPUTED_VALUE"""),13.0)</f>
        <v>13</v>
      </c>
      <c r="E363" s="11">
        <f>IFERROR(VLOOKUP(B363,COURSE_PLAN!A:B,2,FALSE),"")</f>
        <v>16</v>
      </c>
      <c r="F363" s="11">
        <f t="shared" si="1"/>
        <v>0.8125</v>
      </c>
      <c r="G363" s="11" t="str">
        <f>IFERROR(VLOOKUP(C363,STUDENTS!A:E,5,FALSE),"")</f>
        <v>Inactive</v>
      </c>
      <c r="H363" s="11" t="str">
        <f>IFERROR(VLOOKUP(C363,STUDENTS!A:M,13,FALSE),"")</f>
        <v>Discontinued mid-course</v>
      </c>
      <c r="I363" s="11" t="str">
        <f>IF(D363="","",IF(AND(VLOOKUP(C363,STUDENTS!$A:$R,17,FALSE)=A363,VLOOKUP(C363,STUDENTS!$A:$R,18,FALSE)=B363,G363="Active"),"Đang học",IF(F363&gt;=0.8,IF(G363="Active","Tiếp tục khóa sau",IF(G363="Waiting for class","Chờ lớp mới",IF(G363="Inactive",IF(IFERROR(H363,"")="Discontinued mid-course","Nghỉ giữa chừng","Hoàn thành rồi nghỉ luôn"),""))),IF(G363="Inactive","Nghỉ giữa chừng","Đang học"))))</f>
        <v>Nghỉ giữa chừng</v>
      </c>
    </row>
    <row r="364">
      <c r="A364" s="11" t="str">
        <f>IFERROR(__xludf.DUMMYFUNCTION("""COMPUTED_VALUE"""),"EL034")</f>
        <v>EL034</v>
      </c>
      <c r="B364" s="11" t="str">
        <f>IFERROR(__xludf.DUMMYFUNCTION("""COMPUTED_VALUE"""),"Business English")</f>
        <v>Business English</v>
      </c>
      <c r="C364" s="11" t="str">
        <f>IFERROR(__xludf.DUMMYFUNCTION("""COMPUTED_VALUE"""),"247262")</f>
        <v>247262</v>
      </c>
      <c r="D364" s="11">
        <f>IFERROR(__xludf.DUMMYFUNCTION("""COMPUTED_VALUE"""),13.0)</f>
        <v>13</v>
      </c>
      <c r="E364" s="11">
        <f>IFERROR(VLOOKUP(B364,COURSE_PLAN!A:B,2,FALSE),"")</f>
        <v>16</v>
      </c>
      <c r="F364" s="11">
        <f t="shared" si="1"/>
        <v>0.8125</v>
      </c>
      <c r="G364" s="11" t="str">
        <f>IFERROR(VLOOKUP(C364,STUDENTS!A:E,5,FALSE),"")</f>
        <v>Active</v>
      </c>
      <c r="H364" s="11" t="str">
        <f>IFERROR(VLOOKUP(C364,STUDENTS!A:M,13,FALSE),"")</f>
        <v/>
      </c>
      <c r="I364" s="11" t="str">
        <f>IF(D364="","",IF(AND(VLOOKUP(C364,STUDENTS!$A:$R,17,FALSE)=A364,VLOOKUP(C364,STUDENTS!$A:$R,18,FALSE)=B364,G364="Active"),"Đang học",IF(F364&gt;=0.8,IF(G364="Active","Tiếp tục khóa sau",IF(G364="Waiting for class","Chờ lớp mới",IF(G364="Inactive",IF(IFERROR(H364,"")="Discontinued mid-course","Nghỉ giữa chừng","Hoàn thành rồi nghỉ luôn"),""))),IF(G364="Inactive","Nghỉ giữa chừng","Đang học"))))</f>
        <v>Đang học</v>
      </c>
    </row>
    <row r="365">
      <c r="A365" s="11" t="str">
        <f>IFERROR(__xludf.DUMMYFUNCTION("""COMPUTED_VALUE"""),"EL034")</f>
        <v>EL034</v>
      </c>
      <c r="B365" s="11" t="str">
        <f>IFERROR(__xludf.DUMMYFUNCTION("""COMPUTED_VALUE"""),"Business English")</f>
        <v>Business English</v>
      </c>
      <c r="C365" s="11" t="str">
        <f>IFERROR(__xludf.DUMMYFUNCTION("""COMPUTED_VALUE"""),"247263")</f>
        <v>247263</v>
      </c>
      <c r="D365" s="11">
        <f>IFERROR(__xludf.DUMMYFUNCTION("""COMPUTED_VALUE"""),13.0)</f>
        <v>13</v>
      </c>
      <c r="E365" s="11">
        <f>IFERROR(VLOOKUP(B365,COURSE_PLAN!A:B,2,FALSE),"")</f>
        <v>16</v>
      </c>
      <c r="F365" s="11">
        <f t="shared" si="1"/>
        <v>0.8125</v>
      </c>
      <c r="G365" s="11" t="str">
        <f>IFERROR(VLOOKUP(C365,STUDENTS!A:E,5,FALSE),"")</f>
        <v>Active</v>
      </c>
      <c r="H365" s="11" t="str">
        <f>IFERROR(VLOOKUP(C365,STUDENTS!A:M,13,FALSE),"")</f>
        <v/>
      </c>
      <c r="I365" s="11" t="str">
        <f>IF(D365="","",IF(AND(VLOOKUP(C365,STUDENTS!$A:$R,17,FALSE)=A365,VLOOKUP(C365,STUDENTS!$A:$R,18,FALSE)=B365,G365="Active"),"Đang học",IF(F365&gt;=0.8,IF(G365="Active","Tiếp tục khóa sau",IF(G365="Waiting for class","Chờ lớp mới",IF(G365="Inactive",IF(IFERROR(H365,"")="Discontinued mid-course","Nghỉ giữa chừng","Hoàn thành rồi nghỉ luôn"),""))),IF(G365="Inactive","Nghỉ giữa chừng","Đang học"))))</f>
        <v>Đang học</v>
      </c>
    </row>
    <row r="366">
      <c r="A366" s="11" t="str">
        <f>IFERROR(__xludf.DUMMYFUNCTION("""COMPUTED_VALUE"""),"EL034")</f>
        <v>EL034</v>
      </c>
      <c r="B366" s="11" t="str">
        <f>IFERROR(__xludf.DUMMYFUNCTION("""COMPUTED_VALUE"""),"Communication 1")</f>
        <v>Communication 1</v>
      </c>
      <c r="C366" s="11" t="str">
        <f>IFERROR(__xludf.DUMMYFUNCTION("""COMPUTED_VALUE"""),"193445")</f>
        <v>193445</v>
      </c>
      <c r="D366" s="11">
        <f>IFERROR(__xludf.DUMMYFUNCTION("""COMPUTED_VALUE"""),10.0)</f>
        <v>10</v>
      </c>
      <c r="E366" s="11">
        <f>IFERROR(VLOOKUP(B366,COURSE_PLAN!A:B,2,FALSE),"")</f>
        <v>10</v>
      </c>
      <c r="F366" s="11">
        <f t="shared" si="1"/>
        <v>1</v>
      </c>
      <c r="G366" s="11" t="str">
        <f>IFERROR(VLOOKUP(C366,STUDENTS!A:E,5,FALSE),"")</f>
        <v>Inactive</v>
      </c>
      <c r="H366" s="11" t="str">
        <f>IFERROR(VLOOKUP(C366,STUDENTS!A:M,13,FALSE),"")</f>
        <v>Completed (no continuation)</v>
      </c>
      <c r="I366" s="11" t="str">
        <f>IF(D366="","",IF(AND(VLOOKUP(C366,STUDENTS!$A:$R,17,FALSE)=A366,VLOOKUP(C366,STUDENTS!$A:$R,18,FALSE)=B366,G366="Active"),"Đang học",IF(F366&gt;=0.8,IF(G366="Active","Tiếp tục khóa sau",IF(G366="Waiting for class","Chờ lớp mới",IF(G366="Inactive",IF(IFERROR(H366,"")="Discontinued mid-course","Nghỉ giữa chừng","Hoàn thành rồi nghỉ luôn"),""))),IF(G366="Inactive","Nghỉ giữa chừng","Đang học"))))</f>
        <v>Hoàn thành rồi nghỉ luôn</v>
      </c>
    </row>
    <row r="367">
      <c r="A367" s="11" t="str">
        <f>IFERROR(__xludf.DUMMYFUNCTION("""COMPUTED_VALUE"""),"EL034")</f>
        <v>EL034</v>
      </c>
      <c r="B367" s="11" t="str">
        <f>IFERROR(__xludf.DUMMYFUNCTION("""COMPUTED_VALUE"""),"Communication 1")</f>
        <v>Communication 1</v>
      </c>
      <c r="C367" s="11" t="str">
        <f>IFERROR(__xludf.DUMMYFUNCTION("""COMPUTED_VALUE"""),"193632")</f>
        <v>193632</v>
      </c>
      <c r="D367" s="11">
        <f>IFERROR(__xludf.DUMMYFUNCTION("""COMPUTED_VALUE"""),10.0)</f>
        <v>10</v>
      </c>
      <c r="E367" s="11">
        <f>IFERROR(VLOOKUP(B367,COURSE_PLAN!A:B,2,FALSE),"")</f>
        <v>10</v>
      </c>
      <c r="F367" s="11">
        <f t="shared" si="1"/>
        <v>1</v>
      </c>
      <c r="G367" s="11" t="str">
        <f>IFERROR(VLOOKUP(C367,STUDENTS!A:E,5,FALSE),"")</f>
        <v>Active</v>
      </c>
      <c r="H367" s="11" t="str">
        <f>IFERROR(VLOOKUP(C367,STUDENTS!A:M,13,FALSE),"")</f>
        <v/>
      </c>
      <c r="I367" s="11" t="str">
        <f>IF(D367="","",IF(AND(VLOOKUP(C367,STUDENTS!$A:$R,17,FALSE)=A367,VLOOKUP(C367,STUDENTS!$A:$R,18,FALSE)=B367,G367="Active"),"Đang học",IF(F367&gt;=0.8,IF(G367="Active","Tiếp tục khóa sau",IF(G367="Waiting for class","Chờ lớp mới",IF(G367="Inactive",IF(IFERROR(H367,"")="Discontinued mid-course","Nghỉ giữa chừng","Hoàn thành rồi nghỉ luôn"),""))),IF(G367="Inactive","Nghỉ giữa chừng","Đang học"))))</f>
        <v>Tiếp tục khóa sau</v>
      </c>
    </row>
    <row r="368">
      <c r="A368" s="11" t="str">
        <f>IFERROR(__xludf.DUMMYFUNCTION("""COMPUTED_VALUE"""),"EL034")</f>
        <v>EL034</v>
      </c>
      <c r="B368" s="11" t="str">
        <f>IFERROR(__xludf.DUMMYFUNCTION("""COMPUTED_VALUE"""),"Communication 1")</f>
        <v>Communication 1</v>
      </c>
      <c r="C368" s="11" t="str">
        <f>IFERROR(__xludf.DUMMYFUNCTION("""COMPUTED_VALUE"""),"213859")</f>
        <v>213859</v>
      </c>
      <c r="D368" s="11">
        <f>IFERROR(__xludf.DUMMYFUNCTION("""COMPUTED_VALUE"""),10.0)</f>
        <v>10</v>
      </c>
      <c r="E368" s="11">
        <f>IFERROR(VLOOKUP(B368,COURSE_PLAN!A:B,2,FALSE),"")</f>
        <v>10</v>
      </c>
      <c r="F368" s="11">
        <f t="shared" si="1"/>
        <v>1</v>
      </c>
      <c r="G368" s="11" t="str">
        <f>IFERROR(VLOOKUP(C368,STUDENTS!A:E,5,FALSE),"")</f>
        <v>Active</v>
      </c>
      <c r="H368" s="11" t="str">
        <f>IFERROR(VLOOKUP(C368,STUDENTS!A:M,13,FALSE),"")</f>
        <v/>
      </c>
      <c r="I368" s="11" t="str">
        <f>IF(D368="","",IF(AND(VLOOKUP(C368,STUDENTS!$A:$R,17,FALSE)=A368,VLOOKUP(C368,STUDENTS!$A:$R,18,FALSE)=B368,G368="Active"),"Đang học",IF(F368&gt;=0.8,IF(G368="Active","Tiếp tục khóa sau",IF(G368="Waiting for class","Chờ lớp mới",IF(G368="Inactive",IF(IFERROR(H368,"")="Discontinued mid-course","Nghỉ giữa chừng","Hoàn thành rồi nghỉ luôn"),""))),IF(G368="Inactive","Nghỉ giữa chừng","Đang học"))))</f>
        <v>Tiếp tục khóa sau</v>
      </c>
    </row>
    <row r="369">
      <c r="A369" s="11" t="str">
        <f>IFERROR(__xludf.DUMMYFUNCTION("""COMPUTED_VALUE"""),"EL034")</f>
        <v>EL034</v>
      </c>
      <c r="B369" s="11" t="str">
        <f>IFERROR(__xludf.DUMMYFUNCTION("""COMPUTED_VALUE"""),"Communication 1")</f>
        <v>Communication 1</v>
      </c>
      <c r="C369" s="11" t="str">
        <f>IFERROR(__xludf.DUMMYFUNCTION("""COMPUTED_VALUE"""),"213968")</f>
        <v>213968</v>
      </c>
      <c r="D369" s="11">
        <f>IFERROR(__xludf.DUMMYFUNCTION("""COMPUTED_VALUE"""),10.0)</f>
        <v>10</v>
      </c>
      <c r="E369" s="11">
        <f>IFERROR(VLOOKUP(B369,COURSE_PLAN!A:B,2,FALSE),"")</f>
        <v>10</v>
      </c>
      <c r="F369" s="11">
        <f t="shared" si="1"/>
        <v>1</v>
      </c>
      <c r="G369" s="11" t="str">
        <f>IFERROR(VLOOKUP(C369,STUDENTS!A:E,5,FALSE),"")</f>
        <v>Inactive</v>
      </c>
      <c r="H369" s="11" t="str">
        <f>IFERROR(VLOOKUP(C369,STUDENTS!A:M,13,FALSE),"")</f>
        <v>Completed (no continuation)</v>
      </c>
      <c r="I369" s="11" t="str">
        <f>IF(D369="","",IF(AND(VLOOKUP(C369,STUDENTS!$A:$R,17,FALSE)=A369,VLOOKUP(C369,STUDENTS!$A:$R,18,FALSE)=B369,G369="Active"),"Đang học",IF(F369&gt;=0.8,IF(G369="Active","Tiếp tục khóa sau",IF(G369="Waiting for class","Chờ lớp mới",IF(G369="Inactive",IF(IFERROR(H369,"")="Discontinued mid-course","Nghỉ giữa chừng","Hoàn thành rồi nghỉ luôn"),""))),IF(G369="Inactive","Nghỉ giữa chừng","Đang học"))))</f>
        <v>Hoàn thành rồi nghỉ luôn</v>
      </c>
    </row>
    <row r="370">
      <c r="A370" s="11" t="str">
        <f>IFERROR(__xludf.DUMMYFUNCTION("""COMPUTED_VALUE"""),"EL034")</f>
        <v>EL034</v>
      </c>
      <c r="B370" s="11" t="str">
        <f>IFERROR(__xludf.DUMMYFUNCTION("""COMPUTED_VALUE"""),"Communication 1")</f>
        <v>Communication 1</v>
      </c>
      <c r="C370" s="11" t="str">
        <f>IFERROR(__xludf.DUMMYFUNCTION("""COMPUTED_VALUE"""),"227097")</f>
        <v>227097</v>
      </c>
      <c r="D370" s="11">
        <f>IFERROR(__xludf.DUMMYFUNCTION("""COMPUTED_VALUE"""),10.0)</f>
        <v>10</v>
      </c>
      <c r="E370" s="11">
        <f>IFERROR(VLOOKUP(B370,COURSE_PLAN!A:B,2,FALSE),"")</f>
        <v>10</v>
      </c>
      <c r="F370" s="11">
        <f t="shared" si="1"/>
        <v>1</v>
      </c>
      <c r="G370" s="11" t="str">
        <f>IFERROR(VLOOKUP(C370,STUDENTS!A:E,5,FALSE),"")</f>
        <v>Inactive</v>
      </c>
      <c r="H370" s="11" t="str">
        <f>IFERROR(VLOOKUP(C370,STUDENTS!A:M,13,FALSE),"")</f>
        <v>Discontinued mid-course</v>
      </c>
      <c r="I370" s="11" t="str">
        <f>IF(D370="","",IF(AND(VLOOKUP(C370,STUDENTS!$A:$R,17,FALSE)=A370,VLOOKUP(C370,STUDENTS!$A:$R,18,FALSE)=B370,G370="Active"),"Đang học",IF(F370&gt;=0.8,IF(G370="Active","Tiếp tục khóa sau",IF(G370="Waiting for class","Chờ lớp mới",IF(G370="Inactive",IF(IFERROR(H370,"")="Discontinued mid-course","Nghỉ giữa chừng","Hoàn thành rồi nghỉ luôn"),""))),IF(G370="Inactive","Nghỉ giữa chừng","Đang học"))))</f>
        <v>Nghỉ giữa chừng</v>
      </c>
    </row>
    <row r="371">
      <c r="A371" s="11" t="str">
        <f>IFERROR(__xludf.DUMMYFUNCTION("""COMPUTED_VALUE"""),"EL034")</f>
        <v>EL034</v>
      </c>
      <c r="B371" s="11" t="str">
        <f>IFERROR(__xludf.DUMMYFUNCTION("""COMPUTED_VALUE"""),"Communication 1")</f>
        <v>Communication 1</v>
      </c>
      <c r="C371" s="11" t="str">
        <f>IFERROR(__xludf.DUMMYFUNCTION("""COMPUTED_VALUE"""),"237147")</f>
        <v>237147</v>
      </c>
      <c r="D371" s="11">
        <f>IFERROR(__xludf.DUMMYFUNCTION("""COMPUTED_VALUE"""),10.0)</f>
        <v>10</v>
      </c>
      <c r="E371" s="11">
        <f>IFERROR(VLOOKUP(B371,COURSE_PLAN!A:B,2,FALSE),"")</f>
        <v>10</v>
      </c>
      <c r="F371" s="11">
        <f t="shared" si="1"/>
        <v>1</v>
      </c>
      <c r="G371" s="11" t="str">
        <f>IFERROR(VLOOKUP(C371,STUDENTS!A:E,5,FALSE),"")</f>
        <v>Active</v>
      </c>
      <c r="H371" s="11" t="str">
        <f>IFERROR(VLOOKUP(C371,STUDENTS!A:M,13,FALSE),"")</f>
        <v/>
      </c>
      <c r="I371" s="11" t="str">
        <f>IF(D371="","",IF(AND(VLOOKUP(C371,STUDENTS!$A:$R,17,FALSE)=A371,VLOOKUP(C371,STUDENTS!$A:$R,18,FALSE)=B371,G371="Active"),"Đang học",IF(F371&gt;=0.8,IF(G371="Active","Tiếp tục khóa sau",IF(G371="Waiting for class","Chờ lớp mới",IF(G371="Inactive",IF(IFERROR(H371,"")="Discontinued mid-course","Nghỉ giữa chừng","Hoàn thành rồi nghỉ luôn"),""))),IF(G371="Inactive","Nghỉ giữa chừng","Đang học"))))</f>
        <v>Tiếp tục khóa sau</v>
      </c>
    </row>
    <row r="372">
      <c r="A372" s="11" t="str">
        <f>IFERROR(__xludf.DUMMYFUNCTION("""COMPUTED_VALUE"""),"EL034")</f>
        <v>EL034</v>
      </c>
      <c r="B372" s="11" t="str">
        <f>IFERROR(__xludf.DUMMYFUNCTION("""COMPUTED_VALUE"""),"Communication 1")</f>
        <v>Communication 1</v>
      </c>
      <c r="C372" s="11" t="str">
        <f>IFERROR(__xludf.DUMMYFUNCTION("""COMPUTED_VALUE"""),"247088")</f>
        <v>247088</v>
      </c>
      <c r="D372" s="11">
        <f>IFERROR(__xludf.DUMMYFUNCTION("""COMPUTED_VALUE"""),9.0)</f>
        <v>9</v>
      </c>
      <c r="E372" s="11">
        <f>IFERROR(VLOOKUP(B372,COURSE_PLAN!A:B,2,FALSE),"")</f>
        <v>10</v>
      </c>
      <c r="F372" s="11">
        <f t="shared" si="1"/>
        <v>0.9</v>
      </c>
      <c r="G372" s="11" t="str">
        <f>IFERROR(VLOOKUP(C372,STUDENTS!A:E,5,FALSE),"")</f>
        <v>Inactive</v>
      </c>
      <c r="H372" s="11" t="str">
        <f>IFERROR(VLOOKUP(C372,STUDENTS!A:M,13,FALSE),"")</f>
        <v>Discontinued mid-course</v>
      </c>
      <c r="I372" s="11" t="str">
        <f>IF(D372="","",IF(AND(VLOOKUP(C372,STUDENTS!$A:$R,17,FALSE)=A372,VLOOKUP(C372,STUDENTS!$A:$R,18,FALSE)=B372,G372="Active"),"Đang học",IF(F372&gt;=0.8,IF(G372="Active","Tiếp tục khóa sau",IF(G372="Waiting for class","Chờ lớp mới",IF(G372="Inactive",IF(IFERROR(H372,"")="Discontinued mid-course","Nghỉ giữa chừng","Hoàn thành rồi nghỉ luôn"),""))),IF(G372="Inactive","Nghỉ giữa chừng","Đang học"))))</f>
        <v>Nghỉ giữa chừng</v>
      </c>
    </row>
    <row r="373">
      <c r="A373" s="11" t="str">
        <f>IFERROR(__xludf.DUMMYFUNCTION("""COMPUTED_VALUE"""),"EL034")</f>
        <v>EL034</v>
      </c>
      <c r="B373" s="11" t="str">
        <f>IFERROR(__xludf.DUMMYFUNCTION("""COMPUTED_VALUE"""),"Communication 1")</f>
        <v>Communication 1</v>
      </c>
      <c r="C373" s="11" t="str">
        <f>IFERROR(__xludf.DUMMYFUNCTION("""COMPUTED_VALUE"""),"247262")</f>
        <v>247262</v>
      </c>
      <c r="D373" s="11">
        <f>IFERROR(__xludf.DUMMYFUNCTION("""COMPUTED_VALUE"""),10.0)</f>
        <v>10</v>
      </c>
      <c r="E373" s="11">
        <f>IFERROR(VLOOKUP(B373,COURSE_PLAN!A:B,2,FALSE),"")</f>
        <v>10</v>
      </c>
      <c r="F373" s="11">
        <f t="shared" si="1"/>
        <v>1</v>
      </c>
      <c r="G373" s="11" t="str">
        <f>IFERROR(VLOOKUP(C373,STUDENTS!A:E,5,FALSE),"")</f>
        <v>Active</v>
      </c>
      <c r="H373" s="11" t="str">
        <f>IFERROR(VLOOKUP(C373,STUDENTS!A:M,13,FALSE),"")</f>
        <v/>
      </c>
      <c r="I373" s="11" t="str">
        <f>IF(D373="","",IF(AND(VLOOKUP(C373,STUDENTS!$A:$R,17,FALSE)=A373,VLOOKUP(C373,STUDENTS!$A:$R,18,FALSE)=B373,G373="Active"),"Đang học",IF(F373&gt;=0.8,IF(G373="Active","Tiếp tục khóa sau",IF(G373="Waiting for class","Chờ lớp mới",IF(G373="Inactive",IF(IFERROR(H373,"")="Discontinued mid-course","Nghỉ giữa chừng","Hoàn thành rồi nghỉ luôn"),""))),IF(G373="Inactive","Nghỉ giữa chừng","Đang học"))))</f>
        <v>Tiếp tục khóa sau</v>
      </c>
    </row>
    <row r="374">
      <c r="A374" s="11" t="str">
        <f>IFERROR(__xludf.DUMMYFUNCTION("""COMPUTED_VALUE"""),"EL034")</f>
        <v>EL034</v>
      </c>
      <c r="B374" s="11" t="str">
        <f>IFERROR(__xludf.DUMMYFUNCTION("""COMPUTED_VALUE"""),"Communication 1")</f>
        <v>Communication 1</v>
      </c>
      <c r="C374" s="11" t="str">
        <f>IFERROR(__xludf.DUMMYFUNCTION("""COMPUTED_VALUE"""),"247263")</f>
        <v>247263</v>
      </c>
      <c r="D374" s="11">
        <f>IFERROR(__xludf.DUMMYFUNCTION("""COMPUTED_VALUE"""),10.0)</f>
        <v>10</v>
      </c>
      <c r="E374" s="11">
        <f>IFERROR(VLOOKUP(B374,COURSE_PLAN!A:B,2,FALSE),"")</f>
        <v>10</v>
      </c>
      <c r="F374" s="11">
        <f t="shared" si="1"/>
        <v>1</v>
      </c>
      <c r="G374" s="11" t="str">
        <f>IFERROR(VLOOKUP(C374,STUDENTS!A:E,5,FALSE),"")</f>
        <v>Active</v>
      </c>
      <c r="H374" s="11" t="str">
        <f>IFERROR(VLOOKUP(C374,STUDENTS!A:M,13,FALSE),"")</f>
        <v/>
      </c>
      <c r="I374" s="11" t="str">
        <f>IF(D374="","",IF(AND(VLOOKUP(C374,STUDENTS!$A:$R,17,FALSE)=A374,VLOOKUP(C374,STUDENTS!$A:$R,18,FALSE)=B374,G374="Active"),"Đang học",IF(F374&gt;=0.8,IF(G374="Active","Tiếp tục khóa sau",IF(G374="Waiting for class","Chờ lớp mới",IF(G374="Inactive",IF(IFERROR(H374,"")="Discontinued mid-course","Nghỉ giữa chừng","Hoàn thành rồi nghỉ luôn"),""))),IF(G374="Inactive","Nghỉ giữa chừng","Đang học"))))</f>
        <v>Tiếp tục khóa sau</v>
      </c>
    </row>
    <row r="375">
      <c r="A375" s="11" t="str">
        <f>IFERROR(__xludf.DUMMYFUNCTION("""COMPUTED_VALUE"""),"EL034")</f>
        <v>EL034</v>
      </c>
      <c r="B375" s="11" t="str">
        <f>IFERROR(__xludf.DUMMYFUNCTION("""COMPUTED_VALUE"""),"Communication 1")</f>
        <v>Communication 1</v>
      </c>
      <c r="C375" s="11" t="str">
        <f>IFERROR(__xludf.DUMMYFUNCTION("""COMPUTED_VALUE"""),"247416")</f>
        <v>247416</v>
      </c>
      <c r="D375" s="11">
        <f>IFERROR(__xludf.DUMMYFUNCTION("""COMPUTED_VALUE"""),10.0)</f>
        <v>10</v>
      </c>
      <c r="E375" s="11">
        <f>IFERROR(VLOOKUP(B375,COURSE_PLAN!A:B,2,FALSE),"")</f>
        <v>10</v>
      </c>
      <c r="F375" s="11">
        <f t="shared" si="1"/>
        <v>1</v>
      </c>
      <c r="G375" s="11" t="str">
        <f>IFERROR(VLOOKUP(C375,STUDENTS!A:E,5,FALSE),"")</f>
        <v>Inactive</v>
      </c>
      <c r="H375" s="11" t="str">
        <f>IFERROR(VLOOKUP(C375,STUDENTS!A:M,13,FALSE),"")</f>
        <v>Completed (no continuation)</v>
      </c>
      <c r="I375" s="11" t="str">
        <f>IF(D375="","",IF(AND(VLOOKUP(C375,STUDENTS!$A:$R,17,FALSE)=A375,VLOOKUP(C375,STUDENTS!$A:$R,18,FALSE)=B375,G375="Active"),"Đang học",IF(F375&gt;=0.8,IF(G375="Active","Tiếp tục khóa sau",IF(G375="Waiting for class","Chờ lớp mới",IF(G375="Inactive",IF(IFERROR(H375,"")="Discontinued mid-course","Nghỉ giữa chừng","Hoàn thành rồi nghỉ luôn"),""))),IF(G375="Inactive","Nghỉ giữa chừng","Đang học"))))</f>
        <v>Hoàn thành rồi nghỉ luôn</v>
      </c>
    </row>
    <row r="376">
      <c r="A376" s="11" t="str">
        <f>IFERROR(__xludf.DUMMYFUNCTION("""COMPUTED_VALUE"""),"EL034")</f>
        <v>EL034</v>
      </c>
      <c r="B376" s="11" t="str">
        <f>IFERROR(__xludf.DUMMYFUNCTION("""COMPUTED_VALUE"""),"Communication 2")</f>
        <v>Communication 2</v>
      </c>
      <c r="C376" s="11" t="str">
        <f>IFERROR(__xludf.DUMMYFUNCTION("""COMPUTED_VALUE"""),"193632")</f>
        <v>193632</v>
      </c>
      <c r="D376" s="11">
        <f>IFERROR(__xludf.DUMMYFUNCTION("""COMPUTED_VALUE"""),16.0)</f>
        <v>16</v>
      </c>
      <c r="E376" s="11">
        <f>IFERROR(VLOOKUP(B376,COURSE_PLAN!A:B,2,FALSE),"")</f>
        <v>16</v>
      </c>
      <c r="F376" s="11">
        <f t="shared" si="1"/>
        <v>1</v>
      </c>
      <c r="G376" s="11" t="str">
        <f>IFERROR(VLOOKUP(C376,STUDENTS!A:E,5,FALSE),"")</f>
        <v>Active</v>
      </c>
      <c r="H376" s="11" t="str">
        <f>IFERROR(VLOOKUP(C376,STUDENTS!A:M,13,FALSE),"")</f>
        <v/>
      </c>
      <c r="I376" s="11" t="str">
        <f>IF(D376="","",IF(AND(VLOOKUP(C376,STUDENTS!$A:$R,17,FALSE)=A376,VLOOKUP(C376,STUDENTS!$A:$R,18,FALSE)=B376,G376="Active"),"Đang học",IF(F376&gt;=0.8,IF(G376="Active","Tiếp tục khóa sau",IF(G376="Waiting for class","Chờ lớp mới",IF(G376="Inactive",IF(IFERROR(H376,"")="Discontinued mid-course","Nghỉ giữa chừng","Hoàn thành rồi nghỉ luôn"),""))),IF(G376="Inactive","Nghỉ giữa chừng","Đang học"))))</f>
        <v>Tiếp tục khóa sau</v>
      </c>
    </row>
    <row r="377">
      <c r="A377" s="11" t="str">
        <f>IFERROR(__xludf.DUMMYFUNCTION("""COMPUTED_VALUE"""),"EL034")</f>
        <v>EL034</v>
      </c>
      <c r="B377" s="11" t="str">
        <f>IFERROR(__xludf.DUMMYFUNCTION("""COMPUTED_VALUE"""),"Communication 2")</f>
        <v>Communication 2</v>
      </c>
      <c r="C377" s="11" t="str">
        <f>IFERROR(__xludf.DUMMYFUNCTION("""COMPUTED_VALUE"""),"213859")</f>
        <v>213859</v>
      </c>
      <c r="D377" s="11">
        <f>IFERROR(__xludf.DUMMYFUNCTION("""COMPUTED_VALUE"""),16.0)</f>
        <v>16</v>
      </c>
      <c r="E377" s="11">
        <f>IFERROR(VLOOKUP(B377,COURSE_PLAN!A:B,2,FALSE),"")</f>
        <v>16</v>
      </c>
      <c r="F377" s="11">
        <f t="shared" si="1"/>
        <v>1</v>
      </c>
      <c r="G377" s="11" t="str">
        <f>IFERROR(VLOOKUP(C377,STUDENTS!A:E,5,FALSE),"")</f>
        <v>Active</v>
      </c>
      <c r="H377" s="11" t="str">
        <f>IFERROR(VLOOKUP(C377,STUDENTS!A:M,13,FALSE),"")</f>
        <v/>
      </c>
      <c r="I377" s="11" t="str">
        <f>IF(D377="","",IF(AND(VLOOKUP(C377,STUDENTS!$A:$R,17,FALSE)=A377,VLOOKUP(C377,STUDENTS!$A:$R,18,FALSE)=B377,G377="Active"),"Đang học",IF(F377&gt;=0.8,IF(G377="Active","Tiếp tục khóa sau",IF(G377="Waiting for class","Chờ lớp mới",IF(G377="Inactive",IF(IFERROR(H377,"")="Discontinued mid-course","Nghỉ giữa chừng","Hoàn thành rồi nghỉ luôn"),""))),IF(G377="Inactive","Nghỉ giữa chừng","Đang học"))))</f>
        <v>Tiếp tục khóa sau</v>
      </c>
    </row>
    <row r="378">
      <c r="A378" s="11" t="str">
        <f>IFERROR(__xludf.DUMMYFUNCTION("""COMPUTED_VALUE"""),"EL034")</f>
        <v>EL034</v>
      </c>
      <c r="B378" s="11" t="str">
        <f>IFERROR(__xludf.DUMMYFUNCTION("""COMPUTED_VALUE"""),"Communication 2")</f>
        <v>Communication 2</v>
      </c>
      <c r="C378" s="11" t="str">
        <f>IFERROR(__xludf.DUMMYFUNCTION("""COMPUTED_VALUE"""),"227097")</f>
        <v>227097</v>
      </c>
      <c r="D378" s="11">
        <f>IFERROR(__xludf.DUMMYFUNCTION("""COMPUTED_VALUE"""),16.0)</f>
        <v>16</v>
      </c>
      <c r="E378" s="11">
        <f>IFERROR(VLOOKUP(B378,COURSE_PLAN!A:B,2,FALSE),"")</f>
        <v>16</v>
      </c>
      <c r="F378" s="11">
        <f t="shared" si="1"/>
        <v>1</v>
      </c>
      <c r="G378" s="11" t="str">
        <f>IFERROR(VLOOKUP(C378,STUDENTS!A:E,5,FALSE),"")</f>
        <v>Inactive</v>
      </c>
      <c r="H378" s="11" t="str">
        <f>IFERROR(VLOOKUP(C378,STUDENTS!A:M,13,FALSE),"")</f>
        <v>Discontinued mid-course</v>
      </c>
      <c r="I378" s="11" t="str">
        <f>IF(D378="","",IF(AND(VLOOKUP(C378,STUDENTS!$A:$R,17,FALSE)=A378,VLOOKUP(C378,STUDENTS!$A:$R,18,FALSE)=B378,G378="Active"),"Đang học",IF(F378&gt;=0.8,IF(G378="Active","Tiếp tục khóa sau",IF(G378="Waiting for class","Chờ lớp mới",IF(G378="Inactive",IF(IFERROR(H378,"")="Discontinued mid-course","Nghỉ giữa chừng","Hoàn thành rồi nghỉ luôn"),""))),IF(G378="Inactive","Nghỉ giữa chừng","Đang học"))))</f>
        <v>Nghỉ giữa chừng</v>
      </c>
    </row>
    <row r="379">
      <c r="A379" s="11" t="str">
        <f>IFERROR(__xludf.DUMMYFUNCTION("""COMPUTED_VALUE"""),"EL034")</f>
        <v>EL034</v>
      </c>
      <c r="B379" s="11" t="str">
        <f>IFERROR(__xludf.DUMMYFUNCTION("""COMPUTED_VALUE"""),"Communication 2")</f>
        <v>Communication 2</v>
      </c>
      <c r="C379" s="11" t="str">
        <f>IFERROR(__xludf.DUMMYFUNCTION("""COMPUTED_VALUE"""),"237147")</f>
        <v>237147</v>
      </c>
      <c r="D379" s="11">
        <f>IFERROR(__xludf.DUMMYFUNCTION("""COMPUTED_VALUE"""),16.0)</f>
        <v>16</v>
      </c>
      <c r="E379" s="11">
        <f>IFERROR(VLOOKUP(B379,COURSE_PLAN!A:B,2,FALSE),"")</f>
        <v>16</v>
      </c>
      <c r="F379" s="11">
        <f t="shared" si="1"/>
        <v>1</v>
      </c>
      <c r="G379" s="11" t="str">
        <f>IFERROR(VLOOKUP(C379,STUDENTS!A:E,5,FALSE),"")</f>
        <v>Active</v>
      </c>
      <c r="H379" s="11" t="str">
        <f>IFERROR(VLOOKUP(C379,STUDENTS!A:M,13,FALSE),"")</f>
        <v/>
      </c>
      <c r="I379" s="11" t="str">
        <f>IF(D379="","",IF(AND(VLOOKUP(C379,STUDENTS!$A:$R,17,FALSE)=A379,VLOOKUP(C379,STUDENTS!$A:$R,18,FALSE)=B379,G379="Active"),"Đang học",IF(F379&gt;=0.8,IF(G379="Active","Tiếp tục khóa sau",IF(G379="Waiting for class","Chờ lớp mới",IF(G379="Inactive",IF(IFERROR(H379,"")="Discontinued mid-course","Nghỉ giữa chừng","Hoàn thành rồi nghỉ luôn"),""))),IF(G379="Inactive","Nghỉ giữa chừng","Đang học"))))</f>
        <v>Tiếp tục khóa sau</v>
      </c>
    </row>
    <row r="380">
      <c r="A380" s="11" t="str">
        <f>IFERROR(__xludf.DUMMYFUNCTION("""COMPUTED_VALUE"""),"EL034")</f>
        <v>EL034</v>
      </c>
      <c r="B380" s="11" t="str">
        <f>IFERROR(__xludf.DUMMYFUNCTION("""COMPUTED_VALUE"""),"Communication 2")</f>
        <v>Communication 2</v>
      </c>
      <c r="C380" s="11" t="str">
        <f>IFERROR(__xludf.DUMMYFUNCTION("""COMPUTED_VALUE"""),"247088")</f>
        <v>247088</v>
      </c>
      <c r="D380" s="11">
        <f>IFERROR(__xludf.DUMMYFUNCTION("""COMPUTED_VALUE"""),16.0)</f>
        <v>16</v>
      </c>
      <c r="E380" s="11">
        <f>IFERROR(VLOOKUP(B380,COURSE_PLAN!A:B,2,FALSE),"")</f>
        <v>16</v>
      </c>
      <c r="F380" s="11">
        <f t="shared" si="1"/>
        <v>1</v>
      </c>
      <c r="G380" s="11" t="str">
        <f>IFERROR(VLOOKUP(C380,STUDENTS!A:E,5,FALSE),"")</f>
        <v>Inactive</v>
      </c>
      <c r="H380" s="11" t="str">
        <f>IFERROR(VLOOKUP(C380,STUDENTS!A:M,13,FALSE),"")</f>
        <v>Discontinued mid-course</v>
      </c>
      <c r="I380" s="11" t="str">
        <f>IF(D380="","",IF(AND(VLOOKUP(C380,STUDENTS!$A:$R,17,FALSE)=A380,VLOOKUP(C380,STUDENTS!$A:$R,18,FALSE)=B380,G380="Active"),"Đang học",IF(F380&gt;=0.8,IF(G380="Active","Tiếp tục khóa sau",IF(G380="Waiting for class","Chờ lớp mới",IF(G380="Inactive",IF(IFERROR(H380,"")="Discontinued mid-course","Nghỉ giữa chừng","Hoàn thành rồi nghỉ luôn"),""))),IF(G380="Inactive","Nghỉ giữa chừng","Đang học"))))</f>
        <v>Nghỉ giữa chừng</v>
      </c>
    </row>
    <row r="381">
      <c r="A381" s="11" t="str">
        <f>IFERROR(__xludf.DUMMYFUNCTION("""COMPUTED_VALUE"""),"EL034")</f>
        <v>EL034</v>
      </c>
      <c r="B381" s="11" t="str">
        <f>IFERROR(__xludf.DUMMYFUNCTION("""COMPUTED_VALUE"""),"Communication 2")</f>
        <v>Communication 2</v>
      </c>
      <c r="C381" s="11" t="str">
        <f>IFERROR(__xludf.DUMMYFUNCTION("""COMPUTED_VALUE"""),"247262")</f>
        <v>247262</v>
      </c>
      <c r="D381" s="11">
        <f>IFERROR(__xludf.DUMMYFUNCTION("""COMPUTED_VALUE"""),16.0)</f>
        <v>16</v>
      </c>
      <c r="E381" s="11">
        <f>IFERROR(VLOOKUP(B381,COURSE_PLAN!A:B,2,FALSE),"")</f>
        <v>16</v>
      </c>
      <c r="F381" s="11">
        <f t="shared" si="1"/>
        <v>1</v>
      </c>
      <c r="G381" s="11" t="str">
        <f>IFERROR(VLOOKUP(C381,STUDENTS!A:E,5,FALSE),"")</f>
        <v>Active</v>
      </c>
      <c r="H381" s="11" t="str">
        <f>IFERROR(VLOOKUP(C381,STUDENTS!A:M,13,FALSE),"")</f>
        <v/>
      </c>
      <c r="I381" s="11" t="str">
        <f>IF(D381="","",IF(AND(VLOOKUP(C381,STUDENTS!$A:$R,17,FALSE)=A381,VLOOKUP(C381,STUDENTS!$A:$R,18,FALSE)=B381,G381="Active"),"Đang học",IF(F381&gt;=0.8,IF(G381="Active","Tiếp tục khóa sau",IF(G381="Waiting for class","Chờ lớp mới",IF(G381="Inactive",IF(IFERROR(H381,"")="Discontinued mid-course","Nghỉ giữa chừng","Hoàn thành rồi nghỉ luôn"),""))),IF(G381="Inactive","Nghỉ giữa chừng","Đang học"))))</f>
        <v>Tiếp tục khóa sau</v>
      </c>
    </row>
    <row r="382">
      <c r="A382" s="11" t="str">
        <f>IFERROR(__xludf.DUMMYFUNCTION("""COMPUTED_VALUE"""),"EL034")</f>
        <v>EL034</v>
      </c>
      <c r="B382" s="11" t="str">
        <f>IFERROR(__xludf.DUMMYFUNCTION("""COMPUTED_VALUE"""),"Communication 2")</f>
        <v>Communication 2</v>
      </c>
      <c r="C382" s="11" t="str">
        <f>IFERROR(__xludf.DUMMYFUNCTION("""COMPUTED_VALUE"""),"247263")</f>
        <v>247263</v>
      </c>
      <c r="D382" s="11">
        <f>IFERROR(__xludf.DUMMYFUNCTION("""COMPUTED_VALUE"""),16.0)</f>
        <v>16</v>
      </c>
      <c r="E382" s="11">
        <f>IFERROR(VLOOKUP(B382,COURSE_PLAN!A:B,2,FALSE),"")</f>
        <v>16</v>
      </c>
      <c r="F382" s="11">
        <f t="shared" si="1"/>
        <v>1</v>
      </c>
      <c r="G382" s="11" t="str">
        <f>IFERROR(VLOOKUP(C382,STUDENTS!A:E,5,FALSE),"")</f>
        <v>Active</v>
      </c>
      <c r="H382" s="11" t="str">
        <f>IFERROR(VLOOKUP(C382,STUDENTS!A:M,13,FALSE),"")</f>
        <v/>
      </c>
      <c r="I382" s="11" t="str">
        <f>IF(D382="","",IF(AND(VLOOKUP(C382,STUDENTS!$A:$R,17,FALSE)=A382,VLOOKUP(C382,STUDENTS!$A:$R,18,FALSE)=B382,G382="Active"),"Đang học",IF(F382&gt;=0.8,IF(G382="Active","Tiếp tục khóa sau",IF(G382="Waiting for class","Chờ lớp mới",IF(G382="Inactive",IF(IFERROR(H382,"")="Discontinued mid-course","Nghỉ giữa chừng","Hoàn thành rồi nghỉ luôn"),""))),IF(G382="Inactive","Nghỉ giữa chừng","Đang học"))))</f>
        <v>Tiếp tục khóa sau</v>
      </c>
    </row>
    <row r="383">
      <c r="A383" s="11" t="str">
        <f>IFERROR(__xludf.DUMMYFUNCTION("""COMPUTED_VALUE"""),"EL035")</f>
        <v>EL035</v>
      </c>
      <c r="B383" s="11" t="str">
        <f>IFERROR(__xludf.DUMMYFUNCTION("""COMPUTED_VALUE"""),"Business English")</f>
        <v>Business English</v>
      </c>
      <c r="C383" s="11" t="str">
        <f>IFERROR(__xludf.DUMMYFUNCTION("""COMPUTED_VALUE"""),"163188")</f>
        <v>163188</v>
      </c>
      <c r="D383" s="11">
        <f>IFERROR(__xludf.DUMMYFUNCTION("""COMPUTED_VALUE"""),14.0)</f>
        <v>14</v>
      </c>
      <c r="E383" s="11">
        <f>IFERROR(VLOOKUP(B383,COURSE_PLAN!A:B,2,FALSE),"")</f>
        <v>16</v>
      </c>
      <c r="F383" s="11">
        <f t="shared" si="1"/>
        <v>0.875</v>
      </c>
      <c r="G383" s="11" t="str">
        <f>IFERROR(VLOOKUP(C383,STUDENTS!A:E,5,FALSE),"")</f>
        <v>Active</v>
      </c>
      <c r="H383" s="11" t="str">
        <f>IFERROR(VLOOKUP(C383,STUDENTS!A:M,13,FALSE),"")</f>
        <v/>
      </c>
      <c r="I383" s="11" t="str">
        <f>IF(D383="","",IF(AND(VLOOKUP(C383,STUDENTS!$A:$R,17,FALSE)=A383,VLOOKUP(C383,STUDENTS!$A:$R,18,FALSE)=B383,G383="Active"),"Đang học",IF(F383&gt;=0.8,IF(G383="Active","Tiếp tục khóa sau",IF(G383="Waiting for class","Chờ lớp mới",IF(G383="Inactive",IF(IFERROR(H383,"")="Discontinued mid-course","Nghỉ giữa chừng","Hoàn thành rồi nghỉ luôn"),""))),IF(G383="Inactive","Nghỉ giữa chừng","Đang học"))))</f>
        <v>Đang học</v>
      </c>
    </row>
    <row r="384">
      <c r="A384" s="11" t="str">
        <f>IFERROR(__xludf.DUMMYFUNCTION("""COMPUTED_VALUE"""),"EL035")</f>
        <v>EL035</v>
      </c>
      <c r="B384" s="11" t="str">
        <f>IFERROR(__xludf.DUMMYFUNCTION("""COMPUTED_VALUE"""),"Business English")</f>
        <v>Business English</v>
      </c>
      <c r="C384" s="11" t="str">
        <f>IFERROR(__xludf.DUMMYFUNCTION("""COMPUTED_VALUE"""),"193588")</f>
        <v>193588</v>
      </c>
      <c r="D384" s="11">
        <f>IFERROR(__xludf.DUMMYFUNCTION("""COMPUTED_VALUE"""),14.0)</f>
        <v>14</v>
      </c>
      <c r="E384" s="11">
        <f>IFERROR(VLOOKUP(B384,COURSE_PLAN!A:B,2,FALSE),"")</f>
        <v>16</v>
      </c>
      <c r="F384" s="11">
        <f t="shared" si="1"/>
        <v>0.875</v>
      </c>
      <c r="G384" s="11" t="str">
        <f>IFERROR(VLOOKUP(C384,STUDENTS!A:E,5,FALSE),"")</f>
        <v>Active</v>
      </c>
      <c r="H384" s="11" t="str">
        <f>IFERROR(VLOOKUP(C384,STUDENTS!A:M,13,FALSE),"")</f>
        <v/>
      </c>
      <c r="I384" s="11" t="str">
        <f>IF(D384="","",IF(AND(VLOOKUP(C384,STUDENTS!$A:$R,17,FALSE)=A384,VLOOKUP(C384,STUDENTS!$A:$R,18,FALSE)=B384,G384="Active"),"Đang học",IF(F384&gt;=0.8,IF(G384="Active","Tiếp tục khóa sau",IF(G384="Waiting for class","Chờ lớp mới",IF(G384="Inactive",IF(IFERROR(H384,"")="Discontinued mid-course","Nghỉ giữa chừng","Hoàn thành rồi nghỉ luôn"),""))),IF(G384="Inactive","Nghỉ giữa chừng","Đang học"))))</f>
        <v>Đang học</v>
      </c>
    </row>
    <row r="385">
      <c r="A385" s="11" t="str">
        <f>IFERROR(__xludf.DUMMYFUNCTION("""COMPUTED_VALUE"""),"EL035")</f>
        <v>EL035</v>
      </c>
      <c r="B385" s="11" t="str">
        <f>IFERROR(__xludf.DUMMYFUNCTION("""COMPUTED_VALUE"""),"Business English")</f>
        <v>Business English</v>
      </c>
      <c r="C385" s="11" t="str">
        <f>IFERROR(__xludf.DUMMYFUNCTION("""COMPUTED_VALUE"""),"203746")</f>
        <v>203746</v>
      </c>
      <c r="D385" s="11">
        <f>IFERROR(__xludf.DUMMYFUNCTION("""COMPUTED_VALUE"""),13.0)</f>
        <v>13</v>
      </c>
      <c r="E385" s="11">
        <f>IFERROR(VLOOKUP(B385,COURSE_PLAN!A:B,2,FALSE),"")</f>
        <v>16</v>
      </c>
      <c r="F385" s="11">
        <f t="shared" si="1"/>
        <v>0.8125</v>
      </c>
      <c r="G385" s="11" t="str">
        <f>IFERROR(VLOOKUP(C385,STUDENTS!A:E,5,FALSE),"")</f>
        <v>Inactive</v>
      </c>
      <c r="H385" s="11" t="str">
        <f>IFERROR(VLOOKUP(C385,STUDENTS!A:M,13,FALSE),"")</f>
        <v>Completed (no continuation)</v>
      </c>
      <c r="I385" s="11" t="str">
        <f>IF(D385="","",IF(AND(VLOOKUP(C385,STUDENTS!$A:$R,17,FALSE)=A385,VLOOKUP(C385,STUDENTS!$A:$R,18,FALSE)=B385,G385="Active"),"Đang học",IF(F385&gt;=0.8,IF(G385="Active","Tiếp tục khóa sau",IF(G385="Waiting for class","Chờ lớp mới",IF(G385="Inactive",IF(IFERROR(H385,"")="Discontinued mid-course","Nghỉ giữa chừng","Hoàn thành rồi nghỉ luôn"),""))),IF(G385="Inactive","Nghỉ giữa chừng","Đang học"))))</f>
        <v>Hoàn thành rồi nghỉ luôn</v>
      </c>
    </row>
    <row r="386">
      <c r="A386" s="11" t="str">
        <f>IFERROR(__xludf.DUMMYFUNCTION("""COMPUTED_VALUE"""),"EL035")</f>
        <v>EL035</v>
      </c>
      <c r="B386" s="11" t="str">
        <f>IFERROR(__xludf.DUMMYFUNCTION("""COMPUTED_VALUE"""),"Business English")</f>
        <v>Business English</v>
      </c>
      <c r="C386" s="11" t="str">
        <f>IFERROR(__xludf.DUMMYFUNCTION("""COMPUTED_VALUE"""),"203764")</f>
        <v>203764</v>
      </c>
      <c r="D386" s="11">
        <f>IFERROR(__xludf.DUMMYFUNCTION("""COMPUTED_VALUE"""),14.0)</f>
        <v>14</v>
      </c>
      <c r="E386" s="11">
        <f>IFERROR(VLOOKUP(B386,COURSE_PLAN!A:B,2,FALSE),"")</f>
        <v>16</v>
      </c>
      <c r="F386" s="11">
        <f t="shared" si="1"/>
        <v>0.875</v>
      </c>
      <c r="G386" s="11" t="str">
        <f>IFERROR(VLOOKUP(C386,STUDENTS!A:E,5,FALSE),"")</f>
        <v>Active</v>
      </c>
      <c r="H386" s="11" t="str">
        <f>IFERROR(VLOOKUP(C386,STUDENTS!A:M,13,FALSE),"")</f>
        <v/>
      </c>
      <c r="I386" s="11" t="str">
        <f>IF(D386="","",IF(AND(VLOOKUP(C386,STUDENTS!$A:$R,17,FALSE)=A386,VLOOKUP(C386,STUDENTS!$A:$R,18,FALSE)=B386,G386="Active"),"Đang học",IF(F386&gt;=0.8,IF(G386="Active","Tiếp tục khóa sau",IF(G386="Waiting for class","Chờ lớp mới",IF(G386="Inactive",IF(IFERROR(H386,"")="Discontinued mid-course","Nghỉ giữa chừng","Hoàn thành rồi nghỉ luôn"),""))),IF(G386="Inactive","Nghỉ giữa chừng","Đang học"))))</f>
        <v>Đang học</v>
      </c>
    </row>
    <row r="387">
      <c r="A387" s="11" t="str">
        <f>IFERROR(__xludf.DUMMYFUNCTION("""COMPUTED_VALUE"""),"EL035")</f>
        <v>EL035</v>
      </c>
      <c r="B387" s="11" t="str">
        <f>IFERROR(__xludf.DUMMYFUNCTION("""COMPUTED_VALUE"""),"Business English")</f>
        <v>Business English</v>
      </c>
      <c r="C387" s="11" t="str">
        <f>IFERROR(__xludf.DUMMYFUNCTION("""COMPUTED_VALUE"""),"213889")</f>
        <v>213889</v>
      </c>
      <c r="D387" s="11">
        <f>IFERROR(__xludf.DUMMYFUNCTION("""COMPUTED_VALUE"""),13.0)</f>
        <v>13</v>
      </c>
      <c r="E387" s="11">
        <f>IFERROR(VLOOKUP(B387,COURSE_PLAN!A:B,2,FALSE),"")</f>
        <v>16</v>
      </c>
      <c r="F387" s="11">
        <f t="shared" si="1"/>
        <v>0.8125</v>
      </c>
      <c r="G387" s="11" t="str">
        <f>IFERROR(VLOOKUP(C387,STUDENTS!A:E,5,FALSE),"")</f>
        <v>Inactive</v>
      </c>
      <c r="H387" s="11" t="str">
        <f>IFERROR(VLOOKUP(C387,STUDENTS!A:M,13,FALSE),"")</f>
        <v>Discontinued mid-course</v>
      </c>
      <c r="I387" s="11" t="str">
        <f>IF(D387="","",IF(AND(VLOOKUP(C387,STUDENTS!$A:$R,17,FALSE)=A387,VLOOKUP(C387,STUDENTS!$A:$R,18,FALSE)=B387,G387="Active"),"Đang học",IF(F387&gt;=0.8,IF(G387="Active","Tiếp tục khóa sau",IF(G387="Waiting for class","Chờ lớp mới",IF(G387="Inactive",IF(IFERROR(H387,"")="Discontinued mid-course","Nghỉ giữa chừng","Hoàn thành rồi nghỉ luôn"),""))),IF(G387="Inactive","Nghỉ giữa chừng","Đang học"))))</f>
        <v>Nghỉ giữa chừng</v>
      </c>
    </row>
    <row r="388">
      <c r="A388" s="11" t="str">
        <f>IFERROR(__xludf.DUMMYFUNCTION("""COMPUTED_VALUE"""),"EL035")</f>
        <v>EL035</v>
      </c>
      <c r="B388" s="11" t="str">
        <f>IFERROR(__xludf.DUMMYFUNCTION("""COMPUTED_VALUE"""),"Business English")</f>
        <v>Business English</v>
      </c>
      <c r="C388" s="11" t="str">
        <f>IFERROR(__xludf.DUMMYFUNCTION("""COMPUTED_VALUE"""),"237183")</f>
        <v>237183</v>
      </c>
      <c r="D388" s="11">
        <f>IFERROR(__xludf.DUMMYFUNCTION("""COMPUTED_VALUE"""),14.0)</f>
        <v>14</v>
      </c>
      <c r="E388" s="11">
        <f>IFERROR(VLOOKUP(B388,COURSE_PLAN!A:B,2,FALSE),"")</f>
        <v>16</v>
      </c>
      <c r="F388" s="11">
        <f t="shared" si="1"/>
        <v>0.875</v>
      </c>
      <c r="G388" s="11" t="str">
        <f>IFERROR(VLOOKUP(C388,STUDENTS!A:E,5,FALSE),"")</f>
        <v>Inactive</v>
      </c>
      <c r="H388" s="11" t="str">
        <f>IFERROR(VLOOKUP(C388,STUDENTS!A:M,13,FALSE),"")</f>
        <v>Discontinued mid-course</v>
      </c>
      <c r="I388" s="11" t="str">
        <f>IF(D388="","",IF(AND(VLOOKUP(C388,STUDENTS!$A:$R,17,FALSE)=A388,VLOOKUP(C388,STUDENTS!$A:$R,18,FALSE)=B388,G388="Active"),"Đang học",IF(F388&gt;=0.8,IF(G388="Active","Tiếp tục khóa sau",IF(G388="Waiting for class","Chờ lớp mới",IF(G388="Inactive",IF(IFERROR(H388,"")="Discontinued mid-course","Nghỉ giữa chừng","Hoàn thành rồi nghỉ luôn"),""))),IF(G388="Inactive","Nghỉ giữa chừng","Đang học"))))</f>
        <v>Nghỉ giữa chừng</v>
      </c>
    </row>
    <row r="389">
      <c r="A389" s="11" t="str">
        <f>IFERROR(__xludf.DUMMYFUNCTION("""COMPUTED_VALUE"""),"EL035")</f>
        <v>EL035</v>
      </c>
      <c r="B389" s="11" t="str">
        <f>IFERROR(__xludf.DUMMYFUNCTION("""COMPUTED_VALUE"""),"Business English")</f>
        <v>Business English</v>
      </c>
      <c r="C389" s="11" t="str">
        <f>IFERROR(__xludf.DUMMYFUNCTION("""COMPUTED_VALUE"""),"247119")</f>
        <v>247119</v>
      </c>
      <c r="D389" s="11">
        <f>IFERROR(__xludf.DUMMYFUNCTION("""COMPUTED_VALUE"""),14.0)</f>
        <v>14</v>
      </c>
      <c r="E389" s="11">
        <f>IFERROR(VLOOKUP(B389,COURSE_PLAN!A:B,2,FALSE),"")</f>
        <v>16</v>
      </c>
      <c r="F389" s="11">
        <f t="shared" si="1"/>
        <v>0.875</v>
      </c>
      <c r="G389" s="11" t="str">
        <f>IFERROR(VLOOKUP(C389,STUDENTS!A:E,5,FALSE),"")</f>
        <v>Active</v>
      </c>
      <c r="H389" s="11" t="str">
        <f>IFERROR(VLOOKUP(C389,STUDENTS!A:M,13,FALSE),"")</f>
        <v/>
      </c>
      <c r="I389" s="11" t="str">
        <f>IF(D389="","",IF(AND(VLOOKUP(C389,STUDENTS!$A:$R,17,FALSE)=A389,VLOOKUP(C389,STUDENTS!$A:$R,18,FALSE)=B389,G389="Active"),"Đang học",IF(F389&gt;=0.8,IF(G389="Active","Tiếp tục khóa sau",IF(G389="Waiting for class","Chờ lớp mới",IF(G389="Inactive",IF(IFERROR(H389,"")="Discontinued mid-course","Nghỉ giữa chừng","Hoàn thành rồi nghỉ luôn"),""))),IF(G389="Inactive","Nghỉ giữa chừng","Đang học"))))</f>
        <v>Đang học</v>
      </c>
    </row>
    <row r="390">
      <c r="A390" s="11" t="str">
        <f>IFERROR(__xludf.DUMMYFUNCTION("""COMPUTED_VALUE"""),"EL035")</f>
        <v>EL035</v>
      </c>
      <c r="B390" s="11" t="str">
        <f>IFERROR(__xludf.DUMMYFUNCTION("""COMPUTED_VALUE"""),"Communication 1")</f>
        <v>Communication 1</v>
      </c>
      <c r="C390" s="11" t="str">
        <f>IFERROR(__xludf.DUMMYFUNCTION("""COMPUTED_VALUE"""),"203746")</f>
        <v>203746</v>
      </c>
      <c r="D390" s="11">
        <f>IFERROR(__xludf.DUMMYFUNCTION("""COMPUTED_VALUE"""),10.0)</f>
        <v>10</v>
      </c>
      <c r="E390" s="11">
        <f>IFERROR(VLOOKUP(B390,COURSE_PLAN!A:B,2,FALSE),"")</f>
        <v>10</v>
      </c>
      <c r="F390" s="11">
        <f t="shared" si="1"/>
        <v>1</v>
      </c>
      <c r="G390" s="11" t="str">
        <f>IFERROR(VLOOKUP(C390,STUDENTS!A:E,5,FALSE),"")</f>
        <v>Inactive</v>
      </c>
      <c r="H390" s="11" t="str">
        <f>IFERROR(VLOOKUP(C390,STUDENTS!A:M,13,FALSE),"")</f>
        <v>Completed (no continuation)</v>
      </c>
      <c r="I390" s="11" t="str">
        <f>IF(D390="","",IF(AND(VLOOKUP(C390,STUDENTS!$A:$R,17,FALSE)=A390,VLOOKUP(C390,STUDENTS!$A:$R,18,FALSE)=B390,G390="Active"),"Đang học",IF(F390&gt;=0.8,IF(G390="Active","Tiếp tục khóa sau",IF(G390="Waiting for class","Chờ lớp mới",IF(G390="Inactive",IF(IFERROR(H390,"")="Discontinued mid-course","Nghỉ giữa chừng","Hoàn thành rồi nghỉ luôn"),""))),IF(G390="Inactive","Nghỉ giữa chừng","Đang học"))))</f>
        <v>Hoàn thành rồi nghỉ luôn</v>
      </c>
    </row>
    <row r="391">
      <c r="A391" s="11" t="str">
        <f>IFERROR(__xludf.DUMMYFUNCTION("""COMPUTED_VALUE"""),"EL035")</f>
        <v>EL035</v>
      </c>
      <c r="B391" s="11" t="str">
        <f>IFERROR(__xludf.DUMMYFUNCTION("""COMPUTED_VALUE"""),"Communication 1")</f>
        <v>Communication 1</v>
      </c>
      <c r="C391" s="11" t="str">
        <f>IFERROR(__xludf.DUMMYFUNCTION("""COMPUTED_VALUE"""),"213863")</f>
        <v>213863</v>
      </c>
      <c r="D391" s="11">
        <f>IFERROR(__xludf.DUMMYFUNCTION("""COMPUTED_VALUE"""),10.0)</f>
        <v>10</v>
      </c>
      <c r="E391" s="11">
        <f>IFERROR(VLOOKUP(B391,COURSE_PLAN!A:B,2,FALSE),"")</f>
        <v>10</v>
      </c>
      <c r="F391" s="11">
        <f t="shared" si="1"/>
        <v>1</v>
      </c>
      <c r="G391" s="11" t="str">
        <f>IFERROR(VLOOKUP(C391,STUDENTS!A:E,5,FALSE),"")</f>
        <v>Inactive</v>
      </c>
      <c r="H391" s="11" t="str">
        <f>IFERROR(VLOOKUP(C391,STUDENTS!A:M,13,FALSE),"")</f>
        <v>Discontinued mid-course</v>
      </c>
      <c r="I391" s="11" t="str">
        <f>IF(D391="","",IF(AND(VLOOKUP(C391,STUDENTS!$A:$R,17,FALSE)=A391,VLOOKUP(C391,STUDENTS!$A:$R,18,FALSE)=B391,G391="Active"),"Đang học",IF(F391&gt;=0.8,IF(G391="Active","Tiếp tục khóa sau",IF(G391="Waiting for class","Chờ lớp mới",IF(G391="Inactive",IF(IFERROR(H391,"")="Discontinued mid-course","Nghỉ giữa chừng","Hoàn thành rồi nghỉ luôn"),""))),IF(G391="Inactive","Nghỉ giữa chừng","Đang học"))))</f>
        <v>Nghỉ giữa chừng</v>
      </c>
    </row>
    <row r="392">
      <c r="A392" s="11" t="str">
        <f>IFERROR(__xludf.DUMMYFUNCTION("""COMPUTED_VALUE"""),"EL035")</f>
        <v>EL035</v>
      </c>
      <c r="B392" s="11" t="str">
        <f>IFERROR(__xludf.DUMMYFUNCTION("""COMPUTED_VALUE"""),"Communication 1")</f>
        <v>Communication 1</v>
      </c>
      <c r="C392" s="11" t="str">
        <f>IFERROR(__xludf.DUMMYFUNCTION("""COMPUTED_VALUE"""),"213898")</f>
        <v>213898</v>
      </c>
      <c r="D392" s="11">
        <f>IFERROR(__xludf.DUMMYFUNCTION("""COMPUTED_VALUE"""),10.0)</f>
        <v>10</v>
      </c>
      <c r="E392" s="11">
        <f>IFERROR(VLOOKUP(B392,COURSE_PLAN!A:B,2,FALSE),"")</f>
        <v>10</v>
      </c>
      <c r="F392" s="11">
        <f t="shared" si="1"/>
        <v>1</v>
      </c>
      <c r="G392" s="11" t="str">
        <f>IFERROR(VLOOKUP(C392,STUDENTS!A:E,5,FALSE),"")</f>
        <v>Inactive</v>
      </c>
      <c r="H392" s="11" t="str">
        <f>IFERROR(VLOOKUP(C392,STUDENTS!A:M,13,FALSE),"")</f>
        <v>Discontinued mid-course</v>
      </c>
      <c r="I392" s="11" t="str">
        <f>IF(D392="","",IF(AND(VLOOKUP(C392,STUDENTS!$A:$R,17,FALSE)=A392,VLOOKUP(C392,STUDENTS!$A:$R,18,FALSE)=B392,G392="Active"),"Đang học",IF(F392&gt;=0.8,IF(G392="Active","Tiếp tục khóa sau",IF(G392="Waiting for class","Chờ lớp mới",IF(G392="Inactive",IF(IFERROR(H392,"")="Discontinued mid-course","Nghỉ giữa chừng","Hoàn thành rồi nghỉ luôn"),""))),IF(G392="Inactive","Nghỉ giữa chừng","Đang học"))))</f>
        <v>Nghỉ giữa chừng</v>
      </c>
    </row>
    <row r="393">
      <c r="A393" s="11" t="str">
        <f>IFERROR(__xludf.DUMMYFUNCTION("""COMPUTED_VALUE"""),"EL035")</f>
        <v>EL035</v>
      </c>
      <c r="B393" s="11" t="str">
        <f>IFERROR(__xludf.DUMMYFUNCTION("""COMPUTED_VALUE"""),"Communication 1")</f>
        <v>Communication 1</v>
      </c>
      <c r="C393" s="11" t="str">
        <f>IFERROR(__xludf.DUMMYFUNCTION("""COMPUTED_VALUE"""),"213946")</f>
        <v>213946</v>
      </c>
      <c r="D393" s="11">
        <f>IFERROR(__xludf.DUMMYFUNCTION("""COMPUTED_VALUE"""),10.0)</f>
        <v>10</v>
      </c>
      <c r="E393" s="11">
        <f>IFERROR(VLOOKUP(B393,COURSE_PLAN!A:B,2,FALSE),"")</f>
        <v>10</v>
      </c>
      <c r="F393" s="11">
        <f t="shared" si="1"/>
        <v>1</v>
      </c>
      <c r="G393" s="11" t="str">
        <f>IFERROR(VLOOKUP(C393,STUDENTS!A:E,5,FALSE),"")</f>
        <v>Inactive</v>
      </c>
      <c r="H393" s="11" t="str">
        <f>IFERROR(VLOOKUP(C393,STUDENTS!A:M,13,FALSE),"")</f>
        <v>Completed (no continuation)</v>
      </c>
      <c r="I393" s="11" t="str">
        <f>IF(D393="","",IF(AND(VLOOKUP(C393,STUDENTS!$A:$R,17,FALSE)=A393,VLOOKUP(C393,STUDENTS!$A:$R,18,FALSE)=B393,G393="Active"),"Đang học",IF(F393&gt;=0.8,IF(G393="Active","Tiếp tục khóa sau",IF(G393="Waiting for class","Chờ lớp mới",IF(G393="Inactive",IF(IFERROR(H393,"")="Discontinued mid-course","Nghỉ giữa chừng","Hoàn thành rồi nghỉ luôn"),""))),IF(G393="Inactive","Nghỉ giữa chừng","Đang học"))))</f>
        <v>Hoàn thành rồi nghỉ luôn</v>
      </c>
    </row>
    <row r="394">
      <c r="A394" s="11" t="str">
        <f>IFERROR(__xludf.DUMMYFUNCTION("""COMPUTED_VALUE"""),"EL035")</f>
        <v>EL035</v>
      </c>
      <c r="B394" s="11" t="str">
        <f>IFERROR(__xludf.DUMMYFUNCTION("""COMPUTED_VALUE"""),"Communication 1")</f>
        <v>Communication 1</v>
      </c>
      <c r="C394" s="11" t="str">
        <f>IFERROR(__xludf.DUMMYFUNCTION("""COMPUTED_VALUE"""),"227104")</f>
        <v>227104</v>
      </c>
      <c r="D394" s="11">
        <f>IFERROR(__xludf.DUMMYFUNCTION("""COMPUTED_VALUE"""),10.0)</f>
        <v>10</v>
      </c>
      <c r="E394" s="11">
        <f>IFERROR(VLOOKUP(B394,COURSE_PLAN!A:B,2,FALSE),"")</f>
        <v>10</v>
      </c>
      <c r="F394" s="11">
        <f t="shared" si="1"/>
        <v>1</v>
      </c>
      <c r="G394" s="11" t="str">
        <f>IFERROR(VLOOKUP(C394,STUDENTS!A:E,5,FALSE),"")</f>
        <v>Inactive</v>
      </c>
      <c r="H394" s="11" t="str">
        <f>IFERROR(VLOOKUP(C394,STUDENTS!A:M,13,FALSE),"")</f>
        <v>Discontinued mid-course</v>
      </c>
      <c r="I394" s="11" t="str">
        <f>IF(D394="","",IF(AND(VLOOKUP(C394,STUDENTS!$A:$R,17,FALSE)=A394,VLOOKUP(C394,STUDENTS!$A:$R,18,FALSE)=B394,G394="Active"),"Đang học",IF(F394&gt;=0.8,IF(G394="Active","Tiếp tục khóa sau",IF(G394="Waiting for class","Chờ lớp mới",IF(G394="Inactive",IF(IFERROR(H394,"")="Discontinued mid-course","Nghỉ giữa chừng","Hoàn thành rồi nghỉ luôn"),""))),IF(G394="Inactive","Nghỉ giữa chừng","Đang học"))))</f>
        <v>Nghỉ giữa chừng</v>
      </c>
    </row>
    <row r="395">
      <c r="A395" s="11" t="str">
        <f>IFERROR(__xludf.DUMMYFUNCTION("""COMPUTED_VALUE"""),"EL035")</f>
        <v>EL035</v>
      </c>
      <c r="B395" s="11" t="str">
        <f>IFERROR(__xludf.DUMMYFUNCTION("""COMPUTED_VALUE"""),"Communication 1")</f>
        <v>Communication 1</v>
      </c>
      <c r="C395" s="11" t="str">
        <f>IFERROR(__xludf.DUMMYFUNCTION("""COMPUTED_VALUE"""),"237183")</f>
        <v>237183</v>
      </c>
      <c r="D395" s="11">
        <f>IFERROR(__xludf.DUMMYFUNCTION("""COMPUTED_VALUE"""),10.0)</f>
        <v>10</v>
      </c>
      <c r="E395" s="11">
        <f>IFERROR(VLOOKUP(B395,COURSE_PLAN!A:B,2,FALSE),"")</f>
        <v>10</v>
      </c>
      <c r="F395" s="11">
        <f t="shared" si="1"/>
        <v>1</v>
      </c>
      <c r="G395" s="11" t="str">
        <f>IFERROR(VLOOKUP(C395,STUDENTS!A:E,5,FALSE),"")</f>
        <v>Inactive</v>
      </c>
      <c r="H395" s="11" t="str">
        <f>IFERROR(VLOOKUP(C395,STUDENTS!A:M,13,FALSE),"")</f>
        <v>Discontinued mid-course</v>
      </c>
      <c r="I395" s="11" t="str">
        <f>IF(D395="","",IF(AND(VLOOKUP(C395,STUDENTS!$A:$R,17,FALSE)=A395,VLOOKUP(C395,STUDENTS!$A:$R,18,FALSE)=B395,G395="Active"),"Đang học",IF(F395&gt;=0.8,IF(G395="Active","Tiếp tục khóa sau",IF(G395="Waiting for class","Chờ lớp mới",IF(G395="Inactive",IF(IFERROR(H395,"")="Discontinued mid-course","Nghỉ giữa chừng","Hoàn thành rồi nghỉ luôn"),""))),IF(G395="Inactive","Nghỉ giữa chừng","Đang học"))))</f>
        <v>Nghỉ giữa chừng</v>
      </c>
    </row>
    <row r="396">
      <c r="A396" s="11" t="str">
        <f>IFERROR(__xludf.DUMMYFUNCTION("""COMPUTED_VALUE"""),"EL035")</f>
        <v>EL035</v>
      </c>
      <c r="B396" s="11" t="str">
        <f>IFERROR(__xludf.DUMMYFUNCTION("""COMPUTED_VALUE"""),"Communication 2")</f>
        <v>Communication 2</v>
      </c>
      <c r="C396" s="11" t="str">
        <f>IFERROR(__xludf.DUMMYFUNCTION("""COMPUTED_VALUE"""),"203746")</f>
        <v>203746</v>
      </c>
      <c r="D396" s="11">
        <f>IFERROR(__xludf.DUMMYFUNCTION("""COMPUTED_VALUE"""),16.0)</f>
        <v>16</v>
      </c>
      <c r="E396" s="11">
        <f>IFERROR(VLOOKUP(B396,COURSE_PLAN!A:B,2,FALSE),"")</f>
        <v>16</v>
      </c>
      <c r="F396" s="11">
        <f t="shared" si="1"/>
        <v>1</v>
      </c>
      <c r="G396" s="11" t="str">
        <f>IFERROR(VLOOKUP(C396,STUDENTS!A:E,5,FALSE),"")</f>
        <v>Inactive</v>
      </c>
      <c r="H396" s="11" t="str">
        <f>IFERROR(VLOOKUP(C396,STUDENTS!A:M,13,FALSE),"")</f>
        <v>Completed (no continuation)</v>
      </c>
      <c r="I396" s="11" t="str">
        <f>IF(D396="","",IF(AND(VLOOKUP(C396,STUDENTS!$A:$R,17,FALSE)=A396,VLOOKUP(C396,STUDENTS!$A:$R,18,FALSE)=B396,G396="Active"),"Đang học",IF(F396&gt;=0.8,IF(G396="Active","Tiếp tục khóa sau",IF(G396="Waiting for class","Chờ lớp mới",IF(G396="Inactive",IF(IFERROR(H396,"")="Discontinued mid-course","Nghỉ giữa chừng","Hoàn thành rồi nghỉ luôn"),""))),IF(G396="Inactive","Nghỉ giữa chừng","Đang học"))))</f>
        <v>Hoàn thành rồi nghỉ luôn</v>
      </c>
    </row>
    <row r="397">
      <c r="A397" s="11" t="str">
        <f>IFERROR(__xludf.DUMMYFUNCTION("""COMPUTED_VALUE"""),"EL035")</f>
        <v>EL035</v>
      </c>
      <c r="B397" s="11" t="str">
        <f>IFERROR(__xludf.DUMMYFUNCTION("""COMPUTED_VALUE"""),"Communication 2")</f>
        <v>Communication 2</v>
      </c>
      <c r="C397" s="11" t="str">
        <f>IFERROR(__xludf.DUMMYFUNCTION("""COMPUTED_VALUE"""),"203764")</f>
        <v>203764</v>
      </c>
      <c r="D397" s="11">
        <f>IFERROR(__xludf.DUMMYFUNCTION("""COMPUTED_VALUE"""),16.0)</f>
        <v>16</v>
      </c>
      <c r="E397" s="11">
        <f>IFERROR(VLOOKUP(B397,COURSE_PLAN!A:B,2,FALSE),"")</f>
        <v>16</v>
      </c>
      <c r="F397" s="11">
        <f t="shared" si="1"/>
        <v>1</v>
      </c>
      <c r="G397" s="11" t="str">
        <f>IFERROR(VLOOKUP(C397,STUDENTS!A:E,5,FALSE),"")</f>
        <v>Active</v>
      </c>
      <c r="H397" s="11" t="str">
        <f>IFERROR(VLOOKUP(C397,STUDENTS!A:M,13,FALSE),"")</f>
        <v/>
      </c>
      <c r="I397" s="11" t="str">
        <f>IF(D397="","",IF(AND(VLOOKUP(C397,STUDENTS!$A:$R,17,FALSE)=A397,VLOOKUP(C397,STUDENTS!$A:$R,18,FALSE)=B397,G397="Active"),"Đang học",IF(F397&gt;=0.8,IF(G397="Active","Tiếp tục khóa sau",IF(G397="Waiting for class","Chờ lớp mới",IF(G397="Inactive",IF(IFERROR(H397,"")="Discontinued mid-course","Nghỉ giữa chừng","Hoàn thành rồi nghỉ luôn"),""))),IF(G397="Inactive","Nghỉ giữa chừng","Đang học"))))</f>
        <v>Tiếp tục khóa sau</v>
      </c>
    </row>
    <row r="398">
      <c r="A398" s="11" t="str">
        <f>IFERROR(__xludf.DUMMYFUNCTION("""COMPUTED_VALUE"""),"EL035")</f>
        <v>EL035</v>
      </c>
      <c r="B398" s="11" t="str">
        <f>IFERROR(__xludf.DUMMYFUNCTION("""COMPUTED_VALUE"""),"Communication 2")</f>
        <v>Communication 2</v>
      </c>
      <c r="C398" s="11" t="str">
        <f>IFERROR(__xludf.DUMMYFUNCTION("""COMPUTED_VALUE"""),"213863")</f>
        <v>213863</v>
      </c>
      <c r="D398" s="11">
        <f>IFERROR(__xludf.DUMMYFUNCTION("""COMPUTED_VALUE"""),14.0)</f>
        <v>14</v>
      </c>
      <c r="E398" s="11">
        <f>IFERROR(VLOOKUP(B398,COURSE_PLAN!A:B,2,FALSE),"")</f>
        <v>16</v>
      </c>
      <c r="F398" s="11">
        <f t="shared" si="1"/>
        <v>0.875</v>
      </c>
      <c r="G398" s="11" t="str">
        <f>IFERROR(VLOOKUP(C398,STUDENTS!A:E,5,FALSE),"")</f>
        <v>Inactive</v>
      </c>
      <c r="H398" s="11" t="str">
        <f>IFERROR(VLOOKUP(C398,STUDENTS!A:M,13,FALSE),"")</f>
        <v>Discontinued mid-course</v>
      </c>
      <c r="I398" s="11" t="str">
        <f>IF(D398="","",IF(AND(VLOOKUP(C398,STUDENTS!$A:$R,17,FALSE)=A398,VLOOKUP(C398,STUDENTS!$A:$R,18,FALSE)=B398,G398="Active"),"Đang học",IF(F398&gt;=0.8,IF(G398="Active","Tiếp tục khóa sau",IF(G398="Waiting for class","Chờ lớp mới",IF(G398="Inactive",IF(IFERROR(H398,"")="Discontinued mid-course","Nghỉ giữa chừng","Hoàn thành rồi nghỉ luôn"),""))),IF(G398="Inactive","Nghỉ giữa chừng","Đang học"))))</f>
        <v>Nghỉ giữa chừng</v>
      </c>
    </row>
    <row r="399">
      <c r="A399" s="11" t="str">
        <f>IFERROR(__xludf.DUMMYFUNCTION("""COMPUTED_VALUE"""),"EL035")</f>
        <v>EL035</v>
      </c>
      <c r="B399" s="11" t="str">
        <f>IFERROR(__xludf.DUMMYFUNCTION("""COMPUTED_VALUE"""),"Communication 2")</f>
        <v>Communication 2</v>
      </c>
      <c r="C399" s="11" t="str">
        <f>IFERROR(__xludf.DUMMYFUNCTION("""COMPUTED_VALUE"""),"213898")</f>
        <v>213898</v>
      </c>
      <c r="D399" s="11">
        <f>IFERROR(__xludf.DUMMYFUNCTION("""COMPUTED_VALUE"""),16.0)</f>
        <v>16</v>
      </c>
      <c r="E399" s="11">
        <f>IFERROR(VLOOKUP(B399,COURSE_PLAN!A:B,2,FALSE),"")</f>
        <v>16</v>
      </c>
      <c r="F399" s="11">
        <f t="shared" si="1"/>
        <v>1</v>
      </c>
      <c r="G399" s="11" t="str">
        <f>IFERROR(VLOOKUP(C399,STUDENTS!A:E,5,FALSE),"")</f>
        <v>Inactive</v>
      </c>
      <c r="H399" s="11" t="str">
        <f>IFERROR(VLOOKUP(C399,STUDENTS!A:M,13,FALSE),"")</f>
        <v>Discontinued mid-course</v>
      </c>
      <c r="I399" s="11" t="str">
        <f>IF(D399="","",IF(AND(VLOOKUP(C399,STUDENTS!$A:$R,17,FALSE)=A399,VLOOKUP(C399,STUDENTS!$A:$R,18,FALSE)=B399,G399="Active"),"Đang học",IF(F399&gt;=0.8,IF(G399="Active","Tiếp tục khóa sau",IF(G399="Waiting for class","Chờ lớp mới",IF(G399="Inactive",IF(IFERROR(H399,"")="Discontinued mid-course","Nghỉ giữa chừng","Hoàn thành rồi nghỉ luôn"),""))),IF(G399="Inactive","Nghỉ giữa chừng","Đang học"))))</f>
        <v>Nghỉ giữa chừng</v>
      </c>
    </row>
    <row r="400">
      <c r="A400" s="11" t="str">
        <f>IFERROR(__xludf.DUMMYFUNCTION("""COMPUTED_VALUE"""),"EL035")</f>
        <v>EL035</v>
      </c>
      <c r="B400" s="11" t="str">
        <f>IFERROR(__xludf.DUMMYFUNCTION("""COMPUTED_VALUE"""),"Communication 2")</f>
        <v>Communication 2</v>
      </c>
      <c r="C400" s="11" t="str">
        <f>IFERROR(__xludf.DUMMYFUNCTION("""COMPUTED_VALUE"""),"227104")</f>
        <v>227104</v>
      </c>
      <c r="D400" s="11">
        <f>IFERROR(__xludf.DUMMYFUNCTION("""COMPUTED_VALUE"""),15.0)</f>
        <v>15</v>
      </c>
      <c r="E400" s="11">
        <f>IFERROR(VLOOKUP(B400,COURSE_PLAN!A:B,2,FALSE),"")</f>
        <v>16</v>
      </c>
      <c r="F400" s="11">
        <f t="shared" si="1"/>
        <v>0.9375</v>
      </c>
      <c r="G400" s="11" t="str">
        <f>IFERROR(VLOOKUP(C400,STUDENTS!A:E,5,FALSE),"")</f>
        <v>Inactive</v>
      </c>
      <c r="H400" s="11" t="str">
        <f>IFERROR(VLOOKUP(C400,STUDENTS!A:M,13,FALSE),"")</f>
        <v>Discontinued mid-course</v>
      </c>
      <c r="I400" s="11" t="str">
        <f>IF(D400="","",IF(AND(VLOOKUP(C400,STUDENTS!$A:$R,17,FALSE)=A400,VLOOKUP(C400,STUDENTS!$A:$R,18,FALSE)=B400,G400="Active"),"Đang học",IF(F400&gt;=0.8,IF(G400="Active","Tiếp tục khóa sau",IF(G400="Waiting for class","Chờ lớp mới",IF(G400="Inactive",IF(IFERROR(H400,"")="Discontinued mid-course","Nghỉ giữa chừng","Hoàn thành rồi nghỉ luôn"),""))),IF(G400="Inactive","Nghỉ giữa chừng","Đang học"))))</f>
        <v>Nghỉ giữa chừng</v>
      </c>
    </row>
    <row r="401">
      <c r="A401" s="11" t="str">
        <f>IFERROR(__xludf.DUMMYFUNCTION("""COMPUTED_VALUE"""),"EL035")</f>
        <v>EL035</v>
      </c>
      <c r="B401" s="11" t="str">
        <f>IFERROR(__xludf.DUMMYFUNCTION("""COMPUTED_VALUE"""),"Communication 2")</f>
        <v>Communication 2</v>
      </c>
      <c r="C401" s="11" t="str">
        <f>IFERROR(__xludf.DUMMYFUNCTION("""COMPUTED_VALUE"""),"237156")</f>
        <v>237156</v>
      </c>
      <c r="D401" s="11">
        <f>IFERROR(__xludf.DUMMYFUNCTION("""COMPUTED_VALUE"""),16.0)</f>
        <v>16</v>
      </c>
      <c r="E401" s="11">
        <f>IFERROR(VLOOKUP(B401,COURSE_PLAN!A:B,2,FALSE),"")</f>
        <v>16</v>
      </c>
      <c r="F401" s="11">
        <f t="shared" si="1"/>
        <v>1</v>
      </c>
      <c r="G401" s="11" t="str">
        <f>IFERROR(VLOOKUP(C401,STUDENTS!A:E,5,FALSE),"")</f>
        <v>Inactive</v>
      </c>
      <c r="H401" s="11" t="str">
        <f>IFERROR(VLOOKUP(C401,STUDENTS!A:M,13,FALSE),"")</f>
        <v>Completed (no continuation)</v>
      </c>
      <c r="I401" s="11" t="str">
        <f>IF(D401="","",IF(AND(VLOOKUP(C401,STUDENTS!$A:$R,17,FALSE)=A401,VLOOKUP(C401,STUDENTS!$A:$R,18,FALSE)=B401,G401="Active"),"Đang học",IF(F401&gt;=0.8,IF(G401="Active","Tiếp tục khóa sau",IF(G401="Waiting for class","Chờ lớp mới",IF(G401="Inactive",IF(IFERROR(H401,"")="Discontinued mid-course","Nghỉ giữa chừng","Hoàn thành rồi nghỉ luôn"),""))),IF(G401="Inactive","Nghỉ giữa chừng","Đang học"))))</f>
        <v>Hoàn thành rồi nghỉ luôn</v>
      </c>
    </row>
    <row r="402">
      <c r="A402" s="11" t="str">
        <f>IFERROR(__xludf.DUMMYFUNCTION("""COMPUTED_VALUE"""),"EL035")</f>
        <v>EL035</v>
      </c>
      <c r="B402" s="11" t="str">
        <f>IFERROR(__xludf.DUMMYFUNCTION("""COMPUTED_VALUE"""),"Communication 2")</f>
        <v>Communication 2</v>
      </c>
      <c r="C402" s="11" t="str">
        <f>IFERROR(__xludf.DUMMYFUNCTION("""COMPUTED_VALUE"""),"237183")</f>
        <v>237183</v>
      </c>
      <c r="D402" s="11">
        <f>IFERROR(__xludf.DUMMYFUNCTION("""COMPUTED_VALUE"""),16.0)</f>
        <v>16</v>
      </c>
      <c r="E402" s="11">
        <f>IFERROR(VLOOKUP(B402,COURSE_PLAN!A:B,2,FALSE),"")</f>
        <v>16</v>
      </c>
      <c r="F402" s="11">
        <f t="shared" si="1"/>
        <v>1</v>
      </c>
      <c r="G402" s="11" t="str">
        <f>IFERROR(VLOOKUP(C402,STUDENTS!A:E,5,FALSE),"")</f>
        <v>Inactive</v>
      </c>
      <c r="H402" s="11" t="str">
        <f>IFERROR(VLOOKUP(C402,STUDENTS!A:M,13,FALSE),"")</f>
        <v>Discontinued mid-course</v>
      </c>
      <c r="I402" s="11" t="str">
        <f>IF(D402="","",IF(AND(VLOOKUP(C402,STUDENTS!$A:$R,17,FALSE)=A402,VLOOKUP(C402,STUDENTS!$A:$R,18,FALSE)=B402,G402="Active"),"Đang học",IF(F402&gt;=0.8,IF(G402="Active","Tiếp tục khóa sau",IF(G402="Waiting for class","Chờ lớp mới",IF(G402="Inactive",IF(IFERROR(H402,"")="Discontinued mid-course","Nghỉ giữa chừng","Hoàn thành rồi nghỉ luôn"),""))),IF(G402="Inactive","Nghỉ giữa chừng","Đang học"))))</f>
        <v>Nghỉ giữa chừng</v>
      </c>
    </row>
    <row r="403">
      <c r="A403" s="11" t="str">
        <f>IFERROR(__xludf.DUMMYFUNCTION("""COMPUTED_VALUE"""),"EL035")</f>
        <v>EL035</v>
      </c>
      <c r="B403" s="11" t="str">
        <f>IFERROR(__xludf.DUMMYFUNCTION("""COMPUTED_VALUE"""),"Communication 2")</f>
        <v>Communication 2</v>
      </c>
      <c r="C403" s="11" t="str">
        <f>IFERROR(__xludf.DUMMYFUNCTION("""COMPUTED_VALUE"""),"247098")</f>
        <v>247098</v>
      </c>
      <c r="D403" s="11">
        <f>IFERROR(__xludf.DUMMYFUNCTION("""COMPUTED_VALUE"""),10.0)</f>
        <v>10</v>
      </c>
      <c r="E403" s="11">
        <f>IFERROR(VLOOKUP(B403,COURSE_PLAN!A:B,2,FALSE),"")</f>
        <v>16</v>
      </c>
      <c r="F403" s="11">
        <f t="shared" si="1"/>
        <v>0.625</v>
      </c>
      <c r="G403" s="11" t="str">
        <f>IFERROR(VLOOKUP(C403,STUDENTS!A:E,5,FALSE),"")</f>
        <v>Inactive</v>
      </c>
      <c r="H403" s="11" t="str">
        <f>IFERROR(VLOOKUP(C403,STUDENTS!A:M,13,FALSE),"")</f>
        <v>Completed (no continuation)</v>
      </c>
      <c r="I403" s="11" t="str">
        <f>IF(D403="","",IF(AND(VLOOKUP(C403,STUDENTS!$A:$R,17,FALSE)=A403,VLOOKUP(C403,STUDENTS!$A:$R,18,FALSE)=B403,G403="Active"),"Đang học",IF(F403&gt;=0.8,IF(G403="Active","Tiếp tục khóa sau",IF(G403="Waiting for class","Chờ lớp mới",IF(G403="Inactive",IF(IFERROR(H403,"")="Discontinued mid-course","Nghỉ giữa chừng","Hoàn thành rồi nghỉ luôn"),""))),IF(G403="Inactive","Nghỉ giữa chừng","Đang học"))))</f>
        <v>Nghỉ giữa chừng</v>
      </c>
    </row>
    <row r="404">
      <c r="A404" s="11" t="str">
        <f>IFERROR(__xludf.DUMMYFUNCTION("""COMPUTED_VALUE"""),"EL035")</f>
        <v>EL035</v>
      </c>
      <c r="B404" s="11" t="str">
        <f>IFERROR(__xludf.DUMMYFUNCTION("""COMPUTED_VALUE"""),"Communication 2")</f>
        <v>Communication 2</v>
      </c>
      <c r="C404" s="11" t="str">
        <f>IFERROR(__xludf.DUMMYFUNCTION("""COMPUTED_VALUE"""),"247119")</f>
        <v>247119</v>
      </c>
      <c r="D404" s="11">
        <f>IFERROR(__xludf.DUMMYFUNCTION("""COMPUTED_VALUE"""),16.0)</f>
        <v>16</v>
      </c>
      <c r="E404" s="11">
        <f>IFERROR(VLOOKUP(B404,COURSE_PLAN!A:B,2,FALSE),"")</f>
        <v>16</v>
      </c>
      <c r="F404" s="11">
        <f t="shared" si="1"/>
        <v>1</v>
      </c>
      <c r="G404" s="11" t="str">
        <f>IFERROR(VLOOKUP(C404,STUDENTS!A:E,5,FALSE),"")</f>
        <v>Active</v>
      </c>
      <c r="H404" s="11" t="str">
        <f>IFERROR(VLOOKUP(C404,STUDENTS!A:M,13,FALSE),"")</f>
        <v/>
      </c>
      <c r="I404" s="11" t="str">
        <f>IF(D404="","",IF(AND(VLOOKUP(C404,STUDENTS!$A:$R,17,FALSE)=A404,VLOOKUP(C404,STUDENTS!$A:$R,18,FALSE)=B404,G404="Active"),"Đang học",IF(F404&gt;=0.8,IF(G404="Active","Tiếp tục khóa sau",IF(G404="Waiting for class","Chờ lớp mới",IF(G404="Inactive",IF(IFERROR(H404,"")="Discontinued mid-course","Nghỉ giữa chừng","Hoàn thành rồi nghỉ luôn"),""))),IF(G404="Inactive","Nghỉ giữa chừng","Đang học"))))</f>
        <v>Tiếp tục khóa sau</v>
      </c>
    </row>
    <row r="405">
      <c r="A405" s="11" t="str">
        <f>IFERROR(__xludf.DUMMYFUNCTION("""COMPUTED_VALUE"""),"EL037")</f>
        <v>EL037</v>
      </c>
      <c r="B405" s="11" t="str">
        <f>IFERROR(__xludf.DUMMYFUNCTION("""COMPUTED_VALUE"""),"Communication 1")</f>
        <v>Communication 1</v>
      </c>
      <c r="C405" s="11" t="str">
        <f>IFERROR(__xludf.DUMMYFUNCTION("""COMPUTED_VALUE"""),"173232")</f>
        <v>173232</v>
      </c>
      <c r="D405" s="11">
        <f>IFERROR(__xludf.DUMMYFUNCTION("""COMPUTED_VALUE"""),15.0)</f>
        <v>15</v>
      </c>
      <c r="E405" s="11">
        <f>IFERROR(VLOOKUP(B405,COURSE_PLAN!A:B,2,FALSE),"")</f>
        <v>10</v>
      </c>
      <c r="F405" s="11">
        <f t="shared" si="1"/>
        <v>1.5</v>
      </c>
      <c r="G405" s="11" t="str">
        <f>IFERROR(VLOOKUP(C405,STUDENTS!A:E,5,FALSE),"")</f>
        <v>Active</v>
      </c>
      <c r="H405" s="11" t="str">
        <f>IFERROR(VLOOKUP(C405,STUDENTS!A:M,13,FALSE),"")</f>
        <v/>
      </c>
      <c r="I405" s="11" t="str">
        <f>IF(D405="","",IF(AND(VLOOKUP(C405,STUDENTS!$A:$R,17,FALSE)=A405,VLOOKUP(C405,STUDENTS!$A:$R,18,FALSE)=B405,G405="Active"),"Đang học",IF(F405&gt;=0.8,IF(G405="Active","Tiếp tục khóa sau",IF(G405="Waiting for class","Chờ lớp mới",IF(G405="Inactive",IF(IFERROR(H405,"")="Discontinued mid-course","Nghỉ giữa chừng","Hoàn thành rồi nghỉ luôn"),""))),IF(G405="Inactive","Nghỉ giữa chừng","Đang học"))))</f>
        <v>Tiếp tục khóa sau</v>
      </c>
    </row>
    <row r="406">
      <c r="A406" s="11" t="str">
        <f>IFERROR(__xludf.DUMMYFUNCTION("""COMPUTED_VALUE"""),"EL037")</f>
        <v>EL037</v>
      </c>
      <c r="B406" s="11" t="str">
        <f>IFERROR(__xludf.DUMMYFUNCTION("""COMPUTED_VALUE"""),"Communication 1")</f>
        <v>Communication 1</v>
      </c>
      <c r="C406" s="11" t="str">
        <f>IFERROR(__xludf.DUMMYFUNCTION("""COMPUTED_VALUE"""),"203701")</f>
        <v>203701</v>
      </c>
      <c r="D406" s="11">
        <f>IFERROR(__xludf.DUMMYFUNCTION("""COMPUTED_VALUE"""),15.0)</f>
        <v>15</v>
      </c>
      <c r="E406" s="11">
        <f>IFERROR(VLOOKUP(B406,COURSE_PLAN!A:B,2,FALSE),"")</f>
        <v>10</v>
      </c>
      <c r="F406" s="11">
        <f t="shared" si="1"/>
        <v>1.5</v>
      </c>
      <c r="G406" s="11" t="str">
        <f>IFERROR(VLOOKUP(C406,STUDENTS!A:E,5,FALSE),"")</f>
        <v>Active</v>
      </c>
      <c r="H406" s="11" t="str">
        <f>IFERROR(VLOOKUP(C406,STUDENTS!A:M,13,FALSE),"")</f>
        <v/>
      </c>
      <c r="I406" s="11" t="str">
        <f>IF(D406="","",IF(AND(VLOOKUP(C406,STUDENTS!$A:$R,17,FALSE)=A406,VLOOKUP(C406,STUDENTS!$A:$R,18,FALSE)=B406,G406="Active"),"Đang học",IF(F406&gt;=0.8,IF(G406="Active","Tiếp tục khóa sau",IF(G406="Waiting for class","Chờ lớp mới",IF(G406="Inactive",IF(IFERROR(H406,"")="Discontinued mid-course","Nghỉ giữa chừng","Hoàn thành rồi nghỉ luôn"),""))),IF(G406="Inactive","Nghỉ giữa chừng","Đang học"))))</f>
        <v>Tiếp tục khóa sau</v>
      </c>
    </row>
    <row r="407">
      <c r="A407" s="11" t="str">
        <f>IFERROR(__xludf.DUMMYFUNCTION("""COMPUTED_VALUE"""),"EL037")</f>
        <v>EL037</v>
      </c>
      <c r="B407" s="11" t="str">
        <f>IFERROR(__xludf.DUMMYFUNCTION("""COMPUTED_VALUE"""),"Communication 1")</f>
        <v>Communication 1</v>
      </c>
      <c r="C407" s="11" t="str">
        <f>IFERROR(__xludf.DUMMYFUNCTION("""COMPUTED_VALUE"""),"213805")</f>
        <v>213805</v>
      </c>
      <c r="D407" s="11">
        <f>IFERROR(__xludf.DUMMYFUNCTION("""COMPUTED_VALUE"""),15.0)</f>
        <v>15</v>
      </c>
      <c r="E407" s="11">
        <f>IFERROR(VLOOKUP(B407,COURSE_PLAN!A:B,2,FALSE),"")</f>
        <v>10</v>
      </c>
      <c r="F407" s="11">
        <f t="shared" si="1"/>
        <v>1.5</v>
      </c>
      <c r="G407" s="11" t="str">
        <f>IFERROR(VLOOKUP(C407,STUDENTS!A:E,5,FALSE),"")</f>
        <v>Inactive</v>
      </c>
      <c r="H407" s="11" t="str">
        <f>IFERROR(VLOOKUP(C407,STUDENTS!A:M,13,FALSE),"")</f>
        <v>Completed (no continuation)</v>
      </c>
      <c r="I407" s="11" t="str">
        <f>IF(D407="","",IF(AND(VLOOKUP(C407,STUDENTS!$A:$R,17,FALSE)=A407,VLOOKUP(C407,STUDENTS!$A:$R,18,FALSE)=B407,G407="Active"),"Đang học",IF(F407&gt;=0.8,IF(G407="Active","Tiếp tục khóa sau",IF(G407="Waiting for class","Chờ lớp mới",IF(G407="Inactive",IF(IFERROR(H407,"")="Discontinued mid-course","Nghỉ giữa chừng","Hoàn thành rồi nghỉ luôn"),""))),IF(G407="Inactive","Nghỉ giữa chừng","Đang học"))))</f>
        <v>Hoàn thành rồi nghỉ luôn</v>
      </c>
    </row>
    <row r="408">
      <c r="A408" s="11" t="str">
        <f>IFERROR(__xludf.DUMMYFUNCTION("""COMPUTED_VALUE"""),"EL037")</f>
        <v>EL037</v>
      </c>
      <c r="B408" s="11" t="str">
        <f>IFERROR(__xludf.DUMMYFUNCTION("""COMPUTED_VALUE"""),"Communication 1")</f>
        <v>Communication 1</v>
      </c>
      <c r="C408" s="11" t="str">
        <f>IFERROR(__xludf.DUMMYFUNCTION("""COMPUTED_VALUE"""),"213854")</f>
        <v>213854</v>
      </c>
      <c r="D408" s="11">
        <f>IFERROR(__xludf.DUMMYFUNCTION("""COMPUTED_VALUE"""),15.0)</f>
        <v>15</v>
      </c>
      <c r="E408" s="11">
        <f>IFERROR(VLOOKUP(B408,COURSE_PLAN!A:B,2,FALSE),"")</f>
        <v>10</v>
      </c>
      <c r="F408" s="11">
        <f t="shared" si="1"/>
        <v>1.5</v>
      </c>
      <c r="G408" s="11" t="str">
        <f>IFERROR(VLOOKUP(C408,STUDENTS!A:E,5,FALSE),"")</f>
        <v>Inactive</v>
      </c>
      <c r="H408" s="11" t="str">
        <f>IFERROR(VLOOKUP(C408,STUDENTS!A:M,13,FALSE),"")</f>
        <v>Completed (no continuation)</v>
      </c>
      <c r="I408" s="11" t="str">
        <f>IF(D408="","",IF(AND(VLOOKUP(C408,STUDENTS!$A:$R,17,FALSE)=A408,VLOOKUP(C408,STUDENTS!$A:$R,18,FALSE)=B408,G408="Active"),"Đang học",IF(F408&gt;=0.8,IF(G408="Active","Tiếp tục khóa sau",IF(G408="Waiting for class","Chờ lớp mới",IF(G408="Inactive",IF(IFERROR(H408,"")="Discontinued mid-course","Nghỉ giữa chừng","Hoàn thành rồi nghỉ luôn"),""))),IF(G408="Inactive","Nghỉ giữa chừng","Đang học"))))</f>
        <v>Hoàn thành rồi nghỉ luôn</v>
      </c>
    </row>
    <row r="409">
      <c r="A409" s="11" t="str">
        <f>IFERROR(__xludf.DUMMYFUNCTION("""COMPUTED_VALUE"""),"EL037")</f>
        <v>EL037</v>
      </c>
      <c r="B409" s="11" t="str">
        <f>IFERROR(__xludf.DUMMYFUNCTION("""COMPUTED_VALUE"""),"Communication 1")</f>
        <v>Communication 1</v>
      </c>
      <c r="C409" s="11" t="str">
        <f>IFERROR(__xludf.DUMMYFUNCTION("""COMPUTED_VALUE"""),"213916")</f>
        <v>213916</v>
      </c>
      <c r="D409" s="11">
        <f>IFERROR(__xludf.DUMMYFUNCTION("""COMPUTED_VALUE"""),15.0)</f>
        <v>15</v>
      </c>
      <c r="E409" s="11">
        <f>IFERROR(VLOOKUP(B409,COURSE_PLAN!A:B,2,FALSE),"")</f>
        <v>10</v>
      </c>
      <c r="F409" s="11">
        <f t="shared" si="1"/>
        <v>1.5</v>
      </c>
      <c r="G409" s="11" t="str">
        <f>IFERROR(VLOOKUP(C409,STUDENTS!A:E,5,FALSE),"")</f>
        <v>Active</v>
      </c>
      <c r="H409" s="11" t="str">
        <f>IFERROR(VLOOKUP(C409,STUDENTS!A:M,13,FALSE),"")</f>
        <v/>
      </c>
      <c r="I409" s="11" t="str">
        <f>IF(D409="","",IF(AND(VLOOKUP(C409,STUDENTS!$A:$R,17,FALSE)=A409,VLOOKUP(C409,STUDENTS!$A:$R,18,FALSE)=B409,G409="Active"),"Đang học",IF(F409&gt;=0.8,IF(G409="Active","Tiếp tục khóa sau",IF(G409="Waiting for class","Chờ lớp mới",IF(G409="Inactive",IF(IFERROR(H409,"")="Discontinued mid-course","Nghỉ giữa chừng","Hoàn thành rồi nghỉ luôn"),""))),IF(G409="Inactive","Nghỉ giữa chừng","Đang học"))))</f>
        <v>Tiếp tục khóa sau</v>
      </c>
      <c r="K409" s="372"/>
    </row>
    <row r="410">
      <c r="A410" s="11" t="str">
        <f>IFERROR(__xludf.DUMMYFUNCTION("""COMPUTED_VALUE"""),"EL037")</f>
        <v>EL037</v>
      </c>
      <c r="B410" s="11" t="str">
        <f>IFERROR(__xludf.DUMMYFUNCTION("""COMPUTED_VALUE"""),"Communication 1")</f>
        <v>Communication 1</v>
      </c>
      <c r="C410" s="11" t="str">
        <f>IFERROR(__xludf.DUMMYFUNCTION("""COMPUTED_VALUE"""),"213935")</f>
        <v>213935</v>
      </c>
      <c r="D410" s="11">
        <f>IFERROR(__xludf.DUMMYFUNCTION("""COMPUTED_VALUE"""),15.0)</f>
        <v>15</v>
      </c>
      <c r="E410" s="11">
        <f>IFERROR(VLOOKUP(B410,COURSE_PLAN!A:B,2,FALSE),"")</f>
        <v>10</v>
      </c>
      <c r="F410" s="11">
        <f t="shared" si="1"/>
        <v>1.5</v>
      </c>
      <c r="G410" s="11" t="str">
        <f>IFERROR(VLOOKUP(C410,STUDENTS!A:E,5,FALSE),"")</f>
        <v>Inactive</v>
      </c>
      <c r="H410" s="11" t="str">
        <f>IFERROR(VLOOKUP(C410,STUDENTS!A:M,13,FALSE),"")</f>
        <v>Completed (no continuation)</v>
      </c>
      <c r="I410" s="11" t="str">
        <f>IF(D410="","",IF(AND(VLOOKUP(C410,STUDENTS!$A:$R,17,FALSE)=A410,VLOOKUP(C410,STUDENTS!$A:$R,18,FALSE)=B410,G410="Active"),"Đang học",IF(F410&gt;=0.8,IF(G410="Active","Tiếp tục khóa sau",IF(G410="Waiting for class","Chờ lớp mới",IF(G410="Inactive",IF(IFERROR(H410,"")="Discontinued mid-course","Nghỉ giữa chừng","Hoàn thành rồi nghỉ luôn"),""))),IF(G410="Inactive","Nghỉ giữa chừng","Đang học"))))</f>
        <v>Hoàn thành rồi nghỉ luôn</v>
      </c>
      <c r="J410" s="372"/>
    </row>
    <row r="411">
      <c r="A411" s="11" t="str">
        <f>IFERROR(__xludf.DUMMYFUNCTION("""COMPUTED_VALUE"""),"EL037")</f>
        <v>EL037</v>
      </c>
      <c r="B411" s="11" t="str">
        <f>IFERROR(__xludf.DUMMYFUNCTION("""COMPUTED_VALUE"""),"Communication 1")</f>
        <v>Communication 1</v>
      </c>
      <c r="C411" s="11" t="str">
        <f>IFERROR(__xludf.DUMMYFUNCTION("""COMPUTED_VALUE"""),"227063")</f>
        <v>227063</v>
      </c>
      <c r="D411" s="11">
        <f>IFERROR(__xludf.DUMMYFUNCTION("""COMPUTED_VALUE"""),15.0)</f>
        <v>15</v>
      </c>
      <c r="E411" s="11">
        <f>IFERROR(VLOOKUP(B411,COURSE_PLAN!A:B,2,FALSE),"")</f>
        <v>10</v>
      </c>
      <c r="F411" s="11">
        <f t="shared" si="1"/>
        <v>1.5</v>
      </c>
      <c r="G411" s="11" t="str">
        <f>IFERROR(VLOOKUP(C411,STUDENTS!A:E,5,FALSE),"")</f>
        <v>Inactive</v>
      </c>
      <c r="H411" s="11" t="str">
        <f>IFERROR(VLOOKUP(C411,STUDENTS!A:M,13,FALSE),"")</f>
        <v>Completed (no continuation)</v>
      </c>
      <c r="I411" s="11" t="str">
        <f>IF(D411="","",IF(AND(VLOOKUP(C411,STUDENTS!$A:$R,17,FALSE)=A411,VLOOKUP(C411,STUDENTS!$A:$R,18,FALSE)=B411,G411="Active"),"Đang học",IF(F411&gt;=0.8,IF(G411="Active","Tiếp tục khóa sau",IF(G411="Waiting for class","Chờ lớp mới",IF(G411="Inactive",IF(IFERROR(H411,"")="Discontinued mid-course","Nghỉ giữa chừng","Hoàn thành rồi nghỉ luôn"),""))),IF(G411="Inactive","Nghỉ giữa chừng","Đang học"))))</f>
        <v>Hoàn thành rồi nghỉ luôn</v>
      </c>
      <c r="J411" s="372"/>
    </row>
    <row r="412">
      <c r="A412" s="11" t="str">
        <f>IFERROR(__xludf.DUMMYFUNCTION("""COMPUTED_VALUE"""),"EL037")</f>
        <v>EL037</v>
      </c>
      <c r="B412" s="11" t="str">
        <f>IFERROR(__xludf.DUMMYFUNCTION("""COMPUTED_VALUE"""),"Communication 1")</f>
        <v>Communication 1</v>
      </c>
      <c r="C412" s="11" t="str">
        <f>IFERROR(__xludf.DUMMYFUNCTION("""COMPUTED_VALUE"""),"247172")</f>
        <v>247172</v>
      </c>
      <c r="D412" s="11">
        <f>IFERROR(__xludf.DUMMYFUNCTION("""COMPUTED_VALUE"""),15.0)</f>
        <v>15</v>
      </c>
      <c r="E412" s="11">
        <f>IFERROR(VLOOKUP(B412,COURSE_PLAN!A:B,2,FALSE),"")</f>
        <v>10</v>
      </c>
      <c r="F412" s="11">
        <f t="shared" si="1"/>
        <v>1.5</v>
      </c>
      <c r="G412" s="11" t="str">
        <f>IFERROR(VLOOKUP(C412,STUDENTS!A:E,5,FALSE),"")</f>
        <v>Active</v>
      </c>
      <c r="H412" s="11" t="str">
        <f>IFERROR(VLOOKUP(C412,STUDENTS!A:M,13,FALSE),"")</f>
        <v/>
      </c>
      <c r="I412" s="11" t="str">
        <f>IF(D412="","",IF(AND(VLOOKUP(C412,STUDENTS!$A:$R,17,FALSE)=A412,VLOOKUP(C412,STUDENTS!$A:$R,18,FALSE)=B412,G412="Active"),"Đang học",IF(F412&gt;=0.8,IF(G412="Active","Tiếp tục khóa sau",IF(G412="Waiting for class","Chờ lớp mới",IF(G412="Inactive",IF(IFERROR(H412,"")="Discontinued mid-course","Nghỉ giữa chừng","Hoàn thành rồi nghỉ luôn"),""))),IF(G412="Inactive","Nghỉ giữa chừng","Đang học"))))</f>
        <v>Tiếp tục khóa sau</v>
      </c>
    </row>
    <row r="413">
      <c r="A413" s="11" t="str">
        <f>IFERROR(__xludf.DUMMYFUNCTION("""COMPUTED_VALUE"""),"EL037")</f>
        <v>EL037</v>
      </c>
      <c r="B413" s="11" t="str">
        <f>IFERROR(__xludf.DUMMYFUNCTION("""COMPUTED_VALUE"""),"Communication 2")</f>
        <v>Communication 2</v>
      </c>
      <c r="C413" s="11" t="str">
        <f>IFERROR(__xludf.DUMMYFUNCTION("""COMPUTED_VALUE"""),"173232")</f>
        <v>173232</v>
      </c>
      <c r="D413" s="11">
        <f>IFERROR(__xludf.DUMMYFUNCTION("""COMPUTED_VALUE"""),11.0)</f>
        <v>11</v>
      </c>
      <c r="E413" s="11">
        <f>IFERROR(VLOOKUP(B413,COURSE_PLAN!A:B,2,FALSE),"")</f>
        <v>16</v>
      </c>
      <c r="F413" s="11">
        <f t="shared" si="1"/>
        <v>0.6875</v>
      </c>
      <c r="G413" s="11" t="str">
        <f>IFERROR(VLOOKUP(C413,STUDENTS!A:E,5,FALSE),"")</f>
        <v>Active</v>
      </c>
      <c r="H413" s="11" t="str">
        <f>IFERROR(VLOOKUP(C413,STUDENTS!A:M,13,FALSE),"")</f>
        <v/>
      </c>
      <c r="I413" s="11" t="str">
        <f>IF(D413="","",IF(AND(VLOOKUP(C413,STUDENTS!$A:$R,17,FALSE)=A413,VLOOKUP(C413,STUDENTS!$A:$R,18,FALSE)=B413,G413="Active"),"Đang học",IF(F413&gt;=0.8,IF(G413="Active","Tiếp tục khóa sau",IF(G413="Waiting for class","Chờ lớp mới",IF(G413="Inactive",IF(IFERROR(H413,"")="Discontinued mid-course","Nghỉ giữa chừng","Hoàn thành rồi nghỉ luôn"),""))),IF(G413="Inactive","Nghỉ giữa chừng","Đang học"))))</f>
        <v>Đang học</v>
      </c>
    </row>
    <row r="414">
      <c r="A414" s="11" t="str">
        <f>IFERROR(__xludf.DUMMYFUNCTION("""COMPUTED_VALUE"""),"EL037")</f>
        <v>EL037</v>
      </c>
      <c r="B414" s="11" t="str">
        <f>IFERROR(__xludf.DUMMYFUNCTION("""COMPUTED_VALUE"""),"Communication 2")</f>
        <v>Communication 2</v>
      </c>
      <c r="C414" s="11" t="str">
        <f>IFERROR(__xludf.DUMMYFUNCTION("""COMPUTED_VALUE"""),"203701")</f>
        <v>203701</v>
      </c>
      <c r="D414" s="11">
        <f>IFERROR(__xludf.DUMMYFUNCTION("""COMPUTED_VALUE"""),11.0)</f>
        <v>11</v>
      </c>
      <c r="E414" s="11">
        <f>IFERROR(VLOOKUP(B414,COURSE_PLAN!A:B,2,FALSE),"")</f>
        <v>16</v>
      </c>
      <c r="F414" s="11">
        <f t="shared" si="1"/>
        <v>0.6875</v>
      </c>
      <c r="G414" s="11" t="str">
        <f>IFERROR(VLOOKUP(C414,STUDENTS!A:E,5,FALSE),"")</f>
        <v>Active</v>
      </c>
      <c r="H414" s="11" t="str">
        <f>IFERROR(VLOOKUP(C414,STUDENTS!A:M,13,FALSE),"")</f>
        <v/>
      </c>
      <c r="I414" s="11" t="str">
        <f>IF(D414="","",IF(AND(VLOOKUP(C414,STUDENTS!$A:$R,17,FALSE)=A414,VLOOKUP(C414,STUDENTS!$A:$R,18,FALSE)=B414,G414="Active"),"Đang học",IF(F414&gt;=0.8,IF(G414="Active","Tiếp tục khóa sau",IF(G414="Waiting for class","Chờ lớp mới",IF(G414="Inactive",IF(IFERROR(H414,"")="Discontinued mid-course","Nghỉ giữa chừng","Hoàn thành rồi nghỉ luôn"),""))),IF(G414="Inactive","Nghỉ giữa chừng","Đang học"))))</f>
        <v>Đang học</v>
      </c>
    </row>
    <row r="415">
      <c r="A415" s="11" t="str">
        <f>IFERROR(__xludf.DUMMYFUNCTION("""COMPUTED_VALUE"""),"EL037")</f>
        <v>EL037</v>
      </c>
      <c r="B415" s="11" t="str">
        <f>IFERROR(__xludf.DUMMYFUNCTION("""COMPUTED_VALUE"""),"Communication 2")</f>
        <v>Communication 2</v>
      </c>
      <c r="C415" s="11" t="str">
        <f>IFERROR(__xludf.DUMMYFUNCTION("""COMPUTED_VALUE"""),"213916")</f>
        <v>213916</v>
      </c>
      <c r="D415" s="11">
        <f>IFERROR(__xludf.DUMMYFUNCTION("""COMPUTED_VALUE"""),11.0)</f>
        <v>11</v>
      </c>
      <c r="E415" s="11">
        <f>IFERROR(VLOOKUP(B415,COURSE_PLAN!A:B,2,FALSE),"")</f>
        <v>16</v>
      </c>
      <c r="F415" s="11">
        <f t="shared" si="1"/>
        <v>0.6875</v>
      </c>
      <c r="G415" s="11" t="str">
        <f>IFERROR(VLOOKUP(C415,STUDENTS!A:E,5,FALSE),"")</f>
        <v>Active</v>
      </c>
      <c r="H415" s="11" t="str">
        <f>IFERROR(VLOOKUP(C415,STUDENTS!A:M,13,FALSE),"")</f>
        <v/>
      </c>
      <c r="I415" s="11" t="str">
        <f>IF(D415="","",IF(AND(VLOOKUP(C415,STUDENTS!$A:$R,17,FALSE)=A415,VLOOKUP(C415,STUDENTS!$A:$R,18,FALSE)=B415,G415="Active"),"Đang học",IF(F415&gt;=0.8,IF(G415="Active","Tiếp tục khóa sau",IF(G415="Waiting for class","Chờ lớp mới",IF(G415="Inactive",IF(IFERROR(H415,"")="Discontinued mid-course","Nghỉ giữa chừng","Hoàn thành rồi nghỉ luôn"),""))),IF(G415="Inactive","Nghỉ giữa chừng","Đang học"))))</f>
        <v>Đang học</v>
      </c>
    </row>
    <row r="416">
      <c r="A416" s="11" t="str">
        <f>IFERROR(__xludf.DUMMYFUNCTION("""COMPUTED_VALUE"""),"EL037")</f>
        <v>EL037</v>
      </c>
      <c r="B416" s="11" t="str">
        <f>IFERROR(__xludf.DUMMYFUNCTION("""COMPUTED_VALUE"""),"Communication 2")</f>
        <v>Communication 2</v>
      </c>
      <c r="C416" s="11" t="str">
        <f>IFERROR(__xludf.DUMMYFUNCTION("""COMPUTED_VALUE"""),"213975")</f>
        <v>213975</v>
      </c>
      <c r="D416" s="11">
        <f>IFERROR(__xludf.DUMMYFUNCTION("""COMPUTED_VALUE"""),2.0)</f>
        <v>2</v>
      </c>
      <c r="E416" s="11">
        <f>IFERROR(VLOOKUP(B416,COURSE_PLAN!A:B,2,FALSE),"")</f>
        <v>16</v>
      </c>
      <c r="F416" s="11">
        <f t="shared" si="1"/>
        <v>0.125</v>
      </c>
      <c r="G416" s="11" t="str">
        <f>IFERROR(VLOOKUP(C416,STUDENTS!A:E,5,FALSE),"")</f>
        <v>Inactive</v>
      </c>
      <c r="H416" s="11" t="str">
        <f>IFERROR(VLOOKUP(C416,STUDENTS!A:M,13,FALSE),"")</f>
        <v>Completed (no continuation)</v>
      </c>
      <c r="I416" s="11" t="str">
        <f>IF(D416="","",IF(AND(VLOOKUP(C416,STUDENTS!$A:$R,17,FALSE)=A416,VLOOKUP(C416,STUDENTS!$A:$R,18,FALSE)=B416,G416="Active"),"Đang học",IF(F416&gt;=0.8,IF(G416="Active","Tiếp tục khóa sau",IF(G416="Waiting for class","Chờ lớp mới",IF(G416="Inactive",IF(IFERROR(H416,"")="Discontinued mid-course","Nghỉ giữa chừng","Hoàn thành rồi nghỉ luôn"),""))),IF(G416="Inactive","Nghỉ giữa chừng","Đang học"))))</f>
        <v>Nghỉ giữa chừng</v>
      </c>
    </row>
    <row r="417">
      <c r="A417" s="11" t="str">
        <f>IFERROR(__xludf.DUMMYFUNCTION("""COMPUTED_VALUE"""),"EL037")</f>
        <v>EL037</v>
      </c>
      <c r="B417" s="11" t="str">
        <f>IFERROR(__xludf.DUMMYFUNCTION("""COMPUTED_VALUE"""),"Communication 2")</f>
        <v>Communication 2</v>
      </c>
      <c r="C417" s="11" t="str">
        <f>IFERROR(__xludf.DUMMYFUNCTION("""COMPUTED_VALUE"""),"247172")</f>
        <v>247172</v>
      </c>
      <c r="D417" s="11">
        <f>IFERROR(__xludf.DUMMYFUNCTION("""COMPUTED_VALUE"""),11.0)</f>
        <v>11</v>
      </c>
      <c r="E417" s="11">
        <f>IFERROR(VLOOKUP(B417,COURSE_PLAN!A:B,2,FALSE),"")</f>
        <v>16</v>
      </c>
      <c r="F417" s="11">
        <f t="shared" si="1"/>
        <v>0.6875</v>
      </c>
      <c r="G417" s="11" t="str">
        <f>IFERROR(VLOOKUP(C417,STUDENTS!A:E,5,FALSE),"")</f>
        <v>Active</v>
      </c>
      <c r="H417" s="11" t="str">
        <f>IFERROR(VLOOKUP(C417,STUDENTS!A:M,13,FALSE),"")</f>
        <v/>
      </c>
      <c r="I417" s="11" t="str">
        <f>IF(D417="","",IF(AND(VLOOKUP(C417,STUDENTS!$A:$R,17,FALSE)=A417,VLOOKUP(C417,STUDENTS!$A:$R,18,FALSE)=B417,G417="Active"),"Đang học",IF(F417&gt;=0.8,IF(G417="Active","Tiếp tục khóa sau",IF(G417="Waiting for class","Chờ lớp mới",IF(G417="Inactive",IF(IFERROR(H417,"")="Discontinued mid-course","Nghỉ giữa chừng","Hoàn thành rồi nghỉ luôn"),""))),IF(G417="Inactive","Nghỉ giữa chừng","Đang học"))))</f>
        <v>Đang học</v>
      </c>
    </row>
    <row r="418">
      <c r="A418" s="11" t="str">
        <f>IFERROR(__xludf.DUMMYFUNCTION("""COMPUTED_VALUE"""),"EL037")</f>
        <v>EL037</v>
      </c>
      <c r="B418" s="11" t="str">
        <f>IFERROR(__xludf.DUMMYFUNCTION("""COMPUTED_VALUE"""),"Foundation")</f>
        <v>Foundation</v>
      </c>
      <c r="C418" s="11" t="str">
        <f>IFERROR(__xludf.DUMMYFUNCTION("""COMPUTED_VALUE"""),"173232")</f>
        <v>173232</v>
      </c>
      <c r="D418" s="11">
        <f>IFERROR(__xludf.DUMMYFUNCTION("""COMPUTED_VALUE"""),16.0)</f>
        <v>16</v>
      </c>
      <c r="E418" s="11">
        <f>IFERROR(VLOOKUP(B418,COURSE_PLAN!A:B,2,FALSE),"")</f>
        <v>16</v>
      </c>
      <c r="F418" s="11">
        <f t="shared" si="1"/>
        <v>1</v>
      </c>
      <c r="G418" s="11" t="str">
        <f>IFERROR(VLOOKUP(C418,STUDENTS!A:E,5,FALSE),"")</f>
        <v>Active</v>
      </c>
      <c r="H418" s="11" t="str">
        <f>IFERROR(VLOOKUP(C418,STUDENTS!A:M,13,FALSE),"")</f>
        <v/>
      </c>
      <c r="I418" s="11" t="str">
        <f>IF(D418="","",IF(AND(VLOOKUP(C418,STUDENTS!$A:$R,17,FALSE)=A418,VLOOKUP(C418,STUDENTS!$A:$R,18,FALSE)=B418,G418="Active"),"Đang học",IF(F418&gt;=0.8,IF(G418="Active","Tiếp tục khóa sau",IF(G418="Waiting for class","Chờ lớp mới",IF(G418="Inactive",IF(IFERROR(H418,"")="Discontinued mid-course","Nghỉ giữa chừng","Hoàn thành rồi nghỉ luôn"),""))),IF(G418="Inactive","Nghỉ giữa chừng","Đang học"))))</f>
        <v>Tiếp tục khóa sau</v>
      </c>
    </row>
    <row r="419">
      <c r="A419" s="11" t="str">
        <f>IFERROR(__xludf.DUMMYFUNCTION("""COMPUTED_VALUE"""),"EL037")</f>
        <v>EL037</v>
      </c>
      <c r="B419" s="11" t="str">
        <f>IFERROR(__xludf.DUMMYFUNCTION("""COMPUTED_VALUE"""),"Foundation")</f>
        <v>Foundation</v>
      </c>
      <c r="C419" s="11" t="str">
        <f>IFERROR(__xludf.DUMMYFUNCTION("""COMPUTED_VALUE"""),"203701")</f>
        <v>203701</v>
      </c>
      <c r="D419" s="11">
        <f>IFERROR(__xludf.DUMMYFUNCTION("""COMPUTED_VALUE"""),16.0)</f>
        <v>16</v>
      </c>
      <c r="E419" s="11">
        <f>IFERROR(VLOOKUP(B419,COURSE_PLAN!A:B,2,FALSE),"")</f>
        <v>16</v>
      </c>
      <c r="F419" s="11">
        <f t="shared" si="1"/>
        <v>1</v>
      </c>
      <c r="G419" s="11" t="str">
        <f>IFERROR(VLOOKUP(C419,STUDENTS!A:E,5,FALSE),"")</f>
        <v>Active</v>
      </c>
      <c r="H419" s="11" t="str">
        <f>IFERROR(VLOOKUP(C419,STUDENTS!A:M,13,FALSE),"")</f>
        <v/>
      </c>
      <c r="I419" s="11" t="str">
        <f>IF(D419="","",IF(AND(VLOOKUP(C419,STUDENTS!$A:$R,17,FALSE)=A419,VLOOKUP(C419,STUDENTS!$A:$R,18,FALSE)=B419,G419="Active"),"Đang học",IF(F419&gt;=0.8,IF(G419="Active","Tiếp tục khóa sau",IF(G419="Waiting for class","Chờ lớp mới",IF(G419="Inactive",IF(IFERROR(H419,"")="Discontinued mid-course","Nghỉ giữa chừng","Hoàn thành rồi nghỉ luôn"),""))),IF(G419="Inactive","Nghỉ giữa chừng","Đang học"))))</f>
        <v>Tiếp tục khóa sau</v>
      </c>
    </row>
    <row r="420">
      <c r="A420" s="11" t="str">
        <f>IFERROR(__xludf.DUMMYFUNCTION("""COMPUTED_VALUE"""),"EL037")</f>
        <v>EL037</v>
      </c>
      <c r="B420" s="11" t="str">
        <f>IFERROR(__xludf.DUMMYFUNCTION("""COMPUTED_VALUE"""),"Foundation")</f>
        <v>Foundation</v>
      </c>
      <c r="C420" s="11" t="str">
        <f>IFERROR(__xludf.DUMMYFUNCTION("""COMPUTED_VALUE"""),"213805")</f>
        <v>213805</v>
      </c>
      <c r="D420" s="11">
        <f>IFERROR(__xludf.DUMMYFUNCTION("""COMPUTED_VALUE"""),16.0)</f>
        <v>16</v>
      </c>
      <c r="E420" s="11">
        <f>IFERROR(VLOOKUP(B420,COURSE_PLAN!A:B,2,FALSE),"")</f>
        <v>16</v>
      </c>
      <c r="F420" s="11">
        <f t="shared" si="1"/>
        <v>1</v>
      </c>
      <c r="G420" s="11" t="str">
        <f>IFERROR(VLOOKUP(C420,STUDENTS!A:E,5,FALSE),"")</f>
        <v>Inactive</v>
      </c>
      <c r="H420" s="11" t="str">
        <f>IFERROR(VLOOKUP(C420,STUDENTS!A:M,13,FALSE),"")</f>
        <v>Completed (no continuation)</v>
      </c>
      <c r="I420" s="11" t="str">
        <f>IF(D420="","",IF(AND(VLOOKUP(C420,STUDENTS!$A:$R,17,FALSE)=A420,VLOOKUP(C420,STUDENTS!$A:$R,18,FALSE)=B420,G420="Active"),"Đang học",IF(F420&gt;=0.8,IF(G420="Active","Tiếp tục khóa sau",IF(G420="Waiting for class","Chờ lớp mới",IF(G420="Inactive",IF(IFERROR(H420,"")="Discontinued mid-course","Nghỉ giữa chừng","Hoàn thành rồi nghỉ luôn"),""))),IF(G420="Inactive","Nghỉ giữa chừng","Đang học"))))</f>
        <v>Hoàn thành rồi nghỉ luôn</v>
      </c>
    </row>
    <row r="421">
      <c r="A421" s="11" t="str">
        <f>IFERROR(__xludf.DUMMYFUNCTION("""COMPUTED_VALUE"""),"EL037")</f>
        <v>EL037</v>
      </c>
      <c r="B421" s="11" t="str">
        <f>IFERROR(__xludf.DUMMYFUNCTION("""COMPUTED_VALUE"""),"Foundation")</f>
        <v>Foundation</v>
      </c>
      <c r="C421" s="11" t="str">
        <f>IFERROR(__xludf.DUMMYFUNCTION("""COMPUTED_VALUE"""),"213854")</f>
        <v>213854</v>
      </c>
      <c r="D421" s="11">
        <f>IFERROR(__xludf.DUMMYFUNCTION("""COMPUTED_VALUE"""),16.0)</f>
        <v>16</v>
      </c>
      <c r="E421" s="11">
        <f>IFERROR(VLOOKUP(B421,COURSE_PLAN!A:B,2,FALSE),"")</f>
        <v>16</v>
      </c>
      <c r="F421" s="11">
        <f t="shared" si="1"/>
        <v>1</v>
      </c>
      <c r="G421" s="11" t="str">
        <f>IFERROR(VLOOKUP(C421,STUDENTS!A:E,5,FALSE),"")</f>
        <v>Inactive</v>
      </c>
      <c r="H421" s="11" t="str">
        <f>IFERROR(VLOOKUP(C421,STUDENTS!A:M,13,FALSE),"")</f>
        <v>Completed (no continuation)</v>
      </c>
      <c r="I421" s="11" t="str">
        <f>IF(D421="","",IF(AND(VLOOKUP(C421,STUDENTS!$A:$R,17,FALSE)=A421,VLOOKUP(C421,STUDENTS!$A:$R,18,FALSE)=B421,G421="Active"),"Đang học",IF(F421&gt;=0.8,IF(G421="Active","Tiếp tục khóa sau",IF(G421="Waiting for class","Chờ lớp mới",IF(G421="Inactive",IF(IFERROR(H421,"")="Discontinued mid-course","Nghỉ giữa chừng","Hoàn thành rồi nghỉ luôn"),""))),IF(G421="Inactive","Nghỉ giữa chừng","Đang học"))))</f>
        <v>Hoàn thành rồi nghỉ luôn</v>
      </c>
    </row>
    <row r="422">
      <c r="A422" s="11" t="str">
        <f>IFERROR(__xludf.DUMMYFUNCTION("""COMPUTED_VALUE"""),"EL037")</f>
        <v>EL037</v>
      </c>
      <c r="B422" s="11" t="str">
        <f>IFERROR(__xludf.DUMMYFUNCTION("""COMPUTED_VALUE"""),"Foundation")</f>
        <v>Foundation</v>
      </c>
      <c r="C422" s="11" t="str">
        <f>IFERROR(__xludf.DUMMYFUNCTION("""COMPUTED_VALUE"""),"213881")</f>
        <v>213881</v>
      </c>
      <c r="D422" s="11">
        <f>IFERROR(__xludf.DUMMYFUNCTION("""COMPUTED_VALUE"""),16.0)</f>
        <v>16</v>
      </c>
      <c r="E422" s="11">
        <f>IFERROR(VLOOKUP(B422,COURSE_PLAN!A:B,2,FALSE),"")</f>
        <v>16</v>
      </c>
      <c r="F422" s="11">
        <f t="shared" si="1"/>
        <v>1</v>
      </c>
      <c r="G422" s="11" t="str">
        <f>IFERROR(VLOOKUP(C422,STUDENTS!A:E,5,FALSE),"")</f>
        <v>Inactive</v>
      </c>
      <c r="H422" s="11" t="str">
        <f>IFERROR(VLOOKUP(C422,STUDENTS!A:M,13,FALSE),"")</f>
        <v>Completed (no continuation)</v>
      </c>
      <c r="I422" s="11" t="str">
        <f>IF(D422="","",IF(AND(VLOOKUP(C422,STUDENTS!$A:$R,17,FALSE)=A422,VLOOKUP(C422,STUDENTS!$A:$R,18,FALSE)=B422,G422="Active"),"Đang học",IF(F422&gt;=0.8,IF(G422="Active","Tiếp tục khóa sau",IF(G422="Waiting for class","Chờ lớp mới",IF(G422="Inactive",IF(IFERROR(H422,"")="Discontinued mid-course","Nghỉ giữa chừng","Hoàn thành rồi nghỉ luôn"),""))),IF(G422="Inactive","Nghỉ giữa chừng","Đang học"))))</f>
        <v>Hoàn thành rồi nghỉ luôn</v>
      </c>
    </row>
    <row r="423">
      <c r="A423" s="11" t="str">
        <f>IFERROR(__xludf.DUMMYFUNCTION("""COMPUTED_VALUE"""),"EL037")</f>
        <v>EL037</v>
      </c>
      <c r="B423" s="11" t="str">
        <f>IFERROR(__xludf.DUMMYFUNCTION("""COMPUTED_VALUE"""),"Foundation")</f>
        <v>Foundation</v>
      </c>
      <c r="C423" s="11" t="str">
        <f>IFERROR(__xludf.DUMMYFUNCTION("""COMPUTED_VALUE"""),"213916")</f>
        <v>213916</v>
      </c>
      <c r="D423" s="11">
        <f>IFERROR(__xludf.DUMMYFUNCTION("""COMPUTED_VALUE"""),16.0)</f>
        <v>16</v>
      </c>
      <c r="E423" s="11">
        <f>IFERROR(VLOOKUP(B423,COURSE_PLAN!A:B,2,FALSE),"")</f>
        <v>16</v>
      </c>
      <c r="F423" s="11">
        <f t="shared" si="1"/>
        <v>1</v>
      </c>
      <c r="G423" s="11" t="str">
        <f>IFERROR(VLOOKUP(C423,STUDENTS!A:E,5,FALSE),"")</f>
        <v>Active</v>
      </c>
      <c r="H423" s="11" t="str">
        <f>IFERROR(VLOOKUP(C423,STUDENTS!A:M,13,FALSE),"")</f>
        <v/>
      </c>
      <c r="I423" s="11" t="str">
        <f>IF(D423="","",IF(AND(VLOOKUP(C423,STUDENTS!$A:$R,17,FALSE)=A423,VLOOKUP(C423,STUDENTS!$A:$R,18,FALSE)=B423,G423="Active"),"Đang học",IF(F423&gt;=0.8,IF(G423="Active","Tiếp tục khóa sau",IF(G423="Waiting for class","Chờ lớp mới",IF(G423="Inactive",IF(IFERROR(H423,"")="Discontinued mid-course","Nghỉ giữa chừng","Hoàn thành rồi nghỉ luôn"),""))),IF(G423="Inactive","Nghỉ giữa chừng","Đang học"))))</f>
        <v>Tiếp tục khóa sau</v>
      </c>
    </row>
    <row r="424">
      <c r="A424" s="11" t="str">
        <f>IFERROR(__xludf.DUMMYFUNCTION("""COMPUTED_VALUE"""),"EL037")</f>
        <v>EL037</v>
      </c>
      <c r="B424" s="11" t="str">
        <f>IFERROR(__xludf.DUMMYFUNCTION("""COMPUTED_VALUE"""),"Foundation")</f>
        <v>Foundation</v>
      </c>
      <c r="C424" s="11" t="str">
        <f>IFERROR(__xludf.DUMMYFUNCTION("""COMPUTED_VALUE"""),"213935")</f>
        <v>213935</v>
      </c>
      <c r="D424" s="11">
        <f>IFERROR(__xludf.DUMMYFUNCTION("""COMPUTED_VALUE"""),16.0)</f>
        <v>16</v>
      </c>
      <c r="E424" s="11">
        <f>IFERROR(VLOOKUP(B424,COURSE_PLAN!A:B,2,FALSE),"")</f>
        <v>16</v>
      </c>
      <c r="F424" s="11">
        <f t="shared" si="1"/>
        <v>1</v>
      </c>
      <c r="G424" s="11" t="str">
        <f>IFERROR(VLOOKUP(C424,STUDENTS!A:E,5,FALSE),"")</f>
        <v>Inactive</v>
      </c>
      <c r="H424" s="11" t="str">
        <f>IFERROR(VLOOKUP(C424,STUDENTS!A:M,13,FALSE),"")</f>
        <v>Completed (no continuation)</v>
      </c>
      <c r="I424" s="11" t="str">
        <f>IF(D424="","",IF(AND(VLOOKUP(C424,STUDENTS!$A:$R,17,FALSE)=A424,VLOOKUP(C424,STUDENTS!$A:$R,18,FALSE)=B424,G424="Active"),"Đang học",IF(F424&gt;=0.8,IF(G424="Active","Tiếp tục khóa sau",IF(G424="Waiting for class","Chờ lớp mới",IF(G424="Inactive",IF(IFERROR(H424,"")="Discontinued mid-course","Nghỉ giữa chừng","Hoàn thành rồi nghỉ luôn"),""))),IF(G424="Inactive","Nghỉ giữa chừng","Đang học"))))</f>
        <v>Hoàn thành rồi nghỉ luôn</v>
      </c>
    </row>
    <row r="425">
      <c r="A425" s="11" t="str">
        <f>IFERROR(__xludf.DUMMYFUNCTION("""COMPUTED_VALUE"""),"EL037")</f>
        <v>EL037</v>
      </c>
      <c r="B425" s="11" t="str">
        <f>IFERROR(__xludf.DUMMYFUNCTION("""COMPUTED_VALUE"""),"Foundation")</f>
        <v>Foundation</v>
      </c>
      <c r="C425" s="11" t="str">
        <f>IFERROR(__xludf.DUMMYFUNCTION("""COMPUTED_VALUE"""),"227063")</f>
        <v>227063</v>
      </c>
      <c r="D425" s="11">
        <f>IFERROR(__xludf.DUMMYFUNCTION("""COMPUTED_VALUE"""),16.0)</f>
        <v>16</v>
      </c>
      <c r="E425" s="11">
        <f>IFERROR(VLOOKUP(B425,COURSE_PLAN!A:B,2,FALSE),"")</f>
        <v>16</v>
      </c>
      <c r="F425" s="11">
        <f t="shared" si="1"/>
        <v>1</v>
      </c>
      <c r="G425" s="11" t="str">
        <f>IFERROR(VLOOKUP(C425,STUDENTS!A:E,5,FALSE),"")</f>
        <v>Inactive</v>
      </c>
      <c r="H425" s="11" t="str">
        <f>IFERROR(VLOOKUP(C425,STUDENTS!A:M,13,FALSE),"")</f>
        <v>Completed (no continuation)</v>
      </c>
      <c r="I425" s="11" t="str">
        <f>IF(D425="","",IF(AND(VLOOKUP(C425,STUDENTS!$A:$R,17,FALSE)=A425,VLOOKUP(C425,STUDENTS!$A:$R,18,FALSE)=B425,G425="Active"),"Đang học",IF(F425&gt;=0.8,IF(G425="Active","Tiếp tục khóa sau",IF(G425="Waiting for class","Chờ lớp mới",IF(G425="Inactive",IF(IFERROR(H425,"")="Discontinued mid-course","Nghỉ giữa chừng","Hoàn thành rồi nghỉ luôn"),""))),IF(G425="Inactive","Nghỉ giữa chừng","Đang học"))))</f>
        <v>Hoàn thành rồi nghỉ luôn</v>
      </c>
    </row>
    <row r="426">
      <c r="A426" s="11" t="str">
        <f>IFERROR(__xludf.DUMMYFUNCTION("""COMPUTED_VALUE"""),"EL037")</f>
        <v>EL037</v>
      </c>
      <c r="B426" s="11" t="str">
        <f>IFERROR(__xludf.DUMMYFUNCTION("""COMPUTED_VALUE"""),"Foundation")</f>
        <v>Foundation</v>
      </c>
      <c r="C426" s="11" t="str">
        <f>IFERROR(__xludf.DUMMYFUNCTION("""COMPUTED_VALUE"""),"247172")</f>
        <v>247172</v>
      </c>
      <c r="D426" s="11">
        <f>IFERROR(__xludf.DUMMYFUNCTION("""COMPUTED_VALUE"""),16.0)</f>
        <v>16</v>
      </c>
      <c r="E426" s="11">
        <f>IFERROR(VLOOKUP(B426,COURSE_PLAN!A:B,2,FALSE),"")</f>
        <v>16</v>
      </c>
      <c r="F426" s="11">
        <f t="shared" si="1"/>
        <v>1</v>
      </c>
      <c r="G426" s="11" t="str">
        <f>IFERROR(VLOOKUP(C426,STUDENTS!A:E,5,FALSE),"")</f>
        <v>Active</v>
      </c>
      <c r="H426" s="11" t="str">
        <f>IFERROR(VLOOKUP(C426,STUDENTS!A:M,13,FALSE),"")</f>
        <v/>
      </c>
      <c r="I426" s="11" t="str">
        <f>IF(D426="","",IF(AND(VLOOKUP(C426,STUDENTS!$A:$R,17,FALSE)=A426,VLOOKUP(C426,STUDENTS!$A:$R,18,FALSE)=B426,G426="Active"),"Đang học",IF(F426&gt;=0.8,IF(G426="Active","Tiếp tục khóa sau",IF(G426="Waiting for class","Chờ lớp mới",IF(G426="Inactive",IF(IFERROR(H426,"")="Discontinued mid-course","Nghỉ giữa chừng","Hoàn thành rồi nghỉ luôn"),""))),IF(G426="Inactive","Nghỉ giữa chừng","Đang học"))))</f>
        <v>Tiếp tục khóa sau</v>
      </c>
    </row>
    <row r="427">
      <c r="A427" s="11" t="str">
        <f>IFERROR(__xludf.DUMMYFUNCTION("""COMPUTED_VALUE"""),"EL038")</f>
        <v>EL038</v>
      </c>
      <c r="B427" s="11" t="str">
        <f>IFERROR(__xludf.DUMMYFUNCTION("""COMPUTED_VALUE"""),"Communication 1")</f>
        <v>Communication 1</v>
      </c>
      <c r="C427" s="11" t="str">
        <f>IFERROR(__xludf.DUMMYFUNCTION("""COMPUTED_VALUE"""),"213870")</f>
        <v>213870</v>
      </c>
      <c r="D427" s="11">
        <f>IFERROR(__xludf.DUMMYFUNCTION("""COMPUTED_VALUE"""),10.0)</f>
        <v>10</v>
      </c>
      <c r="E427" s="11">
        <f>IFERROR(VLOOKUP(B427,COURSE_PLAN!A:B,2,FALSE),"")</f>
        <v>10</v>
      </c>
      <c r="F427" s="11">
        <f t="shared" si="1"/>
        <v>1</v>
      </c>
      <c r="G427" s="11" t="str">
        <f>IFERROR(VLOOKUP(C427,STUDENTS!A:E,5,FALSE),"")</f>
        <v>Inactive</v>
      </c>
      <c r="H427" s="11" t="str">
        <f>IFERROR(VLOOKUP(C427,STUDENTS!A:M,13,FALSE),"")</f>
        <v>Completed (no continuation)</v>
      </c>
      <c r="I427" s="11" t="str">
        <f>IF(D427="","",IF(AND(VLOOKUP(C427,STUDENTS!$A:$R,17,FALSE)=A427,VLOOKUP(C427,STUDENTS!$A:$R,18,FALSE)=B427,G427="Active"),"Đang học",IF(F427&gt;=0.8,IF(G427="Active","Tiếp tục khóa sau",IF(G427="Waiting for class","Chờ lớp mới",IF(G427="Inactive",IF(IFERROR(H427,"")="Discontinued mid-course","Nghỉ giữa chừng","Hoàn thành rồi nghỉ luôn"),""))),IF(G427="Inactive","Nghỉ giữa chừng","Đang học"))))</f>
        <v>Hoàn thành rồi nghỉ luôn</v>
      </c>
    </row>
    <row r="428">
      <c r="A428" s="11" t="str">
        <f>IFERROR(__xludf.DUMMYFUNCTION("""COMPUTED_VALUE"""),"EL038")</f>
        <v>EL038</v>
      </c>
      <c r="B428" s="11" t="str">
        <f>IFERROR(__xludf.DUMMYFUNCTION("""COMPUTED_VALUE"""),"Communication 1")</f>
        <v>Communication 1</v>
      </c>
      <c r="C428" s="11" t="str">
        <f>IFERROR(__xludf.DUMMYFUNCTION("""COMPUTED_VALUE"""),"237110")</f>
        <v>237110</v>
      </c>
      <c r="D428" s="11">
        <f>IFERROR(__xludf.DUMMYFUNCTION("""COMPUTED_VALUE"""),10.0)</f>
        <v>10</v>
      </c>
      <c r="E428" s="11">
        <f>IFERROR(VLOOKUP(B428,COURSE_PLAN!A:B,2,FALSE),"")</f>
        <v>10</v>
      </c>
      <c r="F428" s="11">
        <f t="shared" si="1"/>
        <v>1</v>
      </c>
      <c r="G428" s="11" t="str">
        <f>IFERROR(VLOOKUP(C428,STUDENTS!A:E,5,FALSE),"")</f>
        <v>Inactive</v>
      </c>
      <c r="H428" s="11" t="str">
        <f>IFERROR(VLOOKUP(C428,STUDENTS!A:M,13,FALSE),"")</f>
        <v>Completed (no continuation)</v>
      </c>
      <c r="I428" s="11" t="str">
        <f>IF(D428="","",IF(AND(VLOOKUP(C428,STUDENTS!$A:$R,17,FALSE)=A428,VLOOKUP(C428,STUDENTS!$A:$R,18,FALSE)=B428,G428="Active"),"Đang học",IF(F428&gt;=0.8,IF(G428="Active","Tiếp tục khóa sau",IF(G428="Waiting for class","Chờ lớp mới",IF(G428="Inactive",IF(IFERROR(H428,"")="Discontinued mid-course","Nghỉ giữa chừng","Hoàn thành rồi nghỉ luôn"),""))),IF(G428="Inactive","Nghỉ giữa chừng","Đang học"))))</f>
        <v>Hoàn thành rồi nghỉ luôn</v>
      </c>
    </row>
    <row r="429">
      <c r="A429" s="11" t="str">
        <f>IFERROR(__xludf.DUMMYFUNCTION("""COMPUTED_VALUE"""),"EL038")</f>
        <v>EL038</v>
      </c>
      <c r="B429" s="11" t="str">
        <f>IFERROR(__xludf.DUMMYFUNCTION("""COMPUTED_VALUE"""),"Communication 1")</f>
        <v>Communication 1</v>
      </c>
      <c r="C429" s="11" t="str">
        <f>IFERROR(__xludf.DUMMYFUNCTION("""COMPUTED_VALUE"""),"237160")</f>
        <v>237160</v>
      </c>
      <c r="D429" s="11">
        <f>IFERROR(__xludf.DUMMYFUNCTION("""COMPUTED_VALUE"""),10.0)</f>
        <v>10</v>
      </c>
      <c r="E429" s="11">
        <f>IFERROR(VLOOKUP(B429,COURSE_PLAN!A:B,2,FALSE),"")</f>
        <v>10</v>
      </c>
      <c r="F429" s="11">
        <f t="shared" si="1"/>
        <v>1</v>
      </c>
      <c r="G429" s="11" t="str">
        <f>IFERROR(VLOOKUP(C429,STUDENTS!A:E,5,FALSE),"")</f>
        <v>Inactive</v>
      </c>
      <c r="H429" s="11" t="str">
        <f>IFERROR(VLOOKUP(C429,STUDENTS!A:M,13,FALSE),"")</f>
        <v>Completed (no continuation)</v>
      </c>
      <c r="I429" s="11" t="str">
        <f>IF(D429="","",IF(AND(VLOOKUP(C429,STUDENTS!$A:$R,17,FALSE)=A429,VLOOKUP(C429,STUDENTS!$A:$R,18,FALSE)=B429,G429="Active"),"Đang học",IF(F429&gt;=0.8,IF(G429="Active","Tiếp tục khóa sau",IF(G429="Waiting for class","Chờ lớp mới",IF(G429="Inactive",IF(IFERROR(H429,"")="Discontinued mid-course","Nghỉ giữa chừng","Hoàn thành rồi nghỉ luôn"),""))),IF(G429="Inactive","Nghỉ giữa chừng","Đang học"))))</f>
        <v>Hoàn thành rồi nghỉ luôn</v>
      </c>
    </row>
    <row r="430">
      <c r="A430" s="11" t="str">
        <f>IFERROR(__xludf.DUMMYFUNCTION("""COMPUTED_VALUE"""),"EL038")</f>
        <v>EL038</v>
      </c>
      <c r="B430" s="11" t="str">
        <f>IFERROR(__xludf.DUMMYFUNCTION("""COMPUTED_VALUE"""),"Communication 1")</f>
        <v>Communication 1</v>
      </c>
      <c r="C430" s="11" t="str">
        <f>IFERROR(__xludf.DUMMYFUNCTION("""COMPUTED_VALUE"""),"247313")</f>
        <v>247313</v>
      </c>
      <c r="D430" s="11">
        <f>IFERROR(__xludf.DUMMYFUNCTION("""COMPUTED_VALUE"""),10.0)</f>
        <v>10</v>
      </c>
      <c r="E430" s="11">
        <f>IFERROR(VLOOKUP(B430,COURSE_PLAN!A:B,2,FALSE),"")</f>
        <v>10</v>
      </c>
      <c r="F430" s="11">
        <f t="shared" si="1"/>
        <v>1</v>
      </c>
      <c r="G430" s="11" t="str">
        <f>IFERROR(VLOOKUP(C430,STUDENTS!A:E,5,FALSE),"")</f>
        <v>Inactive</v>
      </c>
      <c r="H430" s="11" t="str">
        <f>IFERROR(VLOOKUP(C430,STUDENTS!A:M,13,FALSE),"")</f>
        <v>Discontinued mid-course</v>
      </c>
      <c r="I430" s="11" t="str">
        <f>IF(D430="","",IF(AND(VLOOKUP(C430,STUDENTS!$A:$R,17,FALSE)=A430,VLOOKUP(C430,STUDENTS!$A:$R,18,FALSE)=B430,G430="Active"),"Đang học",IF(F430&gt;=0.8,IF(G430="Active","Tiếp tục khóa sau",IF(G430="Waiting for class","Chờ lớp mới",IF(G430="Inactive",IF(IFERROR(H430,"")="Discontinued mid-course","Nghỉ giữa chừng","Hoàn thành rồi nghỉ luôn"),""))),IF(G430="Inactive","Nghỉ giữa chừng","Đang học"))))</f>
        <v>Nghỉ giữa chừng</v>
      </c>
    </row>
    <row r="431">
      <c r="A431" s="11" t="str">
        <f>IFERROR(__xludf.DUMMYFUNCTION("""COMPUTED_VALUE"""),"EL038")</f>
        <v>EL038</v>
      </c>
      <c r="B431" s="11" t="str">
        <f>IFERROR(__xludf.DUMMYFUNCTION("""COMPUTED_VALUE"""),"Communication 2")</f>
        <v>Communication 2</v>
      </c>
      <c r="C431" s="11" t="str">
        <f>IFERROR(__xludf.DUMMYFUNCTION("""COMPUTED_VALUE"""),"213870")</f>
        <v>213870</v>
      </c>
      <c r="D431" s="11">
        <f>IFERROR(__xludf.DUMMYFUNCTION("""COMPUTED_VALUE"""),5.0)</f>
        <v>5</v>
      </c>
      <c r="E431" s="11">
        <f>IFERROR(VLOOKUP(B431,COURSE_PLAN!A:B,2,FALSE),"")</f>
        <v>16</v>
      </c>
      <c r="F431" s="11">
        <f t="shared" si="1"/>
        <v>0.3125</v>
      </c>
      <c r="G431" s="11" t="str">
        <f>IFERROR(VLOOKUP(C431,STUDENTS!A:E,5,FALSE),"")</f>
        <v>Inactive</v>
      </c>
      <c r="H431" s="11" t="str">
        <f>IFERROR(VLOOKUP(C431,STUDENTS!A:M,13,FALSE),"")</f>
        <v>Completed (no continuation)</v>
      </c>
      <c r="I431" s="11" t="str">
        <f>IF(D431="","",IF(AND(VLOOKUP(C431,STUDENTS!$A:$R,17,FALSE)=A431,VLOOKUP(C431,STUDENTS!$A:$R,18,FALSE)=B431,G431="Active"),"Đang học",IF(F431&gt;=0.8,IF(G431="Active","Tiếp tục khóa sau",IF(G431="Waiting for class","Chờ lớp mới",IF(G431="Inactive",IF(IFERROR(H431,"")="Discontinued mid-course","Nghỉ giữa chừng","Hoàn thành rồi nghỉ luôn"),""))),IF(G431="Inactive","Nghỉ giữa chừng","Đang học"))))</f>
        <v>Nghỉ giữa chừng</v>
      </c>
    </row>
    <row r="432">
      <c r="A432" s="11" t="str">
        <f>IFERROR(__xludf.DUMMYFUNCTION("""COMPUTED_VALUE"""),"EL038")</f>
        <v>EL038</v>
      </c>
      <c r="B432" s="11" t="str">
        <f>IFERROR(__xludf.DUMMYFUNCTION("""COMPUTED_VALUE"""),"Communication 2")</f>
        <v>Communication 2</v>
      </c>
      <c r="C432" s="11" t="str">
        <f>IFERROR(__xludf.DUMMYFUNCTION("""COMPUTED_VALUE"""),"237110")</f>
        <v>237110</v>
      </c>
      <c r="D432" s="11">
        <f>IFERROR(__xludf.DUMMYFUNCTION("""COMPUTED_VALUE"""),5.0)</f>
        <v>5</v>
      </c>
      <c r="E432" s="11">
        <f>IFERROR(VLOOKUP(B432,COURSE_PLAN!A:B,2,FALSE),"")</f>
        <v>16</v>
      </c>
      <c r="F432" s="11">
        <f t="shared" si="1"/>
        <v>0.3125</v>
      </c>
      <c r="G432" s="11" t="str">
        <f>IFERROR(VLOOKUP(C432,STUDENTS!A:E,5,FALSE),"")</f>
        <v>Inactive</v>
      </c>
      <c r="H432" s="11" t="str">
        <f>IFERROR(VLOOKUP(C432,STUDENTS!A:M,13,FALSE),"")</f>
        <v>Completed (no continuation)</v>
      </c>
      <c r="I432" s="11" t="str">
        <f>IF(D432="","",IF(AND(VLOOKUP(C432,STUDENTS!$A:$R,17,FALSE)=A432,VLOOKUP(C432,STUDENTS!$A:$R,18,FALSE)=B432,G432="Active"),"Đang học",IF(F432&gt;=0.8,IF(G432="Active","Tiếp tục khóa sau",IF(G432="Waiting for class","Chờ lớp mới",IF(G432="Inactive",IF(IFERROR(H432,"")="Discontinued mid-course","Nghỉ giữa chừng","Hoàn thành rồi nghỉ luôn"),""))),IF(G432="Inactive","Nghỉ giữa chừng","Đang học"))))</f>
        <v>Nghỉ giữa chừng</v>
      </c>
    </row>
    <row r="433">
      <c r="A433" s="11" t="str">
        <f>IFERROR(__xludf.DUMMYFUNCTION("""COMPUTED_VALUE"""),"EL038")</f>
        <v>EL038</v>
      </c>
      <c r="B433" s="11" t="str">
        <f>IFERROR(__xludf.DUMMYFUNCTION("""COMPUTED_VALUE"""),"Communication 2")</f>
        <v>Communication 2</v>
      </c>
      <c r="C433" s="11" t="str">
        <f>IFERROR(__xludf.DUMMYFUNCTION("""COMPUTED_VALUE"""),"237160")</f>
        <v>237160</v>
      </c>
      <c r="D433" s="11">
        <f>IFERROR(__xludf.DUMMYFUNCTION("""COMPUTED_VALUE"""),5.0)</f>
        <v>5</v>
      </c>
      <c r="E433" s="11">
        <f>IFERROR(VLOOKUP(B433,COURSE_PLAN!A:B,2,FALSE),"")</f>
        <v>16</v>
      </c>
      <c r="F433" s="11">
        <f t="shared" si="1"/>
        <v>0.3125</v>
      </c>
      <c r="G433" s="11" t="str">
        <f>IFERROR(VLOOKUP(C433,STUDENTS!A:E,5,FALSE),"")</f>
        <v>Inactive</v>
      </c>
      <c r="H433" s="11" t="str">
        <f>IFERROR(VLOOKUP(C433,STUDENTS!A:M,13,FALSE),"")</f>
        <v>Completed (no continuation)</v>
      </c>
      <c r="I433" s="11" t="str">
        <f>IF(D433="","",IF(AND(VLOOKUP(C433,STUDENTS!$A:$R,17,FALSE)=A433,VLOOKUP(C433,STUDENTS!$A:$R,18,FALSE)=B433,G433="Active"),"Đang học",IF(F433&gt;=0.8,IF(G433="Active","Tiếp tục khóa sau",IF(G433="Waiting for class","Chờ lớp mới",IF(G433="Inactive",IF(IFERROR(H433,"")="Discontinued mid-course","Nghỉ giữa chừng","Hoàn thành rồi nghỉ luôn"),""))),IF(G433="Inactive","Nghỉ giữa chừng","Đang học"))))</f>
        <v>Nghỉ giữa chừng</v>
      </c>
    </row>
    <row r="434">
      <c r="A434" s="11" t="str">
        <f>IFERROR(__xludf.DUMMYFUNCTION("""COMPUTED_VALUE"""),"EL038")</f>
        <v>EL038</v>
      </c>
      <c r="B434" s="11" t="str">
        <f>IFERROR(__xludf.DUMMYFUNCTION("""COMPUTED_VALUE"""),"Communication 2")</f>
        <v>Communication 2</v>
      </c>
      <c r="C434" s="11" t="str">
        <f>IFERROR(__xludf.DUMMYFUNCTION("""COMPUTED_VALUE"""),"247313")</f>
        <v>247313</v>
      </c>
      <c r="D434" s="11">
        <f>IFERROR(__xludf.DUMMYFUNCTION("""COMPUTED_VALUE"""),5.0)</f>
        <v>5</v>
      </c>
      <c r="E434" s="11">
        <f>IFERROR(VLOOKUP(B434,COURSE_PLAN!A:B,2,FALSE),"")</f>
        <v>16</v>
      </c>
      <c r="F434" s="11">
        <f t="shared" si="1"/>
        <v>0.3125</v>
      </c>
      <c r="G434" s="11" t="str">
        <f>IFERROR(VLOOKUP(C434,STUDENTS!A:E,5,FALSE),"")</f>
        <v>Inactive</v>
      </c>
      <c r="H434" s="11" t="str">
        <f>IFERROR(VLOOKUP(C434,STUDENTS!A:M,13,FALSE),"")</f>
        <v>Discontinued mid-course</v>
      </c>
      <c r="I434" s="11" t="str">
        <f>IF(D434="","",IF(AND(VLOOKUP(C434,STUDENTS!$A:$R,17,FALSE)=A434,VLOOKUP(C434,STUDENTS!$A:$R,18,FALSE)=B434,G434="Active"),"Đang học",IF(F434&gt;=0.8,IF(G434="Active","Tiếp tục khóa sau",IF(G434="Waiting for class","Chờ lớp mới",IF(G434="Inactive",IF(IFERROR(H434,"")="Discontinued mid-course","Nghỉ giữa chừng","Hoàn thành rồi nghỉ luôn"),""))),IF(G434="Inactive","Nghỉ giữa chừng","Đang học"))))</f>
        <v>Nghỉ giữa chừng</v>
      </c>
    </row>
    <row r="435">
      <c r="A435" s="11" t="str">
        <f>IFERROR(__xludf.DUMMYFUNCTION("""COMPUTED_VALUE"""),"EL039")</f>
        <v>EL039</v>
      </c>
      <c r="B435" s="11" t="str">
        <f>IFERROR(__xludf.DUMMYFUNCTION("""COMPUTED_VALUE"""),"Communication 1")</f>
        <v>Communication 1</v>
      </c>
      <c r="C435" s="11" t="str">
        <f>IFERROR(__xludf.DUMMYFUNCTION("""COMPUTED_VALUE"""),"183423")</f>
        <v>183423</v>
      </c>
      <c r="D435" s="11">
        <f>IFERROR(__xludf.DUMMYFUNCTION("""COMPUTED_VALUE"""),6.0)</f>
        <v>6</v>
      </c>
      <c r="E435" s="11">
        <f>IFERROR(VLOOKUP(B435,COURSE_PLAN!A:B,2,FALSE),"")</f>
        <v>10</v>
      </c>
      <c r="F435" s="11">
        <f t="shared" si="1"/>
        <v>0.6</v>
      </c>
      <c r="G435" s="11" t="str">
        <f>IFERROR(VLOOKUP(C435,STUDENTS!A:E,5,FALSE),"")</f>
        <v>Inactive</v>
      </c>
      <c r="H435" s="11" t="str">
        <f>IFERROR(VLOOKUP(C435,STUDENTS!A:M,13,FALSE),"")</f>
        <v>Discontinued mid-course</v>
      </c>
      <c r="I435" s="11" t="str">
        <f>IF(D435="","",IF(AND(VLOOKUP(C435,STUDENTS!$A:$R,17,FALSE)=A435,VLOOKUP(C435,STUDENTS!$A:$R,18,FALSE)=B435,G435="Active"),"Đang học",IF(F435&gt;=0.8,IF(G435="Active","Tiếp tục khóa sau",IF(G435="Waiting for class","Chờ lớp mới",IF(G435="Inactive",IF(IFERROR(H435,"")="Discontinued mid-course","Nghỉ giữa chừng","Hoàn thành rồi nghỉ luôn"),""))),IF(G435="Inactive","Nghỉ giữa chừng","Đang học"))))</f>
        <v>Nghỉ giữa chừng</v>
      </c>
    </row>
    <row r="436">
      <c r="A436" s="11" t="str">
        <f>IFERROR(__xludf.DUMMYFUNCTION("""COMPUTED_VALUE"""),"EL039")</f>
        <v>EL039</v>
      </c>
      <c r="B436" s="11" t="str">
        <f>IFERROR(__xludf.DUMMYFUNCTION("""COMPUTED_VALUE"""),"Communication 1")</f>
        <v>Communication 1</v>
      </c>
      <c r="C436" s="11" t="str">
        <f>IFERROR(__xludf.DUMMYFUNCTION("""COMPUTED_VALUE"""),"213946")</f>
        <v>213946</v>
      </c>
      <c r="D436" s="11">
        <f>IFERROR(__xludf.DUMMYFUNCTION("""COMPUTED_VALUE"""),6.0)</f>
        <v>6</v>
      </c>
      <c r="E436" s="11">
        <f>IFERROR(VLOOKUP(B436,COURSE_PLAN!A:B,2,FALSE),"")</f>
        <v>10</v>
      </c>
      <c r="F436" s="11">
        <f t="shared" si="1"/>
        <v>0.6</v>
      </c>
      <c r="G436" s="11" t="str">
        <f>IFERROR(VLOOKUP(C436,STUDENTS!A:E,5,FALSE),"")</f>
        <v>Inactive</v>
      </c>
      <c r="H436" s="11" t="str">
        <f>IFERROR(VLOOKUP(C436,STUDENTS!A:M,13,FALSE),"")</f>
        <v>Completed (no continuation)</v>
      </c>
      <c r="I436" s="11" t="str">
        <f>IF(D436="","",IF(AND(VLOOKUP(C436,STUDENTS!$A:$R,17,FALSE)=A436,VLOOKUP(C436,STUDENTS!$A:$R,18,FALSE)=B436,G436="Active"),"Đang học",IF(F436&gt;=0.8,IF(G436="Active","Tiếp tục khóa sau",IF(G436="Waiting for class","Chờ lớp mới",IF(G436="Inactive",IF(IFERROR(H436,"")="Discontinued mid-course","Nghỉ giữa chừng","Hoàn thành rồi nghỉ luôn"),""))),IF(G436="Inactive","Nghỉ giữa chừng","Đang học"))))</f>
        <v>Nghỉ giữa chừng</v>
      </c>
    </row>
    <row r="437">
      <c r="A437" s="11" t="str">
        <f>IFERROR(__xludf.DUMMYFUNCTION("""COMPUTED_VALUE"""),"EL039")</f>
        <v>EL039</v>
      </c>
      <c r="B437" s="11" t="str">
        <f>IFERROR(__xludf.DUMMYFUNCTION("""COMPUTED_VALUE"""),"Communication 1")</f>
        <v>Communication 1</v>
      </c>
      <c r="C437" s="11" t="str">
        <f>IFERROR(__xludf.DUMMYFUNCTION("""COMPUTED_VALUE"""),"227035")</f>
        <v>227035</v>
      </c>
      <c r="D437" s="11">
        <f>IFERROR(__xludf.DUMMYFUNCTION("""COMPUTED_VALUE"""),6.0)</f>
        <v>6</v>
      </c>
      <c r="E437" s="11">
        <f>IFERROR(VLOOKUP(B437,COURSE_PLAN!A:B,2,FALSE),"")</f>
        <v>10</v>
      </c>
      <c r="F437" s="11">
        <f t="shared" si="1"/>
        <v>0.6</v>
      </c>
      <c r="G437" s="11" t="str">
        <f>IFERROR(VLOOKUP(C437,STUDENTS!A:E,5,FALSE),"")</f>
        <v>Inactive</v>
      </c>
      <c r="H437" s="11" t="str">
        <f>IFERROR(VLOOKUP(C437,STUDENTS!A:M,13,FALSE),"")</f>
        <v>Discontinued mid-course</v>
      </c>
      <c r="I437" s="11" t="str">
        <f>IF(D437="","",IF(AND(VLOOKUP(C437,STUDENTS!$A:$R,17,FALSE)=A437,VLOOKUP(C437,STUDENTS!$A:$R,18,FALSE)=B437,G437="Active"),"Đang học",IF(F437&gt;=0.8,IF(G437="Active","Tiếp tục khóa sau",IF(G437="Waiting for class","Chờ lớp mới",IF(G437="Inactive",IF(IFERROR(H437,"")="Discontinued mid-course","Nghỉ giữa chừng","Hoàn thành rồi nghỉ luôn"),""))),IF(G437="Inactive","Nghỉ giữa chừng","Đang học"))))</f>
        <v>Nghỉ giữa chừng</v>
      </c>
    </row>
    <row r="438">
      <c r="A438" s="11" t="str">
        <f>IFERROR(__xludf.DUMMYFUNCTION("""COMPUTED_VALUE"""),"EL039")</f>
        <v>EL039</v>
      </c>
      <c r="B438" s="11" t="str">
        <f>IFERROR(__xludf.DUMMYFUNCTION("""COMPUTED_VALUE"""),"Communication 1")</f>
        <v>Communication 1</v>
      </c>
      <c r="C438" s="11" t="str">
        <f>IFERROR(__xludf.DUMMYFUNCTION("""COMPUTED_VALUE"""),"227188")</f>
        <v>227188</v>
      </c>
      <c r="D438" s="11">
        <f>IFERROR(__xludf.DUMMYFUNCTION("""COMPUTED_VALUE"""),6.0)</f>
        <v>6</v>
      </c>
      <c r="E438" s="11">
        <f>IFERROR(VLOOKUP(B438,COURSE_PLAN!A:B,2,FALSE),"")</f>
        <v>10</v>
      </c>
      <c r="F438" s="11">
        <f t="shared" si="1"/>
        <v>0.6</v>
      </c>
      <c r="G438" s="11" t="str">
        <f>IFERROR(VLOOKUP(C438,STUDENTS!A:E,5,FALSE),"")</f>
        <v>Inactive</v>
      </c>
      <c r="H438" s="11" t="str">
        <f>IFERROR(VLOOKUP(C438,STUDENTS!A:M,13,FALSE),"")</f>
        <v>Discontinued mid-course</v>
      </c>
      <c r="I438" s="11" t="str">
        <f>IF(D438="","",IF(AND(VLOOKUP(C438,STUDENTS!$A:$R,17,FALSE)=A438,VLOOKUP(C438,STUDENTS!$A:$R,18,FALSE)=B438,G438="Active"),"Đang học",IF(F438&gt;=0.8,IF(G438="Active","Tiếp tục khóa sau",IF(G438="Waiting for class","Chờ lớp mới",IF(G438="Inactive",IF(IFERROR(H438,"")="Discontinued mid-course","Nghỉ giữa chừng","Hoàn thành rồi nghỉ luôn"),""))),IF(G438="Inactive","Nghỉ giữa chừng","Đang học"))))</f>
        <v>Nghỉ giữa chừng</v>
      </c>
    </row>
    <row r="439">
      <c r="A439" s="11" t="str">
        <f>IFERROR(__xludf.DUMMYFUNCTION("""COMPUTED_VALUE"""),"EL039")</f>
        <v>EL039</v>
      </c>
      <c r="B439" s="11" t="str">
        <f>IFERROR(__xludf.DUMMYFUNCTION("""COMPUTED_VALUE"""),"Communication 1")</f>
        <v>Communication 1</v>
      </c>
      <c r="C439" s="11" t="str">
        <f>IFERROR(__xludf.DUMMYFUNCTION("""COMPUTED_VALUE"""),"237061")</f>
        <v>237061</v>
      </c>
      <c r="D439" s="11">
        <f>IFERROR(__xludf.DUMMYFUNCTION("""COMPUTED_VALUE"""),6.0)</f>
        <v>6</v>
      </c>
      <c r="E439" s="11">
        <f>IFERROR(VLOOKUP(B439,COURSE_PLAN!A:B,2,FALSE),"")</f>
        <v>10</v>
      </c>
      <c r="F439" s="11">
        <f t="shared" si="1"/>
        <v>0.6</v>
      </c>
      <c r="G439" s="11" t="str">
        <f>IFERROR(VLOOKUP(C439,STUDENTS!A:E,5,FALSE),"")</f>
        <v>Inactive</v>
      </c>
      <c r="H439" s="11" t="str">
        <f>IFERROR(VLOOKUP(C439,STUDENTS!A:M,13,FALSE),"")</f>
        <v>Discontinued mid-course</v>
      </c>
      <c r="I439" s="11" t="str">
        <f>IF(D439="","",IF(AND(VLOOKUP(C439,STUDENTS!$A:$R,17,FALSE)=A439,VLOOKUP(C439,STUDENTS!$A:$R,18,FALSE)=B439,G439="Active"),"Đang học",IF(F439&gt;=0.8,IF(G439="Active","Tiếp tục khóa sau",IF(G439="Waiting for class","Chờ lớp mới",IF(G439="Inactive",IF(IFERROR(H439,"")="Discontinued mid-course","Nghỉ giữa chừng","Hoàn thành rồi nghỉ luôn"),""))),IF(G439="Inactive","Nghỉ giữa chừng","Đang học"))))</f>
        <v>Nghỉ giữa chừng</v>
      </c>
    </row>
    <row r="440">
      <c r="A440" s="11" t="str">
        <f>IFERROR(__xludf.DUMMYFUNCTION("""COMPUTED_VALUE"""),"EL039")</f>
        <v>EL039</v>
      </c>
      <c r="B440" s="11" t="str">
        <f>IFERROR(__xludf.DUMMYFUNCTION("""COMPUTED_VALUE"""),"Communication 1")</f>
        <v>Communication 1</v>
      </c>
      <c r="C440" s="11" t="str">
        <f>IFERROR(__xludf.DUMMYFUNCTION("""COMPUTED_VALUE"""),"237245")</f>
        <v>237245</v>
      </c>
      <c r="D440" s="11">
        <f>IFERROR(__xludf.DUMMYFUNCTION("""COMPUTED_VALUE"""),6.0)</f>
        <v>6</v>
      </c>
      <c r="E440" s="11">
        <f>IFERROR(VLOOKUP(B440,COURSE_PLAN!A:B,2,FALSE),"")</f>
        <v>10</v>
      </c>
      <c r="F440" s="11">
        <f t="shared" si="1"/>
        <v>0.6</v>
      </c>
      <c r="G440" s="11" t="str">
        <f>IFERROR(VLOOKUP(C440,STUDENTS!A:E,5,FALSE),"")</f>
        <v>Inactive</v>
      </c>
      <c r="H440" s="11" t="str">
        <f>IFERROR(VLOOKUP(C440,STUDENTS!A:M,13,FALSE),"")</f>
        <v>Discontinued mid-course</v>
      </c>
      <c r="I440" s="11" t="str">
        <f>IF(D440="","",IF(AND(VLOOKUP(C440,STUDENTS!$A:$R,17,FALSE)=A440,VLOOKUP(C440,STUDENTS!$A:$R,18,FALSE)=B440,G440="Active"),"Đang học",IF(F440&gt;=0.8,IF(G440="Active","Tiếp tục khóa sau",IF(G440="Waiting for class","Chờ lớp mới",IF(G440="Inactive",IF(IFERROR(H440,"")="Discontinued mid-course","Nghỉ giữa chừng","Hoàn thành rồi nghỉ luôn"),""))),IF(G440="Inactive","Nghỉ giữa chừng","Đang học"))))</f>
        <v>Nghỉ giữa chừng</v>
      </c>
    </row>
    <row r="441">
      <c r="A441" s="11" t="str">
        <f>IFERROR(__xludf.DUMMYFUNCTION("""COMPUTED_VALUE"""),"EL039")</f>
        <v>EL039</v>
      </c>
      <c r="B441" s="11" t="str">
        <f>IFERROR(__xludf.DUMMYFUNCTION("""COMPUTED_VALUE"""),"Communication 1")</f>
        <v>Communication 1</v>
      </c>
      <c r="C441" s="11" t="str">
        <f>IFERROR(__xludf.DUMMYFUNCTION("""COMPUTED_VALUE"""),"247265")</f>
        <v>247265</v>
      </c>
      <c r="D441" s="11">
        <f>IFERROR(__xludf.DUMMYFUNCTION("""COMPUTED_VALUE"""),5.0)</f>
        <v>5</v>
      </c>
      <c r="E441" s="11">
        <f>IFERROR(VLOOKUP(B441,COURSE_PLAN!A:B,2,FALSE),"")</f>
        <v>10</v>
      </c>
      <c r="F441" s="11">
        <f t="shared" si="1"/>
        <v>0.5</v>
      </c>
      <c r="G441" s="11" t="str">
        <f>IFERROR(VLOOKUP(C441,STUDENTS!A:E,5,FALSE),"")</f>
        <v>Inactive</v>
      </c>
      <c r="H441" s="11" t="str">
        <f>IFERROR(VLOOKUP(C441,STUDENTS!A:M,13,FALSE),"")</f>
        <v>Completed (no continuation)</v>
      </c>
      <c r="I441" s="11" t="str">
        <f>IF(D441="","",IF(AND(VLOOKUP(C441,STUDENTS!$A:$R,17,FALSE)=A441,VLOOKUP(C441,STUDENTS!$A:$R,18,FALSE)=B441,G441="Active"),"Đang học",IF(F441&gt;=0.8,IF(G441="Active","Tiếp tục khóa sau",IF(G441="Waiting for class","Chờ lớp mới",IF(G441="Inactive",IF(IFERROR(H441,"")="Discontinued mid-course","Nghỉ giữa chừng","Hoàn thành rồi nghỉ luôn"),""))),IF(G441="Inactive","Nghỉ giữa chừng","Đang học"))))</f>
        <v>Nghỉ giữa chừng</v>
      </c>
    </row>
    <row r="442">
      <c r="A442" s="11" t="str">
        <f>IFERROR(__xludf.DUMMYFUNCTION("""COMPUTED_VALUE"""),"EL039")</f>
        <v>EL039</v>
      </c>
      <c r="B442" s="11" t="str">
        <f>IFERROR(__xludf.DUMMYFUNCTION("""COMPUTED_VALUE"""),"Communication 1")</f>
        <v>Communication 1</v>
      </c>
      <c r="C442" s="11" t="str">
        <f>IFERROR(__xludf.DUMMYFUNCTION("""COMPUTED_VALUE"""),"247415")</f>
        <v>247415</v>
      </c>
      <c r="D442" s="11">
        <f>IFERROR(__xludf.DUMMYFUNCTION("""COMPUTED_VALUE"""),5.0)</f>
        <v>5</v>
      </c>
      <c r="E442" s="11">
        <f>IFERROR(VLOOKUP(B442,COURSE_PLAN!A:B,2,FALSE),"")</f>
        <v>10</v>
      </c>
      <c r="F442" s="11">
        <f t="shared" si="1"/>
        <v>0.5</v>
      </c>
      <c r="G442" s="11" t="str">
        <f>IFERROR(VLOOKUP(C442,STUDENTS!A:E,5,FALSE),"")</f>
        <v>Inactive</v>
      </c>
      <c r="H442" s="11" t="str">
        <f>IFERROR(VLOOKUP(C442,STUDENTS!A:M,13,FALSE),"")</f>
        <v>Completed (no continuation)</v>
      </c>
      <c r="I442" s="11" t="str">
        <f>IF(D442="","",IF(AND(VLOOKUP(C442,STUDENTS!$A:$R,17,FALSE)=A442,VLOOKUP(C442,STUDENTS!$A:$R,18,FALSE)=B442,G442="Active"),"Đang học",IF(F442&gt;=0.8,IF(G442="Active","Tiếp tục khóa sau",IF(G442="Waiting for class","Chờ lớp mới",IF(G442="Inactive",IF(IFERROR(H442,"")="Discontinued mid-course","Nghỉ giữa chừng","Hoàn thành rồi nghỉ luôn"),""))),IF(G442="Inactive","Nghỉ giữa chừng","Đang học"))))</f>
        <v>Nghỉ giữa chừng</v>
      </c>
    </row>
    <row r="443">
      <c r="A443" s="11" t="str">
        <f>IFERROR(__xludf.DUMMYFUNCTION("""COMPUTED_VALUE"""),"EL040")</f>
        <v>EL040</v>
      </c>
      <c r="B443" s="11" t="str">
        <f>IFERROR(__xludf.DUMMYFUNCTION("""COMPUTED_VALUE"""),"Extension of Foundation")</f>
        <v>Extension of Foundation</v>
      </c>
      <c r="C443" s="11" t="str">
        <f>IFERROR(__xludf.DUMMYFUNCTION("""COMPUTED_VALUE"""),"173268")</f>
        <v>173268</v>
      </c>
      <c r="D443" s="11">
        <f>IFERROR(__xludf.DUMMYFUNCTION("""COMPUTED_VALUE"""),6.0)</f>
        <v>6</v>
      </c>
      <c r="E443" s="11">
        <f>IFERROR(VLOOKUP(B443,COURSE_PLAN!A:B,2,FALSE),"")</f>
        <v>16</v>
      </c>
      <c r="F443" s="11">
        <f t="shared" si="1"/>
        <v>0.375</v>
      </c>
      <c r="G443" s="11" t="str">
        <f>IFERROR(VLOOKUP(C443,STUDENTS!A:E,5,FALSE),"")</f>
        <v>Active</v>
      </c>
      <c r="H443" s="11" t="str">
        <f>IFERROR(VLOOKUP(C443,STUDENTS!A:M,13,FALSE),"")</f>
        <v/>
      </c>
      <c r="I443" s="11" t="str">
        <f>IF(D443="","",IF(AND(VLOOKUP(C443,STUDENTS!$A:$R,17,FALSE)=A443,VLOOKUP(C443,STUDENTS!$A:$R,18,FALSE)=B443,G443="Active"),"Đang học",IF(F443&gt;=0.8,IF(G443="Active","Tiếp tục khóa sau",IF(G443="Waiting for class","Chờ lớp mới",IF(G443="Inactive",IF(IFERROR(H443,"")="Discontinued mid-course","Nghỉ giữa chừng","Hoàn thành rồi nghỉ luôn"),""))),IF(G443="Inactive","Nghỉ giữa chừng","Đang học"))))</f>
        <v>Đang học</v>
      </c>
    </row>
    <row r="444">
      <c r="A444" s="11" t="str">
        <f>IFERROR(__xludf.DUMMYFUNCTION("""COMPUTED_VALUE"""),"EL040")</f>
        <v>EL040</v>
      </c>
      <c r="B444" s="11" t="str">
        <f>IFERROR(__xludf.DUMMYFUNCTION("""COMPUTED_VALUE"""),"Extension of Foundation")</f>
        <v>Extension of Foundation</v>
      </c>
      <c r="C444" s="11" t="str">
        <f>IFERROR(__xludf.DUMMYFUNCTION("""COMPUTED_VALUE"""),"193490")</f>
        <v>193490</v>
      </c>
      <c r="D444" s="11">
        <f>IFERROR(__xludf.DUMMYFUNCTION("""COMPUTED_VALUE"""),6.0)</f>
        <v>6</v>
      </c>
      <c r="E444" s="11">
        <f>IFERROR(VLOOKUP(B444,COURSE_PLAN!A:B,2,FALSE),"")</f>
        <v>16</v>
      </c>
      <c r="F444" s="11">
        <f t="shared" si="1"/>
        <v>0.375</v>
      </c>
      <c r="G444" s="11" t="str">
        <f>IFERROR(VLOOKUP(C444,STUDENTS!A:E,5,FALSE),"")</f>
        <v>Active</v>
      </c>
      <c r="H444" s="11" t="str">
        <f>IFERROR(VLOOKUP(C444,STUDENTS!A:M,13,FALSE),"")</f>
        <v/>
      </c>
      <c r="I444" s="11" t="str">
        <f>IF(D444="","",IF(AND(VLOOKUP(C444,STUDENTS!$A:$R,17,FALSE)=A444,VLOOKUP(C444,STUDENTS!$A:$R,18,FALSE)=B444,G444="Active"),"Đang học",IF(F444&gt;=0.8,IF(G444="Active","Tiếp tục khóa sau",IF(G444="Waiting for class","Chờ lớp mới",IF(G444="Inactive",IF(IFERROR(H444,"")="Discontinued mid-course","Nghỉ giữa chừng","Hoàn thành rồi nghỉ luôn"),""))),IF(G444="Inactive","Nghỉ giữa chừng","Đang học"))))</f>
        <v>Đang học</v>
      </c>
    </row>
    <row r="445">
      <c r="A445" s="11" t="str">
        <f>IFERROR(__xludf.DUMMYFUNCTION("""COMPUTED_VALUE"""),"EL040")</f>
        <v>EL040</v>
      </c>
      <c r="B445" s="11" t="str">
        <f>IFERROR(__xludf.DUMMYFUNCTION("""COMPUTED_VALUE"""),"Extension of Foundation")</f>
        <v>Extension of Foundation</v>
      </c>
      <c r="C445" s="11" t="str">
        <f>IFERROR(__xludf.DUMMYFUNCTION("""COMPUTED_VALUE"""),"193496")</f>
        <v>193496</v>
      </c>
      <c r="D445" s="11">
        <f>IFERROR(__xludf.DUMMYFUNCTION("""COMPUTED_VALUE"""),6.0)</f>
        <v>6</v>
      </c>
      <c r="E445" s="11">
        <f>IFERROR(VLOOKUP(B445,COURSE_PLAN!A:B,2,FALSE),"")</f>
        <v>16</v>
      </c>
      <c r="F445" s="11">
        <f t="shared" si="1"/>
        <v>0.375</v>
      </c>
      <c r="G445" s="11" t="str">
        <f>IFERROR(VLOOKUP(C445,STUDENTS!A:E,5,FALSE),"")</f>
        <v>Active</v>
      </c>
      <c r="H445" s="11" t="str">
        <f>IFERROR(VLOOKUP(C445,STUDENTS!A:M,13,FALSE),"")</f>
        <v/>
      </c>
      <c r="I445" s="11" t="str">
        <f>IF(D445="","",IF(AND(VLOOKUP(C445,STUDENTS!$A:$R,17,FALSE)=A445,VLOOKUP(C445,STUDENTS!$A:$R,18,FALSE)=B445,G445="Active"),"Đang học",IF(F445&gt;=0.8,IF(G445="Active","Tiếp tục khóa sau",IF(G445="Waiting for class","Chờ lớp mới",IF(G445="Inactive",IF(IFERROR(H445,"")="Discontinued mid-course","Nghỉ giữa chừng","Hoàn thành rồi nghỉ luôn"),""))),IF(G445="Inactive","Nghỉ giữa chừng","Đang học"))))</f>
        <v>Đang học</v>
      </c>
    </row>
    <row r="446">
      <c r="A446" s="11" t="str">
        <f>IFERROR(__xludf.DUMMYFUNCTION("""COMPUTED_VALUE"""),"EL040")</f>
        <v>EL040</v>
      </c>
      <c r="B446" s="11" t="str">
        <f>IFERROR(__xludf.DUMMYFUNCTION("""COMPUTED_VALUE"""),"Foundation")</f>
        <v>Foundation</v>
      </c>
      <c r="C446" s="11" t="str">
        <f>IFERROR(__xludf.DUMMYFUNCTION("""COMPUTED_VALUE"""),"173246")</f>
        <v>173246</v>
      </c>
      <c r="D446" s="11">
        <f>IFERROR(__xludf.DUMMYFUNCTION("""COMPUTED_VALUE"""),16.0)</f>
        <v>16</v>
      </c>
      <c r="E446" s="11">
        <f>IFERROR(VLOOKUP(B446,COURSE_PLAN!A:B,2,FALSE),"")</f>
        <v>16</v>
      </c>
      <c r="F446" s="11">
        <f t="shared" si="1"/>
        <v>1</v>
      </c>
      <c r="G446" s="11" t="str">
        <f>IFERROR(VLOOKUP(C446,STUDENTS!A:E,5,FALSE),"")</f>
        <v>Active</v>
      </c>
      <c r="H446" s="11" t="str">
        <f>IFERROR(VLOOKUP(C446,STUDENTS!A:M,13,FALSE),"")</f>
        <v/>
      </c>
      <c r="I446" s="11" t="str">
        <f>IF(D446="","",IF(AND(VLOOKUP(C446,STUDENTS!$A:$R,17,FALSE)=A446,VLOOKUP(C446,STUDENTS!$A:$R,18,FALSE)=B446,G446="Active"),"Đang học",IF(F446&gt;=0.8,IF(G446="Active","Tiếp tục khóa sau",IF(G446="Waiting for class","Chờ lớp mới",IF(G446="Inactive",IF(IFERROR(H446,"")="Discontinued mid-course","Nghỉ giữa chừng","Hoàn thành rồi nghỉ luôn"),""))),IF(G446="Inactive","Nghỉ giữa chừng","Đang học"))))</f>
        <v>Tiếp tục khóa sau</v>
      </c>
    </row>
    <row r="447">
      <c r="A447" s="11" t="str">
        <f>IFERROR(__xludf.DUMMYFUNCTION("""COMPUTED_VALUE"""),"EL040")</f>
        <v>EL040</v>
      </c>
      <c r="B447" s="11" t="str">
        <f>IFERROR(__xludf.DUMMYFUNCTION("""COMPUTED_VALUE"""),"Foundation")</f>
        <v>Foundation</v>
      </c>
      <c r="C447" s="11" t="str">
        <f>IFERROR(__xludf.DUMMYFUNCTION("""COMPUTED_VALUE"""),"173268")</f>
        <v>173268</v>
      </c>
      <c r="D447" s="11">
        <f>IFERROR(__xludf.DUMMYFUNCTION("""COMPUTED_VALUE"""),16.0)</f>
        <v>16</v>
      </c>
      <c r="E447" s="11">
        <f>IFERROR(VLOOKUP(B447,COURSE_PLAN!A:B,2,FALSE),"")</f>
        <v>16</v>
      </c>
      <c r="F447" s="11">
        <f t="shared" si="1"/>
        <v>1</v>
      </c>
      <c r="G447" s="11" t="str">
        <f>IFERROR(VLOOKUP(C447,STUDENTS!A:E,5,FALSE),"")</f>
        <v>Active</v>
      </c>
      <c r="H447" s="11" t="str">
        <f>IFERROR(VLOOKUP(C447,STUDENTS!A:M,13,FALSE),"")</f>
        <v/>
      </c>
      <c r="I447" s="11" t="str">
        <f>IF(D447="","",IF(AND(VLOOKUP(C447,STUDENTS!$A:$R,17,FALSE)=A447,VLOOKUP(C447,STUDENTS!$A:$R,18,FALSE)=B447,G447="Active"),"Đang học",IF(F447&gt;=0.8,IF(G447="Active","Tiếp tục khóa sau",IF(G447="Waiting for class","Chờ lớp mới",IF(G447="Inactive",IF(IFERROR(H447,"")="Discontinued mid-course","Nghỉ giữa chừng","Hoàn thành rồi nghỉ luôn"),""))),IF(G447="Inactive","Nghỉ giữa chừng","Đang học"))))</f>
        <v>Tiếp tục khóa sau</v>
      </c>
    </row>
    <row r="448">
      <c r="A448" s="11" t="str">
        <f>IFERROR(__xludf.DUMMYFUNCTION("""COMPUTED_VALUE"""),"EL040")</f>
        <v>EL040</v>
      </c>
      <c r="B448" s="11" t="str">
        <f>IFERROR(__xludf.DUMMYFUNCTION("""COMPUTED_VALUE"""),"Foundation")</f>
        <v>Foundation</v>
      </c>
      <c r="C448" s="11" t="str">
        <f>IFERROR(__xludf.DUMMYFUNCTION("""COMPUTED_VALUE"""),"183322")</f>
        <v>183322</v>
      </c>
      <c r="D448" s="11">
        <f>IFERROR(__xludf.DUMMYFUNCTION("""COMPUTED_VALUE"""),16.0)</f>
        <v>16</v>
      </c>
      <c r="E448" s="11">
        <f>IFERROR(VLOOKUP(B448,COURSE_PLAN!A:B,2,FALSE),"")</f>
        <v>16</v>
      </c>
      <c r="F448" s="11">
        <f t="shared" si="1"/>
        <v>1</v>
      </c>
      <c r="G448" s="11" t="str">
        <f>IFERROR(VLOOKUP(C448,STUDENTS!A:E,5,FALSE),"")</f>
        <v>Active</v>
      </c>
      <c r="H448" s="11" t="str">
        <f>IFERROR(VLOOKUP(C448,STUDENTS!A:M,13,FALSE),"")</f>
        <v/>
      </c>
      <c r="I448" s="11" t="str">
        <f>IF(D448="","",IF(AND(VLOOKUP(C448,STUDENTS!$A:$R,17,FALSE)=A448,VLOOKUP(C448,STUDENTS!$A:$R,18,FALSE)=B448,G448="Active"),"Đang học",IF(F448&gt;=0.8,IF(G448="Active","Tiếp tục khóa sau",IF(G448="Waiting for class","Chờ lớp mới",IF(G448="Inactive",IF(IFERROR(H448,"")="Discontinued mid-course","Nghỉ giữa chừng","Hoàn thành rồi nghỉ luôn"),""))),IF(G448="Inactive","Nghỉ giữa chừng","Đang học"))))</f>
        <v>Tiếp tục khóa sau</v>
      </c>
    </row>
    <row r="449">
      <c r="A449" s="11" t="str">
        <f>IFERROR(__xludf.DUMMYFUNCTION("""COMPUTED_VALUE"""),"EL040")</f>
        <v>EL040</v>
      </c>
      <c r="B449" s="11" t="str">
        <f>IFERROR(__xludf.DUMMYFUNCTION("""COMPUTED_VALUE"""),"Foundation")</f>
        <v>Foundation</v>
      </c>
      <c r="C449" s="11" t="str">
        <f>IFERROR(__xludf.DUMMYFUNCTION("""COMPUTED_VALUE"""),"193490")</f>
        <v>193490</v>
      </c>
      <c r="D449" s="11">
        <f>IFERROR(__xludf.DUMMYFUNCTION("""COMPUTED_VALUE"""),16.0)</f>
        <v>16</v>
      </c>
      <c r="E449" s="11">
        <f>IFERROR(VLOOKUP(B449,COURSE_PLAN!A:B,2,FALSE),"")</f>
        <v>16</v>
      </c>
      <c r="F449" s="11">
        <f t="shared" si="1"/>
        <v>1</v>
      </c>
      <c r="G449" s="11" t="str">
        <f>IFERROR(VLOOKUP(C449,STUDENTS!A:E,5,FALSE),"")</f>
        <v>Active</v>
      </c>
      <c r="H449" s="11" t="str">
        <f>IFERROR(VLOOKUP(C449,STUDENTS!A:M,13,FALSE),"")</f>
        <v/>
      </c>
      <c r="I449" s="11" t="str">
        <f>IF(D449="","",IF(AND(VLOOKUP(C449,STUDENTS!$A:$R,17,FALSE)=A449,VLOOKUP(C449,STUDENTS!$A:$R,18,FALSE)=B449,G449="Active"),"Đang học",IF(F449&gt;=0.8,IF(G449="Active","Tiếp tục khóa sau",IF(G449="Waiting for class","Chờ lớp mới",IF(G449="Inactive",IF(IFERROR(H449,"")="Discontinued mid-course","Nghỉ giữa chừng","Hoàn thành rồi nghỉ luôn"),""))),IF(G449="Inactive","Nghỉ giữa chừng","Đang học"))))</f>
        <v>Tiếp tục khóa sau</v>
      </c>
    </row>
    <row r="450">
      <c r="A450" s="11" t="str">
        <f>IFERROR(__xludf.DUMMYFUNCTION("""COMPUTED_VALUE"""),"EL040")</f>
        <v>EL040</v>
      </c>
      <c r="B450" s="11" t="str">
        <f>IFERROR(__xludf.DUMMYFUNCTION("""COMPUTED_VALUE"""),"Foundation")</f>
        <v>Foundation</v>
      </c>
      <c r="C450" s="11" t="str">
        <f>IFERROR(__xludf.DUMMYFUNCTION("""COMPUTED_VALUE"""),"193496")</f>
        <v>193496</v>
      </c>
      <c r="D450" s="11">
        <f>IFERROR(__xludf.DUMMYFUNCTION("""COMPUTED_VALUE"""),16.0)</f>
        <v>16</v>
      </c>
      <c r="E450" s="11">
        <f>IFERROR(VLOOKUP(B450,COURSE_PLAN!A:B,2,FALSE),"")</f>
        <v>16</v>
      </c>
      <c r="F450" s="11">
        <f t="shared" si="1"/>
        <v>1</v>
      </c>
      <c r="G450" s="11" t="str">
        <f>IFERROR(VLOOKUP(C450,STUDENTS!A:E,5,FALSE),"")</f>
        <v>Active</v>
      </c>
      <c r="H450" s="11" t="str">
        <f>IFERROR(VLOOKUP(C450,STUDENTS!A:M,13,FALSE),"")</f>
        <v/>
      </c>
      <c r="I450" s="11" t="str">
        <f>IF(D450="","",IF(AND(VLOOKUP(C450,STUDENTS!$A:$R,17,FALSE)=A450,VLOOKUP(C450,STUDENTS!$A:$R,18,FALSE)=B450,G450="Active"),"Đang học",IF(F450&gt;=0.8,IF(G450="Active","Tiếp tục khóa sau",IF(G450="Waiting for class","Chờ lớp mới",IF(G450="Inactive",IF(IFERROR(H450,"")="Discontinued mid-course","Nghỉ giữa chừng","Hoàn thành rồi nghỉ luôn"),""))),IF(G450="Inactive","Nghỉ giữa chừng","Đang học"))))</f>
        <v>Tiếp tục khóa sau</v>
      </c>
    </row>
    <row r="451">
      <c r="A451" s="11" t="str">
        <f>IFERROR(__xludf.DUMMYFUNCTION("""COMPUTED_VALUE"""),"EL040")</f>
        <v>EL040</v>
      </c>
      <c r="B451" s="11" t="str">
        <f>IFERROR(__xludf.DUMMYFUNCTION("""COMPUTED_VALUE"""),"Foundation")</f>
        <v>Foundation</v>
      </c>
      <c r="C451" s="11" t="str">
        <f>IFERROR(__xludf.DUMMYFUNCTION("""COMPUTED_VALUE"""),"217001")</f>
        <v>217001</v>
      </c>
      <c r="D451" s="11">
        <f>IFERROR(__xludf.DUMMYFUNCTION("""COMPUTED_VALUE"""),16.0)</f>
        <v>16</v>
      </c>
      <c r="E451" s="11">
        <f>IFERROR(VLOOKUP(B451,COURSE_PLAN!A:B,2,FALSE),"")</f>
        <v>16</v>
      </c>
      <c r="F451" s="11">
        <f t="shared" si="1"/>
        <v>1</v>
      </c>
      <c r="G451" s="11" t="str">
        <f>IFERROR(VLOOKUP(C451,STUDENTS!A:E,5,FALSE),"")</f>
        <v>Inactive</v>
      </c>
      <c r="H451" s="11" t="str">
        <f>IFERROR(VLOOKUP(C451,STUDENTS!A:M,13,FALSE),"")</f>
        <v>Discontinued mid-course</v>
      </c>
      <c r="I451" s="11" t="str">
        <f>IF(D451="","",IF(AND(VLOOKUP(C451,STUDENTS!$A:$R,17,FALSE)=A451,VLOOKUP(C451,STUDENTS!$A:$R,18,FALSE)=B451,G451="Active"),"Đang học",IF(F451&gt;=0.8,IF(G451="Active","Tiếp tục khóa sau",IF(G451="Waiting for class","Chờ lớp mới",IF(G451="Inactive",IF(IFERROR(H451,"")="Discontinued mid-course","Nghỉ giữa chừng","Hoàn thành rồi nghỉ luôn"),""))),IF(G451="Inactive","Nghỉ giữa chừng","Đang học"))))</f>
        <v>Nghỉ giữa chừng</v>
      </c>
    </row>
    <row r="452">
      <c r="A452" s="11" t="str">
        <f>IFERROR(__xludf.DUMMYFUNCTION("""COMPUTED_VALUE"""),"EL040")</f>
        <v>EL040</v>
      </c>
      <c r="B452" s="11" t="str">
        <f>IFERROR(__xludf.DUMMYFUNCTION("""COMPUTED_VALUE"""),"Foundation")</f>
        <v>Foundation</v>
      </c>
      <c r="C452" s="11" t="str">
        <f>IFERROR(__xludf.DUMMYFUNCTION("""COMPUTED_VALUE"""),"227091")</f>
        <v>227091</v>
      </c>
      <c r="D452" s="11">
        <f>IFERROR(__xludf.DUMMYFUNCTION("""COMPUTED_VALUE"""),16.0)</f>
        <v>16</v>
      </c>
      <c r="E452" s="11">
        <f>IFERROR(VLOOKUP(B452,COURSE_PLAN!A:B,2,FALSE),"")</f>
        <v>16</v>
      </c>
      <c r="F452" s="11">
        <f t="shared" si="1"/>
        <v>1</v>
      </c>
      <c r="G452" s="11" t="str">
        <f>IFERROR(VLOOKUP(C452,STUDENTS!A:E,5,FALSE),"")</f>
        <v>Active</v>
      </c>
      <c r="H452" s="11" t="str">
        <f>IFERROR(VLOOKUP(C452,STUDENTS!A:M,13,FALSE),"")</f>
        <v/>
      </c>
      <c r="I452" s="11" t="str">
        <f>IF(D452="","",IF(AND(VLOOKUP(C452,STUDENTS!$A:$R,17,FALSE)=A452,VLOOKUP(C452,STUDENTS!$A:$R,18,FALSE)=B452,G452="Active"),"Đang học",IF(F452&gt;=0.8,IF(G452="Active","Tiếp tục khóa sau",IF(G452="Waiting for class","Chờ lớp mới",IF(G452="Inactive",IF(IFERROR(H452,"")="Discontinued mid-course","Nghỉ giữa chừng","Hoàn thành rồi nghỉ luôn"),""))),IF(G452="Inactive","Nghỉ giữa chừng","Đang học"))))</f>
        <v>Tiếp tục khóa sau</v>
      </c>
    </row>
    <row r="453">
      <c r="A453" s="11" t="str">
        <f>IFERROR(__xludf.DUMMYFUNCTION("""COMPUTED_VALUE"""),"EL040")</f>
        <v>EL040</v>
      </c>
      <c r="B453" s="11" t="str">
        <f>IFERROR(__xludf.DUMMYFUNCTION("""COMPUTED_VALUE"""),"Foundation")</f>
        <v>Foundation</v>
      </c>
      <c r="C453" s="11" t="str">
        <f>IFERROR(__xludf.DUMMYFUNCTION("""COMPUTED_VALUE"""),"247064")</f>
        <v>247064</v>
      </c>
      <c r="D453" s="11">
        <f>IFERROR(__xludf.DUMMYFUNCTION("""COMPUTED_VALUE"""),16.0)</f>
        <v>16</v>
      </c>
      <c r="E453" s="11">
        <f>IFERROR(VLOOKUP(B453,COURSE_PLAN!A:B,2,FALSE),"")</f>
        <v>16</v>
      </c>
      <c r="F453" s="11">
        <f t="shared" si="1"/>
        <v>1</v>
      </c>
      <c r="G453" s="11" t="str">
        <f>IFERROR(VLOOKUP(C453,STUDENTS!A:E,5,FALSE),"")</f>
        <v>Active</v>
      </c>
      <c r="H453" s="11" t="str">
        <f>IFERROR(VLOOKUP(C453,STUDENTS!A:M,13,FALSE),"")</f>
        <v/>
      </c>
      <c r="I453" s="11" t="str">
        <f>IF(D453="","",IF(AND(VLOOKUP(C453,STUDENTS!$A:$R,17,FALSE)=A453,VLOOKUP(C453,STUDENTS!$A:$R,18,FALSE)=B453,G453="Active"),"Đang học",IF(F453&gt;=0.8,IF(G453="Active","Tiếp tục khóa sau",IF(G453="Waiting for class","Chờ lớp mới",IF(G453="Inactive",IF(IFERROR(H453,"")="Discontinued mid-course","Nghỉ giữa chừng","Hoàn thành rồi nghỉ luôn"),""))),IF(G453="Inactive","Nghỉ giữa chừng","Đang học"))))</f>
        <v>Tiếp tục khóa sau</v>
      </c>
    </row>
    <row r="454">
      <c r="A454" s="11" t="str">
        <f>IFERROR(__xludf.DUMMYFUNCTION("""COMPUTED_VALUE"""),"EL041")</f>
        <v>EL041</v>
      </c>
      <c r="B454" s="11" t="str">
        <f>IFERROR(__xludf.DUMMYFUNCTION("""COMPUTED_VALUE"""),"Communication 1")</f>
        <v>Communication 1</v>
      </c>
      <c r="C454" s="11" t="str">
        <f>IFERROR(__xludf.DUMMYFUNCTION("""COMPUTED_VALUE"""),"133067")</f>
        <v>133067</v>
      </c>
      <c r="D454" s="11">
        <f>IFERROR(__xludf.DUMMYFUNCTION("""COMPUTED_VALUE"""),10.0)</f>
        <v>10</v>
      </c>
      <c r="E454" s="11">
        <f>IFERROR(VLOOKUP(B454,COURSE_PLAN!A:B,2,FALSE),"")</f>
        <v>10</v>
      </c>
      <c r="F454" s="11">
        <f t="shared" si="1"/>
        <v>1</v>
      </c>
      <c r="G454" s="11" t="str">
        <f>IFERROR(VLOOKUP(C454,STUDENTS!A:E,5,FALSE),"")</f>
        <v>Inactive</v>
      </c>
      <c r="H454" s="11" t="str">
        <f>IFERROR(VLOOKUP(C454,STUDENTS!A:M,13,FALSE),"")</f>
        <v>Discontinued mid-course</v>
      </c>
      <c r="I454" s="11" t="str">
        <f>IF(D454="","",IF(AND(VLOOKUP(C454,STUDENTS!$A:$R,17,FALSE)=A454,VLOOKUP(C454,STUDENTS!$A:$R,18,FALSE)=B454,G454="Active"),"Đang học",IF(F454&gt;=0.8,IF(G454="Active","Tiếp tục khóa sau",IF(G454="Waiting for class","Chờ lớp mới",IF(G454="Inactive",IF(IFERROR(H454,"")="Discontinued mid-course","Nghỉ giữa chừng","Hoàn thành rồi nghỉ luôn"),""))),IF(G454="Inactive","Nghỉ giữa chừng","Đang học"))))</f>
        <v>Nghỉ giữa chừng</v>
      </c>
    </row>
    <row r="455">
      <c r="A455" s="11" t="str">
        <f>IFERROR(__xludf.DUMMYFUNCTION("""COMPUTED_VALUE"""),"EL041")</f>
        <v>EL041</v>
      </c>
      <c r="B455" s="11" t="str">
        <f>IFERROR(__xludf.DUMMYFUNCTION("""COMPUTED_VALUE"""),"Communication 1")</f>
        <v>Communication 1</v>
      </c>
      <c r="C455" s="11" t="str">
        <f>IFERROR(__xludf.DUMMYFUNCTION("""COMPUTED_VALUE"""),"173231")</f>
        <v>173231</v>
      </c>
      <c r="D455" s="11">
        <f>IFERROR(__xludf.DUMMYFUNCTION("""COMPUTED_VALUE"""),10.0)</f>
        <v>10</v>
      </c>
      <c r="E455" s="11">
        <f>IFERROR(VLOOKUP(B455,COURSE_PLAN!A:B,2,FALSE),"")</f>
        <v>10</v>
      </c>
      <c r="F455" s="11">
        <f t="shared" si="1"/>
        <v>1</v>
      </c>
      <c r="G455" s="11" t="str">
        <f>IFERROR(VLOOKUP(C455,STUDENTS!A:E,5,FALSE),"")</f>
        <v>Inactive</v>
      </c>
      <c r="H455" s="11" t="str">
        <f>IFERROR(VLOOKUP(C455,STUDENTS!A:M,13,FALSE),"")</f>
        <v>Discontinued mid-course</v>
      </c>
      <c r="I455" s="11" t="str">
        <f>IF(D455="","",IF(AND(VLOOKUP(C455,STUDENTS!$A:$R,17,FALSE)=A455,VLOOKUP(C455,STUDENTS!$A:$R,18,FALSE)=B455,G455="Active"),"Đang học",IF(F455&gt;=0.8,IF(G455="Active","Tiếp tục khóa sau",IF(G455="Waiting for class","Chờ lớp mới",IF(G455="Inactive",IF(IFERROR(H455,"")="Discontinued mid-course","Nghỉ giữa chừng","Hoàn thành rồi nghỉ luôn"),""))),IF(G455="Inactive","Nghỉ giữa chừng","Đang học"))))</f>
        <v>Nghỉ giữa chừng</v>
      </c>
    </row>
    <row r="456">
      <c r="A456" s="11" t="str">
        <f>IFERROR(__xludf.DUMMYFUNCTION("""COMPUTED_VALUE"""),"EL041")</f>
        <v>EL041</v>
      </c>
      <c r="B456" s="11" t="str">
        <f>IFERROR(__xludf.DUMMYFUNCTION("""COMPUTED_VALUE"""),"Communication 1")</f>
        <v>Communication 1</v>
      </c>
      <c r="C456" s="11" t="str">
        <f>IFERROR(__xludf.DUMMYFUNCTION("""COMPUTED_VALUE"""),"193550")</f>
        <v>193550</v>
      </c>
      <c r="D456" s="11">
        <f>IFERROR(__xludf.DUMMYFUNCTION("""COMPUTED_VALUE"""),10.0)</f>
        <v>10</v>
      </c>
      <c r="E456" s="11">
        <f>IFERROR(VLOOKUP(B456,COURSE_PLAN!A:B,2,FALSE),"")</f>
        <v>10</v>
      </c>
      <c r="F456" s="11">
        <f t="shared" si="1"/>
        <v>1</v>
      </c>
      <c r="G456" s="11" t="str">
        <f>IFERROR(VLOOKUP(C456,STUDENTS!A:E,5,FALSE),"")</f>
        <v>Inactive</v>
      </c>
      <c r="H456" s="11" t="str">
        <f>IFERROR(VLOOKUP(C456,STUDENTS!A:M,13,FALSE),"")</f>
        <v>Discontinued mid-course</v>
      </c>
      <c r="I456" s="11" t="str">
        <f>IF(D456="","",IF(AND(VLOOKUP(C456,STUDENTS!$A:$R,17,FALSE)=A456,VLOOKUP(C456,STUDENTS!$A:$R,18,FALSE)=B456,G456="Active"),"Đang học",IF(F456&gt;=0.8,IF(G456="Active","Tiếp tục khóa sau",IF(G456="Waiting for class","Chờ lớp mới",IF(G456="Inactive",IF(IFERROR(H456,"")="Discontinued mid-course","Nghỉ giữa chừng","Hoàn thành rồi nghỉ luôn"),""))),IF(G456="Inactive","Nghỉ giữa chừng","Đang học"))))</f>
        <v>Nghỉ giữa chừng</v>
      </c>
    </row>
    <row r="457">
      <c r="A457" s="11" t="str">
        <f>IFERROR(__xludf.DUMMYFUNCTION("""COMPUTED_VALUE"""),"EL041")</f>
        <v>EL041</v>
      </c>
      <c r="B457" s="11" t="str">
        <f>IFERROR(__xludf.DUMMYFUNCTION("""COMPUTED_VALUE"""),"Communication 1")</f>
        <v>Communication 1</v>
      </c>
      <c r="C457" s="11" t="str">
        <f>IFERROR(__xludf.DUMMYFUNCTION("""COMPUTED_VALUE"""),"193607")</f>
        <v>193607</v>
      </c>
      <c r="D457" s="11">
        <f>IFERROR(__xludf.DUMMYFUNCTION("""COMPUTED_VALUE"""),10.0)</f>
        <v>10</v>
      </c>
      <c r="E457" s="11">
        <f>IFERROR(VLOOKUP(B457,COURSE_PLAN!A:B,2,FALSE),"")</f>
        <v>10</v>
      </c>
      <c r="F457" s="11">
        <f t="shared" si="1"/>
        <v>1</v>
      </c>
      <c r="G457" s="11" t="str">
        <f>IFERROR(VLOOKUP(C457,STUDENTS!A:E,5,FALSE),"")</f>
        <v>Inactive</v>
      </c>
      <c r="H457" s="11" t="str">
        <f>IFERROR(VLOOKUP(C457,STUDENTS!A:M,13,FALSE),"")</f>
        <v>Discontinued mid-course</v>
      </c>
      <c r="I457" s="11" t="str">
        <f>IF(D457="","",IF(AND(VLOOKUP(C457,STUDENTS!$A:$R,17,FALSE)=A457,VLOOKUP(C457,STUDENTS!$A:$R,18,FALSE)=B457,G457="Active"),"Đang học",IF(F457&gt;=0.8,IF(G457="Active","Tiếp tục khóa sau",IF(G457="Waiting for class","Chờ lớp mới",IF(G457="Inactive",IF(IFERROR(H457,"")="Discontinued mid-course","Nghỉ giữa chừng","Hoàn thành rồi nghỉ luôn"),""))),IF(G457="Inactive","Nghỉ giữa chừng","Đang học"))))</f>
        <v>Nghỉ giữa chừng</v>
      </c>
    </row>
    <row r="458">
      <c r="A458" s="11" t="str">
        <f>IFERROR(__xludf.DUMMYFUNCTION("""COMPUTED_VALUE"""),"EL041")</f>
        <v>EL041</v>
      </c>
      <c r="B458" s="11" t="str">
        <f>IFERROR(__xludf.DUMMYFUNCTION("""COMPUTED_VALUE"""),"Communication 1")</f>
        <v>Communication 1</v>
      </c>
      <c r="C458" s="11" t="str">
        <f>IFERROR(__xludf.DUMMYFUNCTION("""COMPUTED_VALUE"""),"203748")</f>
        <v>203748</v>
      </c>
      <c r="D458" s="11">
        <f>IFERROR(__xludf.DUMMYFUNCTION("""COMPUTED_VALUE"""),10.0)</f>
        <v>10</v>
      </c>
      <c r="E458" s="11">
        <f>IFERROR(VLOOKUP(B458,COURSE_PLAN!A:B,2,FALSE),"")</f>
        <v>10</v>
      </c>
      <c r="F458" s="11">
        <f t="shared" si="1"/>
        <v>1</v>
      </c>
      <c r="G458" s="11" t="str">
        <f>IFERROR(VLOOKUP(C458,STUDENTS!A:E,5,FALSE),"")</f>
        <v>Inactive</v>
      </c>
      <c r="H458" s="11" t="str">
        <f>IFERROR(VLOOKUP(C458,STUDENTS!A:M,13,FALSE),"")</f>
        <v>Discontinued mid-course</v>
      </c>
      <c r="I458" s="11" t="str">
        <f>IF(D458="","",IF(AND(VLOOKUP(C458,STUDENTS!$A:$R,17,FALSE)=A458,VLOOKUP(C458,STUDENTS!$A:$R,18,FALSE)=B458,G458="Active"),"Đang học",IF(F458&gt;=0.8,IF(G458="Active","Tiếp tục khóa sau",IF(G458="Waiting for class","Chờ lớp mới",IF(G458="Inactive",IF(IFERROR(H458,"")="Discontinued mid-course","Nghỉ giữa chừng","Hoàn thành rồi nghỉ luôn"),""))),IF(G458="Inactive","Nghỉ giữa chừng","Đang học"))))</f>
        <v>Nghỉ giữa chừng</v>
      </c>
    </row>
    <row r="459">
      <c r="A459" s="11" t="str">
        <f>IFERROR(__xludf.DUMMYFUNCTION("""COMPUTED_VALUE"""),"EL041")</f>
        <v>EL041</v>
      </c>
      <c r="B459" s="11" t="str">
        <f>IFERROR(__xludf.DUMMYFUNCTION("""COMPUTED_VALUE"""),"Communication 1")</f>
        <v>Communication 1</v>
      </c>
      <c r="C459" s="11" t="str">
        <f>IFERROR(__xludf.DUMMYFUNCTION("""COMPUTED_VALUE"""),"213857")</f>
        <v>213857</v>
      </c>
      <c r="D459" s="11">
        <f>IFERROR(__xludf.DUMMYFUNCTION("""COMPUTED_VALUE"""),10.0)</f>
        <v>10</v>
      </c>
      <c r="E459" s="11">
        <f>IFERROR(VLOOKUP(B459,COURSE_PLAN!A:B,2,FALSE),"")</f>
        <v>10</v>
      </c>
      <c r="F459" s="11">
        <f t="shared" si="1"/>
        <v>1</v>
      </c>
      <c r="G459" s="11" t="str">
        <f>IFERROR(VLOOKUP(C459,STUDENTS!A:E,5,FALSE),"")</f>
        <v>Inactive</v>
      </c>
      <c r="H459" s="11" t="str">
        <f>IFERROR(VLOOKUP(C459,STUDENTS!A:M,13,FALSE),"")</f>
        <v>Discontinued mid-course</v>
      </c>
      <c r="I459" s="11" t="str">
        <f>IF(D459="","",IF(AND(VLOOKUP(C459,STUDENTS!$A:$R,17,FALSE)=A459,VLOOKUP(C459,STUDENTS!$A:$R,18,FALSE)=B459,G459="Active"),"Đang học",IF(F459&gt;=0.8,IF(G459="Active","Tiếp tục khóa sau",IF(G459="Waiting for class","Chờ lớp mới",IF(G459="Inactive",IF(IFERROR(H459,"")="Discontinued mid-course","Nghỉ giữa chừng","Hoàn thành rồi nghỉ luôn"),""))),IF(G459="Inactive","Nghỉ giữa chừng","Đang học"))))</f>
        <v>Nghỉ giữa chừng</v>
      </c>
    </row>
    <row r="460">
      <c r="A460" s="11" t="str">
        <f>IFERROR(__xludf.DUMMYFUNCTION("""COMPUTED_VALUE"""),"EL041")</f>
        <v>EL041</v>
      </c>
      <c r="B460" s="11" t="str">
        <f>IFERROR(__xludf.DUMMYFUNCTION("""COMPUTED_VALUE"""),"Communication 1")</f>
        <v>Communication 1</v>
      </c>
      <c r="C460" s="11" t="str">
        <f>IFERROR(__xludf.DUMMYFUNCTION("""COMPUTED_VALUE"""),"227055")</f>
        <v>227055</v>
      </c>
      <c r="D460" s="11">
        <f>IFERROR(__xludf.DUMMYFUNCTION("""COMPUTED_VALUE"""),10.0)</f>
        <v>10</v>
      </c>
      <c r="E460" s="11">
        <f>IFERROR(VLOOKUP(B460,COURSE_PLAN!A:B,2,FALSE),"")</f>
        <v>10</v>
      </c>
      <c r="F460" s="11">
        <f t="shared" si="1"/>
        <v>1</v>
      </c>
      <c r="G460" s="11" t="str">
        <f>IFERROR(VLOOKUP(C460,STUDENTS!A:E,5,FALSE),"")</f>
        <v>Inactive</v>
      </c>
      <c r="H460" s="11" t="str">
        <f>IFERROR(VLOOKUP(C460,STUDENTS!A:M,13,FALSE),"")</f>
        <v>Discontinued mid-course</v>
      </c>
      <c r="I460" s="11" t="str">
        <f>IF(D460="","",IF(AND(VLOOKUP(C460,STUDENTS!$A:$R,17,FALSE)=A460,VLOOKUP(C460,STUDENTS!$A:$R,18,FALSE)=B460,G460="Active"),"Đang học",IF(F460&gt;=0.8,IF(G460="Active","Tiếp tục khóa sau",IF(G460="Waiting for class","Chờ lớp mới",IF(G460="Inactive",IF(IFERROR(H460,"")="Discontinued mid-course","Nghỉ giữa chừng","Hoàn thành rồi nghỉ luôn"),""))),IF(G460="Inactive","Nghỉ giữa chừng","Đang học"))))</f>
        <v>Nghỉ giữa chừng</v>
      </c>
    </row>
    <row r="461">
      <c r="A461" s="11" t="str">
        <f>IFERROR(__xludf.DUMMYFUNCTION("""COMPUTED_VALUE"""),"EL041")</f>
        <v>EL041</v>
      </c>
      <c r="B461" s="11" t="str">
        <f>IFERROR(__xludf.DUMMYFUNCTION("""COMPUTED_VALUE"""),"Communication 1")</f>
        <v>Communication 1</v>
      </c>
      <c r="C461" s="11" t="str">
        <f>IFERROR(__xludf.DUMMYFUNCTION("""COMPUTED_VALUE"""),"257045")</f>
        <v>257045</v>
      </c>
      <c r="D461" s="11">
        <f>IFERROR(__xludf.DUMMYFUNCTION("""COMPUTED_VALUE"""),10.0)</f>
        <v>10</v>
      </c>
      <c r="E461" s="11">
        <f>IFERROR(VLOOKUP(B461,COURSE_PLAN!A:B,2,FALSE),"")</f>
        <v>10</v>
      </c>
      <c r="F461" s="11">
        <f t="shared" si="1"/>
        <v>1</v>
      </c>
      <c r="G461" s="11" t="str">
        <f>IFERROR(VLOOKUP(C461,STUDENTS!A:E,5,FALSE),"")</f>
        <v>Inactive</v>
      </c>
      <c r="H461" s="11" t="str">
        <f>IFERROR(VLOOKUP(C461,STUDENTS!A:M,13,FALSE),"")</f>
        <v>Discontinued mid-course</v>
      </c>
      <c r="I461" s="11" t="str">
        <f>IF(D461="","",IF(AND(VLOOKUP(C461,STUDENTS!$A:$R,17,FALSE)=A461,VLOOKUP(C461,STUDENTS!$A:$R,18,FALSE)=B461,G461="Active"),"Đang học",IF(F461&gt;=0.8,IF(G461="Active","Tiếp tục khóa sau",IF(G461="Waiting for class","Chờ lớp mới",IF(G461="Inactive",IF(IFERROR(H461,"")="Discontinued mid-course","Nghỉ giữa chừng","Hoàn thành rồi nghỉ luôn"),""))),IF(G461="Inactive","Nghỉ giữa chừng","Đang học"))))</f>
        <v>Nghỉ giữa chừng</v>
      </c>
    </row>
    <row r="462">
      <c r="A462" s="11" t="str">
        <f>IFERROR(__xludf.DUMMYFUNCTION("""COMPUTED_VALUE"""),"EL042")</f>
        <v>EL042</v>
      </c>
      <c r="B462" s="11" t="str">
        <f>IFERROR(__xludf.DUMMYFUNCTION("""COMPUTED_VALUE"""),"Communication 1")</f>
        <v>Communication 1</v>
      </c>
      <c r="C462" s="11" t="str">
        <f>IFERROR(__xludf.DUMMYFUNCTION("""COMPUTED_VALUE"""),"227035")</f>
        <v>227035</v>
      </c>
      <c r="D462" s="11">
        <f>IFERROR(__xludf.DUMMYFUNCTION("""COMPUTED_VALUE"""),15.0)</f>
        <v>15</v>
      </c>
      <c r="E462" s="11">
        <f>IFERROR(VLOOKUP(B462,COURSE_PLAN!A:B,2,FALSE),"")</f>
        <v>10</v>
      </c>
      <c r="F462" s="11">
        <f t="shared" si="1"/>
        <v>1.5</v>
      </c>
      <c r="G462" s="11" t="str">
        <f>IFERROR(VLOOKUP(C462,STUDENTS!A:E,5,FALSE),"")</f>
        <v>Inactive</v>
      </c>
      <c r="H462" s="11" t="str">
        <f>IFERROR(VLOOKUP(C462,STUDENTS!A:M,13,FALSE),"")</f>
        <v>Discontinued mid-course</v>
      </c>
      <c r="I462" s="11" t="str">
        <f>IF(D462="","",IF(AND(VLOOKUP(C462,STUDENTS!$A:$R,17,FALSE)=A462,VLOOKUP(C462,STUDENTS!$A:$R,18,FALSE)=B462,G462="Active"),"Đang học",IF(F462&gt;=0.8,IF(G462="Active","Tiếp tục khóa sau",IF(G462="Waiting for class","Chờ lớp mới",IF(G462="Inactive",IF(IFERROR(H462,"")="Discontinued mid-course","Nghỉ giữa chừng","Hoàn thành rồi nghỉ luôn"),""))),IF(G462="Inactive","Nghỉ giữa chừng","Đang học"))))</f>
        <v>Nghỉ giữa chừng</v>
      </c>
    </row>
    <row r="463">
      <c r="A463" s="11" t="str">
        <f>IFERROR(__xludf.DUMMYFUNCTION("""COMPUTED_VALUE"""),"EL042")</f>
        <v>EL042</v>
      </c>
      <c r="B463" s="11" t="str">
        <f>IFERROR(__xludf.DUMMYFUNCTION("""COMPUTED_VALUE"""),"Communication 1")</f>
        <v>Communication 1</v>
      </c>
      <c r="C463" s="11" t="str">
        <f>IFERROR(__xludf.DUMMYFUNCTION("""COMPUTED_VALUE"""),"227218")</f>
        <v>227218</v>
      </c>
      <c r="D463" s="11">
        <f>IFERROR(__xludf.DUMMYFUNCTION("""COMPUTED_VALUE"""),15.0)</f>
        <v>15</v>
      </c>
      <c r="E463" s="11">
        <f>IFERROR(VLOOKUP(B463,COURSE_PLAN!A:B,2,FALSE),"")</f>
        <v>10</v>
      </c>
      <c r="F463" s="11">
        <f t="shared" si="1"/>
        <v>1.5</v>
      </c>
      <c r="G463" s="11" t="str">
        <f>IFERROR(VLOOKUP(C463,STUDENTS!A:E,5,FALSE),"")</f>
        <v>Active</v>
      </c>
      <c r="H463" s="11" t="str">
        <f>IFERROR(VLOOKUP(C463,STUDENTS!A:M,13,FALSE),"")</f>
        <v/>
      </c>
      <c r="I463" s="11" t="str">
        <f>IF(D463="","",IF(AND(VLOOKUP(C463,STUDENTS!$A:$R,17,FALSE)=A463,VLOOKUP(C463,STUDENTS!$A:$R,18,FALSE)=B463,G463="Active"),"Đang học",IF(F463&gt;=0.8,IF(G463="Active","Tiếp tục khóa sau",IF(G463="Waiting for class","Chờ lớp mới",IF(G463="Inactive",IF(IFERROR(H463,"")="Discontinued mid-course","Nghỉ giữa chừng","Hoàn thành rồi nghỉ luôn"),""))),IF(G463="Inactive","Nghỉ giữa chừng","Đang học"))))</f>
        <v>Tiếp tục khóa sau</v>
      </c>
    </row>
    <row r="464">
      <c r="A464" s="11" t="str">
        <f>IFERROR(__xludf.DUMMYFUNCTION("""COMPUTED_VALUE"""),"EL042")</f>
        <v>EL042</v>
      </c>
      <c r="B464" s="11" t="str">
        <f>IFERROR(__xludf.DUMMYFUNCTION("""COMPUTED_VALUE"""),"Communication 1")</f>
        <v>Communication 1</v>
      </c>
      <c r="C464" s="11" t="str">
        <f>IFERROR(__xludf.DUMMYFUNCTION("""COMPUTED_VALUE"""),"247062")</f>
        <v>247062</v>
      </c>
      <c r="D464" s="11">
        <f>IFERROR(__xludf.DUMMYFUNCTION("""COMPUTED_VALUE"""),15.0)</f>
        <v>15</v>
      </c>
      <c r="E464" s="11">
        <f>IFERROR(VLOOKUP(B464,COURSE_PLAN!A:B,2,FALSE),"")</f>
        <v>10</v>
      </c>
      <c r="F464" s="11">
        <f t="shared" si="1"/>
        <v>1.5</v>
      </c>
      <c r="G464" s="11" t="str">
        <f>IFERROR(VLOOKUP(C464,STUDENTS!A:E,5,FALSE),"")</f>
        <v>Active</v>
      </c>
      <c r="H464" s="11" t="str">
        <f>IFERROR(VLOOKUP(C464,STUDENTS!A:M,13,FALSE),"")</f>
        <v/>
      </c>
      <c r="I464" s="11" t="str">
        <f>IF(D464="","",IF(AND(VLOOKUP(C464,STUDENTS!$A:$R,17,FALSE)=A464,VLOOKUP(C464,STUDENTS!$A:$R,18,FALSE)=B464,G464="Active"),"Đang học",IF(F464&gt;=0.8,IF(G464="Active","Tiếp tục khóa sau",IF(G464="Waiting for class","Chờ lớp mới",IF(G464="Inactive",IF(IFERROR(H464,"")="Discontinued mid-course","Nghỉ giữa chừng","Hoàn thành rồi nghỉ luôn"),""))),IF(G464="Inactive","Nghỉ giữa chừng","Đang học"))))</f>
        <v>Tiếp tục khóa sau</v>
      </c>
    </row>
    <row r="465">
      <c r="A465" s="11" t="str">
        <f>IFERROR(__xludf.DUMMYFUNCTION("""COMPUTED_VALUE"""),"EL042")</f>
        <v>EL042</v>
      </c>
      <c r="B465" s="11" t="str">
        <f>IFERROR(__xludf.DUMMYFUNCTION("""COMPUTED_VALUE"""),"Communication 1")</f>
        <v>Communication 1</v>
      </c>
      <c r="C465" s="11" t="str">
        <f>IFERROR(__xludf.DUMMYFUNCTION("""COMPUTED_VALUE"""),"247063")</f>
        <v>247063</v>
      </c>
      <c r="D465" s="11">
        <f>IFERROR(__xludf.DUMMYFUNCTION("""COMPUTED_VALUE"""),15.0)</f>
        <v>15</v>
      </c>
      <c r="E465" s="11">
        <f>IFERROR(VLOOKUP(B465,COURSE_PLAN!A:B,2,FALSE),"")</f>
        <v>10</v>
      </c>
      <c r="F465" s="11">
        <f t="shared" si="1"/>
        <v>1.5</v>
      </c>
      <c r="G465" s="11" t="str">
        <f>IFERROR(VLOOKUP(C465,STUDENTS!A:E,5,FALSE),"")</f>
        <v>Active</v>
      </c>
      <c r="H465" s="11" t="str">
        <f>IFERROR(VLOOKUP(C465,STUDENTS!A:M,13,FALSE),"")</f>
        <v/>
      </c>
      <c r="I465" s="11" t="str">
        <f>IF(D465="","",IF(AND(VLOOKUP(C465,STUDENTS!$A:$R,17,FALSE)=A465,VLOOKUP(C465,STUDENTS!$A:$R,18,FALSE)=B465,G465="Active"),"Đang học",IF(F465&gt;=0.8,IF(G465="Active","Tiếp tục khóa sau",IF(G465="Waiting for class","Chờ lớp mới",IF(G465="Inactive",IF(IFERROR(H465,"")="Discontinued mid-course","Nghỉ giữa chừng","Hoàn thành rồi nghỉ luôn"),""))),IF(G465="Inactive","Nghỉ giữa chừng","Đang học"))))</f>
        <v>Tiếp tục khóa sau</v>
      </c>
    </row>
    <row r="466">
      <c r="A466" s="11" t="str">
        <f>IFERROR(__xludf.DUMMYFUNCTION("""COMPUTED_VALUE"""),"EL042")</f>
        <v>EL042</v>
      </c>
      <c r="B466" s="11" t="str">
        <f>IFERROR(__xludf.DUMMYFUNCTION("""COMPUTED_VALUE"""),"Communication 1")</f>
        <v>Communication 1</v>
      </c>
      <c r="C466" s="11" t="str">
        <f>IFERROR(__xludf.DUMMYFUNCTION("""COMPUTED_VALUE"""),"247102")</f>
        <v>247102</v>
      </c>
      <c r="D466" s="11">
        <f>IFERROR(__xludf.DUMMYFUNCTION("""COMPUTED_VALUE"""),15.0)</f>
        <v>15</v>
      </c>
      <c r="E466" s="11">
        <f>IFERROR(VLOOKUP(B466,COURSE_PLAN!A:B,2,FALSE),"")</f>
        <v>10</v>
      </c>
      <c r="F466" s="11">
        <f t="shared" si="1"/>
        <v>1.5</v>
      </c>
      <c r="G466" s="11" t="str">
        <f>IFERROR(VLOOKUP(C466,STUDENTS!A:E,5,FALSE),"")</f>
        <v>Active</v>
      </c>
      <c r="H466" s="11" t="str">
        <f>IFERROR(VLOOKUP(C466,STUDENTS!A:M,13,FALSE),"")</f>
        <v/>
      </c>
      <c r="I466" s="11" t="str">
        <f>IF(D466="","",IF(AND(VLOOKUP(C466,STUDENTS!$A:$R,17,FALSE)=A466,VLOOKUP(C466,STUDENTS!$A:$R,18,FALSE)=B466,G466="Active"),"Đang học",IF(F466&gt;=0.8,IF(G466="Active","Tiếp tục khóa sau",IF(G466="Waiting for class","Chờ lớp mới",IF(G466="Inactive",IF(IFERROR(H466,"")="Discontinued mid-course","Nghỉ giữa chừng","Hoàn thành rồi nghỉ luôn"),""))),IF(G466="Inactive","Nghỉ giữa chừng","Đang học"))))</f>
        <v>Tiếp tục khóa sau</v>
      </c>
    </row>
    <row r="467">
      <c r="A467" s="11" t="str">
        <f>IFERROR(__xludf.DUMMYFUNCTION("""COMPUTED_VALUE"""),"EL042")</f>
        <v>EL042</v>
      </c>
      <c r="B467" s="11" t="str">
        <f>IFERROR(__xludf.DUMMYFUNCTION("""COMPUTED_VALUE"""),"Communication 1")</f>
        <v>Communication 1</v>
      </c>
      <c r="C467" s="11" t="str">
        <f>IFERROR(__xludf.DUMMYFUNCTION("""COMPUTED_VALUE"""),"247147")</f>
        <v>247147</v>
      </c>
      <c r="D467" s="11">
        <f>IFERROR(__xludf.DUMMYFUNCTION("""COMPUTED_VALUE"""),15.0)</f>
        <v>15</v>
      </c>
      <c r="E467" s="11">
        <f>IFERROR(VLOOKUP(B467,COURSE_PLAN!A:B,2,FALSE),"")</f>
        <v>10</v>
      </c>
      <c r="F467" s="11">
        <f t="shared" si="1"/>
        <v>1.5</v>
      </c>
      <c r="G467" s="11" t="str">
        <f>IFERROR(VLOOKUP(C467,STUDENTS!A:E,5,FALSE),"")</f>
        <v>Active</v>
      </c>
      <c r="H467" s="11" t="str">
        <f>IFERROR(VLOOKUP(C467,STUDENTS!A:M,13,FALSE),"")</f>
        <v/>
      </c>
      <c r="I467" s="11" t="str">
        <f>IF(D467="","",IF(AND(VLOOKUP(C467,STUDENTS!$A:$R,17,FALSE)=A467,VLOOKUP(C467,STUDENTS!$A:$R,18,FALSE)=B467,G467="Active"),"Đang học",IF(F467&gt;=0.8,IF(G467="Active","Tiếp tục khóa sau",IF(G467="Waiting for class","Chờ lớp mới",IF(G467="Inactive",IF(IFERROR(H467,"")="Discontinued mid-course","Nghỉ giữa chừng","Hoàn thành rồi nghỉ luôn"),""))),IF(G467="Inactive","Nghỉ giữa chừng","Đang học"))))</f>
        <v>Tiếp tục khóa sau</v>
      </c>
    </row>
    <row r="468">
      <c r="A468" s="11" t="str">
        <f>IFERROR(__xludf.DUMMYFUNCTION("""COMPUTED_VALUE"""),"EL042")</f>
        <v>EL042</v>
      </c>
      <c r="B468" s="11" t="str">
        <f>IFERROR(__xludf.DUMMYFUNCTION("""COMPUTED_VALUE"""),"Communication 2")</f>
        <v>Communication 2</v>
      </c>
      <c r="C468" s="11" t="str">
        <f>IFERROR(__xludf.DUMMYFUNCTION("""COMPUTED_VALUE"""),"227035")</f>
        <v>227035</v>
      </c>
      <c r="D468" s="11">
        <f>IFERROR(__xludf.DUMMYFUNCTION("""COMPUTED_VALUE"""),8.0)</f>
        <v>8</v>
      </c>
      <c r="E468" s="11">
        <f>IFERROR(VLOOKUP(B468,COURSE_PLAN!A:B,2,FALSE),"")</f>
        <v>16</v>
      </c>
      <c r="F468" s="11">
        <f t="shared" si="1"/>
        <v>0.5</v>
      </c>
      <c r="G468" s="11" t="str">
        <f>IFERROR(VLOOKUP(C468,STUDENTS!A:E,5,FALSE),"")</f>
        <v>Inactive</v>
      </c>
      <c r="H468" s="11" t="str">
        <f>IFERROR(VLOOKUP(C468,STUDENTS!A:M,13,FALSE),"")</f>
        <v>Discontinued mid-course</v>
      </c>
      <c r="I468" s="11" t="str">
        <f>IF(D468="","",IF(AND(VLOOKUP(C468,STUDENTS!$A:$R,17,FALSE)=A468,VLOOKUP(C468,STUDENTS!$A:$R,18,FALSE)=B468,G468="Active"),"Đang học",IF(F468&gt;=0.8,IF(G468="Active","Tiếp tục khóa sau",IF(G468="Waiting for class","Chờ lớp mới",IF(G468="Inactive",IF(IFERROR(H468,"")="Discontinued mid-course","Nghỉ giữa chừng","Hoàn thành rồi nghỉ luôn"),""))),IF(G468="Inactive","Nghỉ giữa chừng","Đang học"))))</f>
        <v>Nghỉ giữa chừng</v>
      </c>
    </row>
    <row r="469">
      <c r="A469" s="11" t="str">
        <f>IFERROR(__xludf.DUMMYFUNCTION("""COMPUTED_VALUE"""),"EL042")</f>
        <v>EL042</v>
      </c>
      <c r="B469" s="11" t="str">
        <f>IFERROR(__xludf.DUMMYFUNCTION("""COMPUTED_VALUE"""),"Communication 2")</f>
        <v>Communication 2</v>
      </c>
      <c r="C469" s="11" t="str">
        <f>IFERROR(__xludf.DUMMYFUNCTION("""COMPUTED_VALUE"""),"227218")</f>
        <v>227218</v>
      </c>
      <c r="D469" s="11">
        <f>IFERROR(__xludf.DUMMYFUNCTION("""COMPUTED_VALUE"""),8.0)</f>
        <v>8</v>
      </c>
      <c r="E469" s="11">
        <f>IFERROR(VLOOKUP(B469,COURSE_PLAN!A:B,2,FALSE),"")</f>
        <v>16</v>
      </c>
      <c r="F469" s="11">
        <f t="shared" si="1"/>
        <v>0.5</v>
      </c>
      <c r="G469" s="11" t="str">
        <f>IFERROR(VLOOKUP(C469,STUDENTS!A:E,5,FALSE),"")</f>
        <v>Active</v>
      </c>
      <c r="H469" s="11" t="str">
        <f>IFERROR(VLOOKUP(C469,STUDENTS!A:M,13,FALSE),"")</f>
        <v/>
      </c>
      <c r="I469" s="11" t="str">
        <f>IF(D469="","",IF(AND(VLOOKUP(C469,STUDENTS!$A:$R,17,FALSE)=A469,VLOOKUP(C469,STUDENTS!$A:$R,18,FALSE)=B469,G469="Active"),"Đang học",IF(F469&gt;=0.8,IF(G469="Active","Tiếp tục khóa sau",IF(G469="Waiting for class","Chờ lớp mới",IF(G469="Inactive",IF(IFERROR(H469,"")="Discontinued mid-course","Nghỉ giữa chừng","Hoàn thành rồi nghỉ luôn"),""))),IF(G469="Inactive","Nghỉ giữa chừng","Đang học"))))</f>
        <v>Đang học</v>
      </c>
    </row>
    <row r="470">
      <c r="A470" s="11" t="str">
        <f>IFERROR(__xludf.DUMMYFUNCTION("""COMPUTED_VALUE"""),"EL042")</f>
        <v>EL042</v>
      </c>
      <c r="B470" s="11" t="str">
        <f>IFERROR(__xludf.DUMMYFUNCTION("""COMPUTED_VALUE"""),"Communication 2")</f>
        <v>Communication 2</v>
      </c>
      <c r="C470" s="11" t="str">
        <f>IFERROR(__xludf.DUMMYFUNCTION("""COMPUTED_VALUE"""),"247062")</f>
        <v>247062</v>
      </c>
      <c r="D470" s="11">
        <f>IFERROR(__xludf.DUMMYFUNCTION("""COMPUTED_VALUE"""),8.0)</f>
        <v>8</v>
      </c>
      <c r="E470" s="11">
        <f>IFERROR(VLOOKUP(B470,COURSE_PLAN!A:B,2,FALSE),"")</f>
        <v>16</v>
      </c>
      <c r="F470" s="11">
        <f t="shared" si="1"/>
        <v>0.5</v>
      </c>
      <c r="G470" s="11" t="str">
        <f>IFERROR(VLOOKUP(C470,STUDENTS!A:E,5,FALSE),"")</f>
        <v>Active</v>
      </c>
      <c r="H470" s="11" t="str">
        <f>IFERROR(VLOOKUP(C470,STUDENTS!A:M,13,FALSE),"")</f>
        <v/>
      </c>
      <c r="I470" s="11" t="str">
        <f>IF(D470="","",IF(AND(VLOOKUP(C470,STUDENTS!$A:$R,17,FALSE)=A470,VLOOKUP(C470,STUDENTS!$A:$R,18,FALSE)=B470,G470="Active"),"Đang học",IF(F470&gt;=0.8,IF(G470="Active","Tiếp tục khóa sau",IF(G470="Waiting for class","Chờ lớp mới",IF(G470="Inactive",IF(IFERROR(H470,"")="Discontinued mid-course","Nghỉ giữa chừng","Hoàn thành rồi nghỉ luôn"),""))),IF(G470="Inactive","Nghỉ giữa chừng","Đang học"))))</f>
        <v>Đang học</v>
      </c>
    </row>
    <row r="471">
      <c r="A471" s="11" t="str">
        <f>IFERROR(__xludf.DUMMYFUNCTION("""COMPUTED_VALUE"""),"EL042")</f>
        <v>EL042</v>
      </c>
      <c r="B471" s="11" t="str">
        <f>IFERROR(__xludf.DUMMYFUNCTION("""COMPUTED_VALUE"""),"Communication 2")</f>
        <v>Communication 2</v>
      </c>
      <c r="C471" s="11" t="str">
        <f>IFERROR(__xludf.DUMMYFUNCTION("""COMPUTED_VALUE"""),"247063")</f>
        <v>247063</v>
      </c>
      <c r="D471" s="11">
        <f>IFERROR(__xludf.DUMMYFUNCTION("""COMPUTED_VALUE"""),8.0)</f>
        <v>8</v>
      </c>
      <c r="E471" s="11">
        <f>IFERROR(VLOOKUP(B471,COURSE_PLAN!A:B,2,FALSE),"")</f>
        <v>16</v>
      </c>
      <c r="F471" s="11">
        <f t="shared" si="1"/>
        <v>0.5</v>
      </c>
      <c r="G471" s="11" t="str">
        <f>IFERROR(VLOOKUP(C471,STUDENTS!A:E,5,FALSE),"")</f>
        <v>Active</v>
      </c>
      <c r="H471" s="11" t="str">
        <f>IFERROR(VLOOKUP(C471,STUDENTS!A:M,13,FALSE),"")</f>
        <v/>
      </c>
      <c r="I471" s="11" t="str">
        <f>IF(D471="","",IF(AND(VLOOKUP(C471,STUDENTS!$A:$R,17,FALSE)=A471,VLOOKUP(C471,STUDENTS!$A:$R,18,FALSE)=B471,G471="Active"),"Đang học",IF(F471&gt;=0.8,IF(G471="Active","Tiếp tục khóa sau",IF(G471="Waiting for class","Chờ lớp mới",IF(G471="Inactive",IF(IFERROR(H471,"")="Discontinued mid-course","Nghỉ giữa chừng","Hoàn thành rồi nghỉ luôn"),""))),IF(G471="Inactive","Nghỉ giữa chừng","Đang học"))))</f>
        <v>Đang học</v>
      </c>
    </row>
    <row r="472">
      <c r="A472" s="11" t="str">
        <f>IFERROR(__xludf.DUMMYFUNCTION("""COMPUTED_VALUE"""),"EL042")</f>
        <v>EL042</v>
      </c>
      <c r="B472" s="11" t="str">
        <f>IFERROR(__xludf.DUMMYFUNCTION("""COMPUTED_VALUE"""),"Communication 2")</f>
        <v>Communication 2</v>
      </c>
      <c r="C472" s="11" t="str">
        <f>IFERROR(__xludf.DUMMYFUNCTION("""COMPUTED_VALUE"""),"247102")</f>
        <v>247102</v>
      </c>
      <c r="D472" s="11">
        <f>IFERROR(__xludf.DUMMYFUNCTION("""COMPUTED_VALUE"""),8.0)</f>
        <v>8</v>
      </c>
      <c r="E472" s="11">
        <f>IFERROR(VLOOKUP(B472,COURSE_PLAN!A:B,2,FALSE),"")</f>
        <v>16</v>
      </c>
      <c r="F472" s="11">
        <f t="shared" si="1"/>
        <v>0.5</v>
      </c>
      <c r="G472" s="11" t="str">
        <f>IFERROR(VLOOKUP(C472,STUDENTS!A:E,5,FALSE),"")</f>
        <v>Active</v>
      </c>
      <c r="H472" s="11" t="str">
        <f>IFERROR(VLOOKUP(C472,STUDENTS!A:M,13,FALSE),"")</f>
        <v/>
      </c>
      <c r="I472" s="11" t="str">
        <f>IF(D472="","",IF(AND(VLOOKUP(C472,STUDENTS!$A:$R,17,FALSE)=A472,VLOOKUP(C472,STUDENTS!$A:$R,18,FALSE)=B472,G472="Active"),"Đang học",IF(F472&gt;=0.8,IF(G472="Active","Tiếp tục khóa sau",IF(G472="Waiting for class","Chờ lớp mới",IF(G472="Inactive",IF(IFERROR(H472,"")="Discontinued mid-course","Nghỉ giữa chừng","Hoàn thành rồi nghỉ luôn"),""))),IF(G472="Inactive","Nghỉ giữa chừng","Đang học"))))</f>
        <v>Đang học</v>
      </c>
    </row>
    <row r="473">
      <c r="A473" s="11" t="str">
        <f>IFERROR(__xludf.DUMMYFUNCTION("""COMPUTED_VALUE"""),"EL042")</f>
        <v>EL042</v>
      </c>
      <c r="B473" s="11" t="str">
        <f>IFERROR(__xludf.DUMMYFUNCTION("""COMPUTED_VALUE"""),"Communication 2")</f>
        <v>Communication 2</v>
      </c>
      <c r="C473" s="11" t="str">
        <f>IFERROR(__xludf.DUMMYFUNCTION("""COMPUTED_VALUE"""),"247147")</f>
        <v>247147</v>
      </c>
      <c r="D473" s="11">
        <f>IFERROR(__xludf.DUMMYFUNCTION("""COMPUTED_VALUE"""),8.0)</f>
        <v>8</v>
      </c>
      <c r="E473" s="11">
        <f>IFERROR(VLOOKUP(B473,COURSE_PLAN!A:B,2,FALSE),"")</f>
        <v>16</v>
      </c>
      <c r="F473" s="11">
        <f t="shared" si="1"/>
        <v>0.5</v>
      </c>
      <c r="G473" s="11" t="str">
        <f>IFERROR(VLOOKUP(C473,STUDENTS!A:E,5,FALSE),"")</f>
        <v>Active</v>
      </c>
      <c r="H473" s="11" t="str">
        <f>IFERROR(VLOOKUP(C473,STUDENTS!A:M,13,FALSE),"")</f>
        <v/>
      </c>
      <c r="I473" s="11" t="str">
        <f>IF(D473="","",IF(AND(VLOOKUP(C473,STUDENTS!$A:$R,17,FALSE)=A473,VLOOKUP(C473,STUDENTS!$A:$R,18,FALSE)=B473,G473="Active"),"Đang học",IF(F473&gt;=0.8,IF(G473="Active","Tiếp tục khóa sau",IF(G473="Waiting for class","Chờ lớp mới",IF(G473="Inactive",IF(IFERROR(H473,"")="Discontinued mid-course","Nghỉ giữa chừng","Hoàn thành rồi nghỉ luôn"),""))),IF(G473="Inactive","Nghỉ giữa chừng","Đang học"))))</f>
        <v>Đang học</v>
      </c>
    </row>
    <row r="474">
      <c r="A474" s="11" t="str">
        <f>IFERROR(__xludf.DUMMYFUNCTION("""COMPUTED_VALUE"""),"EL043")</f>
        <v>EL043</v>
      </c>
      <c r="B474" s="11" t="str">
        <f>IFERROR(__xludf.DUMMYFUNCTION("""COMPUTED_VALUE"""),"Foundation")</f>
        <v>Foundation</v>
      </c>
      <c r="C474" s="11" t="str">
        <f>IFERROR(__xludf.DUMMYFUNCTION("""COMPUTED_VALUE"""),"183330")</f>
        <v>183330</v>
      </c>
      <c r="D474" s="11">
        <f>IFERROR(__xludf.DUMMYFUNCTION("""COMPUTED_VALUE"""),15.0)</f>
        <v>15</v>
      </c>
      <c r="E474" s="11">
        <f>IFERROR(VLOOKUP(B474,COURSE_PLAN!A:B,2,FALSE),"")</f>
        <v>16</v>
      </c>
      <c r="F474" s="11">
        <f t="shared" si="1"/>
        <v>0.9375</v>
      </c>
      <c r="G474" s="11" t="str">
        <f>IFERROR(VLOOKUP(C474,STUDENTS!A:E,5,FALSE),"")</f>
        <v>Active</v>
      </c>
      <c r="H474" s="11" t="str">
        <f>IFERROR(VLOOKUP(C474,STUDENTS!A:M,13,FALSE),"")</f>
        <v/>
      </c>
      <c r="I474" s="11" t="str">
        <f>IF(D474="","",IF(AND(VLOOKUP(C474,STUDENTS!$A:$R,17,FALSE)=A474,VLOOKUP(C474,STUDENTS!$A:$R,18,FALSE)=B474,G474="Active"),"Đang học",IF(F474&gt;=0.8,IF(G474="Active","Tiếp tục khóa sau",IF(G474="Waiting for class","Chờ lớp mới",IF(G474="Inactive",IF(IFERROR(H474,"")="Discontinued mid-course","Nghỉ giữa chừng","Hoàn thành rồi nghỉ luôn"),""))),IF(G474="Inactive","Nghỉ giữa chừng","Đang học"))))</f>
        <v>Tiếp tục khóa sau</v>
      </c>
    </row>
    <row r="475">
      <c r="A475" s="11" t="str">
        <f>IFERROR(__xludf.DUMMYFUNCTION("""COMPUTED_VALUE"""),"EL043")</f>
        <v>EL043</v>
      </c>
      <c r="B475" s="11" t="str">
        <f>IFERROR(__xludf.DUMMYFUNCTION("""COMPUTED_VALUE"""),"Foundation")</f>
        <v>Foundation</v>
      </c>
      <c r="C475" s="11" t="str">
        <f>IFERROR(__xludf.DUMMYFUNCTION("""COMPUTED_VALUE"""),"213844")</f>
        <v>213844</v>
      </c>
      <c r="D475" s="11">
        <f>IFERROR(__xludf.DUMMYFUNCTION("""COMPUTED_VALUE"""),13.0)</f>
        <v>13</v>
      </c>
      <c r="E475" s="11">
        <f>IFERROR(VLOOKUP(B475,COURSE_PLAN!A:B,2,FALSE),"")</f>
        <v>16</v>
      </c>
      <c r="F475" s="11">
        <f t="shared" si="1"/>
        <v>0.8125</v>
      </c>
      <c r="G475" s="11" t="str">
        <f>IFERROR(VLOOKUP(C475,STUDENTS!A:E,5,FALSE),"")</f>
        <v>Active</v>
      </c>
      <c r="H475" s="11" t="str">
        <f>IFERROR(VLOOKUP(C475,STUDENTS!A:M,13,FALSE),"")</f>
        <v/>
      </c>
      <c r="I475" s="11" t="str">
        <f>IF(D475="","",IF(AND(VLOOKUP(C475,STUDENTS!$A:$R,17,FALSE)=A475,VLOOKUP(C475,STUDENTS!$A:$R,18,FALSE)=B475,G475="Active"),"Đang học",IF(F475&gt;=0.8,IF(G475="Active","Tiếp tục khóa sau",IF(G475="Waiting for class","Chờ lớp mới",IF(G475="Inactive",IF(IFERROR(H475,"")="Discontinued mid-course","Nghỉ giữa chừng","Hoàn thành rồi nghỉ luôn"),""))),IF(G475="Inactive","Nghỉ giữa chừng","Đang học"))))</f>
        <v>Tiếp tục khóa sau</v>
      </c>
    </row>
    <row r="476">
      <c r="A476" s="11" t="str">
        <f>IFERROR(__xludf.DUMMYFUNCTION("""COMPUTED_VALUE"""),"EL043")</f>
        <v>EL043</v>
      </c>
      <c r="B476" s="11" t="str">
        <f>IFERROR(__xludf.DUMMYFUNCTION("""COMPUTED_VALUE"""),"Foundation")</f>
        <v>Foundation</v>
      </c>
      <c r="C476" s="11" t="str">
        <f>IFERROR(__xludf.DUMMYFUNCTION("""COMPUTED_VALUE"""),"213881")</f>
        <v>213881</v>
      </c>
      <c r="D476" s="11">
        <f>IFERROR(__xludf.DUMMYFUNCTION("""COMPUTED_VALUE"""),13.0)</f>
        <v>13</v>
      </c>
      <c r="E476" s="11">
        <f>IFERROR(VLOOKUP(B476,COURSE_PLAN!A:B,2,FALSE),"")</f>
        <v>16</v>
      </c>
      <c r="F476" s="11">
        <f t="shared" si="1"/>
        <v>0.8125</v>
      </c>
      <c r="G476" s="11" t="str">
        <f>IFERROR(VLOOKUP(C476,STUDENTS!A:E,5,FALSE),"")</f>
        <v>Inactive</v>
      </c>
      <c r="H476" s="11" t="str">
        <f>IFERROR(VLOOKUP(C476,STUDENTS!A:M,13,FALSE),"")</f>
        <v>Completed (no continuation)</v>
      </c>
      <c r="I476" s="11" t="str">
        <f>IF(D476="","",IF(AND(VLOOKUP(C476,STUDENTS!$A:$R,17,FALSE)=A476,VLOOKUP(C476,STUDENTS!$A:$R,18,FALSE)=B476,G476="Active"),"Đang học",IF(F476&gt;=0.8,IF(G476="Active","Tiếp tục khóa sau",IF(G476="Waiting for class","Chờ lớp mới",IF(G476="Inactive",IF(IFERROR(H476,"")="Discontinued mid-course","Nghỉ giữa chừng","Hoàn thành rồi nghỉ luôn"),""))),IF(G476="Inactive","Nghỉ giữa chừng","Đang học"))))</f>
        <v>Hoàn thành rồi nghỉ luôn</v>
      </c>
    </row>
    <row r="477">
      <c r="A477" s="11" t="str">
        <f>IFERROR(__xludf.DUMMYFUNCTION("""COMPUTED_VALUE"""),"EL043")</f>
        <v>EL043</v>
      </c>
      <c r="B477" s="11" t="str">
        <f>IFERROR(__xludf.DUMMYFUNCTION("""COMPUTED_VALUE"""),"Foundation")</f>
        <v>Foundation</v>
      </c>
      <c r="C477" s="11" t="str">
        <f>IFERROR(__xludf.DUMMYFUNCTION("""COMPUTED_VALUE"""),"213929")</f>
        <v>213929</v>
      </c>
      <c r="D477" s="11">
        <f>IFERROR(__xludf.DUMMYFUNCTION("""COMPUTED_VALUE"""),13.0)</f>
        <v>13</v>
      </c>
      <c r="E477" s="11">
        <f>IFERROR(VLOOKUP(B477,COURSE_PLAN!A:B,2,FALSE),"")</f>
        <v>16</v>
      </c>
      <c r="F477" s="11">
        <f t="shared" si="1"/>
        <v>0.8125</v>
      </c>
      <c r="G477" s="11" t="str">
        <f>IFERROR(VLOOKUP(C477,STUDENTS!A:E,5,FALSE),"")</f>
        <v>Inactive</v>
      </c>
      <c r="H477" s="11" t="str">
        <f>IFERROR(VLOOKUP(C477,STUDENTS!A:M,13,FALSE),"")</f>
        <v>Discontinued mid-course</v>
      </c>
      <c r="I477" s="11" t="str">
        <f>IF(D477="","",IF(AND(VLOOKUP(C477,STUDENTS!$A:$R,17,FALSE)=A477,VLOOKUP(C477,STUDENTS!$A:$R,18,FALSE)=B477,G477="Active"),"Đang học",IF(F477&gt;=0.8,IF(G477="Active","Tiếp tục khóa sau",IF(G477="Waiting for class","Chờ lớp mới",IF(G477="Inactive",IF(IFERROR(H477,"")="Discontinued mid-course","Nghỉ giữa chừng","Hoàn thành rồi nghỉ luôn"),""))),IF(G477="Inactive","Nghỉ giữa chừng","Đang học"))))</f>
        <v>Nghỉ giữa chừng</v>
      </c>
    </row>
    <row r="478">
      <c r="A478" s="11" t="str">
        <f>IFERROR(__xludf.DUMMYFUNCTION("""COMPUTED_VALUE"""),"EL043")</f>
        <v>EL043</v>
      </c>
      <c r="B478" s="11" t="str">
        <f>IFERROR(__xludf.DUMMYFUNCTION("""COMPUTED_VALUE"""),"Foundation")</f>
        <v>Foundation</v>
      </c>
      <c r="C478" s="11" t="str">
        <f>IFERROR(__xludf.DUMMYFUNCTION("""COMPUTED_VALUE"""),"227058")</f>
        <v>227058</v>
      </c>
      <c r="D478" s="11">
        <f>IFERROR(__xludf.DUMMYFUNCTION("""COMPUTED_VALUE"""),13.0)</f>
        <v>13</v>
      </c>
      <c r="E478" s="11">
        <f>IFERROR(VLOOKUP(B478,COURSE_PLAN!A:B,2,FALSE),"")</f>
        <v>16</v>
      </c>
      <c r="F478" s="11">
        <f t="shared" si="1"/>
        <v>0.8125</v>
      </c>
      <c r="G478" s="11" t="str">
        <f>IFERROR(VLOOKUP(C478,STUDENTS!A:E,5,FALSE),"")</f>
        <v>Inactive</v>
      </c>
      <c r="H478" s="11" t="str">
        <f>IFERROR(VLOOKUP(C478,STUDENTS!A:M,13,FALSE),"")</f>
        <v>Completed (no continuation)</v>
      </c>
      <c r="I478" s="11" t="str">
        <f>IF(D478="","",IF(AND(VLOOKUP(C478,STUDENTS!$A:$R,17,FALSE)=A478,VLOOKUP(C478,STUDENTS!$A:$R,18,FALSE)=B478,G478="Active"),"Đang học",IF(F478&gt;=0.8,IF(G478="Active","Tiếp tục khóa sau",IF(G478="Waiting for class","Chờ lớp mới",IF(G478="Inactive",IF(IFERROR(H478,"")="Discontinued mid-course","Nghỉ giữa chừng","Hoàn thành rồi nghỉ luôn"),""))),IF(G478="Inactive","Nghỉ giữa chừng","Đang học"))))</f>
        <v>Hoàn thành rồi nghỉ luôn</v>
      </c>
    </row>
    <row r="479">
      <c r="A479" s="11" t="str">
        <f>IFERROR(__xludf.DUMMYFUNCTION("""COMPUTED_VALUE"""),"EL043")</f>
        <v>EL043</v>
      </c>
      <c r="B479" s="11" t="str">
        <f>IFERROR(__xludf.DUMMYFUNCTION("""COMPUTED_VALUE"""),"Foundation")</f>
        <v>Foundation</v>
      </c>
      <c r="C479" s="11" t="str">
        <f>IFERROR(__xludf.DUMMYFUNCTION("""COMPUTED_VALUE"""),"237072")</f>
        <v>237072</v>
      </c>
      <c r="D479" s="11">
        <f>IFERROR(__xludf.DUMMYFUNCTION("""COMPUTED_VALUE"""),14.0)</f>
        <v>14</v>
      </c>
      <c r="E479" s="11">
        <f>IFERROR(VLOOKUP(B479,COURSE_PLAN!A:B,2,FALSE),"")</f>
        <v>16</v>
      </c>
      <c r="F479" s="11">
        <f t="shared" si="1"/>
        <v>0.875</v>
      </c>
      <c r="G479" s="11" t="str">
        <f>IFERROR(VLOOKUP(C479,STUDENTS!A:E,5,FALSE),"")</f>
        <v>Inactive</v>
      </c>
      <c r="H479" s="11" t="str">
        <f>IFERROR(VLOOKUP(C479,STUDENTS!A:M,13,FALSE),"")</f>
        <v>Completed (no continuation)</v>
      </c>
      <c r="I479" s="11" t="str">
        <f>IF(D479="","",IF(AND(VLOOKUP(C479,STUDENTS!$A:$R,17,FALSE)=A479,VLOOKUP(C479,STUDENTS!$A:$R,18,FALSE)=B479,G479="Active"),"Đang học",IF(F479&gt;=0.8,IF(G479="Active","Tiếp tục khóa sau",IF(G479="Waiting for class","Chờ lớp mới",IF(G479="Inactive",IF(IFERROR(H479,"")="Discontinued mid-course","Nghỉ giữa chừng","Hoàn thành rồi nghỉ luôn"),""))),IF(G479="Inactive","Nghỉ giữa chừng","Đang học"))))</f>
        <v>Hoàn thành rồi nghỉ luôn</v>
      </c>
    </row>
    <row r="480">
      <c r="A480" s="11" t="str">
        <f>IFERROR(__xludf.DUMMYFUNCTION("""COMPUTED_VALUE"""),"EL043")</f>
        <v>EL043</v>
      </c>
      <c r="B480" s="11" t="str">
        <f>IFERROR(__xludf.DUMMYFUNCTION("""COMPUTED_VALUE"""),"Foundation")</f>
        <v>Foundation</v>
      </c>
      <c r="C480" s="11" t="str">
        <f>IFERROR(__xludf.DUMMYFUNCTION("""COMPUTED_VALUE"""),"237129")</f>
        <v>237129</v>
      </c>
      <c r="D480" s="11">
        <f>IFERROR(__xludf.DUMMYFUNCTION("""COMPUTED_VALUE"""),15.0)</f>
        <v>15</v>
      </c>
      <c r="E480" s="11">
        <f>IFERROR(VLOOKUP(B480,COURSE_PLAN!A:B,2,FALSE),"")</f>
        <v>16</v>
      </c>
      <c r="F480" s="11">
        <f t="shared" si="1"/>
        <v>0.9375</v>
      </c>
      <c r="G480" s="11" t="str">
        <f>IFERROR(VLOOKUP(C480,STUDENTS!A:E,5,FALSE),"")</f>
        <v>Inactive</v>
      </c>
      <c r="H480" s="11" t="str">
        <f>IFERROR(VLOOKUP(C480,STUDENTS!A:M,13,FALSE),"")</f>
        <v>Completed (no continuation)</v>
      </c>
      <c r="I480" s="11" t="str">
        <f>IF(D480="","",IF(AND(VLOOKUP(C480,STUDENTS!$A:$R,17,FALSE)=A480,VLOOKUP(C480,STUDENTS!$A:$R,18,FALSE)=B480,G480="Active"),"Đang học",IF(F480&gt;=0.8,IF(G480="Active","Tiếp tục khóa sau",IF(G480="Waiting for class","Chờ lớp mới",IF(G480="Inactive",IF(IFERROR(H480,"")="Discontinued mid-course","Nghỉ giữa chừng","Hoàn thành rồi nghỉ luôn"),""))),IF(G480="Inactive","Nghỉ giữa chừng","Đang học"))))</f>
        <v>Hoàn thành rồi nghỉ luôn</v>
      </c>
    </row>
    <row r="481">
      <c r="A481" s="11" t="str">
        <f>IFERROR(__xludf.DUMMYFUNCTION("""COMPUTED_VALUE"""),"EL043")</f>
        <v>EL043</v>
      </c>
      <c r="B481" s="11" t="str">
        <f>IFERROR(__xludf.DUMMYFUNCTION("""COMPUTED_VALUE"""),"Foundation")</f>
        <v>Foundation</v>
      </c>
      <c r="C481" s="11" t="str">
        <f>IFERROR(__xludf.DUMMYFUNCTION("""COMPUTED_VALUE"""),"247082")</f>
        <v>247082</v>
      </c>
      <c r="D481" s="11">
        <f>IFERROR(__xludf.DUMMYFUNCTION("""COMPUTED_VALUE"""),13.0)</f>
        <v>13</v>
      </c>
      <c r="E481" s="11">
        <f>IFERROR(VLOOKUP(B481,COURSE_PLAN!A:B,2,FALSE),"")</f>
        <v>16</v>
      </c>
      <c r="F481" s="11">
        <f t="shared" si="1"/>
        <v>0.8125</v>
      </c>
      <c r="G481" s="11" t="str">
        <f>IFERROR(VLOOKUP(C481,STUDENTS!A:E,5,FALSE),"")</f>
        <v>Inactive</v>
      </c>
      <c r="H481" s="11" t="str">
        <f>IFERROR(VLOOKUP(C481,STUDENTS!A:M,13,FALSE),"")</f>
        <v>Discontinued mid-course</v>
      </c>
      <c r="I481" s="11" t="str">
        <f>IF(D481="","",IF(AND(VLOOKUP(C481,STUDENTS!$A:$R,17,FALSE)=A481,VLOOKUP(C481,STUDENTS!$A:$R,18,FALSE)=B481,G481="Active"),"Đang học",IF(F481&gt;=0.8,IF(G481="Active","Tiếp tục khóa sau",IF(G481="Waiting for class","Chờ lớp mới",IF(G481="Inactive",IF(IFERROR(H481,"")="Discontinued mid-course","Nghỉ giữa chừng","Hoàn thành rồi nghỉ luôn"),""))),IF(G481="Inactive","Nghỉ giữa chừng","Đang học"))))</f>
        <v>Nghỉ giữa chừng</v>
      </c>
    </row>
    <row r="482">
      <c r="A482" s="11" t="str">
        <f>IFERROR(__xludf.DUMMYFUNCTION("""COMPUTED_VALUE"""),"EL044")</f>
        <v>EL044</v>
      </c>
      <c r="B482" s="11" t="str">
        <f>IFERROR(__xludf.DUMMYFUNCTION("""COMPUTED_VALUE"""),"Communication 1")</f>
        <v>Communication 1</v>
      </c>
      <c r="C482" s="11" t="str">
        <f>IFERROR(__xludf.DUMMYFUNCTION("""COMPUTED_VALUE"""),"163215")</f>
        <v>163215</v>
      </c>
      <c r="D482" s="11">
        <f>IFERROR(__xludf.DUMMYFUNCTION("""COMPUTED_VALUE"""),14.0)</f>
        <v>14</v>
      </c>
      <c r="E482" s="11">
        <f>IFERROR(VLOOKUP(B482,COURSE_PLAN!A:B,2,FALSE),"")</f>
        <v>10</v>
      </c>
      <c r="F482" s="11">
        <f t="shared" si="1"/>
        <v>1.4</v>
      </c>
      <c r="G482" s="11" t="str">
        <f>IFERROR(VLOOKUP(C482,STUDENTS!A:E,5,FALSE),"")</f>
        <v>Inactive</v>
      </c>
      <c r="H482" s="11" t="str">
        <f>IFERROR(VLOOKUP(C482,STUDENTS!A:M,13,FALSE),"")</f>
        <v>Discontinued mid-course</v>
      </c>
      <c r="I482" s="11" t="str">
        <f>IF(D482="","",IF(AND(VLOOKUP(C482,STUDENTS!$A:$R,17,FALSE)=A482,VLOOKUP(C482,STUDENTS!$A:$R,18,FALSE)=B482,G482="Active"),"Đang học",IF(F482&gt;=0.8,IF(G482="Active","Tiếp tục khóa sau",IF(G482="Waiting for class","Chờ lớp mới",IF(G482="Inactive",IF(IFERROR(H482,"")="Discontinued mid-course","Nghỉ giữa chừng","Hoàn thành rồi nghỉ luôn"),""))),IF(G482="Inactive","Nghỉ giữa chừng","Đang học"))))</f>
        <v>Nghỉ giữa chừng</v>
      </c>
    </row>
    <row r="483">
      <c r="A483" s="11" t="str">
        <f>IFERROR(__xludf.DUMMYFUNCTION("""COMPUTED_VALUE"""),"EL044")</f>
        <v>EL044</v>
      </c>
      <c r="B483" s="11" t="str">
        <f>IFERROR(__xludf.DUMMYFUNCTION("""COMPUTED_VALUE"""),"Communication 1")</f>
        <v>Communication 1</v>
      </c>
      <c r="C483" s="11" t="str">
        <f>IFERROR(__xludf.DUMMYFUNCTION("""COMPUTED_VALUE"""),"193620")</f>
        <v>193620</v>
      </c>
      <c r="D483" s="11">
        <f>IFERROR(__xludf.DUMMYFUNCTION("""COMPUTED_VALUE"""),15.0)</f>
        <v>15</v>
      </c>
      <c r="E483" s="11">
        <f>IFERROR(VLOOKUP(B483,COURSE_PLAN!A:B,2,FALSE),"")</f>
        <v>10</v>
      </c>
      <c r="F483" s="11">
        <f t="shared" si="1"/>
        <v>1.5</v>
      </c>
      <c r="G483" s="11" t="str">
        <f>IFERROR(VLOOKUP(C483,STUDENTS!A:E,5,FALSE),"")</f>
        <v>Inactive</v>
      </c>
      <c r="H483" s="11" t="str">
        <f>IFERROR(VLOOKUP(C483,STUDENTS!A:M,13,FALSE),"")</f>
        <v>Discontinued mid-course</v>
      </c>
      <c r="I483" s="11" t="str">
        <f>IF(D483="","",IF(AND(VLOOKUP(C483,STUDENTS!$A:$R,17,FALSE)=A483,VLOOKUP(C483,STUDENTS!$A:$R,18,FALSE)=B483,G483="Active"),"Đang học",IF(F483&gt;=0.8,IF(G483="Active","Tiếp tục khóa sau",IF(G483="Waiting for class","Chờ lớp mới",IF(G483="Inactive",IF(IFERROR(H483,"")="Discontinued mid-course","Nghỉ giữa chừng","Hoàn thành rồi nghỉ luôn"),""))),IF(G483="Inactive","Nghỉ giữa chừng","Đang học"))))</f>
        <v>Nghỉ giữa chừng</v>
      </c>
    </row>
    <row r="484">
      <c r="A484" s="11" t="str">
        <f>IFERROR(__xludf.DUMMYFUNCTION("""COMPUTED_VALUE"""),"EL044")</f>
        <v>EL044</v>
      </c>
      <c r="B484" s="11" t="str">
        <f>IFERROR(__xludf.DUMMYFUNCTION("""COMPUTED_VALUE"""),"Communication 1")</f>
        <v>Communication 1</v>
      </c>
      <c r="C484" s="11" t="str">
        <f>IFERROR(__xludf.DUMMYFUNCTION("""COMPUTED_VALUE"""),"213929")</f>
        <v>213929</v>
      </c>
      <c r="D484" s="11">
        <f>IFERROR(__xludf.DUMMYFUNCTION("""COMPUTED_VALUE"""),7.0)</f>
        <v>7</v>
      </c>
      <c r="E484" s="11">
        <f>IFERROR(VLOOKUP(B484,COURSE_PLAN!A:B,2,FALSE),"")</f>
        <v>10</v>
      </c>
      <c r="F484" s="11">
        <f t="shared" si="1"/>
        <v>0.7</v>
      </c>
      <c r="G484" s="11" t="str">
        <f>IFERROR(VLOOKUP(C484,STUDENTS!A:E,5,FALSE),"")</f>
        <v>Inactive</v>
      </c>
      <c r="H484" s="11" t="str">
        <f>IFERROR(VLOOKUP(C484,STUDENTS!A:M,13,FALSE),"")</f>
        <v>Discontinued mid-course</v>
      </c>
      <c r="I484" s="11" t="str">
        <f>IF(D484="","",IF(AND(VLOOKUP(C484,STUDENTS!$A:$R,17,FALSE)=A484,VLOOKUP(C484,STUDENTS!$A:$R,18,FALSE)=B484,G484="Active"),"Đang học",IF(F484&gt;=0.8,IF(G484="Active","Tiếp tục khóa sau",IF(G484="Waiting for class","Chờ lớp mới",IF(G484="Inactive",IF(IFERROR(H484,"")="Discontinued mid-course","Nghỉ giữa chừng","Hoàn thành rồi nghỉ luôn"),""))),IF(G484="Inactive","Nghỉ giữa chừng","Đang học"))))</f>
        <v>Nghỉ giữa chừng</v>
      </c>
    </row>
    <row r="485">
      <c r="A485" s="11" t="str">
        <f>IFERROR(__xludf.DUMMYFUNCTION("""COMPUTED_VALUE"""),"EL044")</f>
        <v>EL044</v>
      </c>
      <c r="B485" s="11" t="str">
        <f>IFERROR(__xludf.DUMMYFUNCTION("""COMPUTED_VALUE"""),"Communication 1")</f>
        <v>Communication 1</v>
      </c>
      <c r="C485" s="11" t="str">
        <f>IFERROR(__xludf.DUMMYFUNCTION("""COMPUTED_VALUE"""),"227131")</f>
        <v>227131</v>
      </c>
      <c r="D485" s="11">
        <f>IFERROR(__xludf.DUMMYFUNCTION("""COMPUTED_VALUE"""),15.0)</f>
        <v>15</v>
      </c>
      <c r="E485" s="11">
        <f>IFERROR(VLOOKUP(B485,COURSE_PLAN!A:B,2,FALSE),"")</f>
        <v>10</v>
      </c>
      <c r="F485" s="11">
        <f t="shared" si="1"/>
        <v>1.5</v>
      </c>
      <c r="G485" s="11" t="str">
        <f>IFERROR(VLOOKUP(C485,STUDENTS!A:E,5,FALSE),"")</f>
        <v>Inactive</v>
      </c>
      <c r="H485" s="11" t="str">
        <f>IFERROR(VLOOKUP(C485,STUDENTS!A:M,13,FALSE),"")</f>
        <v>Discontinued mid-course</v>
      </c>
      <c r="I485" s="11" t="str">
        <f>IF(D485="","",IF(AND(VLOOKUP(C485,STUDENTS!$A:$R,17,FALSE)=A485,VLOOKUP(C485,STUDENTS!$A:$R,18,FALSE)=B485,G485="Active"),"Đang học",IF(F485&gt;=0.8,IF(G485="Active","Tiếp tục khóa sau",IF(G485="Waiting for class","Chờ lớp mới",IF(G485="Inactive",IF(IFERROR(H485,"")="Discontinued mid-course","Nghỉ giữa chừng","Hoàn thành rồi nghỉ luôn"),""))),IF(G485="Inactive","Nghỉ giữa chừng","Đang học"))))</f>
        <v>Nghỉ giữa chừng</v>
      </c>
    </row>
    <row r="486">
      <c r="A486" s="11" t="str">
        <f>IFERROR(__xludf.DUMMYFUNCTION("""COMPUTED_VALUE"""),"EL044")</f>
        <v>EL044</v>
      </c>
      <c r="B486" s="11" t="str">
        <f>IFERROR(__xludf.DUMMYFUNCTION("""COMPUTED_VALUE"""),"Communication 1")</f>
        <v>Communication 1</v>
      </c>
      <c r="C486" s="11" t="str">
        <f>IFERROR(__xludf.DUMMYFUNCTION("""COMPUTED_VALUE"""),"247082")</f>
        <v>247082</v>
      </c>
      <c r="D486" s="11">
        <f>IFERROR(__xludf.DUMMYFUNCTION("""COMPUTED_VALUE"""),7.0)</f>
        <v>7</v>
      </c>
      <c r="E486" s="11">
        <f>IFERROR(VLOOKUP(B486,COURSE_PLAN!A:B,2,FALSE),"")</f>
        <v>10</v>
      </c>
      <c r="F486" s="11">
        <f t="shared" si="1"/>
        <v>0.7</v>
      </c>
      <c r="G486" s="11" t="str">
        <f>IFERROR(VLOOKUP(C486,STUDENTS!A:E,5,FALSE),"")</f>
        <v>Inactive</v>
      </c>
      <c r="H486" s="11" t="str">
        <f>IFERROR(VLOOKUP(C486,STUDENTS!A:M,13,FALSE),"")</f>
        <v>Discontinued mid-course</v>
      </c>
      <c r="I486" s="11" t="str">
        <f>IF(D486="","",IF(AND(VLOOKUP(C486,STUDENTS!$A:$R,17,FALSE)=A486,VLOOKUP(C486,STUDENTS!$A:$R,18,FALSE)=B486,G486="Active"),"Đang học",IF(F486&gt;=0.8,IF(G486="Active","Tiếp tục khóa sau",IF(G486="Waiting for class","Chờ lớp mới",IF(G486="Inactive",IF(IFERROR(H486,"")="Discontinued mid-course","Nghỉ giữa chừng","Hoàn thành rồi nghỉ luôn"),""))),IF(G486="Inactive","Nghỉ giữa chừng","Đang học"))))</f>
        <v>Nghỉ giữa chừng</v>
      </c>
    </row>
    <row r="487">
      <c r="A487" s="11" t="str">
        <f>IFERROR(__xludf.DUMMYFUNCTION("""COMPUTED_VALUE"""),"EL044")</f>
        <v>EL044</v>
      </c>
      <c r="B487" s="11" t="str">
        <f>IFERROR(__xludf.DUMMYFUNCTION("""COMPUTED_VALUE"""),"Communication 1")</f>
        <v>Communication 1</v>
      </c>
      <c r="C487" s="11" t="str">
        <f>IFERROR(__xludf.DUMMYFUNCTION("""COMPUTED_VALUE"""),"257036")</f>
        <v>257036</v>
      </c>
      <c r="D487" s="11">
        <f>IFERROR(__xludf.DUMMYFUNCTION("""COMPUTED_VALUE"""),15.0)</f>
        <v>15</v>
      </c>
      <c r="E487" s="11">
        <f>IFERROR(VLOOKUP(B487,COURSE_PLAN!A:B,2,FALSE),"")</f>
        <v>10</v>
      </c>
      <c r="F487" s="11">
        <f t="shared" si="1"/>
        <v>1.5</v>
      </c>
      <c r="G487" s="11" t="str">
        <f>IFERROR(VLOOKUP(C487,STUDENTS!A:E,5,FALSE),"")</f>
        <v>Inactive</v>
      </c>
      <c r="H487" s="11" t="str">
        <f>IFERROR(VLOOKUP(C487,STUDENTS!A:M,13,FALSE),"")</f>
        <v>Discontinued mid-course</v>
      </c>
      <c r="I487" s="11" t="str">
        <f>IF(D487="","",IF(AND(VLOOKUP(C487,STUDENTS!$A:$R,17,FALSE)=A487,VLOOKUP(C487,STUDENTS!$A:$R,18,FALSE)=B487,G487="Active"),"Đang học",IF(F487&gt;=0.8,IF(G487="Active","Tiếp tục khóa sau",IF(G487="Waiting for class","Chờ lớp mới",IF(G487="Inactive",IF(IFERROR(H487,"")="Discontinued mid-course","Nghỉ giữa chừng","Hoàn thành rồi nghỉ luôn"),""))),IF(G487="Inactive","Nghỉ giữa chừng","Đang học"))))</f>
        <v>Nghỉ giữa chừng</v>
      </c>
    </row>
    <row r="488">
      <c r="A488" s="11" t="str">
        <f>IFERROR(__xludf.DUMMYFUNCTION("""COMPUTED_VALUE"""),"EL045")</f>
        <v>EL045</v>
      </c>
      <c r="B488" s="11" t="str">
        <f>IFERROR(__xludf.DUMMYFUNCTION("""COMPUTED_VALUE"""),"Communication 1")</f>
        <v>Communication 1</v>
      </c>
      <c r="C488" s="11" t="str">
        <f>IFERROR(__xludf.DUMMYFUNCTION("""COMPUTED_VALUE"""),"183379")</f>
        <v>183379</v>
      </c>
      <c r="D488" s="11">
        <f>IFERROR(__xludf.DUMMYFUNCTION("""COMPUTED_VALUE"""),14.0)</f>
        <v>14</v>
      </c>
      <c r="E488" s="11">
        <f>IFERROR(VLOOKUP(B488,COURSE_PLAN!A:B,2,FALSE),"")</f>
        <v>10</v>
      </c>
      <c r="F488" s="11">
        <f t="shared" si="1"/>
        <v>1.4</v>
      </c>
      <c r="G488" s="11" t="str">
        <f>IFERROR(VLOOKUP(C488,STUDENTS!A:E,5,FALSE),"")</f>
        <v>Active</v>
      </c>
      <c r="H488" s="11" t="str">
        <f>IFERROR(VLOOKUP(C488,STUDENTS!A:M,13,FALSE),"")</f>
        <v/>
      </c>
      <c r="I488" s="11" t="str">
        <f>IF(D488="","",IF(AND(VLOOKUP(C488,STUDENTS!$A:$R,17,FALSE)=A488,VLOOKUP(C488,STUDENTS!$A:$R,18,FALSE)=B488,G488="Active"),"Đang học",IF(F488&gt;=0.8,IF(G488="Active","Tiếp tục khóa sau",IF(G488="Waiting for class","Chờ lớp mới",IF(G488="Inactive",IF(IFERROR(H488,"")="Discontinued mid-course","Nghỉ giữa chừng","Hoàn thành rồi nghỉ luôn"),""))),IF(G488="Inactive","Nghỉ giữa chừng","Đang học"))))</f>
        <v>Đang học</v>
      </c>
    </row>
    <row r="489">
      <c r="A489" s="11" t="str">
        <f>IFERROR(__xludf.DUMMYFUNCTION("""COMPUTED_VALUE"""),"EL045")</f>
        <v>EL045</v>
      </c>
      <c r="B489" s="11" t="str">
        <f>IFERROR(__xludf.DUMMYFUNCTION("""COMPUTED_VALUE"""),"Communication 1")</f>
        <v>Communication 1</v>
      </c>
      <c r="C489" s="11" t="str">
        <f>IFERROR(__xludf.DUMMYFUNCTION("""COMPUTED_VALUE"""),"193530")</f>
        <v>193530</v>
      </c>
      <c r="D489" s="11">
        <f>IFERROR(__xludf.DUMMYFUNCTION("""COMPUTED_VALUE"""),14.0)</f>
        <v>14</v>
      </c>
      <c r="E489" s="11">
        <f>IFERROR(VLOOKUP(B489,COURSE_PLAN!A:B,2,FALSE),"")</f>
        <v>10</v>
      </c>
      <c r="F489" s="11">
        <f t="shared" si="1"/>
        <v>1.4</v>
      </c>
      <c r="G489" s="11" t="str">
        <f>IFERROR(VLOOKUP(C489,STUDENTS!A:E,5,FALSE),"")</f>
        <v>Active</v>
      </c>
      <c r="H489" s="11" t="str">
        <f>IFERROR(VLOOKUP(C489,STUDENTS!A:M,13,FALSE),"")</f>
        <v/>
      </c>
      <c r="I489" s="11" t="str">
        <f>IF(D489="","",IF(AND(VLOOKUP(C489,STUDENTS!$A:$R,17,FALSE)=A489,VLOOKUP(C489,STUDENTS!$A:$R,18,FALSE)=B489,G489="Active"),"Đang học",IF(F489&gt;=0.8,IF(G489="Active","Tiếp tục khóa sau",IF(G489="Waiting for class","Chờ lớp mới",IF(G489="Inactive",IF(IFERROR(H489,"")="Discontinued mid-course","Nghỉ giữa chừng","Hoàn thành rồi nghỉ luôn"),""))),IF(G489="Inactive","Nghỉ giữa chừng","Đang học"))))</f>
        <v>Đang học</v>
      </c>
    </row>
    <row r="490">
      <c r="A490" s="11" t="str">
        <f>IFERROR(__xludf.DUMMYFUNCTION("""COMPUTED_VALUE"""),"EL045")</f>
        <v>EL045</v>
      </c>
      <c r="B490" s="11" t="str">
        <f>IFERROR(__xludf.DUMMYFUNCTION("""COMPUTED_VALUE"""),"Communication 1")</f>
        <v>Communication 1</v>
      </c>
      <c r="C490" s="11" t="str">
        <f>IFERROR(__xludf.DUMMYFUNCTION("""COMPUTED_VALUE"""),"203664")</f>
        <v>203664</v>
      </c>
      <c r="D490" s="11">
        <f>IFERROR(__xludf.DUMMYFUNCTION("""COMPUTED_VALUE"""),14.0)</f>
        <v>14</v>
      </c>
      <c r="E490" s="11">
        <f>IFERROR(VLOOKUP(B490,COURSE_PLAN!A:B,2,FALSE),"")</f>
        <v>10</v>
      </c>
      <c r="F490" s="11">
        <f t="shared" si="1"/>
        <v>1.4</v>
      </c>
      <c r="G490" s="11" t="str">
        <f>IFERROR(VLOOKUP(C490,STUDENTS!A:E,5,FALSE),"")</f>
        <v>Active</v>
      </c>
      <c r="H490" s="11" t="str">
        <f>IFERROR(VLOOKUP(C490,STUDENTS!A:M,13,FALSE),"")</f>
        <v/>
      </c>
      <c r="I490" s="11" t="str">
        <f>IF(D490="","",IF(AND(VLOOKUP(C490,STUDENTS!$A:$R,17,FALSE)=A490,VLOOKUP(C490,STUDENTS!$A:$R,18,FALSE)=B490,G490="Active"),"Đang học",IF(F490&gt;=0.8,IF(G490="Active","Tiếp tục khóa sau",IF(G490="Waiting for class","Chờ lớp mới",IF(G490="Inactive",IF(IFERROR(H490,"")="Discontinued mid-course","Nghỉ giữa chừng","Hoàn thành rồi nghỉ luôn"),""))),IF(G490="Inactive","Nghỉ giữa chừng","Đang học"))))</f>
        <v>Đang học</v>
      </c>
    </row>
    <row r="491">
      <c r="A491" s="11" t="str">
        <f>IFERROR(__xludf.DUMMYFUNCTION("""COMPUTED_VALUE"""),"EL045")</f>
        <v>EL045</v>
      </c>
      <c r="B491" s="11" t="str">
        <f>IFERROR(__xludf.DUMMYFUNCTION("""COMPUTED_VALUE"""),"Communication 1")</f>
        <v>Communication 1</v>
      </c>
      <c r="C491" s="11" t="str">
        <f>IFERROR(__xludf.DUMMYFUNCTION("""COMPUTED_VALUE"""),"213856")</f>
        <v>213856</v>
      </c>
      <c r="D491" s="11">
        <f>IFERROR(__xludf.DUMMYFUNCTION("""COMPUTED_VALUE"""),12.0)</f>
        <v>12</v>
      </c>
      <c r="E491" s="11">
        <f>IFERROR(VLOOKUP(B491,COURSE_PLAN!A:B,2,FALSE),"")</f>
        <v>10</v>
      </c>
      <c r="F491" s="11">
        <f t="shared" si="1"/>
        <v>1.2</v>
      </c>
      <c r="G491" s="11" t="str">
        <f>IFERROR(VLOOKUP(C491,STUDENTS!A:E,5,FALSE),"")</f>
        <v>Active</v>
      </c>
      <c r="H491" s="11" t="str">
        <f>IFERROR(VLOOKUP(C491,STUDENTS!A:M,13,FALSE),"")</f>
        <v/>
      </c>
      <c r="I491" s="11" t="str">
        <f>IF(D491="","",IF(AND(VLOOKUP(C491,STUDENTS!$A:$R,17,FALSE)=A491,VLOOKUP(C491,STUDENTS!$A:$R,18,FALSE)=B491,G491="Active"),"Đang học",IF(F491&gt;=0.8,IF(G491="Active","Tiếp tục khóa sau",IF(G491="Waiting for class","Chờ lớp mới",IF(G491="Inactive",IF(IFERROR(H491,"")="Discontinued mid-course","Nghỉ giữa chừng","Hoàn thành rồi nghỉ luôn"),""))),IF(G491="Inactive","Nghỉ giữa chừng","Đang học"))))</f>
        <v>Đang học</v>
      </c>
    </row>
    <row r="492">
      <c r="A492" s="11" t="str">
        <f>IFERROR(__xludf.DUMMYFUNCTION("""COMPUTED_VALUE"""),"EL045")</f>
        <v>EL045</v>
      </c>
      <c r="B492" s="11" t="str">
        <f>IFERROR(__xludf.DUMMYFUNCTION("""COMPUTED_VALUE"""),"Communication 1")</f>
        <v>Communication 1</v>
      </c>
      <c r="C492" s="11" t="str">
        <f>IFERROR(__xludf.DUMMYFUNCTION("""COMPUTED_VALUE"""),"227101")</f>
        <v>227101</v>
      </c>
      <c r="D492" s="11">
        <f>IFERROR(__xludf.DUMMYFUNCTION("""COMPUTED_VALUE"""),14.0)</f>
        <v>14</v>
      </c>
      <c r="E492" s="11">
        <f>IFERROR(VLOOKUP(B492,COURSE_PLAN!A:B,2,FALSE),"")</f>
        <v>10</v>
      </c>
      <c r="F492" s="11">
        <f t="shared" si="1"/>
        <v>1.4</v>
      </c>
      <c r="G492" s="11" t="str">
        <f>IFERROR(VLOOKUP(C492,STUDENTS!A:E,5,FALSE),"")</f>
        <v>Active</v>
      </c>
      <c r="H492" s="11" t="str">
        <f>IFERROR(VLOOKUP(C492,STUDENTS!A:M,13,FALSE),"")</f>
        <v/>
      </c>
      <c r="I492" s="11" t="str">
        <f>IF(D492="","",IF(AND(VLOOKUP(C492,STUDENTS!$A:$R,17,FALSE)=A492,VLOOKUP(C492,STUDENTS!$A:$R,18,FALSE)=B492,G492="Active"),"Đang học",IF(F492&gt;=0.8,IF(G492="Active","Tiếp tục khóa sau",IF(G492="Waiting for class","Chờ lớp mới",IF(G492="Inactive",IF(IFERROR(H492,"")="Discontinued mid-course","Nghỉ giữa chừng","Hoàn thành rồi nghỉ luôn"),""))),IF(G492="Inactive","Nghỉ giữa chừng","Đang học"))))</f>
        <v>Đang học</v>
      </c>
    </row>
    <row r="493">
      <c r="A493" s="11" t="str">
        <f>IFERROR(__xludf.DUMMYFUNCTION("""COMPUTED_VALUE"""),"EL045")</f>
        <v>EL045</v>
      </c>
      <c r="B493" s="11" t="str">
        <f>IFERROR(__xludf.DUMMYFUNCTION("""COMPUTED_VALUE"""),"Communication 1")</f>
        <v>Communication 1</v>
      </c>
      <c r="C493" s="11" t="str">
        <f>IFERROR(__xludf.DUMMYFUNCTION("""COMPUTED_VALUE"""),"237035")</f>
        <v>237035</v>
      </c>
      <c r="D493" s="11">
        <f>IFERROR(__xludf.DUMMYFUNCTION("""COMPUTED_VALUE"""),14.0)</f>
        <v>14</v>
      </c>
      <c r="E493" s="11">
        <f>IFERROR(VLOOKUP(B493,COURSE_PLAN!A:B,2,FALSE),"")</f>
        <v>10</v>
      </c>
      <c r="F493" s="11">
        <f t="shared" si="1"/>
        <v>1.4</v>
      </c>
      <c r="G493" s="11" t="str">
        <f>IFERROR(VLOOKUP(C493,STUDENTS!A:E,5,FALSE),"")</f>
        <v>Active</v>
      </c>
      <c r="H493" s="11" t="str">
        <f>IFERROR(VLOOKUP(C493,STUDENTS!A:M,13,FALSE),"")</f>
        <v/>
      </c>
      <c r="I493" s="11" t="str">
        <f>IF(D493="","",IF(AND(VLOOKUP(C493,STUDENTS!$A:$R,17,FALSE)=A493,VLOOKUP(C493,STUDENTS!$A:$R,18,FALSE)=B493,G493="Active"),"Đang học",IF(F493&gt;=0.8,IF(G493="Active","Tiếp tục khóa sau",IF(G493="Waiting for class","Chờ lớp mới",IF(G493="Inactive",IF(IFERROR(H493,"")="Discontinued mid-course","Nghỉ giữa chừng","Hoàn thành rồi nghỉ luôn"),""))),IF(G493="Inactive","Nghỉ giữa chừng","Đang học"))))</f>
        <v>Đang học</v>
      </c>
    </row>
    <row r="494">
      <c r="A494" s="11" t="str">
        <f>IFERROR(__xludf.DUMMYFUNCTION("""COMPUTED_VALUE"""),"EL045")</f>
        <v>EL045</v>
      </c>
      <c r="B494" s="11" t="str">
        <f>IFERROR(__xludf.DUMMYFUNCTION("""COMPUTED_VALUE"""),"Communication 1")</f>
        <v>Communication 1</v>
      </c>
      <c r="C494" s="11" t="str">
        <f>IFERROR(__xludf.DUMMYFUNCTION("""COMPUTED_VALUE"""),"247065")</f>
        <v>247065</v>
      </c>
      <c r="D494" s="11">
        <f>IFERROR(__xludf.DUMMYFUNCTION("""COMPUTED_VALUE"""),14.0)</f>
        <v>14</v>
      </c>
      <c r="E494" s="11">
        <f>IFERROR(VLOOKUP(B494,COURSE_PLAN!A:B,2,FALSE),"")</f>
        <v>10</v>
      </c>
      <c r="F494" s="11">
        <f t="shared" si="1"/>
        <v>1.4</v>
      </c>
      <c r="G494" s="11" t="str">
        <f>IFERROR(VLOOKUP(C494,STUDENTS!A:E,5,FALSE),"")</f>
        <v>Active</v>
      </c>
      <c r="H494" s="11" t="str">
        <f>IFERROR(VLOOKUP(C494,STUDENTS!A:M,13,FALSE),"")</f>
        <v/>
      </c>
      <c r="I494" s="11" t="str">
        <f>IF(D494="","",IF(AND(VLOOKUP(C494,STUDENTS!$A:$R,17,FALSE)=A494,VLOOKUP(C494,STUDENTS!$A:$R,18,FALSE)=B494,G494="Active"),"Đang học",IF(F494&gt;=0.8,IF(G494="Active","Tiếp tục khóa sau",IF(G494="Waiting for class","Chờ lớp mới",IF(G494="Inactive",IF(IFERROR(H494,"")="Discontinued mid-course","Nghỉ giữa chừng","Hoàn thành rồi nghỉ luôn"),""))),IF(G494="Inactive","Nghỉ giữa chừng","Đang học"))))</f>
        <v>Đang học</v>
      </c>
    </row>
    <row r="495">
      <c r="A495" s="11" t="str">
        <f>IFERROR(__xludf.DUMMYFUNCTION("""COMPUTED_VALUE"""),"EL046")</f>
        <v>EL046</v>
      </c>
      <c r="B495" s="11" t="str">
        <f>IFERROR(__xludf.DUMMYFUNCTION("""COMPUTED_VALUE"""),"Communication 1")</f>
        <v>Communication 1</v>
      </c>
      <c r="C495" s="11" t="str">
        <f>IFERROR(__xludf.DUMMYFUNCTION("""COMPUTED_VALUE"""),"153138")</f>
        <v>153138</v>
      </c>
      <c r="D495" s="11">
        <f>IFERROR(__xludf.DUMMYFUNCTION("""COMPUTED_VALUE"""),16.0)</f>
        <v>16</v>
      </c>
      <c r="E495" s="11">
        <f>IFERROR(VLOOKUP(B495,COURSE_PLAN!A:B,2,FALSE),"")</f>
        <v>10</v>
      </c>
      <c r="F495" s="11">
        <f t="shared" si="1"/>
        <v>1.6</v>
      </c>
      <c r="G495" s="11" t="str">
        <f>IFERROR(VLOOKUP(C495,STUDENTS!A:E,5,FALSE),"")</f>
        <v>Active</v>
      </c>
      <c r="H495" s="11" t="str">
        <f>IFERROR(VLOOKUP(C495,STUDENTS!A:M,13,FALSE),"")</f>
        <v/>
      </c>
      <c r="I495" s="11" t="str">
        <f>IF(D495="","",IF(AND(VLOOKUP(C495,STUDENTS!$A:$R,17,FALSE)=A495,VLOOKUP(C495,STUDENTS!$A:$R,18,FALSE)=B495,G495="Active"),"Đang học",IF(F495&gt;=0.8,IF(G495="Active","Tiếp tục khóa sau",IF(G495="Waiting for class","Chờ lớp mới",IF(G495="Inactive",IF(IFERROR(H495,"")="Discontinued mid-course","Nghỉ giữa chừng","Hoàn thành rồi nghỉ luôn"),""))),IF(G495="Inactive","Nghỉ giữa chừng","Đang học"))))</f>
        <v>Đang học</v>
      </c>
    </row>
    <row r="496">
      <c r="A496" s="11" t="str">
        <f>IFERROR(__xludf.DUMMYFUNCTION("""COMPUTED_VALUE"""),"EL046")</f>
        <v>EL046</v>
      </c>
      <c r="B496" s="11" t="str">
        <f>IFERROR(__xludf.DUMMYFUNCTION("""COMPUTED_VALUE"""),"Communication 1")</f>
        <v>Communication 1</v>
      </c>
      <c r="C496" s="11" t="str">
        <f>IFERROR(__xludf.DUMMYFUNCTION("""COMPUTED_VALUE"""),"193470")</f>
        <v>193470</v>
      </c>
      <c r="D496" s="11">
        <f>IFERROR(__xludf.DUMMYFUNCTION("""COMPUTED_VALUE"""),16.0)</f>
        <v>16</v>
      </c>
      <c r="E496" s="11">
        <f>IFERROR(VLOOKUP(B496,COURSE_PLAN!A:B,2,FALSE),"")</f>
        <v>10</v>
      </c>
      <c r="F496" s="11">
        <f t="shared" si="1"/>
        <v>1.6</v>
      </c>
      <c r="G496" s="11" t="str">
        <f>IFERROR(VLOOKUP(C496,STUDENTS!A:E,5,FALSE),"")</f>
        <v>Active</v>
      </c>
      <c r="H496" s="11" t="str">
        <f>IFERROR(VLOOKUP(C496,STUDENTS!A:M,13,FALSE),"")</f>
        <v/>
      </c>
      <c r="I496" s="11" t="str">
        <f>IF(D496="","",IF(AND(VLOOKUP(C496,STUDENTS!$A:$R,17,FALSE)=A496,VLOOKUP(C496,STUDENTS!$A:$R,18,FALSE)=B496,G496="Active"),"Đang học",IF(F496&gt;=0.8,IF(G496="Active","Tiếp tục khóa sau",IF(G496="Waiting for class","Chờ lớp mới",IF(G496="Inactive",IF(IFERROR(H496,"")="Discontinued mid-course","Nghỉ giữa chừng","Hoàn thành rồi nghỉ luôn"),""))),IF(G496="Inactive","Nghỉ giữa chừng","Đang học"))))</f>
        <v>Đang học</v>
      </c>
    </row>
    <row r="497">
      <c r="A497" s="11" t="str">
        <f>IFERROR(__xludf.DUMMYFUNCTION("""COMPUTED_VALUE"""),"EL046")</f>
        <v>EL046</v>
      </c>
      <c r="B497" s="11" t="str">
        <f>IFERROR(__xludf.DUMMYFUNCTION("""COMPUTED_VALUE"""),"Communication 1")</f>
        <v>Communication 1</v>
      </c>
      <c r="C497" s="11" t="str">
        <f>IFERROR(__xludf.DUMMYFUNCTION("""COMPUTED_VALUE"""),"193522")</f>
        <v>193522</v>
      </c>
      <c r="D497" s="11">
        <f>IFERROR(__xludf.DUMMYFUNCTION("""COMPUTED_VALUE"""),15.0)</f>
        <v>15</v>
      </c>
      <c r="E497" s="11">
        <f>IFERROR(VLOOKUP(B497,COURSE_PLAN!A:B,2,FALSE),"")</f>
        <v>10</v>
      </c>
      <c r="F497" s="11">
        <f t="shared" si="1"/>
        <v>1.5</v>
      </c>
      <c r="G497" s="11" t="str">
        <f>IFERROR(VLOOKUP(C497,STUDENTS!A:E,5,FALSE),"")</f>
        <v>Active</v>
      </c>
      <c r="H497" s="11" t="str">
        <f>IFERROR(VLOOKUP(C497,STUDENTS!A:M,13,FALSE),"")</f>
        <v/>
      </c>
      <c r="I497" s="11" t="str">
        <f>IF(D497="","",IF(AND(VLOOKUP(C497,STUDENTS!$A:$R,17,FALSE)=A497,VLOOKUP(C497,STUDENTS!$A:$R,18,FALSE)=B497,G497="Active"),"Đang học",IF(F497&gt;=0.8,IF(G497="Active","Tiếp tục khóa sau",IF(G497="Waiting for class","Chờ lớp mới",IF(G497="Inactive",IF(IFERROR(H497,"")="Discontinued mid-course","Nghỉ giữa chừng","Hoàn thành rồi nghỉ luôn"),""))),IF(G497="Inactive","Nghỉ giữa chừng","Đang học"))))</f>
        <v>Đang học</v>
      </c>
    </row>
    <row r="498">
      <c r="A498" s="11" t="str">
        <f>IFERROR(__xludf.DUMMYFUNCTION("""COMPUTED_VALUE"""),"EL046")</f>
        <v>EL046</v>
      </c>
      <c r="B498" s="11" t="str">
        <f>IFERROR(__xludf.DUMMYFUNCTION("""COMPUTED_VALUE"""),"Communication 1")</f>
        <v>Communication 1</v>
      </c>
      <c r="C498" s="11" t="str">
        <f>IFERROR(__xludf.DUMMYFUNCTION("""COMPUTED_VALUE"""),"203757")</f>
        <v>203757</v>
      </c>
      <c r="D498" s="11">
        <f>IFERROR(__xludf.DUMMYFUNCTION("""COMPUTED_VALUE"""),16.0)</f>
        <v>16</v>
      </c>
      <c r="E498" s="11">
        <f>IFERROR(VLOOKUP(B498,COURSE_PLAN!A:B,2,FALSE),"")</f>
        <v>10</v>
      </c>
      <c r="F498" s="11">
        <f t="shared" si="1"/>
        <v>1.6</v>
      </c>
      <c r="G498" s="11" t="str">
        <f>IFERROR(VLOOKUP(C498,STUDENTS!A:E,5,FALSE),"")</f>
        <v>Active</v>
      </c>
      <c r="H498" s="11" t="str">
        <f>IFERROR(VLOOKUP(C498,STUDENTS!A:M,13,FALSE),"")</f>
        <v/>
      </c>
      <c r="I498" s="11" t="str">
        <f>IF(D498="","",IF(AND(VLOOKUP(C498,STUDENTS!$A:$R,17,FALSE)=A498,VLOOKUP(C498,STUDENTS!$A:$R,18,FALSE)=B498,G498="Active"),"Đang học",IF(F498&gt;=0.8,IF(G498="Active","Tiếp tục khóa sau",IF(G498="Waiting for class","Chờ lớp mới",IF(G498="Inactive",IF(IFERROR(H498,"")="Discontinued mid-course","Nghỉ giữa chừng","Hoàn thành rồi nghỉ luôn"),""))),IF(G498="Inactive","Nghỉ giữa chừng","Đang học"))))</f>
        <v>Đang học</v>
      </c>
    </row>
    <row r="499">
      <c r="A499" s="11" t="str">
        <f>IFERROR(__xludf.DUMMYFUNCTION("""COMPUTED_VALUE"""),"EL046")</f>
        <v>EL046</v>
      </c>
      <c r="B499" s="11" t="str">
        <f>IFERROR(__xludf.DUMMYFUNCTION("""COMPUTED_VALUE"""),"Communication 1")</f>
        <v>Communication 1</v>
      </c>
      <c r="C499" s="11" t="str">
        <f>IFERROR(__xludf.DUMMYFUNCTION("""COMPUTED_VALUE"""),"213817")</f>
        <v>213817</v>
      </c>
      <c r="D499" s="11">
        <f>IFERROR(__xludf.DUMMYFUNCTION("""COMPUTED_VALUE"""),15.0)</f>
        <v>15</v>
      </c>
      <c r="E499" s="11">
        <f>IFERROR(VLOOKUP(B499,COURSE_PLAN!A:B,2,FALSE),"")</f>
        <v>10</v>
      </c>
      <c r="F499" s="11">
        <f t="shared" si="1"/>
        <v>1.5</v>
      </c>
      <c r="G499" s="11" t="str">
        <f>IFERROR(VLOOKUP(C499,STUDENTS!A:E,5,FALSE),"")</f>
        <v>Active</v>
      </c>
      <c r="H499" s="11" t="str">
        <f>IFERROR(VLOOKUP(C499,STUDENTS!A:M,13,FALSE),"")</f>
        <v/>
      </c>
      <c r="I499" s="11" t="str">
        <f>IF(D499="","",IF(AND(VLOOKUP(C499,STUDENTS!$A:$R,17,FALSE)=A499,VLOOKUP(C499,STUDENTS!$A:$R,18,FALSE)=B499,G499="Active"),"Đang học",IF(F499&gt;=0.8,IF(G499="Active","Tiếp tục khóa sau",IF(G499="Waiting for class","Chờ lớp mới",IF(G499="Inactive",IF(IFERROR(H499,"")="Discontinued mid-course","Nghỉ giữa chừng","Hoàn thành rồi nghỉ luôn"),""))),IF(G499="Inactive","Nghỉ giữa chừng","Đang học"))))</f>
        <v>Đang học</v>
      </c>
    </row>
    <row r="500">
      <c r="A500" s="11" t="str">
        <f>IFERROR(__xludf.DUMMYFUNCTION("""COMPUTED_VALUE"""),"EL046")</f>
        <v>EL046</v>
      </c>
      <c r="B500" s="11" t="str">
        <f>IFERROR(__xludf.DUMMYFUNCTION("""COMPUTED_VALUE"""),"Communication 1")</f>
        <v>Communication 1</v>
      </c>
      <c r="C500" s="11" t="str">
        <f>IFERROR(__xludf.DUMMYFUNCTION("""COMPUTED_VALUE"""),"213911")</f>
        <v>213911</v>
      </c>
      <c r="D500" s="11">
        <f>IFERROR(__xludf.DUMMYFUNCTION("""COMPUTED_VALUE"""),16.0)</f>
        <v>16</v>
      </c>
      <c r="E500" s="11">
        <f>IFERROR(VLOOKUP(B500,COURSE_PLAN!A:B,2,FALSE),"")</f>
        <v>10</v>
      </c>
      <c r="F500" s="11">
        <f t="shared" si="1"/>
        <v>1.6</v>
      </c>
      <c r="G500" s="11" t="str">
        <f>IFERROR(VLOOKUP(C500,STUDENTS!A:E,5,FALSE),"")</f>
        <v>Active</v>
      </c>
      <c r="H500" s="11" t="str">
        <f>IFERROR(VLOOKUP(C500,STUDENTS!A:M,13,FALSE),"")</f>
        <v/>
      </c>
      <c r="I500" s="11" t="str">
        <f>IF(D500="","",IF(AND(VLOOKUP(C500,STUDENTS!$A:$R,17,FALSE)=A500,VLOOKUP(C500,STUDENTS!$A:$R,18,FALSE)=B500,G500="Active"),"Đang học",IF(F500&gt;=0.8,IF(G500="Active","Tiếp tục khóa sau",IF(G500="Waiting for class","Chờ lớp mới",IF(G500="Inactive",IF(IFERROR(H500,"")="Discontinued mid-course","Nghỉ giữa chừng","Hoàn thành rồi nghỉ luôn"),""))),IF(G500="Inactive","Nghỉ giữa chừng","Đang học"))))</f>
        <v>Đang học</v>
      </c>
    </row>
    <row r="501">
      <c r="A501" s="11" t="str">
        <f>IFERROR(__xludf.DUMMYFUNCTION("""COMPUTED_VALUE"""),"EL046")</f>
        <v>EL046</v>
      </c>
      <c r="B501" s="11" t="str">
        <f>IFERROR(__xludf.DUMMYFUNCTION("""COMPUTED_VALUE"""),"Communication 1")</f>
        <v>Communication 1</v>
      </c>
      <c r="C501" s="11" t="str">
        <f>IFERROR(__xludf.DUMMYFUNCTION("""COMPUTED_VALUE"""),"237070")</f>
        <v>237070</v>
      </c>
      <c r="D501" s="11">
        <f>IFERROR(__xludf.DUMMYFUNCTION("""COMPUTED_VALUE"""),16.0)</f>
        <v>16</v>
      </c>
      <c r="E501" s="11">
        <f>IFERROR(VLOOKUP(B501,COURSE_PLAN!A:B,2,FALSE),"")</f>
        <v>10</v>
      </c>
      <c r="F501" s="11">
        <f t="shared" si="1"/>
        <v>1.6</v>
      </c>
      <c r="G501" s="11" t="str">
        <f>IFERROR(VLOOKUP(C501,STUDENTS!A:E,5,FALSE),"")</f>
        <v>Active</v>
      </c>
      <c r="H501" s="11" t="str">
        <f>IFERROR(VLOOKUP(C501,STUDENTS!A:M,13,FALSE),"")</f>
        <v/>
      </c>
      <c r="I501" s="11" t="str">
        <f>IF(D501="","",IF(AND(VLOOKUP(C501,STUDENTS!$A:$R,17,FALSE)=A501,VLOOKUP(C501,STUDENTS!$A:$R,18,FALSE)=B501,G501="Active"),"Đang học",IF(F501&gt;=0.8,IF(G501="Active","Tiếp tục khóa sau",IF(G501="Waiting for class","Chờ lớp mới",IF(G501="Inactive",IF(IFERROR(H501,"")="Discontinued mid-course","Nghỉ giữa chừng","Hoàn thành rồi nghỉ luôn"),""))),IF(G501="Inactive","Nghỉ giữa chừng","Đang học"))))</f>
        <v>Đang học</v>
      </c>
    </row>
    <row r="502">
      <c r="A502" s="11" t="str">
        <f>IFERROR(__xludf.DUMMYFUNCTION("""COMPUTED_VALUE"""),"EL047")</f>
        <v>EL047</v>
      </c>
      <c r="B502" s="11" t="str">
        <f>IFERROR(__xludf.DUMMYFUNCTION("""COMPUTED_VALUE"""),"Communication 1")</f>
        <v>Communication 1</v>
      </c>
      <c r="C502" s="11" t="str">
        <f>IFERROR(__xludf.DUMMYFUNCTION("""COMPUTED_VALUE"""),"193607")</f>
        <v>193607</v>
      </c>
      <c r="D502" s="11">
        <f>IFERROR(__xludf.DUMMYFUNCTION("""COMPUTED_VALUE"""),12.0)</f>
        <v>12</v>
      </c>
      <c r="E502" s="11">
        <f>IFERROR(VLOOKUP(B502,COURSE_PLAN!A:B,2,FALSE),"")</f>
        <v>10</v>
      </c>
      <c r="F502" s="11">
        <f t="shared" si="1"/>
        <v>1.2</v>
      </c>
      <c r="G502" s="11" t="str">
        <f>IFERROR(VLOOKUP(C502,STUDENTS!A:E,5,FALSE),"")</f>
        <v>Inactive</v>
      </c>
      <c r="H502" s="11" t="str">
        <f>IFERROR(VLOOKUP(C502,STUDENTS!A:M,13,FALSE),"")</f>
        <v>Discontinued mid-course</v>
      </c>
      <c r="I502" s="11" t="str">
        <f>IF(D502="","",IF(AND(VLOOKUP(C502,STUDENTS!$A:$R,17,FALSE)=A502,VLOOKUP(C502,STUDENTS!$A:$R,18,FALSE)=B502,G502="Active"),"Đang học",IF(F502&gt;=0.8,IF(G502="Active","Tiếp tục khóa sau",IF(G502="Waiting for class","Chờ lớp mới",IF(G502="Inactive",IF(IFERROR(H502,"")="Discontinued mid-course","Nghỉ giữa chừng","Hoàn thành rồi nghỉ luôn"),""))),IF(G502="Inactive","Nghỉ giữa chừng","Đang học"))))</f>
        <v>Nghỉ giữa chừng</v>
      </c>
    </row>
    <row r="503">
      <c r="A503" s="11" t="str">
        <f>IFERROR(__xludf.DUMMYFUNCTION("""COMPUTED_VALUE"""),"EL047")</f>
        <v>EL047</v>
      </c>
      <c r="B503" s="11" t="str">
        <f>IFERROR(__xludf.DUMMYFUNCTION("""COMPUTED_VALUE"""),"Communication 1")</f>
        <v>Communication 1</v>
      </c>
      <c r="C503" s="11" t="str">
        <f>IFERROR(__xludf.DUMMYFUNCTION("""COMPUTED_VALUE"""),"203713")</f>
        <v>203713</v>
      </c>
      <c r="D503" s="11">
        <f>IFERROR(__xludf.DUMMYFUNCTION("""COMPUTED_VALUE"""),16.0)</f>
        <v>16</v>
      </c>
      <c r="E503" s="11">
        <f>IFERROR(VLOOKUP(B503,COURSE_PLAN!A:B,2,FALSE),"")</f>
        <v>10</v>
      </c>
      <c r="F503" s="11">
        <f t="shared" si="1"/>
        <v>1.6</v>
      </c>
      <c r="G503" s="11" t="str">
        <f>IFERROR(VLOOKUP(C503,STUDENTS!A:E,5,FALSE),"")</f>
        <v>Active</v>
      </c>
      <c r="H503" s="11" t="str">
        <f>IFERROR(VLOOKUP(C503,STUDENTS!A:M,13,FALSE),"")</f>
        <v/>
      </c>
      <c r="I503" s="11" t="str">
        <f>IF(D503="","",IF(AND(VLOOKUP(C503,STUDENTS!$A:$R,17,FALSE)=A503,VLOOKUP(C503,STUDENTS!$A:$R,18,FALSE)=B503,G503="Active"),"Đang học",IF(F503&gt;=0.8,IF(G503="Active","Tiếp tục khóa sau",IF(G503="Waiting for class","Chờ lớp mới",IF(G503="Inactive",IF(IFERROR(H503,"")="Discontinued mid-course","Nghỉ giữa chừng","Hoàn thành rồi nghỉ luôn"),""))),IF(G503="Inactive","Nghỉ giữa chừng","Đang học"))))</f>
        <v>Đang học</v>
      </c>
    </row>
    <row r="504">
      <c r="A504" s="11" t="str">
        <f>IFERROR(__xludf.DUMMYFUNCTION("""COMPUTED_VALUE"""),"EL047")</f>
        <v>EL047</v>
      </c>
      <c r="B504" s="11" t="str">
        <f>IFERROR(__xludf.DUMMYFUNCTION("""COMPUTED_VALUE"""),"Communication 1")</f>
        <v>Communication 1</v>
      </c>
      <c r="C504" s="11" t="str">
        <f>IFERROR(__xludf.DUMMYFUNCTION("""COMPUTED_VALUE"""),"203725")</f>
        <v>203725</v>
      </c>
      <c r="D504" s="11">
        <f>IFERROR(__xludf.DUMMYFUNCTION("""COMPUTED_VALUE"""),16.0)</f>
        <v>16</v>
      </c>
      <c r="E504" s="11">
        <f>IFERROR(VLOOKUP(B504,COURSE_PLAN!A:B,2,FALSE),"")</f>
        <v>10</v>
      </c>
      <c r="F504" s="11">
        <f t="shared" si="1"/>
        <v>1.6</v>
      </c>
      <c r="G504" s="11" t="str">
        <f>IFERROR(VLOOKUP(C504,STUDENTS!A:E,5,FALSE),"")</f>
        <v>Active</v>
      </c>
      <c r="H504" s="11" t="str">
        <f>IFERROR(VLOOKUP(C504,STUDENTS!A:M,13,FALSE),"")</f>
        <v/>
      </c>
      <c r="I504" s="11" t="str">
        <f>IF(D504="","",IF(AND(VLOOKUP(C504,STUDENTS!$A:$R,17,FALSE)=A504,VLOOKUP(C504,STUDENTS!$A:$R,18,FALSE)=B504,G504="Active"),"Đang học",IF(F504&gt;=0.8,IF(G504="Active","Tiếp tục khóa sau",IF(G504="Waiting for class","Chờ lớp mới",IF(G504="Inactive",IF(IFERROR(H504,"")="Discontinued mid-course","Nghỉ giữa chừng","Hoàn thành rồi nghỉ luôn"),""))),IF(G504="Inactive","Nghỉ giữa chừng","Đang học"))))</f>
        <v>Đang học</v>
      </c>
    </row>
    <row r="505">
      <c r="A505" s="11" t="str">
        <f>IFERROR(__xludf.DUMMYFUNCTION("""COMPUTED_VALUE"""),"EL047")</f>
        <v>EL047</v>
      </c>
      <c r="B505" s="11" t="str">
        <f>IFERROR(__xludf.DUMMYFUNCTION("""COMPUTED_VALUE"""),"Communication 1")</f>
        <v>Communication 1</v>
      </c>
      <c r="C505" s="11" t="str">
        <f>IFERROR(__xludf.DUMMYFUNCTION("""COMPUTED_VALUE"""),"203791")</f>
        <v>203791</v>
      </c>
      <c r="D505" s="11">
        <f>IFERROR(__xludf.DUMMYFUNCTION("""COMPUTED_VALUE"""),16.0)</f>
        <v>16</v>
      </c>
      <c r="E505" s="11">
        <f>IFERROR(VLOOKUP(B505,COURSE_PLAN!A:B,2,FALSE),"")</f>
        <v>10</v>
      </c>
      <c r="F505" s="11">
        <f t="shared" si="1"/>
        <v>1.6</v>
      </c>
      <c r="G505" s="11" t="str">
        <f>IFERROR(VLOOKUP(C505,STUDENTS!A:E,5,FALSE),"")</f>
        <v>Active</v>
      </c>
      <c r="H505" s="11" t="str">
        <f>IFERROR(VLOOKUP(C505,STUDENTS!A:M,13,FALSE),"")</f>
        <v/>
      </c>
      <c r="I505" s="11" t="str">
        <f>IF(D505="","",IF(AND(VLOOKUP(C505,STUDENTS!$A:$R,17,FALSE)=A505,VLOOKUP(C505,STUDENTS!$A:$R,18,FALSE)=B505,G505="Active"),"Đang học",IF(F505&gt;=0.8,IF(G505="Active","Tiếp tục khóa sau",IF(G505="Waiting for class","Chờ lớp mới",IF(G505="Inactive",IF(IFERROR(H505,"")="Discontinued mid-course","Nghỉ giữa chừng","Hoàn thành rồi nghỉ luôn"),""))),IF(G505="Inactive","Nghỉ giữa chừng","Đang học"))))</f>
        <v>Đang học</v>
      </c>
    </row>
    <row r="506">
      <c r="A506" s="11" t="str">
        <f>IFERROR(__xludf.DUMMYFUNCTION("""COMPUTED_VALUE"""),"EL047")</f>
        <v>EL047</v>
      </c>
      <c r="B506" s="11" t="str">
        <f>IFERROR(__xludf.DUMMYFUNCTION("""COMPUTED_VALUE"""),"Communication 1")</f>
        <v>Communication 1</v>
      </c>
      <c r="C506" s="11" t="str">
        <f>IFERROR(__xludf.DUMMYFUNCTION("""COMPUTED_VALUE"""),"213874")</f>
        <v>213874</v>
      </c>
      <c r="D506" s="11">
        <f>IFERROR(__xludf.DUMMYFUNCTION("""COMPUTED_VALUE"""),16.0)</f>
        <v>16</v>
      </c>
      <c r="E506" s="11">
        <f>IFERROR(VLOOKUP(B506,COURSE_PLAN!A:B,2,FALSE),"")</f>
        <v>10</v>
      </c>
      <c r="F506" s="11">
        <f t="shared" si="1"/>
        <v>1.6</v>
      </c>
      <c r="G506" s="11" t="str">
        <f>IFERROR(VLOOKUP(C506,STUDENTS!A:E,5,FALSE),"")</f>
        <v>Active</v>
      </c>
      <c r="H506" s="11" t="str">
        <f>IFERROR(VLOOKUP(C506,STUDENTS!A:M,13,FALSE),"")</f>
        <v/>
      </c>
      <c r="I506" s="11" t="str">
        <f>IF(D506="","",IF(AND(VLOOKUP(C506,STUDENTS!$A:$R,17,FALSE)=A506,VLOOKUP(C506,STUDENTS!$A:$R,18,FALSE)=B506,G506="Active"),"Đang học",IF(F506&gt;=0.8,IF(G506="Active","Tiếp tục khóa sau",IF(G506="Waiting for class","Chờ lớp mới",IF(G506="Inactive",IF(IFERROR(H506,"")="Discontinued mid-course","Nghỉ giữa chừng","Hoàn thành rồi nghỉ luôn"),""))),IF(G506="Inactive","Nghỉ giữa chừng","Đang học"))))</f>
        <v>Đang học</v>
      </c>
    </row>
    <row r="507">
      <c r="A507" s="11" t="str">
        <f>IFERROR(__xludf.DUMMYFUNCTION("""COMPUTED_VALUE"""),"EL047")</f>
        <v>EL047</v>
      </c>
      <c r="B507" s="11" t="str">
        <f>IFERROR(__xludf.DUMMYFUNCTION("""COMPUTED_VALUE"""),"Communication 1")</f>
        <v>Communication 1</v>
      </c>
      <c r="C507" s="11" t="str">
        <f>IFERROR(__xludf.DUMMYFUNCTION("""COMPUTED_VALUE"""),"237031")</f>
        <v>237031</v>
      </c>
      <c r="D507" s="11">
        <f>IFERROR(__xludf.DUMMYFUNCTION("""COMPUTED_VALUE"""),16.0)</f>
        <v>16</v>
      </c>
      <c r="E507" s="11">
        <f>IFERROR(VLOOKUP(B507,COURSE_PLAN!A:B,2,FALSE),"")</f>
        <v>10</v>
      </c>
      <c r="F507" s="11">
        <f t="shared" si="1"/>
        <v>1.6</v>
      </c>
      <c r="G507" s="11" t="str">
        <f>IFERROR(VLOOKUP(C507,STUDENTS!A:E,5,FALSE),"")</f>
        <v>Active</v>
      </c>
      <c r="H507" s="11" t="str">
        <f>IFERROR(VLOOKUP(C507,STUDENTS!A:M,13,FALSE),"")</f>
        <v/>
      </c>
      <c r="I507" s="11" t="str">
        <f>IF(D507="","",IF(AND(VLOOKUP(C507,STUDENTS!$A:$R,17,FALSE)=A507,VLOOKUP(C507,STUDENTS!$A:$R,18,FALSE)=B507,G507="Active"),"Đang học",IF(F507&gt;=0.8,IF(G507="Active","Tiếp tục khóa sau",IF(G507="Waiting for class","Chờ lớp mới",IF(G507="Inactive",IF(IFERROR(H507,"")="Discontinued mid-course","Nghỉ giữa chừng","Hoàn thành rồi nghỉ luôn"),""))),IF(G507="Inactive","Nghỉ giữa chừng","Đang học"))))</f>
        <v>Đang học</v>
      </c>
    </row>
    <row r="508">
      <c r="A508" s="11" t="str">
        <f>IFERROR(__xludf.DUMMYFUNCTION("""COMPUTED_VALUE"""),"EL048")</f>
        <v>EL048</v>
      </c>
      <c r="B508" s="11" t="str">
        <f>IFERROR(__xludf.DUMMYFUNCTION("""COMPUTED_VALUE"""),"Communication 1")</f>
        <v>Communication 1</v>
      </c>
      <c r="C508" s="11" t="str">
        <f>IFERROR(__xludf.DUMMYFUNCTION("""COMPUTED_VALUE"""),"203786")</f>
        <v>203786</v>
      </c>
      <c r="D508" s="11">
        <f>IFERROR(__xludf.DUMMYFUNCTION("""COMPUTED_VALUE"""),13.0)</f>
        <v>13</v>
      </c>
      <c r="E508" s="11">
        <f>IFERROR(VLOOKUP(B508,COURSE_PLAN!A:B,2,FALSE),"")</f>
        <v>10</v>
      </c>
      <c r="F508" s="11">
        <f t="shared" si="1"/>
        <v>1.3</v>
      </c>
      <c r="G508" s="11" t="str">
        <f>IFERROR(VLOOKUP(C508,STUDENTS!A:E,5,FALSE),"")</f>
        <v>Active</v>
      </c>
      <c r="H508" s="11" t="str">
        <f>IFERROR(VLOOKUP(C508,STUDENTS!A:M,13,FALSE),"")</f>
        <v/>
      </c>
      <c r="I508" s="11" t="str">
        <f>IF(D508="","",IF(AND(VLOOKUP(C508,STUDENTS!$A:$R,17,FALSE)=A508,VLOOKUP(C508,STUDENTS!$A:$R,18,FALSE)=B508,G508="Active"),"Đang học",IF(F508&gt;=0.8,IF(G508="Active","Tiếp tục khóa sau",IF(G508="Waiting for class","Chờ lớp mới",IF(G508="Inactive",IF(IFERROR(H508,"")="Discontinued mid-course","Nghỉ giữa chừng","Hoàn thành rồi nghỉ luôn"),""))),IF(G508="Inactive","Nghỉ giữa chừng","Đang học"))))</f>
        <v>Đang học</v>
      </c>
    </row>
    <row r="509">
      <c r="A509" s="11" t="str">
        <f>IFERROR(__xludf.DUMMYFUNCTION("""COMPUTED_VALUE"""),"EL048")</f>
        <v>EL048</v>
      </c>
      <c r="B509" s="11" t="str">
        <f>IFERROR(__xludf.DUMMYFUNCTION("""COMPUTED_VALUE"""),"Communication 1")</f>
        <v>Communication 1</v>
      </c>
      <c r="C509" s="11" t="str">
        <f>IFERROR(__xludf.DUMMYFUNCTION("""COMPUTED_VALUE"""),"213813")</f>
        <v>213813</v>
      </c>
      <c r="D509" s="11">
        <f>IFERROR(__xludf.DUMMYFUNCTION("""COMPUTED_VALUE"""),13.0)</f>
        <v>13</v>
      </c>
      <c r="E509" s="11">
        <f>IFERROR(VLOOKUP(B509,COURSE_PLAN!A:B,2,FALSE),"")</f>
        <v>10</v>
      </c>
      <c r="F509" s="11">
        <f t="shared" si="1"/>
        <v>1.3</v>
      </c>
      <c r="G509" s="11" t="str">
        <f>IFERROR(VLOOKUP(C509,STUDENTS!A:E,5,FALSE),"")</f>
        <v>Active</v>
      </c>
      <c r="H509" s="11" t="str">
        <f>IFERROR(VLOOKUP(C509,STUDENTS!A:M,13,FALSE),"")</f>
        <v/>
      </c>
      <c r="I509" s="11" t="str">
        <f>IF(D509="","",IF(AND(VLOOKUP(C509,STUDENTS!$A:$R,17,FALSE)=A509,VLOOKUP(C509,STUDENTS!$A:$R,18,FALSE)=B509,G509="Active"),"Đang học",IF(F509&gt;=0.8,IF(G509="Active","Tiếp tục khóa sau",IF(G509="Waiting for class","Chờ lớp mới",IF(G509="Inactive",IF(IFERROR(H509,"")="Discontinued mid-course","Nghỉ giữa chừng","Hoàn thành rồi nghỉ luôn"),""))),IF(G509="Inactive","Nghỉ giữa chừng","Đang học"))))</f>
        <v>Đang học</v>
      </c>
    </row>
    <row r="510">
      <c r="A510" s="11" t="str">
        <f>IFERROR(__xludf.DUMMYFUNCTION("""COMPUTED_VALUE"""),"EL048")</f>
        <v>EL048</v>
      </c>
      <c r="B510" s="11" t="str">
        <f>IFERROR(__xludf.DUMMYFUNCTION("""COMPUTED_VALUE"""),"Communication 1")</f>
        <v>Communication 1</v>
      </c>
      <c r="C510" s="11" t="str">
        <f>IFERROR(__xludf.DUMMYFUNCTION("""COMPUTED_VALUE"""),"227005")</f>
        <v>227005</v>
      </c>
      <c r="D510" s="11">
        <f>IFERROR(__xludf.DUMMYFUNCTION("""COMPUTED_VALUE"""),13.0)</f>
        <v>13</v>
      </c>
      <c r="E510" s="11">
        <f>IFERROR(VLOOKUP(B510,COURSE_PLAN!A:B,2,FALSE),"")</f>
        <v>10</v>
      </c>
      <c r="F510" s="11">
        <f t="shared" si="1"/>
        <v>1.3</v>
      </c>
      <c r="G510" s="11" t="str">
        <f>IFERROR(VLOOKUP(C510,STUDENTS!A:E,5,FALSE),"")</f>
        <v>Active</v>
      </c>
      <c r="H510" s="11" t="str">
        <f>IFERROR(VLOOKUP(C510,STUDENTS!A:M,13,FALSE),"")</f>
        <v/>
      </c>
      <c r="I510" s="11" t="str">
        <f>IF(D510="","",IF(AND(VLOOKUP(C510,STUDENTS!$A:$R,17,FALSE)=A510,VLOOKUP(C510,STUDENTS!$A:$R,18,FALSE)=B510,G510="Active"),"Đang học",IF(F510&gt;=0.8,IF(G510="Active","Tiếp tục khóa sau",IF(G510="Waiting for class","Chờ lớp mới",IF(G510="Inactive",IF(IFERROR(H510,"")="Discontinued mid-course","Nghỉ giữa chừng","Hoàn thành rồi nghỉ luôn"),""))),IF(G510="Inactive","Nghỉ giữa chừng","Đang học"))))</f>
        <v>Đang học</v>
      </c>
    </row>
    <row r="511">
      <c r="A511" s="11" t="str">
        <f>IFERROR(__xludf.DUMMYFUNCTION("""COMPUTED_VALUE"""),"EL048")</f>
        <v>EL048</v>
      </c>
      <c r="B511" s="11" t="str">
        <f>IFERROR(__xludf.DUMMYFUNCTION("""COMPUTED_VALUE"""),"Communication 1")</f>
        <v>Communication 1</v>
      </c>
      <c r="C511" s="11" t="str">
        <f>IFERROR(__xludf.DUMMYFUNCTION("""COMPUTED_VALUE"""),"237103")</f>
        <v>237103</v>
      </c>
      <c r="D511" s="11">
        <f>IFERROR(__xludf.DUMMYFUNCTION("""COMPUTED_VALUE"""),13.0)</f>
        <v>13</v>
      </c>
      <c r="E511" s="11">
        <f>IFERROR(VLOOKUP(B511,COURSE_PLAN!A:B,2,FALSE),"")</f>
        <v>10</v>
      </c>
      <c r="F511" s="11">
        <f t="shared" si="1"/>
        <v>1.3</v>
      </c>
      <c r="G511" s="11" t="str">
        <f>IFERROR(VLOOKUP(C511,STUDENTS!A:E,5,FALSE),"")</f>
        <v>Active</v>
      </c>
      <c r="H511" s="11" t="str">
        <f>IFERROR(VLOOKUP(C511,STUDENTS!A:M,13,FALSE),"")</f>
        <v/>
      </c>
      <c r="I511" s="11" t="str">
        <f>IF(D511="","",IF(AND(VLOOKUP(C511,STUDENTS!$A:$R,17,FALSE)=A511,VLOOKUP(C511,STUDENTS!$A:$R,18,FALSE)=B511,G511="Active"),"Đang học",IF(F511&gt;=0.8,IF(G511="Active","Tiếp tục khóa sau",IF(G511="Waiting for class","Chờ lớp mới",IF(G511="Inactive",IF(IFERROR(H511,"")="Discontinued mid-course","Nghỉ giữa chừng","Hoàn thành rồi nghỉ luôn"),""))),IF(G511="Inactive","Nghỉ giữa chừng","Đang học"))))</f>
        <v>Đang học</v>
      </c>
    </row>
    <row r="512">
      <c r="A512" s="11" t="str">
        <f>IFERROR(__xludf.DUMMYFUNCTION("""COMPUTED_VALUE"""),"EL048")</f>
        <v>EL048</v>
      </c>
      <c r="B512" s="11" t="str">
        <f>IFERROR(__xludf.DUMMYFUNCTION("""COMPUTED_VALUE"""),"Communication 1")</f>
        <v>Communication 1</v>
      </c>
      <c r="C512" s="11" t="str">
        <f>IFERROR(__xludf.DUMMYFUNCTION("""COMPUTED_VALUE"""),"257059")</f>
        <v>257059</v>
      </c>
      <c r="D512" s="11">
        <f>IFERROR(__xludf.DUMMYFUNCTION("""COMPUTED_VALUE"""),13.0)</f>
        <v>13</v>
      </c>
      <c r="E512" s="11">
        <f>IFERROR(VLOOKUP(B512,COURSE_PLAN!A:B,2,FALSE),"")</f>
        <v>10</v>
      </c>
      <c r="F512" s="11">
        <f t="shared" si="1"/>
        <v>1.3</v>
      </c>
      <c r="G512" s="11" t="str">
        <f>IFERROR(VLOOKUP(C512,STUDENTS!A:E,5,FALSE),"")</f>
        <v>Active</v>
      </c>
      <c r="H512" s="11" t="str">
        <f>IFERROR(VLOOKUP(C512,STUDENTS!A:M,13,FALSE),"")</f>
        <v/>
      </c>
      <c r="I512" s="11" t="str">
        <f>IF(D512="","",IF(AND(VLOOKUP(C512,STUDENTS!$A:$R,17,FALSE)=A512,VLOOKUP(C512,STUDENTS!$A:$R,18,FALSE)=B512,G512="Active"),"Đang học",IF(F512&gt;=0.8,IF(G512="Active","Tiếp tục khóa sau",IF(G512="Waiting for class","Chờ lớp mới",IF(G512="Inactive",IF(IFERROR(H512,"")="Discontinued mid-course","Nghỉ giữa chừng","Hoàn thành rồi nghỉ luôn"),""))),IF(G512="Inactive","Nghỉ giữa chừng","Đang học"))))</f>
        <v>Đang học</v>
      </c>
    </row>
    <row r="513">
      <c r="A513" s="11" t="str">
        <f>IFERROR(__xludf.DUMMYFUNCTION("""COMPUTED_VALUE"""),"EL048")</f>
        <v>EL048</v>
      </c>
      <c r="B513" s="11" t="str">
        <f>IFERROR(__xludf.DUMMYFUNCTION("""COMPUTED_VALUE"""),"Communication 1")</f>
        <v>Communication 1</v>
      </c>
      <c r="C513" s="11" t="str">
        <f>IFERROR(__xludf.DUMMYFUNCTION("""COMPUTED_VALUE"""),"257121")</f>
        <v>257121</v>
      </c>
      <c r="D513" s="11">
        <f>IFERROR(__xludf.DUMMYFUNCTION("""COMPUTED_VALUE"""),13.0)</f>
        <v>13</v>
      </c>
      <c r="E513" s="11">
        <f>IFERROR(VLOOKUP(B513,COURSE_PLAN!A:B,2,FALSE),"")</f>
        <v>10</v>
      </c>
      <c r="F513" s="11">
        <f t="shared" si="1"/>
        <v>1.3</v>
      </c>
      <c r="G513" s="11" t="str">
        <f>IFERROR(VLOOKUP(C513,STUDENTS!A:E,5,FALSE),"")</f>
        <v>Active</v>
      </c>
      <c r="H513" s="11" t="str">
        <f>IFERROR(VLOOKUP(C513,STUDENTS!A:M,13,FALSE),"")</f>
        <v/>
      </c>
      <c r="I513" s="11" t="str">
        <f>IF(D513="","",IF(AND(VLOOKUP(C513,STUDENTS!$A:$R,17,FALSE)=A513,VLOOKUP(C513,STUDENTS!$A:$R,18,FALSE)=B513,G513="Active"),"Đang học",IF(F513&gt;=0.8,IF(G513="Active","Tiếp tục khóa sau",IF(G513="Waiting for class","Chờ lớp mới",IF(G513="Inactive",IF(IFERROR(H513,"")="Discontinued mid-course","Nghỉ giữa chừng","Hoàn thành rồi nghỉ luôn"),""))),IF(G513="Inactive","Nghỉ giữa chừng","Đang học"))))</f>
        <v>Đang học</v>
      </c>
    </row>
    <row r="514">
      <c r="A514" s="11" t="str">
        <f>IFERROR(__xludf.DUMMYFUNCTION("""COMPUTED_VALUE"""),"EL048")</f>
        <v>EL048</v>
      </c>
      <c r="B514" s="11" t="str">
        <f>IFERROR(__xludf.DUMMYFUNCTION("""COMPUTED_VALUE"""),"Communication 1")</f>
        <v>Communication 1</v>
      </c>
      <c r="C514" s="11" t="str">
        <f>IFERROR(__xludf.DUMMYFUNCTION("""COMPUTED_VALUE"""),"257135")</f>
        <v>257135</v>
      </c>
      <c r="D514" s="11">
        <f>IFERROR(__xludf.DUMMYFUNCTION("""COMPUTED_VALUE"""),13.0)</f>
        <v>13</v>
      </c>
      <c r="E514" s="11">
        <f>IFERROR(VLOOKUP(B514,COURSE_PLAN!A:B,2,FALSE),"")</f>
        <v>10</v>
      </c>
      <c r="F514" s="11">
        <f t="shared" si="1"/>
        <v>1.3</v>
      </c>
      <c r="G514" s="11" t="str">
        <f>IFERROR(VLOOKUP(C514,STUDENTS!A:E,5,FALSE),"")</f>
        <v>Active</v>
      </c>
      <c r="H514" s="11" t="str">
        <f>IFERROR(VLOOKUP(C514,STUDENTS!A:M,13,FALSE),"")</f>
        <v/>
      </c>
      <c r="I514" s="11" t="str">
        <f>IF(D514="","",IF(AND(VLOOKUP(C514,STUDENTS!$A:$R,17,FALSE)=A514,VLOOKUP(C514,STUDENTS!$A:$R,18,FALSE)=B514,G514="Active"),"Đang học",IF(F514&gt;=0.8,IF(G514="Active","Tiếp tục khóa sau",IF(G514="Waiting for class","Chờ lớp mới",IF(G514="Inactive",IF(IFERROR(H514,"")="Discontinued mid-course","Nghỉ giữa chừng","Hoàn thành rồi nghỉ luôn"),""))),IF(G514="Inactive","Nghỉ giữa chừng","Đang học"))))</f>
        <v>Đang học</v>
      </c>
    </row>
    <row r="515">
      <c r="A515" s="11" t="str">
        <f>IFERROR(__xludf.DUMMYFUNCTION("""COMPUTED_VALUE"""),"EL049")</f>
        <v>EL049</v>
      </c>
      <c r="B515" s="11" t="str">
        <f>IFERROR(__xludf.DUMMYFUNCTION("""COMPUTED_VALUE"""),"Foundation")</f>
        <v>Foundation</v>
      </c>
      <c r="C515" s="11" t="str">
        <f>IFERROR(__xludf.DUMMYFUNCTION("""COMPUTED_VALUE"""),"183382")</f>
        <v>183382</v>
      </c>
      <c r="D515" s="11">
        <f>IFERROR(__xludf.DUMMYFUNCTION("""COMPUTED_VALUE"""),15.0)</f>
        <v>15</v>
      </c>
      <c r="E515" s="11">
        <f>IFERROR(VLOOKUP(B515,COURSE_PLAN!A:B,2,FALSE),"")</f>
        <v>16</v>
      </c>
      <c r="F515" s="11">
        <f t="shared" si="1"/>
        <v>0.9375</v>
      </c>
      <c r="G515" s="11" t="str">
        <f>IFERROR(VLOOKUP(C515,STUDENTS!A:E,5,FALSE),"")</f>
        <v>Active</v>
      </c>
      <c r="H515" s="11" t="str">
        <f>IFERROR(VLOOKUP(C515,STUDENTS!A:M,13,FALSE),"")</f>
        <v/>
      </c>
      <c r="I515" s="11" t="str">
        <f>IF(D515="","",IF(AND(VLOOKUP(C515,STUDENTS!$A:$R,17,FALSE)=A515,VLOOKUP(C515,STUDENTS!$A:$R,18,FALSE)=B515,G515="Active"),"Đang học",IF(F515&gt;=0.8,IF(G515="Active","Tiếp tục khóa sau",IF(G515="Waiting for class","Chờ lớp mới",IF(G515="Inactive",IF(IFERROR(H515,"")="Discontinued mid-course","Nghỉ giữa chừng","Hoàn thành rồi nghỉ luôn"),""))),IF(G515="Inactive","Nghỉ giữa chừng","Đang học"))))</f>
        <v>Đang học</v>
      </c>
    </row>
    <row r="516">
      <c r="A516" s="11" t="str">
        <f>IFERROR(__xludf.DUMMYFUNCTION("""COMPUTED_VALUE"""),"EL049")</f>
        <v>EL049</v>
      </c>
      <c r="B516" s="11" t="str">
        <f>IFERROR(__xludf.DUMMYFUNCTION("""COMPUTED_VALUE"""),"Foundation")</f>
        <v>Foundation</v>
      </c>
      <c r="C516" s="11" t="str">
        <f>IFERROR(__xludf.DUMMYFUNCTION("""COMPUTED_VALUE"""),"193495")</f>
        <v>193495</v>
      </c>
      <c r="D516" s="11">
        <f>IFERROR(__xludf.DUMMYFUNCTION("""COMPUTED_VALUE"""),13.0)</f>
        <v>13</v>
      </c>
      <c r="E516" s="11">
        <f>IFERROR(VLOOKUP(B516,COURSE_PLAN!A:B,2,FALSE),"")</f>
        <v>16</v>
      </c>
      <c r="F516" s="11">
        <f t="shared" si="1"/>
        <v>0.8125</v>
      </c>
      <c r="G516" s="11" t="str">
        <f>IFERROR(VLOOKUP(C516,STUDENTS!A:E,5,FALSE),"")</f>
        <v>Active</v>
      </c>
      <c r="H516" s="11" t="str">
        <f>IFERROR(VLOOKUP(C516,STUDENTS!A:M,13,FALSE),"")</f>
        <v/>
      </c>
      <c r="I516" s="11" t="str">
        <f>IF(D516="","",IF(AND(VLOOKUP(C516,STUDENTS!$A:$R,17,FALSE)=A516,VLOOKUP(C516,STUDENTS!$A:$R,18,FALSE)=B516,G516="Active"),"Đang học",IF(F516&gt;=0.8,IF(G516="Active","Tiếp tục khóa sau",IF(G516="Waiting for class","Chờ lớp mới",IF(G516="Inactive",IF(IFERROR(H516,"")="Discontinued mid-course","Nghỉ giữa chừng","Hoàn thành rồi nghỉ luôn"),""))),IF(G516="Inactive","Nghỉ giữa chừng","Đang học"))))</f>
        <v>Đang học</v>
      </c>
    </row>
    <row r="517">
      <c r="A517" s="11" t="str">
        <f>IFERROR(__xludf.DUMMYFUNCTION("""COMPUTED_VALUE"""),"EL049")</f>
        <v>EL049</v>
      </c>
      <c r="B517" s="11" t="str">
        <f>IFERROR(__xludf.DUMMYFUNCTION("""COMPUTED_VALUE"""),"Foundation")</f>
        <v>Foundation</v>
      </c>
      <c r="C517" s="11" t="str">
        <f>IFERROR(__xludf.DUMMYFUNCTION("""COMPUTED_VALUE"""),"227103")</f>
        <v>227103</v>
      </c>
      <c r="D517" s="11">
        <f>IFERROR(__xludf.DUMMYFUNCTION("""COMPUTED_VALUE"""),15.0)</f>
        <v>15</v>
      </c>
      <c r="E517" s="11">
        <f>IFERROR(VLOOKUP(B517,COURSE_PLAN!A:B,2,FALSE),"")</f>
        <v>16</v>
      </c>
      <c r="F517" s="11">
        <f t="shared" si="1"/>
        <v>0.9375</v>
      </c>
      <c r="G517" s="11" t="str">
        <f>IFERROR(VLOOKUP(C517,STUDENTS!A:E,5,FALSE),"")</f>
        <v>Active</v>
      </c>
      <c r="H517" s="11" t="str">
        <f>IFERROR(VLOOKUP(C517,STUDENTS!A:M,13,FALSE),"")</f>
        <v/>
      </c>
      <c r="I517" s="11" t="str">
        <f>IF(D517="","",IF(AND(VLOOKUP(C517,STUDENTS!$A:$R,17,FALSE)=A517,VLOOKUP(C517,STUDENTS!$A:$R,18,FALSE)=B517,G517="Active"),"Đang học",IF(F517&gt;=0.8,IF(G517="Active","Tiếp tục khóa sau",IF(G517="Waiting for class","Chờ lớp mới",IF(G517="Inactive",IF(IFERROR(H517,"")="Discontinued mid-course","Nghỉ giữa chừng","Hoàn thành rồi nghỉ luôn"),""))),IF(G517="Inactive","Nghỉ giữa chừng","Đang học"))))</f>
        <v>Đang học</v>
      </c>
    </row>
    <row r="518">
      <c r="A518" s="11" t="str">
        <f>IFERROR(__xludf.DUMMYFUNCTION("""COMPUTED_VALUE"""),"EL049")</f>
        <v>EL049</v>
      </c>
      <c r="B518" s="11" t="str">
        <f>IFERROR(__xludf.DUMMYFUNCTION("""COMPUTED_VALUE"""),"Foundation")</f>
        <v>Foundation</v>
      </c>
      <c r="C518" s="11" t="str">
        <f>IFERROR(__xludf.DUMMYFUNCTION("""COMPUTED_VALUE"""),"227116")</f>
        <v>227116</v>
      </c>
      <c r="D518" s="11">
        <f>IFERROR(__xludf.DUMMYFUNCTION("""COMPUTED_VALUE"""),15.0)</f>
        <v>15</v>
      </c>
      <c r="E518" s="11">
        <f>IFERROR(VLOOKUP(B518,COURSE_PLAN!A:B,2,FALSE),"")</f>
        <v>16</v>
      </c>
      <c r="F518" s="11">
        <f t="shared" si="1"/>
        <v>0.9375</v>
      </c>
      <c r="G518" s="11" t="str">
        <f>IFERROR(VLOOKUP(C518,STUDENTS!A:E,5,FALSE),"")</f>
        <v>Active</v>
      </c>
      <c r="H518" s="11" t="str">
        <f>IFERROR(VLOOKUP(C518,STUDENTS!A:M,13,FALSE),"")</f>
        <v/>
      </c>
      <c r="I518" s="11" t="str">
        <f>IF(D518="","",IF(AND(VLOOKUP(C518,STUDENTS!$A:$R,17,FALSE)=A518,VLOOKUP(C518,STUDENTS!$A:$R,18,FALSE)=B518,G518="Active"),"Đang học",IF(F518&gt;=0.8,IF(G518="Active","Tiếp tục khóa sau",IF(G518="Waiting for class","Chờ lớp mới",IF(G518="Inactive",IF(IFERROR(H518,"")="Discontinued mid-course","Nghỉ giữa chừng","Hoàn thành rồi nghỉ luôn"),""))),IF(G518="Inactive","Nghỉ giữa chừng","Đang học"))))</f>
        <v>Đang học</v>
      </c>
    </row>
    <row r="519">
      <c r="A519" s="11" t="str">
        <f>IFERROR(__xludf.DUMMYFUNCTION("""COMPUTED_VALUE"""),"EL049")</f>
        <v>EL049</v>
      </c>
      <c r="B519" s="11" t="str">
        <f>IFERROR(__xludf.DUMMYFUNCTION("""COMPUTED_VALUE"""),"Foundation")</f>
        <v>Foundation</v>
      </c>
      <c r="C519" s="11" t="str">
        <f>IFERROR(__xludf.DUMMYFUNCTION("""COMPUTED_VALUE"""),"237103")</f>
        <v>237103</v>
      </c>
      <c r="D519" s="11">
        <f>IFERROR(__xludf.DUMMYFUNCTION("""COMPUTED_VALUE"""),14.0)</f>
        <v>14</v>
      </c>
      <c r="E519" s="11">
        <f>IFERROR(VLOOKUP(B519,COURSE_PLAN!A:B,2,FALSE),"")</f>
        <v>16</v>
      </c>
      <c r="F519" s="11">
        <f t="shared" si="1"/>
        <v>0.875</v>
      </c>
      <c r="G519" s="11" t="str">
        <f>IFERROR(VLOOKUP(C519,STUDENTS!A:E,5,FALSE),"")</f>
        <v>Active</v>
      </c>
      <c r="H519" s="11" t="str">
        <f>IFERROR(VLOOKUP(C519,STUDENTS!A:M,13,FALSE),"")</f>
        <v/>
      </c>
      <c r="I519" s="11" t="str">
        <f>IF(D519="","",IF(AND(VLOOKUP(C519,STUDENTS!$A:$R,17,FALSE)=A519,VLOOKUP(C519,STUDENTS!$A:$R,18,FALSE)=B519,G519="Active"),"Đang học",IF(F519&gt;=0.8,IF(G519="Active","Tiếp tục khóa sau",IF(G519="Waiting for class","Chờ lớp mới",IF(G519="Inactive",IF(IFERROR(H519,"")="Discontinued mid-course","Nghỉ giữa chừng","Hoàn thành rồi nghỉ luôn"),""))),IF(G519="Inactive","Nghỉ giữa chừng","Đang học"))))</f>
        <v>Tiếp tục khóa sau</v>
      </c>
    </row>
    <row r="520">
      <c r="A520" s="11" t="str">
        <f>IFERROR(__xludf.DUMMYFUNCTION("""COMPUTED_VALUE"""),"EL049")</f>
        <v>EL049</v>
      </c>
      <c r="B520" s="11" t="str">
        <f>IFERROR(__xludf.DUMMYFUNCTION("""COMPUTED_VALUE"""),"Foundation")</f>
        <v>Foundation</v>
      </c>
      <c r="C520" s="11" t="str">
        <f>IFERROR(__xludf.DUMMYFUNCTION("""COMPUTED_VALUE"""),"237201")</f>
        <v>237201</v>
      </c>
      <c r="D520" s="11">
        <f>IFERROR(__xludf.DUMMYFUNCTION("""COMPUTED_VALUE"""),15.0)</f>
        <v>15</v>
      </c>
      <c r="E520" s="11">
        <f>IFERROR(VLOOKUP(B520,COURSE_PLAN!A:B,2,FALSE),"")</f>
        <v>16</v>
      </c>
      <c r="F520" s="11">
        <f t="shared" si="1"/>
        <v>0.9375</v>
      </c>
      <c r="G520" s="11" t="str">
        <f>IFERROR(VLOOKUP(C520,STUDENTS!A:E,5,FALSE),"")</f>
        <v>Active</v>
      </c>
      <c r="H520" s="11" t="str">
        <f>IFERROR(VLOOKUP(C520,STUDENTS!A:M,13,FALSE),"")</f>
        <v/>
      </c>
      <c r="I520" s="11" t="str">
        <f>IF(D520="","",IF(AND(VLOOKUP(C520,STUDENTS!$A:$R,17,FALSE)=A520,VLOOKUP(C520,STUDENTS!$A:$R,18,FALSE)=B520,G520="Active"),"Đang học",IF(F520&gt;=0.8,IF(G520="Active","Tiếp tục khóa sau",IF(G520="Waiting for class","Chờ lớp mới",IF(G520="Inactive",IF(IFERROR(H520,"")="Discontinued mid-course","Nghỉ giữa chừng","Hoàn thành rồi nghỉ luôn"),""))),IF(G520="Inactive","Nghỉ giữa chừng","Đang học"))))</f>
        <v>Đang học</v>
      </c>
    </row>
    <row r="521">
      <c r="A521" s="11" t="str">
        <f>IFERROR(__xludf.DUMMYFUNCTION("""COMPUTED_VALUE"""),"EL049")</f>
        <v>EL049</v>
      </c>
      <c r="B521" s="11" t="str">
        <f>IFERROR(__xludf.DUMMYFUNCTION("""COMPUTED_VALUE"""),"Foundation")</f>
        <v>Foundation</v>
      </c>
      <c r="C521" s="11" t="str">
        <f>IFERROR(__xludf.DUMMYFUNCTION("""COMPUTED_VALUE"""),"237239")</f>
        <v>237239</v>
      </c>
      <c r="D521" s="11">
        <f>IFERROR(__xludf.DUMMYFUNCTION("""COMPUTED_VALUE"""),15.0)</f>
        <v>15</v>
      </c>
      <c r="E521" s="11">
        <f>IFERROR(VLOOKUP(B521,COURSE_PLAN!A:B,2,FALSE),"")</f>
        <v>16</v>
      </c>
      <c r="F521" s="11">
        <f t="shared" si="1"/>
        <v>0.9375</v>
      </c>
      <c r="G521" s="11" t="str">
        <f>IFERROR(VLOOKUP(C521,STUDENTS!A:E,5,FALSE),"")</f>
        <v>Active</v>
      </c>
      <c r="H521" s="11" t="str">
        <f>IFERROR(VLOOKUP(C521,STUDENTS!A:M,13,FALSE),"")</f>
        <v/>
      </c>
      <c r="I521" s="11" t="str">
        <f>IF(D521="","",IF(AND(VLOOKUP(C521,STUDENTS!$A:$R,17,FALSE)=A521,VLOOKUP(C521,STUDENTS!$A:$R,18,FALSE)=B521,G521="Active"),"Đang học",IF(F521&gt;=0.8,IF(G521="Active","Tiếp tục khóa sau",IF(G521="Waiting for class","Chờ lớp mới",IF(G521="Inactive",IF(IFERROR(H521,"")="Discontinued mid-course","Nghỉ giữa chừng","Hoàn thành rồi nghỉ luôn"),""))),IF(G521="Inactive","Nghỉ giữa chừng","Đang học"))))</f>
        <v>Đang học</v>
      </c>
    </row>
    <row r="522">
      <c r="A522" s="11" t="str">
        <f>IFERROR(__xludf.DUMMYFUNCTION("""COMPUTED_VALUE"""),"EL049")</f>
        <v>EL049</v>
      </c>
      <c r="B522" s="11" t="str">
        <f>IFERROR(__xludf.DUMMYFUNCTION("""COMPUTED_VALUE"""),"Foundation")</f>
        <v>Foundation</v>
      </c>
      <c r="C522" s="11" t="str">
        <f>IFERROR(__xludf.DUMMYFUNCTION("""COMPUTED_VALUE"""),"247413")</f>
        <v>247413</v>
      </c>
      <c r="D522" s="11">
        <f>IFERROR(__xludf.DUMMYFUNCTION("""COMPUTED_VALUE"""),15.0)</f>
        <v>15</v>
      </c>
      <c r="E522" s="11">
        <f>IFERROR(VLOOKUP(B522,COURSE_PLAN!A:B,2,FALSE),"")</f>
        <v>16</v>
      </c>
      <c r="F522" s="11">
        <f t="shared" si="1"/>
        <v>0.9375</v>
      </c>
      <c r="G522" s="11" t="str">
        <f>IFERROR(VLOOKUP(C522,STUDENTS!A:E,5,FALSE),"")</f>
        <v>Active</v>
      </c>
      <c r="H522" s="11" t="str">
        <f>IFERROR(VLOOKUP(C522,STUDENTS!A:M,13,FALSE),"")</f>
        <v/>
      </c>
      <c r="I522" s="11" t="str">
        <f>IF(D522="","",IF(AND(VLOOKUP(C522,STUDENTS!$A:$R,17,FALSE)=A522,VLOOKUP(C522,STUDENTS!$A:$R,18,FALSE)=B522,G522="Active"),"Đang học",IF(F522&gt;=0.8,IF(G522="Active","Tiếp tục khóa sau",IF(G522="Waiting for class","Chờ lớp mới",IF(G522="Inactive",IF(IFERROR(H522,"")="Discontinued mid-course","Nghỉ giữa chừng","Hoàn thành rồi nghỉ luôn"),""))),IF(G522="Inactive","Nghỉ giữa chừng","Đang học"))))</f>
        <v>Đang học</v>
      </c>
    </row>
    <row r="523">
      <c r="A523" s="11" t="str">
        <f>IFERROR(__xludf.DUMMYFUNCTION("""COMPUTED_VALUE"""),"EL049")</f>
        <v>EL049</v>
      </c>
      <c r="B523" s="11" t="str">
        <f>IFERROR(__xludf.DUMMYFUNCTION("""COMPUTED_VALUE"""),"Foundation")</f>
        <v>Foundation</v>
      </c>
      <c r="C523" s="11" t="str">
        <f>IFERROR(__xludf.DUMMYFUNCTION("""COMPUTED_VALUE"""),"247423")</f>
        <v>247423</v>
      </c>
      <c r="D523" s="11">
        <f>IFERROR(__xludf.DUMMYFUNCTION("""COMPUTED_VALUE"""),15.0)</f>
        <v>15</v>
      </c>
      <c r="E523" s="11">
        <f>IFERROR(VLOOKUP(B523,COURSE_PLAN!A:B,2,FALSE),"")</f>
        <v>16</v>
      </c>
      <c r="F523" s="11">
        <f t="shared" si="1"/>
        <v>0.9375</v>
      </c>
      <c r="G523" s="11" t="str">
        <f>IFERROR(VLOOKUP(C523,STUDENTS!A:E,5,FALSE),"")</f>
        <v>Active</v>
      </c>
      <c r="H523" s="11" t="str">
        <f>IFERROR(VLOOKUP(C523,STUDENTS!A:M,13,FALSE),"")</f>
        <v/>
      </c>
      <c r="I523" s="11" t="str">
        <f>IF(D523="","",IF(AND(VLOOKUP(C523,STUDENTS!$A:$R,17,FALSE)=A523,VLOOKUP(C523,STUDENTS!$A:$R,18,FALSE)=B523,G523="Active"),"Đang học",IF(F523&gt;=0.8,IF(G523="Active","Tiếp tục khóa sau",IF(G523="Waiting for class","Chờ lớp mới",IF(G523="Inactive",IF(IFERROR(H523,"")="Discontinued mid-course","Nghỉ giữa chừng","Hoàn thành rồi nghỉ luôn"),""))),IF(G523="Inactive","Nghỉ giữa chừng","Đang học"))))</f>
        <v>Đang học</v>
      </c>
    </row>
    <row r="524">
      <c r="A524" s="11" t="str">
        <f>IFERROR(__xludf.DUMMYFUNCTION("""COMPUTED_VALUE"""),"EL049")</f>
        <v>EL049</v>
      </c>
      <c r="B524" s="11" t="str">
        <f>IFERROR(__xludf.DUMMYFUNCTION("""COMPUTED_VALUE"""),"Foundation")</f>
        <v>Foundation</v>
      </c>
      <c r="C524" s="11" t="str">
        <f>IFERROR(__xludf.DUMMYFUNCTION("""COMPUTED_VALUE"""),"257134")</f>
        <v>257134</v>
      </c>
      <c r="D524" s="11">
        <f>IFERROR(__xludf.DUMMYFUNCTION("""COMPUTED_VALUE"""),15.0)</f>
        <v>15</v>
      </c>
      <c r="E524" s="11">
        <f>IFERROR(VLOOKUP(B524,COURSE_PLAN!A:B,2,FALSE),"")</f>
        <v>16</v>
      </c>
      <c r="F524" s="11">
        <f t="shared" si="1"/>
        <v>0.9375</v>
      </c>
      <c r="G524" s="11" t="str">
        <f>IFERROR(VLOOKUP(C524,STUDENTS!A:E,5,FALSE),"")</f>
        <v>Active</v>
      </c>
      <c r="H524" s="11" t="str">
        <f>IFERROR(VLOOKUP(C524,STUDENTS!A:M,13,FALSE),"")</f>
        <v/>
      </c>
      <c r="I524" s="11" t="str">
        <f>IF(D524="","",IF(AND(VLOOKUP(C524,STUDENTS!$A:$R,17,FALSE)=A524,VLOOKUP(C524,STUDENTS!$A:$R,18,FALSE)=B524,G524="Active"),"Đang học",IF(F524&gt;=0.8,IF(G524="Active","Tiếp tục khóa sau",IF(G524="Waiting for class","Chờ lớp mới",IF(G524="Inactive",IF(IFERROR(H524,"")="Discontinued mid-course","Nghỉ giữa chừng","Hoàn thành rồi nghỉ luôn"),""))),IF(G524="Inactive","Nghỉ giữa chừng","Đang học"))))</f>
        <v>Đang học</v>
      </c>
    </row>
    <row r="525">
      <c r="A525" s="11" t="str">
        <f>IFERROR(__xludf.DUMMYFUNCTION("""COMPUTED_VALUE"""),"EL050")</f>
        <v>EL050</v>
      </c>
      <c r="B525" s="11" t="str">
        <f>IFERROR(__xludf.DUMMYFUNCTION("""COMPUTED_VALUE"""),"Communication 1")</f>
        <v>Communication 1</v>
      </c>
      <c r="C525" s="11" t="str">
        <f>IFERROR(__xludf.DUMMYFUNCTION("""COMPUTED_VALUE"""),"193511")</f>
        <v>193511</v>
      </c>
      <c r="D525" s="11">
        <f>IFERROR(__xludf.DUMMYFUNCTION("""COMPUTED_VALUE"""),4.0)</f>
        <v>4</v>
      </c>
      <c r="E525" s="11">
        <f>IFERROR(VLOOKUP(B525,COURSE_PLAN!A:B,2,FALSE),"")</f>
        <v>10</v>
      </c>
      <c r="F525" s="11">
        <f t="shared" si="1"/>
        <v>0.4</v>
      </c>
      <c r="G525" s="11" t="str">
        <f>IFERROR(VLOOKUP(C525,STUDENTS!A:E,5,FALSE),"")</f>
        <v>Active</v>
      </c>
      <c r="H525" s="11" t="str">
        <f>IFERROR(VLOOKUP(C525,STUDENTS!A:M,13,FALSE),"")</f>
        <v/>
      </c>
      <c r="I525" s="11" t="str">
        <f>IF(D525="","",IF(AND(VLOOKUP(C525,STUDENTS!$A:$R,17,FALSE)=A525,VLOOKUP(C525,STUDENTS!$A:$R,18,FALSE)=B525,G525="Active"),"Đang học",IF(F525&gt;=0.8,IF(G525="Active","Tiếp tục khóa sau",IF(G525="Waiting for class","Chờ lớp mới",IF(G525="Inactive",IF(IFERROR(H525,"")="Discontinued mid-course","Nghỉ giữa chừng","Hoàn thành rồi nghỉ luôn"),""))),IF(G525="Inactive","Nghỉ giữa chừng","Đang học"))))</f>
        <v>Đang học</v>
      </c>
    </row>
    <row r="526">
      <c r="A526" s="11" t="str">
        <f>IFERROR(__xludf.DUMMYFUNCTION("""COMPUTED_VALUE"""),"EL050")</f>
        <v>EL050</v>
      </c>
      <c r="B526" s="11" t="str">
        <f>IFERROR(__xludf.DUMMYFUNCTION("""COMPUTED_VALUE"""),"Communication 1")</f>
        <v>Communication 1</v>
      </c>
      <c r="C526" s="11" t="str">
        <f>IFERROR(__xludf.DUMMYFUNCTION("""COMPUTED_VALUE"""),"193633")</f>
        <v>193633</v>
      </c>
      <c r="D526" s="11">
        <f>IFERROR(__xludf.DUMMYFUNCTION("""COMPUTED_VALUE"""),4.0)</f>
        <v>4</v>
      </c>
      <c r="E526" s="11">
        <f>IFERROR(VLOOKUP(B526,COURSE_PLAN!A:B,2,FALSE),"")</f>
        <v>10</v>
      </c>
      <c r="F526" s="11">
        <f t="shared" si="1"/>
        <v>0.4</v>
      </c>
      <c r="G526" s="11" t="str">
        <f>IFERROR(VLOOKUP(C526,STUDENTS!A:E,5,FALSE),"")</f>
        <v>Active</v>
      </c>
      <c r="H526" s="11" t="str">
        <f>IFERROR(VLOOKUP(C526,STUDENTS!A:M,13,FALSE),"")</f>
        <v/>
      </c>
      <c r="I526" s="11" t="str">
        <f>IF(D526="","",IF(AND(VLOOKUP(C526,STUDENTS!$A:$R,17,FALSE)=A526,VLOOKUP(C526,STUDENTS!$A:$R,18,FALSE)=B526,G526="Active"),"Đang học",IF(F526&gt;=0.8,IF(G526="Active","Tiếp tục khóa sau",IF(G526="Waiting for class","Chờ lớp mới",IF(G526="Inactive",IF(IFERROR(H526,"")="Discontinued mid-course","Nghỉ giữa chừng","Hoàn thành rồi nghỉ luôn"),""))),IF(G526="Inactive","Nghỉ giữa chừng","Đang học"))))</f>
        <v>Đang học</v>
      </c>
    </row>
    <row r="527">
      <c r="A527" s="11" t="str">
        <f>IFERROR(__xludf.DUMMYFUNCTION("""COMPUTED_VALUE"""),"EL050")</f>
        <v>EL050</v>
      </c>
      <c r="B527" s="11" t="str">
        <f>IFERROR(__xludf.DUMMYFUNCTION("""COMPUTED_VALUE"""),"Communication 1")</f>
        <v>Communication 1</v>
      </c>
      <c r="C527" s="11" t="str">
        <f>IFERROR(__xludf.DUMMYFUNCTION("""COMPUTED_VALUE"""),"227177")</f>
        <v>227177</v>
      </c>
      <c r="D527" s="11">
        <f>IFERROR(__xludf.DUMMYFUNCTION("""COMPUTED_VALUE"""),4.0)</f>
        <v>4</v>
      </c>
      <c r="E527" s="11">
        <f>IFERROR(VLOOKUP(B527,COURSE_PLAN!A:B,2,FALSE),"")</f>
        <v>10</v>
      </c>
      <c r="F527" s="11">
        <f t="shared" si="1"/>
        <v>0.4</v>
      </c>
      <c r="G527" s="11" t="str">
        <f>IFERROR(VLOOKUP(C527,STUDENTS!A:E,5,FALSE),"")</f>
        <v>Active</v>
      </c>
      <c r="H527" s="11" t="str">
        <f>IFERROR(VLOOKUP(C527,STUDENTS!A:M,13,FALSE),"")</f>
        <v/>
      </c>
      <c r="I527" s="11" t="str">
        <f>IF(D527="","",IF(AND(VLOOKUP(C527,STUDENTS!$A:$R,17,FALSE)=A527,VLOOKUP(C527,STUDENTS!$A:$R,18,FALSE)=B527,G527="Active"),"Đang học",IF(F527&gt;=0.8,IF(G527="Active","Tiếp tục khóa sau",IF(G527="Waiting for class","Chờ lớp mới",IF(G527="Inactive",IF(IFERROR(H527,"")="Discontinued mid-course","Nghỉ giữa chừng","Hoàn thành rồi nghỉ luôn"),""))),IF(G527="Inactive","Nghỉ giữa chừng","Đang học"))))</f>
        <v>Đang học</v>
      </c>
    </row>
    <row r="528">
      <c r="A528" s="11" t="str">
        <f>IFERROR(__xludf.DUMMYFUNCTION("""COMPUTED_VALUE"""),"EL050")</f>
        <v>EL050</v>
      </c>
      <c r="B528" s="11" t="str">
        <f>IFERROR(__xludf.DUMMYFUNCTION("""COMPUTED_VALUE"""),"Communication 1")</f>
        <v>Communication 1</v>
      </c>
      <c r="C528" s="11" t="str">
        <f>IFERROR(__xludf.DUMMYFUNCTION("""COMPUTED_VALUE"""),"247185")</f>
        <v>247185</v>
      </c>
      <c r="D528" s="11">
        <f>IFERROR(__xludf.DUMMYFUNCTION("""COMPUTED_VALUE"""),4.0)</f>
        <v>4</v>
      </c>
      <c r="E528" s="11">
        <f>IFERROR(VLOOKUP(B528,COURSE_PLAN!A:B,2,FALSE),"")</f>
        <v>10</v>
      </c>
      <c r="F528" s="11">
        <f t="shared" si="1"/>
        <v>0.4</v>
      </c>
      <c r="G528" s="11" t="str">
        <f>IFERROR(VLOOKUP(C528,STUDENTS!A:E,5,FALSE),"")</f>
        <v>Active</v>
      </c>
      <c r="H528" s="11" t="str">
        <f>IFERROR(VLOOKUP(C528,STUDENTS!A:M,13,FALSE),"")</f>
        <v/>
      </c>
      <c r="I528" s="11" t="str">
        <f>IF(D528="","",IF(AND(VLOOKUP(C528,STUDENTS!$A:$R,17,FALSE)=A528,VLOOKUP(C528,STUDENTS!$A:$R,18,FALSE)=B528,G528="Active"),"Đang học",IF(F528&gt;=0.8,IF(G528="Active","Tiếp tục khóa sau",IF(G528="Waiting for class","Chờ lớp mới",IF(G528="Inactive",IF(IFERROR(H528,"")="Discontinued mid-course","Nghỉ giữa chừng","Hoàn thành rồi nghỉ luôn"),""))),IF(G528="Inactive","Nghỉ giữa chừng","Đang học"))))</f>
        <v>Đang học</v>
      </c>
    </row>
    <row r="529">
      <c r="A529" s="11" t="str">
        <f>IFERROR(__xludf.DUMMYFUNCTION("""COMPUTED_VALUE"""),"EL050")</f>
        <v>EL050</v>
      </c>
      <c r="B529" s="11" t="str">
        <f>IFERROR(__xludf.DUMMYFUNCTION("""COMPUTED_VALUE"""),"Communication 1")</f>
        <v>Communication 1</v>
      </c>
      <c r="C529" s="11" t="str">
        <f>IFERROR(__xludf.DUMMYFUNCTION("""COMPUTED_VALUE"""),"257132")</f>
        <v>257132</v>
      </c>
      <c r="D529" s="11">
        <f>IFERROR(__xludf.DUMMYFUNCTION("""COMPUTED_VALUE"""),4.0)</f>
        <v>4</v>
      </c>
      <c r="E529" s="11">
        <f>IFERROR(VLOOKUP(B529,COURSE_PLAN!A:B,2,FALSE),"")</f>
        <v>10</v>
      </c>
      <c r="F529" s="11">
        <f t="shared" si="1"/>
        <v>0.4</v>
      </c>
      <c r="G529" s="11" t="str">
        <f>IFERROR(VLOOKUP(C529,STUDENTS!A:E,5,FALSE),"")</f>
        <v>Active</v>
      </c>
      <c r="H529" s="11" t="str">
        <f>IFERROR(VLOOKUP(C529,STUDENTS!A:M,13,FALSE),"")</f>
        <v/>
      </c>
      <c r="I529" s="11" t="str">
        <f>IF(D529="","",IF(AND(VLOOKUP(C529,STUDENTS!$A:$R,17,FALSE)=A529,VLOOKUP(C529,STUDENTS!$A:$R,18,FALSE)=B529,G529="Active"),"Đang học",IF(F529&gt;=0.8,IF(G529="Active","Tiếp tục khóa sau",IF(G529="Waiting for class","Chờ lớp mới",IF(G529="Inactive",IF(IFERROR(H529,"")="Discontinued mid-course","Nghỉ giữa chừng","Hoàn thành rồi nghỉ luôn"),""))),IF(G529="Inactive","Nghỉ giữa chừng","Đang học"))))</f>
        <v>Đang học</v>
      </c>
    </row>
    <row r="530">
      <c r="A530" s="11" t="str">
        <f>IFERROR(__xludf.DUMMYFUNCTION("""COMPUTED_VALUE"""),"EL050")</f>
        <v>EL050</v>
      </c>
      <c r="B530" s="11" t="str">
        <f>IFERROR(__xludf.DUMMYFUNCTION("""COMPUTED_VALUE"""),"Communication 1")</f>
        <v>Communication 1</v>
      </c>
      <c r="C530" s="11" t="str">
        <f>IFERROR(__xludf.DUMMYFUNCTION("""COMPUTED_VALUE"""),"257133")</f>
        <v>257133</v>
      </c>
      <c r="D530" s="11">
        <f>IFERROR(__xludf.DUMMYFUNCTION("""COMPUTED_VALUE"""),4.0)</f>
        <v>4</v>
      </c>
      <c r="E530" s="11">
        <f>IFERROR(VLOOKUP(B530,COURSE_PLAN!A:B,2,FALSE),"")</f>
        <v>10</v>
      </c>
      <c r="F530" s="11">
        <f t="shared" si="1"/>
        <v>0.4</v>
      </c>
      <c r="G530" s="11" t="str">
        <f>IFERROR(VLOOKUP(C530,STUDENTS!A:E,5,FALSE),"")</f>
        <v>Active</v>
      </c>
      <c r="H530" s="11" t="str">
        <f>IFERROR(VLOOKUP(C530,STUDENTS!A:M,13,FALSE),"")</f>
        <v/>
      </c>
      <c r="I530" s="11" t="str">
        <f>IF(D530="","",IF(AND(VLOOKUP(C530,STUDENTS!$A:$R,17,FALSE)=A530,VLOOKUP(C530,STUDENTS!$A:$R,18,FALSE)=B530,G530="Active"),"Đang học",IF(F530&gt;=0.8,IF(G530="Active","Tiếp tục khóa sau",IF(G530="Waiting for class","Chờ lớp mới",IF(G530="Inactive",IF(IFERROR(H530,"")="Discontinued mid-course","Nghỉ giữa chừng","Hoàn thành rồi nghỉ luôn"),""))),IF(G530="Inactive","Nghỉ giữa chừng","Đang học"))))</f>
        <v>Đang học</v>
      </c>
    </row>
    <row r="531">
      <c r="A531" s="11" t="str">
        <f>IFERROR(__xludf.DUMMYFUNCTION("""COMPUTED_VALUE"""),"EL050")</f>
        <v>EL050</v>
      </c>
      <c r="B531" s="11" t="str">
        <f>IFERROR(__xludf.DUMMYFUNCTION("""COMPUTED_VALUE"""),"Foundation")</f>
        <v>Foundation</v>
      </c>
      <c r="C531" s="11" t="str">
        <f>IFERROR(__xludf.DUMMYFUNCTION("""COMPUTED_VALUE"""),"193511")</f>
        <v>193511</v>
      </c>
      <c r="D531" s="11">
        <f>IFERROR(__xludf.DUMMYFUNCTION("""COMPUTED_VALUE"""),6.0)</f>
        <v>6</v>
      </c>
      <c r="E531" s="11">
        <f>IFERROR(VLOOKUP(B531,COURSE_PLAN!A:B,2,FALSE),"")</f>
        <v>16</v>
      </c>
      <c r="F531" s="11">
        <f t="shared" si="1"/>
        <v>0.375</v>
      </c>
      <c r="G531" s="11" t="str">
        <f>IFERROR(VLOOKUP(C531,STUDENTS!A:E,5,FALSE),"")</f>
        <v>Active</v>
      </c>
      <c r="H531" s="11" t="str">
        <f>IFERROR(VLOOKUP(C531,STUDENTS!A:M,13,FALSE),"")</f>
        <v/>
      </c>
      <c r="I531" s="11" t="str">
        <f>IF(D531="","",IF(AND(VLOOKUP(C531,STUDENTS!$A:$R,17,FALSE)=A531,VLOOKUP(C531,STUDENTS!$A:$R,18,FALSE)=B531,G531="Active"),"Đang học",IF(F531&gt;=0.8,IF(G531="Active","Tiếp tục khóa sau",IF(G531="Waiting for class","Chờ lớp mới",IF(G531="Inactive",IF(IFERROR(H531,"")="Discontinued mid-course","Nghỉ giữa chừng","Hoàn thành rồi nghỉ luôn"),""))),IF(G531="Inactive","Nghỉ giữa chừng","Đang học"))))</f>
        <v>Đang học</v>
      </c>
    </row>
    <row r="532">
      <c r="A532" s="11" t="str">
        <f>IFERROR(__xludf.DUMMYFUNCTION("""COMPUTED_VALUE"""),"EL050")</f>
        <v>EL050</v>
      </c>
      <c r="B532" s="11" t="str">
        <f>IFERROR(__xludf.DUMMYFUNCTION("""COMPUTED_VALUE"""),"Foundation")</f>
        <v>Foundation</v>
      </c>
      <c r="C532" s="11" t="str">
        <f>IFERROR(__xludf.DUMMYFUNCTION("""COMPUTED_VALUE"""),"193633")</f>
        <v>193633</v>
      </c>
      <c r="D532" s="11">
        <f>IFERROR(__xludf.DUMMYFUNCTION("""COMPUTED_VALUE"""),6.0)</f>
        <v>6</v>
      </c>
      <c r="E532" s="11">
        <f>IFERROR(VLOOKUP(B532,COURSE_PLAN!A:B,2,FALSE),"")</f>
        <v>16</v>
      </c>
      <c r="F532" s="11">
        <f t="shared" si="1"/>
        <v>0.375</v>
      </c>
      <c r="G532" s="11" t="str">
        <f>IFERROR(VLOOKUP(C532,STUDENTS!A:E,5,FALSE),"")</f>
        <v>Active</v>
      </c>
      <c r="H532" s="11" t="str">
        <f>IFERROR(VLOOKUP(C532,STUDENTS!A:M,13,FALSE),"")</f>
        <v/>
      </c>
      <c r="I532" s="11" t="str">
        <f>IF(D532="","",IF(AND(VLOOKUP(C532,STUDENTS!$A:$R,17,FALSE)=A532,VLOOKUP(C532,STUDENTS!$A:$R,18,FALSE)=B532,G532="Active"),"Đang học",IF(F532&gt;=0.8,IF(G532="Active","Tiếp tục khóa sau",IF(G532="Waiting for class","Chờ lớp mới",IF(G532="Inactive",IF(IFERROR(H532,"")="Discontinued mid-course","Nghỉ giữa chừng","Hoàn thành rồi nghỉ luôn"),""))),IF(G532="Inactive","Nghỉ giữa chừng","Đang học"))))</f>
        <v>Đang học</v>
      </c>
    </row>
    <row r="533">
      <c r="A533" s="11" t="str">
        <f>IFERROR(__xludf.DUMMYFUNCTION("""COMPUTED_VALUE"""),"EL050")</f>
        <v>EL050</v>
      </c>
      <c r="B533" s="11" t="str">
        <f>IFERROR(__xludf.DUMMYFUNCTION("""COMPUTED_VALUE"""),"Foundation")</f>
        <v>Foundation</v>
      </c>
      <c r="C533" s="11" t="str">
        <f>IFERROR(__xludf.DUMMYFUNCTION("""COMPUTED_VALUE"""),"227177")</f>
        <v>227177</v>
      </c>
      <c r="D533" s="11">
        <f>IFERROR(__xludf.DUMMYFUNCTION("""COMPUTED_VALUE"""),6.0)</f>
        <v>6</v>
      </c>
      <c r="E533" s="11">
        <f>IFERROR(VLOOKUP(B533,COURSE_PLAN!A:B,2,FALSE),"")</f>
        <v>16</v>
      </c>
      <c r="F533" s="11">
        <f t="shared" si="1"/>
        <v>0.375</v>
      </c>
      <c r="G533" s="11" t="str">
        <f>IFERROR(VLOOKUP(C533,STUDENTS!A:E,5,FALSE),"")</f>
        <v>Active</v>
      </c>
      <c r="H533" s="11" t="str">
        <f>IFERROR(VLOOKUP(C533,STUDENTS!A:M,13,FALSE),"")</f>
        <v/>
      </c>
      <c r="I533" s="11" t="str">
        <f>IF(D533="","",IF(AND(VLOOKUP(C533,STUDENTS!$A:$R,17,FALSE)=A533,VLOOKUP(C533,STUDENTS!$A:$R,18,FALSE)=B533,G533="Active"),"Đang học",IF(F533&gt;=0.8,IF(G533="Active","Tiếp tục khóa sau",IF(G533="Waiting for class","Chờ lớp mới",IF(G533="Inactive",IF(IFERROR(H533,"")="Discontinued mid-course","Nghỉ giữa chừng","Hoàn thành rồi nghỉ luôn"),""))),IF(G533="Inactive","Nghỉ giữa chừng","Đang học"))))</f>
        <v>Đang học</v>
      </c>
    </row>
    <row r="534">
      <c r="A534" s="11" t="str">
        <f>IFERROR(__xludf.DUMMYFUNCTION("""COMPUTED_VALUE"""),"EL050")</f>
        <v>EL050</v>
      </c>
      <c r="B534" s="11" t="str">
        <f>IFERROR(__xludf.DUMMYFUNCTION("""COMPUTED_VALUE"""),"Foundation")</f>
        <v>Foundation</v>
      </c>
      <c r="C534" s="11" t="str">
        <f>IFERROR(__xludf.DUMMYFUNCTION("""COMPUTED_VALUE"""),"247185")</f>
        <v>247185</v>
      </c>
      <c r="D534" s="11">
        <f>IFERROR(__xludf.DUMMYFUNCTION("""COMPUTED_VALUE"""),6.0)</f>
        <v>6</v>
      </c>
      <c r="F534" s="11">
        <f t="shared" si="1"/>
        <v>0</v>
      </c>
      <c r="G534" s="11" t="str">
        <f>IFERROR(VLOOKUP(C534,STUDENTS!A:E,5,FALSE),"")</f>
        <v>Active</v>
      </c>
      <c r="H534" s="11" t="str">
        <f>IFERROR(VLOOKUP(C534,STUDENTS!A:M,13,FALSE),"")</f>
        <v/>
      </c>
      <c r="I534" s="11" t="str">
        <f>IF(D534="","",IF(AND(VLOOKUP(C534,STUDENTS!$A:$R,17,FALSE)=A534,VLOOKUP(C534,STUDENTS!$A:$R,18,FALSE)=B534,G534="Active"),"Đang học",IF(F534&gt;=0.8,IF(G534="Active","Tiếp tục khóa sau",IF(G534="Waiting for class","Chờ lớp mới",IF(G534="Inactive",IF(IFERROR(H534,"")="Discontinued mid-course","Nghỉ giữa chừng","Hoàn thành rồi nghỉ luôn"),""))),IF(G534="Inactive","Nghỉ giữa chừng","Đang học"))))</f>
        <v>Đang học</v>
      </c>
    </row>
    <row r="535">
      <c r="A535" s="11" t="str">
        <f>IFERROR(__xludf.DUMMYFUNCTION("""COMPUTED_VALUE"""),"EL050")</f>
        <v>EL050</v>
      </c>
      <c r="B535" s="11" t="str">
        <f>IFERROR(__xludf.DUMMYFUNCTION("""COMPUTED_VALUE"""),"Foundation")</f>
        <v>Foundation</v>
      </c>
      <c r="C535" s="11" t="str">
        <f>IFERROR(__xludf.DUMMYFUNCTION("""COMPUTED_VALUE"""),"257132")</f>
        <v>257132</v>
      </c>
      <c r="D535" s="11">
        <f>IFERROR(__xludf.DUMMYFUNCTION("""COMPUTED_VALUE"""),6.0)</f>
        <v>6</v>
      </c>
      <c r="F535" s="11">
        <f t="shared" si="1"/>
        <v>0</v>
      </c>
      <c r="G535" s="11" t="str">
        <f>IFERROR(VLOOKUP(C535,STUDENTS!A:E,5,FALSE),"")</f>
        <v>Active</v>
      </c>
      <c r="H535" s="11" t="str">
        <f>IFERROR(VLOOKUP(C535,STUDENTS!A:M,13,FALSE),"")</f>
        <v/>
      </c>
      <c r="I535" s="11" t="str">
        <f>IF(D535="","",IF(AND(VLOOKUP(C535,STUDENTS!$A:$R,17,FALSE)=A535,VLOOKUP(C535,STUDENTS!$A:$R,18,FALSE)=B535,G535="Active"),"Đang học",IF(F535&gt;=0.8,IF(G535="Active","Tiếp tục khóa sau",IF(G535="Waiting for class","Chờ lớp mới",IF(G535="Inactive",IF(IFERROR(H535,"")="Discontinued mid-course","Nghỉ giữa chừng","Hoàn thành rồi nghỉ luôn"),""))),IF(G535="Inactive","Nghỉ giữa chừng","Đang học"))))</f>
        <v>Đang học</v>
      </c>
    </row>
    <row r="536">
      <c r="A536" s="11" t="str">
        <f>IFERROR(__xludf.DUMMYFUNCTION("""COMPUTED_VALUE"""),"EL050")</f>
        <v>EL050</v>
      </c>
      <c r="B536" s="11" t="str">
        <f>IFERROR(__xludf.DUMMYFUNCTION("""COMPUTED_VALUE"""),"Foundation")</f>
        <v>Foundation</v>
      </c>
      <c r="C536" s="11" t="str">
        <f>IFERROR(__xludf.DUMMYFUNCTION("""COMPUTED_VALUE"""),"257133")</f>
        <v>257133</v>
      </c>
      <c r="D536" s="11">
        <f>IFERROR(__xludf.DUMMYFUNCTION("""COMPUTED_VALUE"""),6.0)</f>
        <v>6</v>
      </c>
      <c r="F536" s="11">
        <f t="shared" si="1"/>
        <v>0</v>
      </c>
      <c r="G536" s="11" t="str">
        <f>IFERROR(VLOOKUP(C536,STUDENTS!A:E,5,FALSE),"")</f>
        <v>Active</v>
      </c>
      <c r="H536" s="11" t="str">
        <f>IFERROR(VLOOKUP(C536,STUDENTS!A:M,13,FALSE),"")</f>
        <v/>
      </c>
      <c r="I536" s="11" t="str">
        <f>IF(D536="","",IF(AND(VLOOKUP(C536,STUDENTS!$A:$R,17,FALSE)=A536,VLOOKUP(C536,STUDENTS!$A:$R,18,FALSE)=B536,G536="Active"),"Đang học",IF(F536&gt;=0.8,IF(G536="Active","Tiếp tục khóa sau",IF(G536="Waiting for class","Chờ lớp mới",IF(G536="Inactive",IF(IFERROR(H536,"")="Discontinued mid-course","Nghỉ giữa chừng","Hoàn thành rồi nghỉ luôn"),""))),IF(G536="Inactive","Nghỉ giữa chừng","Đang học"))))</f>
        <v>Đang học</v>
      </c>
    </row>
    <row r="537">
      <c r="A537" s="11" t="str">
        <f>IFERROR(__xludf.DUMMYFUNCTION("""COMPUTED_VALUE"""),"EL051")</f>
        <v>EL051</v>
      </c>
      <c r="B537" s="11" t="str">
        <f>IFERROR(__xludf.DUMMYFUNCTION("""COMPUTED_VALUE"""),"Communication 1")</f>
        <v>Communication 1</v>
      </c>
      <c r="C537" s="11" t="str">
        <f>IFERROR(__xludf.DUMMYFUNCTION("""COMPUTED_VALUE"""),"173246")</f>
        <v>173246</v>
      </c>
      <c r="D537" s="11">
        <f>IFERROR(__xludf.DUMMYFUNCTION("""COMPUTED_VALUE"""),11.0)</f>
        <v>11</v>
      </c>
      <c r="F537" s="11">
        <f t="shared" si="1"/>
        <v>0</v>
      </c>
      <c r="G537" s="11" t="str">
        <f>IFERROR(VLOOKUP(C537,STUDENTS!A:E,5,FALSE),"")</f>
        <v>Active</v>
      </c>
      <c r="H537" s="11" t="str">
        <f>IFERROR(VLOOKUP(C537,STUDENTS!A:M,13,FALSE),"")</f>
        <v/>
      </c>
      <c r="I537" s="11" t="str">
        <f>IF(D537="","",IF(AND(VLOOKUP(C537,STUDENTS!$A:$R,17,FALSE)=A537,VLOOKUP(C537,STUDENTS!$A:$R,18,FALSE)=B537,G537="Active"),"Đang học",IF(F537&gt;=0.8,IF(G537="Active","Tiếp tục khóa sau",IF(G537="Waiting for class","Chờ lớp mới",IF(G537="Inactive",IF(IFERROR(H537,"")="Discontinued mid-course","Nghỉ giữa chừng","Hoàn thành rồi nghỉ luôn"),""))),IF(G537="Inactive","Nghỉ giữa chừng","Đang học"))))</f>
        <v>Đang học</v>
      </c>
    </row>
    <row r="538">
      <c r="A538" s="11" t="str">
        <f>IFERROR(__xludf.DUMMYFUNCTION("""COMPUTED_VALUE"""),"EL051")</f>
        <v>EL051</v>
      </c>
      <c r="B538" s="11" t="str">
        <f>IFERROR(__xludf.DUMMYFUNCTION("""COMPUTED_VALUE"""),"Communication 1")</f>
        <v>Communication 1</v>
      </c>
      <c r="C538" s="11" t="str">
        <f>IFERROR(__xludf.DUMMYFUNCTION("""COMPUTED_VALUE"""),"183322")</f>
        <v>183322</v>
      </c>
      <c r="D538" s="11">
        <f>IFERROR(__xludf.DUMMYFUNCTION("""COMPUTED_VALUE"""),11.0)</f>
        <v>11</v>
      </c>
      <c r="F538" s="11">
        <f t="shared" si="1"/>
        <v>0</v>
      </c>
      <c r="G538" s="11" t="str">
        <f>IFERROR(VLOOKUP(C538,STUDENTS!A:E,5,FALSE),"")</f>
        <v>Active</v>
      </c>
      <c r="H538" s="11" t="str">
        <f>IFERROR(VLOOKUP(C538,STUDENTS!A:M,13,FALSE),"")</f>
        <v/>
      </c>
      <c r="I538" s="11" t="str">
        <f>IF(D538="","",IF(AND(VLOOKUP(C538,STUDENTS!$A:$R,17,FALSE)=A538,VLOOKUP(C538,STUDENTS!$A:$R,18,FALSE)=B538,G538="Active"),"Đang học",IF(F538&gt;=0.8,IF(G538="Active","Tiếp tục khóa sau",IF(G538="Waiting for class","Chờ lớp mới",IF(G538="Inactive",IF(IFERROR(H538,"")="Discontinued mid-course","Nghỉ giữa chừng","Hoàn thành rồi nghỉ luôn"),""))),IF(G538="Inactive","Nghỉ giữa chừng","Đang học"))))</f>
        <v>Đang học</v>
      </c>
    </row>
    <row r="539">
      <c r="A539" s="11" t="str">
        <f>IFERROR(__xludf.DUMMYFUNCTION("""COMPUTED_VALUE"""),"EL051")</f>
        <v>EL051</v>
      </c>
      <c r="B539" s="11" t="str">
        <f>IFERROR(__xludf.DUMMYFUNCTION("""COMPUTED_VALUE"""),"Communication 1")</f>
        <v>Communication 1</v>
      </c>
      <c r="C539" s="11" t="str">
        <f>IFERROR(__xludf.DUMMYFUNCTION("""COMPUTED_VALUE"""),"183330")</f>
        <v>183330</v>
      </c>
      <c r="D539" s="11">
        <f>IFERROR(__xludf.DUMMYFUNCTION("""COMPUTED_VALUE"""),11.0)</f>
        <v>11</v>
      </c>
      <c r="F539" s="11">
        <f t="shared" si="1"/>
        <v>0</v>
      </c>
      <c r="G539" s="11" t="str">
        <f>IFERROR(VLOOKUP(C539,STUDENTS!A:E,5,FALSE),"")</f>
        <v>Active</v>
      </c>
      <c r="H539" s="11" t="str">
        <f>IFERROR(VLOOKUP(C539,STUDENTS!A:M,13,FALSE),"")</f>
        <v/>
      </c>
      <c r="I539" s="11" t="str">
        <f>IF(D539="","",IF(AND(VLOOKUP(C539,STUDENTS!$A:$R,17,FALSE)=A539,VLOOKUP(C539,STUDENTS!$A:$R,18,FALSE)=B539,G539="Active"),"Đang học",IF(F539&gt;=0.8,IF(G539="Active","Tiếp tục khóa sau",IF(G539="Waiting for class","Chờ lớp mới",IF(G539="Inactive",IF(IFERROR(H539,"")="Discontinued mid-course","Nghỉ giữa chừng","Hoàn thành rồi nghỉ luôn"),""))),IF(G539="Inactive","Nghỉ giữa chừng","Đang học"))))</f>
        <v>Đang học</v>
      </c>
    </row>
    <row r="540">
      <c r="A540" s="11" t="str">
        <f>IFERROR(__xludf.DUMMYFUNCTION("""COMPUTED_VALUE"""),"EL051")</f>
        <v>EL051</v>
      </c>
      <c r="B540" s="11" t="str">
        <f>IFERROR(__xludf.DUMMYFUNCTION("""COMPUTED_VALUE"""),"Communication 1")</f>
        <v>Communication 1</v>
      </c>
      <c r="C540" s="11" t="str">
        <f>IFERROR(__xludf.DUMMYFUNCTION("""COMPUTED_VALUE"""),"213844")</f>
        <v>213844</v>
      </c>
      <c r="D540" s="11">
        <f>IFERROR(__xludf.DUMMYFUNCTION("""COMPUTED_VALUE"""),11.0)</f>
        <v>11</v>
      </c>
      <c r="F540" s="11">
        <f t="shared" si="1"/>
        <v>0</v>
      </c>
      <c r="G540" s="11" t="str">
        <f>IFERROR(VLOOKUP(C540,STUDENTS!A:E,5,FALSE),"")</f>
        <v>Active</v>
      </c>
      <c r="H540" s="11" t="str">
        <f>IFERROR(VLOOKUP(C540,STUDENTS!A:M,13,FALSE),"")</f>
        <v/>
      </c>
      <c r="I540" s="11" t="str">
        <f>IF(D540="","",IF(AND(VLOOKUP(C540,STUDENTS!$A:$R,17,FALSE)=A540,VLOOKUP(C540,STUDENTS!$A:$R,18,FALSE)=B540,G540="Active"),"Đang học",IF(F540&gt;=0.8,IF(G540="Active","Tiếp tục khóa sau",IF(G540="Waiting for class","Chờ lớp mới",IF(G540="Inactive",IF(IFERROR(H540,"")="Discontinued mid-course","Nghỉ giữa chừng","Hoàn thành rồi nghỉ luôn"),""))),IF(G540="Inactive","Nghỉ giữa chừng","Đang học"))))</f>
        <v>Đang học</v>
      </c>
    </row>
    <row r="541">
      <c r="A541" s="11" t="str">
        <f>IFERROR(__xludf.DUMMYFUNCTION("""COMPUTED_VALUE"""),"EL051")</f>
        <v>EL051</v>
      </c>
      <c r="B541" s="11" t="str">
        <f>IFERROR(__xludf.DUMMYFUNCTION("""COMPUTED_VALUE"""),"Communication 1")</f>
        <v>Communication 1</v>
      </c>
      <c r="C541" s="11" t="str">
        <f>IFERROR(__xludf.DUMMYFUNCTION("""COMPUTED_VALUE"""),"227091")</f>
        <v>227091</v>
      </c>
      <c r="D541" s="11">
        <f>IFERROR(__xludf.DUMMYFUNCTION("""COMPUTED_VALUE"""),11.0)</f>
        <v>11</v>
      </c>
      <c r="F541" s="11">
        <f t="shared" si="1"/>
        <v>0</v>
      </c>
      <c r="G541" s="11" t="str">
        <f>IFERROR(VLOOKUP(C541,STUDENTS!A:E,5,FALSE),"")</f>
        <v>Active</v>
      </c>
      <c r="H541" s="11" t="str">
        <f>IFERROR(VLOOKUP(C541,STUDENTS!A:M,13,FALSE),"")</f>
        <v/>
      </c>
      <c r="I541" s="11" t="str">
        <f>IF(D541="","",IF(AND(VLOOKUP(C541,STUDENTS!$A:$R,17,FALSE)=A541,VLOOKUP(C541,STUDENTS!$A:$R,18,FALSE)=B541,G541="Active"),"Đang học",IF(F541&gt;=0.8,IF(G541="Active","Tiếp tục khóa sau",IF(G541="Waiting for class","Chờ lớp mới",IF(G541="Inactive",IF(IFERROR(H541,"")="Discontinued mid-course","Nghỉ giữa chừng","Hoàn thành rồi nghỉ luôn"),""))),IF(G541="Inactive","Nghỉ giữa chừng","Đang học"))))</f>
        <v>Đang học</v>
      </c>
    </row>
    <row r="542">
      <c r="A542" s="11" t="str">
        <f>IFERROR(__xludf.DUMMYFUNCTION("""COMPUTED_VALUE"""),"EL051")</f>
        <v>EL051</v>
      </c>
      <c r="B542" s="11" t="str">
        <f>IFERROR(__xludf.DUMMYFUNCTION("""COMPUTED_VALUE"""),"Communication 1")</f>
        <v>Communication 1</v>
      </c>
      <c r="C542" s="11" t="str">
        <f>IFERROR(__xludf.DUMMYFUNCTION("""COMPUTED_VALUE"""),"247064")</f>
        <v>247064</v>
      </c>
      <c r="D542" s="11">
        <f>IFERROR(__xludf.DUMMYFUNCTION("""COMPUTED_VALUE"""),11.0)</f>
        <v>11</v>
      </c>
      <c r="F542" s="11">
        <f t="shared" si="1"/>
        <v>0</v>
      </c>
      <c r="G542" s="11" t="str">
        <f>IFERROR(VLOOKUP(C542,STUDENTS!A:E,5,FALSE),"")</f>
        <v>Active</v>
      </c>
      <c r="H542" s="11" t="str">
        <f>IFERROR(VLOOKUP(C542,STUDENTS!A:M,13,FALSE),"")</f>
        <v/>
      </c>
      <c r="I542" s="11" t="str">
        <f>IF(D542="","",IF(AND(VLOOKUP(C542,STUDENTS!$A:$R,17,FALSE)=A542,VLOOKUP(C542,STUDENTS!$A:$R,18,FALSE)=B542,G542="Active"),"Đang học",IF(F542&gt;=0.8,IF(G542="Active","Tiếp tục khóa sau",IF(G542="Waiting for class","Chờ lớp mới",IF(G542="Inactive",IF(IFERROR(H542,"")="Discontinued mid-course","Nghỉ giữa chừng","Hoàn thành rồi nghỉ luôn"),""))),IF(G542="Inactive","Nghỉ giữa chừng","Đang học"))))</f>
        <v>Đang học</v>
      </c>
    </row>
    <row r="543">
      <c r="A543" s="11" t="str">
        <f>IFERROR(__xludf.DUMMYFUNCTION("""COMPUTED_VALUE"""),"EL051")</f>
        <v>EL051</v>
      </c>
      <c r="B543" s="11" t="str">
        <f>IFERROR(__xludf.DUMMYFUNCTION("""COMPUTED_VALUE"""),"Communication 1")</f>
        <v>Communication 1</v>
      </c>
      <c r="C543" s="11" t="str">
        <f>IFERROR(__xludf.DUMMYFUNCTION("""COMPUTED_VALUE"""),"267040")</f>
        <v>267040</v>
      </c>
      <c r="D543" s="11">
        <f>IFERROR(__xludf.DUMMYFUNCTION("""COMPUTED_VALUE"""),3.0)</f>
        <v>3</v>
      </c>
      <c r="F543" s="11">
        <f t="shared" si="1"/>
        <v>0</v>
      </c>
      <c r="G543" s="11" t="str">
        <f>IFERROR(VLOOKUP(C543,STUDENTS!A:E,5,FALSE),"")</f>
        <v>Active</v>
      </c>
      <c r="H543" s="11" t="str">
        <f>IFERROR(VLOOKUP(C543,STUDENTS!A:M,13,FALSE),"")</f>
        <v/>
      </c>
      <c r="I543" s="11" t="str">
        <f>IF(D543="","",IF(AND(VLOOKUP(C543,STUDENTS!$A:$R,17,FALSE)=A543,VLOOKUP(C543,STUDENTS!$A:$R,18,FALSE)=B543,G543="Active"),"Đang học",IF(F543&gt;=0.8,IF(G543="Active","Tiếp tục khóa sau",IF(G543="Waiting for class","Chờ lớp mới",IF(G543="Inactive",IF(IFERROR(H543,"")="Discontinued mid-course","Nghỉ giữa chừng","Hoàn thành rồi nghỉ luôn"),""))),IF(G543="Inactive","Nghỉ giữa chừng","Đang học"))))</f>
        <v>Đang học</v>
      </c>
    </row>
    <row r="544">
      <c r="A544" s="11" t="str">
        <f>IFERROR(__xludf.DUMMYFUNCTION("""COMPUTED_VALUE"""),"EL052")</f>
        <v>EL052</v>
      </c>
      <c r="B544" s="11" t="str">
        <f>IFERROR(__xludf.DUMMYFUNCTION("""COMPUTED_VALUE"""),"Foundation")</f>
        <v>Foundation</v>
      </c>
      <c r="C544" s="11" t="str">
        <f>IFERROR(__xludf.DUMMYFUNCTION("""COMPUTED_VALUE"""),"213806")</f>
        <v>213806</v>
      </c>
      <c r="D544" s="11">
        <f>IFERROR(__xludf.DUMMYFUNCTION("""COMPUTED_VALUE"""),3.0)</f>
        <v>3</v>
      </c>
      <c r="F544" s="11">
        <f t="shared" si="1"/>
        <v>0</v>
      </c>
      <c r="G544" s="11" t="str">
        <f>IFERROR(VLOOKUP(C544,STUDENTS!A:E,5,FALSE),"")</f>
        <v>Active</v>
      </c>
      <c r="H544" s="11" t="str">
        <f>IFERROR(VLOOKUP(C544,STUDENTS!A:M,13,FALSE),"")</f>
        <v/>
      </c>
      <c r="I544" s="11" t="str">
        <f>IF(D544="","",IF(AND(VLOOKUP(C544,STUDENTS!$A:$R,17,FALSE)=A544,VLOOKUP(C544,STUDENTS!$A:$R,18,FALSE)=B544,G544="Active"),"Đang học",IF(F544&gt;=0.8,IF(G544="Active","Tiếp tục khóa sau",IF(G544="Waiting for class","Chờ lớp mới",IF(G544="Inactive",IF(IFERROR(H544,"")="Discontinued mid-course","Nghỉ giữa chừng","Hoàn thành rồi nghỉ luôn"),""))),IF(G544="Inactive","Nghỉ giữa chừng","Đang học"))))</f>
        <v>Đang học</v>
      </c>
    </row>
    <row r="545">
      <c r="A545" s="11" t="str">
        <f>IFERROR(__xludf.DUMMYFUNCTION("""COMPUTED_VALUE"""),"EL052")</f>
        <v>EL052</v>
      </c>
      <c r="B545" s="11" t="str">
        <f>IFERROR(__xludf.DUMMYFUNCTION("""COMPUTED_VALUE"""),"Foundation")</f>
        <v>Foundation</v>
      </c>
      <c r="C545" s="11" t="str">
        <f>IFERROR(__xludf.DUMMYFUNCTION("""COMPUTED_VALUE"""),"247336")</f>
        <v>247336</v>
      </c>
      <c r="D545" s="11">
        <f>IFERROR(__xludf.DUMMYFUNCTION("""COMPUTED_VALUE"""),3.0)</f>
        <v>3</v>
      </c>
      <c r="F545" s="11">
        <f t="shared" si="1"/>
        <v>0</v>
      </c>
      <c r="G545" s="11" t="str">
        <f>IFERROR(VLOOKUP(C545,STUDENTS!A:E,5,FALSE),"")</f>
        <v>Active</v>
      </c>
      <c r="H545" s="11" t="str">
        <f>IFERROR(VLOOKUP(C545,STUDENTS!A:M,13,FALSE),"")</f>
        <v/>
      </c>
      <c r="I545" s="11" t="str">
        <f>IF(D545="","",IF(AND(VLOOKUP(C545,STUDENTS!$A:$R,17,FALSE)=A545,VLOOKUP(C545,STUDENTS!$A:$R,18,FALSE)=B545,G545="Active"),"Đang học",IF(F545&gt;=0.8,IF(G545="Active","Tiếp tục khóa sau",IF(G545="Waiting for class","Chờ lớp mới",IF(G545="Inactive",IF(IFERROR(H545,"")="Discontinued mid-course","Nghỉ giữa chừng","Hoàn thành rồi nghỉ luôn"),""))),IF(G545="Inactive","Nghỉ giữa chừng","Đang học"))))</f>
        <v>Đang học</v>
      </c>
    </row>
    <row r="546">
      <c r="A546" s="11" t="str">
        <f>IFERROR(__xludf.DUMMYFUNCTION("""COMPUTED_VALUE"""),"EL052")</f>
        <v>EL052</v>
      </c>
      <c r="B546" s="11" t="str">
        <f>IFERROR(__xludf.DUMMYFUNCTION("""COMPUTED_VALUE"""),"Foundation")</f>
        <v>Foundation</v>
      </c>
      <c r="C546" s="11" t="str">
        <f>IFERROR(__xludf.DUMMYFUNCTION("""COMPUTED_VALUE"""),"247338")</f>
        <v>247338</v>
      </c>
      <c r="D546" s="11">
        <f>IFERROR(__xludf.DUMMYFUNCTION("""COMPUTED_VALUE"""),3.0)</f>
        <v>3</v>
      </c>
      <c r="F546" s="11">
        <f t="shared" si="1"/>
        <v>0</v>
      </c>
      <c r="G546" s="11" t="str">
        <f>IFERROR(VLOOKUP(C546,STUDENTS!A:E,5,FALSE),"")</f>
        <v>Active</v>
      </c>
      <c r="H546" s="11" t="str">
        <f>IFERROR(VLOOKUP(C546,STUDENTS!A:M,13,FALSE),"")</f>
        <v/>
      </c>
      <c r="I546" s="11" t="str">
        <f>IF(D546="","",IF(AND(VLOOKUP(C546,STUDENTS!$A:$R,17,FALSE)=A546,VLOOKUP(C546,STUDENTS!$A:$R,18,FALSE)=B546,G546="Active"),"Đang học",IF(F546&gt;=0.8,IF(G546="Active","Tiếp tục khóa sau",IF(G546="Waiting for class","Chờ lớp mới",IF(G546="Inactive",IF(IFERROR(H546,"")="Discontinued mid-course","Nghỉ giữa chừng","Hoàn thành rồi nghỉ luôn"),""))),IF(G546="Inactive","Nghỉ giữa chừng","Đang học"))))</f>
        <v>Đang học</v>
      </c>
    </row>
    <row r="547">
      <c r="A547" s="11" t="str">
        <f>IFERROR(__xludf.DUMMYFUNCTION("""COMPUTED_VALUE"""),"EL052")</f>
        <v>EL052</v>
      </c>
      <c r="B547" s="11" t="str">
        <f>IFERROR(__xludf.DUMMYFUNCTION("""COMPUTED_VALUE"""),"Foundation")</f>
        <v>Foundation</v>
      </c>
      <c r="C547" s="11" t="str">
        <f>IFERROR(__xludf.DUMMYFUNCTION("""COMPUTED_VALUE"""),"257065")</f>
        <v>257065</v>
      </c>
      <c r="D547" s="11">
        <f>IFERROR(__xludf.DUMMYFUNCTION("""COMPUTED_VALUE"""),3.0)</f>
        <v>3</v>
      </c>
      <c r="F547" s="11">
        <f t="shared" si="1"/>
        <v>0</v>
      </c>
      <c r="G547" s="11" t="str">
        <f>IFERROR(VLOOKUP(C547,STUDENTS!A:E,5,FALSE),"")</f>
        <v>Active</v>
      </c>
      <c r="H547" s="11" t="str">
        <f>IFERROR(VLOOKUP(C547,STUDENTS!A:M,13,FALSE),"")</f>
        <v/>
      </c>
      <c r="I547" s="11" t="str">
        <f>IF(D547="","",IF(AND(VLOOKUP(C547,STUDENTS!$A:$R,17,FALSE)=A547,VLOOKUP(C547,STUDENTS!$A:$R,18,FALSE)=B547,G547="Active"),"Đang học",IF(F547&gt;=0.8,IF(G547="Active","Tiếp tục khóa sau",IF(G547="Waiting for class","Chờ lớp mới",IF(G547="Inactive",IF(IFERROR(H547,"")="Discontinued mid-course","Nghỉ giữa chừng","Hoàn thành rồi nghỉ luôn"),""))),IF(G547="Inactive","Nghỉ giữa chừng","Đang học"))))</f>
        <v>Đang học</v>
      </c>
    </row>
    <row r="548">
      <c r="A548" s="11" t="str">
        <f>IFERROR(__xludf.DUMMYFUNCTION("""COMPUTED_VALUE"""),"EL052")</f>
        <v>EL052</v>
      </c>
      <c r="B548" s="11" t="str">
        <f>IFERROR(__xludf.DUMMYFUNCTION("""COMPUTED_VALUE"""),"Foundation")</f>
        <v>Foundation</v>
      </c>
      <c r="C548" s="11" t="str">
        <f>IFERROR(__xludf.DUMMYFUNCTION("""COMPUTED_VALUE"""),"257068")</f>
        <v>257068</v>
      </c>
      <c r="D548" s="11">
        <f>IFERROR(__xludf.DUMMYFUNCTION("""COMPUTED_VALUE"""),3.0)</f>
        <v>3</v>
      </c>
      <c r="F548" s="11">
        <f t="shared" si="1"/>
        <v>0</v>
      </c>
      <c r="G548" s="11" t="str">
        <f>IFERROR(VLOOKUP(C548,STUDENTS!A:E,5,FALSE),"")</f>
        <v>Active</v>
      </c>
      <c r="H548" s="11" t="str">
        <f>IFERROR(VLOOKUP(C548,STUDENTS!A:M,13,FALSE),"")</f>
        <v/>
      </c>
      <c r="I548" s="11" t="str">
        <f>IF(D548="","",IF(AND(VLOOKUP(C548,STUDENTS!$A:$R,17,FALSE)=A548,VLOOKUP(C548,STUDENTS!$A:$R,18,FALSE)=B548,G548="Active"),"Đang học",IF(F548&gt;=0.8,IF(G548="Active","Tiếp tục khóa sau",IF(G548="Waiting for class","Chờ lớp mới",IF(G548="Inactive",IF(IFERROR(H548,"")="Discontinued mid-course","Nghỉ giữa chừng","Hoàn thành rồi nghỉ luôn"),""))),IF(G548="Inactive","Nghỉ giữa chừng","Đang học"))))</f>
        <v>Đang học</v>
      </c>
    </row>
    <row r="549">
      <c r="A549" s="11" t="str">
        <f>IFERROR(__xludf.DUMMYFUNCTION("""COMPUTED_VALUE"""),"EL052")</f>
        <v>EL052</v>
      </c>
      <c r="B549" s="11" t="str">
        <f>IFERROR(__xludf.DUMMYFUNCTION("""COMPUTED_VALUE"""),"Foundation")</f>
        <v>Foundation</v>
      </c>
      <c r="C549" s="11" t="str">
        <f>IFERROR(__xludf.DUMMYFUNCTION("""COMPUTED_VALUE"""),"267121")</f>
        <v>267121</v>
      </c>
      <c r="D549" s="11">
        <f>IFERROR(__xludf.DUMMYFUNCTION("""COMPUTED_VALUE"""),3.0)</f>
        <v>3</v>
      </c>
      <c r="F549" s="11">
        <f t="shared" si="1"/>
        <v>0</v>
      </c>
      <c r="G549" s="11" t="str">
        <f>IFERROR(VLOOKUP(C549,STUDENTS!A:E,5,FALSE),"")</f>
        <v>Active</v>
      </c>
      <c r="H549" s="11" t="str">
        <f>IFERROR(VLOOKUP(C549,STUDENTS!A:M,13,FALSE),"")</f>
        <v/>
      </c>
      <c r="I549" s="11" t="str">
        <f>IF(D549="","",IF(AND(VLOOKUP(C549,STUDENTS!$A:$R,17,FALSE)=A549,VLOOKUP(C549,STUDENTS!$A:$R,18,FALSE)=B549,G549="Active"),"Đang học",IF(F549&gt;=0.8,IF(G549="Active","Tiếp tục khóa sau",IF(G549="Waiting for class","Chờ lớp mới",IF(G549="Inactive",IF(IFERROR(H549,"")="Discontinued mid-course","Nghỉ giữa chừng","Hoàn thành rồi nghỉ luôn"),""))),IF(G549="Inactive","Nghỉ giữa chừng","Đang học"))))</f>
        <v>Đang học</v>
      </c>
    </row>
    <row r="550">
      <c r="F550" s="11">
        <f t="shared" si="1"/>
        <v>0</v>
      </c>
      <c r="G550" s="11" t="str">
        <f>IFERROR(VLOOKUP(C550,STUDENTS!A:E,5,FALSE),"")</f>
        <v/>
      </c>
      <c r="H550" s="11" t="str">
        <f>IFERROR(VLOOKUP(C550,STUDENTS!A:M,13,FALSE),"")</f>
        <v/>
      </c>
      <c r="I550" s="11" t="str">
        <f>IF(D550="","",IF(AND(VLOOKUP(C550,STUDENTS!$A:$R,17,FALSE)=A550,VLOOKUP(C550,STUDENTS!$A:$R,18,FALSE)=B550,G550="Active"),"Đang học",IF(F550&gt;=0.8,IF(G550="Active","Tiếp tục khóa sau",IF(G550="Waiting for class","Chờ lớp mới",IF(G550="Inactive",IF(IFERROR(H550,"")="Discontinued mid-course","Nghỉ giữa chừng","Hoàn thành rồi nghỉ luôn"),""))),IF(G550="Inactive","Nghỉ giữa chừng","Đang học"))))</f>
        <v/>
      </c>
    </row>
    <row r="551">
      <c r="F551" s="11">
        <f t="shared" si="1"/>
        <v>0</v>
      </c>
      <c r="G551" s="11" t="str">
        <f>IFERROR(VLOOKUP(C551,STUDENTS!A:E,5,FALSE),"")</f>
        <v/>
      </c>
      <c r="H551" s="11" t="str">
        <f>IFERROR(VLOOKUP(C551,STUDENTS!A:M,13,FALSE),"")</f>
        <v/>
      </c>
      <c r="I551" s="11" t="str">
        <f>IF(D551="","",IF(AND(VLOOKUP(C551,STUDENTS!$A:$R,17,FALSE)=A551,VLOOKUP(C551,STUDENTS!$A:$R,18,FALSE)=B551,G551="Active"),"Đang học",IF(F551&gt;=0.8,IF(G551="Active","Tiếp tục khóa sau",IF(G551="Waiting for class","Chờ lớp mới",IF(G551="Inactive",IF(IFERROR(H551,"")="Discontinued mid-course","Nghỉ giữa chừng","Hoàn thành rồi nghỉ luôn"),""))),IF(G551="Inactive","Nghỉ giữa chừng","Đang học"))))</f>
        <v/>
      </c>
    </row>
    <row r="552">
      <c r="F552" s="11">
        <f t="shared" si="1"/>
        <v>0</v>
      </c>
      <c r="G552" s="11" t="str">
        <f>IFERROR(VLOOKUP(C552,STUDENTS!A:E,5,FALSE),"")</f>
        <v/>
      </c>
      <c r="H552" s="11" t="str">
        <f>IFERROR(VLOOKUP(C552,STUDENTS!A:M,13,FALSE),"")</f>
        <v/>
      </c>
      <c r="I552" s="11" t="str">
        <f>IF(D552="","",IF(AND(VLOOKUP(C552,STUDENTS!$A:$R,17,FALSE)=A552,VLOOKUP(C552,STUDENTS!$A:$R,18,FALSE)=B552,G552="Active"),"Đang học",IF(F552&gt;=0.8,IF(G552="Active","Tiếp tục khóa sau",IF(G552="Waiting for class","Chờ lớp mới",IF(G552="Inactive",IF(IFERROR(H552,"")="Discontinued mid-course","Nghỉ giữa chừng","Hoàn thành rồi nghỉ luôn"),""))),IF(G552="Inactive","Nghỉ giữa chừng","Đang học"))))</f>
        <v/>
      </c>
    </row>
    <row r="553">
      <c r="F553" s="11">
        <f t="shared" si="1"/>
        <v>0</v>
      </c>
      <c r="G553" s="11" t="str">
        <f>IFERROR(VLOOKUP(C553,STUDENTS!A:E,5,FALSE),"")</f>
        <v/>
      </c>
      <c r="H553" s="11" t="str">
        <f>IFERROR(VLOOKUP(C553,STUDENTS!A:M,13,FALSE),"")</f>
        <v/>
      </c>
      <c r="I553" s="11" t="str">
        <f>IF(D553="","",IF(AND(VLOOKUP(C553,STUDENTS!$A:$R,17,FALSE)=A553,VLOOKUP(C553,STUDENTS!$A:$R,18,FALSE)=B553,G553="Active"),"Đang học",IF(F553&gt;=0.8,IF(G553="Active","Tiếp tục khóa sau",IF(G553="Waiting for class","Chờ lớp mới",IF(G553="Inactive",IF(IFERROR(H553,"")="Discontinued mid-course","Nghỉ giữa chừng","Hoàn thành rồi nghỉ luôn"),""))),IF(G553="Inactive","Nghỉ giữa chừng","Đang học"))))</f>
        <v/>
      </c>
    </row>
    <row r="554">
      <c r="F554" s="11">
        <f t="shared" si="1"/>
        <v>0</v>
      </c>
      <c r="G554" s="11" t="str">
        <f>IFERROR(VLOOKUP(C554,STUDENTS!A:E,5,FALSE),"")</f>
        <v/>
      </c>
      <c r="H554" s="11" t="str">
        <f>IFERROR(VLOOKUP(C554,STUDENTS!A:M,13,FALSE),"")</f>
        <v/>
      </c>
      <c r="I554" s="11" t="str">
        <f>IF(D554="","",IF(AND(VLOOKUP(C554,STUDENTS!$A:$R,17,FALSE)=A554,VLOOKUP(C554,STUDENTS!$A:$R,18,FALSE)=B554,G554="Active"),"Đang học",IF(F554&gt;=0.8,IF(G554="Active","Tiếp tục khóa sau",IF(G554="Waiting for class","Chờ lớp mới",IF(G554="Inactive",IF(IFERROR(H554,"")="Discontinued mid-course","Nghỉ giữa chừng","Hoàn thành rồi nghỉ luôn"),""))),IF(G554="Inactive","Nghỉ giữa chừng","Đang học"))))</f>
        <v/>
      </c>
    </row>
    <row r="555">
      <c r="F555" s="11">
        <f t="shared" si="1"/>
        <v>0</v>
      </c>
      <c r="G555" s="11" t="str">
        <f>IFERROR(VLOOKUP(C555,STUDENTS!A:E,5,FALSE),"")</f>
        <v/>
      </c>
      <c r="H555" s="11" t="str">
        <f>IFERROR(VLOOKUP(C555,STUDENTS!A:M,13,FALSE),"")</f>
        <v/>
      </c>
      <c r="I555" s="11" t="str">
        <f>IF(D555="","",IF(AND(VLOOKUP(C555,STUDENTS!$A:$R,17,FALSE)=A555,VLOOKUP(C555,STUDENTS!$A:$R,18,FALSE)=B555,G555="Active"),"Đang học",IF(F555&gt;=0.8,IF(G555="Active","Tiếp tục khóa sau",IF(G555="Waiting for class","Chờ lớp mới",IF(G555="Inactive",IF(IFERROR(H555,"")="Discontinued mid-course","Nghỉ giữa chừng","Hoàn thành rồi nghỉ luôn"),""))),IF(G555="Inactive","Nghỉ giữa chừng","Đang học"))))</f>
        <v/>
      </c>
    </row>
    <row r="556">
      <c r="F556" s="11">
        <f t="shared" si="1"/>
        <v>0</v>
      </c>
      <c r="G556" s="11" t="str">
        <f>IFERROR(VLOOKUP(C556,STUDENTS!A:E,5,FALSE),"")</f>
        <v/>
      </c>
      <c r="H556" s="11" t="str">
        <f>IFERROR(VLOOKUP(C556,STUDENTS!A:M,13,FALSE),"")</f>
        <v/>
      </c>
      <c r="I556" s="11" t="str">
        <f>IF(D556="","",IF(AND(VLOOKUP(C556,STUDENTS!$A:$R,17,FALSE)=A556,VLOOKUP(C556,STUDENTS!$A:$R,18,FALSE)=B556,G556="Active"),"Đang học",IF(F556&gt;=0.8,IF(G556="Active","Tiếp tục khóa sau",IF(G556="Waiting for class","Chờ lớp mới",IF(G556="Inactive",IF(IFERROR(H556,"")="Discontinued mid-course","Nghỉ giữa chừng","Hoàn thành rồi nghỉ luôn"),""))),IF(G556="Inactive","Nghỉ giữa chừng","Đang học"))))</f>
        <v/>
      </c>
    </row>
    <row r="557">
      <c r="F557" s="11">
        <f t="shared" si="1"/>
        <v>0</v>
      </c>
      <c r="G557" s="11" t="str">
        <f>IFERROR(VLOOKUP(C557,STUDENTS!A:E,5,FALSE),"")</f>
        <v/>
      </c>
      <c r="H557" s="11" t="str">
        <f>IFERROR(VLOOKUP(C557,STUDENTS!A:M,13,FALSE),"")</f>
        <v/>
      </c>
      <c r="I557" s="11" t="str">
        <f>IF(D557="","",IF(AND(VLOOKUP(C557,STUDENTS!$A:$R,17,FALSE)=A557,VLOOKUP(C557,STUDENTS!$A:$R,18,FALSE)=B557,G557="Active"),"Đang học",IF(F557&gt;=0.8,IF(G557="Active","Tiếp tục khóa sau",IF(G557="Waiting for class","Chờ lớp mới",IF(G557="Inactive",IF(IFERROR(H557,"")="Discontinued mid-course","Nghỉ giữa chừng","Hoàn thành rồi nghỉ luôn"),""))),IF(G557="Inactive","Nghỉ giữa chừng","Đang học"))))</f>
        <v/>
      </c>
    </row>
    <row r="558">
      <c r="F558" s="11">
        <f t="shared" si="1"/>
        <v>0</v>
      </c>
      <c r="G558" s="11" t="str">
        <f>IFERROR(VLOOKUP(C558,STUDENTS!A:E,5,FALSE),"")</f>
        <v/>
      </c>
      <c r="H558" s="11" t="str">
        <f>IFERROR(VLOOKUP(C558,STUDENTS!A:M,13,FALSE),"")</f>
        <v/>
      </c>
      <c r="I558" s="11" t="str">
        <f>IF(D558="","",IF(AND(VLOOKUP(C558,STUDENTS!$A:$R,17,FALSE)=A558,VLOOKUP(C558,STUDENTS!$A:$R,18,FALSE)=B558,G558="Active"),"Đang học",IF(F558&gt;=0.8,IF(G558="Active","Tiếp tục khóa sau",IF(G558="Waiting for class","Chờ lớp mới",IF(G558="Inactive",IF(IFERROR(H558,"")="Discontinued mid-course","Nghỉ giữa chừng","Hoàn thành rồi nghỉ luôn"),""))),IF(G558="Inactive","Nghỉ giữa chừng","Đang học"))))</f>
        <v/>
      </c>
    </row>
    <row r="559">
      <c r="F559" s="11">
        <f t="shared" si="1"/>
        <v>0</v>
      </c>
      <c r="G559" s="11" t="str">
        <f>IFERROR(VLOOKUP(C559,STUDENTS!A:E,5,FALSE),"")</f>
        <v/>
      </c>
      <c r="H559" s="11" t="str">
        <f>IFERROR(VLOOKUP(C559,STUDENTS!A:M,13,FALSE),"")</f>
        <v/>
      </c>
      <c r="I559" s="11" t="str">
        <f>IF(D559="","",IF(AND(VLOOKUP(C559,STUDENTS!$A:$R,17,FALSE)=A559,VLOOKUP(C559,STUDENTS!$A:$R,18,FALSE)=B559,G559="Active"),"Đang học",IF(F559&gt;=0.8,IF(G559="Active","Tiếp tục khóa sau",IF(G559="Waiting for class","Chờ lớp mới",IF(G559="Inactive",IF(IFERROR(H559,"")="Discontinued mid-course","Nghỉ giữa chừng","Hoàn thành rồi nghỉ luôn"),""))),IF(G559="Inactive","Nghỉ giữa chừng","Đang học"))))</f>
        <v/>
      </c>
    </row>
    <row r="560">
      <c r="F560" s="11">
        <f t="shared" si="1"/>
        <v>0</v>
      </c>
      <c r="G560" s="11" t="str">
        <f>IFERROR(VLOOKUP(C560,STUDENTS!A:E,5,FALSE),"")</f>
        <v/>
      </c>
      <c r="H560" s="11" t="str">
        <f>IFERROR(VLOOKUP(C560,STUDENTS!A:M,13,FALSE),"")</f>
        <v/>
      </c>
      <c r="I560" s="11" t="str">
        <f>IF(D560="","",IF(AND(VLOOKUP(C560,STUDENTS!$A:$R,17,FALSE)=A560,VLOOKUP(C560,STUDENTS!$A:$R,18,FALSE)=B560,G560="Active"),"Đang học",IF(F560&gt;=0.8,IF(G560="Active","Tiếp tục khóa sau",IF(G560="Waiting for class","Chờ lớp mới",IF(G560="Inactive",IF(IFERROR(H560,"")="Discontinued mid-course","Nghỉ giữa chừng","Hoàn thành rồi nghỉ luôn"),""))),IF(G560="Inactive","Nghỉ giữa chừng","Đang học"))))</f>
        <v/>
      </c>
    </row>
    <row r="561">
      <c r="F561" s="11">
        <f t="shared" si="1"/>
        <v>0</v>
      </c>
      <c r="G561" s="11" t="str">
        <f>IFERROR(VLOOKUP(C561,STUDENTS!A:E,5,FALSE),"")</f>
        <v/>
      </c>
      <c r="H561" s="11" t="str">
        <f>IFERROR(VLOOKUP(C561,STUDENTS!A:M,13,FALSE),"")</f>
        <v/>
      </c>
      <c r="I561" s="11" t="str">
        <f>IF(D561="","",IF(AND(VLOOKUP(C561,STUDENTS!$A:$R,17,FALSE)=A561,VLOOKUP(C561,STUDENTS!$A:$R,18,FALSE)=B561,G561="Active"),"Đang học",IF(F561&gt;=0.8,IF(G561="Active","Tiếp tục khóa sau",IF(G561="Waiting for class","Chờ lớp mới",IF(G561="Inactive",IF(IFERROR(H561,"")="Discontinued mid-course","Nghỉ giữa chừng","Hoàn thành rồi nghỉ luôn"),""))),IF(G561="Inactive","Nghỉ giữa chừng","Đang học"))))</f>
        <v/>
      </c>
    </row>
    <row r="562">
      <c r="F562" s="11">
        <f t="shared" si="1"/>
        <v>0</v>
      </c>
      <c r="G562" s="11" t="str">
        <f>IFERROR(VLOOKUP(C562,STUDENTS!A:E,5,FALSE),"")</f>
        <v/>
      </c>
      <c r="H562" s="11" t="str">
        <f>IFERROR(VLOOKUP(C562,STUDENTS!A:M,13,FALSE),"")</f>
        <v/>
      </c>
      <c r="I562" s="11" t="str">
        <f>IF(D562="","",IF(AND(VLOOKUP(C562,STUDENTS!$A:$R,17,FALSE)=A562,VLOOKUP(C562,STUDENTS!$A:$R,18,FALSE)=B562,G562="Active"),"Đang học",IF(F562&gt;=0.8,IF(G562="Active","Tiếp tục khóa sau",IF(G562="Waiting for class","Chờ lớp mới",IF(G562="Inactive",IF(IFERROR(H562,"")="Discontinued mid-course","Nghỉ giữa chừng","Hoàn thành rồi nghỉ luôn"),""))),IF(G562="Inactive","Nghỉ giữa chừng","Đang học"))))</f>
        <v/>
      </c>
    </row>
    <row r="563">
      <c r="F563" s="11">
        <f t="shared" si="1"/>
        <v>0</v>
      </c>
      <c r="G563" s="11" t="str">
        <f>IFERROR(VLOOKUP(C563,STUDENTS!A:E,5,FALSE),"")</f>
        <v/>
      </c>
      <c r="H563" s="11" t="str">
        <f>IFERROR(VLOOKUP(C563,STUDENTS!A:M,13,FALSE),"")</f>
        <v/>
      </c>
      <c r="I563" s="11" t="str">
        <f>IF(D563="","",IF(AND(VLOOKUP(C563,STUDENTS!$A:$R,17,FALSE)=A563,VLOOKUP(C563,STUDENTS!$A:$R,18,FALSE)=B563,G563="Active"),"Đang học",IF(F563&gt;=0.8,IF(G563="Active","Tiếp tục khóa sau",IF(G563="Waiting for class","Chờ lớp mới",IF(G563="Inactive",IF(IFERROR(H563,"")="Discontinued mid-course","Nghỉ giữa chừng","Hoàn thành rồi nghỉ luôn"),""))),IF(G563="Inactive","Nghỉ giữa chừng","Đang học"))))</f>
        <v/>
      </c>
    </row>
    <row r="564">
      <c r="F564" s="11">
        <f t="shared" si="1"/>
        <v>0</v>
      </c>
      <c r="G564" s="11" t="str">
        <f>IFERROR(VLOOKUP(C564,STUDENTS!A:E,5,FALSE),"")</f>
        <v/>
      </c>
      <c r="H564" s="11" t="str">
        <f>IFERROR(VLOOKUP(C564,STUDENTS!A:M,13,FALSE),"")</f>
        <v/>
      </c>
      <c r="I564" s="11" t="str">
        <f>IF(D564="","",IF(AND(VLOOKUP(C564,STUDENTS!$A:$R,17,FALSE)=A564,VLOOKUP(C564,STUDENTS!$A:$R,18,FALSE)=B564,G564="Active"),"Đang học",IF(F564&gt;=0.8,IF(G564="Active","Tiếp tục khóa sau",IF(G564="Waiting for class","Chờ lớp mới",IF(G564="Inactive",IF(IFERROR(H564,"")="Discontinued mid-course","Nghỉ giữa chừng","Hoàn thành rồi nghỉ luôn"),""))),IF(G564="Inactive","Nghỉ giữa chừng","Đang học"))))</f>
        <v/>
      </c>
    </row>
    <row r="565">
      <c r="F565" s="11">
        <f t="shared" si="1"/>
        <v>0</v>
      </c>
      <c r="G565" s="11" t="str">
        <f>IFERROR(VLOOKUP(C565,STUDENTS!A:E,5,FALSE),"")</f>
        <v/>
      </c>
      <c r="H565" s="11" t="str">
        <f>IFERROR(VLOOKUP(C565,STUDENTS!A:M,13,FALSE),"")</f>
        <v/>
      </c>
      <c r="I565" s="11" t="str">
        <f>IF(D565="","",IF(AND(VLOOKUP(C565,STUDENTS!$A:$R,17,FALSE)=A565,VLOOKUP(C565,STUDENTS!$A:$R,18,FALSE)=B565,G565="Active"),"Đang học",IF(F565&gt;=0.8,IF(G565="Active","Tiếp tục khóa sau",IF(G565="Waiting for class","Chờ lớp mới",IF(G565="Inactive",IF(IFERROR(H565,"")="Discontinued mid-course","Nghỉ giữa chừng","Hoàn thành rồi nghỉ luôn"),""))),IF(G565="Inactive","Nghỉ giữa chừng","Đang học"))))</f>
        <v/>
      </c>
    </row>
    <row r="566">
      <c r="F566" s="11">
        <f t="shared" si="1"/>
        <v>0</v>
      </c>
      <c r="G566" s="11" t="str">
        <f>IFERROR(VLOOKUP(C566,STUDENTS!A:E,5,FALSE),"")</f>
        <v/>
      </c>
      <c r="H566" s="11" t="str">
        <f>IFERROR(VLOOKUP(C566,STUDENTS!A:M,13,FALSE),"")</f>
        <v/>
      </c>
      <c r="I566" s="11" t="str">
        <f>IF(D566="","",IF(AND(VLOOKUP(C566,STUDENTS!$A:$R,17,FALSE)=A566,VLOOKUP(C566,STUDENTS!$A:$R,18,FALSE)=B566,G566="Active"),"Đang học",IF(F566&gt;=0.8,IF(G566="Active","Tiếp tục khóa sau",IF(G566="Waiting for class","Chờ lớp mới",IF(G566="Inactive",IF(IFERROR(H566,"")="Discontinued mid-course","Nghỉ giữa chừng","Hoàn thành rồi nghỉ luôn"),""))),IF(G566="Inactive","Nghỉ giữa chừng","Đang học"))))</f>
        <v/>
      </c>
    </row>
    <row r="567">
      <c r="F567" s="11">
        <f t="shared" si="1"/>
        <v>0</v>
      </c>
      <c r="G567" s="11" t="str">
        <f>IFERROR(VLOOKUP(C567,STUDENTS!A:E,5,FALSE),"")</f>
        <v/>
      </c>
      <c r="H567" s="11" t="str">
        <f>IFERROR(VLOOKUP(C567,STUDENTS!A:M,13,FALSE),"")</f>
        <v/>
      </c>
      <c r="I567" s="11" t="str">
        <f>IF(D567="","",IF(AND(VLOOKUP(C567,STUDENTS!$A:$R,17,FALSE)=A567,VLOOKUP(C567,STUDENTS!$A:$R,18,FALSE)=B567,G567="Active"),"Đang học",IF(F567&gt;=0.8,IF(G567="Active","Tiếp tục khóa sau",IF(G567="Waiting for class","Chờ lớp mới",IF(G567="Inactive",IF(IFERROR(H567,"")="Discontinued mid-course","Nghỉ giữa chừng","Hoàn thành rồi nghỉ luôn"),""))),IF(G567="Inactive","Nghỉ giữa chừng","Đang học"))))</f>
        <v/>
      </c>
    </row>
    <row r="568">
      <c r="F568" s="11">
        <f t="shared" si="1"/>
        <v>0</v>
      </c>
      <c r="G568" s="11" t="str">
        <f>IFERROR(VLOOKUP(C568,STUDENTS!A:E,5,FALSE),"")</f>
        <v/>
      </c>
      <c r="H568" s="11" t="str">
        <f>IFERROR(VLOOKUP(C568,STUDENTS!A:M,13,FALSE),"")</f>
        <v/>
      </c>
      <c r="I568" s="11" t="str">
        <f>IF(D568="","",IF(AND(VLOOKUP(C568,STUDENTS!$A:$R,17,FALSE)=A568,VLOOKUP(C568,STUDENTS!$A:$R,18,FALSE)=B568,G568="Active"),"Đang học",IF(F568&gt;=0.8,IF(G568="Active","Tiếp tục khóa sau",IF(G568="Waiting for class","Chờ lớp mới",IF(G568="Inactive",IF(IFERROR(H568,"")="Discontinued mid-course","Nghỉ giữa chừng","Hoàn thành rồi nghỉ luôn"),""))),IF(G568="Inactive","Nghỉ giữa chừng","Đang học"))))</f>
        <v/>
      </c>
    </row>
    <row r="569">
      <c r="F569" s="11">
        <f t="shared" si="1"/>
        <v>0</v>
      </c>
      <c r="G569" s="11" t="str">
        <f>IFERROR(VLOOKUP(C569,STUDENTS!A:E,5,FALSE),"")</f>
        <v/>
      </c>
      <c r="H569" s="11" t="str">
        <f>IFERROR(VLOOKUP(C569,STUDENTS!A:M,13,FALSE),"")</f>
        <v/>
      </c>
      <c r="I569" s="11" t="str">
        <f>IF(D569="","",IF(AND(VLOOKUP(C569,STUDENTS!$A:$R,17,FALSE)=A569,VLOOKUP(C569,STUDENTS!$A:$R,18,FALSE)=B569,G569="Active"),"Đang học",IF(F569&gt;=0.8,IF(G569="Active","Tiếp tục khóa sau",IF(G569="Waiting for class","Chờ lớp mới",IF(G569="Inactive",IF(IFERROR(H569,"")="Discontinued mid-course","Nghỉ giữa chừng","Hoàn thành rồi nghỉ luôn"),""))),IF(G569="Inactive","Nghỉ giữa chừng","Đang học"))))</f>
        <v/>
      </c>
    </row>
    <row r="570">
      <c r="F570" s="11">
        <f t="shared" si="1"/>
        <v>0</v>
      </c>
      <c r="G570" s="11" t="str">
        <f>IFERROR(VLOOKUP(C570,STUDENTS!A:E,5,FALSE),"")</f>
        <v/>
      </c>
      <c r="H570" s="11" t="str">
        <f>IFERROR(VLOOKUP(C570,STUDENTS!A:M,13,FALSE),"")</f>
        <v/>
      </c>
      <c r="I570" s="11" t="str">
        <f>IF(D570="","",IF(AND(VLOOKUP(C570,STUDENTS!$A:$R,17,FALSE)=A570,VLOOKUP(C570,STUDENTS!$A:$R,18,FALSE)=B570,G570="Active"),"Đang học",IF(F570&gt;=0.8,IF(G570="Active","Tiếp tục khóa sau",IF(G570="Waiting for class","Chờ lớp mới",IF(G570="Inactive",IF(IFERROR(H570,"")="Discontinued mid-course","Nghỉ giữa chừng","Hoàn thành rồi nghỉ luôn"),""))),IF(G570="Inactive","Nghỉ giữa chừng","Đang học"))))</f>
        <v/>
      </c>
    </row>
    <row r="571">
      <c r="F571" s="11">
        <f t="shared" si="1"/>
        <v>0</v>
      </c>
      <c r="G571" s="11" t="str">
        <f>IFERROR(VLOOKUP(C571,STUDENTS!A:E,5,FALSE),"")</f>
        <v/>
      </c>
      <c r="H571" s="11" t="str">
        <f>IFERROR(VLOOKUP(C571,STUDENTS!A:M,13,FALSE),"")</f>
        <v/>
      </c>
      <c r="I571" s="11" t="str">
        <f>IF(D571="","",IF(AND(VLOOKUP(C571,STUDENTS!$A:$R,17,FALSE)=A571,VLOOKUP(C571,STUDENTS!$A:$R,18,FALSE)=B571,G571="Active"),"Đang học",IF(F571&gt;=0.8,IF(G571="Active","Tiếp tục khóa sau",IF(G571="Waiting for class","Chờ lớp mới",IF(G571="Inactive",IF(IFERROR(H571,"")="Discontinued mid-course","Nghỉ giữa chừng","Hoàn thành rồi nghỉ luôn"),""))),IF(G571="Inactive","Nghỉ giữa chừng","Đang học"))))</f>
        <v/>
      </c>
    </row>
    <row r="572">
      <c r="F572" s="11">
        <f t="shared" si="1"/>
        <v>0</v>
      </c>
      <c r="G572" s="11" t="str">
        <f>IFERROR(VLOOKUP(C572,STUDENTS!A:E,5,FALSE),"")</f>
        <v/>
      </c>
      <c r="H572" s="11" t="str">
        <f>IFERROR(VLOOKUP(C572,STUDENTS!A:M,13,FALSE),"")</f>
        <v/>
      </c>
      <c r="I572" s="11" t="str">
        <f>IF(D572="","",IF(AND(VLOOKUP(C572,STUDENTS!$A:$R,17,FALSE)=A572,VLOOKUP(C572,STUDENTS!$A:$R,18,FALSE)=B572,G572="Active"),"Đang học",IF(F572&gt;=0.8,IF(G572="Active","Tiếp tục khóa sau",IF(G572="Waiting for class","Chờ lớp mới",IF(G572="Inactive",IF(IFERROR(H572,"")="Discontinued mid-course","Nghỉ giữa chừng","Hoàn thành rồi nghỉ luôn"),""))),IF(G572="Inactive","Nghỉ giữa chừng","Đang học"))))</f>
        <v/>
      </c>
    </row>
    <row r="573">
      <c r="F573" s="11">
        <f t="shared" si="1"/>
        <v>0</v>
      </c>
      <c r="G573" s="11" t="str">
        <f>IFERROR(VLOOKUP(C573,STUDENTS!A:E,5,FALSE),"")</f>
        <v/>
      </c>
      <c r="H573" s="11" t="str">
        <f>IFERROR(VLOOKUP(C573,STUDENTS!A:M,13,FALSE),"")</f>
        <v/>
      </c>
      <c r="I573" s="11" t="str">
        <f>IF(D573="","",IF(AND(VLOOKUP(C573,STUDENTS!$A:$R,17,FALSE)=A573,VLOOKUP(C573,STUDENTS!$A:$R,18,FALSE)=B573,G573="Active"),"Đang học",IF(F573&gt;=0.8,IF(G573="Active","Tiếp tục khóa sau",IF(G573="Waiting for class","Chờ lớp mới",IF(G573="Inactive",IF(IFERROR(H573,"")="Discontinued mid-course","Nghỉ giữa chừng","Hoàn thành rồi nghỉ luôn"),""))),IF(G573="Inactive","Nghỉ giữa chừng","Đang học"))))</f>
        <v/>
      </c>
    </row>
    <row r="574">
      <c r="F574" s="11">
        <f t="shared" si="1"/>
        <v>0</v>
      </c>
      <c r="G574" s="11" t="str">
        <f>IFERROR(VLOOKUP(C574,STUDENTS!A:E,5,FALSE),"")</f>
        <v/>
      </c>
      <c r="H574" s="11" t="str">
        <f>IFERROR(VLOOKUP(C574,STUDENTS!A:M,13,FALSE),"")</f>
        <v/>
      </c>
      <c r="I574" s="11" t="str">
        <f>IF(D574="","",IF(AND(VLOOKUP(C574,STUDENTS!$A:$R,17,FALSE)=A574,VLOOKUP(C574,STUDENTS!$A:$R,18,FALSE)=B574,G574="Active"),"Đang học",IF(F574&gt;=0.8,IF(G574="Active","Tiếp tục khóa sau",IF(G574="Waiting for class","Chờ lớp mới",IF(G574="Inactive",IF(IFERROR(H574,"")="Discontinued mid-course","Nghỉ giữa chừng","Hoàn thành rồi nghỉ luôn"),""))),IF(G574="Inactive","Nghỉ giữa chừng","Đang học"))))</f>
        <v/>
      </c>
    </row>
    <row r="575">
      <c r="F575" s="11">
        <f t="shared" si="1"/>
        <v>0</v>
      </c>
      <c r="G575" s="11" t="str">
        <f>IFERROR(VLOOKUP(C575,STUDENTS!A:E,5,FALSE),"")</f>
        <v/>
      </c>
      <c r="H575" s="11" t="str">
        <f>IFERROR(VLOOKUP(C575,STUDENTS!A:M,13,FALSE),"")</f>
        <v/>
      </c>
      <c r="I575" s="11" t="str">
        <f>IF(D575="","",IF(AND(VLOOKUP(C575,STUDENTS!$A:$R,17,FALSE)=A575,VLOOKUP(C575,STUDENTS!$A:$R,18,FALSE)=B575,G575="Active"),"Đang học",IF(F575&gt;=0.8,IF(G575="Active","Tiếp tục khóa sau",IF(G575="Waiting for class","Chờ lớp mới",IF(G575="Inactive",IF(IFERROR(H575,"")="Discontinued mid-course","Nghỉ giữa chừng","Hoàn thành rồi nghỉ luôn"),""))),IF(G575="Inactive","Nghỉ giữa chừng","Đang học"))))</f>
        <v/>
      </c>
    </row>
    <row r="576">
      <c r="F576" s="11">
        <f t="shared" si="1"/>
        <v>0</v>
      </c>
      <c r="G576" s="11" t="str">
        <f>IFERROR(VLOOKUP(C576,STUDENTS!A:E,5,FALSE),"")</f>
        <v/>
      </c>
      <c r="H576" s="11" t="str">
        <f>IFERROR(VLOOKUP(C576,STUDENTS!A:M,13,FALSE),"")</f>
        <v/>
      </c>
      <c r="I576" s="11" t="str">
        <f>IF(D576="","",IF(AND(VLOOKUP(C576,STUDENTS!$A:$R,17,FALSE)=A576,VLOOKUP(C576,STUDENTS!$A:$R,18,FALSE)=B576,G576="Active"),"Đang học",IF(F576&gt;=0.8,IF(G576="Active","Tiếp tục khóa sau",IF(G576="Waiting for class","Chờ lớp mới",IF(G576="Inactive",IF(IFERROR(H576,"")="Discontinued mid-course","Nghỉ giữa chừng","Hoàn thành rồi nghỉ luôn"),""))),IF(G576="Inactive","Nghỉ giữa chừng","Đang học"))))</f>
        <v/>
      </c>
    </row>
    <row r="577">
      <c r="F577" s="11">
        <f t="shared" si="1"/>
        <v>0</v>
      </c>
      <c r="G577" s="11" t="str">
        <f>IFERROR(VLOOKUP(C577,STUDENTS!A:E,5,FALSE),"")</f>
        <v/>
      </c>
      <c r="H577" s="11" t="str">
        <f>IFERROR(VLOOKUP(C577,STUDENTS!A:M,13,FALSE),"")</f>
        <v/>
      </c>
      <c r="I577" s="11" t="str">
        <f>IF(D577="","",IF(AND(VLOOKUP(C577,STUDENTS!$A:$R,17,FALSE)=A577,VLOOKUP(C577,STUDENTS!$A:$R,18,FALSE)=B577,G577="Active"),"Đang học",IF(F577&gt;=0.8,IF(G577="Active","Tiếp tục khóa sau",IF(G577="Waiting for class","Chờ lớp mới",IF(G577="Inactive",IF(IFERROR(H577,"")="Discontinued mid-course","Nghỉ giữa chừng","Hoàn thành rồi nghỉ luôn"),""))),IF(G577="Inactive","Nghỉ giữa chừng","Đang học"))))</f>
        <v/>
      </c>
    </row>
    <row r="578">
      <c r="F578" s="11">
        <f t="shared" si="1"/>
        <v>0</v>
      </c>
      <c r="G578" s="11" t="str">
        <f>IFERROR(VLOOKUP(C578,STUDENTS!A:E,5,FALSE),"")</f>
        <v/>
      </c>
      <c r="H578" s="11" t="str">
        <f>IFERROR(VLOOKUP(C578,STUDENTS!A:M,13,FALSE),"")</f>
        <v/>
      </c>
      <c r="I578" s="11" t="str">
        <f>IF(D578="","",IF(AND(VLOOKUP(C578,STUDENTS!$A:$R,17,FALSE)=A578,VLOOKUP(C578,STUDENTS!$A:$R,18,FALSE)=B578,G578="Active"),"Đang học",IF(F578&gt;=0.8,IF(G578="Active","Tiếp tục khóa sau",IF(G578="Waiting for class","Chờ lớp mới",IF(G578="Inactive",IF(IFERROR(H578,"")="Discontinued mid-course","Nghỉ giữa chừng","Hoàn thành rồi nghỉ luôn"),""))),IF(G578="Inactive","Nghỉ giữa chừng","Đang học"))))</f>
        <v/>
      </c>
    </row>
    <row r="579">
      <c r="F579" s="11">
        <f t="shared" si="1"/>
        <v>0</v>
      </c>
      <c r="G579" s="11" t="str">
        <f>IFERROR(VLOOKUP(C579,STUDENTS!A:E,5,FALSE),"")</f>
        <v/>
      </c>
      <c r="H579" s="11" t="str">
        <f>IFERROR(VLOOKUP(C579,STUDENTS!A:M,13,FALSE),"")</f>
        <v/>
      </c>
      <c r="I579" s="11" t="str">
        <f>IF(D579="","",IF(AND(VLOOKUP(C579,STUDENTS!$A:$R,17,FALSE)=A579,VLOOKUP(C579,STUDENTS!$A:$R,18,FALSE)=B579,G579="Active"),"Đang học",IF(F579&gt;=0.8,IF(G579="Active","Tiếp tục khóa sau",IF(G579="Waiting for class","Chờ lớp mới",IF(G579="Inactive",IF(IFERROR(H579,"")="Discontinued mid-course","Nghỉ giữa chừng","Hoàn thành rồi nghỉ luôn"),""))),IF(G579="Inactive","Nghỉ giữa chừng","Đang học"))))</f>
        <v/>
      </c>
    </row>
    <row r="580">
      <c r="F580" s="11">
        <f t="shared" si="1"/>
        <v>0</v>
      </c>
      <c r="G580" s="11" t="str">
        <f>IFERROR(VLOOKUP(C580,STUDENTS!A:E,5,FALSE),"")</f>
        <v/>
      </c>
      <c r="H580" s="11" t="str">
        <f>IFERROR(VLOOKUP(C580,STUDENTS!A:M,13,FALSE),"")</f>
        <v/>
      </c>
      <c r="I580" s="11" t="str">
        <f>IF(D580="","",IF(AND(VLOOKUP(C580,STUDENTS!$A:$R,17,FALSE)=A580,VLOOKUP(C580,STUDENTS!$A:$R,18,FALSE)=B580,G580="Active"),"Đang học",IF(F580&gt;=0.8,IF(G580="Active","Tiếp tục khóa sau",IF(G580="Waiting for class","Chờ lớp mới",IF(G580="Inactive",IF(IFERROR(H580,"")="Discontinued mid-course","Nghỉ giữa chừng","Hoàn thành rồi nghỉ luôn"),""))),IF(G580="Inactive","Nghỉ giữa chừng","Đang học"))))</f>
        <v/>
      </c>
    </row>
    <row r="581">
      <c r="F581" s="11">
        <f t="shared" si="1"/>
        <v>0</v>
      </c>
      <c r="G581" s="11" t="str">
        <f>IFERROR(VLOOKUP(C581,STUDENTS!A:E,5,FALSE),"")</f>
        <v/>
      </c>
      <c r="H581" s="11" t="str">
        <f>IFERROR(VLOOKUP(C581,STUDENTS!A:M,13,FALSE),"")</f>
        <v/>
      </c>
      <c r="I581" s="11" t="str">
        <f>IF(D581="","",IF(AND(VLOOKUP(C581,STUDENTS!$A:$R,17,FALSE)=A581,VLOOKUP(C581,STUDENTS!$A:$R,18,FALSE)=B581,G581="Active"),"Đang học",IF(F581&gt;=0.8,IF(G581="Active","Tiếp tục khóa sau",IF(G581="Waiting for class","Chờ lớp mới",IF(G581="Inactive",IF(IFERROR(H581,"")="Discontinued mid-course","Nghỉ giữa chừng","Hoàn thành rồi nghỉ luôn"),""))),IF(G581="Inactive","Nghỉ giữa chừng","Đang học"))))</f>
        <v/>
      </c>
    </row>
    <row r="582">
      <c r="F582" s="11">
        <f t="shared" si="1"/>
        <v>0</v>
      </c>
      <c r="G582" s="11" t="str">
        <f>IFERROR(VLOOKUP(C582,STUDENTS!A:E,5,FALSE),"")</f>
        <v/>
      </c>
      <c r="H582" s="11" t="str">
        <f>IFERROR(VLOOKUP(C582,STUDENTS!A:M,13,FALSE),"")</f>
        <v/>
      </c>
      <c r="I582" s="11" t="str">
        <f>IF(D582="","",IF(AND(VLOOKUP(C582,STUDENTS!$A:$R,17,FALSE)=A582,VLOOKUP(C582,STUDENTS!$A:$R,18,FALSE)=B582,G582="Active"),"Đang học",IF(F582&gt;=0.8,IF(G582="Active","Tiếp tục khóa sau",IF(G582="Waiting for class","Chờ lớp mới",IF(G582="Inactive",IF(IFERROR(H582,"")="Discontinued mid-course","Nghỉ giữa chừng","Hoàn thành rồi nghỉ luôn"),""))),IF(G582="Inactive","Nghỉ giữa chừng","Đang học"))))</f>
        <v/>
      </c>
    </row>
    <row r="583">
      <c r="F583" s="11">
        <f t="shared" si="1"/>
        <v>0</v>
      </c>
      <c r="G583" s="11" t="str">
        <f>IFERROR(VLOOKUP(C583,STUDENTS!A:E,5,FALSE),"")</f>
        <v/>
      </c>
      <c r="H583" s="11" t="str">
        <f>IFERROR(VLOOKUP(C583,STUDENTS!A:M,13,FALSE),"")</f>
        <v/>
      </c>
      <c r="I583" s="11" t="str">
        <f>IF(D583="","",IF(AND(VLOOKUP(C583,STUDENTS!$A:$R,17,FALSE)=A583,VLOOKUP(C583,STUDENTS!$A:$R,18,FALSE)=B583,G583="Active"),"Đang học",IF(F583&gt;=0.8,IF(G583="Active","Tiếp tục khóa sau",IF(G583="Waiting for class","Chờ lớp mới",IF(G583="Inactive",IF(IFERROR(H583,"")="Discontinued mid-course","Nghỉ giữa chừng","Hoàn thành rồi nghỉ luôn"),""))),IF(G583="Inactive","Nghỉ giữa chừng","Đang học"))))</f>
        <v/>
      </c>
    </row>
    <row r="584">
      <c r="F584" s="11">
        <f t="shared" si="1"/>
        <v>0</v>
      </c>
      <c r="G584" s="11" t="str">
        <f>IFERROR(VLOOKUP(C584,STUDENTS!A:E,5,FALSE),"")</f>
        <v/>
      </c>
      <c r="H584" s="11" t="str">
        <f>IFERROR(VLOOKUP(C584,STUDENTS!A:M,13,FALSE),"")</f>
        <v/>
      </c>
      <c r="I584" s="11" t="str">
        <f>IF(D584="","",IF(AND(VLOOKUP(C584,STUDENTS!$A:$R,17,FALSE)=A584,VLOOKUP(C584,STUDENTS!$A:$R,18,FALSE)=B584,G584="Active"),"Đang học",IF(F584&gt;=0.8,IF(G584="Active","Tiếp tục khóa sau",IF(G584="Waiting for class","Chờ lớp mới",IF(G584="Inactive",IF(IFERROR(H584,"")="Discontinued mid-course","Nghỉ giữa chừng","Hoàn thành rồi nghỉ luôn"),""))),IF(G584="Inactive","Nghỉ giữa chừng","Đang học"))))</f>
        <v/>
      </c>
    </row>
    <row r="585">
      <c r="F585" s="11">
        <f t="shared" si="1"/>
        <v>0</v>
      </c>
      <c r="G585" s="11" t="str">
        <f>IFERROR(VLOOKUP(C585,STUDENTS!A:E,5,FALSE),"")</f>
        <v/>
      </c>
      <c r="H585" s="11" t="str">
        <f>IFERROR(VLOOKUP(C585,STUDENTS!A:M,13,FALSE),"")</f>
        <v/>
      </c>
      <c r="I585" s="11" t="str">
        <f>IF(D585="","",IF(AND(VLOOKUP(C585,STUDENTS!$A:$R,17,FALSE)=A585,VLOOKUP(C585,STUDENTS!$A:$R,18,FALSE)=B585,G585="Active"),"Đang học",IF(F585&gt;=0.8,IF(G585="Active","Tiếp tục khóa sau",IF(G585="Waiting for class","Chờ lớp mới",IF(G585="Inactive",IF(IFERROR(H585,"")="Discontinued mid-course","Nghỉ giữa chừng","Hoàn thành rồi nghỉ luôn"),""))),IF(G585="Inactive","Nghỉ giữa chừng","Đang học"))))</f>
        <v/>
      </c>
    </row>
    <row r="586">
      <c r="F586" s="11">
        <f t="shared" si="1"/>
        <v>0</v>
      </c>
      <c r="G586" s="11" t="str">
        <f>IFERROR(VLOOKUP(C586,STUDENTS!A:E,5,FALSE),"")</f>
        <v/>
      </c>
      <c r="H586" s="11" t="str">
        <f>IFERROR(VLOOKUP(C586,STUDENTS!A:M,13,FALSE),"")</f>
        <v/>
      </c>
      <c r="I586" s="11" t="str">
        <f>IF(D586="","",IF(AND(VLOOKUP(C586,STUDENTS!$A:$R,17,FALSE)=A586,VLOOKUP(C586,STUDENTS!$A:$R,18,FALSE)=B586,G586="Active"),"Đang học",IF(F586&gt;=0.8,IF(G586="Active","Tiếp tục khóa sau",IF(G586="Waiting for class","Chờ lớp mới",IF(G586="Inactive",IF(IFERROR(H586,"")="Discontinued mid-course","Nghỉ giữa chừng","Hoàn thành rồi nghỉ luôn"),""))),IF(G586="Inactive","Nghỉ giữa chừng","Đang học"))))</f>
        <v/>
      </c>
    </row>
    <row r="587">
      <c r="F587" s="11">
        <f t="shared" si="1"/>
        <v>0</v>
      </c>
      <c r="G587" s="11" t="str">
        <f>IFERROR(VLOOKUP(C587,STUDENTS!A:E,5,FALSE),"")</f>
        <v/>
      </c>
      <c r="H587" s="11" t="str">
        <f>IFERROR(VLOOKUP(C587,STUDENTS!A:M,13,FALSE),"")</f>
        <v/>
      </c>
      <c r="I587" s="11" t="str">
        <f>IF(D587="","",IF(AND(VLOOKUP(C587,STUDENTS!$A:$R,17,FALSE)=A587,VLOOKUP(C587,STUDENTS!$A:$R,18,FALSE)=B587,G587="Active"),"Đang học",IF(F587&gt;=0.8,IF(G587="Active","Tiếp tục khóa sau",IF(G587="Waiting for class","Chờ lớp mới",IF(G587="Inactive",IF(IFERROR(H587,"")="Discontinued mid-course","Nghỉ giữa chừng","Hoàn thành rồi nghỉ luôn"),""))),IF(G587="Inactive","Nghỉ giữa chừng","Đang học"))))</f>
        <v/>
      </c>
    </row>
    <row r="588">
      <c r="F588" s="11">
        <f t="shared" si="1"/>
        <v>0</v>
      </c>
      <c r="G588" s="11" t="str">
        <f>IFERROR(VLOOKUP(C588,STUDENTS!A:E,5,FALSE),"")</f>
        <v/>
      </c>
      <c r="H588" s="11" t="str">
        <f>IFERROR(VLOOKUP(C588,STUDENTS!A:M,13,FALSE),"")</f>
        <v/>
      </c>
      <c r="I588" s="11" t="str">
        <f>IF(D588="","",IF(AND(VLOOKUP(C588,STUDENTS!$A:$R,17,FALSE)=A588,VLOOKUP(C588,STUDENTS!$A:$R,18,FALSE)=B588,G588="Active"),"Đang học",IF(F588&gt;=0.8,IF(G588="Active","Tiếp tục khóa sau",IF(G588="Waiting for class","Chờ lớp mới",IF(G588="Inactive",IF(IFERROR(H588,"")="Discontinued mid-course","Nghỉ giữa chừng","Hoàn thành rồi nghỉ luôn"),""))),IF(G588="Inactive","Nghỉ giữa chừng","Đang học"))))</f>
        <v/>
      </c>
    </row>
    <row r="589">
      <c r="F589" s="11">
        <f t="shared" si="1"/>
        <v>0</v>
      </c>
      <c r="G589" s="11" t="str">
        <f>IFERROR(VLOOKUP(C589,STUDENTS!A:E,5,FALSE),"")</f>
        <v/>
      </c>
      <c r="H589" s="11" t="str">
        <f>IFERROR(VLOOKUP(C589,STUDENTS!A:M,13,FALSE),"")</f>
        <v/>
      </c>
      <c r="I589" s="11" t="str">
        <f>IF(D589="","",IF(AND(VLOOKUP(C589,STUDENTS!$A:$R,17,FALSE)=A589,VLOOKUP(C589,STUDENTS!$A:$R,18,FALSE)=B589,G589="Active"),"Đang học",IF(F589&gt;=0.8,IF(G589="Active","Tiếp tục khóa sau",IF(G589="Waiting for class","Chờ lớp mới",IF(G589="Inactive",IF(IFERROR(H589,"")="Discontinued mid-course","Nghỉ giữa chừng","Hoàn thành rồi nghỉ luôn"),""))),IF(G589="Inactive","Nghỉ giữa chừng","Đang học"))))</f>
        <v/>
      </c>
    </row>
    <row r="590">
      <c r="F590" s="11">
        <f t="shared" si="1"/>
        <v>0</v>
      </c>
      <c r="G590" s="11" t="str">
        <f>IFERROR(VLOOKUP(C590,STUDENTS!A:E,5,FALSE),"")</f>
        <v/>
      </c>
      <c r="H590" s="11" t="str">
        <f>IFERROR(VLOOKUP(C590,STUDENTS!A:M,13,FALSE),"")</f>
        <v/>
      </c>
      <c r="I590" s="11" t="str">
        <f>IF(D590="","",IF(AND(VLOOKUP(C590,STUDENTS!$A:$R,17,FALSE)=A590,VLOOKUP(C590,STUDENTS!$A:$R,18,FALSE)=B590,G590="Active"),"Đang học",IF(F590&gt;=0.8,IF(G590="Active","Tiếp tục khóa sau",IF(G590="Waiting for class","Chờ lớp mới",IF(G590="Inactive",IF(IFERROR(H590,"")="Discontinued mid-course","Nghỉ giữa chừng","Hoàn thành rồi nghỉ luôn"),""))),IF(G590="Inactive","Nghỉ giữa chừng","Đang học"))))</f>
        <v/>
      </c>
    </row>
    <row r="591">
      <c r="F591" s="11">
        <f t="shared" si="1"/>
        <v>0</v>
      </c>
      <c r="G591" s="11" t="str">
        <f>IFERROR(VLOOKUP(C591,STUDENTS!A:E,5,FALSE),"")</f>
        <v/>
      </c>
      <c r="H591" s="11" t="str">
        <f>IFERROR(VLOOKUP(C591,STUDENTS!A:M,13,FALSE),"")</f>
        <v/>
      </c>
      <c r="I591" s="11" t="str">
        <f>IF(D591="","",IF(AND(VLOOKUP(C591,STUDENTS!$A:$R,17,FALSE)=A591,VLOOKUP(C591,STUDENTS!$A:$R,18,FALSE)=B591,G591="Active"),"Đang học",IF(F591&gt;=0.8,IF(G591="Active","Tiếp tục khóa sau",IF(G591="Waiting for class","Chờ lớp mới",IF(G591="Inactive",IF(IFERROR(H591,"")="Discontinued mid-course","Nghỉ giữa chừng","Hoàn thành rồi nghỉ luôn"),""))),IF(G591="Inactive","Nghỉ giữa chừng","Đang học"))))</f>
        <v/>
      </c>
    </row>
    <row r="592">
      <c r="F592" s="11">
        <f t="shared" si="1"/>
        <v>0</v>
      </c>
      <c r="G592" s="11" t="str">
        <f>IFERROR(VLOOKUP(C592,STUDENTS!A:E,5,FALSE),"")</f>
        <v/>
      </c>
      <c r="H592" s="11" t="str">
        <f>IFERROR(VLOOKUP(C592,STUDENTS!A:M,13,FALSE),"")</f>
        <v/>
      </c>
      <c r="I592" s="11" t="str">
        <f>IF(D592="","",IF(AND(VLOOKUP(C592,STUDENTS!$A:$R,17,FALSE)=A592,VLOOKUP(C592,STUDENTS!$A:$R,18,FALSE)=B592,G592="Active"),"Đang học",IF(F592&gt;=0.8,IF(G592="Active","Tiếp tục khóa sau",IF(G592="Waiting for class","Chờ lớp mới",IF(G592="Inactive",IF(IFERROR(H592,"")="Discontinued mid-course","Nghỉ giữa chừng","Hoàn thành rồi nghỉ luôn"),""))),IF(G592="Inactive","Nghỉ giữa chừng","Đang học"))))</f>
        <v/>
      </c>
    </row>
    <row r="593">
      <c r="F593" s="11">
        <f t="shared" si="1"/>
        <v>0</v>
      </c>
      <c r="G593" s="11" t="str">
        <f>IFERROR(VLOOKUP(C593,STUDENTS!A:E,5,FALSE),"")</f>
        <v/>
      </c>
      <c r="H593" s="11" t="str">
        <f>IFERROR(VLOOKUP(C593,STUDENTS!A:M,13,FALSE),"")</f>
        <v/>
      </c>
      <c r="I593" s="11" t="str">
        <f>IF(D593="","",IF(AND(VLOOKUP(C593,STUDENTS!$A:$R,17,FALSE)=A593,VLOOKUP(C593,STUDENTS!$A:$R,18,FALSE)=B593,G593="Active"),"Đang học",IF(F593&gt;=0.8,IF(G593="Active","Tiếp tục khóa sau",IF(G593="Waiting for class","Chờ lớp mới",IF(G593="Inactive",IF(IFERROR(H593,"")="Discontinued mid-course","Nghỉ giữa chừng","Hoàn thành rồi nghỉ luôn"),""))),IF(G593="Inactive","Nghỉ giữa chừng","Đang học"))))</f>
        <v/>
      </c>
    </row>
    <row r="594">
      <c r="F594" s="11">
        <f t="shared" si="1"/>
        <v>0</v>
      </c>
      <c r="G594" s="11" t="str">
        <f>IFERROR(VLOOKUP(C594,STUDENTS!A:E,5,FALSE),"")</f>
        <v/>
      </c>
      <c r="H594" s="11" t="str">
        <f>IFERROR(VLOOKUP(C594,STUDENTS!A:M,13,FALSE),"")</f>
        <v/>
      </c>
      <c r="I594" s="11" t="str">
        <f>IF(D594="","",IF(AND(VLOOKUP(C594,STUDENTS!$A:$R,17,FALSE)=A594,VLOOKUP(C594,STUDENTS!$A:$R,18,FALSE)=B594,G594="Active"),"Đang học",IF(F594&gt;=0.8,IF(G594="Active","Tiếp tục khóa sau",IF(G594="Waiting for class","Chờ lớp mới",IF(G594="Inactive",IF(IFERROR(H594,"")="Discontinued mid-course","Nghỉ giữa chừng","Hoàn thành rồi nghỉ luôn"),""))),IF(G594="Inactive","Nghỉ giữa chừng","Đang học"))))</f>
        <v/>
      </c>
    </row>
    <row r="595">
      <c r="F595" s="11">
        <f t="shared" si="1"/>
        <v>0</v>
      </c>
      <c r="G595" s="11" t="str">
        <f>IFERROR(VLOOKUP(C595,STUDENTS!A:E,5,FALSE),"")</f>
        <v/>
      </c>
      <c r="H595" s="11" t="str">
        <f>IFERROR(VLOOKUP(C595,STUDENTS!A:M,13,FALSE),"")</f>
        <v/>
      </c>
      <c r="I595" s="11" t="str">
        <f>IF(D595="","",IF(AND(VLOOKUP(C595,STUDENTS!$A:$R,17,FALSE)=A595,VLOOKUP(C595,STUDENTS!$A:$R,18,FALSE)=B595,G595="Active"),"Đang học",IF(F595&gt;=0.8,IF(G595="Active","Tiếp tục khóa sau",IF(G595="Waiting for class","Chờ lớp mới",IF(G595="Inactive",IF(IFERROR(H595,"")="Discontinued mid-course","Nghỉ giữa chừng","Hoàn thành rồi nghỉ luôn"),""))),IF(G595="Inactive","Nghỉ giữa chừng","Đang học"))))</f>
        <v/>
      </c>
    </row>
    <row r="596">
      <c r="F596" s="11">
        <f t="shared" si="1"/>
        <v>0</v>
      </c>
      <c r="G596" s="11" t="str">
        <f>IFERROR(VLOOKUP(C596,STUDENTS!A:E,5,FALSE),"")</f>
        <v/>
      </c>
      <c r="H596" s="11" t="str">
        <f>IFERROR(VLOOKUP(C596,STUDENTS!A:M,13,FALSE),"")</f>
        <v/>
      </c>
      <c r="I596" s="11" t="str">
        <f>IF(D596="","",IF(AND(VLOOKUP(C596,STUDENTS!$A:$R,17,FALSE)=A596,VLOOKUP(C596,STUDENTS!$A:$R,18,FALSE)=B596,G596="Active"),"Đang học",IF(F596&gt;=0.8,IF(G596="Active","Tiếp tục khóa sau",IF(G596="Waiting for class","Chờ lớp mới",IF(G596="Inactive",IF(IFERROR(H596,"")="Discontinued mid-course","Nghỉ giữa chừng","Hoàn thành rồi nghỉ luôn"),""))),IF(G596="Inactive","Nghỉ giữa chừng","Đang học"))))</f>
        <v/>
      </c>
    </row>
    <row r="597">
      <c r="F597" s="11">
        <f t="shared" si="1"/>
        <v>0</v>
      </c>
      <c r="G597" s="11" t="str">
        <f>IFERROR(VLOOKUP(C597,STUDENTS!A:E,5,FALSE),"")</f>
        <v/>
      </c>
      <c r="H597" s="11" t="str">
        <f>IFERROR(VLOOKUP(C597,STUDENTS!A:M,13,FALSE),"")</f>
        <v/>
      </c>
      <c r="I597" s="11" t="str">
        <f>IF(D597="","",IF(AND(VLOOKUP(C597,STUDENTS!$A:$R,17,FALSE)=A597,VLOOKUP(C597,STUDENTS!$A:$R,18,FALSE)=B597,G597="Active"),"Đang học",IF(F597&gt;=0.8,IF(G597="Active","Tiếp tục khóa sau",IF(G597="Waiting for class","Chờ lớp mới",IF(G597="Inactive",IF(IFERROR(H597,"")="Discontinued mid-course","Nghỉ giữa chừng","Hoàn thành rồi nghỉ luôn"),""))),IF(G597="Inactive","Nghỉ giữa chừng","Đang học"))))</f>
        <v/>
      </c>
    </row>
    <row r="598">
      <c r="F598" s="11">
        <f t="shared" si="1"/>
        <v>0</v>
      </c>
      <c r="G598" s="11" t="str">
        <f>IFERROR(VLOOKUP(C598,STUDENTS!A:E,5,FALSE),"")</f>
        <v/>
      </c>
      <c r="H598" s="11" t="str">
        <f>IFERROR(VLOOKUP(C598,STUDENTS!A:M,13,FALSE),"")</f>
        <v/>
      </c>
      <c r="I598" s="11" t="str">
        <f>IF(D598="","",IF(AND(VLOOKUP(C598,STUDENTS!$A:$R,17,FALSE)=A598,VLOOKUP(C598,STUDENTS!$A:$R,18,FALSE)=B598,G598="Active"),"Đang học",IF(F598&gt;=0.8,IF(G598="Active","Tiếp tục khóa sau",IF(G598="Waiting for class","Chờ lớp mới",IF(G598="Inactive",IF(IFERROR(H598,"")="Discontinued mid-course","Nghỉ giữa chừng","Hoàn thành rồi nghỉ luôn"),""))),IF(G598="Inactive","Nghỉ giữa chừng","Đang học"))))</f>
        <v/>
      </c>
    </row>
    <row r="599">
      <c r="F599" s="11">
        <f t="shared" si="1"/>
        <v>0</v>
      </c>
      <c r="G599" s="11" t="str">
        <f>IFERROR(VLOOKUP(C599,STUDENTS!A:E,5,FALSE),"")</f>
        <v/>
      </c>
      <c r="H599" s="11" t="str">
        <f>IFERROR(VLOOKUP(C599,STUDENTS!A:M,13,FALSE),"")</f>
        <v/>
      </c>
      <c r="I599" s="11" t="str">
        <f>IF(D599="","",IF(AND(VLOOKUP(C599,STUDENTS!$A:$R,17,FALSE)=A599,VLOOKUP(C599,STUDENTS!$A:$R,18,FALSE)=B599,G599="Active"),"Đang học",IF(F599&gt;=0.8,IF(G599="Active","Tiếp tục khóa sau",IF(G599="Waiting for class","Chờ lớp mới",IF(G599="Inactive",IF(IFERROR(H599,"")="Discontinued mid-course","Nghỉ giữa chừng","Hoàn thành rồi nghỉ luôn"),""))),IF(G599="Inactive","Nghỉ giữa chừng","Đang học"))))</f>
        <v/>
      </c>
    </row>
    <row r="600">
      <c r="F600" s="11">
        <f t="shared" si="1"/>
        <v>0</v>
      </c>
      <c r="G600" s="11" t="str">
        <f>IFERROR(VLOOKUP(C600,STUDENTS!A:E,5,FALSE),"")</f>
        <v/>
      </c>
      <c r="H600" s="11" t="str">
        <f>IFERROR(VLOOKUP(C600,STUDENTS!A:M,13,FALSE),"")</f>
        <v/>
      </c>
      <c r="I600" s="11" t="str">
        <f>IF(D600="","",IF(AND(VLOOKUP(C600,STUDENTS!$A:$R,17,FALSE)=A600,VLOOKUP(C600,STUDENTS!$A:$R,18,FALSE)=B600,G600="Active"),"Đang học",IF(F600&gt;=0.8,IF(G600="Active","Tiếp tục khóa sau",IF(G600="Waiting for class","Chờ lớp mới",IF(G600="Inactive",IF(IFERROR(H600,"")="Discontinued mid-course","Nghỉ giữa chừng","Hoàn thành rồi nghỉ luôn"),""))),IF(G600="Inactive","Nghỉ giữa chừng","Đang học"))))</f>
        <v/>
      </c>
    </row>
    <row r="601">
      <c r="F601" s="11">
        <f t="shared" si="1"/>
        <v>0</v>
      </c>
      <c r="G601" s="11" t="str">
        <f>IFERROR(VLOOKUP(C601,STUDENTS!A:E,5,FALSE),"")</f>
        <v/>
      </c>
      <c r="H601" s="11" t="str">
        <f>IFERROR(VLOOKUP(C601,STUDENTS!A:M,13,FALSE),"")</f>
        <v/>
      </c>
      <c r="I601" s="11" t="str">
        <f>IF(D601="","",IF(AND(VLOOKUP(C601,STUDENTS!$A:$R,17,FALSE)=A601,VLOOKUP(C601,STUDENTS!$A:$R,18,FALSE)=B601,G601="Active"),"Đang học",IF(F601&gt;=0.8,IF(G601="Active","Tiếp tục khóa sau",IF(G601="Waiting for class","Chờ lớp mới",IF(G601="Inactive",IF(IFERROR(H601,"")="Discontinued mid-course","Nghỉ giữa chừng","Hoàn thành rồi nghỉ luôn"),""))),IF(G601="Inactive","Nghỉ giữa chừng","Đang học"))))</f>
        <v/>
      </c>
    </row>
    <row r="602">
      <c r="F602" s="11">
        <f t="shared" si="1"/>
        <v>0</v>
      </c>
      <c r="G602" s="11" t="str">
        <f>IFERROR(VLOOKUP(C602,STUDENTS!A:E,5,FALSE),"")</f>
        <v/>
      </c>
      <c r="H602" s="11" t="str">
        <f>IFERROR(VLOOKUP(C602,STUDENTS!A:M,13,FALSE),"")</f>
        <v/>
      </c>
      <c r="I602" s="11" t="str">
        <f>IF(D602="","",IF(AND(VLOOKUP(C602,STUDENTS!$A:$R,17,FALSE)=A602,VLOOKUP(C602,STUDENTS!$A:$R,18,FALSE)=B602,G602="Active"),"Đang học",IF(F602&gt;=0.8,IF(G602="Active","Tiếp tục khóa sau",IF(G602="Waiting for class","Chờ lớp mới",IF(G602="Inactive",IF(IFERROR(H602,"")="Discontinued mid-course","Nghỉ giữa chừng","Hoàn thành rồi nghỉ luôn"),""))),IF(G602="Inactive","Nghỉ giữa chừng","Đang học"))))</f>
        <v/>
      </c>
    </row>
    <row r="603">
      <c r="F603" s="11">
        <f t="shared" si="1"/>
        <v>0</v>
      </c>
      <c r="G603" s="11" t="str">
        <f>IFERROR(VLOOKUP(C603,STUDENTS!A:E,5,FALSE),"")</f>
        <v/>
      </c>
      <c r="H603" s="11" t="str">
        <f>IFERROR(VLOOKUP(C603,STUDENTS!A:M,13,FALSE),"")</f>
        <v/>
      </c>
      <c r="I603" s="11" t="str">
        <f>IF(D603="","",IF(AND(VLOOKUP(C603,STUDENTS!$A:$R,17,FALSE)=A603,VLOOKUP(C603,STUDENTS!$A:$R,18,FALSE)=B603,G603="Active"),"Đang học",IF(F603&gt;=0.8,IF(G603="Active","Tiếp tục khóa sau",IF(G603="Waiting for class","Chờ lớp mới",IF(G603="Inactive",IF(IFERROR(H603,"")="Discontinued mid-course","Nghỉ giữa chừng","Hoàn thành rồi nghỉ luôn"),""))),IF(G603="Inactive","Nghỉ giữa chừng","Đang học"))))</f>
        <v/>
      </c>
    </row>
    <row r="604">
      <c r="F604" s="11">
        <f t="shared" si="1"/>
        <v>0</v>
      </c>
      <c r="G604" s="11" t="str">
        <f>IFERROR(VLOOKUP(C604,STUDENTS!A:E,5,FALSE),"")</f>
        <v/>
      </c>
      <c r="H604" s="11" t="str">
        <f>IFERROR(VLOOKUP(C604,STUDENTS!A:M,13,FALSE),"")</f>
        <v/>
      </c>
      <c r="I604" s="11" t="str">
        <f>IF(D604="","",IF(AND(VLOOKUP(C604,STUDENTS!$A:$R,17,FALSE)=A604,VLOOKUP(C604,STUDENTS!$A:$R,18,FALSE)=B604,G604="Active"),"Đang học",IF(F604&gt;=0.8,IF(G604="Active","Tiếp tục khóa sau",IF(G604="Waiting for class","Chờ lớp mới",IF(G604="Inactive",IF(IFERROR(H604,"")="Discontinued mid-course","Nghỉ giữa chừng","Hoàn thành rồi nghỉ luôn"),""))),IF(G604="Inactive","Nghỉ giữa chừng","Đang học"))))</f>
        <v/>
      </c>
    </row>
    <row r="605">
      <c r="F605" s="11">
        <f t="shared" si="1"/>
        <v>0</v>
      </c>
      <c r="G605" s="11" t="str">
        <f>IFERROR(VLOOKUP(C605,STUDENTS!A:E,5,FALSE),"")</f>
        <v/>
      </c>
      <c r="H605" s="11" t="str">
        <f>IFERROR(VLOOKUP(C605,STUDENTS!A:M,13,FALSE),"")</f>
        <v/>
      </c>
      <c r="I605" s="11" t="str">
        <f>IF(D605="","",IF(AND(VLOOKUP(C605,STUDENTS!$A:$R,17,FALSE)=A605,VLOOKUP(C605,STUDENTS!$A:$R,18,FALSE)=B605,G605="Active"),"Đang học",IF(F605&gt;=0.8,IF(G605="Active","Tiếp tục khóa sau",IF(G605="Waiting for class","Chờ lớp mới",IF(G605="Inactive",IF(IFERROR(H605,"")="Discontinued mid-course","Nghỉ giữa chừng","Hoàn thành rồi nghỉ luôn"),""))),IF(G605="Inactive","Nghỉ giữa chừng","Đang học"))))</f>
        <v/>
      </c>
    </row>
    <row r="606">
      <c r="F606" s="11">
        <f t="shared" si="1"/>
        <v>0</v>
      </c>
      <c r="G606" s="11" t="str">
        <f>IFERROR(VLOOKUP(C606,STUDENTS!A:E,5,FALSE),"")</f>
        <v/>
      </c>
      <c r="H606" s="11" t="str">
        <f>IFERROR(VLOOKUP(C606,STUDENTS!A:M,13,FALSE),"")</f>
        <v/>
      </c>
      <c r="I606" s="11" t="str">
        <f>IF(D606="","",IF(AND(VLOOKUP(C606,STUDENTS!$A:$R,17,FALSE)=A606,VLOOKUP(C606,STUDENTS!$A:$R,18,FALSE)=B606,G606="Active"),"Đang học",IF(F606&gt;=0.8,IF(G606="Active","Tiếp tục khóa sau",IF(G606="Waiting for class","Chờ lớp mới",IF(G606="Inactive",IF(IFERROR(H606,"")="Discontinued mid-course","Nghỉ giữa chừng","Hoàn thành rồi nghỉ luôn"),""))),IF(G606="Inactive","Nghỉ giữa chừng","Đang học"))))</f>
        <v/>
      </c>
    </row>
    <row r="607">
      <c r="F607" s="11">
        <f t="shared" si="1"/>
        <v>0</v>
      </c>
      <c r="G607" s="11" t="str">
        <f>IFERROR(VLOOKUP(C607,STUDENTS!A:E,5,FALSE),"")</f>
        <v/>
      </c>
      <c r="H607" s="11" t="str">
        <f>IFERROR(VLOOKUP(C607,STUDENTS!A:M,13,FALSE),"")</f>
        <v/>
      </c>
      <c r="I607" s="11" t="str">
        <f>IF(D607="","",IF(AND(VLOOKUP(C607,STUDENTS!$A:$R,17,FALSE)=A607,VLOOKUP(C607,STUDENTS!$A:$R,18,FALSE)=B607,G607="Active"),"Đang học",IF(F607&gt;=0.8,IF(G607="Active","Tiếp tục khóa sau",IF(G607="Waiting for class","Chờ lớp mới",IF(G607="Inactive",IF(IFERROR(H607,"")="Discontinued mid-course","Nghỉ giữa chừng","Hoàn thành rồi nghỉ luôn"),""))),IF(G607="Inactive","Nghỉ giữa chừng","Đang học"))))</f>
        <v/>
      </c>
    </row>
    <row r="608">
      <c r="F608" s="11">
        <f t="shared" si="1"/>
        <v>0</v>
      </c>
      <c r="G608" s="11" t="str">
        <f>IFERROR(VLOOKUP(C608,STUDENTS!A:E,5,FALSE),"")</f>
        <v/>
      </c>
      <c r="H608" s="11" t="str">
        <f>IFERROR(VLOOKUP(C608,STUDENTS!A:M,13,FALSE),"")</f>
        <v/>
      </c>
      <c r="I608" s="11" t="str">
        <f>IF(D608="","",IF(AND(VLOOKUP(C608,STUDENTS!$A:$R,17,FALSE)=A608,VLOOKUP(C608,STUDENTS!$A:$R,18,FALSE)=B608,G608="Active"),"Đang học",IF(F608&gt;=0.8,IF(G608="Active","Tiếp tục khóa sau",IF(G608="Waiting for class","Chờ lớp mới",IF(G608="Inactive",IF(IFERROR(H608,"")="Discontinued mid-course","Nghỉ giữa chừng","Hoàn thành rồi nghỉ luôn"),""))),IF(G608="Inactive","Nghỉ giữa chừng","Đang học"))))</f>
        <v/>
      </c>
    </row>
    <row r="609">
      <c r="F609" s="11">
        <f t="shared" si="1"/>
        <v>0</v>
      </c>
      <c r="G609" s="11" t="str">
        <f>IFERROR(VLOOKUP(C609,STUDENTS!A:E,5,FALSE),"")</f>
        <v/>
      </c>
      <c r="H609" s="11" t="str">
        <f>IFERROR(VLOOKUP(C609,STUDENTS!A:M,13,FALSE),"")</f>
        <v/>
      </c>
      <c r="I609" s="11" t="str">
        <f>IF(D609="","",IF(AND(VLOOKUP(C609,STUDENTS!$A:$R,17,FALSE)=A609,VLOOKUP(C609,STUDENTS!$A:$R,18,FALSE)=B609,G609="Active"),"Đang học",IF(F609&gt;=0.8,IF(G609="Active","Tiếp tục khóa sau",IF(G609="Waiting for class","Chờ lớp mới",IF(G609="Inactive",IF(IFERROR(H609,"")="Discontinued mid-course","Nghỉ giữa chừng","Hoàn thành rồi nghỉ luôn"),""))),IF(G609="Inactive","Nghỉ giữa chừng","Đang học"))))</f>
        <v/>
      </c>
    </row>
    <row r="610">
      <c r="F610" s="11">
        <f t="shared" si="1"/>
        <v>0</v>
      </c>
      <c r="G610" s="11" t="str">
        <f>IFERROR(VLOOKUP(C610,STUDENTS!A:E,5,FALSE),"")</f>
        <v/>
      </c>
      <c r="H610" s="11" t="str">
        <f>IFERROR(VLOOKUP(C610,STUDENTS!A:M,13,FALSE),"")</f>
        <v/>
      </c>
      <c r="I610" s="11" t="str">
        <f>IF(D610="","",IF(AND(VLOOKUP(C610,STUDENTS!$A:$R,17,FALSE)=A610,VLOOKUP(C610,STUDENTS!$A:$R,18,FALSE)=B610,G610="Active"),"Đang học",IF(F610&gt;=0.8,IF(G610="Active","Tiếp tục khóa sau",IF(G610="Waiting for class","Chờ lớp mới",IF(G610="Inactive",IF(IFERROR(H610,"")="Discontinued mid-course","Nghỉ giữa chừng","Hoàn thành rồi nghỉ luôn"),""))),IF(G610="Inactive","Nghỉ giữa chừng","Đang học"))))</f>
        <v/>
      </c>
    </row>
    <row r="611">
      <c r="F611" s="11">
        <f t="shared" si="1"/>
        <v>0</v>
      </c>
      <c r="G611" s="11" t="str">
        <f>IFERROR(VLOOKUP(C611,STUDENTS!A:E,5,FALSE),"")</f>
        <v/>
      </c>
      <c r="H611" s="11" t="str">
        <f>IFERROR(VLOOKUP(C611,STUDENTS!A:M,13,FALSE),"")</f>
        <v/>
      </c>
      <c r="I611" s="11" t="str">
        <f>IF(D611="","",IF(AND(VLOOKUP(C611,STUDENTS!$A:$R,17,FALSE)=A611,VLOOKUP(C611,STUDENTS!$A:$R,18,FALSE)=B611,G611="Active"),"Đang học",IF(F611&gt;=0.8,IF(G611="Active","Tiếp tục khóa sau",IF(G611="Waiting for class","Chờ lớp mới",IF(G611="Inactive",IF(IFERROR(H611,"")="Discontinued mid-course","Nghỉ giữa chừng","Hoàn thành rồi nghỉ luôn"),""))),IF(G611="Inactive","Nghỉ giữa chừng","Đang học"))))</f>
        <v/>
      </c>
    </row>
    <row r="612">
      <c r="F612" s="11">
        <f t="shared" si="1"/>
        <v>0</v>
      </c>
      <c r="G612" s="11" t="str">
        <f>IFERROR(VLOOKUP(C612,STUDENTS!A:E,5,FALSE),"")</f>
        <v/>
      </c>
      <c r="H612" s="11" t="str">
        <f>IFERROR(VLOOKUP(C612,STUDENTS!A:M,13,FALSE),"")</f>
        <v/>
      </c>
      <c r="I612" s="11" t="str">
        <f>IF(D612="","",IF(AND(VLOOKUP(C612,STUDENTS!$A:$R,17,FALSE)=A612,VLOOKUP(C612,STUDENTS!$A:$R,18,FALSE)=B612,G612="Active"),"Đang học",IF(F612&gt;=0.8,IF(G612="Active","Tiếp tục khóa sau",IF(G612="Waiting for class","Chờ lớp mới",IF(G612="Inactive",IF(IFERROR(H612,"")="Discontinued mid-course","Nghỉ giữa chừng","Hoàn thành rồi nghỉ luôn"),""))),IF(G612="Inactive","Nghỉ giữa chừng","Đang học"))))</f>
        <v/>
      </c>
    </row>
    <row r="613">
      <c r="F613" s="11">
        <f t="shared" si="1"/>
        <v>0</v>
      </c>
      <c r="G613" s="11" t="str">
        <f>IFERROR(VLOOKUP(C613,STUDENTS!A:E,5,FALSE),"")</f>
        <v/>
      </c>
      <c r="H613" s="11" t="str">
        <f>IFERROR(VLOOKUP(C613,STUDENTS!A:M,13,FALSE),"")</f>
        <v/>
      </c>
      <c r="I613" s="11" t="str">
        <f>IF(D613="","",IF(AND(VLOOKUP(C613,STUDENTS!$A:$R,17,FALSE)=A613,VLOOKUP(C613,STUDENTS!$A:$R,18,FALSE)=B613,G613="Active"),"Đang học",IF(F613&gt;=0.8,IF(G613="Active","Tiếp tục khóa sau",IF(G613="Waiting for class","Chờ lớp mới",IF(G613="Inactive",IF(IFERROR(H613,"")="Discontinued mid-course","Nghỉ giữa chừng","Hoàn thành rồi nghỉ luôn"),""))),IF(G613="Inactive","Nghỉ giữa chừng","Đang học"))))</f>
        <v/>
      </c>
    </row>
    <row r="614">
      <c r="F614" s="11">
        <f t="shared" si="1"/>
        <v>0</v>
      </c>
      <c r="G614" s="11" t="str">
        <f>IFERROR(VLOOKUP(C614,STUDENTS!A:E,5,FALSE),"")</f>
        <v/>
      </c>
      <c r="H614" s="11" t="str">
        <f>IFERROR(VLOOKUP(C614,STUDENTS!A:M,13,FALSE),"")</f>
        <v/>
      </c>
      <c r="I614" s="11" t="str">
        <f>IF(D614="","",IF(AND(VLOOKUP(C614,STUDENTS!$A:$R,17,FALSE)=A614,VLOOKUP(C614,STUDENTS!$A:$R,18,FALSE)=B614,G614="Active"),"Đang học",IF(F614&gt;=0.8,IF(G614="Active","Tiếp tục khóa sau",IF(G614="Waiting for class","Chờ lớp mới",IF(G614="Inactive",IF(IFERROR(H614,"")="Discontinued mid-course","Nghỉ giữa chừng","Hoàn thành rồi nghỉ luôn"),""))),IF(G614="Inactive","Nghỉ giữa chừng","Đang học"))))</f>
        <v/>
      </c>
    </row>
    <row r="615">
      <c r="F615" s="11">
        <f t="shared" si="1"/>
        <v>0</v>
      </c>
      <c r="G615" s="11" t="str">
        <f>IFERROR(VLOOKUP(C615,STUDENTS!A:E,5,FALSE),"")</f>
        <v/>
      </c>
      <c r="H615" s="11" t="str">
        <f>IFERROR(VLOOKUP(C615,STUDENTS!A:M,13,FALSE),"")</f>
        <v/>
      </c>
      <c r="I615" s="11" t="str">
        <f>IF(D615="","",IF(AND(VLOOKUP(C615,STUDENTS!$A:$R,17,FALSE)=A615,VLOOKUP(C615,STUDENTS!$A:$R,18,FALSE)=B615,G615="Active"),"Đang học",IF(F615&gt;=0.8,IF(G615="Active","Tiếp tục khóa sau",IF(G615="Waiting for class","Chờ lớp mới",IF(G615="Inactive",IF(IFERROR(H615,"")="Discontinued mid-course","Nghỉ giữa chừng","Hoàn thành rồi nghỉ luôn"),""))),IF(G615="Inactive","Nghỉ giữa chừng","Đang học"))))</f>
        <v/>
      </c>
    </row>
    <row r="616">
      <c r="F616" s="11">
        <f t="shared" si="1"/>
        <v>0</v>
      </c>
      <c r="G616" s="11" t="str">
        <f>IFERROR(VLOOKUP(C616,STUDENTS!A:E,5,FALSE),"")</f>
        <v/>
      </c>
      <c r="H616" s="11" t="str">
        <f>IFERROR(VLOOKUP(C616,STUDENTS!A:M,13,FALSE),"")</f>
        <v/>
      </c>
      <c r="I616" s="11" t="str">
        <f>IF(D616="","",IF(AND(VLOOKUP(C616,STUDENTS!$A:$R,17,FALSE)=A616,VLOOKUP(C616,STUDENTS!$A:$R,18,FALSE)=B616,G616="Active"),"Đang học",IF(F616&gt;=0.8,IF(G616="Active","Tiếp tục khóa sau",IF(G616="Waiting for class","Chờ lớp mới",IF(G616="Inactive",IF(IFERROR(H616,"")="Discontinued mid-course","Nghỉ giữa chừng","Hoàn thành rồi nghỉ luôn"),""))),IF(G616="Inactive","Nghỉ giữa chừng","Đang học"))))</f>
        <v/>
      </c>
    </row>
    <row r="617">
      <c r="F617" s="11">
        <f t="shared" si="1"/>
        <v>0</v>
      </c>
      <c r="G617" s="11" t="str">
        <f>IFERROR(VLOOKUP(C617,STUDENTS!A:E,5,FALSE),"")</f>
        <v/>
      </c>
      <c r="H617" s="11" t="str">
        <f>IFERROR(VLOOKUP(C617,STUDENTS!A:M,13,FALSE),"")</f>
        <v/>
      </c>
      <c r="I617" s="11" t="str">
        <f>IF(D617="","",IF(AND(VLOOKUP(C617,STUDENTS!$A:$R,17,FALSE)=A617,VLOOKUP(C617,STUDENTS!$A:$R,18,FALSE)=B617,G617="Active"),"Đang học",IF(F617&gt;=0.8,IF(G617="Active","Tiếp tục khóa sau",IF(G617="Waiting for class","Chờ lớp mới",IF(G617="Inactive",IF(IFERROR(H617,"")="Discontinued mid-course","Nghỉ giữa chừng","Hoàn thành rồi nghỉ luôn"),""))),IF(G617="Inactive","Nghỉ giữa chừng","Đang học"))))</f>
        <v/>
      </c>
    </row>
    <row r="618">
      <c r="F618" s="11">
        <f t="shared" si="1"/>
        <v>0</v>
      </c>
      <c r="G618" s="11" t="str">
        <f>IFERROR(VLOOKUP(C618,STUDENTS!A:E,5,FALSE),"")</f>
        <v/>
      </c>
      <c r="H618" s="11" t="str">
        <f>IFERROR(VLOOKUP(C618,STUDENTS!A:M,13,FALSE),"")</f>
        <v/>
      </c>
      <c r="I618" s="11" t="str">
        <f>IF(D618="","",IF(AND(VLOOKUP(C618,STUDENTS!$A:$R,17,FALSE)=A618,VLOOKUP(C618,STUDENTS!$A:$R,18,FALSE)=B618,G618="Active"),"Đang học",IF(F618&gt;=0.8,IF(G618="Active","Tiếp tục khóa sau",IF(G618="Waiting for class","Chờ lớp mới",IF(G618="Inactive",IF(IFERROR(H618,"")="Discontinued mid-course","Nghỉ giữa chừng","Hoàn thành rồi nghỉ luôn"),""))),IF(G618="Inactive","Nghỉ giữa chừng","Đang học"))))</f>
        <v/>
      </c>
    </row>
    <row r="619">
      <c r="F619" s="11">
        <f t="shared" si="1"/>
        <v>0</v>
      </c>
      <c r="G619" s="11" t="str">
        <f>IFERROR(VLOOKUP(C619,STUDENTS!A:E,5,FALSE),"")</f>
        <v/>
      </c>
      <c r="H619" s="11" t="str">
        <f>IFERROR(VLOOKUP(C619,STUDENTS!A:M,13,FALSE),"")</f>
        <v/>
      </c>
      <c r="I619" s="11" t="str">
        <f>IF(D619="","",IF(AND(VLOOKUP(C619,STUDENTS!$A:$R,17,FALSE)=A619,VLOOKUP(C619,STUDENTS!$A:$R,18,FALSE)=B619,G619="Active"),"Đang học",IF(F619&gt;=0.8,IF(G619="Active","Tiếp tục khóa sau",IF(G619="Waiting for class","Chờ lớp mới",IF(G619="Inactive",IF(IFERROR(H619,"")="Discontinued mid-course","Nghỉ giữa chừng","Hoàn thành rồi nghỉ luôn"),""))),IF(G619="Inactive","Nghỉ giữa chừng","Đang học"))))</f>
        <v/>
      </c>
    </row>
    <row r="620">
      <c r="F620" s="11">
        <f t="shared" si="1"/>
        <v>0</v>
      </c>
      <c r="G620" s="11" t="str">
        <f>IFERROR(VLOOKUP(C620,STUDENTS!A:E,5,FALSE),"")</f>
        <v/>
      </c>
      <c r="H620" s="11" t="str">
        <f>IFERROR(VLOOKUP(C620,STUDENTS!A:M,13,FALSE),"")</f>
        <v/>
      </c>
      <c r="I620" s="11" t="str">
        <f>IF(D620="","",IF(AND(VLOOKUP(C620,STUDENTS!$A:$R,17,FALSE)=A620,VLOOKUP(C620,STUDENTS!$A:$R,18,FALSE)=B620,G620="Active"),"Đang học",IF(F620&gt;=0.8,IF(G620="Active","Tiếp tục khóa sau",IF(G620="Waiting for class","Chờ lớp mới",IF(G620="Inactive",IF(IFERROR(H620,"")="Discontinued mid-course","Nghỉ giữa chừng","Hoàn thành rồi nghỉ luôn"),""))),IF(G620="Inactive","Nghỉ giữa chừng","Đang học"))))</f>
        <v/>
      </c>
    </row>
    <row r="621">
      <c r="F621" s="11">
        <f t="shared" si="1"/>
        <v>0</v>
      </c>
      <c r="G621" s="11" t="str">
        <f>IFERROR(VLOOKUP(C621,STUDENTS!A:E,5,FALSE),"")</f>
        <v/>
      </c>
      <c r="H621" s="11" t="str">
        <f>IFERROR(VLOOKUP(C621,STUDENTS!A:M,13,FALSE),"")</f>
        <v/>
      </c>
      <c r="I621" s="11" t="str">
        <f>IF(D621="","",IF(AND(VLOOKUP(C621,STUDENTS!$A:$R,17,FALSE)=A621,VLOOKUP(C621,STUDENTS!$A:$R,18,FALSE)=B621,G621="Active"),"Đang học",IF(F621&gt;=0.8,IF(G621="Active","Tiếp tục khóa sau",IF(G621="Waiting for class","Chờ lớp mới",IF(G621="Inactive",IF(IFERROR(H621,"")="Discontinued mid-course","Nghỉ giữa chừng","Hoàn thành rồi nghỉ luôn"),""))),IF(G621="Inactive","Nghỉ giữa chừng","Đang học"))))</f>
        <v/>
      </c>
    </row>
    <row r="622">
      <c r="F622" s="11">
        <f t="shared" si="1"/>
        <v>0</v>
      </c>
      <c r="G622" s="11" t="str">
        <f>IFERROR(VLOOKUP(C622,STUDENTS!A:E,5,FALSE),"")</f>
        <v/>
      </c>
      <c r="H622" s="11" t="str">
        <f>IFERROR(VLOOKUP(C622,STUDENTS!A:M,13,FALSE),"")</f>
        <v/>
      </c>
      <c r="I622" s="11" t="str">
        <f>IF(D622="","",IF(AND(VLOOKUP(C622,STUDENTS!$A:$R,17,FALSE)=A622,VLOOKUP(C622,STUDENTS!$A:$R,18,FALSE)=B622,G622="Active"),"Đang học",IF(F622&gt;=0.8,IF(G622="Active","Tiếp tục khóa sau",IF(G622="Waiting for class","Chờ lớp mới",IF(G622="Inactive",IF(IFERROR(H622,"")="Discontinued mid-course","Nghỉ giữa chừng","Hoàn thành rồi nghỉ luôn"),""))),IF(G622="Inactive","Nghỉ giữa chừng","Đang học"))))</f>
        <v/>
      </c>
    </row>
    <row r="623">
      <c r="F623" s="11">
        <f t="shared" si="1"/>
        <v>0</v>
      </c>
      <c r="G623" s="11" t="str">
        <f>IFERROR(VLOOKUP(C623,STUDENTS!A:E,5,FALSE),"")</f>
        <v/>
      </c>
      <c r="H623" s="11" t="str">
        <f>IFERROR(VLOOKUP(C623,STUDENTS!A:M,13,FALSE),"")</f>
        <v/>
      </c>
      <c r="I623" s="11" t="str">
        <f>IF(D623="","",IF(AND(VLOOKUP(C623,STUDENTS!$A:$R,17,FALSE)=A623,VLOOKUP(C623,STUDENTS!$A:$R,18,FALSE)=B623,G623="Active"),"Đang học",IF(F623&gt;=0.8,IF(G623="Active","Tiếp tục khóa sau",IF(G623="Waiting for class","Chờ lớp mới",IF(G623="Inactive",IF(IFERROR(H623,"")="Discontinued mid-course","Nghỉ giữa chừng","Hoàn thành rồi nghỉ luôn"),""))),IF(G623="Inactive","Nghỉ giữa chừng","Đang học"))))</f>
        <v/>
      </c>
    </row>
    <row r="624">
      <c r="F624" s="11">
        <f t="shared" si="1"/>
        <v>0</v>
      </c>
      <c r="G624" s="11" t="str">
        <f>IFERROR(VLOOKUP(C624,STUDENTS!A:E,5,FALSE),"")</f>
        <v/>
      </c>
      <c r="H624" s="11" t="str">
        <f>IFERROR(VLOOKUP(C624,STUDENTS!A:M,13,FALSE),"")</f>
        <v/>
      </c>
      <c r="I624" s="11" t="str">
        <f>IF(D624="","",IF(AND(VLOOKUP(C624,STUDENTS!$A:$R,17,FALSE)=A624,VLOOKUP(C624,STUDENTS!$A:$R,18,FALSE)=B624,G624="Active"),"Đang học",IF(F624&gt;=0.8,IF(G624="Active","Tiếp tục khóa sau",IF(G624="Waiting for class","Chờ lớp mới",IF(G624="Inactive",IF(IFERROR(H624,"")="Discontinued mid-course","Nghỉ giữa chừng","Hoàn thành rồi nghỉ luôn"),""))),IF(G624="Inactive","Nghỉ giữa chừng","Đang học"))))</f>
        <v/>
      </c>
    </row>
    <row r="625">
      <c r="F625" s="11">
        <f t="shared" si="1"/>
        <v>0</v>
      </c>
      <c r="G625" s="11" t="str">
        <f>IFERROR(VLOOKUP(C625,STUDENTS!A:E,5,FALSE),"")</f>
        <v/>
      </c>
      <c r="H625" s="11" t="str">
        <f>IFERROR(VLOOKUP(C625,STUDENTS!A:M,13,FALSE),"")</f>
        <v/>
      </c>
      <c r="I625" s="11" t="str">
        <f>IF(D625="","",IF(AND(VLOOKUP(C625,STUDENTS!$A:$R,17,FALSE)=A625,VLOOKUP(C625,STUDENTS!$A:$R,18,FALSE)=B625,G625="Active"),"Đang học",IF(F625&gt;=0.8,IF(G625="Active","Tiếp tục khóa sau",IF(G625="Waiting for class","Chờ lớp mới",IF(G625="Inactive",IF(IFERROR(H625,"")="Discontinued mid-course","Nghỉ giữa chừng","Hoàn thành rồi nghỉ luôn"),""))),IF(G625="Inactive","Nghỉ giữa chừng","Đang học"))))</f>
        <v/>
      </c>
    </row>
    <row r="626">
      <c r="F626" s="11">
        <f t="shared" si="1"/>
        <v>0</v>
      </c>
      <c r="G626" s="11" t="str">
        <f>IFERROR(VLOOKUP(C626,STUDENTS!A:E,5,FALSE),"")</f>
        <v/>
      </c>
      <c r="H626" s="11" t="str">
        <f>IFERROR(VLOOKUP(C626,STUDENTS!A:M,13,FALSE),"")</f>
        <v/>
      </c>
      <c r="I626" s="11" t="str">
        <f>IF(D626="","",IF(AND(VLOOKUP(C626,STUDENTS!$A:$R,17,FALSE)=A626,VLOOKUP(C626,STUDENTS!$A:$R,18,FALSE)=B626,G626="Active"),"Đang học",IF(F626&gt;=0.8,IF(G626="Active","Tiếp tục khóa sau",IF(G626="Waiting for class","Chờ lớp mới",IF(G626="Inactive",IF(IFERROR(H626,"")="Discontinued mid-course","Nghỉ giữa chừng","Hoàn thành rồi nghỉ luôn"),""))),IF(G626="Inactive","Nghỉ giữa chừng","Đang học"))))</f>
        <v/>
      </c>
    </row>
    <row r="627">
      <c r="F627" s="11">
        <f t="shared" si="1"/>
        <v>0</v>
      </c>
      <c r="G627" s="11" t="str">
        <f>IFERROR(VLOOKUP(C627,STUDENTS!A:E,5,FALSE),"")</f>
        <v/>
      </c>
      <c r="H627" s="11" t="str">
        <f>IFERROR(VLOOKUP(C627,STUDENTS!A:M,13,FALSE),"")</f>
        <v/>
      </c>
      <c r="I627" s="11" t="str">
        <f>IF(D627="","",IF(AND(VLOOKUP(C627,STUDENTS!$A:$R,17,FALSE)=A627,VLOOKUP(C627,STUDENTS!$A:$R,18,FALSE)=B627,G627="Active"),"Đang học",IF(F627&gt;=0.8,IF(G627="Active","Tiếp tục khóa sau",IF(G627="Waiting for class","Chờ lớp mới",IF(G627="Inactive",IF(IFERROR(H627,"")="Discontinued mid-course","Nghỉ giữa chừng","Hoàn thành rồi nghỉ luôn"),""))),IF(G627="Inactive","Nghỉ giữa chừng","Đang học"))))</f>
        <v/>
      </c>
    </row>
    <row r="628">
      <c r="F628" s="11">
        <f t="shared" si="1"/>
        <v>0</v>
      </c>
      <c r="G628" s="11" t="str">
        <f>IFERROR(VLOOKUP(C628,STUDENTS!A:E,5,FALSE),"")</f>
        <v/>
      </c>
      <c r="H628" s="11" t="str">
        <f>IFERROR(VLOOKUP(C628,STUDENTS!A:M,13,FALSE),"")</f>
        <v/>
      </c>
      <c r="I628" s="11" t="str">
        <f>IF(D628="","",IF(AND(VLOOKUP(C628,STUDENTS!$A:$R,17,FALSE)=A628,VLOOKUP(C628,STUDENTS!$A:$R,18,FALSE)=B628,G628="Active"),"Đang học",IF(F628&gt;=0.8,IF(G628="Active","Tiếp tục khóa sau",IF(G628="Waiting for class","Chờ lớp mới",IF(G628="Inactive",IF(IFERROR(H628,"")="Discontinued mid-course","Nghỉ giữa chừng","Hoàn thành rồi nghỉ luôn"),""))),IF(G628="Inactive","Nghỉ giữa chừng","Đang học"))))</f>
        <v/>
      </c>
    </row>
    <row r="629">
      <c r="F629" s="11">
        <f t="shared" si="1"/>
        <v>0</v>
      </c>
      <c r="G629" s="11" t="str">
        <f>IFERROR(VLOOKUP(C629,STUDENTS!A:E,5,FALSE),"")</f>
        <v/>
      </c>
      <c r="H629" s="11" t="str">
        <f>IFERROR(VLOOKUP(C629,STUDENTS!A:M,13,FALSE),"")</f>
        <v/>
      </c>
      <c r="I629" s="11" t="str">
        <f>IF(D629="","",IF(AND(VLOOKUP(C629,STUDENTS!$A:$R,17,FALSE)=A629,VLOOKUP(C629,STUDENTS!$A:$R,18,FALSE)=B629,G629="Active"),"Đang học",IF(F629&gt;=0.8,IF(G629="Active","Tiếp tục khóa sau",IF(G629="Waiting for class","Chờ lớp mới",IF(G629="Inactive",IF(IFERROR(H629,"")="Discontinued mid-course","Nghỉ giữa chừng","Hoàn thành rồi nghỉ luôn"),""))),IF(G629="Inactive","Nghỉ giữa chừng","Đang học"))))</f>
        <v/>
      </c>
    </row>
    <row r="630">
      <c r="F630" s="11">
        <f t="shared" si="1"/>
        <v>0</v>
      </c>
      <c r="G630" s="11" t="str">
        <f>IFERROR(VLOOKUP(C630,STUDENTS!A:E,5,FALSE),"")</f>
        <v/>
      </c>
      <c r="H630" s="11" t="str">
        <f>IFERROR(VLOOKUP(C630,STUDENTS!A:M,13,FALSE),"")</f>
        <v/>
      </c>
      <c r="I630" s="11" t="str">
        <f>IF(D630="","",IF(AND(VLOOKUP(C630,STUDENTS!$A:$R,17,FALSE)=A630,VLOOKUP(C630,STUDENTS!$A:$R,18,FALSE)=B630,G630="Active"),"Đang học",IF(F630&gt;=0.8,IF(G630="Active","Tiếp tục khóa sau",IF(G630="Waiting for class","Chờ lớp mới",IF(G630="Inactive",IF(IFERROR(H630,"")="Discontinued mid-course","Nghỉ giữa chừng","Hoàn thành rồi nghỉ luôn"),""))),IF(G630="Inactive","Nghỉ giữa chừng","Đang học"))))</f>
        <v/>
      </c>
    </row>
    <row r="631">
      <c r="F631" s="11">
        <f t="shared" si="1"/>
        <v>0</v>
      </c>
      <c r="G631" s="11" t="str">
        <f>IFERROR(VLOOKUP(C631,STUDENTS!A:E,5,FALSE),"")</f>
        <v/>
      </c>
      <c r="H631" s="11" t="str">
        <f>IFERROR(VLOOKUP(C631,STUDENTS!A:M,13,FALSE),"")</f>
        <v/>
      </c>
      <c r="I631" s="11" t="str">
        <f>IF(D631="","",IF(AND(VLOOKUP(C631,STUDENTS!$A:$R,17,FALSE)=A631,VLOOKUP(C631,STUDENTS!$A:$R,18,FALSE)=B631,G631="Active"),"Đang học",IF(F631&gt;=0.8,IF(G631="Active","Tiếp tục khóa sau",IF(G631="Waiting for class","Chờ lớp mới",IF(G631="Inactive",IF(IFERROR(H631,"")="Discontinued mid-course","Nghỉ giữa chừng","Hoàn thành rồi nghỉ luôn"),""))),IF(G631="Inactive","Nghỉ giữa chừng","Đang học"))))</f>
        <v/>
      </c>
    </row>
    <row r="632">
      <c r="F632" s="11">
        <f t="shared" si="1"/>
        <v>0</v>
      </c>
      <c r="G632" s="11" t="str">
        <f>IFERROR(VLOOKUP(C632,STUDENTS!A:E,5,FALSE),"")</f>
        <v/>
      </c>
      <c r="H632" s="11" t="str">
        <f>IFERROR(VLOOKUP(C632,STUDENTS!A:M,13,FALSE),"")</f>
        <v/>
      </c>
      <c r="I632" s="11" t="str">
        <f>IF(D632="","",IF(AND(VLOOKUP(C632,STUDENTS!$A:$R,17,FALSE)=A632,VLOOKUP(C632,STUDENTS!$A:$R,18,FALSE)=B632,G632="Active"),"Đang học",IF(F632&gt;=0.8,IF(G632="Active","Tiếp tục khóa sau",IF(G632="Waiting for class","Chờ lớp mới",IF(G632="Inactive",IF(IFERROR(H632,"")="Discontinued mid-course","Nghỉ giữa chừng","Hoàn thành rồi nghỉ luôn"),""))),IF(G632="Inactive","Nghỉ giữa chừng","Đang học"))))</f>
        <v/>
      </c>
    </row>
    <row r="633">
      <c r="F633" s="11">
        <f t="shared" si="1"/>
        <v>0</v>
      </c>
      <c r="G633" s="11" t="str">
        <f>IFERROR(VLOOKUP(C633,STUDENTS!A:E,5,FALSE),"")</f>
        <v/>
      </c>
      <c r="H633" s="11" t="str">
        <f>IFERROR(VLOOKUP(C633,STUDENTS!A:M,13,FALSE),"")</f>
        <v/>
      </c>
      <c r="I633" s="11" t="str">
        <f>IF(D633="","",IF(AND(VLOOKUP(C633,STUDENTS!$A:$R,17,FALSE)=A633,VLOOKUP(C633,STUDENTS!$A:$R,18,FALSE)=B633,G633="Active"),"Đang học",IF(F633&gt;=0.8,IF(G633="Active","Tiếp tục khóa sau",IF(G633="Waiting for class","Chờ lớp mới",IF(G633="Inactive",IF(IFERROR(H633,"")="Discontinued mid-course","Nghỉ giữa chừng","Hoàn thành rồi nghỉ luôn"),""))),IF(G633="Inactive","Nghỉ giữa chừng","Đang học"))))</f>
        <v/>
      </c>
    </row>
    <row r="634">
      <c r="F634" s="11">
        <f t="shared" si="1"/>
        <v>0</v>
      </c>
      <c r="G634" s="11" t="str">
        <f>IFERROR(VLOOKUP(C634,STUDENTS!A:E,5,FALSE),"")</f>
        <v/>
      </c>
      <c r="H634" s="11" t="str">
        <f>IFERROR(VLOOKUP(C634,STUDENTS!A:M,13,FALSE),"")</f>
        <v/>
      </c>
      <c r="I634" s="11" t="str">
        <f>IF(D634="","",IF(AND(VLOOKUP(C634,STUDENTS!$A:$R,17,FALSE)=A634,VLOOKUP(C634,STUDENTS!$A:$R,18,FALSE)=B634,G634="Active"),"Đang học",IF(F634&gt;=0.8,IF(G634="Active","Tiếp tục khóa sau",IF(G634="Waiting for class","Chờ lớp mới",IF(G634="Inactive",IF(IFERROR(H634,"")="Discontinued mid-course","Nghỉ giữa chừng","Hoàn thành rồi nghỉ luôn"),""))),IF(G634="Inactive","Nghỉ giữa chừng","Đang học"))))</f>
        <v/>
      </c>
    </row>
    <row r="635">
      <c r="F635" s="11">
        <f t="shared" si="1"/>
        <v>0</v>
      </c>
      <c r="G635" s="11" t="str">
        <f>IFERROR(VLOOKUP(C635,STUDENTS!A:E,5,FALSE),"")</f>
        <v/>
      </c>
      <c r="H635" s="11" t="str">
        <f>IFERROR(VLOOKUP(C635,STUDENTS!A:M,13,FALSE),"")</f>
        <v/>
      </c>
      <c r="I635" s="11" t="str">
        <f>IF(D635="","",IF(AND(VLOOKUP(C635,STUDENTS!$A:$R,17,FALSE)=A635,VLOOKUP(C635,STUDENTS!$A:$R,18,FALSE)=B635,G635="Active"),"Đang học",IF(F635&gt;=0.8,IF(G635="Active","Tiếp tục khóa sau",IF(G635="Waiting for class","Chờ lớp mới",IF(G635="Inactive",IF(IFERROR(H635,"")="Discontinued mid-course","Nghỉ giữa chừng","Hoàn thành rồi nghỉ luôn"),""))),IF(G635="Inactive","Nghỉ giữa chừng","Đang học"))))</f>
        <v/>
      </c>
    </row>
    <row r="636">
      <c r="F636" s="11">
        <f t="shared" si="1"/>
        <v>0</v>
      </c>
      <c r="G636" s="11" t="str">
        <f>IFERROR(VLOOKUP(C636,STUDENTS!A:E,5,FALSE),"")</f>
        <v/>
      </c>
      <c r="H636" s="11" t="str">
        <f>IFERROR(VLOOKUP(C636,STUDENTS!A:M,13,FALSE),"")</f>
        <v/>
      </c>
      <c r="I636" s="11" t="str">
        <f>IF(D636="","",IF(AND(VLOOKUP(C636,STUDENTS!$A:$R,17,FALSE)=A636,VLOOKUP(C636,STUDENTS!$A:$R,18,FALSE)=B636,G636="Active"),"Đang học",IF(F636&gt;=0.8,IF(G636="Active","Tiếp tục khóa sau",IF(G636="Waiting for class","Chờ lớp mới",IF(G636="Inactive",IF(IFERROR(H636,"")="Discontinued mid-course","Nghỉ giữa chừng","Hoàn thành rồi nghỉ luôn"),""))),IF(G636="Inactive","Nghỉ giữa chừng","Đang học"))))</f>
        <v/>
      </c>
    </row>
    <row r="637">
      <c r="F637" s="11">
        <f t="shared" si="1"/>
        <v>0</v>
      </c>
      <c r="G637" s="11" t="str">
        <f>IFERROR(VLOOKUP(C637,STUDENTS!A:E,5,FALSE),"")</f>
        <v/>
      </c>
      <c r="H637" s="11" t="str">
        <f>IFERROR(VLOOKUP(C637,STUDENTS!A:M,13,FALSE),"")</f>
        <v/>
      </c>
      <c r="I637" s="11" t="str">
        <f>IF(D637="","",IF(AND(VLOOKUP(C637,STUDENTS!$A:$R,17,FALSE)=A637,VLOOKUP(C637,STUDENTS!$A:$R,18,FALSE)=B637,G637="Active"),"Đang học",IF(F637&gt;=0.8,IF(G637="Active","Tiếp tục khóa sau",IF(G637="Waiting for class","Chờ lớp mới",IF(G637="Inactive",IF(IFERROR(H637,"")="Discontinued mid-course","Nghỉ giữa chừng","Hoàn thành rồi nghỉ luôn"),""))),IF(G637="Inactive","Nghỉ giữa chừng","Đang học"))))</f>
        <v/>
      </c>
    </row>
    <row r="638">
      <c r="F638" s="11">
        <f t="shared" si="1"/>
        <v>0</v>
      </c>
      <c r="G638" s="11" t="str">
        <f>IFERROR(VLOOKUP(C638,STUDENTS!A:E,5,FALSE),"")</f>
        <v/>
      </c>
      <c r="H638" s="11" t="str">
        <f>IFERROR(VLOOKUP(C638,STUDENTS!A:M,13,FALSE),"")</f>
        <v/>
      </c>
      <c r="I638" s="11" t="str">
        <f>IF(D638="","",IF(AND(VLOOKUP(C638,STUDENTS!$A:$R,17,FALSE)=A638,VLOOKUP(C638,STUDENTS!$A:$R,18,FALSE)=B638,G638="Active"),"Đang học",IF(F638&gt;=0.8,IF(G638="Active","Tiếp tục khóa sau",IF(G638="Waiting for class","Chờ lớp mới",IF(G638="Inactive",IF(IFERROR(H638,"")="Discontinued mid-course","Nghỉ giữa chừng","Hoàn thành rồi nghỉ luôn"),""))),IF(G638="Inactive","Nghỉ giữa chừng","Đang học"))))</f>
        <v/>
      </c>
    </row>
    <row r="639">
      <c r="F639" s="11">
        <f t="shared" si="1"/>
        <v>0</v>
      </c>
      <c r="G639" s="11" t="str">
        <f>IFERROR(VLOOKUP(C639,STUDENTS!A:E,5,FALSE),"")</f>
        <v/>
      </c>
      <c r="H639" s="11" t="str">
        <f>IFERROR(VLOOKUP(C639,STUDENTS!A:M,13,FALSE),"")</f>
        <v/>
      </c>
      <c r="I639" s="11" t="str">
        <f>IF(D639="","",IF(AND(VLOOKUP(C639,STUDENTS!$A:$R,17,FALSE)=A639,VLOOKUP(C639,STUDENTS!$A:$R,18,FALSE)=B639,G639="Active"),"Đang học",IF(F639&gt;=0.8,IF(G639="Active","Tiếp tục khóa sau",IF(G639="Waiting for class","Chờ lớp mới",IF(G639="Inactive",IF(IFERROR(H639,"")="Discontinued mid-course","Nghỉ giữa chừng","Hoàn thành rồi nghỉ luôn"),""))),IF(G639="Inactive","Nghỉ giữa chừng","Đang học"))))</f>
        <v/>
      </c>
    </row>
    <row r="640">
      <c r="F640" s="11">
        <f t="shared" si="1"/>
        <v>0</v>
      </c>
      <c r="G640" s="11" t="str">
        <f>IFERROR(VLOOKUP(C640,STUDENTS!A:E,5,FALSE),"")</f>
        <v/>
      </c>
      <c r="H640" s="11" t="str">
        <f>IFERROR(VLOOKUP(C640,STUDENTS!A:M,13,FALSE),"")</f>
        <v/>
      </c>
      <c r="I640" s="11" t="str">
        <f>IF(D640="","",IF(AND(VLOOKUP(C640,STUDENTS!$A:$R,17,FALSE)=A640,VLOOKUP(C640,STUDENTS!$A:$R,18,FALSE)=B640,G640="Active"),"Đang học",IF(F640&gt;=0.8,IF(G640="Active","Tiếp tục khóa sau",IF(G640="Waiting for class","Chờ lớp mới",IF(G640="Inactive",IF(IFERROR(H640,"")="Discontinued mid-course","Nghỉ giữa chừng","Hoàn thành rồi nghỉ luôn"),""))),IF(G640="Inactive","Nghỉ giữa chừng","Đang học"))))</f>
        <v/>
      </c>
    </row>
    <row r="641">
      <c r="F641" s="11">
        <f t="shared" si="1"/>
        <v>0</v>
      </c>
      <c r="G641" s="11" t="str">
        <f>IFERROR(VLOOKUP(C641,STUDENTS!A:E,5,FALSE),"")</f>
        <v/>
      </c>
      <c r="H641" s="11" t="str">
        <f>IFERROR(VLOOKUP(C641,STUDENTS!A:M,13,FALSE),"")</f>
        <v/>
      </c>
      <c r="I641" s="11" t="str">
        <f>IF(D641="","",IF(AND(VLOOKUP(C641,STUDENTS!$A:$R,17,FALSE)=A641,VLOOKUP(C641,STUDENTS!$A:$R,18,FALSE)=B641,G641="Active"),"Đang học",IF(F641&gt;=0.8,IF(G641="Active","Tiếp tục khóa sau",IF(G641="Waiting for class","Chờ lớp mới",IF(G641="Inactive",IF(IFERROR(H641,"")="Discontinued mid-course","Nghỉ giữa chừng","Hoàn thành rồi nghỉ luôn"),""))),IF(G641="Inactive","Nghỉ giữa chừng","Đang học"))))</f>
        <v/>
      </c>
    </row>
    <row r="642">
      <c r="F642" s="11">
        <f t="shared" si="1"/>
        <v>0</v>
      </c>
      <c r="G642" s="11" t="str">
        <f>IFERROR(VLOOKUP(C642,STUDENTS!A:E,5,FALSE),"")</f>
        <v/>
      </c>
      <c r="H642" s="11" t="str">
        <f>IFERROR(VLOOKUP(C642,STUDENTS!A:M,13,FALSE),"")</f>
        <v/>
      </c>
      <c r="I642" s="11" t="str">
        <f>IF(D642="","",IF(AND(VLOOKUP(C642,STUDENTS!$A:$R,17,FALSE)=A642,VLOOKUP(C642,STUDENTS!$A:$R,18,FALSE)=B642,G642="Active"),"Đang học",IF(F642&gt;=0.8,IF(G642="Active","Tiếp tục khóa sau",IF(G642="Waiting for class","Chờ lớp mới",IF(G642="Inactive",IF(IFERROR(H642,"")="Discontinued mid-course","Nghỉ giữa chừng","Hoàn thành rồi nghỉ luôn"),""))),IF(G642="Inactive","Nghỉ giữa chừng","Đang học"))))</f>
        <v/>
      </c>
    </row>
    <row r="643">
      <c r="F643" s="11">
        <f t="shared" si="1"/>
        <v>0</v>
      </c>
      <c r="G643" s="11" t="str">
        <f>IFERROR(VLOOKUP(C643,STUDENTS!A:E,5,FALSE),"")</f>
        <v/>
      </c>
      <c r="H643" s="11" t="str">
        <f>IFERROR(VLOOKUP(C643,STUDENTS!A:M,13,FALSE),"")</f>
        <v/>
      </c>
      <c r="I643" s="11" t="str">
        <f>IF(D643="","",IF(AND(VLOOKUP(C643,STUDENTS!$A:$R,17,FALSE)=A643,VLOOKUP(C643,STUDENTS!$A:$R,18,FALSE)=B643,G643="Active"),"Đang học",IF(F643&gt;=0.8,IF(G643="Active","Tiếp tục khóa sau",IF(G643="Waiting for class","Chờ lớp mới",IF(G643="Inactive",IF(IFERROR(H643,"")="Discontinued mid-course","Nghỉ giữa chừng","Hoàn thành rồi nghỉ luôn"),""))),IF(G643="Inactive","Nghỉ giữa chừng","Đang học"))))</f>
        <v/>
      </c>
    </row>
    <row r="644">
      <c r="F644" s="11">
        <f t="shared" si="1"/>
        <v>0</v>
      </c>
      <c r="G644" s="11" t="str">
        <f>IFERROR(VLOOKUP(C644,STUDENTS!A:E,5,FALSE),"")</f>
        <v/>
      </c>
      <c r="H644" s="11" t="str">
        <f>IFERROR(VLOOKUP(C644,STUDENTS!A:M,13,FALSE),"")</f>
        <v/>
      </c>
      <c r="I644" s="11" t="str">
        <f>IF(D644="","",IF(AND(VLOOKUP(C644,STUDENTS!$A:$R,17,FALSE)=A644,VLOOKUP(C644,STUDENTS!$A:$R,18,FALSE)=B644,G644="Active"),"Đang học",IF(F644&gt;=0.8,IF(G644="Active","Tiếp tục khóa sau",IF(G644="Waiting for class","Chờ lớp mới",IF(G644="Inactive",IF(IFERROR(H644,"")="Discontinued mid-course","Nghỉ giữa chừng","Hoàn thành rồi nghỉ luôn"),""))),IF(G644="Inactive","Nghỉ giữa chừng","Đang học"))))</f>
        <v/>
      </c>
    </row>
    <row r="645">
      <c r="F645" s="11">
        <f t="shared" si="1"/>
        <v>0</v>
      </c>
      <c r="G645" s="11" t="str">
        <f>IFERROR(VLOOKUP(C645,STUDENTS!A:E,5,FALSE),"")</f>
        <v/>
      </c>
      <c r="H645" s="11" t="str">
        <f>IFERROR(VLOOKUP(C645,STUDENTS!A:M,13,FALSE),"")</f>
        <v/>
      </c>
      <c r="I645" s="11" t="str">
        <f>IF(D645="","",IF(AND(VLOOKUP(C645,STUDENTS!$A:$R,17,FALSE)=A645,VLOOKUP(C645,STUDENTS!$A:$R,18,FALSE)=B645,G645="Active"),"Đang học",IF(F645&gt;=0.8,IF(G645="Active","Tiếp tục khóa sau",IF(G645="Waiting for class","Chờ lớp mới",IF(G645="Inactive",IF(IFERROR(H645,"")="Discontinued mid-course","Nghỉ giữa chừng","Hoàn thành rồi nghỉ luôn"),""))),IF(G645="Inactive","Nghỉ giữa chừng","Đang học"))))</f>
        <v/>
      </c>
    </row>
    <row r="646">
      <c r="F646" s="11">
        <f t="shared" si="1"/>
        <v>0</v>
      </c>
      <c r="G646" s="11" t="str">
        <f>IFERROR(VLOOKUP(C646,STUDENTS!A:E,5,FALSE),"")</f>
        <v/>
      </c>
      <c r="H646" s="11" t="str">
        <f>IFERROR(VLOOKUP(C646,STUDENTS!A:M,13,FALSE),"")</f>
        <v/>
      </c>
      <c r="I646" s="11" t="str">
        <f>IF(D646="","",IF(AND(VLOOKUP(C646,STUDENTS!$A:$R,17,FALSE)=A646,VLOOKUP(C646,STUDENTS!$A:$R,18,FALSE)=B646,G646="Active"),"Đang học",IF(F646&gt;=0.8,IF(G646="Active","Tiếp tục khóa sau",IF(G646="Waiting for class","Chờ lớp mới",IF(G646="Inactive",IF(IFERROR(H646,"")="Discontinued mid-course","Nghỉ giữa chừng","Hoàn thành rồi nghỉ luôn"),""))),IF(G646="Inactive","Nghỉ giữa chừng","Đang học"))))</f>
        <v/>
      </c>
    </row>
    <row r="647">
      <c r="F647" s="11">
        <f t="shared" si="1"/>
        <v>0</v>
      </c>
      <c r="G647" s="11" t="str">
        <f>IFERROR(VLOOKUP(C647,STUDENTS!A:E,5,FALSE),"")</f>
        <v/>
      </c>
      <c r="H647" s="11" t="str">
        <f>IFERROR(VLOOKUP(C647,STUDENTS!A:M,13,FALSE),"")</f>
        <v/>
      </c>
      <c r="I647" s="11" t="str">
        <f>IF(D647="","",IF(AND(VLOOKUP(C647,STUDENTS!$A:$R,17,FALSE)=A647,VLOOKUP(C647,STUDENTS!$A:$R,18,FALSE)=B647,G647="Active"),"Đang học",IF(F647&gt;=0.8,IF(G647="Active","Tiếp tục khóa sau",IF(G647="Waiting for class","Chờ lớp mới",IF(G647="Inactive",IF(IFERROR(H647,"")="Discontinued mid-course","Nghỉ giữa chừng","Hoàn thành rồi nghỉ luôn"),""))),IF(G647="Inactive","Nghỉ giữa chừng","Đang học"))))</f>
        <v/>
      </c>
    </row>
    <row r="648">
      <c r="F648" s="11">
        <f t="shared" si="1"/>
        <v>0</v>
      </c>
      <c r="G648" s="11" t="str">
        <f>IFERROR(VLOOKUP(C648,STUDENTS!A:E,5,FALSE),"")</f>
        <v/>
      </c>
      <c r="H648" s="11" t="str">
        <f>IFERROR(VLOOKUP(C648,STUDENTS!A:M,13,FALSE),"")</f>
        <v/>
      </c>
      <c r="I648" s="11" t="str">
        <f>IF(D648="","",IF(AND(VLOOKUP(C648,STUDENTS!$A:$R,17,FALSE)=A648,VLOOKUP(C648,STUDENTS!$A:$R,18,FALSE)=B648,G648="Active"),"Đang học",IF(F648&gt;=0.8,IF(G648="Active","Tiếp tục khóa sau",IF(G648="Waiting for class","Chờ lớp mới",IF(G648="Inactive",IF(IFERROR(H648,"")="Discontinued mid-course","Nghỉ giữa chừng","Hoàn thành rồi nghỉ luôn"),""))),IF(G648="Inactive","Nghỉ giữa chừng","Đang học"))))</f>
        <v/>
      </c>
    </row>
    <row r="649">
      <c r="F649" s="11">
        <f t="shared" si="1"/>
        <v>0</v>
      </c>
      <c r="G649" s="11" t="str">
        <f>IFERROR(VLOOKUP(C649,STUDENTS!A:E,5,FALSE),"")</f>
        <v/>
      </c>
      <c r="H649" s="11" t="str">
        <f>IFERROR(VLOOKUP(C649,STUDENTS!A:M,13,FALSE),"")</f>
        <v/>
      </c>
      <c r="I649" s="11" t="str">
        <f>IF(D649="","",IF(AND(VLOOKUP(C649,STUDENTS!$A:$R,17,FALSE)=A649,VLOOKUP(C649,STUDENTS!$A:$R,18,FALSE)=B649,G649="Active"),"Đang học",IF(F649&gt;=0.8,IF(G649="Active","Tiếp tục khóa sau",IF(G649="Waiting for class","Chờ lớp mới",IF(G649="Inactive",IF(IFERROR(H649,"")="Discontinued mid-course","Nghỉ giữa chừng","Hoàn thành rồi nghỉ luôn"),""))),IF(G649="Inactive","Nghỉ giữa chừng","Đang học"))))</f>
        <v/>
      </c>
    </row>
    <row r="650">
      <c r="F650" s="11">
        <f t="shared" si="1"/>
        <v>0</v>
      </c>
      <c r="G650" s="11" t="str">
        <f>IFERROR(VLOOKUP(C650,STUDENTS!A:E,5,FALSE),"")</f>
        <v/>
      </c>
      <c r="H650" s="11" t="str">
        <f>IFERROR(VLOOKUP(C650,STUDENTS!A:M,13,FALSE),"")</f>
        <v/>
      </c>
      <c r="I650" s="11" t="str">
        <f>IF(D650="","",IF(AND(VLOOKUP(C650,STUDENTS!$A:$R,17,FALSE)=A650,VLOOKUP(C650,STUDENTS!$A:$R,18,FALSE)=B650,G650="Active"),"Đang học",IF(F650&gt;=0.8,IF(G650="Active","Tiếp tục khóa sau",IF(G650="Waiting for class","Chờ lớp mới",IF(G650="Inactive",IF(IFERROR(H650,"")="Discontinued mid-course","Nghỉ giữa chừng","Hoàn thành rồi nghỉ luôn"),""))),IF(G650="Inactive","Nghỉ giữa chừng","Đang học"))))</f>
        <v/>
      </c>
    </row>
    <row r="651">
      <c r="F651" s="11">
        <f t="shared" si="1"/>
        <v>0</v>
      </c>
      <c r="G651" s="11" t="str">
        <f>IFERROR(VLOOKUP(C651,STUDENTS!A:E,5,FALSE),"")</f>
        <v/>
      </c>
      <c r="H651" s="11" t="str">
        <f>IFERROR(VLOOKUP(C651,STUDENTS!A:M,13,FALSE),"")</f>
        <v/>
      </c>
      <c r="I651" s="11" t="str">
        <f>IF(D651="","",IF(AND(VLOOKUP(C651,STUDENTS!$A:$R,17,FALSE)=A651,VLOOKUP(C651,STUDENTS!$A:$R,18,FALSE)=B651,G651="Active"),"Đang học",IF(F651&gt;=0.8,IF(G651="Active","Tiếp tục khóa sau",IF(G651="Waiting for class","Chờ lớp mới",IF(G651="Inactive",IF(IFERROR(H651,"")="Discontinued mid-course","Nghỉ giữa chừng","Hoàn thành rồi nghỉ luôn"),""))),IF(G651="Inactive","Nghỉ giữa chừng","Đang học"))))</f>
        <v/>
      </c>
    </row>
    <row r="652">
      <c r="F652" s="11">
        <f t="shared" si="1"/>
        <v>0</v>
      </c>
      <c r="G652" s="11" t="str">
        <f>IFERROR(VLOOKUP(C652,STUDENTS!A:E,5,FALSE),"")</f>
        <v/>
      </c>
      <c r="H652" s="11" t="str">
        <f>IFERROR(VLOOKUP(C652,STUDENTS!A:M,13,FALSE),"")</f>
        <v/>
      </c>
      <c r="I652" s="11" t="str">
        <f>IF(D652="","",IF(AND(VLOOKUP(C652,STUDENTS!$A:$R,17,FALSE)=A652,VLOOKUP(C652,STUDENTS!$A:$R,18,FALSE)=B652,G652="Active"),"Đang học",IF(F652&gt;=0.8,IF(G652="Active","Tiếp tục khóa sau",IF(G652="Waiting for class","Chờ lớp mới",IF(G652="Inactive",IF(IFERROR(H652,"")="Discontinued mid-course","Nghỉ giữa chừng","Hoàn thành rồi nghỉ luôn"),""))),IF(G652="Inactive","Nghỉ giữa chừng","Đang học"))))</f>
        <v/>
      </c>
    </row>
    <row r="653">
      <c r="F653" s="11">
        <f t="shared" si="1"/>
        <v>0</v>
      </c>
      <c r="G653" s="11" t="str">
        <f>IFERROR(VLOOKUP(C653,STUDENTS!A:E,5,FALSE),"")</f>
        <v/>
      </c>
      <c r="H653" s="11" t="str">
        <f>IFERROR(VLOOKUP(C653,STUDENTS!A:M,13,FALSE),"")</f>
        <v/>
      </c>
      <c r="I653" s="11" t="str">
        <f>IF(D653="","",IF(AND(VLOOKUP(C653,STUDENTS!$A:$R,17,FALSE)=A653,VLOOKUP(C653,STUDENTS!$A:$R,18,FALSE)=B653,G653="Active"),"Đang học",IF(F653&gt;=0.8,IF(G653="Active","Tiếp tục khóa sau",IF(G653="Waiting for class","Chờ lớp mới",IF(G653="Inactive",IF(IFERROR(H653,"")="Discontinued mid-course","Nghỉ giữa chừng","Hoàn thành rồi nghỉ luôn"),""))),IF(G653="Inactive","Nghỉ giữa chừng","Đang học"))))</f>
        <v/>
      </c>
    </row>
    <row r="654">
      <c r="F654" s="11">
        <f t="shared" si="1"/>
        <v>0</v>
      </c>
      <c r="G654" s="11" t="str">
        <f>IFERROR(VLOOKUP(C654,STUDENTS!A:E,5,FALSE),"")</f>
        <v/>
      </c>
      <c r="H654" s="11" t="str">
        <f>IFERROR(VLOOKUP(C654,STUDENTS!A:M,13,FALSE),"")</f>
        <v/>
      </c>
      <c r="I654" s="11" t="str">
        <f>IF(D654="","",IF(AND(VLOOKUP(C654,STUDENTS!$A:$R,17,FALSE)=A654,VLOOKUP(C654,STUDENTS!$A:$R,18,FALSE)=B654,G654="Active"),"Đang học",IF(F654&gt;=0.8,IF(G654="Active","Tiếp tục khóa sau",IF(G654="Waiting for class","Chờ lớp mới",IF(G654="Inactive",IF(IFERROR(H654,"")="Discontinued mid-course","Nghỉ giữa chừng","Hoàn thành rồi nghỉ luôn"),""))),IF(G654="Inactive","Nghỉ giữa chừng","Đang học"))))</f>
        <v/>
      </c>
    </row>
    <row r="655">
      <c r="F655" s="11">
        <f t="shared" si="1"/>
        <v>0</v>
      </c>
      <c r="G655" s="11" t="str">
        <f>IFERROR(VLOOKUP(C655,STUDENTS!A:E,5,FALSE),"")</f>
        <v/>
      </c>
      <c r="H655" s="11" t="str">
        <f>IFERROR(VLOOKUP(C655,STUDENTS!A:M,13,FALSE),"")</f>
        <v/>
      </c>
      <c r="I655" s="11" t="str">
        <f>IF(D655="","",IF(AND(VLOOKUP(C655,STUDENTS!$A:$R,17,FALSE)=A655,VLOOKUP(C655,STUDENTS!$A:$R,18,FALSE)=B655,G655="Active"),"Đang học",IF(F655&gt;=0.8,IF(G655="Active","Tiếp tục khóa sau",IF(G655="Waiting for class","Chờ lớp mới",IF(G655="Inactive",IF(IFERROR(H655,"")="Discontinued mid-course","Nghỉ giữa chừng","Hoàn thành rồi nghỉ luôn"),""))),IF(G655="Inactive","Nghỉ giữa chừng","Đang học"))))</f>
        <v/>
      </c>
    </row>
    <row r="656">
      <c r="F656" s="11">
        <f t="shared" si="1"/>
        <v>0</v>
      </c>
      <c r="G656" s="11" t="str">
        <f>IFERROR(VLOOKUP(C656,STUDENTS!A:E,5,FALSE),"")</f>
        <v/>
      </c>
      <c r="H656" s="11" t="str">
        <f>IFERROR(VLOOKUP(C656,STUDENTS!A:M,13,FALSE),"")</f>
        <v/>
      </c>
      <c r="I656" s="11" t="str">
        <f>IF(D656="","",IF(AND(VLOOKUP(C656,STUDENTS!$A:$R,17,FALSE)=A656,VLOOKUP(C656,STUDENTS!$A:$R,18,FALSE)=B656,G656="Active"),"Đang học",IF(F656&gt;=0.8,IF(G656="Active","Tiếp tục khóa sau",IF(G656="Waiting for class","Chờ lớp mới",IF(G656="Inactive",IF(IFERROR(H656,"")="Discontinued mid-course","Nghỉ giữa chừng","Hoàn thành rồi nghỉ luôn"),""))),IF(G656="Inactive","Nghỉ giữa chừng","Đang học"))))</f>
        <v/>
      </c>
    </row>
    <row r="657">
      <c r="F657" s="11">
        <f t="shared" si="1"/>
        <v>0</v>
      </c>
      <c r="G657" s="11" t="str">
        <f>IFERROR(VLOOKUP(C657,STUDENTS!A:E,5,FALSE),"")</f>
        <v/>
      </c>
      <c r="H657" s="11" t="str">
        <f>IFERROR(VLOOKUP(C657,STUDENTS!A:M,13,FALSE),"")</f>
        <v/>
      </c>
      <c r="I657" s="11" t="str">
        <f>IF(D657="","",IF(AND(VLOOKUP(C657,STUDENTS!$A:$R,17,FALSE)=A657,VLOOKUP(C657,STUDENTS!$A:$R,18,FALSE)=B657,G657="Active"),"Đang học",IF(F657&gt;=0.8,IF(G657="Active","Tiếp tục khóa sau",IF(G657="Waiting for class","Chờ lớp mới",IF(G657="Inactive",IF(IFERROR(H657,"")="Discontinued mid-course","Nghỉ giữa chừng","Hoàn thành rồi nghỉ luôn"),""))),IF(G657="Inactive","Nghỉ giữa chừng","Đang học"))))</f>
        <v/>
      </c>
    </row>
    <row r="658">
      <c r="F658" s="11">
        <f t="shared" si="1"/>
        <v>0</v>
      </c>
      <c r="G658" s="11" t="str">
        <f>IFERROR(VLOOKUP(C658,STUDENTS!A:E,5,FALSE),"")</f>
        <v/>
      </c>
      <c r="H658" s="11" t="str">
        <f>IFERROR(VLOOKUP(C658,STUDENTS!A:M,13,FALSE),"")</f>
        <v/>
      </c>
      <c r="I658" s="11" t="str">
        <f>IF(D658="","",IF(AND(VLOOKUP(C658,STUDENTS!$A:$R,17,FALSE)=A658,VLOOKUP(C658,STUDENTS!$A:$R,18,FALSE)=B658,G658="Active"),"Đang học",IF(F658&gt;=0.8,IF(G658="Active","Tiếp tục khóa sau",IF(G658="Waiting for class","Chờ lớp mới",IF(G658="Inactive",IF(IFERROR(H658,"")="Discontinued mid-course","Nghỉ giữa chừng","Hoàn thành rồi nghỉ luôn"),""))),IF(G658="Inactive","Nghỉ giữa chừng","Đang học"))))</f>
        <v/>
      </c>
    </row>
    <row r="659">
      <c r="F659" s="11">
        <f t="shared" si="1"/>
        <v>0</v>
      </c>
      <c r="G659" s="11" t="str">
        <f>IFERROR(VLOOKUP(C659,STUDENTS!A:E,5,FALSE),"")</f>
        <v/>
      </c>
      <c r="H659" s="11" t="str">
        <f>IFERROR(VLOOKUP(C659,STUDENTS!A:M,13,FALSE),"")</f>
        <v/>
      </c>
    </row>
    <row r="660">
      <c r="F660" s="11">
        <f t="shared" si="1"/>
        <v>0</v>
      </c>
      <c r="G660" s="11" t="str">
        <f>IFERROR(VLOOKUP(C660,STUDENTS!A:E,5,FALSE),"")</f>
        <v/>
      </c>
      <c r="H660" s="11" t="str">
        <f>IFERROR(VLOOKUP(C660,STUDENTS!A:M,13,FALSE),"")</f>
        <v/>
      </c>
    </row>
    <row r="661">
      <c r="F661" s="11">
        <f t="shared" si="1"/>
        <v>0</v>
      </c>
      <c r="G661" s="11" t="str">
        <f>IFERROR(VLOOKUP(C661,STUDENTS!A:E,5,FALSE),"")</f>
        <v/>
      </c>
      <c r="H661" s="11" t="str">
        <f>IFERROR(VLOOKUP(C661,STUDENTS!A:M,13,FALSE),"")</f>
        <v/>
      </c>
    </row>
    <row r="662">
      <c r="F662" s="11">
        <f t="shared" si="1"/>
        <v>0</v>
      </c>
      <c r="G662" s="11" t="str">
        <f>IFERROR(VLOOKUP(C662,STUDENTS!A:E,5,FALSE),"")</f>
        <v/>
      </c>
      <c r="H662" s="11" t="str">
        <f>IFERROR(VLOOKUP(C662,STUDENTS!A:M,13,FALSE),"")</f>
        <v/>
      </c>
    </row>
    <row r="663">
      <c r="F663" s="11">
        <f t="shared" si="1"/>
        <v>0</v>
      </c>
      <c r="G663" s="11" t="str">
        <f>IFERROR(VLOOKUP(C663,STUDENTS!A:E,5,FALSE),"")</f>
        <v/>
      </c>
      <c r="H663" s="11" t="str">
        <f>IFERROR(VLOOKUP(C663,STUDENTS!A:M,13,FALSE),"")</f>
        <v/>
      </c>
    </row>
    <row r="664">
      <c r="F664" s="11">
        <f t="shared" si="1"/>
        <v>0</v>
      </c>
      <c r="G664" s="11" t="str">
        <f>IFERROR(VLOOKUP(C664,STUDENTS!A:E,5,FALSE),"")</f>
        <v/>
      </c>
      <c r="H664" s="11" t="str">
        <f>IFERROR(VLOOKUP(C664,STUDENTS!A:M,13,FALSE),"")</f>
        <v/>
      </c>
    </row>
    <row r="665">
      <c r="F665" s="11">
        <f t="shared" si="1"/>
        <v>0</v>
      </c>
      <c r="G665" s="11" t="str">
        <f>IFERROR(VLOOKUP(C665,STUDENTS!A:E,5,FALSE),"")</f>
        <v/>
      </c>
      <c r="H665" s="11" t="str">
        <f>IFERROR(VLOOKUP(C665,STUDENTS!A:M,13,FALSE),"")</f>
        <v/>
      </c>
    </row>
    <row r="666">
      <c r="F666" s="11">
        <f t="shared" si="1"/>
        <v>0</v>
      </c>
      <c r="G666" s="11" t="str">
        <f>IFERROR(VLOOKUP(C666,STUDENTS!A:E,5,FALSE),"")</f>
        <v/>
      </c>
      <c r="H666" s="11" t="str">
        <f>IFERROR(VLOOKUP(C666,STUDENTS!A:M,13,FALSE),"")</f>
        <v/>
      </c>
    </row>
    <row r="667">
      <c r="F667" s="11">
        <f t="shared" si="1"/>
        <v>0</v>
      </c>
      <c r="G667" s="11" t="str">
        <f>IFERROR(VLOOKUP(C667,STUDENTS!A:E,5,FALSE),"")</f>
        <v/>
      </c>
      <c r="H667" s="11" t="str">
        <f>IFERROR(VLOOKUP(C667,STUDENTS!A:M,13,FALSE),"")</f>
        <v/>
      </c>
    </row>
    <row r="668">
      <c r="F668" s="11">
        <f t="shared" si="1"/>
        <v>0</v>
      </c>
      <c r="G668" s="11" t="str">
        <f>IFERROR(VLOOKUP(C668,STUDENTS!A:E,5,FALSE),"")</f>
        <v/>
      </c>
      <c r="H668" s="11" t="str">
        <f>IFERROR(VLOOKUP(C668,STUDENTS!A:M,13,FALSE),"")</f>
        <v/>
      </c>
    </row>
    <row r="669">
      <c r="F669" s="11">
        <f t="shared" si="1"/>
        <v>0</v>
      </c>
      <c r="G669" s="11" t="str">
        <f>IFERROR(VLOOKUP(C669,STUDENTS!A:E,5,FALSE),"")</f>
        <v/>
      </c>
      <c r="H669" s="11" t="str">
        <f>IFERROR(VLOOKUP(C669,STUDENTS!A:M,13,FALSE),"")</f>
        <v/>
      </c>
    </row>
    <row r="670">
      <c r="F670" s="11">
        <f t="shared" si="1"/>
        <v>0</v>
      </c>
      <c r="G670" s="11" t="str">
        <f>IFERROR(VLOOKUP(C670,STUDENTS!A:E,5,FALSE),"")</f>
        <v/>
      </c>
      <c r="H670" s="11" t="str">
        <f>IFERROR(VLOOKUP(C670,STUDENTS!A:M,13,FALSE),"")</f>
        <v/>
      </c>
    </row>
    <row r="671">
      <c r="F671" s="11">
        <f t="shared" si="1"/>
        <v>0</v>
      </c>
      <c r="G671" s="11" t="str">
        <f>IFERROR(VLOOKUP(C671,STUDENTS!A:E,5,FALSE),"")</f>
        <v/>
      </c>
      <c r="H671" s="11" t="str">
        <f>IFERROR(VLOOKUP(C671,STUDENTS!A:M,13,FALSE),"")</f>
        <v/>
      </c>
    </row>
    <row r="672">
      <c r="F672" s="11">
        <f t="shared" si="1"/>
        <v>0</v>
      </c>
      <c r="G672" s="11" t="str">
        <f>IFERROR(VLOOKUP(C672,STUDENTS!A:E,5,FALSE),"")</f>
        <v/>
      </c>
      <c r="H672" s="11" t="str">
        <f>IFERROR(VLOOKUP(C672,STUDENTS!A:M,13,FALSE),"")</f>
        <v/>
      </c>
    </row>
    <row r="673">
      <c r="F673" s="11">
        <f t="shared" si="1"/>
        <v>0</v>
      </c>
      <c r="G673" s="11" t="str">
        <f>IFERROR(VLOOKUP(C673,STUDENTS!A:E,5,FALSE),"")</f>
        <v/>
      </c>
      <c r="H673" s="11" t="str">
        <f>IFERROR(VLOOKUP(C673,STUDENTS!A:M,13,FALSE),"")</f>
        <v/>
      </c>
    </row>
    <row r="674">
      <c r="F674" s="11">
        <f t="shared" si="1"/>
        <v>0</v>
      </c>
      <c r="G674" s="11" t="str">
        <f>IFERROR(VLOOKUP(C674,STUDENTS!A:E,5,FALSE),"")</f>
        <v/>
      </c>
      <c r="H674" s="11" t="str">
        <f>IFERROR(VLOOKUP(C674,STUDENTS!A:M,13,FALSE),"")</f>
        <v/>
      </c>
    </row>
    <row r="675">
      <c r="F675" s="11">
        <f t="shared" si="1"/>
        <v>0</v>
      </c>
      <c r="G675" s="11" t="str">
        <f>IFERROR(VLOOKUP(C675,STUDENTS!A:E,5,FALSE),"")</f>
        <v/>
      </c>
      <c r="H675" s="11" t="str">
        <f>IFERROR(VLOOKUP(C675,STUDENTS!A:M,13,FALSE),"")</f>
        <v/>
      </c>
    </row>
    <row r="676">
      <c r="F676" s="11">
        <f t="shared" si="1"/>
        <v>0</v>
      </c>
      <c r="G676" s="11" t="str">
        <f>IFERROR(VLOOKUP(C676,STUDENTS!A:E,5,FALSE),"")</f>
        <v/>
      </c>
      <c r="H676" s="11" t="str">
        <f>IFERROR(VLOOKUP(C676,STUDENTS!A:M,13,FALSE),"")</f>
        <v/>
      </c>
    </row>
    <row r="677">
      <c r="F677" s="11">
        <f t="shared" si="1"/>
        <v>0</v>
      </c>
      <c r="G677" s="11" t="str">
        <f>IFERROR(VLOOKUP(C677,STUDENTS!A:E,5,FALSE),"")</f>
        <v/>
      </c>
      <c r="H677" s="11" t="str">
        <f>IFERROR(VLOOKUP(C677,STUDENTS!A:M,13,FALSE),"")</f>
        <v/>
      </c>
    </row>
    <row r="678">
      <c r="F678" s="11">
        <f t="shared" si="1"/>
        <v>0</v>
      </c>
      <c r="G678" s="11" t="str">
        <f>IFERROR(VLOOKUP(C678,STUDENTS!A:E,5,FALSE),"")</f>
        <v/>
      </c>
      <c r="H678" s="11" t="str">
        <f>IFERROR(VLOOKUP(C678,STUDENTS!A:M,13,FALSE),"")</f>
        <v/>
      </c>
    </row>
    <row r="679">
      <c r="F679" s="11">
        <f t="shared" si="1"/>
        <v>0</v>
      </c>
      <c r="G679" s="11" t="str">
        <f>IFERROR(VLOOKUP(C679,STUDENTS!A:E,5,FALSE),"")</f>
        <v/>
      </c>
      <c r="H679" s="11" t="str">
        <f>IFERROR(VLOOKUP(C679,STUDENTS!A:M,13,FALSE),"")</f>
        <v/>
      </c>
    </row>
    <row r="680">
      <c r="F680" s="11">
        <f t="shared" si="1"/>
        <v>0</v>
      </c>
      <c r="G680" s="11" t="str">
        <f>IFERROR(VLOOKUP(C680,STUDENTS!A:E,5,FALSE),"")</f>
        <v/>
      </c>
      <c r="H680" s="11" t="str">
        <f>IFERROR(VLOOKUP(C680,STUDENTS!A:M,13,FALSE),"")</f>
        <v/>
      </c>
    </row>
    <row r="681">
      <c r="F681" s="11">
        <f t="shared" si="1"/>
        <v>0</v>
      </c>
      <c r="G681" s="11" t="str">
        <f>IFERROR(VLOOKUP(C681,STUDENTS!A:E,5,FALSE),"")</f>
        <v/>
      </c>
      <c r="H681" s="11" t="str">
        <f>IFERROR(VLOOKUP(C681,STUDENTS!A:M,13,FALSE),"")</f>
        <v/>
      </c>
    </row>
    <row r="682">
      <c r="F682" s="11">
        <f t="shared" si="1"/>
        <v>0</v>
      </c>
      <c r="G682" s="11" t="str">
        <f>IFERROR(VLOOKUP(C682,STUDENTS!A:E,5,FALSE),"")</f>
        <v/>
      </c>
      <c r="H682" s="11" t="str">
        <f>IFERROR(VLOOKUP(C682,STUDENTS!A:M,13,FALSE),"")</f>
        <v/>
      </c>
    </row>
    <row r="683">
      <c r="F683" s="11">
        <f t="shared" si="1"/>
        <v>0</v>
      </c>
      <c r="G683" s="11" t="str">
        <f>IFERROR(VLOOKUP(C683,STUDENTS!A:E,5,FALSE),"")</f>
        <v/>
      </c>
      <c r="H683" s="11" t="str">
        <f>IFERROR(VLOOKUP(C683,STUDENTS!A:M,13,FALSE),"")</f>
        <v/>
      </c>
    </row>
    <row r="684">
      <c r="F684" s="11">
        <f t="shared" si="1"/>
        <v>0</v>
      </c>
      <c r="G684" s="11" t="str">
        <f>IFERROR(VLOOKUP(C684,STUDENTS!A:E,5,FALSE),"")</f>
        <v/>
      </c>
      <c r="H684" s="11" t="str">
        <f>IFERROR(VLOOKUP(C684,STUDENTS!A:M,13,FALSE),"")</f>
        <v/>
      </c>
    </row>
    <row r="685">
      <c r="F685" s="11">
        <f t="shared" si="1"/>
        <v>0</v>
      </c>
      <c r="G685" s="11" t="str">
        <f>IFERROR(VLOOKUP(C685,STUDENTS!A:E,5,FALSE),"")</f>
        <v/>
      </c>
      <c r="H685" s="11" t="str">
        <f>IFERROR(VLOOKUP(C685,STUDENTS!A:M,13,FALSE),"")</f>
        <v/>
      </c>
    </row>
    <row r="686">
      <c r="F686" s="11">
        <f t="shared" si="1"/>
        <v>0</v>
      </c>
      <c r="G686" s="11" t="str">
        <f>IFERROR(VLOOKUP(C686,STUDENTS!A:E,5,FALSE),"")</f>
        <v/>
      </c>
      <c r="H686" s="11" t="str">
        <f>IFERROR(VLOOKUP(C686,STUDENTS!A:M,13,FALSE),"")</f>
        <v/>
      </c>
    </row>
    <row r="687">
      <c r="F687" s="11">
        <f t="shared" si="1"/>
        <v>0</v>
      </c>
      <c r="G687" s="11" t="str">
        <f>IFERROR(VLOOKUP(C687,STUDENTS!A:E,5,FALSE),"")</f>
        <v/>
      </c>
      <c r="H687" s="11" t="str">
        <f>IFERROR(VLOOKUP(C687,STUDENTS!A:M,13,FALSE),"")</f>
        <v/>
      </c>
    </row>
    <row r="688">
      <c r="F688" s="11">
        <f t="shared" si="1"/>
        <v>0</v>
      </c>
      <c r="G688" s="11" t="str">
        <f>IFERROR(VLOOKUP(C688,STUDENTS!A:E,5,FALSE),"")</f>
        <v/>
      </c>
      <c r="H688" s="11" t="str">
        <f>IFERROR(VLOOKUP(C688,STUDENTS!A:M,13,FALSE),"")</f>
        <v/>
      </c>
    </row>
    <row r="689">
      <c r="F689" s="11">
        <f t="shared" si="1"/>
        <v>0</v>
      </c>
      <c r="G689" s="11" t="str">
        <f>IFERROR(VLOOKUP(C689,STUDENTS!A:E,5,FALSE),"")</f>
        <v/>
      </c>
      <c r="H689" s="11" t="str">
        <f>IFERROR(VLOOKUP(C689,STUDENTS!A:M,13,FALSE),"")</f>
        <v/>
      </c>
    </row>
    <row r="690">
      <c r="F690" s="11">
        <f t="shared" si="1"/>
        <v>0</v>
      </c>
      <c r="G690" s="11" t="str">
        <f>IFERROR(VLOOKUP(C690,STUDENTS!A:E,5,FALSE),"")</f>
        <v/>
      </c>
      <c r="H690" s="11" t="str">
        <f>IFERROR(VLOOKUP(C690,STUDENTS!A:M,13,FALSE),"")</f>
        <v/>
      </c>
    </row>
    <row r="691">
      <c r="F691" s="11">
        <f t="shared" si="1"/>
        <v>0</v>
      </c>
      <c r="G691" s="11" t="str">
        <f>IFERROR(VLOOKUP(C691,STUDENTS!A:E,5,FALSE),"")</f>
        <v/>
      </c>
      <c r="H691" s="11" t="str">
        <f>IFERROR(VLOOKUP(C691,STUDENTS!A:M,13,FALSE),"")</f>
        <v/>
      </c>
    </row>
    <row r="692">
      <c r="F692" s="11">
        <f t="shared" si="1"/>
        <v>0</v>
      </c>
      <c r="G692" s="11" t="str">
        <f>IFERROR(VLOOKUP(C692,STUDENTS!A:E,5,FALSE),"")</f>
        <v/>
      </c>
      <c r="H692" s="11" t="str">
        <f>IFERROR(VLOOKUP(C692,STUDENTS!A:M,13,FALSE),"")</f>
        <v/>
      </c>
    </row>
    <row r="693">
      <c r="F693" s="11">
        <f t="shared" si="1"/>
        <v>0</v>
      </c>
      <c r="G693" s="11" t="str">
        <f>IFERROR(VLOOKUP(C693,STUDENTS!A:E,5,FALSE),"")</f>
        <v/>
      </c>
      <c r="H693" s="11" t="str">
        <f>IFERROR(VLOOKUP(C693,STUDENTS!A:M,13,FALSE),"")</f>
        <v/>
      </c>
    </row>
    <row r="694">
      <c r="F694" s="11">
        <f t="shared" si="1"/>
        <v>0</v>
      </c>
      <c r="G694" s="11" t="str">
        <f>IFERROR(VLOOKUP(C694,STUDENTS!A:E,5,FALSE),"")</f>
        <v/>
      </c>
      <c r="H694" s="11" t="str">
        <f>IFERROR(VLOOKUP(C694,STUDENTS!A:M,13,FALSE),"")</f>
        <v/>
      </c>
    </row>
    <row r="695">
      <c r="F695" s="11">
        <f t="shared" si="1"/>
        <v>0</v>
      </c>
      <c r="G695" s="11" t="str">
        <f>IFERROR(VLOOKUP(C695,STUDENTS!A:E,5,FALSE),"")</f>
        <v/>
      </c>
      <c r="H695" s="11" t="str">
        <f>IFERROR(VLOOKUP(C695,STUDENTS!A:M,13,FALSE),"")</f>
        <v/>
      </c>
    </row>
    <row r="696">
      <c r="F696" s="11">
        <f t="shared" si="1"/>
        <v>0</v>
      </c>
      <c r="G696" s="11" t="str">
        <f>IFERROR(VLOOKUP(C696,STUDENTS!A:E,5,FALSE),"")</f>
        <v/>
      </c>
      <c r="H696" s="11" t="str">
        <f>IFERROR(VLOOKUP(C696,STUDENTS!A:M,13,FALSE),"")</f>
        <v/>
      </c>
    </row>
    <row r="697">
      <c r="F697" s="11">
        <f t="shared" si="1"/>
        <v>0</v>
      </c>
      <c r="G697" s="11" t="str">
        <f>IFERROR(VLOOKUP(C697,STUDENTS!A:E,5,FALSE),"")</f>
        <v/>
      </c>
      <c r="H697" s="11" t="str">
        <f>IFERROR(VLOOKUP(C697,STUDENTS!A:M,13,FALSE),"")</f>
        <v/>
      </c>
    </row>
    <row r="698">
      <c r="F698" s="11">
        <f t="shared" si="1"/>
        <v>0</v>
      </c>
      <c r="G698" s="11" t="str">
        <f>IFERROR(VLOOKUP(C698,STUDENTS!A:E,5,FALSE),"")</f>
        <v/>
      </c>
      <c r="H698" s="11" t="str">
        <f>IFERROR(VLOOKUP(C698,STUDENTS!A:M,13,FALSE),"")</f>
        <v/>
      </c>
    </row>
    <row r="699">
      <c r="F699" s="11">
        <f t="shared" si="1"/>
        <v>0</v>
      </c>
      <c r="G699" s="11" t="str">
        <f>IFERROR(VLOOKUP(C699,STUDENTS!A:E,5,FALSE),"")</f>
        <v/>
      </c>
      <c r="H699" s="11" t="str">
        <f>IFERROR(VLOOKUP(C699,STUDENTS!A:M,13,FALSE),"")</f>
        <v/>
      </c>
    </row>
    <row r="700">
      <c r="F700" s="11">
        <f t="shared" si="1"/>
        <v>0</v>
      </c>
      <c r="G700" s="11" t="str">
        <f>IFERROR(VLOOKUP(C700,STUDENTS!A:E,5,FALSE),"")</f>
        <v/>
      </c>
      <c r="H700" s="11" t="str">
        <f>IFERROR(VLOOKUP(C700,STUDENTS!A:M,13,FALSE),"")</f>
        <v/>
      </c>
    </row>
    <row r="701">
      <c r="F701" s="11">
        <f t="shared" si="1"/>
        <v>0</v>
      </c>
      <c r="G701" s="11" t="str">
        <f>IFERROR(VLOOKUP(C701,STUDENTS!A:E,5,FALSE),"")</f>
        <v/>
      </c>
      <c r="H701" s="11" t="str">
        <f>IFERROR(VLOOKUP(C701,STUDENTS!A:M,13,FALSE),"")</f>
        <v/>
      </c>
    </row>
    <row r="702">
      <c r="F702" s="11">
        <f t="shared" si="1"/>
        <v>0</v>
      </c>
      <c r="G702" s="11" t="str">
        <f>IFERROR(VLOOKUP(C702,STUDENTS!A:E,5,FALSE),"")</f>
        <v/>
      </c>
      <c r="H702" s="11" t="str">
        <f>IFERROR(VLOOKUP(C702,STUDENTS!A:M,13,FALSE),"")</f>
        <v/>
      </c>
    </row>
    <row r="703">
      <c r="F703" s="11">
        <f t="shared" si="1"/>
        <v>0</v>
      </c>
      <c r="G703" s="11" t="str">
        <f>IFERROR(VLOOKUP(C703,STUDENTS!A:E,5,FALSE),"")</f>
        <v/>
      </c>
      <c r="H703" s="11" t="str">
        <f>IFERROR(VLOOKUP(C703,STUDENTS!A:M,13,FALSE),"")</f>
        <v/>
      </c>
    </row>
    <row r="704">
      <c r="F704" s="11">
        <f t="shared" si="1"/>
        <v>0</v>
      </c>
      <c r="G704" s="11" t="str">
        <f>IFERROR(VLOOKUP(C704,STUDENTS!A:E,5,FALSE),"")</f>
        <v/>
      </c>
      <c r="H704" s="11" t="str">
        <f>IFERROR(VLOOKUP(C704,STUDENTS!A:M,13,FALSE),"")</f>
        <v/>
      </c>
    </row>
    <row r="705">
      <c r="F705" s="11">
        <f t="shared" si="1"/>
        <v>0</v>
      </c>
      <c r="G705" s="11" t="str">
        <f>IFERROR(VLOOKUP(C705,STUDENTS!A:E,5,FALSE),"")</f>
        <v/>
      </c>
      <c r="H705" s="11" t="str">
        <f>IFERROR(VLOOKUP(C705,STUDENTS!A:M,13,FALSE),"")</f>
        <v/>
      </c>
    </row>
    <row r="706">
      <c r="F706" s="11">
        <f t="shared" si="1"/>
        <v>0</v>
      </c>
      <c r="G706" s="11" t="str">
        <f>IFERROR(VLOOKUP(C706,STUDENTS!A:E,5,FALSE),"")</f>
        <v/>
      </c>
      <c r="H706" s="11" t="str">
        <f>IFERROR(VLOOKUP(C706,STUDENTS!A:M,13,FALSE),"")</f>
        <v/>
      </c>
    </row>
    <row r="707">
      <c r="F707" s="11">
        <f t="shared" si="1"/>
        <v>0</v>
      </c>
      <c r="G707" s="11" t="str">
        <f>IFERROR(VLOOKUP(C707,STUDENTS!A:E,5,FALSE),"")</f>
        <v/>
      </c>
      <c r="H707" s="11" t="str">
        <f>IFERROR(VLOOKUP(C707,STUDENTS!A:M,13,FALSE),"")</f>
        <v/>
      </c>
    </row>
    <row r="708">
      <c r="F708" s="11">
        <f t="shared" si="1"/>
        <v>0</v>
      </c>
      <c r="G708" s="11" t="str">
        <f>IFERROR(VLOOKUP(C708,STUDENTS!A:E,5,FALSE),"")</f>
        <v/>
      </c>
      <c r="H708" s="11" t="str">
        <f>IFERROR(VLOOKUP(C708,STUDENTS!A:M,13,FALSE),"")</f>
        <v/>
      </c>
    </row>
    <row r="709">
      <c r="F709" s="11">
        <f t="shared" si="1"/>
        <v>0</v>
      </c>
      <c r="G709" s="11" t="str">
        <f>IFERROR(VLOOKUP(C709,STUDENTS!A:E,5,FALSE),"")</f>
        <v/>
      </c>
      <c r="H709" s="11" t="str">
        <f>IFERROR(VLOOKUP(C709,STUDENTS!A:M,13,FALSE),"")</f>
        <v/>
      </c>
    </row>
    <row r="710">
      <c r="F710" s="11">
        <f t="shared" si="1"/>
        <v>0</v>
      </c>
      <c r="G710" s="11" t="str">
        <f>IFERROR(VLOOKUP(C710,STUDENTS!A:E,5,FALSE),"")</f>
        <v/>
      </c>
      <c r="H710" s="11" t="str">
        <f>IFERROR(VLOOKUP(C710,STUDENTS!A:M,13,FALSE),"")</f>
        <v/>
      </c>
    </row>
    <row r="711">
      <c r="F711" s="11">
        <f t="shared" si="1"/>
        <v>0</v>
      </c>
      <c r="G711" s="11" t="str">
        <f>IFERROR(VLOOKUP(C711,STUDENTS!A:E,5,FALSE),"")</f>
        <v/>
      </c>
      <c r="H711" s="11" t="str">
        <f>IFERROR(VLOOKUP(C711,STUDENTS!A:M,13,FALSE),"")</f>
        <v/>
      </c>
    </row>
    <row r="712">
      <c r="F712" s="11">
        <f t="shared" si="1"/>
        <v>0</v>
      </c>
      <c r="G712" s="11" t="str">
        <f>IFERROR(VLOOKUP(C712,STUDENTS!A:E,5,FALSE),"")</f>
        <v/>
      </c>
      <c r="H712" s="11" t="str">
        <f>IFERROR(VLOOKUP(C712,STUDENTS!A:M,13,FALSE),"")</f>
        <v/>
      </c>
    </row>
    <row r="713">
      <c r="F713" s="11">
        <f t="shared" si="1"/>
        <v>0</v>
      </c>
      <c r="G713" s="11" t="str">
        <f>IFERROR(VLOOKUP(C713,STUDENTS!A:E,5,FALSE),"")</f>
        <v/>
      </c>
      <c r="H713" s="11" t="str">
        <f>IFERROR(VLOOKUP(C713,STUDENTS!A:M,13,FALSE),"")</f>
        <v/>
      </c>
    </row>
    <row r="714">
      <c r="F714" s="11">
        <f t="shared" si="1"/>
        <v>0</v>
      </c>
      <c r="G714" s="11" t="str">
        <f>IFERROR(VLOOKUP(C714,STUDENTS!A:E,5,FALSE),"")</f>
        <v/>
      </c>
      <c r="H714" s="11" t="str">
        <f>IFERROR(VLOOKUP(C714,STUDENTS!A:M,13,FALSE),"")</f>
        <v/>
      </c>
    </row>
    <row r="715">
      <c r="F715" s="11">
        <f t="shared" si="1"/>
        <v>0</v>
      </c>
      <c r="G715" s="11" t="str">
        <f>IFERROR(VLOOKUP(C715,STUDENTS!A:E,5,FALSE),"")</f>
        <v/>
      </c>
      <c r="H715" s="11" t="str">
        <f>IFERROR(VLOOKUP(C715,STUDENTS!A:M,13,FALSE),"")</f>
        <v/>
      </c>
    </row>
    <row r="716">
      <c r="F716" s="11">
        <f t="shared" si="1"/>
        <v>0</v>
      </c>
      <c r="G716" s="11" t="str">
        <f>IFERROR(VLOOKUP(C716,STUDENTS!A:E,5,FALSE),"")</f>
        <v/>
      </c>
      <c r="H716" s="11" t="str">
        <f>IFERROR(VLOOKUP(C716,STUDENTS!A:M,13,FALSE),"")</f>
        <v/>
      </c>
    </row>
    <row r="717">
      <c r="F717" s="11">
        <f t="shared" si="1"/>
        <v>0</v>
      </c>
      <c r="G717" s="11" t="str">
        <f>IFERROR(VLOOKUP(C717,STUDENTS!A:E,5,FALSE),"")</f>
        <v/>
      </c>
      <c r="H717" s="11" t="str">
        <f>IFERROR(VLOOKUP(C717,STUDENTS!A:M,13,FALSE),"")</f>
        <v/>
      </c>
    </row>
    <row r="718">
      <c r="F718" s="11">
        <f t="shared" si="1"/>
        <v>0</v>
      </c>
      <c r="G718" s="11" t="str">
        <f>IFERROR(VLOOKUP(C718,STUDENTS!A:E,5,FALSE),"")</f>
        <v/>
      </c>
      <c r="H718" s="11" t="str">
        <f>IFERROR(VLOOKUP(C718,STUDENTS!A:M,13,FALSE),"")</f>
        <v/>
      </c>
    </row>
    <row r="719">
      <c r="F719" s="11">
        <f t="shared" si="1"/>
        <v>0</v>
      </c>
      <c r="G719" s="11" t="str">
        <f>IFERROR(VLOOKUP(C719,STUDENTS!A:E,5,FALSE),"")</f>
        <v/>
      </c>
      <c r="H719" s="11" t="str">
        <f>IFERROR(VLOOKUP(C719,STUDENTS!A:M,13,FALSE),"")</f>
        <v/>
      </c>
    </row>
    <row r="720">
      <c r="F720" s="11">
        <f t="shared" si="1"/>
        <v>0</v>
      </c>
      <c r="G720" s="11" t="str">
        <f>IFERROR(VLOOKUP(C720,STUDENTS!A:E,5,FALSE),"")</f>
        <v/>
      </c>
      <c r="H720" s="11" t="str">
        <f>IFERROR(VLOOKUP(C720,STUDENTS!A:M,13,FALSE),"")</f>
        <v/>
      </c>
    </row>
    <row r="721">
      <c r="F721" s="11">
        <f t="shared" si="1"/>
        <v>0</v>
      </c>
      <c r="G721" s="11" t="str">
        <f>IFERROR(VLOOKUP(C721,STUDENTS!A:E,5,FALSE),"")</f>
        <v/>
      </c>
      <c r="H721" s="11" t="str">
        <f>IFERROR(VLOOKUP(C721,STUDENTS!A:M,13,FALSE),"")</f>
        <v/>
      </c>
    </row>
    <row r="722">
      <c r="F722" s="11">
        <f t="shared" si="1"/>
        <v>0</v>
      </c>
      <c r="G722" s="11" t="str">
        <f>IFERROR(VLOOKUP(C722,STUDENTS!A:E,5,FALSE),"")</f>
        <v/>
      </c>
      <c r="H722" s="11" t="str">
        <f>IFERROR(VLOOKUP(C722,STUDENTS!A:M,13,FALSE),"")</f>
        <v/>
      </c>
    </row>
    <row r="723">
      <c r="F723" s="11">
        <f t="shared" si="1"/>
        <v>0</v>
      </c>
      <c r="G723" s="11" t="str">
        <f>IFERROR(VLOOKUP(C723,STUDENTS!A:E,5,FALSE),"")</f>
        <v/>
      </c>
      <c r="H723" s="11" t="str">
        <f>IFERROR(VLOOKUP(C723,STUDENTS!A:M,13,FALSE),"")</f>
        <v/>
      </c>
    </row>
    <row r="724">
      <c r="F724" s="11">
        <f t="shared" si="1"/>
        <v>0</v>
      </c>
      <c r="G724" s="11" t="str">
        <f>IFERROR(VLOOKUP(C724,STUDENTS!A:E,5,FALSE),"")</f>
        <v/>
      </c>
      <c r="H724" s="11" t="str">
        <f>IFERROR(VLOOKUP(C724,STUDENTS!A:M,13,FALSE),"")</f>
        <v/>
      </c>
    </row>
    <row r="725">
      <c r="F725" s="11">
        <f t="shared" si="1"/>
        <v>0</v>
      </c>
      <c r="G725" s="11" t="str">
        <f>IFERROR(VLOOKUP(C725,STUDENTS!A:E,5,FALSE),"")</f>
        <v/>
      </c>
      <c r="H725" s="11" t="str">
        <f>IFERROR(VLOOKUP(C725,STUDENTS!A:M,13,FALSE),"")</f>
        <v/>
      </c>
    </row>
    <row r="726">
      <c r="F726" s="11">
        <f t="shared" si="1"/>
        <v>0</v>
      </c>
      <c r="G726" s="11" t="str">
        <f>IFERROR(VLOOKUP(C726,STUDENTS!A:E,5,FALSE),"")</f>
        <v/>
      </c>
      <c r="H726" s="11" t="str">
        <f>IFERROR(VLOOKUP(C726,STUDENTS!A:M,13,FALSE),"")</f>
        <v/>
      </c>
    </row>
    <row r="727">
      <c r="F727" s="11">
        <f t="shared" si="1"/>
        <v>0</v>
      </c>
      <c r="G727" s="11" t="str">
        <f>IFERROR(VLOOKUP(C727,STUDENTS!A:E,5,FALSE),"")</f>
        <v/>
      </c>
      <c r="H727" s="11" t="str">
        <f>IFERROR(VLOOKUP(C727,STUDENTS!A:M,13,FALSE),"")</f>
        <v/>
      </c>
    </row>
    <row r="728">
      <c r="F728" s="11">
        <f t="shared" si="1"/>
        <v>0</v>
      </c>
      <c r="G728" s="11" t="str">
        <f>IFERROR(VLOOKUP(C728,STUDENTS!A:E,5,FALSE),"")</f>
        <v/>
      </c>
      <c r="H728" s="11" t="str">
        <f>IFERROR(VLOOKUP(C728,STUDENTS!A:M,13,FALSE),"")</f>
        <v/>
      </c>
    </row>
    <row r="729">
      <c r="F729" s="11">
        <f t="shared" si="1"/>
        <v>0</v>
      </c>
      <c r="G729" s="11" t="str">
        <f>IFERROR(VLOOKUP(C729,STUDENTS!A:E,5,FALSE),"")</f>
        <v/>
      </c>
      <c r="H729" s="11" t="str">
        <f>IFERROR(VLOOKUP(C729,STUDENTS!A:M,13,FALSE),"")</f>
        <v/>
      </c>
    </row>
    <row r="730">
      <c r="F730" s="11">
        <f t="shared" si="1"/>
        <v>0</v>
      </c>
      <c r="G730" s="11" t="str">
        <f>IFERROR(VLOOKUP(C730,STUDENTS!A:E,5,FALSE),"")</f>
        <v/>
      </c>
      <c r="H730" s="11" t="str">
        <f>IFERROR(VLOOKUP(C730,STUDENTS!A:M,13,FALSE),"")</f>
        <v/>
      </c>
    </row>
    <row r="731">
      <c r="F731" s="11">
        <f t="shared" si="1"/>
        <v>0</v>
      </c>
      <c r="G731" s="11" t="str">
        <f>IFERROR(VLOOKUP(C731,STUDENTS!A:E,5,FALSE),"")</f>
        <v/>
      </c>
      <c r="H731" s="11" t="str">
        <f>IFERROR(VLOOKUP(C731,STUDENTS!A:M,13,FALSE),"")</f>
        <v/>
      </c>
    </row>
    <row r="732">
      <c r="F732" s="11">
        <f t="shared" si="1"/>
        <v>0</v>
      </c>
      <c r="G732" s="11" t="str">
        <f>IFERROR(VLOOKUP(C732,STUDENTS!A:E,5,FALSE),"")</f>
        <v/>
      </c>
      <c r="H732" s="11" t="str">
        <f>IFERROR(VLOOKUP(C732,STUDENTS!A:M,13,FALSE),"")</f>
        <v/>
      </c>
    </row>
    <row r="733">
      <c r="F733" s="11">
        <f t="shared" si="1"/>
        <v>0</v>
      </c>
      <c r="G733" s="11" t="str">
        <f>IFERROR(VLOOKUP(C733,STUDENTS!A:E,5,FALSE),"")</f>
        <v/>
      </c>
      <c r="H733" s="11" t="str">
        <f>IFERROR(VLOOKUP(C733,STUDENTS!A:M,13,FALSE),"")</f>
        <v/>
      </c>
    </row>
    <row r="734">
      <c r="F734" s="11">
        <f t="shared" si="1"/>
        <v>0</v>
      </c>
      <c r="G734" s="11" t="str">
        <f>IFERROR(VLOOKUP(C734,STUDENTS!A:E,5,FALSE),"")</f>
        <v/>
      </c>
      <c r="H734" s="11" t="str">
        <f>IFERROR(VLOOKUP(C734,STUDENTS!A:M,13,FALSE),"")</f>
        <v/>
      </c>
    </row>
    <row r="735">
      <c r="F735" s="11">
        <f t="shared" si="1"/>
        <v>0</v>
      </c>
      <c r="G735" s="11" t="str">
        <f>IFERROR(VLOOKUP(C735,STUDENTS!A:E,5,FALSE),"")</f>
        <v/>
      </c>
      <c r="H735" s="11" t="str">
        <f>IFERROR(VLOOKUP(C735,STUDENTS!A:M,13,FALSE),"")</f>
        <v/>
      </c>
    </row>
    <row r="736">
      <c r="F736" s="11">
        <f t="shared" si="1"/>
        <v>0</v>
      </c>
      <c r="G736" s="11" t="str">
        <f>IFERROR(VLOOKUP(C736,STUDENTS!A:E,5,FALSE),"")</f>
        <v/>
      </c>
      <c r="H736" s="11" t="str">
        <f>IFERROR(VLOOKUP(C736,STUDENTS!A:M,13,FALSE),"")</f>
        <v/>
      </c>
    </row>
    <row r="737">
      <c r="F737" s="11">
        <f t="shared" si="1"/>
        <v>0</v>
      </c>
      <c r="G737" s="11" t="str">
        <f>IFERROR(VLOOKUP(C737,STUDENTS!A:E,5,FALSE),"")</f>
        <v/>
      </c>
      <c r="H737" s="11" t="str">
        <f>IFERROR(VLOOKUP(C737,STUDENTS!A:M,13,FALSE),"")</f>
        <v/>
      </c>
    </row>
    <row r="738">
      <c r="F738" s="11">
        <f t="shared" si="1"/>
        <v>0</v>
      </c>
      <c r="G738" s="11" t="str">
        <f>IFERROR(VLOOKUP(C738,STUDENTS!A:E,5,FALSE),"")</f>
        <v/>
      </c>
      <c r="H738" s="11" t="str">
        <f>IFERROR(VLOOKUP(C738,STUDENTS!A:M,13,FALSE),"")</f>
        <v/>
      </c>
    </row>
    <row r="739">
      <c r="F739" s="11">
        <f t="shared" si="1"/>
        <v>0</v>
      </c>
      <c r="G739" s="11" t="str">
        <f>IFERROR(VLOOKUP(C739,STUDENTS!A:E,5,FALSE),"")</f>
        <v/>
      </c>
      <c r="H739" s="11" t="str">
        <f>IFERROR(VLOOKUP(C739,STUDENTS!A:M,13,FALSE),"")</f>
        <v/>
      </c>
    </row>
    <row r="740">
      <c r="F740" s="11">
        <f t="shared" si="1"/>
        <v>0</v>
      </c>
      <c r="G740" s="11" t="str">
        <f>IFERROR(VLOOKUP(C740,STUDENTS!A:E,5,FALSE),"")</f>
        <v/>
      </c>
      <c r="H740" s="11" t="str">
        <f>IFERROR(VLOOKUP(C740,STUDENTS!A:M,13,FALSE),"")</f>
        <v/>
      </c>
    </row>
    <row r="741">
      <c r="F741" s="11">
        <f t="shared" si="1"/>
        <v>0</v>
      </c>
      <c r="G741" s="11" t="str">
        <f>IFERROR(VLOOKUP(C741,STUDENTS!A:E,5,FALSE),"")</f>
        <v/>
      </c>
      <c r="H741" s="11" t="str">
        <f>IFERROR(VLOOKUP(C741,STUDENTS!A:M,13,FALSE),"")</f>
        <v/>
      </c>
    </row>
    <row r="742">
      <c r="F742" s="11">
        <f t="shared" si="1"/>
        <v>0</v>
      </c>
      <c r="G742" s="11" t="str">
        <f>IFERROR(VLOOKUP(C742,STUDENTS!A:E,5,FALSE),"")</f>
        <v/>
      </c>
      <c r="H742" s="11" t="str">
        <f>IFERROR(VLOOKUP(C742,STUDENTS!A:M,13,FALSE),"")</f>
        <v/>
      </c>
    </row>
    <row r="743">
      <c r="F743" s="11">
        <f t="shared" si="1"/>
        <v>0</v>
      </c>
      <c r="G743" s="11" t="str">
        <f>IFERROR(VLOOKUP(C743,STUDENTS!A:E,5,FALSE),"")</f>
        <v/>
      </c>
      <c r="H743" s="11" t="str">
        <f>IFERROR(VLOOKUP(C743,STUDENTS!A:M,13,FALSE),"")</f>
        <v/>
      </c>
    </row>
    <row r="744">
      <c r="F744" s="11">
        <f t="shared" si="1"/>
        <v>0</v>
      </c>
      <c r="G744" s="11" t="str">
        <f>IFERROR(VLOOKUP(C744,STUDENTS!A:E,5,FALSE),"")</f>
        <v/>
      </c>
      <c r="H744" s="11" t="str">
        <f>IFERROR(VLOOKUP(C744,STUDENTS!A:M,13,FALSE),"")</f>
        <v/>
      </c>
    </row>
    <row r="745">
      <c r="F745" s="11">
        <f t="shared" si="1"/>
        <v>0</v>
      </c>
      <c r="G745" s="11" t="str">
        <f>IFERROR(VLOOKUP(C745,STUDENTS!A:E,5,FALSE),"")</f>
        <v/>
      </c>
      <c r="H745" s="11" t="str">
        <f>IFERROR(VLOOKUP(C745,STUDENTS!A:M,13,FALSE),"")</f>
        <v/>
      </c>
    </row>
    <row r="746">
      <c r="F746" s="11">
        <f t="shared" si="1"/>
        <v>0</v>
      </c>
      <c r="G746" s="11" t="str">
        <f>IFERROR(VLOOKUP(C746,STUDENTS!A:E,5,FALSE),"")</f>
        <v/>
      </c>
      <c r="H746" s="11" t="str">
        <f>IFERROR(VLOOKUP(C746,STUDENTS!A:M,13,FALSE),"")</f>
        <v/>
      </c>
    </row>
    <row r="747">
      <c r="F747" s="11">
        <f t="shared" si="1"/>
        <v>0</v>
      </c>
      <c r="G747" s="11" t="str">
        <f>IFERROR(VLOOKUP(C747,STUDENTS!A:E,5,FALSE),"")</f>
        <v/>
      </c>
      <c r="H747" s="11" t="str">
        <f>IFERROR(VLOOKUP(C747,STUDENTS!A:M,13,FALSE),"")</f>
        <v/>
      </c>
    </row>
    <row r="748">
      <c r="F748" s="11">
        <f t="shared" si="1"/>
        <v>0</v>
      </c>
      <c r="G748" s="11" t="str">
        <f>IFERROR(VLOOKUP(C748,STUDENTS!A:E,5,FALSE),"")</f>
        <v/>
      </c>
      <c r="H748" s="11" t="str">
        <f>IFERROR(VLOOKUP(C748,STUDENTS!A:M,13,FALSE),"")</f>
        <v/>
      </c>
    </row>
    <row r="749">
      <c r="F749" s="11">
        <f t="shared" si="1"/>
        <v>0</v>
      </c>
      <c r="G749" s="11" t="str">
        <f>IFERROR(VLOOKUP(C749,STUDENTS!A:E,5,FALSE),"")</f>
        <v/>
      </c>
      <c r="H749" s="11" t="str">
        <f>IFERROR(VLOOKUP(C749,STUDENTS!A:M,13,FALSE),"")</f>
        <v/>
      </c>
    </row>
    <row r="750">
      <c r="F750" s="11">
        <f t="shared" si="1"/>
        <v>0</v>
      </c>
      <c r="G750" s="11" t="str">
        <f>IFERROR(VLOOKUP(C750,STUDENTS!A:E,5,FALSE),"")</f>
        <v/>
      </c>
      <c r="H750" s="11" t="str">
        <f>IFERROR(VLOOKUP(C750,STUDENTS!A:M,13,FALSE),"")</f>
        <v/>
      </c>
    </row>
    <row r="751">
      <c r="F751" s="11">
        <f t="shared" si="1"/>
        <v>0</v>
      </c>
      <c r="G751" s="11" t="str">
        <f>IFERROR(VLOOKUP(C751,STUDENTS!A:E,5,FALSE),"")</f>
        <v/>
      </c>
      <c r="H751" s="11" t="str">
        <f>IFERROR(VLOOKUP(C751,STUDENTS!A:M,13,FALSE),"")</f>
        <v/>
      </c>
    </row>
    <row r="752">
      <c r="F752" s="11">
        <f t="shared" si="1"/>
        <v>0</v>
      </c>
      <c r="G752" s="11" t="str">
        <f>IFERROR(VLOOKUP(C752,STUDENTS!A:E,5,FALSE),"")</f>
        <v/>
      </c>
      <c r="H752" s="11" t="str">
        <f>IFERROR(VLOOKUP(C752,STUDENTS!A:M,13,FALSE),"")</f>
        <v/>
      </c>
    </row>
    <row r="753">
      <c r="F753" s="11">
        <f t="shared" si="1"/>
        <v>0</v>
      </c>
      <c r="G753" s="11" t="str">
        <f>IFERROR(VLOOKUP(C753,STUDENTS!A:E,5,FALSE),"")</f>
        <v/>
      </c>
      <c r="H753" s="11" t="str">
        <f>IFERROR(VLOOKUP(C753,STUDENTS!A:M,13,FALSE),"")</f>
        <v/>
      </c>
    </row>
    <row r="754">
      <c r="F754" s="11">
        <f t="shared" si="1"/>
        <v>0</v>
      </c>
      <c r="G754" s="11" t="str">
        <f>IFERROR(VLOOKUP(C754,STUDENTS!A:E,5,FALSE),"")</f>
        <v/>
      </c>
      <c r="H754" s="11" t="str">
        <f>IFERROR(VLOOKUP(C754,STUDENTS!A:M,13,FALSE),"")</f>
        <v/>
      </c>
    </row>
    <row r="755">
      <c r="F755" s="11">
        <f t="shared" si="1"/>
        <v>0</v>
      </c>
      <c r="G755" s="11" t="str">
        <f>IFERROR(VLOOKUP(C755,STUDENTS!A:E,5,FALSE),"")</f>
        <v/>
      </c>
      <c r="H755" s="11" t="str">
        <f>IFERROR(VLOOKUP(C755,STUDENTS!A:M,13,FALSE),"")</f>
        <v/>
      </c>
    </row>
    <row r="756">
      <c r="F756" s="11">
        <f t="shared" si="1"/>
        <v>0</v>
      </c>
      <c r="G756" s="11" t="str">
        <f>IFERROR(VLOOKUP(C756,STUDENTS!A:E,5,FALSE),"")</f>
        <v/>
      </c>
      <c r="H756" s="11" t="str">
        <f>IFERROR(VLOOKUP(C756,STUDENTS!A:M,13,FALSE),"")</f>
        <v/>
      </c>
    </row>
    <row r="757">
      <c r="F757" s="11">
        <f t="shared" si="1"/>
        <v>0</v>
      </c>
      <c r="G757" s="11" t="str">
        <f>IFERROR(VLOOKUP(C757,STUDENTS!A:E,5,FALSE),"")</f>
        <v/>
      </c>
      <c r="H757" s="11" t="str">
        <f>IFERROR(VLOOKUP(C757,STUDENTS!A:M,13,FALSE),"")</f>
        <v/>
      </c>
    </row>
    <row r="758">
      <c r="F758" s="11">
        <f t="shared" si="1"/>
        <v>0</v>
      </c>
      <c r="G758" s="11" t="str">
        <f>IFERROR(VLOOKUP(C758,STUDENTS!A:E,5,FALSE),"")</f>
        <v/>
      </c>
      <c r="H758" s="11" t="str">
        <f>IFERROR(VLOOKUP(C758,STUDENTS!A:M,13,FALSE),"")</f>
        <v/>
      </c>
    </row>
    <row r="759">
      <c r="F759" s="11">
        <f t="shared" si="1"/>
        <v>0</v>
      </c>
      <c r="G759" s="11" t="str">
        <f>IFERROR(VLOOKUP(C759,STUDENTS!A:E,5,FALSE),"")</f>
        <v/>
      </c>
      <c r="H759" s="11" t="str">
        <f>IFERROR(VLOOKUP(C759,STUDENTS!A:M,13,FALSE),"")</f>
        <v/>
      </c>
    </row>
    <row r="760">
      <c r="F760" s="11">
        <f t="shared" si="1"/>
        <v>0</v>
      </c>
      <c r="G760" s="11" t="str">
        <f>IFERROR(VLOOKUP(C760,STUDENTS!A:E,5,FALSE),"")</f>
        <v/>
      </c>
      <c r="H760" s="11" t="str">
        <f>IFERROR(VLOOKUP(C760,STUDENTS!A:M,13,FALSE),"")</f>
        <v/>
      </c>
    </row>
    <row r="761">
      <c r="F761" s="11">
        <f t="shared" si="1"/>
        <v>0</v>
      </c>
      <c r="G761" s="11" t="str">
        <f>IFERROR(VLOOKUP(C761,STUDENTS!A:E,5,FALSE),"")</f>
        <v/>
      </c>
      <c r="H761" s="11" t="str">
        <f>IFERROR(VLOOKUP(C761,STUDENTS!A:M,13,FALSE),"")</f>
        <v/>
      </c>
    </row>
    <row r="762">
      <c r="F762" s="11">
        <f t="shared" si="1"/>
        <v>0</v>
      </c>
      <c r="G762" s="11" t="str">
        <f>IFERROR(VLOOKUP(C762,STUDENTS!A:E,5,FALSE),"")</f>
        <v/>
      </c>
      <c r="H762" s="11" t="str">
        <f>IFERROR(VLOOKUP(C762,STUDENTS!A:M,13,FALSE),"")</f>
        <v/>
      </c>
    </row>
    <row r="763">
      <c r="F763" s="11">
        <f t="shared" si="1"/>
        <v>0</v>
      </c>
      <c r="G763" s="11" t="str">
        <f>IFERROR(VLOOKUP(C763,STUDENTS!A:E,5,FALSE),"")</f>
        <v/>
      </c>
      <c r="H763" s="11" t="str">
        <f>IFERROR(VLOOKUP(C763,STUDENTS!A:M,13,FALSE),"")</f>
        <v/>
      </c>
    </row>
    <row r="764">
      <c r="F764" s="11">
        <f t="shared" si="1"/>
        <v>0</v>
      </c>
      <c r="G764" s="11" t="str">
        <f>IFERROR(VLOOKUP(C764,STUDENTS!A:E,5,FALSE),"")</f>
        <v/>
      </c>
      <c r="H764" s="11" t="str">
        <f>IFERROR(VLOOKUP(C764,STUDENTS!A:M,13,FALSE),"")</f>
        <v/>
      </c>
    </row>
    <row r="765">
      <c r="F765" s="11">
        <f t="shared" si="1"/>
        <v>0</v>
      </c>
      <c r="G765" s="11" t="str">
        <f>IFERROR(VLOOKUP(C765,STUDENTS!A:E,5,FALSE),"")</f>
        <v/>
      </c>
      <c r="H765" s="11" t="str">
        <f>IFERROR(VLOOKUP(C765,STUDENTS!A:M,13,FALSE),"")</f>
        <v/>
      </c>
    </row>
    <row r="766">
      <c r="F766" s="11">
        <f t="shared" si="1"/>
        <v>0</v>
      </c>
      <c r="G766" s="11" t="str">
        <f>IFERROR(VLOOKUP(C766,STUDENTS!A:E,5,FALSE),"")</f>
        <v/>
      </c>
      <c r="H766" s="11" t="str">
        <f>IFERROR(VLOOKUP(C766,STUDENTS!A:M,13,FALSE),"")</f>
        <v/>
      </c>
    </row>
    <row r="767">
      <c r="F767" s="11">
        <f t="shared" si="1"/>
        <v>0</v>
      </c>
      <c r="G767" s="11" t="str">
        <f>IFERROR(VLOOKUP(C767,STUDENTS!A:E,5,FALSE),"")</f>
        <v/>
      </c>
      <c r="H767" s="11" t="str">
        <f>IFERROR(VLOOKUP(C767,STUDENTS!A:M,13,FALSE),"")</f>
        <v/>
      </c>
    </row>
    <row r="768">
      <c r="F768" s="11">
        <f t="shared" si="1"/>
        <v>0</v>
      </c>
      <c r="G768" s="11" t="str">
        <f>IFERROR(VLOOKUP(C768,STUDENTS!A:E,5,FALSE),"")</f>
        <v/>
      </c>
      <c r="H768" s="11" t="str">
        <f>IFERROR(VLOOKUP(C768,STUDENTS!A:M,13,FALSE),"")</f>
        <v/>
      </c>
    </row>
    <row r="769">
      <c r="F769" s="11">
        <f t="shared" si="1"/>
        <v>0</v>
      </c>
      <c r="G769" s="11" t="str">
        <f>IFERROR(VLOOKUP(C769,STUDENTS!A:E,5,FALSE),"")</f>
        <v/>
      </c>
      <c r="H769" s="11" t="str">
        <f>IFERROR(VLOOKUP(C769,STUDENTS!A:M,13,FALSE),"")</f>
        <v/>
      </c>
    </row>
    <row r="770">
      <c r="F770" s="11">
        <f t="shared" si="1"/>
        <v>0</v>
      </c>
      <c r="G770" s="11" t="str">
        <f>IFERROR(VLOOKUP(C770,STUDENTS!A:E,5,FALSE),"")</f>
        <v/>
      </c>
      <c r="H770" s="11" t="str">
        <f>IFERROR(VLOOKUP(C770,STUDENTS!A:M,13,FALSE),"")</f>
        <v/>
      </c>
    </row>
    <row r="771">
      <c r="F771" s="11">
        <f t="shared" si="1"/>
        <v>0</v>
      </c>
      <c r="G771" s="11" t="str">
        <f>IFERROR(VLOOKUP(C771,STUDENTS!A:E,5,FALSE),"")</f>
        <v/>
      </c>
      <c r="H771" s="11" t="str">
        <f>IFERROR(VLOOKUP(C771,STUDENTS!A:M,13,FALSE),"")</f>
        <v/>
      </c>
    </row>
    <row r="772">
      <c r="F772" s="11">
        <f t="shared" si="1"/>
        <v>0</v>
      </c>
      <c r="G772" s="11" t="str">
        <f>IFERROR(VLOOKUP(C772,STUDENTS!A:E,5,FALSE),"")</f>
        <v/>
      </c>
      <c r="H772" s="11" t="str">
        <f>IFERROR(VLOOKUP(C772,STUDENTS!A:M,13,FALSE),"")</f>
        <v/>
      </c>
    </row>
    <row r="773">
      <c r="F773" s="11">
        <f t="shared" si="1"/>
        <v>0</v>
      </c>
      <c r="G773" s="11" t="str">
        <f>IFERROR(VLOOKUP(C773,STUDENTS!A:E,5,FALSE),"")</f>
        <v/>
      </c>
      <c r="H773" s="11" t="str">
        <f>IFERROR(VLOOKUP(C773,STUDENTS!A:M,13,FALSE),"")</f>
        <v/>
      </c>
    </row>
    <row r="774">
      <c r="F774" s="11">
        <f t="shared" si="1"/>
        <v>0</v>
      </c>
      <c r="G774" s="11" t="str">
        <f>IFERROR(VLOOKUP(C774,STUDENTS!A:E,5,FALSE),"")</f>
        <v/>
      </c>
      <c r="H774" s="11" t="str">
        <f>IFERROR(VLOOKUP(C774,STUDENTS!A:M,13,FALSE),"")</f>
        <v/>
      </c>
    </row>
    <row r="775">
      <c r="F775" s="11">
        <f t="shared" si="1"/>
        <v>0</v>
      </c>
      <c r="G775" s="11" t="str">
        <f>IFERROR(VLOOKUP(C775,STUDENTS!A:E,5,FALSE),"")</f>
        <v/>
      </c>
      <c r="H775" s="11" t="str">
        <f>IFERROR(VLOOKUP(C775,STUDENTS!A:M,13,FALSE),"")</f>
        <v/>
      </c>
    </row>
    <row r="776">
      <c r="F776" s="11">
        <f t="shared" si="1"/>
        <v>0</v>
      </c>
      <c r="G776" s="11" t="str">
        <f>IFERROR(VLOOKUP(C776,STUDENTS!A:E,5,FALSE),"")</f>
        <v/>
      </c>
      <c r="H776" s="11" t="str">
        <f>IFERROR(VLOOKUP(C776,STUDENTS!A:M,13,FALSE),"")</f>
        <v/>
      </c>
    </row>
    <row r="777">
      <c r="F777" s="11">
        <f t="shared" si="1"/>
        <v>0</v>
      </c>
      <c r="G777" s="11" t="str">
        <f>IFERROR(VLOOKUP(C777,STUDENTS!A:E,5,FALSE),"")</f>
        <v/>
      </c>
      <c r="H777" s="11" t="str">
        <f>IFERROR(VLOOKUP(C777,STUDENTS!A:M,13,FALSE),"")</f>
        <v/>
      </c>
    </row>
    <row r="778">
      <c r="F778" s="11">
        <f t="shared" si="1"/>
        <v>0</v>
      </c>
      <c r="G778" s="11" t="str">
        <f>IFERROR(VLOOKUP(C778,STUDENTS!A:E,5,FALSE),"")</f>
        <v/>
      </c>
      <c r="H778" s="11" t="str">
        <f>IFERROR(VLOOKUP(C778,STUDENTS!A:M,13,FALSE),"")</f>
        <v/>
      </c>
    </row>
    <row r="779">
      <c r="F779" s="11">
        <f t="shared" si="1"/>
        <v>0</v>
      </c>
      <c r="G779" s="11" t="str">
        <f>IFERROR(VLOOKUP(C779,STUDENTS!A:E,5,FALSE),"")</f>
        <v/>
      </c>
      <c r="H779" s="11" t="str">
        <f>IFERROR(VLOOKUP(C779,STUDENTS!A:M,13,FALSE),"")</f>
        <v/>
      </c>
    </row>
    <row r="780">
      <c r="F780" s="11">
        <f t="shared" si="1"/>
        <v>0</v>
      </c>
      <c r="G780" s="11" t="str">
        <f>IFERROR(VLOOKUP(C780,STUDENTS!A:E,5,FALSE),"")</f>
        <v/>
      </c>
      <c r="H780" s="11" t="str">
        <f>IFERROR(VLOOKUP(C780,STUDENTS!A:M,13,FALSE),"")</f>
        <v/>
      </c>
    </row>
    <row r="781">
      <c r="F781" s="11">
        <f t="shared" si="1"/>
        <v>0</v>
      </c>
      <c r="G781" s="11" t="str">
        <f>IFERROR(VLOOKUP(C781,STUDENTS!A:E,5,FALSE),"")</f>
        <v/>
      </c>
      <c r="H781" s="11" t="str">
        <f>IFERROR(VLOOKUP(C781,STUDENTS!A:M,13,FALSE),"")</f>
        <v/>
      </c>
    </row>
    <row r="782">
      <c r="F782" s="11">
        <f t="shared" si="1"/>
        <v>0</v>
      </c>
      <c r="G782" s="11" t="str">
        <f>IFERROR(VLOOKUP(C782,STUDENTS!A:E,5,FALSE),"")</f>
        <v/>
      </c>
      <c r="H782" s="11" t="str">
        <f>IFERROR(VLOOKUP(C782,STUDENTS!A:M,13,FALSE),"")</f>
        <v/>
      </c>
    </row>
    <row r="783">
      <c r="F783" s="11">
        <f t="shared" si="1"/>
        <v>0</v>
      </c>
      <c r="G783" s="11" t="str">
        <f>IFERROR(VLOOKUP(C783,STUDENTS!A:E,5,FALSE),"")</f>
        <v/>
      </c>
      <c r="H783" s="11" t="str">
        <f>IFERROR(VLOOKUP(C783,STUDENTS!A:M,13,FALSE),"")</f>
        <v/>
      </c>
    </row>
    <row r="784">
      <c r="F784" s="11">
        <f t="shared" si="1"/>
        <v>0</v>
      </c>
      <c r="G784" s="11" t="str">
        <f>IFERROR(VLOOKUP(C784,STUDENTS!A:E,5,FALSE),"")</f>
        <v/>
      </c>
      <c r="H784" s="11" t="str">
        <f>IFERROR(VLOOKUP(C784,STUDENTS!A:M,13,FALSE),"")</f>
        <v/>
      </c>
    </row>
    <row r="785">
      <c r="F785" s="11">
        <f t="shared" si="1"/>
        <v>0</v>
      </c>
      <c r="G785" s="11" t="str">
        <f>IFERROR(VLOOKUP(C785,STUDENTS!A:E,5,FALSE),"")</f>
        <v/>
      </c>
      <c r="H785" s="11" t="str">
        <f>IFERROR(VLOOKUP(C785,STUDENTS!A:M,13,FALSE),"")</f>
        <v/>
      </c>
    </row>
    <row r="786">
      <c r="F786" s="11">
        <f t="shared" si="1"/>
        <v>0</v>
      </c>
      <c r="G786" s="11" t="str">
        <f>IFERROR(VLOOKUP(C786,STUDENTS!A:E,5,FALSE),"")</f>
        <v/>
      </c>
      <c r="H786" s="11" t="str">
        <f>IFERROR(VLOOKUP(C786,STUDENTS!A:M,13,FALSE),"")</f>
        <v/>
      </c>
    </row>
    <row r="787">
      <c r="F787" s="11">
        <f t="shared" si="1"/>
        <v>0</v>
      </c>
      <c r="G787" s="11" t="str">
        <f>IFERROR(VLOOKUP(C787,STUDENTS!A:E,5,FALSE),"")</f>
        <v/>
      </c>
      <c r="H787" s="11" t="str">
        <f>IFERROR(VLOOKUP(C787,STUDENTS!A:M,13,FALSE),"")</f>
        <v/>
      </c>
    </row>
    <row r="788">
      <c r="F788" s="11">
        <f t="shared" si="1"/>
        <v>0</v>
      </c>
      <c r="G788" s="11" t="str">
        <f>IFERROR(VLOOKUP(C788,STUDENTS!A:E,5,FALSE),"")</f>
        <v/>
      </c>
      <c r="H788" s="11" t="str">
        <f>IFERROR(VLOOKUP(C788,STUDENTS!A:M,13,FALSE),"")</f>
        <v/>
      </c>
    </row>
    <row r="789">
      <c r="F789" s="11">
        <f t="shared" si="1"/>
        <v>0</v>
      </c>
      <c r="G789" s="11" t="str">
        <f>IFERROR(VLOOKUP(C789,STUDENTS!A:E,5,FALSE),"")</f>
        <v/>
      </c>
      <c r="H789" s="11" t="str">
        <f>IFERROR(VLOOKUP(C789,STUDENTS!A:M,13,FALSE),"")</f>
        <v/>
      </c>
    </row>
    <row r="790">
      <c r="F790" s="11">
        <f t="shared" si="1"/>
        <v>0</v>
      </c>
      <c r="G790" s="11" t="str">
        <f>IFERROR(VLOOKUP(C790,STUDENTS!A:E,5,FALSE),"")</f>
        <v/>
      </c>
      <c r="H790" s="11" t="str">
        <f>IFERROR(VLOOKUP(C790,STUDENTS!A:M,13,FALSE),"")</f>
        <v/>
      </c>
    </row>
    <row r="791">
      <c r="F791" s="11">
        <f t="shared" si="1"/>
        <v>0</v>
      </c>
      <c r="G791" s="11" t="str">
        <f>IFERROR(VLOOKUP(C791,STUDENTS!A:E,5,FALSE),"")</f>
        <v/>
      </c>
      <c r="H791" s="11" t="str">
        <f>IFERROR(VLOOKUP(C791,STUDENTS!A:M,13,FALSE),"")</f>
        <v/>
      </c>
    </row>
    <row r="792">
      <c r="F792" s="11">
        <f t="shared" si="1"/>
        <v>0</v>
      </c>
      <c r="G792" s="11" t="str">
        <f>IFERROR(VLOOKUP(C792,STUDENTS!A:E,5,FALSE),"")</f>
        <v/>
      </c>
      <c r="H792" s="11" t="str">
        <f>IFERROR(VLOOKUP(C792,STUDENTS!A:M,13,FALSE),"")</f>
        <v/>
      </c>
    </row>
    <row r="793">
      <c r="F793" s="11">
        <f t="shared" si="1"/>
        <v>0</v>
      </c>
      <c r="G793" s="11" t="str">
        <f>IFERROR(VLOOKUP(C793,STUDENTS!A:E,5,FALSE),"")</f>
        <v/>
      </c>
      <c r="H793" s="11" t="str">
        <f>IFERROR(VLOOKUP(C793,STUDENTS!A:M,13,FALSE),"")</f>
        <v/>
      </c>
    </row>
    <row r="794">
      <c r="F794" s="11">
        <f t="shared" si="1"/>
        <v>0</v>
      </c>
      <c r="G794" s="11" t="str">
        <f>IFERROR(VLOOKUP(C794,STUDENTS!A:E,5,FALSE),"")</f>
        <v/>
      </c>
      <c r="H794" s="11" t="str">
        <f>IFERROR(VLOOKUP(C794,STUDENTS!A:M,13,FALSE),"")</f>
        <v/>
      </c>
    </row>
    <row r="795">
      <c r="F795" s="11">
        <f t="shared" si="1"/>
        <v>0</v>
      </c>
      <c r="G795" s="11" t="str">
        <f>IFERROR(VLOOKUP(C795,STUDENTS!A:E,5,FALSE),"")</f>
        <v/>
      </c>
      <c r="H795" s="11" t="str">
        <f>IFERROR(VLOOKUP(C795,STUDENTS!A:M,13,FALSE),"")</f>
        <v/>
      </c>
    </row>
    <row r="796">
      <c r="F796" s="11">
        <f t="shared" si="1"/>
        <v>0</v>
      </c>
      <c r="G796" s="11" t="str">
        <f>IFERROR(VLOOKUP(C796,STUDENTS!A:E,5,FALSE),"")</f>
        <v/>
      </c>
      <c r="H796" s="11" t="str">
        <f>IFERROR(VLOOKUP(C796,STUDENTS!A:M,13,FALSE),"")</f>
        <v/>
      </c>
    </row>
    <row r="797">
      <c r="F797" s="11">
        <f t="shared" si="1"/>
        <v>0</v>
      </c>
      <c r="G797" s="11" t="str">
        <f>IFERROR(VLOOKUP(C797,STUDENTS!A:E,5,FALSE),"")</f>
        <v/>
      </c>
      <c r="H797" s="11" t="str">
        <f>IFERROR(VLOOKUP(C797,STUDENTS!A:M,13,FALSE),"")</f>
        <v/>
      </c>
    </row>
    <row r="798">
      <c r="F798" s="11">
        <f t="shared" si="1"/>
        <v>0</v>
      </c>
      <c r="G798" s="11" t="str">
        <f>IFERROR(VLOOKUP(C798,STUDENTS!A:E,5,FALSE),"")</f>
        <v/>
      </c>
      <c r="H798" s="11" t="str">
        <f>IFERROR(VLOOKUP(C798,STUDENTS!A:M,13,FALSE),"")</f>
        <v/>
      </c>
    </row>
    <row r="799">
      <c r="F799" s="11">
        <f t="shared" si="1"/>
        <v>0</v>
      </c>
      <c r="G799" s="11" t="str">
        <f>IFERROR(VLOOKUP(C799,STUDENTS!A:E,5,FALSE),"")</f>
        <v/>
      </c>
      <c r="H799" s="11" t="str">
        <f>IFERROR(VLOOKUP(C799,STUDENTS!A:M,13,FALSE),"")</f>
        <v/>
      </c>
    </row>
    <row r="800">
      <c r="F800" s="11">
        <f t="shared" si="1"/>
        <v>0</v>
      </c>
      <c r="G800" s="11" t="str">
        <f>IFERROR(VLOOKUP(C800,STUDENTS!A:E,5,FALSE),"")</f>
        <v/>
      </c>
      <c r="H800" s="11" t="str">
        <f>IFERROR(VLOOKUP(C800,STUDENTS!A:M,13,FALSE),"")</f>
        <v/>
      </c>
    </row>
    <row r="801">
      <c r="F801" s="11">
        <f t="shared" si="1"/>
        <v>0</v>
      </c>
      <c r="G801" s="11" t="str">
        <f>IFERROR(VLOOKUP(C801,STUDENTS!A:E,5,FALSE),"")</f>
        <v/>
      </c>
      <c r="H801" s="11" t="str">
        <f>IFERROR(VLOOKUP(C801,STUDENTS!A:M,13,FALSE),"")</f>
        <v/>
      </c>
    </row>
    <row r="802">
      <c r="F802" s="11">
        <f t="shared" si="1"/>
        <v>0</v>
      </c>
      <c r="G802" s="11" t="str">
        <f>IFERROR(VLOOKUP(C802,STUDENTS!A:E,5,FALSE),"")</f>
        <v/>
      </c>
      <c r="H802" s="11" t="str">
        <f>IFERROR(VLOOKUP(C802,STUDENTS!A:M,13,FALSE),"")</f>
        <v/>
      </c>
    </row>
    <row r="803">
      <c r="F803" s="11">
        <f t="shared" si="1"/>
        <v>0</v>
      </c>
      <c r="G803" s="11" t="str">
        <f>IFERROR(VLOOKUP(C803,STUDENTS!A:E,5,FALSE),"")</f>
        <v/>
      </c>
      <c r="H803" s="11" t="str">
        <f>IFERROR(VLOOKUP(C803,STUDENTS!A:M,13,FALSE),"")</f>
        <v/>
      </c>
    </row>
    <row r="804">
      <c r="F804" s="11">
        <f t="shared" si="1"/>
        <v>0</v>
      </c>
      <c r="G804" s="11" t="str">
        <f>IFERROR(VLOOKUP(C804,STUDENTS!A:E,5,FALSE),"")</f>
        <v/>
      </c>
      <c r="H804" s="11" t="str">
        <f>IFERROR(VLOOKUP(C804,STUDENTS!A:M,13,FALSE),"")</f>
        <v/>
      </c>
    </row>
    <row r="805">
      <c r="F805" s="11">
        <f t="shared" si="1"/>
        <v>0</v>
      </c>
      <c r="G805" s="11" t="str">
        <f>IFERROR(VLOOKUP(C805,STUDENTS!A:E,5,FALSE),"")</f>
        <v/>
      </c>
      <c r="H805" s="11" t="str">
        <f>IFERROR(VLOOKUP(C805,STUDENTS!A:M,13,FALSE),"")</f>
        <v/>
      </c>
    </row>
    <row r="806">
      <c r="F806" s="11">
        <f t="shared" si="1"/>
        <v>0</v>
      </c>
      <c r="G806" s="11" t="str">
        <f>IFERROR(VLOOKUP(C806,STUDENTS!A:E,5,FALSE),"")</f>
        <v/>
      </c>
      <c r="H806" s="11" t="str">
        <f>IFERROR(VLOOKUP(C806,STUDENTS!A:M,13,FALSE),"")</f>
        <v/>
      </c>
    </row>
    <row r="807">
      <c r="F807" s="11">
        <f t="shared" si="1"/>
        <v>0</v>
      </c>
      <c r="G807" s="11" t="str">
        <f>IFERROR(VLOOKUP(C807,STUDENTS!A:E,5,FALSE),"")</f>
        <v/>
      </c>
      <c r="H807" s="11" t="str">
        <f>IFERROR(VLOOKUP(C807,STUDENTS!A:M,13,FALSE),"")</f>
        <v/>
      </c>
    </row>
    <row r="808">
      <c r="F808" s="11">
        <f t="shared" si="1"/>
        <v>0</v>
      </c>
      <c r="G808" s="11" t="str">
        <f>IFERROR(VLOOKUP(C808,STUDENTS!A:E,5,FALSE),"")</f>
        <v/>
      </c>
      <c r="H808" s="11" t="str">
        <f>IFERROR(VLOOKUP(C808,STUDENTS!A:M,13,FALSE),"")</f>
        <v/>
      </c>
    </row>
    <row r="809">
      <c r="F809" s="11">
        <f t="shared" si="1"/>
        <v>0</v>
      </c>
      <c r="G809" s="11" t="str">
        <f>IFERROR(VLOOKUP(C809,STUDENTS!A:E,5,FALSE),"")</f>
        <v/>
      </c>
      <c r="H809" s="11" t="str">
        <f>IFERROR(VLOOKUP(C809,STUDENTS!A:M,13,FALSE),"")</f>
        <v/>
      </c>
    </row>
    <row r="810">
      <c r="F810" s="11">
        <f t="shared" si="1"/>
        <v>0</v>
      </c>
      <c r="G810" s="11" t="str">
        <f>IFERROR(VLOOKUP(C810,STUDENTS!A:E,5,FALSE),"")</f>
        <v/>
      </c>
      <c r="H810" s="11" t="str">
        <f>IFERROR(VLOOKUP(C810,STUDENTS!A:M,13,FALSE),"")</f>
        <v/>
      </c>
    </row>
    <row r="811">
      <c r="F811" s="11">
        <f t="shared" si="1"/>
        <v>0</v>
      </c>
      <c r="G811" s="11" t="str">
        <f>IFERROR(VLOOKUP(C811,STUDENTS!A:E,5,FALSE),"")</f>
        <v/>
      </c>
      <c r="H811" s="11" t="str">
        <f>IFERROR(VLOOKUP(C811,STUDENTS!A:M,13,FALSE),"")</f>
        <v/>
      </c>
    </row>
    <row r="812">
      <c r="F812" s="11">
        <f t="shared" si="1"/>
        <v>0</v>
      </c>
      <c r="G812" s="11" t="str">
        <f>IFERROR(VLOOKUP(C812,STUDENTS!A:E,5,FALSE),"")</f>
        <v/>
      </c>
      <c r="H812" s="11" t="str">
        <f>IFERROR(VLOOKUP(C812,STUDENTS!A:M,13,FALSE),"")</f>
        <v/>
      </c>
    </row>
    <row r="813">
      <c r="F813" s="11">
        <f t="shared" si="1"/>
        <v>0</v>
      </c>
      <c r="G813" s="11" t="str">
        <f>IFERROR(VLOOKUP(C813,STUDENTS!A:E,5,FALSE),"")</f>
        <v/>
      </c>
      <c r="H813" s="11" t="str">
        <f>IFERROR(VLOOKUP(C813,STUDENTS!A:M,13,FALSE),"")</f>
        <v/>
      </c>
    </row>
    <row r="814">
      <c r="F814" s="11">
        <f t="shared" si="1"/>
        <v>0</v>
      </c>
      <c r="G814" s="11" t="str">
        <f>IFERROR(VLOOKUP(C814,STUDENTS!A:E,5,FALSE),"")</f>
        <v/>
      </c>
      <c r="H814" s="11" t="str">
        <f>IFERROR(VLOOKUP(C814,STUDENTS!A:M,13,FALSE),"")</f>
        <v/>
      </c>
    </row>
    <row r="815">
      <c r="F815" s="11">
        <f t="shared" si="1"/>
        <v>0</v>
      </c>
      <c r="G815" s="11" t="str">
        <f>IFERROR(VLOOKUP(C815,STUDENTS!A:E,5,FALSE),"")</f>
        <v/>
      </c>
      <c r="H815" s="11" t="str">
        <f>IFERROR(VLOOKUP(C815,STUDENTS!A:M,13,FALSE),"")</f>
        <v/>
      </c>
    </row>
    <row r="816">
      <c r="F816" s="11">
        <f t="shared" si="1"/>
        <v>0</v>
      </c>
      <c r="G816" s="11" t="str">
        <f>IFERROR(VLOOKUP(C816,STUDENTS!A:E,5,FALSE),"")</f>
        <v/>
      </c>
      <c r="H816" s="11" t="str">
        <f>IFERROR(VLOOKUP(C816,STUDENTS!A:M,13,FALSE),"")</f>
        <v/>
      </c>
    </row>
    <row r="817">
      <c r="F817" s="11">
        <f t="shared" si="1"/>
        <v>0</v>
      </c>
      <c r="G817" s="11" t="str">
        <f>IFERROR(VLOOKUP(C817,STUDENTS!A:E,5,FALSE),"")</f>
        <v/>
      </c>
      <c r="H817" s="11" t="str">
        <f>IFERROR(VLOOKUP(C817,STUDENTS!A:M,13,FALSE),"")</f>
        <v/>
      </c>
    </row>
    <row r="818">
      <c r="F818" s="11">
        <f t="shared" si="1"/>
        <v>0</v>
      </c>
      <c r="G818" s="11" t="str">
        <f>IFERROR(VLOOKUP(C818,STUDENTS!A:E,5,FALSE),"")</f>
        <v/>
      </c>
      <c r="H818" s="11" t="str">
        <f>IFERROR(VLOOKUP(C818,STUDENTS!A:M,13,FALSE),"")</f>
        <v/>
      </c>
    </row>
    <row r="819">
      <c r="F819" s="11">
        <f t="shared" si="1"/>
        <v>0</v>
      </c>
      <c r="G819" s="11" t="str">
        <f>IFERROR(VLOOKUP(C819,STUDENTS!A:E,5,FALSE),"")</f>
        <v/>
      </c>
      <c r="H819" s="11" t="str">
        <f>IFERROR(VLOOKUP(C819,STUDENTS!A:M,13,FALSE),"")</f>
        <v/>
      </c>
    </row>
    <row r="820">
      <c r="F820" s="11">
        <f t="shared" si="1"/>
        <v>0</v>
      </c>
      <c r="G820" s="11" t="str">
        <f>IFERROR(VLOOKUP(C820,STUDENTS!A:E,5,FALSE),"")</f>
        <v/>
      </c>
      <c r="H820" s="11" t="str">
        <f>IFERROR(VLOOKUP(C820,STUDENTS!A:M,13,FALSE),"")</f>
        <v/>
      </c>
    </row>
    <row r="821">
      <c r="F821" s="11">
        <f t="shared" si="1"/>
        <v>0</v>
      </c>
      <c r="G821" s="11" t="str">
        <f>IFERROR(VLOOKUP(C821,STUDENTS!A:E,5,FALSE),"")</f>
        <v/>
      </c>
      <c r="H821" s="11" t="str">
        <f>IFERROR(VLOOKUP(C821,STUDENTS!A:M,13,FALSE),"")</f>
        <v/>
      </c>
    </row>
    <row r="822">
      <c r="F822" s="11">
        <f t="shared" si="1"/>
        <v>0</v>
      </c>
      <c r="G822" s="11" t="str">
        <f>IFERROR(VLOOKUP(C822,STUDENTS!A:E,5,FALSE),"")</f>
        <v/>
      </c>
      <c r="H822" s="11" t="str">
        <f>IFERROR(VLOOKUP(C822,STUDENTS!A:M,13,FALSE),"")</f>
        <v/>
      </c>
    </row>
    <row r="823">
      <c r="F823" s="11">
        <f t="shared" si="1"/>
        <v>0</v>
      </c>
      <c r="G823" s="11" t="str">
        <f>IFERROR(VLOOKUP(C823,STUDENTS!A:E,5,FALSE),"")</f>
        <v/>
      </c>
      <c r="H823" s="11" t="str">
        <f>IFERROR(VLOOKUP(C823,STUDENTS!A:M,13,FALSE),"")</f>
        <v/>
      </c>
    </row>
    <row r="824">
      <c r="F824" s="11">
        <f t="shared" si="1"/>
        <v>0</v>
      </c>
      <c r="G824" s="11" t="str">
        <f>IFERROR(VLOOKUP(C824,STUDENTS!A:E,5,FALSE),"")</f>
        <v/>
      </c>
      <c r="H824" s="11" t="str">
        <f>IFERROR(VLOOKUP(C824,STUDENTS!A:M,13,FALSE),"")</f>
        <v/>
      </c>
    </row>
    <row r="825">
      <c r="F825" s="11">
        <f t="shared" si="1"/>
        <v>0</v>
      </c>
      <c r="G825" s="11" t="str">
        <f>IFERROR(VLOOKUP(C825,STUDENTS!A:E,5,FALSE),"")</f>
        <v/>
      </c>
      <c r="H825" s="11" t="str">
        <f>IFERROR(VLOOKUP(C825,STUDENTS!A:M,13,FALSE),"")</f>
        <v/>
      </c>
    </row>
    <row r="826">
      <c r="F826" s="11">
        <f t="shared" si="1"/>
        <v>0</v>
      </c>
      <c r="G826" s="11" t="str">
        <f>IFERROR(VLOOKUP(C826,STUDENTS!A:E,5,FALSE),"")</f>
        <v/>
      </c>
      <c r="H826" s="11" t="str">
        <f>IFERROR(VLOOKUP(C826,STUDENTS!A:M,13,FALSE),"")</f>
        <v/>
      </c>
    </row>
    <row r="827">
      <c r="F827" s="11">
        <f t="shared" si="1"/>
        <v>0</v>
      </c>
      <c r="G827" s="11" t="str">
        <f>IFERROR(VLOOKUP(C827,STUDENTS!A:E,5,FALSE),"")</f>
        <v/>
      </c>
      <c r="H827" s="11" t="str">
        <f>IFERROR(VLOOKUP(C827,STUDENTS!A:M,13,FALSE),"")</f>
        <v/>
      </c>
    </row>
    <row r="828">
      <c r="F828" s="11">
        <f t="shared" si="1"/>
        <v>0</v>
      </c>
      <c r="G828" s="11" t="str">
        <f>IFERROR(VLOOKUP(C828,STUDENTS!A:E,5,FALSE),"")</f>
        <v/>
      </c>
      <c r="H828" s="11" t="str">
        <f>IFERROR(VLOOKUP(C828,STUDENTS!A:M,13,FALSE),"")</f>
        <v/>
      </c>
    </row>
    <row r="829">
      <c r="F829" s="11">
        <f t="shared" si="1"/>
        <v>0</v>
      </c>
      <c r="G829" s="11" t="str">
        <f>IFERROR(VLOOKUP(C829,STUDENTS!A:E,5,FALSE),"")</f>
        <v/>
      </c>
      <c r="H829" s="11" t="str">
        <f>IFERROR(VLOOKUP(C829,STUDENTS!A:M,13,FALSE),"")</f>
        <v/>
      </c>
    </row>
    <row r="830">
      <c r="F830" s="11">
        <f t="shared" si="1"/>
        <v>0</v>
      </c>
      <c r="G830" s="11" t="str">
        <f>IFERROR(VLOOKUP(C830,STUDENTS!A:E,5,FALSE),"")</f>
        <v/>
      </c>
      <c r="H830" s="11" t="str">
        <f>IFERROR(VLOOKUP(C830,STUDENTS!A:M,13,FALSE),"")</f>
        <v/>
      </c>
    </row>
    <row r="831">
      <c r="F831" s="11">
        <f t="shared" si="1"/>
        <v>0</v>
      </c>
      <c r="G831" s="11" t="str">
        <f>IFERROR(VLOOKUP(C831,STUDENTS!A:E,5,FALSE),"")</f>
        <v/>
      </c>
      <c r="H831" s="11" t="str">
        <f>IFERROR(VLOOKUP(C831,STUDENTS!A:M,13,FALSE),"")</f>
        <v/>
      </c>
    </row>
    <row r="832">
      <c r="F832" s="11">
        <f t="shared" si="1"/>
        <v>0</v>
      </c>
      <c r="G832" s="11" t="str">
        <f>IFERROR(VLOOKUP(C832,STUDENTS!A:E,5,FALSE),"")</f>
        <v/>
      </c>
      <c r="H832" s="11" t="str">
        <f>IFERROR(VLOOKUP(C832,STUDENTS!A:M,13,FALSE),"")</f>
        <v/>
      </c>
    </row>
    <row r="833">
      <c r="F833" s="11">
        <f t="shared" si="1"/>
        <v>0</v>
      </c>
      <c r="G833" s="11" t="str">
        <f>IFERROR(VLOOKUP(C833,STUDENTS!A:E,5,FALSE),"")</f>
        <v/>
      </c>
      <c r="H833" s="11" t="str">
        <f>IFERROR(VLOOKUP(C833,STUDENTS!A:M,13,FALSE),"")</f>
        <v/>
      </c>
    </row>
    <row r="834">
      <c r="F834" s="11">
        <f t="shared" si="1"/>
        <v>0</v>
      </c>
      <c r="G834" s="11" t="str">
        <f>IFERROR(VLOOKUP(C834,STUDENTS!A:E,5,FALSE),"")</f>
        <v/>
      </c>
      <c r="H834" s="11" t="str">
        <f>IFERROR(VLOOKUP(C834,STUDENTS!A:M,13,FALSE),"")</f>
        <v/>
      </c>
    </row>
    <row r="835">
      <c r="F835" s="11">
        <f t="shared" si="1"/>
        <v>0</v>
      </c>
      <c r="G835" s="11" t="str">
        <f>IFERROR(VLOOKUP(C835,STUDENTS!A:E,5,FALSE),"")</f>
        <v/>
      </c>
      <c r="H835" s="11" t="str">
        <f>IFERROR(VLOOKUP(C835,STUDENTS!A:M,13,FALSE),"")</f>
        <v/>
      </c>
    </row>
    <row r="836">
      <c r="F836" s="11">
        <f t="shared" si="1"/>
        <v>0</v>
      </c>
      <c r="G836" s="11" t="str">
        <f>IFERROR(VLOOKUP(C836,STUDENTS!A:E,5,FALSE),"")</f>
        <v/>
      </c>
      <c r="H836" s="11" t="str">
        <f>IFERROR(VLOOKUP(C836,STUDENTS!A:M,13,FALSE),"")</f>
        <v/>
      </c>
    </row>
    <row r="837">
      <c r="F837" s="11">
        <f t="shared" si="1"/>
        <v>0</v>
      </c>
      <c r="G837" s="11" t="str">
        <f>IFERROR(VLOOKUP(C837,STUDENTS!A:E,5,FALSE),"")</f>
        <v/>
      </c>
      <c r="H837" s="11" t="str">
        <f>IFERROR(VLOOKUP(C837,STUDENTS!A:M,13,FALSE),"")</f>
        <v/>
      </c>
    </row>
    <row r="838">
      <c r="F838" s="11">
        <f t="shared" si="1"/>
        <v>0</v>
      </c>
      <c r="G838" s="11" t="str">
        <f>IFERROR(VLOOKUP(C838,STUDENTS!A:E,5,FALSE),"")</f>
        <v/>
      </c>
      <c r="H838" s="11" t="str">
        <f>IFERROR(VLOOKUP(C838,STUDENTS!A:M,13,FALSE),"")</f>
        <v/>
      </c>
    </row>
    <row r="839">
      <c r="F839" s="11">
        <f t="shared" si="1"/>
        <v>0</v>
      </c>
      <c r="G839" s="11" t="str">
        <f>IFERROR(VLOOKUP(C839,STUDENTS!A:E,5,FALSE),"")</f>
        <v/>
      </c>
      <c r="H839" s="11" t="str">
        <f>IFERROR(VLOOKUP(C839,STUDENTS!A:M,13,FALSE),"")</f>
        <v/>
      </c>
    </row>
    <row r="840">
      <c r="F840" s="11">
        <f t="shared" si="1"/>
        <v>0</v>
      </c>
      <c r="G840" s="11" t="str">
        <f>IFERROR(VLOOKUP(C840,STUDENTS!A:E,5,FALSE),"")</f>
        <v/>
      </c>
      <c r="H840" s="11" t="str">
        <f>IFERROR(VLOOKUP(C840,STUDENTS!A:M,13,FALSE),"")</f>
        <v/>
      </c>
    </row>
    <row r="841">
      <c r="F841" s="11">
        <f t="shared" si="1"/>
        <v>0</v>
      </c>
      <c r="G841" s="11" t="str">
        <f>IFERROR(VLOOKUP(C841,STUDENTS!A:E,5,FALSE),"")</f>
        <v/>
      </c>
      <c r="H841" s="11" t="str">
        <f>IFERROR(VLOOKUP(C841,STUDENTS!A:M,13,FALSE),"")</f>
        <v/>
      </c>
    </row>
    <row r="842">
      <c r="F842" s="11">
        <f t="shared" si="1"/>
        <v>0</v>
      </c>
      <c r="G842" s="11" t="str">
        <f>IFERROR(VLOOKUP(C842,STUDENTS!A:E,5,FALSE),"")</f>
        <v/>
      </c>
      <c r="H842" s="11" t="str">
        <f>IFERROR(VLOOKUP(C842,STUDENTS!A:M,13,FALSE),"")</f>
        <v/>
      </c>
    </row>
    <row r="843">
      <c r="F843" s="11">
        <f t="shared" si="1"/>
        <v>0</v>
      </c>
      <c r="G843" s="11" t="str">
        <f>IFERROR(VLOOKUP(C843,STUDENTS!A:E,5,FALSE),"")</f>
        <v/>
      </c>
      <c r="H843" s="11" t="str">
        <f>IFERROR(VLOOKUP(C843,STUDENTS!A:M,13,FALSE),"")</f>
        <v/>
      </c>
    </row>
    <row r="844">
      <c r="F844" s="11">
        <f t="shared" si="1"/>
        <v>0</v>
      </c>
      <c r="G844" s="11" t="str">
        <f>IFERROR(VLOOKUP(C844,STUDENTS!A:E,5,FALSE),"")</f>
        <v/>
      </c>
      <c r="H844" s="11" t="str">
        <f>IFERROR(VLOOKUP(C844,STUDENTS!A:M,13,FALSE),"")</f>
        <v/>
      </c>
    </row>
  </sheetData>
  <autoFilter ref="$A$1:$Z$1000">
    <sortState ref="A1:Z1000">
      <sortCondition descending="1" ref="I1:I1000"/>
    </sortState>
  </autoFil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3.0"/>
    <col customWidth="1" min="2" max="3" width="14.43"/>
  </cols>
  <sheetData>
    <row r="1">
      <c r="A1" s="373" t="s">
        <v>15</v>
      </c>
      <c r="B1" s="373" t="s">
        <v>839</v>
      </c>
      <c r="C1" s="373" t="s">
        <v>1242</v>
      </c>
      <c r="D1" s="374"/>
      <c r="E1" s="373"/>
      <c r="F1" s="373"/>
      <c r="G1" s="373"/>
      <c r="H1" s="373"/>
      <c r="I1" s="373"/>
      <c r="J1" s="373"/>
      <c r="K1" s="373"/>
      <c r="L1" s="373"/>
      <c r="M1" s="373"/>
      <c r="N1" s="373"/>
      <c r="O1" s="373"/>
      <c r="P1" s="373"/>
      <c r="Q1" s="373"/>
      <c r="R1" s="373"/>
      <c r="S1" s="373"/>
      <c r="T1" s="373"/>
      <c r="U1" s="373"/>
      <c r="V1" s="373"/>
      <c r="W1" s="373"/>
      <c r="X1" s="373"/>
      <c r="Y1" s="373"/>
      <c r="Z1" s="373"/>
    </row>
    <row r="2">
      <c r="A2" s="11" t="s">
        <v>25</v>
      </c>
      <c r="B2" s="11">
        <v>5.0</v>
      </c>
      <c r="C2" s="11">
        <v>29.0</v>
      </c>
      <c r="D2" s="12">
        <f t="shared" ref="D2:D8" si="1">C2/B2</f>
        <v>5.8</v>
      </c>
    </row>
    <row r="3">
      <c r="A3" s="11" t="s">
        <v>22</v>
      </c>
      <c r="B3" s="11">
        <v>44.0</v>
      </c>
      <c r="C3" s="11">
        <v>269.0</v>
      </c>
      <c r="D3" s="12">
        <f t="shared" si="1"/>
        <v>6.113636364</v>
      </c>
    </row>
    <row r="4">
      <c r="A4" s="11" t="s">
        <v>23</v>
      </c>
      <c r="B4" s="11">
        <v>22.0</v>
      </c>
      <c r="C4" s="11">
        <v>144.0</v>
      </c>
      <c r="D4" s="12">
        <f t="shared" si="1"/>
        <v>6.545454545</v>
      </c>
    </row>
    <row r="5">
      <c r="A5" s="11" t="s">
        <v>24</v>
      </c>
      <c r="B5" s="11">
        <v>3.0</v>
      </c>
      <c r="C5" s="11">
        <v>21.0</v>
      </c>
      <c r="D5" s="12">
        <f t="shared" si="1"/>
        <v>7</v>
      </c>
    </row>
    <row r="6">
      <c r="A6" s="11" t="s">
        <v>27</v>
      </c>
      <c r="B6" s="11">
        <v>1.0</v>
      </c>
      <c r="C6" s="11">
        <v>3.0</v>
      </c>
      <c r="D6" s="12">
        <f t="shared" si="1"/>
        <v>3</v>
      </c>
    </row>
    <row r="7">
      <c r="A7" s="11" t="s">
        <v>26</v>
      </c>
      <c r="B7" s="11">
        <v>5.0</v>
      </c>
      <c r="C7" s="11">
        <v>37.0</v>
      </c>
      <c r="D7" s="12">
        <f t="shared" si="1"/>
        <v>7.4</v>
      </c>
    </row>
    <row r="8">
      <c r="A8" s="11" t="s">
        <v>856</v>
      </c>
      <c r="B8" s="11">
        <v>48.0</v>
      </c>
      <c r="C8" s="11">
        <v>296.0</v>
      </c>
      <c r="D8" s="12">
        <f t="shared" si="1"/>
        <v>6.166666667</v>
      </c>
    </row>
    <row r="9">
      <c r="D9" s="12"/>
    </row>
    <row r="10">
      <c r="D10" s="12"/>
    </row>
    <row r="11">
      <c r="D11" s="12"/>
    </row>
    <row r="12">
      <c r="D12" s="12"/>
    </row>
    <row r="13">
      <c r="B13" s="11">
        <f>sum(B2:B7)*15</f>
        <v>1200</v>
      </c>
      <c r="D13" s="12"/>
    </row>
    <row r="14">
      <c r="D14" s="12"/>
    </row>
    <row r="15">
      <c r="D15" s="12"/>
    </row>
    <row r="16">
      <c r="D16" s="12"/>
    </row>
    <row r="17">
      <c r="D17" s="12"/>
    </row>
    <row r="18">
      <c r="D18" s="12"/>
    </row>
    <row r="19">
      <c r="D19" s="12"/>
    </row>
    <row r="20">
      <c r="D20" s="12"/>
    </row>
    <row r="21">
      <c r="D21" s="12"/>
    </row>
    <row r="22">
      <c r="D22" s="12"/>
    </row>
    <row r="23">
      <c r="D23" s="12"/>
    </row>
    <row r="24">
      <c r="D24" s="12"/>
    </row>
    <row r="25">
      <c r="D25" s="12"/>
    </row>
    <row r="26">
      <c r="D26" s="12"/>
    </row>
    <row r="27">
      <c r="D27" s="12"/>
    </row>
    <row r="28">
      <c r="D28" s="12"/>
    </row>
    <row r="29">
      <c r="D29" s="12"/>
    </row>
    <row r="30">
      <c r="D30" s="12"/>
    </row>
    <row r="31">
      <c r="D31" s="12"/>
    </row>
    <row r="32">
      <c r="D32" s="12"/>
    </row>
    <row r="33">
      <c r="D33" s="12"/>
    </row>
    <row r="34">
      <c r="D34" s="12"/>
    </row>
    <row r="35">
      <c r="D35" s="12"/>
    </row>
    <row r="36">
      <c r="D36" s="12"/>
    </row>
    <row r="37">
      <c r="D37" s="12"/>
    </row>
    <row r="38">
      <c r="D38" s="12"/>
    </row>
    <row r="39">
      <c r="D39" s="12"/>
    </row>
    <row r="40">
      <c r="D40" s="12"/>
    </row>
    <row r="41">
      <c r="D41" s="12"/>
    </row>
    <row r="42">
      <c r="D42" s="12"/>
    </row>
    <row r="43">
      <c r="D43" s="12"/>
    </row>
    <row r="44">
      <c r="D44" s="12"/>
    </row>
    <row r="45">
      <c r="D45" s="12"/>
    </row>
    <row r="46">
      <c r="D46" s="12"/>
    </row>
    <row r="47">
      <c r="D47" s="12"/>
    </row>
    <row r="48">
      <c r="D48" s="12"/>
    </row>
    <row r="49">
      <c r="D49" s="12"/>
    </row>
    <row r="50">
      <c r="D50" s="12"/>
    </row>
    <row r="51">
      <c r="D51" s="12"/>
    </row>
    <row r="52">
      <c r="D52" s="12"/>
    </row>
    <row r="53">
      <c r="D53" s="12"/>
    </row>
    <row r="54">
      <c r="D54" s="12"/>
    </row>
    <row r="55">
      <c r="D55" s="12"/>
    </row>
    <row r="56">
      <c r="D56" s="12"/>
    </row>
    <row r="57">
      <c r="D57" s="12"/>
    </row>
    <row r="58">
      <c r="D58" s="12"/>
    </row>
    <row r="59">
      <c r="D59" s="12"/>
    </row>
    <row r="60">
      <c r="D60" s="12"/>
    </row>
    <row r="61">
      <c r="D61" s="12"/>
    </row>
    <row r="62">
      <c r="D62" s="12"/>
    </row>
    <row r="63">
      <c r="D63" s="12"/>
    </row>
    <row r="64">
      <c r="D64" s="12"/>
    </row>
    <row r="65">
      <c r="D65" s="12"/>
    </row>
    <row r="66">
      <c r="D66" s="12"/>
    </row>
    <row r="67">
      <c r="D67" s="12"/>
    </row>
    <row r="68">
      <c r="D68" s="12"/>
    </row>
    <row r="69">
      <c r="D69" s="12"/>
    </row>
    <row r="70">
      <c r="D70" s="12"/>
    </row>
    <row r="71">
      <c r="D71" s="12"/>
    </row>
    <row r="72">
      <c r="D72" s="12"/>
    </row>
    <row r="73">
      <c r="D73" s="12"/>
    </row>
    <row r="74">
      <c r="D74" s="12"/>
    </row>
    <row r="75">
      <c r="D75" s="12"/>
    </row>
    <row r="76">
      <c r="D76" s="12"/>
    </row>
    <row r="77">
      <c r="D77" s="12"/>
    </row>
    <row r="78">
      <c r="D78" s="12"/>
    </row>
    <row r="79">
      <c r="D79" s="12"/>
    </row>
    <row r="80">
      <c r="D80" s="12"/>
    </row>
    <row r="81">
      <c r="D81" s="12"/>
    </row>
    <row r="82">
      <c r="D82" s="12"/>
    </row>
    <row r="83">
      <c r="D83" s="12"/>
    </row>
    <row r="84">
      <c r="D84" s="12"/>
    </row>
    <row r="85">
      <c r="D85" s="12"/>
    </row>
    <row r="86">
      <c r="D86" s="12"/>
    </row>
    <row r="87">
      <c r="D87" s="12"/>
    </row>
    <row r="88">
      <c r="D88" s="12"/>
    </row>
    <row r="89">
      <c r="D89" s="12"/>
    </row>
    <row r="90">
      <c r="D90" s="12"/>
    </row>
    <row r="91">
      <c r="D91" s="12"/>
    </row>
    <row r="92">
      <c r="D92" s="12"/>
    </row>
    <row r="93">
      <c r="D93" s="12"/>
    </row>
    <row r="94">
      <c r="D94" s="12"/>
    </row>
    <row r="95">
      <c r="D95" s="12"/>
    </row>
    <row r="96">
      <c r="D96" s="12"/>
    </row>
    <row r="97">
      <c r="D97" s="12"/>
    </row>
    <row r="98">
      <c r="D98" s="12"/>
    </row>
    <row r="99">
      <c r="D99" s="12"/>
    </row>
    <row r="100">
      <c r="D100" s="12"/>
    </row>
    <row r="101">
      <c r="D101" s="12"/>
    </row>
    <row r="102">
      <c r="D102" s="12"/>
    </row>
    <row r="103">
      <c r="D103" s="12"/>
    </row>
    <row r="104">
      <c r="D104" s="12"/>
    </row>
    <row r="105">
      <c r="D105" s="12"/>
    </row>
    <row r="106">
      <c r="D106" s="12"/>
    </row>
    <row r="107">
      <c r="D107" s="12"/>
    </row>
    <row r="108">
      <c r="D108" s="12"/>
    </row>
    <row r="109">
      <c r="D109" s="12"/>
    </row>
    <row r="110">
      <c r="D110" s="12"/>
    </row>
    <row r="111">
      <c r="D111" s="12"/>
    </row>
    <row r="112">
      <c r="D112" s="12"/>
    </row>
    <row r="113">
      <c r="D113" s="12"/>
    </row>
    <row r="114">
      <c r="D114" s="12"/>
    </row>
    <row r="115">
      <c r="D115" s="12"/>
    </row>
    <row r="116">
      <c r="D116" s="12"/>
    </row>
    <row r="117">
      <c r="D117" s="12"/>
    </row>
    <row r="118">
      <c r="D118" s="12"/>
    </row>
    <row r="119">
      <c r="D119" s="12"/>
    </row>
    <row r="120">
      <c r="D120" s="12"/>
    </row>
    <row r="121">
      <c r="D121" s="12"/>
    </row>
    <row r="122">
      <c r="D122" s="12"/>
    </row>
    <row r="123">
      <c r="D123" s="12"/>
    </row>
    <row r="124">
      <c r="D124" s="12"/>
    </row>
    <row r="125">
      <c r="D125" s="12"/>
    </row>
    <row r="126">
      <c r="D126" s="12"/>
    </row>
    <row r="127">
      <c r="D127" s="12"/>
    </row>
    <row r="128">
      <c r="D128" s="12"/>
    </row>
    <row r="129">
      <c r="D129" s="12"/>
    </row>
    <row r="130">
      <c r="D130" s="12"/>
    </row>
    <row r="131">
      <c r="D131" s="12"/>
    </row>
    <row r="132">
      <c r="D132" s="12"/>
    </row>
    <row r="133">
      <c r="D133" s="12"/>
    </row>
    <row r="134">
      <c r="D134" s="12"/>
    </row>
    <row r="135">
      <c r="D135" s="12"/>
    </row>
    <row r="136">
      <c r="D136" s="12"/>
    </row>
    <row r="137">
      <c r="D137" s="12"/>
    </row>
    <row r="138">
      <c r="D138" s="12"/>
    </row>
    <row r="139">
      <c r="D139" s="12"/>
    </row>
    <row r="140">
      <c r="D140" s="12"/>
    </row>
    <row r="141">
      <c r="D141" s="12"/>
    </row>
    <row r="142">
      <c r="D142" s="12"/>
    </row>
    <row r="143">
      <c r="D143" s="12"/>
    </row>
    <row r="144">
      <c r="D144" s="12"/>
    </row>
    <row r="145">
      <c r="D145" s="12"/>
    </row>
    <row r="146">
      <c r="D146" s="12"/>
    </row>
    <row r="147">
      <c r="D147" s="12"/>
    </row>
    <row r="148">
      <c r="D148" s="12"/>
    </row>
    <row r="149">
      <c r="D149" s="12"/>
    </row>
    <row r="150">
      <c r="D150" s="12"/>
    </row>
    <row r="151">
      <c r="D151" s="12"/>
    </row>
    <row r="152">
      <c r="D152" s="12"/>
    </row>
    <row r="153">
      <c r="D153" s="12"/>
    </row>
    <row r="154">
      <c r="D154" s="12"/>
    </row>
    <row r="155">
      <c r="D155" s="12"/>
    </row>
    <row r="156">
      <c r="D156" s="12"/>
    </row>
    <row r="157">
      <c r="D157" s="12"/>
    </row>
    <row r="158">
      <c r="D158" s="12"/>
    </row>
    <row r="159">
      <c r="D159" s="12"/>
    </row>
    <row r="160">
      <c r="D160" s="12"/>
    </row>
    <row r="161">
      <c r="D161" s="12"/>
    </row>
    <row r="162">
      <c r="D162" s="12"/>
    </row>
    <row r="163">
      <c r="D163" s="12"/>
    </row>
    <row r="164">
      <c r="D164" s="12"/>
    </row>
    <row r="165">
      <c r="D165" s="12"/>
    </row>
    <row r="166">
      <c r="D166" s="12"/>
    </row>
    <row r="167">
      <c r="D167" s="12"/>
    </row>
    <row r="168">
      <c r="D168" s="12"/>
    </row>
    <row r="169">
      <c r="D169" s="12"/>
    </row>
    <row r="170">
      <c r="D170" s="12"/>
    </row>
    <row r="171">
      <c r="D171" s="12"/>
    </row>
    <row r="172">
      <c r="D172" s="12"/>
    </row>
    <row r="173">
      <c r="D173" s="12"/>
    </row>
    <row r="174">
      <c r="D174" s="12"/>
    </row>
    <row r="175">
      <c r="D175" s="12"/>
    </row>
    <row r="176">
      <c r="D176" s="12"/>
    </row>
    <row r="177">
      <c r="D177" s="12"/>
    </row>
    <row r="178">
      <c r="D178" s="12"/>
    </row>
    <row r="179">
      <c r="D179" s="12"/>
    </row>
    <row r="180">
      <c r="D180" s="12"/>
    </row>
    <row r="181">
      <c r="D181" s="12"/>
    </row>
    <row r="182">
      <c r="D182" s="12"/>
    </row>
    <row r="183">
      <c r="D183" s="12"/>
    </row>
    <row r="184">
      <c r="D184" s="12"/>
    </row>
    <row r="185">
      <c r="D185" s="12"/>
    </row>
    <row r="186">
      <c r="D186" s="12"/>
    </row>
    <row r="187">
      <c r="D187" s="12"/>
    </row>
    <row r="188">
      <c r="D188" s="12"/>
    </row>
    <row r="189">
      <c r="D189" s="12"/>
    </row>
    <row r="190">
      <c r="D190" s="12"/>
    </row>
    <row r="191">
      <c r="D191" s="12"/>
    </row>
    <row r="192">
      <c r="D192" s="12"/>
    </row>
    <row r="193">
      <c r="D193" s="12"/>
    </row>
    <row r="194">
      <c r="D194" s="12"/>
    </row>
    <row r="195">
      <c r="D195" s="12"/>
    </row>
    <row r="196">
      <c r="D196" s="12"/>
    </row>
    <row r="197">
      <c r="D197" s="12"/>
    </row>
    <row r="198">
      <c r="D198" s="12"/>
    </row>
    <row r="199">
      <c r="D199" s="12"/>
    </row>
    <row r="200">
      <c r="D200" s="12"/>
    </row>
    <row r="201">
      <c r="D201" s="12"/>
    </row>
    <row r="202">
      <c r="D202" s="12"/>
    </row>
    <row r="203">
      <c r="D203" s="12"/>
    </row>
    <row r="204">
      <c r="D204" s="12"/>
    </row>
    <row r="205">
      <c r="D205" s="12"/>
    </row>
    <row r="206">
      <c r="D206" s="12"/>
    </row>
    <row r="207">
      <c r="D207" s="12"/>
    </row>
    <row r="208">
      <c r="D208" s="12"/>
    </row>
    <row r="209">
      <c r="D209" s="12"/>
    </row>
    <row r="210">
      <c r="D210" s="12"/>
    </row>
    <row r="211">
      <c r="D211" s="12"/>
    </row>
    <row r="212">
      <c r="D212" s="12"/>
    </row>
    <row r="213">
      <c r="D213" s="12"/>
    </row>
    <row r="214">
      <c r="D214" s="12"/>
    </row>
    <row r="215">
      <c r="D215" s="12"/>
    </row>
    <row r="216">
      <c r="D216" s="12"/>
    </row>
    <row r="217">
      <c r="D217" s="12"/>
    </row>
    <row r="218">
      <c r="D218" s="12"/>
    </row>
    <row r="219">
      <c r="D219" s="12"/>
    </row>
    <row r="220">
      <c r="D220" s="12"/>
    </row>
    <row r="221">
      <c r="D221" s="12"/>
    </row>
    <row r="222">
      <c r="D222" s="12"/>
    </row>
    <row r="223">
      <c r="D223" s="12"/>
    </row>
    <row r="224">
      <c r="D224" s="12"/>
    </row>
    <row r="225">
      <c r="D225" s="12"/>
    </row>
    <row r="226">
      <c r="D226" s="12"/>
    </row>
    <row r="227">
      <c r="D227" s="12"/>
    </row>
    <row r="228">
      <c r="D228" s="12"/>
    </row>
    <row r="229">
      <c r="D229" s="12"/>
    </row>
    <row r="230">
      <c r="D230" s="12"/>
    </row>
    <row r="231">
      <c r="D231" s="12"/>
    </row>
    <row r="232">
      <c r="D232" s="12"/>
    </row>
    <row r="233">
      <c r="D233" s="12"/>
    </row>
    <row r="234">
      <c r="D234" s="12"/>
    </row>
    <row r="235">
      <c r="D235" s="12"/>
    </row>
    <row r="236">
      <c r="D236" s="12"/>
    </row>
    <row r="237">
      <c r="D237" s="12"/>
    </row>
    <row r="238">
      <c r="D238" s="12"/>
    </row>
    <row r="239">
      <c r="D239" s="12"/>
    </row>
    <row r="240">
      <c r="D240" s="12"/>
    </row>
    <row r="241">
      <c r="D241" s="12"/>
    </row>
    <row r="242">
      <c r="D242" s="12"/>
    </row>
    <row r="243">
      <c r="D243" s="12"/>
    </row>
    <row r="244">
      <c r="D244" s="12"/>
    </row>
    <row r="245">
      <c r="D245" s="12"/>
    </row>
    <row r="246">
      <c r="D246" s="12"/>
    </row>
    <row r="247">
      <c r="D247" s="12"/>
    </row>
    <row r="248">
      <c r="D248" s="12"/>
    </row>
    <row r="249">
      <c r="D249" s="12"/>
    </row>
    <row r="250">
      <c r="D250" s="12"/>
    </row>
    <row r="251">
      <c r="D251" s="12"/>
    </row>
    <row r="252">
      <c r="D252" s="12"/>
    </row>
    <row r="253">
      <c r="D253" s="12"/>
    </row>
    <row r="254">
      <c r="D254" s="12"/>
    </row>
    <row r="255">
      <c r="D255" s="12"/>
    </row>
    <row r="256">
      <c r="D256" s="12"/>
    </row>
    <row r="257">
      <c r="D257" s="12"/>
    </row>
    <row r="258">
      <c r="D258" s="12"/>
    </row>
    <row r="259">
      <c r="D259" s="12"/>
    </row>
    <row r="260">
      <c r="D260" s="12"/>
    </row>
    <row r="261">
      <c r="D261" s="12"/>
    </row>
    <row r="262">
      <c r="D262" s="12"/>
    </row>
    <row r="263">
      <c r="D263" s="12"/>
    </row>
    <row r="264">
      <c r="D264" s="12"/>
    </row>
    <row r="265">
      <c r="D265" s="12"/>
    </row>
    <row r="266">
      <c r="D266" s="12"/>
    </row>
    <row r="267">
      <c r="D267" s="12"/>
    </row>
    <row r="268">
      <c r="D268" s="12"/>
    </row>
    <row r="269">
      <c r="D269" s="12"/>
    </row>
    <row r="270">
      <c r="D270" s="12"/>
    </row>
    <row r="271">
      <c r="D271" s="12"/>
    </row>
    <row r="272">
      <c r="D272" s="12"/>
    </row>
    <row r="273">
      <c r="D273" s="12"/>
    </row>
    <row r="274">
      <c r="D274" s="12"/>
    </row>
    <row r="275">
      <c r="D275" s="12"/>
    </row>
    <row r="276">
      <c r="D276" s="12"/>
    </row>
    <row r="277">
      <c r="D277" s="12"/>
    </row>
    <row r="278">
      <c r="D278" s="12"/>
    </row>
    <row r="279">
      <c r="D279" s="12"/>
    </row>
    <row r="280">
      <c r="D280" s="12"/>
    </row>
    <row r="281">
      <c r="D281" s="12"/>
    </row>
    <row r="282">
      <c r="D282" s="12"/>
    </row>
    <row r="283">
      <c r="D283" s="12"/>
    </row>
    <row r="284">
      <c r="D284" s="12"/>
    </row>
    <row r="285">
      <c r="D285" s="12"/>
    </row>
    <row r="286">
      <c r="D286" s="12"/>
    </row>
    <row r="287">
      <c r="D287" s="12"/>
    </row>
    <row r="288">
      <c r="D288" s="12"/>
    </row>
    <row r="289">
      <c r="D289" s="12"/>
    </row>
    <row r="290">
      <c r="D290" s="12"/>
    </row>
    <row r="291">
      <c r="D291" s="12"/>
    </row>
    <row r="292">
      <c r="D292" s="12"/>
    </row>
    <row r="293">
      <c r="D293" s="12"/>
    </row>
    <row r="294">
      <c r="D294" s="12"/>
    </row>
    <row r="295">
      <c r="D295" s="12"/>
    </row>
    <row r="296">
      <c r="D296" s="12"/>
    </row>
    <row r="297">
      <c r="D297" s="12"/>
    </row>
    <row r="298">
      <c r="D298" s="12"/>
    </row>
    <row r="299">
      <c r="D299" s="12"/>
    </row>
    <row r="300">
      <c r="D300" s="12"/>
    </row>
    <row r="301">
      <c r="D301" s="12"/>
    </row>
    <row r="302">
      <c r="D302" s="12"/>
    </row>
    <row r="303">
      <c r="D303" s="12"/>
    </row>
    <row r="304">
      <c r="D304" s="12"/>
    </row>
    <row r="305">
      <c r="D305" s="12"/>
    </row>
    <row r="306">
      <c r="D306" s="12"/>
    </row>
    <row r="307">
      <c r="D307" s="12"/>
    </row>
    <row r="308">
      <c r="D308" s="12"/>
    </row>
    <row r="309">
      <c r="D309" s="12"/>
    </row>
    <row r="310">
      <c r="D310" s="12"/>
    </row>
    <row r="311">
      <c r="D311" s="12"/>
    </row>
    <row r="312">
      <c r="D312" s="12"/>
    </row>
    <row r="313">
      <c r="D313" s="12"/>
    </row>
    <row r="314">
      <c r="D314" s="12"/>
    </row>
    <row r="315">
      <c r="D315" s="12"/>
    </row>
    <row r="316">
      <c r="D316" s="12"/>
    </row>
    <row r="317">
      <c r="D317" s="12"/>
    </row>
    <row r="318">
      <c r="D318" s="12"/>
    </row>
    <row r="319">
      <c r="D319" s="12"/>
    </row>
    <row r="320">
      <c r="D320" s="12"/>
    </row>
    <row r="321">
      <c r="D321" s="12"/>
    </row>
    <row r="322">
      <c r="D322" s="12"/>
    </row>
    <row r="323">
      <c r="D323" s="12"/>
    </row>
    <row r="324">
      <c r="D324" s="12"/>
    </row>
    <row r="325">
      <c r="D325" s="12"/>
    </row>
    <row r="326">
      <c r="D326" s="12"/>
    </row>
    <row r="327">
      <c r="D327" s="12"/>
    </row>
    <row r="328">
      <c r="D328" s="12"/>
    </row>
    <row r="329">
      <c r="D329" s="12"/>
    </row>
    <row r="330">
      <c r="D330" s="12"/>
    </row>
    <row r="331">
      <c r="D331" s="12"/>
    </row>
    <row r="332">
      <c r="D332" s="12"/>
    </row>
    <row r="333">
      <c r="D333" s="12"/>
    </row>
    <row r="334">
      <c r="D334" s="12"/>
    </row>
    <row r="335">
      <c r="D335" s="12"/>
    </row>
    <row r="336">
      <c r="D336" s="12"/>
    </row>
    <row r="337">
      <c r="D337" s="12"/>
    </row>
    <row r="338">
      <c r="D338" s="12"/>
    </row>
    <row r="339">
      <c r="D339" s="12"/>
    </row>
    <row r="340">
      <c r="D340" s="12"/>
    </row>
    <row r="341">
      <c r="D341" s="12"/>
    </row>
    <row r="342">
      <c r="D342" s="12"/>
    </row>
    <row r="343">
      <c r="D343" s="12"/>
    </row>
    <row r="344">
      <c r="D344" s="12"/>
    </row>
    <row r="345">
      <c r="D345" s="12"/>
    </row>
    <row r="346">
      <c r="D346" s="12"/>
    </row>
    <row r="347">
      <c r="D347" s="12"/>
    </row>
    <row r="348">
      <c r="D348" s="12"/>
    </row>
    <row r="349">
      <c r="D349" s="12"/>
    </row>
    <row r="350">
      <c r="D350" s="12"/>
    </row>
    <row r="351">
      <c r="D351" s="12"/>
    </row>
    <row r="352">
      <c r="D352" s="12"/>
    </row>
    <row r="353">
      <c r="D353" s="12"/>
    </row>
    <row r="354">
      <c r="D354" s="12"/>
    </row>
    <row r="355">
      <c r="D355" s="12"/>
    </row>
    <row r="356">
      <c r="D356" s="12"/>
    </row>
    <row r="357">
      <c r="D357" s="12"/>
    </row>
    <row r="358">
      <c r="D358" s="12"/>
    </row>
    <row r="359">
      <c r="D359" s="12"/>
    </row>
    <row r="360">
      <c r="D360" s="12"/>
    </row>
    <row r="361">
      <c r="D361" s="12"/>
    </row>
    <row r="362">
      <c r="D362" s="12"/>
    </row>
    <row r="363">
      <c r="D363" s="12"/>
    </row>
    <row r="364">
      <c r="D364" s="12"/>
    </row>
    <row r="365">
      <c r="D365" s="12"/>
    </row>
    <row r="366">
      <c r="D366" s="12"/>
    </row>
    <row r="367">
      <c r="D367" s="12"/>
    </row>
    <row r="368">
      <c r="D368" s="12"/>
    </row>
    <row r="369">
      <c r="D369" s="12"/>
    </row>
    <row r="370">
      <c r="D370" s="12"/>
    </row>
    <row r="371">
      <c r="D371" s="12"/>
    </row>
    <row r="372">
      <c r="D372" s="12"/>
    </row>
    <row r="373">
      <c r="D373" s="12"/>
    </row>
    <row r="374">
      <c r="D374" s="12"/>
    </row>
    <row r="375">
      <c r="D375" s="12"/>
    </row>
    <row r="376">
      <c r="D376" s="12"/>
    </row>
    <row r="377">
      <c r="D377" s="12"/>
    </row>
    <row r="378">
      <c r="D378" s="12"/>
    </row>
    <row r="379">
      <c r="D379" s="12"/>
    </row>
    <row r="380">
      <c r="D380" s="12"/>
    </row>
    <row r="381">
      <c r="D381" s="12"/>
    </row>
    <row r="382">
      <c r="D382" s="12"/>
    </row>
    <row r="383">
      <c r="D383" s="12"/>
    </row>
    <row r="384">
      <c r="D384" s="12"/>
    </row>
    <row r="385">
      <c r="D385" s="12"/>
    </row>
    <row r="386">
      <c r="D386" s="12"/>
    </row>
    <row r="387">
      <c r="D387" s="12"/>
    </row>
    <row r="388">
      <c r="D388" s="12"/>
    </row>
    <row r="389">
      <c r="D389" s="12"/>
    </row>
    <row r="390">
      <c r="D390" s="12"/>
    </row>
    <row r="391">
      <c r="D391" s="12"/>
    </row>
    <row r="392">
      <c r="D392" s="12"/>
    </row>
    <row r="393">
      <c r="D393" s="12"/>
    </row>
    <row r="394">
      <c r="D394" s="12"/>
    </row>
    <row r="395">
      <c r="D395" s="12"/>
    </row>
    <row r="396">
      <c r="D396" s="12"/>
    </row>
    <row r="397">
      <c r="D397" s="12"/>
    </row>
    <row r="398">
      <c r="D398" s="12"/>
    </row>
    <row r="399">
      <c r="D399" s="12"/>
    </row>
    <row r="400">
      <c r="D400" s="12"/>
    </row>
    <row r="401">
      <c r="D401" s="12"/>
    </row>
    <row r="402">
      <c r="D402" s="12"/>
    </row>
    <row r="403">
      <c r="D403" s="12"/>
    </row>
    <row r="404">
      <c r="D404" s="12"/>
    </row>
    <row r="405">
      <c r="D405" s="12"/>
    </row>
    <row r="406">
      <c r="D406" s="12"/>
    </row>
    <row r="407">
      <c r="D407" s="12"/>
    </row>
    <row r="408">
      <c r="D408" s="12"/>
    </row>
    <row r="409">
      <c r="D409" s="12"/>
    </row>
    <row r="410">
      <c r="D410" s="12"/>
    </row>
    <row r="411">
      <c r="D411" s="12"/>
    </row>
    <row r="412">
      <c r="D412" s="12"/>
    </row>
    <row r="413">
      <c r="D413" s="12"/>
    </row>
    <row r="414">
      <c r="D414" s="12"/>
    </row>
    <row r="415">
      <c r="D415" s="12"/>
    </row>
    <row r="416">
      <c r="D416" s="12"/>
    </row>
    <row r="417">
      <c r="D417" s="12"/>
    </row>
    <row r="418">
      <c r="D418" s="12"/>
    </row>
    <row r="419">
      <c r="D419" s="12"/>
    </row>
    <row r="420">
      <c r="D420" s="12"/>
    </row>
    <row r="421">
      <c r="D421" s="12"/>
    </row>
    <row r="422">
      <c r="D422" s="12"/>
    </row>
    <row r="423">
      <c r="D423" s="12"/>
    </row>
    <row r="424">
      <c r="D424" s="12"/>
    </row>
    <row r="425">
      <c r="D425" s="12"/>
    </row>
    <row r="426">
      <c r="D426" s="12"/>
    </row>
    <row r="427">
      <c r="D427" s="12"/>
    </row>
    <row r="428">
      <c r="D428" s="12"/>
    </row>
    <row r="429">
      <c r="D429" s="12"/>
    </row>
    <row r="430">
      <c r="D430" s="12"/>
    </row>
    <row r="431">
      <c r="D431" s="12"/>
    </row>
    <row r="432">
      <c r="D432" s="12"/>
    </row>
    <row r="433">
      <c r="D433" s="12"/>
    </row>
    <row r="434">
      <c r="D434" s="12"/>
    </row>
    <row r="435">
      <c r="D435" s="12"/>
    </row>
    <row r="436">
      <c r="D436" s="12"/>
    </row>
    <row r="437">
      <c r="D437" s="12"/>
    </row>
    <row r="438">
      <c r="D438" s="12"/>
    </row>
    <row r="439">
      <c r="D439" s="12"/>
    </row>
    <row r="440">
      <c r="D440" s="12"/>
    </row>
    <row r="441">
      <c r="D441" s="12"/>
    </row>
    <row r="442">
      <c r="D442" s="12"/>
    </row>
    <row r="443">
      <c r="D443" s="12"/>
    </row>
    <row r="444">
      <c r="D444" s="12"/>
    </row>
    <row r="445">
      <c r="D445" s="12"/>
    </row>
    <row r="446">
      <c r="D446" s="12"/>
    </row>
    <row r="447">
      <c r="D447" s="12"/>
    </row>
    <row r="448">
      <c r="D448" s="12"/>
    </row>
    <row r="449">
      <c r="D449" s="12"/>
    </row>
    <row r="450">
      <c r="D450" s="12"/>
    </row>
    <row r="451">
      <c r="D451" s="12"/>
    </row>
    <row r="452">
      <c r="D452" s="12"/>
    </row>
    <row r="453">
      <c r="D453" s="12"/>
    </row>
    <row r="454">
      <c r="D454" s="12"/>
    </row>
    <row r="455">
      <c r="D455" s="12"/>
    </row>
    <row r="456">
      <c r="D456" s="12"/>
    </row>
    <row r="457">
      <c r="D457" s="12"/>
    </row>
    <row r="458">
      <c r="D458" s="12"/>
    </row>
    <row r="459">
      <c r="D459" s="12"/>
    </row>
    <row r="460">
      <c r="D460" s="12"/>
    </row>
    <row r="461">
      <c r="D461" s="12"/>
    </row>
    <row r="462">
      <c r="D462" s="12"/>
    </row>
    <row r="463">
      <c r="D463" s="12"/>
    </row>
    <row r="464">
      <c r="D464" s="12"/>
    </row>
    <row r="465">
      <c r="D465" s="12"/>
    </row>
    <row r="466">
      <c r="D466" s="12"/>
    </row>
    <row r="467">
      <c r="D467" s="12"/>
    </row>
    <row r="468">
      <c r="D468" s="12"/>
    </row>
    <row r="469">
      <c r="D469" s="12"/>
    </row>
    <row r="470">
      <c r="D470" s="12"/>
    </row>
    <row r="471">
      <c r="D471" s="12"/>
    </row>
    <row r="472">
      <c r="D472" s="12"/>
    </row>
    <row r="473">
      <c r="D473" s="12"/>
    </row>
    <row r="474">
      <c r="D474" s="12"/>
    </row>
    <row r="475">
      <c r="D475" s="12"/>
    </row>
    <row r="476">
      <c r="D476" s="12"/>
    </row>
    <row r="477">
      <c r="D477" s="12"/>
    </row>
    <row r="478">
      <c r="D478" s="12"/>
    </row>
    <row r="479">
      <c r="D479" s="12"/>
    </row>
    <row r="480">
      <c r="D480" s="12"/>
    </row>
    <row r="481">
      <c r="D481" s="12"/>
    </row>
    <row r="482">
      <c r="D482" s="12"/>
    </row>
    <row r="483">
      <c r="D483" s="12"/>
    </row>
    <row r="484">
      <c r="D484" s="12"/>
    </row>
    <row r="485">
      <c r="D485" s="12"/>
    </row>
    <row r="486">
      <c r="D486" s="12"/>
    </row>
    <row r="487">
      <c r="D487" s="12"/>
    </row>
    <row r="488">
      <c r="D488" s="12"/>
    </row>
    <row r="489">
      <c r="D489" s="12"/>
    </row>
    <row r="490">
      <c r="D490" s="12"/>
    </row>
    <row r="491">
      <c r="D491" s="12"/>
    </row>
    <row r="492">
      <c r="D492" s="12"/>
    </row>
    <row r="493">
      <c r="D493" s="12"/>
    </row>
    <row r="494">
      <c r="D494" s="12"/>
    </row>
    <row r="495">
      <c r="D495" s="12"/>
    </row>
    <row r="496">
      <c r="D496" s="12"/>
    </row>
    <row r="497">
      <c r="D497" s="12"/>
    </row>
    <row r="498">
      <c r="D498" s="12"/>
    </row>
    <row r="499">
      <c r="D499" s="12"/>
    </row>
    <row r="500">
      <c r="D500" s="12"/>
    </row>
    <row r="501">
      <c r="D501" s="12"/>
    </row>
    <row r="502">
      <c r="D502" s="12"/>
    </row>
    <row r="503">
      <c r="D503" s="12"/>
    </row>
    <row r="504">
      <c r="D504" s="12"/>
    </row>
    <row r="505">
      <c r="D505" s="12"/>
    </row>
    <row r="506">
      <c r="D506" s="12"/>
    </row>
    <row r="507">
      <c r="D507" s="12"/>
    </row>
    <row r="508">
      <c r="D508" s="12"/>
    </row>
    <row r="509">
      <c r="D509" s="12"/>
    </row>
    <row r="510">
      <c r="D510" s="12"/>
    </row>
    <row r="511">
      <c r="D511" s="12"/>
    </row>
    <row r="512">
      <c r="D512" s="12"/>
    </row>
    <row r="513">
      <c r="D513" s="12"/>
    </row>
    <row r="514">
      <c r="D514" s="12"/>
    </row>
    <row r="515">
      <c r="D515" s="12"/>
    </row>
    <row r="516">
      <c r="D516" s="12"/>
    </row>
    <row r="517">
      <c r="D517" s="12"/>
    </row>
    <row r="518">
      <c r="D518" s="12"/>
    </row>
    <row r="519">
      <c r="D519" s="12"/>
    </row>
    <row r="520">
      <c r="D520" s="12"/>
    </row>
    <row r="521">
      <c r="D521" s="12"/>
    </row>
    <row r="522">
      <c r="D522" s="12"/>
    </row>
    <row r="523">
      <c r="D523" s="12"/>
    </row>
    <row r="524">
      <c r="D524" s="12"/>
    </row>
    <row r="525">
      <c r="D525" s="12"/>
    </row>
    <row r="526">
      <c r="D526" s="12"/>
    </row>
    <row r="527">
      <c r="D527" s="12"/>
    </row>
    <row r="528">
      <c r="D528" s="12"/>
    </row>
    <row r="529">
      <c r="D529" s="12"/>
    </row>
    <row r="530">
      <c r="D530" s="12"/>
    </row>
    <row r="531">
      <c r="D531" s="12"/>
    </row>
    <row r="532">
      <c r="D532" s="12"/>
    </row>
    <row r="533">
      <c r="D533" s="12"/>
    </row>
    <row r="534">
      <c r="D534" s="12"/>
    </row>
    <row r="535">
      <c r="D535" s="12"/>
    </row>
    <row r="536">
      <c r="D536" s="12"/>
    </row>
    <row r="537">
      <c r="D537" s="12"/>
    </row>
    <row r="538">
      <c r="D538" s="12"/>
    </row>
    <row r="539">
      <c r="D539" s="12"/>
    </row>
    <row r="540">
      <c r="D540" s="12"/>
    </row>
    <row r="541">
      <c r="D541" s="12"/>
    </row>
    <row r="542">
      <c r="D542" s="12"/>
    </row>
    <row r="543">
      <c r="D543" s="12"/>
    </row>
    <row r="544">
      <c r="D544" s="12"/>
    </row>
    <row r="545">
      <c r="D545" s="12"/>
    </row>
    <row r="546">
      <c r="D546" s="12"/>
    </row>
    <row r="547">
      <c r="D547" s="12"/>
    </row>
    <row r="548">
      <c r="D548" s="12"/>
    </row>
    <row r="549">
      <c r="D549" s="12"/>
    </row>
    <row r="550">
      <c r="D550" s="12"/>
    </row>
    <row r="551">
      <c r="D551" s="12"/>
    </row>
    <row r="552">
      <c r="D552" s="12"/>
    </row>
    <row r="553">
      <c r="D553" s="12"/>
    </row>
    <row r="554">
      <c r="D554" s="12"/>
    </row>
    <row r="555">
      <c r="D555" s="12"/>
    </row>
    <row r="556">
      <c r="D556" s="12"/>
    </row>
    <row r="557">
      <c r="D557" s="12"/>
    </row>
    <row r="558">
      <c r="D558" s="12"/>
    </row>
    <row r="559">
      <c r="D559" s="12"/>
    </row>
    <row r="560">
      <c r="D560" s="12"/>
    </row>
    <row r="561">
      <c r="D561" s="12"/>
    </row>
    <row r="562">
      <c r="D562" s="12"/>
    </row>
    <row r="563">
      <c r="D563" s="12"/>
    </row>
    <row r="564">
      <c r="D564" s="12"/>
    </row>
    <row r="565">
      <c r="D565" s="12"/>
    </row>
    <row r="566">
      <c r="D566" s="12"/>
    </row>
    <row r="567">
      <c r="D567" s="12"/>
    </row>
    <row r="568">
      <c r="D568" s="12"/>
    </row>
    <row r="569">
      <c r="D569" s="12"/>
    </row>
    <row r="570">
      <c r="D570" s="12"/>
    </row>
    <row r="571">
      <c r="D571" s="12"/>
    </row>
    <row r="572">
      <c r="D572" s="12"/>
    </row>
    <row r="573">
      <c r="D573" s="12"/>
    </row>
    <row r="574">
      <c r="D574" s="12"/>
    </row>
    <row r="575">
      <c r="D575" s="12"/>
    </row>
    <row r="576">
      <c r="D576" s="12"/>
    </row>
    <row r="577">
      <c r="D577" s="12"/>
    </row>
    <row r="578">
      <c r="D578" s="12"/>
    </row>
    <row r="579">
      <c r="D579" s="12"/>
    </row>
    <row r="580">
      <c r="D580" s="12"/>
    </row>
    <row r="581">
      <c r="D581" s="12"/>
    </row>
    <row r="582">
      <c r="D582" s="12"/>
    </row>
    <row r="583">
      <c r="D583" s="12"/>
    </row>
    <row r="584">
      <c r="D584" s="12"/>
    </row>
    <row r="585">
      <c r="D585" s="12"/>
    </row>
    <row r="586">
      <c r="D586" s="12"/>
    </row>
    <row r="587">
      <c r="D587" s="12"/>
    </row>
    <row r="588">
      <c r="D588" s="12"/>
    </row>
    <row r="589">
      <c r="D589" s="12"/>
    </row>
    <row r="590">
      <c r="D590" s="12"/>
    </row>
    <row r="591">
      <c r="D591" s="12"/>
    </row>
    <row r="592">
      <c r="D592" s="12"/>
    </row>
    <row r="593">
      <c r="D593" s="12"/>
    </row>
    <row r="594">
      <c r="D594" s="12"/>
    </row>
    <row r="595">
      <c r="D595" s="12"/>
    </row>
    <row r="596">
      <c r="D596" s="12"/>
    </row>
    <row r="597">
      <c r="D597" s="12"/>
    </row>
    <row r="598">
      <c r="D598" s="12"/>
    </row>
    <row r="599">
      <c r="D599" s="12"/>
    </row>
    <row r="600">
      <c r="D600" s="12"/>
    </row>
    <row r="601">
      <c r="D601" s="12"/>
    </row>
    <row r="602">
      <c r="D602" s="12"/>
    </row>
    <row r="603">
      <c r="D603" s="12"/>
    </row>
    <row r="604">
      <c r="D604" s="12"/>
    </row>
    <row r="605">
      <c r="D605" s="12"/>
    </row>
    <row r="606">
      <c r="D606" s="12"/>
    </row>
    <row r="607">
      <c r="D607" s="12"/>
    </row>
    <row r="608">
      <c r="D608" s="12"/>
    </row>
    <row r="609">
      <c r="D609" s="12"/>
    </row>
    <row r="610">
      <c r="D610" s="12"/>
    </row>
    <row r="611">
      <c r="D611" s="12"/>
    </row>
    <row r="612">
      <c r="D612" s="12"/>
    </row>
    <row r="613">
      <c r="D613" s="12"/>
    </row>
    <row r="614">
      <c r="D614" s="12"/>
    </row>
    <row r="615">
      <c r="D615" s="12"/>
    </row>
    <row r="616">
      <c r="D616" s="12"/>
    </row>
    <row r="617">
      <c r="D617" s="12"/>
    </row>
    <row r="618">
      <c r="D618" s="12"/>
    </row>
    <row r="619">
      <c r="D619" s="12"/>
    </row>
    <row r="620">
      <c r="D620" s="12"/>
    </row>
    <row r="621">
      <c r="D621" s="12"/>
    </row>
    <row r="622">
      <c r="D622" s="12"/>
    </row>
    <row r="623">
      <c r="D623" s="12"/>
    </row>
    <row r="624">
      <c r="D624" s="12"/>
    </row>
    <row r="625">
      <c r="D625" s="12"/>
    </row>
    <row r="626">
      <c r="D626" s="12"/>
    </row>
    <row r="627">
      <c r="D627" s="12"/>
    </row>
    <row r="628">
      <c r="D628" s="12"/>
    </row>
    <row r="629">
      <c r="D629" s="12"/>
    </row>
    <row r="630">
      <c r="D630" s="12"/>
    </row>
    <row r="631">
      <c r="D631" s="12"/>
    </row>
    <row r="632">
      <c r="D632" s="12"/>
    </row>
    <row r="633">
      <c r="D633" s="12"/>
    </row>
    <row r="634">
      <c r="D634" s="12"/>
    </row>
    <row r="635">
      <c r="D635" s="12"/>
    </row>
    <row r="636">
      <c r="D636" s="12"/>
    </row>
    <row r="637">
      <c r="D637" s="12"/>
    </row>
    <row r="638">
      <c r="D638" s="12"/>
    </row>
    <row r="639">
      <c r="D639" s="12"/>
    </row>
    <row r="640">
      <c r="D640" s="12"/>
    </row>
    <row r="641">
      <c r="D641" s="12"/>
    </row>
    <row r="642">
      <c r="D642" s="12"/>
    </row>
    <row r="643">
      <c r="D643" s="12"/>
    </row>
    <row r="644">
      <c r="D644" s="12"/>
    </row>
    <row r="645">
      <c r="D645" s="12"/>
    </row>
    <row r="646">
      <c r="D646" s="12"/>
    </row>
    <row r="647">
      <c r="D647" s="12"/>
    </row>
    <row r="648">
      <c r="D648" s="12"/>
    </row>
    <row r="649">
      <c r="D649" s="12"/>
    </row>
    <row r="650">
      <c r="D650" s="12"/>
    </row>
    <row r="651">
      <c r="D651" s="12"/>
    </row>
    <row r="652">
      <c r="D652" s="12"/>
    </row>
    <row r="653">
      <c r="D653" s="12"/>
    </row>
    <row r="654">
      <c r="D654" s="12"/>
    </row>
    <row r="655">
      <c r="D655" s="12"/>
    </row>
    <row r="656">
      <c r="D656" s="12"/>
    </row>
    <row r="657">
      <c r="D657" s="12"/>
    </row>
    <row r="658">
      <c r="D658" s="12"/>
    </row>
    <row r="659">
      <c r="D659" s="12"/>
    </row>
    <row r="660">
      <c r="D660" s="12"/>
    </row>
    <row r="661">
      <c r="D661" s="12"/>
    </row>
    <row r="662">
      <c r="D662" s="12"/>
    </row>
    <row r="663">
      <c r="D663" s="12"/>
    </row>
    <row r="664">
      <c r="D664" s="12"/>
    </row>
    <row r="665">
      <c r="D665" s="12"/>
    </row>
    <row r="666">
      <c r="D666" s="12"/>
    </row>
    <row r="667">
      <c r="D667" s="12"/>
    </row>
    <row r="668">
      <c r="D668" s="12"/>
    </row>
    <row r="669">
      <c r="D669" s="12"/>
    </row>
    <row r="670">
      <c r="D670" s="12"/>
    </row>
    <row r="671">
      <c r="D671" s="12"/>
    </row>
    <row r="672">
      <c r="D672" s="12"/>
    </row>
    <row r="673">
      <c r="D673" s="12"/>
    </row>
    <row r="674">
      <c r="D674" s="12"/>
    </row>
    <row r="675">
      <c r="D675" s="12"/>
    </row>
    <row r="676">
      <c r="D676" s="12"/>
    </row>
    <row r="677">
      <c r="D677" s="12"/>
    </row>
    <row r="678">
      <c r="D678" s="12"/>
    </row>
    <row r="679">
      <c r="D679" s="12"/>
    </row>
    <row r="680">
      <c r="D680" s="12"/>
    </row>
    <row r="681">
      <c r="D681" s="12"/>
    </row>
    <row r="682">
      <c r="D682" s="12"/>
    </row>
    <row r="683">
      <c r="D683" s="12"/>
    </row>
    <row r="684">
      <c r="D684" s="12"/>
    </row>
    <row r="685">
      <c r="D685" s="12"/>
    </row>
    <row r="686">
      <c r="D686" s="12"/>
    </row>
    <row r="687">
      <c r="D687" s="12"/>
    </row>
    <row r="688">
      <c r="D688" s="12"/>
    </row>
    <row r="689">
      <c r="D689" s="12"/>
    </row>
    <row r="690">
      <c r="D690" s="12"/>
    </row>
    <row r="691">
      <c r="D691" s="12"/>
    </row>
    <row r="692">
      <c r="D692" s="12"/>
    </row>
    <row r="693">
      <c r="D693" s="12"/>
    </row>
    <row r="694">
      <c r="D694" s="12"/>
    </row>
    <row r="695">
      <c r="D695" s="12"/>
    </row>
    <row r="696">
      <c r="D696" s="12"/>
    </row>
    <row r="697">
      <c r="D697" s="12"/>
    </row>
    <row r="698">
      <c r="D698" s="12"/>
    </row>
    <row r="699">
      <c r="D699" s="12"/>
    </row>
    <row r="700">
      <c r="D700" s="12"/>
    </row>
    <row r="701">
      <c r="D701" s="12"/>
    </row>
    <row r="702">
      <c r="D702" s="12"/>
    </row>
    <row r="703">
      <c r="D703" s="12"/>
    </row>
    <row r="704">
      <c r="D704" s="12"/>
    </row>
    <row r="705">
      <c r="D705" s="12"/>
    </row>
    <row r="706">
      <c r="D706" s="12"/>
    </row>
    <row r="707">
      <c r="D707" s="12"/>
    </row>
    <row r="708">
      <c r="D708" s="12"/>
    </row>
    <row r="709">
      <c r="D709" s="12"/>
    </row>
    <row r="710">
      <c r="D710" s="12"/>
    </row>
    <row r="711">
      <c r="D711" s="12"/>
    </row>
    <row r="712">
      <c r="D712" s="12"/>
    </row>
    <row r="713">
      <c r="D713" s="12"/>
    </row>
    <row r="714">
      <c r="D714" s="12"/>
    </row>
    <row r="715">
      <c r="D715" s="12"/>
    </row>
    <row r="716">
      <c r="D716" s="12"/>
    </row>
    <row r="717">
      <c r="D717" s="12"/>
    </row>
    <row r="718">
      <c r="D718" s="12"/>
    </row>
    <row r="719">
      <c r="D719" s="12"/>
    </row>
    <row r="720">
      <c r="D720" s="12"/>
    </row>
    <row r="721">
      <c r="D721" s="12"/>
    </row>
    <row r="722">
      <c r="D722" s="12"/>
    </row>
    <row r="723">
      <c r="D723" s="12"/>
    </row>
    <row r="724">
      <c r="D724" s="12"/>
    </row>
    <row r="725">
      <c r="D725" s="12"/>
    </row>
    <row r="726">
      <c r="D726" s="12"/>
    </row>
    <row r="727">
      <c r="D727" s="12"/>
    </row>
    <row r="728">
      <c r="D728" s="12"/>
    </row>
    <row r="729">
      <c r="D729" s="12"/>
    </row>
    <row r="730">
      <c r="D730" s="12"/>
    </row>
    <row r="731">
      <c r="D731" s="12"/>
    </row>
    <row r="732">
      <c r="D732" s="12"/>
    </row>
    <row r="733">
      <c r="D733" s="12"/>
    </row>
    <row r="734">
      <c r="D734" s="12"/>
    </row>
    <row r="735">
      <c r="D735" s="12"/>
    </row>
    <row r="736">
      <c r="D736" s="12"/>
    </row>
    <row r="737">
      <c r="D737" s="12"/>
    </row>
    <row r="738">
      <c r="D738" s="12"/>
    </row>
    <row r="739">
      <c r="D739" s="12"/>
    </row>
    <row r="740">
      <c r="D740" s="12"/>
    </row>
    <row r="741">
      <c r="D741" s="12"/>
    </row>
    <row r="742">
      <c r="D742" s="12"/>
    </row>
    <row r="743">
      <c r="D743" s="12"/>
    </row>
    <row r="744">
      <c r="D744" s="12"/>
    </row>
    <row r="745">
      <c r="D745" s="12"/>
    </row>
    <row r="746">
      <c r="D746" s="12"/>
    </row>
    <row r="747">
      <c r="D747" s="12"/>
    </row>
    <row r="748">
      <c r="D748" s="12"/>
    </row>
    <row r="749">
      <c r="D749" s="12"/>
    </row>
    <row r="750">
      <c r="D750" s="12"/>
    </row>
    <row r="751">
      <c r="D751" s="12"/>
    </row>
    <row r="752">
      <c r="D752" s="12"/>
    </row>
    <row r="753">
      <c r="D753" s="12"/>
    </row>
    <row r="754">
      <c r="D754" s="12"/>
    </row>
    <row r="755">
      <c r="D755" s="12"/>
    </row>
    <row r="756">
      <c r="D756" s="12"/>
    </row>
    <row r="757">
      <c r="D757" s="12"/>
    </row>
    <row r="758">
      <c r="D758" s="12"/>
    </row>
    <row r="759">
      <c r="D759" s="12"/>
    </row>
    <row r="760">
      <c r="D760" s="12"/>
    </row>
    <row r="761">
      <c r="D761" s="12"/>
    </row>
    <row r="762">
      <c r="D762" s="12"/>
    </row>
    <row r="763">
      <c r="D763" s="12"/>
    </row>
    <row r="764">
      <c r="D764" s="12"/>
    </row>
    <row r="765">
      <c r="D765" s="12"/>
    </row>
    <row r="766">
      <c r="D766" s="12"/>
    </row>
    <row r="767">
      <c r="D767" s="12"/>
    </row>
    <row r="768">
      <c r="D768" s="12"/>
    </row>
    <row r="769">
      <c r="D769" s="12"/>
    </row>
    <row r="770">
      <c r="D770" s="12"/>
    </row>
    <row r="771">
      <c r="D771" s="12"/>
    </row>
    <row r="772">
      <c r="D772" s="12"/>
    </row>
    <row r="773">
      <c r="D773" s="12"/>
    </row>
    <row r="774">
      <c r="D774" s="12"/>
    </row>
    <row r="775">
      <c r="D775" s="12"/>
    </row>
    <row r="776">
      <c r="D776" s="12"/>
    </row>
    <row r="777">
      <c r="D777" s="12"/>
    </row>
    <row r="778">
      <c r="D778" s="12"/>
    </row>
    <row r="779">
      <c r="D779" s="12"/>
    </row>
    <row r="780">
      <c r="D780" s="12"/>
    </row>
    <row r="781">
      <c r="D781" s="12"/>
    </row>
    <row r="782">
      <c r="D782" s="12"/>
    </row>
    <row r="783">
      <c r="D783" s="12"/>
    </row>
    <row r="784">
      <c r="D784" s="12"/>
    </row>
    <row r="785">
      <c r="D785" s="12"/>
    </row>
    <row r="786">
      <c r="D786" s="12"/>
    </row>
    <row r="787">
      <c r="D787" s="12"/>
    </row>
    <row r="788">
      <c r="D788" s="12"/>
    </row>
    <row r="789">
      <c r="D789" s="12"/>
    </row>
    <row r="790">
      <c r="D790" s="12"/>
    </row>
    <row r="791">
      <c r="D791" s="12"/>
    </row>
    <row r="792">
      <c r="D792" s="12"/>
    </row>
    <row r="793">
      <c r="D793" s="12"/>
    </row>
    <row r="794">
      <c r="D794" s="12"/>
    </row>
    <row r="795">
      <c r="D795" s="12"/>
    </row>
    <row r="796">
      <c r="D796" s="12"/>
    </row>
    <row r="797">
      <c r="D797" s="12"/>
    </row>
    <row r="798">
      <c r="D798" s="12"/>
    </row>
    <row r="799">
      <c r="D799" s="12"/>
    </row>
    <row r="800">
      <c r="D800" s="12"/>
    </row>
    <row r="801">
      <c r="D801" s="12"/>
    </row>
    <row r="802">
      <c r="D802" s="12"/>
    </row>
    <row r="803">
      <c r="D803" s="12"/>
    </row>
    <row r="804">
      <c r="D804" s="12"/>
    </row>
    <row r="805">
      <c r="D805" s="12"/>
    </row>
    <row r="806">
      <c r="D806" s="12"/>
    </row>
    <row r="807">
      <c r="D807" s="12"/>
    </row>
    <row r="808">
      <c r="D808" s="12"/>
    </row>
    <row r="809">
      <c r="D809" s="12"/>
    </row>
    <row r="810">
      <c r="D810" s="12"/>
    </row>
    <row r="811">
      <c r="D811" s="12"/>
    </row>
    <row r="812">
      <c r="D812" s="12"/>
    </row>
    <row r="813">
      <c r="D813" s="12"/>
    </row>
    <row r="814">
      <c r="D814" s="12"/>
    </row>
    <row r="815">
      <c r="D815" s="12"/>
    </row>
    <row r="816">
      <c r="D816" s="12"/>
    </row>
    <row r="817">
      <c r="D817" s="12"/>
    </row>
    <row r="818">
      <c r="D818" s="12"/>
    </row>
    <row r="819">
      <c r="D819" s="12"/>
    </row>
    <row r="820">
      <c r="D820" s="12"/>
    </row>
    <row r="821">
      <c r="D821" s="12"/>
    </row>
    <row r="822">
      <c r="D822" s="12"/>
    </row>
    <row r="823">
      <c r="D823" s="12"/>
    </row>
    <row r="824">
      <c r="D824" s="12"/>
    </row>
    <row r="825">
      <c r="D825" s="12"/>
    </row>
    <row r="826">
      <c r="D826" s="12"/>
    </row>
    <row r="827">
      <c r="D827" s="12"/>
    </row>
    <row r="828">
      <c r="D828" s="12"/>
    </row>
    <row r="829">
      <c r="D829" s="12"/>
    </row>
    <row r="830">
      <c r="D830" s="12"/>
    </row>
    <row r="831">
      <c r="D831" s="12"/>
    </row>
    <row r="832">
      <c r="D832" s="12"/>
    </row>
    <row r="833">
      <c r="D833" s="12"/>
    </row>
    <row r="834">
      <c r="D834" s="12"/>
    </row>
    <row r="835">
      <c r="D835" s="12"/>
    </row>
    <row r="836">
      <c r="D836" s="12"/>
    </row>
    <row r="837">
      <c r="D837" s="12"/>
    </row>
    <row r="838">
      <c r="D838" s="12"/>
    </row>
    <row r="839">
      <c r="D839" s="12"/>
    </row>
    <row r="840">
      <c r="D840" s="12"/>
    </row>
    <row r="841">
      <c r="D841" s="12"/>
    </row>
    <row r="842">
      <c r="D842" s="12"/>
    </row>
    <row r="843">
      <c r="D843" s="12"/>
    </row>
    <row r="844">
      <c r="D844" s="12"/>
    </row>
    <row r="845">
      <c r="D845" s="12"/>
    </row>
    <row r="846">
      <c r="D846" s="12"/>
    </row>
    <row r="847">
      <c r="D847" s="12"/>
    </row>
    <row r="848">
      <c r="D848" s="12"/>
    </row>
    <row r="849">
      <c r="D849" s="12"/>
    </row>
    <row r="850">
      <c r="D850" s="12"/>
    </row>
    <row r="851">
      <c r="D851" s="12"/>
    </row>
    <row r="852">
      <c r="D852" s="12"/>
    </row>
    <row r="853">
      <c r="D853" s="12"/>
    </row>
    <row r="854">
      <c r="D854" s="12"/>
    </row>
    <row r="855">
      <c r="D855" s="12"/>
    </row>
    <row r="856">
      <c r="D856" s="12"/>
    </row>
    <row r="857">
      <c r="D857" s="12"/>
    </row>
    <row r="858">
      <c r="D858" s="12"/>
    </row>
    <row r="859">
      <c r="D859" s="12"/>
    </row>
    <row r="860">
      <c r="D860" s="12"/>
    </row>
    <row r="861">
      <c r="D861" s="12"/>
    </row>
    <row r="862">
      <c r="D862" s="12"/>
    </row>
    <row r="863">
      <c r="D863" s="12"/>
    </row>
    <row r="864">
      <c r="D864" s="12"/>
    </row>
    <row r="865">
      <c r="D865" s="12"/>
    </row>
    <row r="866">
      <c r="D866" s="12"/>
    </row>
    <row r="867">
      <c r="D867" s="12"/>
    </row>
    <row r="868">
      <c r="D868" s="12"/>
    </row>
    <row r="869">
      <c r="D869" s="12"/>
    </row>
    <row r="870">
      <c r="D870" s="12"/>
    </row>
    <row r="871">
      <c r="D871" s="12"/>
    </row>
    <row r="872">
      <c r="D872" s="12"/>
    </row>
    <row r="873">
      <c r="D873" s="12"/>
    </row>
    <row r="874">
      <c r="D874" s="12"/>
    </row>
    <row r="875">
      <c r="D875" s="12"/>
    </row>
    <row r="876">
      <c r="D876" s="12"/>
    </row>
    <row r="877">
      <c r="D877" s="12"/>
    </row>
    <row r="878">
      <c r="D878" s="12"/>
    </row>
    <row r="879">
      <c r="D879" s="12"/>
    </row>
    <row r="880">
      <c r="D880" s="12"/>
    </row>
    <row r="881">
      <c r="D881" s="12"/>
    </row>
    <row r="882">
      <c r="D882" s="12"/>
    </row>
    <row r="883">
      <c r="D883" s="12"/>
    </row>
    <row r="884">
      <c r="D884" s="12"/>
    </row>
    <row r="885">
      <c r="D885" s="12"/>
    </row>
    <row r="886">
      <c r="D886" s="12"/>
    </row>
    <row r="887">
      <c r="D887" s="12"/>
    </row>
    <row r="888">
      <c r="D888" s="12"/>
    </row>
    <row r="889">
      <c r="D889" s="12"/>
    </row>
    <row r="890">
      <c r="D890" s="12"/>
    </row>
    <row r="891">
      <c r="D891" s="12"/>
    </row>
    <row r="892">
      <c r="D892" s="12"/>
    </row>
    <row r="893">
      <c r="D893" s="12"/>
    </row>
    <row r="894">
      <c r="D894" s="12"/>
    </row>
    <row r="895">
      <c r="D895" s="12"/>
    </row>
    <row r="896">
      <c r="D896" s="12"/>
    </row>
    <row r="897">
      <c r="D897" s="12"/>
    </row>
    <row r="898">
      <c r="D898" s="12"/>
    </row>
    <row r="899">
      <c r="D899" s="12"/>
    </row>
    <row r="900">
      <c r="D900" s="12"/>
    </row>
    <row r="901">
      <c r="D901" s="12"/>
    </row>
    <row r="902">
      <c r="D902" s="12"/>
    </row>
    <row r="903">
      <c r="D903" s="12"/>
    </row>
    <row r="904">
      <c r="D904" s="12"/>
    </row>
    <row r="905">
      <c r="D905" s="12"/>
    </row>
    <row r="906">
      <c r="D906" s="12"/>
    </row>
    <row r="907">
      <c r="D907" s="12"/>
    </row>
    <row r="908">
      <c r="D908" s="12"/>
    </row>
    <row r="909">
      <c r="D909" s="12"/>
    </row>
    <row r="910">
      <c r="D910" s="12"/>
    </row>
    <row r="911">
      <c r="D911" s="12"/>
    </row>
    <row r="912">
      <c r="D912" s="12"/>
    </row>
    <row r="913">
      <c r="D913" s="12"/>
    </row>
    <row r="914">
      <c r="D914" s="12"/>
    </row>
    <row r="915">
      <c r="D915" s="12"/>
    </row>
    <row r="916">
      <c r="D916" s="12"/>
    </row>
    <row r="917">
      <c r="D917" s="12"/>
    </row>
    <row r="918">
      <c r="D918" s="12"/>
    </row>
    <row r="919">
      <c r="D919" s="12"/>
    </row>
    <row r="920">
      <c r="D920" s="12"/>
    </row>
    <row r="921">
      <c r="D921" s="12"/>
    </row>
    <row r="922">
      <c r="D922" s="12"/>
    </row>
    <row r="923">
      <c r="D923" s="12"/>
    </row>
    <row r="924">
      <c r="D924" s="12"/>
    </row>
    <row r="925">
      <c r="D925" s="12"/>
    </row>
    <row r="926">
      <c r="D926" s="12"/>
    </row>
    <row r="927">
      <c r="D927" s="12"/>
    </row>
    <row r="928">
      <c r="D928" s="12"/>
    </row>
    <row r="929">
      <c r="D929" s="12"/>
    </row>
    <row r="930">
      <c r="D930" s="12"/>
    </row>
    <row r="931">
      <c r="D931" s="12"/>
    </row>
    <row r="932">
      <c r="D932" s="12"/>
    </row>
    <row r="933">
      <c r="D933" s="12"/>
    </row>
    <row r="934">
      <c r="D934" s="12"/>
    </row>
    <row r="935">
      <c r="D935" s="12"/>
    </row>
    <row r="936">
      <c r="D936" s="12"/>
    </row>
    <row r="937">
      <c r="D937" s="12"/>
    </row>
    <row r="938">
      <c r="D938" s="12"/>
    </row>
    <row r="939">
      <c r="D939" s="12"/>
    </row>
    <row r="940">
      <c r="D940" s="12"/>
    </row>
    <row r="941">
      <c r="D941" s="12"/>
    </row>
    <row r="942">
      <c r="D942" s="12"/>
    </row>
    <row r="943">
      <c r="D943" s="12"/>
    </row>
    <row r="944">
      <c r="D944" s="12"/>
    </row>
    <row r="945">
      <c r="D945" s="12"/>
    </row>
    <row r="946">
      <c r="D946" s="12"/>
    </row>
    <row r="947">
      <c r="D947" s="12"/>
    </row>
    <row r="948">
      <c r="D948" s="12"/>
    </row>
    <row r="949">
      <c r="D949" s="12"/>
    </row>
    <row r="950">
      <c r="D950" s="12"/>
    </row>
    <row r="951">
      <c r="D951" s="12"/>
    </row>
    <row r="952">
      <c r="D952" s="12"/>
    </row>
    <row r="953">
      <c r="D953" s="12"/>
    </row>
    <row r="954">
      <c r="D954" s="12"/>
    </row>
    <row r="955">
      <c r="D955" s="12"/>
    </row>
    <row r="956">
      <c r="D956" s="12"/>
    </row>
    <row r="957">
      <c r="D957" s="12"/>
    </row>
    <row r="958">
      <c r="D958" s="12"/>
    </row>
    <row r="959">
      <c r="D959" s="12"/>
    </row>
    <row r="960">
      <c r="D960" s="12"/>
    </row>
    <row r="961">
      <c r="D961" s="12"/>
    </row>
    <row r="962">
      <c r="D962" s="12"/>
    </row>
    <row r="963">
      <c r="D963" s="12"/>
    </row>
    <row r="964">
      <c r="D964" s="12"/>
    </row>
    <row r="965">
      <c r="D965" s="12"/>
    </row>
    <row r="966">
      <c r="D966" s="12"/>
    </row>
    <row r="967">
      <c r="D967" s="12"/>
    </row>
    <row r="968">
      <c r="D968" s="12"/>
    </row>
    <row r="969">
      <c r="D969" s="12"/>
    </row>
    <row r="970">
      <c r="D970" s="12"/>
    </row>
    <row r="971">
      <c r="D971" s="12"/>
    </row>
    <row r="972">
      <c r="D972" s="12"/>
    </row>
    <row r="973">
      <c r="D973" s="12"/>
    </row>
    <row r="974">
      <c r="D974" s="12"/>
    </row>
    <row r="975">
      <c r="D975" s="12"/>
    </row>
    <row r="976">
      <c r="D976" s="12"/>
    </row>
    <row r="977">
      <c r="D977" s="12"/>
    </row>
    <row r="978">
      <c r="D978" s="12"/>
    </row>
    <row r="979">
      <c r="D979" s="12"/>
    </row>
    <row r="980">
      <c r="D980" s="12"/>
    </row>
    <row r="981">
      <c r="D981" s="12"/>
    </row>
    <row r="982">
      <c r="D982" s="12"/>
    </row>
    <row r="983">
      <c r="D983" s="12"/>
    </row>
    <row r="984">
      <c r="D984" s="12"/>
    </row>
    <row r="985">
      <c r="D985" s="12"/>
    </row>
    <row r="986">
      <c r="D986" s="12"/>
    </row>
    <row r="987">
      <c r="D987" s="12"/>
    </row>
    <row r="988">
      <c r="D988" s="12"/>
    </row>
    <row r="989">
      <c r="D989" s="12"/>
    </row>
    <row r="990">
      <c r="D990" s="12"/>
    </row>
    <row r="991">
      <c r="D991" s="12"/>
    </row>
    <row r="992">
      <c r="D992" s="12"/>
    </row>
    <row r="993">
      <c r="D993" s="12"/>
    </row>
    <row r="994">
      <c r="D994" s="12"/>
    </row>
    <row r="995">
      <c r="D995" s="12"/>
    </row>
    <row r="996">
      <c r="D996" s="12"/>
    </row>
    <row r="997">
      <c r="D997" s="12"/>
    </row>
    <row r="998">
      <c r="D998" s="12"/>
    </row>
    <row r="999">
      <c r="D999" s="12"/>
    </row>
    <row r="1000">
      <c r="D1000" s="1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outlineLevelRow="1"/>
  <cols>
    <col customWidth="1" min="1" max="1" width="8.43"/>
    <col customWidth="1" min="2" max="2" width="28.71"/>
    <col customWidth="1" min="3" max="3" width="18.29"/>
    <col customWidth="1" min="4" max="4" width="21.86"/>
    <col customWidth="1" min="5" max="8" width="27.0"/>
    <col customWidth="1" min="9" max="10" width="8.43"/>
    <col customWidth="1" min="11" max="26" width="27.0"/>
  </cols>
  <sheetData>
    <row r="1">
      <c r="A1" s="375" t="s">
        <v>1243</v>
      </c>
      <c r="B1" s="375" t="s">
        <v>1244</v>
      </c>
      <c r="C1" s="376" t="s">
        <v>1245</v>
      </c>
      <c r="D1" s="375" t="s">
        <v>1246</v>
      </c>
      <c r="I1" s="377" t="s">
        <v>1247</v>
      </c>
      <c r="J1" s="378" t="s">
        <v>1248</v>
      </c>
      <c r="K1" s="43"/>
      <c r="L1" s="43"/>
      <c r="M1" s="43"/>
      <c r="N1" s="43"/>
      <c r="O1" s="43"/>
      <c r="P1" s="43"/>
      <c r="Q1" s="43"/>
      <c r="R1" s="43"/>
      <c r="S1" s="43"/>
      <c r="T1" s="43"/>
      <c r="U1" s="43"/>
      <c r="V1" s="43"/>
      <c r="W1" s="43"/>
      <c r="X1" s="43"/>
      <c r="Y1" s="43"/>
      <c r="Z1" s="43"/>
    </row>
    <row r="2">
      <c r="D2" s="379" t="s">
        <v>1249</v>
      </c>
      <c r="E2" s="380" t="s">
        <v>1250</v>
      </c>
      <c r="K2" s="43"/>
      <c r="L2" s="43"/>
      <c r="M2" s="43"/>
      <c r="N2" s="43"/>
      <c r="O2" s="43"/>
      <c r="P2" s="43"/>
      <c r="Q2" s="43"/>
      <c r="R2" s="43"/>
      <c r="S2" s="43"/>
      <c r="T2" s="43"/>
      <c r="U2" s="43"/>
      <c r="V2" s="43"/>
      <c r="W2" s="43"/>
      <c r="X2" s="43"/>
      <c r="Y2" s="43"/>
      <c r="Z2" s="43"/>
    </row>
    <row r="3">
      <c r="E3" s="380" t="s">
        <v>1251</v>
      </c>
      <c r="F3" s="380" t="s">
        <v>1252</v>
      </c>
      <c r="G3" s="380" t="s">
        <v>1253</v>
      </c>
      <c r="H3" s="380" t="s">
        <v>1254</v>
      </c>
      <c r="I3" s="381" t="str">
        <f>A3&amp;"_"&amp;B3</f>
        <v>_</v>
      </c>
      <c r="J3" s="382"/>
      <c r="K3" s="43"/>
      <c r="L3" s="43"/>
      <c r="M3" s="43"/>
      <c r="N3" s="43"/>
      <c r="O3" s="43"/>
      <c r="P3" s="43"/>
      <c r="Q3" s="43"/>
      <c r="R3" s="43"/>
      <c r="S3" s="43"/>
      <c r="T3" s="43"/>
      <c r="U3" s="43"/>
      <c r="V3" s="43"/>
      <c r="W3" s="43"/>
      <c r="X3" s="43"/>
      <c r="Y3" s="43"/>
      <c r="Z3" s="43"/>
    </row>
    <row r="4">
      <c r="A4" s="383" t="s">
        <v>1255</v>
      </c>
      <c r="B4" s="383" t="s">
        <v>1255</v>
      </c>
      <c r="C4" s="384" t="s">
        <v>1255</v>
      </c>
      <c r="D4" s="383" t="s">
        <v>1255</v>
      </c>
      <c r="E4" s="385" t="s">
        <v>1255</v>
      </c>
      <c r="F4" s="385" t="s">
        <v>1255</v>
      </c>
      <c r="G4" s="385" t="s">
        <v>1255</v>
      </c>
      <c r="H4" s="385" t="s">
        <v>1255</v>
      </c>
      <c r="I4" s="383" t="s">
        <v>1256</v>
      </c>
      <c r="J4" s="383" t="s">
        <v>1256</v>
      </c>
      <c r="K4" s="386"/>
      <c r="L4" s="386"/>
      <c r="M4" s="386"/>
      <c r="N4" s="386"/>
      <c r="O4" s="386"/>
      <c r="P4" s="386"/>
      <c r="Q4" s="386"/>
      <c r="R4" s="386"/>
      <c r="S4" s="386"/>
      <c r="T4" s="386"/>
      <c r="U4" s="386"/>
      <c r="V4" s="386"/>
      <c r="W4" s="386"/>
      <c r="X4" s="386"/>
      <c r="Y4" s="386"/>
      <c r="Z4" s="386"/>
    </row>
    <row r="5" ht="15.75" customHeight="1" outlineLevel="1">
      <c r="A5" s="387"/>
      <c r="C5" s="388"/>
      <c r="D5" s="389"/>
      <c r="E5" s="390"/>
      <c r="F5" s="390"/>
      <c r="G5" s="390"/>
      <c r="H5" s="390"/>
      <c r="I5" s="391">
        <f>counta(A6:A13)</f>
        <v>8</v>
      </c>
      <c r="J5" s="389"/>
      <c r="K5" s="361"/>
      <c r="L5" s="361"/>
      <c r="M5" s="361"/>
      <c r="N5" s="361"/>
      <c r="O5" s="361"/>
      <c r="P5" s="361"/>
      <c r="Q5" s="361"/>
      <c r="R5" s="361"/>
      <c r="S5" s="361"/>
      <c r="T5" s="361"/>
      <c r="U5" s="361"/>
      <c r="V5" s="361"/>
      <c r="W5" s="361"/>
      <c r="X5" s="361"/>
      <c r="Y5" s="361"/>
      <c r="Z5" s="361"/>
    </row>
    <row r="6" ht="30.75" customHeight="1" outlineLevel="1">
      <c r="A6" s="392">
        <v>193633.0</v>
      </c>
      <c r="B6" s="393" t="s">
        <v>438</v>
      </c>
      <c r="C6" s="394">
        <v>45635.0</v>
      </c>
      <c r="D6" s="395" t="s">
        <v>849</v>
      </c>
      <c r="E6" s="396" t="s">
        <v>1257</v>
      </c>
      <c r="F6" s="396" t="s">
        <v>1258</v>
      </c>
      <c r="G6" s="396" t="s">
        <v>1259</v>
      </c>
      <c r="H6" s="396"/>
      <c r="I6" s="397"/>
      <c r="J6" s="392">
        <f t="shared" ref="J6:J13" si="1">countif(A$6:A6,A6)</f>
        <v>1</v>
      </c>
      <c r="K6" s="361"/>
      <c r="L6" s="398">
        <v>173239.0</v>
      </c>
      <c r="M6" s="398" t="s">
        <v>1260</v>
      </c>
      <c r="N6" s="361"/>
      <c r="O6" s="361"/>
      <c r="P6" s="361"/>
      <c r="Q6" s="361"/>
      <c r="R6" s="361"/>
      <c r="S6" s="361"/>
      <c r="T6" s="361"/>
      <c r="U6" s="361"/>
      <c r="V6" s="361"/>
      <c r="W6" s="361"/>
      <c r="X6" s="361"/>
      <c r="Y6" s="361"/>
      <c r="Z6" s="361"/>
    </row>
    <row r="7" ht="39.0" customHeight="1" outlineLevel="1">
      <c r="A7" s="399">
        <v>193443.0</v>
      </c>
      <c r="B7" s="400" t="s">
        <v>1261</v>
      </c>
      <c r="C7" s="394">
        <v>45635.0</v>
      </c>
      <c r="D7" s="401" t="s">
        <v>849</v>
      </c>
      <c r="E7" s="402" t="s">
        <v>1262</v>
      </c>
      <c r="F7" s="402" t="s">
        <v>1258</v>
      </c>
      <c r="G7" s="402" t="s">
        <v>1263</v>
      </c>
      <c r="H7" s="402" t="s">
        <v>1264</v>
      </c>
      <c r="I7" s="403"/>
      <c r="J7" s="392">
        <f t="shared" si="1"/>
        <v>1</v>
      </c>
      <c r="K7" s="361"/>
      <c r="L7" s="398">
        <v>173272.0</v>
      </c>
      <c r="M7" s="398" t="s">
        <v>753</v>
      </c>
      <c r="N7" s="361"/>
      <c r="O7" s="361"/>
      <c r="P7" s="361"/>
      <c r="Q7" s="361"/>
      <c r="R7" s="361"/>
      <c r="S7" s="361"/>
      <c r="T7" s="361"/>
      <c r="U7" s="361"/>
      <c r="V7" s="361"/>
      <c r="W7" s="361"/>
      <c r="X7" s="361"/>
      <c r="Y7" s="361"/>
      <c r="Z7" s="361"/>
    </row>
    <row r="8" ht="45.0" customHeight="1" outlineLevel="1">
      <c r="A8" s="399">
        <v>213828.0</v>
      </c>
      <c r="B8" s="400" t="s">
        <v>1265</v>
      </c>
      <c r="C8" s="394">
        <v>45635.0</v>
      </c>
      <c r="D8" s="401" t="s">
        <v>858</v>
      </c>
      <c r="E8" s="402" t="s">
        <v>1266</v>
      </c>
      <c r="F8" s="402" t="s">
        <v>1267</v>
      </c>
      <c r="G8" s="402" t="s">
        <v>1268</v>
      </c>
      <c r="H8" s="402" t="s">
        <v>1269</v>
      </c>
      <c r="I8" s="403"/>
      <c r="J8" s="392">
        <f t="shared" si="1"/>
        <v>1</v>
      </c>
      <c r="K8" s="361"/>
      <c r="L8" s="398">
        <v>183421.0</v>
      </c>
      <c r="M8" s="398" t="s">
        <v>268</v>
      </c>
      <c r="N8" s="361"/>
      <c r="O8" s="361"/>
      <c r="P8" s="361"/>
      <c r="Q8" s="361"/>
      <c r="R8" s="361"/>
      <c r="S8" s="361"/>
      <c r="T8" s="361"/>
      <c r="U8" s="361"/>
      <c r="V8" s="361"/>
      <c r="W8" s="361"/>
      <c r="X8" s="361"/>
      <c r="Y8" s="361"/>
      <c r="Z8" s="361"/>
    </row>
    <row r="9" ht="51.0" customHeight="1" outlineLevel="1">
      <c r="A9" s="399">
        <v>213820.0</v>
      </c>
      <c r="B9" s="400" t="s">
        <v>1270</v>
      </c>
      <c r="C9" s="394">
        <v>45635.0</v>
      </c>
      <c r="D9" s="401" t="s">
        <v>849</v>
      </c>
      <c r="E9" s="402" t="s">
        <v>1271</v>
      </c>
      <c r="F9" s="402" t="s">
        <v>1272</v>
      </c>
      <c r="G9" s="402" t="s">
        <v>1273</v>
      </c>
      <c r="H9" s="402" t="s">
        <v>1274</v>
      </c>
      <c r="I9" s="403"/>
      <c r="J9" s="392">
        <f t="shared" si="1"/>
        <v>1</v>
      </c>
      <c r="K9" s="361"/>
      <c r="L9" s="398">
        <v>193548.0</v>
      </c>
      <c r="M9" s="398" t="s">
        <v>271</v>
      </c>
      <c r="N9" s="361"/>
      <c r="O9" s="361"/>
      <c r="P9" s="361"/>
      <c r="Q9" s="361"/>
      <c r="R9" s="361"/>
      <c r="S9" s="361"/>
      <c r="T9" s="361"/>
      <c r="U9" s="361"/>
      <c r="V9" s="361"/>
      <c r="W9" s="361"/>
      <c r="X9" s="361"/>
      <c r="Y9" s="361"/>
      <c r="Z9" s="361"/>
    </row>
    <row r="10" ht="30.75" customHeight="1" outlineLevel="1">
      <c r="A10" s="399">
        <v>193451.0</v>
      </c>
      <c r="B10" s="400" t="s">
        <v>1275</v>
      </c>
      <c r="C10" s="394">
        <v>45635.0</v>
      </c>
      <c r="D10" s="401" t="s">
        <v>849</v>
      </c>
      <c r="E10" s="402" t="s">
        <v>1276</v>
      </c>
      <c r="F10" s="402" t="s">
        <v>1277</v>
      </c>
      <c r="G10" s="402" t="s">
        <v>1278</v>
      </c>
      <c r="H10" s="402" t="s">
        <v>1279</v>
      </c>
      <c r="I10" s="403"/>
      <c r="J10" s="392">
        <f t="shared" si="1"/>
        <v>1</v>
      </c>
      <c r="K10" s="361"/>
      <c r="L10" s="398">
        <v>193579.0</v>
      </c>
      <c r="M10" s="398" t="s">
        <v>564</v>
      </c>
      <c r="N10" s="361"/>
      <c r="O10" s="361"/>
      <c r="P10" s="361"/>
      <c r="Q10" s="361"/>
      <c r="R10" s="361"/>
      <c r="S10" s="361"/>
      <c r="T10" s="361"/>
      <c r="U10" s="361"/>
      <c r="V10" s="361"/>
      <c r="W10" s="361"/>
      <c r="X10" s="361"/>
      <c r="Y10" s="361"/>
      <c r="Z10" s="361"/>
    </row>
    <row r="11" ht="30.75" customHeight="1" outlineLevel="1">
      <c r="A11" s="399">
        <v>213938.0</v>
      </c>
      <c r="B11" s="400" t="s">
        <v>1280</v>
      </c>
      <c r="C11" s="394">
        <v>45635.0</v>
      </c>
      <c r="D11" s="401" t="s">
        <v>858</v>
      </c>
      <c r="E11" s="402" t="s">
        <v>1281</v>
      </c>
      <c r="F11" s="402" t="s">
        <v>1282</v>
      </c>
      <c r="G11" s="402" t="s">
        <v>1283</v>
      </c>
      <c r="H11" s="402" t="s">
        <v>1269</v>
      </c>
      <c r="I11" s="403"/>
      <c r="J11" s="392">
        <f t="shared" si="1"/>
        <v>1</v>
      </c>
      <c r="K11" s="361"/>
      <c r="L11" s="398">
        <v>203700.0</v>
      </c>
      <c r="M11" s="398" t="s">
        <v>1284</v>
      </c>
      <c r="N11" s="361"/>
      <c r="O11" s="361"/>
      <c r="P11" s="361"/>
      <c r="Q11" s="361"/>
      <c r="R11" s="361"/>
      <c r="S11" s="361"/>
      <c r="T11" s="361"/>
      <c r="U11" s="361"/>
      <c r="V11" s="361"/>
      <c r="W11" s="361"/>
      <c r="X11" s="361"/>
      <c r="Y11" s="361"/>
      <c r="Z11" s="361"/>
    </row>
    <row r="12" ht="30.75" customHeight="1" outlineLevel="1">
      <c r="A12" s="399">
        <v>227177.0</v>
      </c>
      <c r="B12" s="400" t="s">
        <v>1285</v>
      </c>
      <c r="C12" s="394">
        <v>45635.0</v>
      </c>
      <c r="D12" s="404" t="s">
        <v>849</v>
      </c>
      <c r="E12" s="405" t="s">
        <v>1286</v>
      </c>
      <c r="F12" s="405" t="s">
        <v>1287</v>
      </c>
      <c r="G12" s="405" t="s">
        <v>1288</v>
      </c>
      <c r="H12" s="405" t="s">
        <v>1289</v>
      </c>
      <c r="I12" s="403"/>
      <c r="J12" s="392">
        <f t="shared" si="1"/>
        <v>1</v>
      </c>
      <c r="K12" s="361"/>
      <c r="L12" s="398">
        <v>203790.0</v>
      </c>
      <c r="M12" s="398" t="s">
        <v>283</v>
      </c>
      <c r="N12" s="361"/>
      <c r="O12" s="361"/>
      <c r="P12" s="361"/>
      <c r="Q12" s="361"/>
      <c r="R12" s="361"/>
      <c r="S12" s="361"/>
      <c r="T12" s="361"/>
      <c r="U12" s="361"/>
      <c r="V12" s="361"/>
      <c r="W12" s="361"/>
      <c r="X12" s="361"/>
      <c r="Y12" s="361"/>
      <c r="Z12" s="361"/>
    </row>
    <row r="13" ht="30.75" customHeight="1" outlineLevel="1">
      <c r="A13" s="399">
        <v>247163.0</v>
      </c>
      <c r="B13" s="400" t="s">
        <v>1290</v>
      </c>
      <c r="C13" s="394">
        <v>45635.0</v>
      </c>
      <c r="D13" s="395" t="s">
        <v>858</v>
      </c>
      <c r="E13" s="396" t="s">
        <v>1291</v>
      </c>
      <c r="F13" s="396" t="s">
        <v>1292</v>
      </c>
      <c r="G13" s="396" t="s">
        <v>1293</v>
      </c>
      <c r="H13" s="396" t="s">
        <v>1294</v>
      </c>
      <c r="I13" s="403"/>
      <c r="J13" s="392">
        <f t="shared" si="1"/>
        <v>1</v>
      </c>
      <c r="K13" s="361"/>
      <c r="L13" s="398">
        <v>212007.0</v>
      </c>
      <c r="M13" s="398" t="s">
        <v>446</v>
      </c>
      <c r="N13" s="361"/>
      <c r="O13" s="361"/>
      <c r="P13" s="361"/>
      <c r="Q13" s="361"/>
      <c r="R13" s="361"/>
      <c r="S13" s="361"/>
      <c r="T13" s="361"/>
      <c r="U13" s="361"/>
      <c r="V13" s="361"/>
      <c r="W13" s="361"/>
      <c r="X13" s="361"/>
      <c r="Y13" s="361"/>
      <c r="Z13" s="361"/>
    </row>
    <row r="14" ht="15.75" customHeight="1" outlineLevel="1">
      <c r="A14" s="387"/>
      <c r="C14" s="388"/>
      <c r="D14" s="389"/>
      <c r="E14" s="390"/>
      <c r="F14" s="390"/>
      <c r="G14" s="390"/>
      <c r="H14" s="390"/>
      <c r="I14" s="391">
        <f>counta(A15:A22)</f>
        <v>8</v>
      </c>
      <c r="J14" s="389"/>
      <c r="K14" s="361"/>
      <c r="L14" s="361"/>
      <c r="M14" s="361"/>
      <c r="N14" s="361"/>
      <c r="O14" s="361"/>
      <c r="P14" s="361"/>
      <c r="Q14" s="361"/>
      <c r="R14" s="361"/>
      <c r="S14" s="361"/>
      <c r="T14" s="361"/>
      <c r="U14" s="361"/>
      <c r="V14" s="361"/>
      <c r="W14" s="361"/>
      <c r="X14" s="361"/>
      <c r="Y14" s="361"/>
      <c r="Z14" s="361"/>
    </row>
    <row r="15" ht="22.5" customHeight="1" outlineLevel="1">
      <c r="A15" s="395">
        <v>247249.0</v>
      </c>
      <c r="B15" s="393" t="s">
        <v>1295</v>
      </c>
      <c r="C15" s="394">
        <v>45636.0</v>
      </c>
      <c r="D15" s="395" t="s">
        <v>858</v>
      </c>
      <c r="E15" s="396" t="s">
        <v>1296</v>
      </c>
      <c r="F15" s="396" t="s">
        <v>1297</v>
      </c>
      <c r="G15" s="396" t="s">
        <v>1298</v>
      </c>
      <c r="H15" s="396" t="s">
        <v>1299</v>
      </c>
      <c r="I15" s="397"/>
      <c r="J15" s="392">
        <f t="shared" ref="J15:J24" si="2">countif(A$6:A15,A15)</f>
        <v>1</v>
      </c>
      <c r="K15" s="361"/>
      <c r="L15" s="398">
        <v>213891.0</v>
      </c>
      <c r="M15" s="398" t="s">
        <v>473</v>
      </c>
      <c r="N15" s="361"/>
      <c r="O15" s="361"/>
      <c r="P15" s="361"/>
      <c r="Q15" s="361"/>
      <c r="R15" s="361"/>
      <c r="S15" s="361"/>
      <c r="T15" s="361"/>
      <c r="U15" s="361"/>
      <c r="V15" s="361"/>
      <c r="W15" s="361"/>
      <c r="X15" s="361"/>
      <c r="Y15" s="361"/>
      <c r="Z15" s="361"/>
    </row>
    <row r="16" ht="22.5" customHeight="1" outlineLevel="1">
      <c r="A16" s="395">
        <v>247174.0</v>
      </c>
      <c r="B16" s="393" t="s">
        <v>1300</v>
      </c>
      <c r="C16" s="394">
        <v>45636.0</v>
      </c>
      <c r="D16" s="395" t="s">
        <v>858</v>
      </c>
      <c r="E16" s="396" t="s">
        <v>1301</v>
      </c>
      <c r="F16" s="396" t="s">
        <v>1302</v>
      </c>
      <c r="G16" s="396" t="s">
        <v>1303</v>
      </c>
      <c r="H16" s="396" t="s">
        <v>1304</v>
      </c>
      <c r="I16" s="397"/>
      <c r="J16" s="392">
        <f t="shared" si="2"/>
        <v>1</v>
      </c>
      <c r="K16" s="361"/>
      <c r="L16" s="398">
        <v>213954.0</v>
      </c>
      <c r="M16" s="398" t="s">
        <v>562</v>
      </c>
      <c r="N16" s="361"/>
      <c r="O16" s="361"/>
      <c r="P16" s="361"/>
      <c r="Q16" s="361"/>
      <c r="R16" s="361"/>
      <c r="S16" s="361"/>
      <c r="T16" s="361"/>
      <c r="U16" s="361"/>
      <c r="V16" s="361"/>
      <c r="W16" s="361"/>
      <c r="X16" s="361"/>
      <c r="Y16" s="361"/>
      <c r="Z16" s="361"/>
    </row>
    <row r="17" ht="22.5" customHeight="1" outlineLevel="1">
      <c r="A17" s="395">
        <v>247212.0</v>
      </c>
      <c r="B17" s="393" t="s">
        <v>1305</v>
      </c>
      <c r="C17" s="394">
        <v>45636.0</v>
      </c>
      <c r="D17" s="395" t="s">
        <v>845</v>
      </c>
      <c r="E17" s="396" t="s">
        <v>1306</v>
      </c>
      <c r="I17" s="397"/>
      <c r="J17" s="392">
        <f t="shared" si="2"/>
        <v>1</v>
      </c>
      <c r="K17" s="361"/>
      <c r="L17" s="398">
        <v>213974.0</v>
      </c>
      <c r="M17" s="398" t="s">
        <v>566</v>
      </c>
      <c r="N17" s="361"/>
      <c r="O17" s="361"/>
      <c r="P17" s="361"/>
      <c r="Q17" s="361"/>
      <c r="R17" s="361"/>
      <c r="S17" s="361"/>
      <c r="T17" s="361"/>
      <c r="U17" s="361"/>
      <c r="V17" s="361"/>
      <c r="W17" s="361"/>
      <c r="X17" s="361"/>
      <c r="Y17" s="361"/>
      <c r="Z17" s="361"/>
    </row>
    <row r="18" ht="22.5" customHeight="1" outlineLevel="1">
      <c r="A18" s="395">
        <v>247211.0</v>
      </c>
      <c r="B18" s="393" t="s">
        <v>1307</v>
      </c>
      <c r="C18" s="394">
        <v>45636.0</v>
      </c>
      <c r="D18" s="395" t="s">
        <v>858</v>
      </c>
      <c r="E18" s="396" t="s">
        <v>1308</v>
      </c>
      <c r="F18" s="396" t="s">
        <v>1309</v>
      </c>
      <c r="G18" s="396" t="s">
        <v>1310</v>
      </c>
      <c r="H18" s="396" t="s">
        <v>1311</v>
      </c>
      <c r="I18" s="397"/>
      <c r="J18" s="392">
        <f t="shared" si="2"/>
        <v>1</v>
      </c>
      <c r="K18" s="361"/>
      <c r="L18" s="398">
        <v>222010.0</v>
      </c>
      <c r="M18" s="398" t="s">
        <v>452</v>
      </c>
      <c r="N18" s="361"/>
      <c r="O18" s="361"/>
      <c r="P18" s="361"/>
      <c r="Q18" s="361"/>
      <c r="R18" s="361"/>
      <c r="S18" s="361"/>
      <c r="T18" s="361"/>
      <c r="U18" s="361"/>
      <c r="V18" s="361"/>
      <c r="W18" s="361"/>
      <c r="X18" s="361"/>
      <c r="Y18" s="361"/>
      <c r="Z18" s="361"/>
    </row>
    <row r="19" ht="22.5" customHeight="1" outlineLevel="1">
      <c r="A19" s="395">
        <v>247366.0</v>
      </c>
      <c r="B19" s="393" t="s">
        <v>1312</v>
      </c>
      <c r="C19" s="394">
        <v>45636.0</v>
      </c>
      <c r="D19" s="395" t="s">
        <v>849</v>
      </c>
      <c r="E19" s="396" t="s">
        <v>1306</v>
      </c>
      <c r="I19" s="397"/>
      <c r="J19" s="392">
        <f t="shared" si="2"/>
        <v>1</v>
      </c>
      <c r="K19" s="361"/>
      <c r="L19" s="398">
        <v>222014.0</v>
      </c>
      <c r="M19" s="398" t="s">
        <v>454</v>
      </c>
      <c r="N19" s="361"/>
      <c r="O19" s="361"/>
      <c r="P19" s="361"/>
      <c r="Q19" s="361"/>
      <c r="R19" s="361"/>
      <c r="S19" s="361"/>
      <c r="T19" s="361"/>
      <c r="U19" s="361"/>
      <c r="V19" s="361"/>
      <c r="W19" s="361"/>
      <c r="X19" s="361"/>
      <c r="Y19" s="361"/>
      <c r="Z19" s="361"/>
    </row>
    <row r="20" ht="22.5" customHeight="1" outlineLevel="1">
      <c r="A20" s="395">
        <v>247115.0</v>
      </c>
      <c r="B20" s="393" t="s">
        <v>1313</v>
      </c>
      <c r="C20" s="394">
        <v>45636.0</v>
      </c>
      <c r="D20" s="395" t="s">
        <v>858</v>
      </c>
      <c r="E20" s="396" t="s">
        <v>1314</v>
      </c>
      <c r="F20" s="396" t="s">
        <v>1315</v>
      </c>
      <c r="G20" s="396" t="s">
        <v>1316</v>
      </c>
      <c r="H20" s="396" t="s">
        <v>1317</v>
      </c>
      <c r="I20" s="397"/>
      <c r="J20" s="392">
        <f t="shared" si="2"/>
        <v>1</v>
      </c>
      <c r="K20" s="361"/>
      <c r="L20" s="398">
        <v>227183.0</v>
      </c>
      <c r="M20" s="398" t="s">
        <v>475</v>
      </c>
      <c r="N20" s="361"/>
      <c r="O20" s="361"/>
      <c r="P20" s="361"/>
      <c r="Q20" s="361"/>
      <c r="R20" s="361"/>
      <c r="S20" s="361"/>
      <c r="T20" s="361"/>
      <c r="U20" s="361"/>
      <c r="V20" s="361"/>
      <c r="W20" s="361"/>
      <c r="X20" s="361"/>
      <c r="Y20" s="361"/>
      <c r="Z20" s="361"/>
    </row>
    <row r="21" ht="22.5" customHeight="1" outlineLevel="1">
      <c r="A21" s="395">
        <v>247141.0</v>
      </c>
      <c r="B21" s="393" t="s">
        <v>1318</v>
      </c>
      <c r="C21" s="394">
        <v>45636.0</v>
      </c>
      <c r="D21" s="395" t="s">
        <v>849</v>
      </c>
      <c r="E21" s="396" t="s">
        <v>1306</v>
      </c>
      <c r="I21" s="397"/>
      <c r="J21" s="392">
        <f t="shared" si="2"/>
        <v>1</v>
      </c>
      <c r="K21" s="361"/>
      <c r="L21" s="398">
        <v>232002.0</v>
      </c>
      <c r="M21" s="398" t="s">
        <v>450</v>
      </c>
      <c r="N21" s="361"/>
      <c r="O21" s="361"/>
      <c r="P21" s="361"/>
      <c r="Q21" s="361"/>
      <c r="R21" s="361"/>
      <c r="S21" s="361"/>
      <c r="T21" s="361"/>
      <c r="U21" s="361"/>
      <c r="V21" s="361"/>
      <c r="W21" s="361"/>
      <c r="X21" s="361"/>
      <c r="Y21" s="361"/>
      <c r="Z21" s="361"/>
    </row>
    <row r="22" ht="22.5" customHeight="1" outlineLevel="1">
      <c r="A22" s="395">
        <v>247173.0</v>
      </c>
      <c r="B22" s="393" t="s">
        <v>1319</v>
      </c>
      <c r="C22" s="394">
        <v>45636.0</v>
      </c>
      <c r="D22" s="395" t="s">
        <v>858</v>
      </c>
      <c r="E22" s="396" t="s">
        <v>1320</v>
      </c>
      <c r="F22" s="396" t="s">
        <v>1321</v>
      </c>
      <c r="G22" s="396" t="s">
        <v>1322</v>
      </c>
      <c r="H22" s="396" t="s">
        <v>1323</v>
      </c>
      <c r="I22" s="397"/>
      <c r="J22" s="392">
        <f t="shared" si="2"/>
        <v>1</v>
      </c>
      <c r="K22" s="361"/>
      <c r="L22" s="398">
        <v>237043.0</v>
      </c>
      <c r="M22" s="398" t="s">
        <v>422</v>
      </c>
      <c r="N22" s="361"/>
      <c r="O22" s="361"/>
      <c r="P22" s="361"/>
      <c r="Q22" s="361"/>
      <c r="R22" s="361"/>
      <c r="S22" s="361"/>
      <c r="T22" s="361"/>
      <c r="U22" s="361"/>
      <c r="V22" s="361"/>
      <c r="W22" s="361"/>
      <c r="X22" s="361"/>
      <c r="Y22" s="361"/>
      <c r="Z22" s="361"/>
    </row>
    <row r="23" ht="22.5" customHeight="1" outlineLevel="1">
      <c r="A23" s="395">
        <v>213885.0</v>
      </c>
      <c r="B23" s="393" t="s">
        <v>1324</v>
      </c>
      <c r="C23" s="394">
        <v>45636.0</v>
      </c>
      <c r="D23" s="395" t="s">
        <v>1325</v>
      </c>
      <c r="E23" s="396" t="s">
        <v>1326</v>
      </c>
      <c r="F23" s="396" t="s">
        <v>1327</v>
      </c>
      <c r="G23" s="396" t="s">
        <v>1328</v>
      </c>
      <c r="H23" s="396" t="s">
        <v>1329</v>
      </c>
      <c r="I23" s="397"/>
      <c r="J23" s="392">
        <f t="shared" si="2"/>
        <v>1</v>
      </c>
      <c r="K23" s="361"/>
      <c r="L23" s="398">
        <v>242001.0</v>
      </c>
      <c r="M23" s="398" t="s">
        <v>594</v>
      </c>
      <c r="N23" s="361"/>
      <c r="O23" s="361"/>
      <c r="P23" s="361"/>
      <c r="Q23" s="361"/>
      <c r="R23" s="361"/>
      <c r="S23" s="361"/>
      <c r="T23" s="361"/>
      <c r="U23" s="361"/>
      <c r="V23" s="361"/>
      <c r="W23" s="361"/>
      <c r="X23" s="361"/>
      <c r="Y23" s="361"/>
      <c r="Z23" s="361"/>
    </row>
    <row r="24" ht="22.5" customHeight="1" outlineLevel="1">
      <c r="A24" s="395">
        <v>183411.0</v>
      </c>
      <c r="B24" s="393" t="s">
        <v>1330</v>
      </c>
      <c r="C24" s="394">
        <v>45636.0</v>
      </c>
      <c r="D24" s="395" t="s">
        <v>849</v>
      </c>
      <c r="E24" s="396" t="s">
        <v>1306</v>
      </c>
      <c r="I24" s="397"/>
      <c r="J24" s="392">
        <f t="shared" si="2"/>
        <v>1</v>
      </c>
      <c r="K24" s="361"/>
      <c r="L24" s="398">
        <v>242003.0</v>
      </c>
      <c r="M24" s="398" t="s">
        <v>456</v>
      </c>
      <c r="N24" s="361"/>
      <c r="O24" s="361"/>
      <c r="P24" s="361"/>
      <c r="Q24" s="361"/>
      <c r="R24" s="361"/>
      <c r="S24" s="361"/>
      <c r="T24" s="361"/>
      <c r="U24" s="361"/>
      <c r="V24" s="361"/>
      <c r="W24" s="361"/>
      <c r="X24" s="361"/>
      <c r="Y24" s="361"/>
      <c r="Z24" s="361"/>
    </row>
    <row r="25" ht="15.75" customHeight="1" outlineLevel="1">
      <c r="A25" s="387"/>
      <c r="C25" s="388"/>
      <c r="D25" s="389"/>
      <c r="E25" s="390"/>
      <c r="F25" s="390"/>
      <c r="G25" s="390"/>
      <c r="H25" s="390"/>
      <c r="I25" s="391">
        <f>counta(A26:A33)</f>
        <v>7</v>
      </c>
      <c r="J25" s="389"/>
      <c r="K25" s="361"/>
      <c r="L25" s="361"/>
      <c r="M25" s="361"/>
      <c r="N25" s="361"/>
      <c r="O25" s="361"/>
      <c r="P25" s="361"/>
      <c r="Q25" s="361"/>
      <c r="R25" s="361"/>
      <c r="S25" s="361"/>
      <c r="T25" s="361"/>
      <c r="U25" s="361"/>
      <c r="V25" s="361"/>
      <c r="W25" s="361"/>
      <c r="X25" s="361"/>
      <c r="Y25" s="361"/>
      <c r="Z25" s="361"/>
    </row>
    <row r="26" ht="22.5" customHeight="1" outlineLevel="1">
      <c r="A26" s="395">
        <v>247311.0</v>
      </c>
      <c r="B26" s="393" t="s">
        <v>1331</v>
      </c>
      <c r="C26" s="394">
        <v>45636.0</v>
      </c>
      <c r="D26" s="395" t="s">
        <v>849</v>
      </c>
      <c r="E26" s="396" t="s">
        <v>1332</v>
      </c>
      <c r="F26" s="396" t="s">
        <v>1333</v>
      </c>
      <c r="G26" s="396" t="s">
        <v>1334</v>
      </c>
      <c r="H26" s="396" t="s">
        <v>1335</v>
      </c>
      <c r="I26" s="397"/>
      <c r="J26" s="392">
        <f t="shared" ref="J26:J27" si="3">countif(A$6:A26,A26)</f>
        <v>1</v>
      </c>
      <c r="K26" s="361"/>
      <c r="L26" s="398">
        <v>242009.0</v>
      </c>
      <c r="M26" s="398" t="s">
        <v>448</v>
      </c>
      <c r="N26" s="361"/>
      <c r="O26" s="361"/>
      <c r="P26" s="361"/>
      <c r="Q26" s="361"/>
      <c r="R26" s="361"/>
      <c r="S26" s="361"/>
      <c r="T26" s="361"/>
      <c r="U26" s="361"/>
      <c r="V26" s="361"/>
      <c r="W26" s="361"/>
      <c r="X26" s="361"/>
      <c r="Y26" s="361"/>
      <c r="Z26" s="361"/>
    </row>
    <row r="27" ht="22.5" customHeight="1" outlineLevel="1">
      <c r="A27" s="395">
        <v>247324.0</v>
      </c>
      <c r="B27" s="393" t="s">
        <v>1336</v>
      </c>
      <c r="C27" s="394">
        <v>45636.0</v>
      </c>
      <c r="D27" s="395" t="s">
        <v>1325</v>
      </c>
      <c r="E27" s="396" t="s">
        <v>1337</v>
      </c>
      <c r="F27" s="396" t="s">
        <v>1338</v>
      </c>
      <c r="G27" s="396" t="s">
        <v>1339</v>
      </c>
      <c r="H27" s="396" t="s">
        <v>1340</v>
      </c>
      <c r="I27" s="397"/>
      <c r="J27" s="392">
        <f t="shared" si="3"/>
        <v>1</v>
      </c>
      <c r="K27" s="361"/>
      <c r="L27" s="398">
        <v>247040.0</v>
      </c>
      <c r="M27" s="398" t="s">
        <v>1341</v>
      </c>
      <c r="N27" s="361"/>
      <c r="O27" s="361"/>
      <c r="P27" s="361"/>
      <c r="Q27" s="361"/>
      <c r="R27" s="361"/>
      <c r="S27" s="361"/>
      <c r="T27" s="361"/>
      <c r="U27" s="361"/>
      <c r="V27" s="361"/>
      <c r="W27" s="361"/>
      <c r="X27" s="361"/>
      <c r="Y27" s="361"/>
      <c r="Z27" s="361"/>
    </row>
    <row r="28" ht="22.5" customHeight="1" outlineLevel="1">
      <c r="A28" s="395"/>
      <c r="B28" s="393"/>
      <c r="C28" s="394">
        <v>45636.0</v>
      </c>
      <c r="D28" s="395"/>
      <c r="E28" s="396"/>
      <c r="I28" s="397"/>
      <c r="J28" s="392"/>
      <c r="K28" s="361"/>
      <c r="L28" s="398">
        <v>247082.0</v>
      </c>
      <c r="M28" s="398" t="s">
        <v>1342</v>
      </c>
      <c r="N28" s="361"/>
      <c r="O28" s="361"/>
      <c r="P28" s="361"/>
      <c r="Q28" s="361"/>
      <c r="R28" s="361"/>
      <c r="S28" s="361"/>
      <c r="T28" s="361"/>
      <c r="U28" s="361"/>
      <c r="V28" s="361"/>
      <c r="W28" s="361"/>
      <c r="X28" s="361"/>
      <c r="Y28" s="361"/>
      <c r="Z28" s="361"/>
    </row>
    <row r="29" ht="22.5" customHeight="1" outlineLevel="1">
      <c r="A29" s="395">
        <v>247234.0</v>
      </c>
      <c r="B29" s="393" t="s">
        <v>1343</v>
      </c>
      <c r="C29" s="394">
        <v>45636.0</v>
      </c>
      <c r="D29" s="395" t="s">
        <v>849</v>
      </c>
      <c r="E29" s="396" t="s">
        <v>1344</v>
      </c>
      <c r="F29" s="396" t="s">
        <v>1345</v>
      </c>
      <c r="G29" s="396" t="s">
        <v>1346</v>
      </c>
      <c r="H29" s="396" t="s">
        <v>1347</v>
      </c>
      <c r="I29" s="397"/>
      <c r="J29" s="392">
        <f t="shared" ref="J29:J34" si="4">countif(A$6:A29,A29)</f>
        <v>1</v>
      </c>
      <c r="K29" s="361"/>
      <c r="L29" s="398">
        <v>247115.0</v>
      </c>
      <c r="M29" s="398" t="s">
        <v>1348</v>
      </c>
      <c r="N29" s="361"/>
      <c r="O29" s="361"/>
      <c r="P29" s="361"/>
      <c r="Q29" s="361"/>
      <c r="R29" s="361"/>
      <c r="S29" s="361"/>
      <c r="T29" s="361"/>
      <c r="U29" s="361"/>
      <c r="V29" s="361"/>
      <c r="W29" s="361"/>
      <c r="X29" s="361"/>
      <c r="Y29" s="361"/>
      <c r="Z29" s="361"/>
    </row>
    <row r="30" ht="22.5" customHeight="1" outlineLevel="1">
      <c r="A30" s="395">
        <v>247271.0</v>
      </c>
      <c r="B30" s="393" t="s">
        <v>1349</v>
      </c>
      <c r="C30" s="394">
        <v>45636.0</v>
      </c>
      <c r="D30" s="395" t="s">
        <v>849</v>
      </c>
      <c r="E30" s="396" t="s">
        <v>1306</v>
      </c>
      <c r="I30" s="397"/>
      <c r="J30" s="392">
        <f t="shared" si="4"/>
        <v>1</v>
      </c>
      <c r="K30" s="361"/>
      <c r="L30" s="398">
        <v>247135.0</v>
      </c>
      <c r="M30" s="398" t="s">
        <v>1350</v>
      </c>
      <c r="N30" s="361"/>
      <c r="O30" s="361"/>
      <c r="P30" s="361"/>
      <c r="Q30" s="361"/>
      <c r="R30" s="361"/>
      <c r="S30" s="361"/>
      <c r="T30" s="361"/>
      <c r="U30" s="361"/>
      <c r="V30" s="361"/>
      <c r="W30" s="361"/>
      <c r="X30" s="361"/>
      <c r="Y30" s="361"/>
      <c r="Z30" s="361"/>
    </row>
    <row r="31" ht="22.5" customHeight="1" outlineLevel="1">
      <c r="A31" s="395">
        <v>247323.0</v>
      </c>
      <c r="B31" s="393" t="s">
        <v>1351</v>
      </c>
      <c r="C31" s="394">
        <v>45636.0</v>
      </c>
      <c r="D31" s="395" t="s">
        <v>849</v>
      </c>
      <c r="E31" s="396" t="s">
        <v>1306</v>
      </c>
      <c r="I31" s="397"/>
      <c r="J31" s="392">
        <f t="shared" si="4"/>
        <v>1</v>
      </c>
      <c r="K31" s="361"/>
      <c r="L31" s="398">
        <v>247139.0</v>
      </c>
      <c r="M31" s="398" t="s">
        <v>1352</v>
      </c>
      <c r="N31" s="361"/>
      <c r="O31" s="361"/>
      <c r="P31" s="361"/>
      <c r="Q31" s="361"/>
      <c r="R31" s="361"/>
      <c r="S31" s="361"/>
      <c r="T31" s="361"/>
      <c r="U31" s="361"/>
      <c r="V31" s="361"/>
      <c r="W31" s="361"/>
      <c r="X31" s="361"/>
      <c r="Y31" s="361"/>
      <c r="Z31" s="361"/>
    </row>
    <row r="32" ht="22.5" customHeight="1" outlineLevel="1">
      <c r="A32" s="395">
        <v>237172.0</v>
      </c>
      <c r="B32" s="393" t="s">
        <v>1353</v>
      </c>
      <c r="C32" s="394">
        <v>45636.0</v>
      </c>
      <c r="D32" s="395" t="s">
        <v>849</v>
      </c>
      <c r="E32" s="396" t="s">
        <v>1354</v>
      </c>
      <c r="F32" s="396" t="s">
        <v>1355</v>
      </c>
      <c r="G32" s="396" t="s">
        <v>1356</v>
      </c>
      <c r="H32" s="396" t="s">
        <v>1357</v>
      </c>
      <c r="I32" s="397"/>
      <c r="J32" s="392">
        <f t="shared" si="4"/>
        <v>1</v>
      </c>
      <c r="K32" s="361"/>
      <c r="L32" s="398">
        <v>247140.0</v>
      </c>
      <c r="M32" s="398" t="s">
        <v>1358</v>
      </c>
      <c r="N32" s="361"/>
      <c r="O32" s="361"/>
      <c r="P32" s="361"/>
      <c r="Q32" s="361"/>
      <c r="R32" s="361"/>
      <c r="S32" s="361"/>
      <c r="T32" s="361"/>
      <c r="U32" s="361"/>
      <c r="V32" s="361"/>
      <c r="W32" s="361"/>
      <c r="X32" s="361"/>
      <c r="Y32" s="361"/>
      <c r="Z32" s="361"/>
    </row>
    <row r="33" ht="22.5" customHeight="1" outlineLevel="1">
      <c r="A33" s="395">
        <v>247040.0</v>
      </c>
      <c r="B33" s="393" t="s">
        <v>1359</v>
      </c>
      <c r="C33" s="394">
        <v>45636.0</v>
      </c>
      <c r="D33" s="395" t="s">
        <v>849</v>
      </c>
      <c r="E33" s="396" t="s">
        <v>1360</v>
      </c>
      <c r="F33" s="396" t="s">
        <v>1361</v>
      </c>
      <c r="G33" s="396" t="s">
        <v>1362</v>
      </c>
      <c r="H33" s="396" t="s">
        <v>1363</v>
      </c>
      <c r="I33" s="397"/>
      <c r="J33" s="392">
        <f t="shared" si="4"/>
        <v>1</v>
      </c>
      <c r="K33" s="361"/>
      <c r="L33" s="398">
        <v>247141.0</v>
      </c>
      <c r="M33" s="398" t="s">
        <v>1364</v>
      </c>
      <c r="N33" s="361"/>
      <c r="O33" s="361"/>
      <c r="P33" s="361"/>
      <c r="Q33" s="361"/>
      <c r="R33" s="361"/>
      <c r="S33" s="361"/>
      <c r="T33" s="361"/>
      <c r="U33" s="361"/>
      <c r="V33" s="361"/>
      <c r="W33" s="361"/>
      <c r="X33" s="361"/>
      <c r="Y33" s="361"/>
      <c r="Z33" s="361"/>
    </row>
    <row r="34" ht="22.5" customHeight="1" outlineLevel="1">
      <c r="A34" s="395">
        <v>247309.0</v>
      </c>
      <c r="B34" s="393" t="s">
        <v>1365</v>
      </c>
      <c r="C34" s="394">
        <v>45636.0</v>
      </c>
      <c r="D34" s="395" t="s">
        <v>858</v>
      </c>
      <c r="E34" s="396" t="s">
        <v>1366</v>
      </c>
      <c r="F34" s="396" t="s">
        <v>1367</v>
      </c>
      <c r="G34" s="396" t="s">
        <v>1368</v>
      </c>
      <c r="H34" s="396" t="s">
        <v>1369</v>
      </c>
      <c r="I34" s="397"/>
      <c r="J34" s="392">
        <f t="shared" si="4"/>
        <v>1</v>
      </c>
      <c r="K34" s="361"/>
      <c r="L34" s="398">
        <v>247142.0</v>
      </c>
      <c r="M34" s="398" t="s">
        <v>1370</v>
      </c>
      <c r="N34" s="361"/>
      <c r="O34" s="361"/>
      <c r="P34" s="361"/>
      <c r="Q34" s="361"/>
      <c r="R34" s="361"/>
      <c r="S34" s="361"/>
      <c r="T34" s="361"/>
      <c r="U34" s="361"/>
      <c r="V34" s="361"/>
      <c r="W34" s="361"/>
      <c r="X34" s="361"/>
      <c r="Y34" s="361"/>
      <c r="Z34" s="361"/>
    </row>
    <row r="35" ht="15.75" customHeight="1" outlineLevel="1">
      <c r="A35" s="387"/>
      <c r="C35" s="388"/>
      <c r="D35" s="389"/>
      <c r="E35" s="390"/>
      <c r="F35" s="390"/>
      <c r="G35" s="390"/>
      <c r="H35" s="390"/>
      <c r="I35" s="391">
        <f>counta(A36:A43)</f>
        <v>7</v>
      </c>
      <c r="J35" s="389"/>
      <c r="K35" s="361"/>
      <c r="L35" s="361"/>
      <c r="M35" s="361"/>
      <c r="N35" s="361"/>
      <c r="O35" s="361"/>
      <c r="P35" s="361"/>
      <c r="Q35" s="361"/>
      <c r="R35" s="361"/>
      <c r="S35" s="361"/>
      <c r="T35" s="361"/>
      <c r="U35" s="361"/>
      <c r="V35" s="361"/>
      <c r="W35" s="361"/>
      <c r="X35" s="361"/>
      <c r="Y35" s="361"/>
      <c r="Z35" s="361"/>
    </row>
    <row r="36" ht="22.5" customHeight="1" outlineLevel="1">
      <c r="A36" s="401">
        <v>247164.0</v>
      </c>
      <c r="B36" s="400" t="s">
        <v>1371</v>
      </c>
      <c r="C36" s="394">
        <v>45637.0</v>
      </c>
      <c r="D36" s="395" t="s">
        <v>849</v>
      </c>
      <c r="E36" s="396" t="s">
        <v>1372</v>
      </c>
      <c r="F36" s="396" t="s">
        <v>1373</v>
      </c>
      <c r="G36" s="396" t="s">
        <v>1374</v>
      </c>
      <c r="H36" s="396" t="s">
        <v>1375</v>
      </c>
      <c r="I36" s="397"/>
      <c r="J36" s="392">
        <f t="shared" ref="J36:J38" si="5">countif(A$6:A36,A36)</f>
        <v>1</v>
      </c>
      <c r="K36" s="361"/>
      <c r="L36" s="398">
        <v>247174.0</v>
      </c>
      <c r="M36" s="398" t="s">
        <v>1376</v>
      </c>
      <c r="N36" s="361"/>
      <c r="O36" s="361"/>
      <c r="P36" s="361"/>
      <c r="Q36" s="361"/>
      <c r="R36" s="361"/>
      <c r="S36" s="361"/>
      <c r="T36" s="361"/>
      <c r="U36" s="361"/>
      <c r="V36" s="361"/>
      <c r="W36" s="361"/>
      <c r="X36" s="361"/>
      <c r="Y36" s="361"/>
      <c r="Z36" s="361"/>
    </row>
    <row r="37" ht="22.5" customHeight="1" outlineLevel="1">
      <c r="A37" s="401">
        <v>227244.0</v>
      </c>
      <c r="B37" s="400" t="s">
        <v>1377</v>
      </c>
      <c r="C37" s="394">
        <v>45637.0</v>
      </c>
      <c r="D37" s="395" t="s">
        <v>845</v>
      </c>
      <c r="E37" s="396" t="s">
        <v>1378</v>
      </c>
      <c r="F37" s="396" t="s">
        <v>1379</v>
      </c>
      <c r="G37" s="396" t="s">
        <v>1380</v>
      </c>
      <c r="H37" s="396" t="s">
        <v>1381</v>
      </c>
      <c r="I37" s="397"/>
      <c r="J37" s="392">
        <f t="shared" si="5"/>
        <v>1</v>
      </c>
      <c r="K37" s="361"/>
      <c r="L37" s="398">
        <v>247211.0</v>
      </c>
      <c r="M37" s="398" t="s">
        <v>1382</v>
      </c>
      <c r="N37" s="361"/>
      <c r="O37" s="361"/>
      <c r="P37" s="361"/>
      <c r="Q37" s="361"/>
      <c r="R37" s="361"/>
      <c r="S37" s="361"/>
      <c r="T37" s="361"/>
      <c r="U37" s="361"/>
      <c r="V37" s="361"/>
      <c r="W37" s="361"/>
      <c r="X37" s="361"/>
      <c r="Y37" s="361"/>
      <c r="Z37" s="361"/>
    </row>
    <row r="38" ht="22.5" customHeight="1" outlineLevel="1">
      <c r="A38" s="399">
        <v>213936.0</v>
      </c>
      <c r="B38" s="400" t="s">
        <v>1383</v>
      </c>
      <c r="C38" s="394">
        <v>45637.0</v>
      </c>
      <c r="D38" s="395" t="s">
        <v>849</v>
      </c>
      <c r="E38" s="396" t="s">
        <v>1384</v>
      </c>
      <c r="I38" s="397"/>
      <c r="J38" s="392">
        <f t="shared" si="5"/>
        <v>1</v>
      </c>
      <c r="K38" s="361"/>
      <c r="L38" s="398">
        <v>247212.0</v>
      </c>
      <c r="M38" s="398" t="s">
        <v>1385</v>
      </c>
      <c r="N38" s="361"/>
      <c r="O38" s="361"/>
      <c r="P38" s="361"/>
      <c r="Q38" s="361"/>
      <c r="R38" s="361"/>
      <c r="S38" s="361"/>
      <c r="T38" s="361"/>
      <c r="U38" s="361"/>
      <c r="V38" s="361"/>
      <c r="W38" s="361"/>
      <c r="X38" s="361"/>
      <c r="Y38" s="361"/>
      <c r="Z38" s="361"/>
    </row>
    <row r="39" ht="15.75" customHeight="1" outlineLevel="1">
      <c r="A39" s="387"/>
      <c r="C39" s="388"/>
      <c r="D39" s="389"/>
      <c r="E39" s="390"/>
      <c r="F39" s="390"/>
      <c r="G39" s="390"/>
      <c r="H39" s="390"/>
      <c r="I39" s="391">
        <f>counta(A40:A47)</f>
        <v>7</v>
      </c>
      <c r="J39" s="389"/>
      <c r="K39" s="361"/>
      <c r="L39" s="361"/>
      <c r="M39" s="361"/>
      <c r="N39" s="361"/>
      <c r="O39" s="361"/>
      <c r="P39" s="361"/>
      <c r="Q39" s="361"/>
      <c r="R39" s="361"/>
      <c r="S39" s="361"/>
      <c r="T39" s="361"/>
      <c r="U39" s="361"/>
      <c r="V39" s="361"/>
      <c r="W39" s="361"/>
      <c r="X39" s="361"/>
      <c r="Y39" s="361"/>
      <c r="Z39" s="361"/>
    </row>
    <row r="40" ht="22.5" customHeight="1" outlineLevel="1">
      <c r="A40" s="401">
        <v>193447.0</v>
      </c>
      <c r="B40" s="400" t="s">
        <v>1386</v>
      </c>
      <c r="C40" s="394">
        <v>45637.0</v>
      </c>
      <c r="D40" s="395" t="s">
        <v>845</v>
      </c>
      <c r="E40" s="396" t="s">
        <v>1387</v>
      </c>
      <c r="F40" s="396" t="s">
        <v>1388</v>
      </c>
      <c r="G40" s="396" t="s">
        <v>1389</v>
      </c>
      <c r="H40" s="396" t="s">
        <v>1390</v>
      </c>
      <c r="I40" s="397"/>
      <c r="J40" s="392">
        <f t="shared" ref="J40:J46" si="6">countif(A$6:A40,A40)</f>
        <v>1</v>
      </c>
      <c r="K40" s="361"/>
      <c r="L40" s="398">
        <v>247234.0</v>
      </c>
      <c r="M40" s="398" t="s">
        <v>379</v>
      </c>
      <c r="N40" s="361"/>
      <c r="O40" s="361"/>
      <c r="P40" s="361"/>
      <c r="Q40" s="361"/>
      <c r="R40" s="361"/>
      <c r="S40" s="361"/>
      <c r="T40" s="361"/>
      <c r="U40" s="361"/>
      <c r="V40" s="361"/>
      <c r="W40" s="361"/>
      <c r="X40" s="361"/>
      <c r="Y40" s="361"/>
      <c r="Z40" s="361"/>
    </row>
    <row r="41" ht="22.5" customHeight="1" outlineLevel="1">
      <c r="A41" s="401">
        <v>237207.0</v>
      </c>
      <c r="B41" s="400" t="s">
        <v>1391</v>
      </c>
      <c r="C41" s="394">
        <v>45637.0</v>
      </c>
      <c r="D41" s="395" t="s">
        <v>845</v>
      </c>
      <c r="E41" s="396" t="s">
        <v>1387</v>
      </c>
      <c r="F41" s="396" t="s">
        <v>1392</v>
      </c>
      <c r="G41" s="396" t="s">
        <v>1393</v>
      </c>
      <c r="H41" s="396" t="s">
        <v>1394</v>
      </c>
      <c r="I41" s="397"/>
      <c r="J41" s="392">
        <f t="shared" si="6"/>
        <v>1</v>
      </c>
      <c r="K41" s="361"/>
      <c r="L41" s="398">
        <v>247249.0</v>
      </c>
      <c r="M41" s="398" t="s">
        <v>1395</v>
      </c>
      <c r="N41" s="361"/>
      <c r="O41" s="361"/>
      <c r="P41" s="361"/>
      <c r="Q41" s="361"/>
      <c r="R41" s="361"/>
      <c r="S41" s="361"/>
      <c r="T41" s="361"/>
      <c r="U41" s="361"/>
      <c r="V41" s="361"/>
      <c r="W41" s="361"/>
      <c r="X41" s="361"/>
      <c r="Y41" s="361"/>
      <c r="Z41" s="361"/>
    </row>
    <row r="42" ht="22.5" customHeight="1" outlineLevel="1">
      <c r="A42" s="401">
        <v>247043.0</v>
      </c>
      <c r="B42" s="400" t="s">
        <v>1396</v>
      </c>
      <c r="C42" s="394">
        <v>45637.0</v>
      </c>
      <c r="D42" s="395" t="s">
        <v>849</v>
      </c>
      <c r="E42" s="396" t="s">
        <v>1397</v>
      </c>
      <c r="F42" s="396" t="s">
        <v>1277</v>
      </c>
      <c r="G42" s="396" t="s">
        <v>1398</v>
      </c>
      <c r="H42" s="396" t="s">
        <v>1399</v>
      </c>
      <c r="I42" s="397"/>
      <c r="J42" s="392">
        <f t="shared" si="6"/>
        <v>1</v>
      </c>
      <c r="K42" s="361"/>
      <c r="L42" s="398">
        <v>247309.0</v>
      </c>
      <c r="M42" s="398" t="s">
        <v>1400</v>
      </c>
      <c r="N42" s="361"/>
      <c r="O42" s="361"/>
      <c r="P42" s="361"/>
      <c r="Q42" s="361"/>
      <c r="R42" s="361"/>
      <c r="S42" s="361"/>
      <c r="T42" s="361"/>
      <c r="U42" s="361"/>
      <c r="V42" s="361"/>
      <c r="W42" s="361"/>
      <c r="X42" s="361"/>
      <c r="Y42" s="361"/>
      <c r="Z42" s="361"/>
    </row>
    <row r="43" ht="22.5" customHeight="1" outlineLevel="1">
      <c r="A43" s="401" t="s">
        <v>393</v>
      </c>
      <c r="B43" s="400" t="s">
        <v>1401</v>
      </c>
      <c r="C43" s="394">
        <v>45637.0</v>
      </c>
      <c r="D43" s="395" t="s">
        <v>849</v>
      </c>
      <c r="E43" s="396" t="s">
        <v>1402</v>
      </c>
      <c r="F43" s="396" t="s">
        <v>1277</v>
      </c>
      <c r="G43" s="396" t="s">
        <v>1403</v>
      </c>
      <c r="H43" s="396" t="s">
        <v>1404</v>
      </c>
      <c r="I43" s="397"/>
      <c r="J43" s="392">
        <f t="shared" si="6"/>
        <v>1</v>
      </c>
      <c r="K43" s="361"/>
      <c r="L43" s="398">
        <v>247311.0</v>
      </c>
      <c r="M43" s="398" t="s">
        <v>1405</v>
      </c>
      <c r="N43" s="361"/>
      <c r="O43" s="361"/>
      <c r="P43" s="361"/>
      <c r="Q43" s="361"/>
      <c r="R43" s="361"/>
      <c r="S43" s="361"/>
      <c r="T43" s="361"/>
      <c r="U43" s="361"/>
      <c r="V43" s="361"/>
      <c r="W43" s="361"/>
      <c r="X43" s="361"/>
      <c r="Y43" s="361"/>
      <c r="Z43" s="361"/>
    </row>
    <row r="44" ht="22.5" customHeight="1" outlineLevel="1">
      <c r="A44" s="401" t="s">
        <v>1406</v>
      </c>
      <c r="B44" s="400" t="s">
        <v>1407</v>
      </c>
      <c r="C44" s="394">
        <v>45637.0</v>
      </c>
      <c r="D44" s="395" t="s">
        <v>845</v>
      </c>
      <c r="E44" s="396" t="s">
        <v>1408</v>
      </c>
      <c r="F44" s="396" t="s">
        <v>1409</v>
      </c>
      <c r="G44" s="396" t="s">
        <v>1410</v>
      </c>
      <c r="H44" s="396" t="s">
        <v>1411</v>
      </c>
      <c r="I44" s="397"/>
      <c r="J44" s="392">
        <f t="shared" si="6"/>
        <v>1</v>
      </c>
      <c r="K44" s="361"/>
      <c r="L44" s="398">
        <v>247313.0</v>
      </c>
      <c r="M44" s="398" t="s">
        <v>1412</v>
      </c>
      <c r="N44" s="361"/>
      <c r="O44" s="361"/>
      <c r="P44" s="361"/>
      <c r="Q44" s="361"/>
      <c r="R44" s="361"/>
      <c r="S44" s="361"/>
      <c r="T44" s="361"/>
      <c r="U44" s="361"/>
      <c r="V44" s="361"/>
      <c r="W44" s="361"/>
      <c r="X44" s="361"/>
      <c r="Y44" s="361"/>
      <c r="Z44" s="361"/>
    </row>
    <row r="45" ht="22.5" customHeight="1" outlineLevel="1">
      <c r="A45" s="401">
        <v>227092.0</v>
      </c>
      <c r="B45" s="400" t="s">
        <v>1413</v>
      </c>
      <c r="C45" s="394">
        <v>45637.0</v>
      </c>
      <c r="D45" s="395" t="s">
        <v>858</v>
      </c>
      <c r="E45" s="396" t="s">
        <v>1414</v>
      </c>
      <c r="F45" s="396" t="s">
        <v>1415</v>
      </c>
      <c r="G45" s="396" t="s">
        <v>1416</v>
      </c>
      <c r="H45" s="396" t="s">
        <v>1417</v>
      </c>
      <c r="I45" s="397"/>
      <c r="J45" s="392">
        <f t="shared" si="6"/>
        <v>1</v>
      </c>
      <c r="K45" s="361"/>
      <c r="L45" s="398">
        <v>247323.0</v>
      </c>
      <c r="M45" s="398" t="s">
        <v>1418</v>
      </c>
      <c r="N45" s="361"/>
      <c r="O45" s="361"/>
      <c r="P45" s="361"/>
      <c r="Q45" s="361"/>
      <c r="R45" s="361"/>
      <c r="S45" s="361"/>
      <c r="T45" s="361"/>
      <c r="U45" s="361"/>
      <c r="V45" s="361"/>
      <c r="W45" s="361"/>
      <c r="X45" s="361"/>
      <c r="Y45" s="361"/>
      <c r="Z45" s="361"/>
    </row>
    <row r="46" ht="22.5" customHeight="1" outlineLevel="1">
      <c r="A46" s="401">
        <v>203790.0</v>
      </c>
      <c r="B46" s="400" t="s">
        <v>1419</v>
      </c>
      <c r="C46" s="394">
        <v>45637.0</v>
      </c>
      <c r="D46" s="395" t="s">
        <v>845</v>
      </c>
      <c r="E46" s="396" t="s">
        <v>1420</v>
      </c>
      <c r="F46" s="396" t="s">
        <v>1421</v>
      </c>
      <c r="G46" s="396" t="s">
        <v>1416</v>
      </c>
      <c r="H46" s="396" t="s">
        <v>1422</v>
      </c>
      <c r="I46" s="397"/>
      <c r="J46" s="392">
        <f t="shared" si="6"/>
        <v>1</v>
      </c>
      <c r="K46" s="361"/>
      <c r="L46" s="398">
        <v>247324.0</v>
      </c>
      <c r="M46" s="398" t="s">
        <v>1423</v>
      </c>
      <c r="N46" s="361"/>
      <c r="O46" s="361"/>
      <c r="P46" s="361"/>
      <c r="Q46" s="361"/>
      <c r="R46" s="361"/>
      <c r="S46" s="361"/>
      <c r="T46" s="361"/>
      <c r="U46" s="361"/>
      <c r="V46" s="361"/>
      <c r="W46" s="361"/>
      <c r="X46" s="361"/>
      <c r="Y46" s="361"/>
      <c r="Z46" s="361"/>
    </row>
    <row r="47" ht="15.75" customHeight="1" outlineLevel="1">
      <c r="A47" s="387"/>
      <c r="C47" s="388"/>
      <c r="D47" s="389"/>
      <c r="E47" s="390"/>
      <c r="F47" s="390"/>
      <c r="G47" s="390"/>
      <c r="H47" s="390"/>
      <c r="I47" s="391">
        <f>counta(A48:A55)</f>
        <v>7</v>
      </c>
      <c r="J47" s="389"/>
      <c r="K47" s="361"/>
      <c r="L47" s="361"/>
      <c r="M47" s="361"/>
      <c r="N47" s="361"/>
      <c r="O47" s="361"/>
      <c r="P47" s="361"/>
      <c r="Q47" s="361"/>
      <c r="R47" s="361"/>
      <c r="S47" s="361"/>
      <c r="T47" s="361"/>
      <c r="U47" s="361"/>
      <c r="V47" s="361"/>
      <c r="W47" s="361"/>
      <c r="X47" s="361"/>
      <c r="Y47" s="361"/>
      <c r="Z47" s="361"/>
    </row>
    <row r="48" ht="22.5" customHeight="1" outlineLevel="1">
      <c r="A48" s="395">
        <v>247139.0</v>
      </c>
      <c r="B48" s="393" t="s">
        <v>1424</v>
      </c>
      <c r="C48" s="394">
        <v>45637.0</v>
      </c>
      <c r="D48" s="395" t="s">
        <v>845</v>
      </c>
      <c r="E48" s="396" t="s">
        <v>1425</v>
      </c>
      <c r="F48" s="396" t="s">
        <v>1426</v>
      </c>
      <c r="G48" s="396" t="s">
        <v>1427</v>
      </c>
      <c r="H48" s="396" t="s">
        <v>1411</v>
      </c>
      <c r="I48" s="397"/>
      <c r="J48" s="392">
        <f t="shared" ref="J48:J53" si="7">countif(A$6:A48,A48)</f>
        <v>1</v>
      </c>
      <c r="K48" s="361"/>
      <c r="L48" s="398">
        <v>247390.0</v>
      </c>
      <c r="M48" s="398" t="s">
        <v>465</v>
      </c>
      <c r="N48" s="361"/>
      <c r="O48" s="361"/>
      <c r="P48" s="361"/>
      <c r="Q48" s="361"/>
      <c r="R48" s="361"/>
      <c r="S48" s="361"/>
      <c r="T48" s="361"/>
      <c r="U48" s="361"/>
      <c r="V48" s="361"/>
      <c r="W48" s="361"/>
      <c r="X48" s="361"/>
      <c r="Y48" s="361"/>
      <c r="Z48" s="361"/>
    </row>
    <row r="49" ht="22.5" customHeight="1" outlineLevel="1">
      <c r="A49" s="395">
        <v>247140.0</v>
      </c>
      <c r="B49" s="393" t="s">
        <v>1428</v>
      </c>
      <c r="C49" s="394">
        <v>45637.0</v>
      </c>
      <c r="D49" s="395" t="s">
        <v>849</v>
      </c>
      <c r="E49" s="396" t="s">
        <v>1429</v>
      </c>
      <c r="F49" s="396" t="s">
        <v>1277</v>
      </c>
      <c r="G49" s="396" t="s">
        <v>1430</v>
      </c>
      <c r="H49" s="396" t="s">
        <v>1431</v>
      </c>
      <c r="I49" s="397"/>
      <c r="J49" s="392">
        <f t="shared" si="7"/>
        <v>1</v>
      </c>
      <c r="K49" s="361"/>
      <c r="L49" s="398">
        <v>247403.0</v>
      </c>
      <c r="M49" s="398" t="s">
        <v>1432</v>
      </c>
      <c r="N49" s="361"/>
      <c r="O49" s="361"/>
      <c r="P49" s="361"/>
      <c r="Q49" s="361"/>
      <c r="R49" s="361"/>
      <c r="S49" s="361"/>
      <c r="T49" s="361"/>
      <c r="U49" s="361"/>
      <c r="V49" s="361"/>
      <c r="W49" s="361"/>
      <c r="X49" s="361"/>
      <c r="Y49" s="361"/>
      <c r="Z49" s="361"/>
    </row>
    <row r="50" ht="22.5" customHeight="1" outlineLevel="1">
      <c r="A50" s="395">
        <v>247135.0</v>
      </c>
      <c r="B50" s="393" t="s">
        <v>1433</v>
      </c>
      <c r="C50" s="394">
        <v>45637.0</v>
      </c>
      <c r="D50" s="395" t="s">
        <v>849</v>
      </c>
      <c r="E50" s="396" t="s">
        <v>1434</v>
      </c>
      <c r="F50" s="396" t="s">
        <v>1435</v>
      </c>
      <c r="G50" s="396" t="s">
        <v>1436</v>
      </c>
      <c r="H50" s="396" t="s">
        <v>1437</v>
      </c>
      <c r="I50" s="397"/>
      <c r="J50" s="392">
        <f t="shared" si="7"/>
        <v>1</v>
      </c>
      <c r="K50" s="361"/>
      <c r="L50" s="398">
        <v>143071.0</v>
      </c>
      <c r="M50" s="398" t="s">
        <v>778</v>
      </c>
      <c r="N50" s="361"/>
      <c r="O50" s="361"/>
      <c r="P50" s="361"/>
      <c r="Q50" s="361"/>
      <c r="R50" s="361"/>
      <c r="S50" s="361"/>
      <c r="T50" s="361"/>
      <c r="U50" s="361"/>
      <c r="V50" s="361"/>
      <c r="W50" s="361"/>
      <c r="X50" s="361"/>
      <c r="Y50" s="361"/>
      <c r="Z50" s="361"/>
    </row>
    <row r="51" ht="22.5" customHeight="1" outlineLevel="1">
      <c r="A51" s="395">
        <v>247142.0</v>
      </c>
      <c r="B51" s="393" t="s">
        <v>1438</v>
      </c>
      <c r="C51" s="394">
        <v>45637.0</v>
      </c>
      <c r="D51" s="395" t="s">
        <v>849</v>
      </c>
      <c r="E51" s="396" t="s">
        <v>1439</v>
      </c>
      <c r="F51" s="396" t="s">
        <v>1435</v>
      </c>
      <c r="G51" s="396" t="s">
        <v>1398</v>
      </c>
      <c r="H51" s="396" t="s">
        <v>1440</v>
      </c>
      <c r="I51" s="397"/>
      <c r="J51" s="392">
        <f t="shared" si="7"/>
        <v>1</v>
      </c>
      <c r="K51" s="361"/>
      <c r="L51" s="398">
        <v>183324.0</v>
      </c>
      <c r="M51" s="398" t="s">
        <v>806</v>
      </c>
      <c r="N51" s="361"/>
      <c r="O51" s="361"/>
      <c r="P51" s="361"/>
      <c r="Q51" s="361"/>
      <c r="R51" s="361"/>
      <c r="S51" s="361"/>
      <c r="T51" s="361"/>
      <c r="U51" s="361"/>
      <c r="V51" s="361"/>
      <c r="W51" s="361"/>
      <c r="X51" s="361"/>
      <c r="Y51" s="361"/>
      <c r="Z51" s="361"/>
    </row>
    <row r="52" ht="22.5" customHeight="1" outlineLevel="1">
      <c r="A52" s="395">
        <v>247313.0</v>
      </c>
      <c r="B52" s="393" t="s">
        <v>410</v>
      </c>
      <c r="C52" s="394">
        <v>45637.0</v>
      </c>
      <c r="D52" s="395" t="s">
        <v>858</v>
      </c>
      <c r="E52" s="396" t="s">
        <v>1441</v>
      </c>
      <c r="F52" s="396" t="s">
        <v>1442</v>
      </c>
      <c r="G52" s="396" t="s">
        <v>1443</v>
      </c>
      <c r="H52" s="396" t="s">
        <v>1444</v>
      </c>
      <c r="I52" s="397"/>
      <c r="J52" s="392">
        <f t="shared" si="7"/>
        <v>1</v>
      </c>
      <c r="K52" s="361"/>
      <c r="L52" s="398">
        <v>183332.0</v>
      </c>
      <c r="M52" s="398" t="s">
        <v>816</v>
      </c>
      <c r="N52" s="361"/>
      <c r="O52" s="361"/>
      <c r="P52" s="361"/>
      <c r="Q52" s="361"/>
      <c r="R52" s="361"/>
      <c r="S52" s="361"/>
      <c r="T52" s="361"/>
      <c r="U52" s="361"/>
      <c r="V52" s="361"/>
      <c r="W52" s="361"/>
      <c r="X52" s="361"/>
      <c r="Y52" s="361"/>
      <c r="Z52" s="361"/>
    </row>
    <row r="53" ht="22.5" customHeight="1" outlineLevel="1">
      <c r="A53" s="395">
        <v>247213.0</v>
      </c>
      <c r="B53" s="393" t="s">
        <v>1445</v>
      </c>
      <c r="C53" s="394">
        <v>45637.0</v>
      </c>
      <c r="D53" s="395" t="s">
        <v>845</v>
      </c>
      <c r="E53" s="396" t="s">
        <v>1446</v>
      </c>
      <c r="F53" s="396" t="s">
        <v>1442</v>
      </c>
      <c r="G53" s="396" t="s">
        <v>1443</v>
      </c>
      <c r="H53" s="396" t="s">
        <v>1447</v>
      </c>
      <c r="I53" s="397"/>
      <c r="J53" s="392">
        <f t="shared" si="7"/>
        <v>1</v>
      </c>
      <c r="K53" s="361"/>
      <c r="L53" s="398">
        <v>183411.0</v>
      </c>
      <c r="M53" s="398" t="s">
        <v>1448</v>
      </c>
      <c r="N53" s="361"/>
      <c r="O53" s="361"/>
      <c r="P53" s="361"/>
      <c r="Q53" s="361"/>
      <c r="R53" s="361"/>
      <c r="S53" s="361"/>
      <c r="T53" s="361"/>
      <c r="U53" s="361"/>
      <c r="V53" s="361"/>
      <c r="W53" s="361"/>
      <c r="X53" s="361"/>
      <c r="Y53" s="361"/>
      <c r="Z53" s="361"/>
    </row>
    <row r="54" ht="15.75" customHeight="1" outlineLevel="1">
      <c r="A54" s="387"/>
      <c r="C54" s="388"/>
      <c r="D54" s="389"/>
      <c r="E54" s="390"/>
      <c r="F54" s="390"/>
      <c r="G54" s="390"/>
      <c r="H54" s="390"/>
      <c r="I54" s="391">
        <f>counta(A55:A62)</f>
        <v>8</v>
      </c>
      <c r="J54" s="389"/>
      <c r="K54" s="361"/>
      <c r="L54" s="361"/>
      <c r="M54" s="361"/>
      <c r="N54" s="361"/>
      <c r="O54" s="361"/>
      <c r="P54" s="361"/>
      <c r="Q54" s="361"/>
      <c r="R54" s="361"/>
      <c r="S54" s="361"/>
      <c r="T54" s="361"/>
      <c r="U54" s="361"/>
      <c r="V54" s="361"/>
      <c r="W54" s="361"/>
      <c r="X54" s="361"/>
      <c r="Y54" s="361"/>
      <c r="Z54" s="361"/>
    </row>
    <row r="55" ht="22.5" customHeight="1" outlineLevel="1">
      <c r="A55" s="406">
        <v>227112.0</v>
      </c>
      <c r="B55" s="393" t="s">
        <v>1449</v>
      </c>
      <c r="C55" s="394">
        <v>45638.0</v>
      </c>
      <c r="D55" s="395" t="s">
        <v>849</v>
      </c>
      <c r="E55" s="396" t="s">
        <v>1306</v>
      </c>
      <c r="I55" s="397"/>
      <c r="J55" s="392">
        <f t="shared" ref="J55:J62" si="8">countif(A$6:A55,A55)</f>
        <v>1</v>
      </c>
      <c r="K55" s="361"/>
      <c r="L55" s="398">
        <v>227112.0</v>
      </c>
      <c r="M55" s="398" t="s">
        <v>568</v>
      </c>
      <c r="N55" s="361"/>
      <c r="O55" s="361"/>
      <c r="P55" s="361"/>
      <c r="Q55" s="361"/>
      <c r="R55" s="361"/>
      <c r="S55" s="361"/>
      <c r="T55" s="361"/>
      <c r="U55" s="361"/>
      <c r="V55" s="361"/>
      <c r="W55" s="361"/>
      <c r="X55" s="361"/>
      <c r="Y55" s="361"/>
      <c r="Z55" s="361"/>
    </row>
    <row r="56" ht="22.5" customHeight="1" outlineLevel="1">
      <c r="A56" s="395">
        <v>213891.0</v>
      </c>
      <c r="B56" s="393" t="s">
        <v>1450</v>
      </c>
      <c r="C56" s="394">
        <v>45638.0</v>
      </c>
      <c r="D56" s="395" t="s">
        <v>849</v>
      </c>
      <c r="E56" s="396" t="s">
        <v>1451</v>
      </c>
      <c r="F56" s="396" t="s">
        <v>1452</v>
      </c>
      <c r="G56" s="396" t="s">
        <v>1453</v>
      </c>
      <c r="H56" s="396" t="s">
        <v>1454</v>
      </c>
      <c r="I56" s="397"/>
      <c r="J56" s="392">
        <f t="shared" si="8"/>
        <v>1</v>
      </c>
      <c r="K56" s="361"/>
      <c r="L56" s="398">
        <v>227153.0</v>
      </c>
      <c r="M56" s="398" t="s">
        <v>358</v>
      </c>
      <c r="N56" s="361"/>
      <c r="O56" s="361"/>
      <c r="P56" s="361"/>
      <c r="Q56" s="361"/>
      <c r="R56" s="361"/>
      <c r="S56" s="361"/>
      <c r="T56" s="361"/>
      <c r="U56" s="361"/>
      <c r="V56" s="361"/>
      <c r="W56" s="361"/>
      <c r="X56" s="361"/>
      <c r="Y56" s="361"/>
      <c r="Z56" s="361"/>
    </row>
    <row r="57" ht="22.5" customHeight="1" outlineLevel="1">
      <c r="A57" s="395">
        <v>227183.0</v>
      </c>
      <c r="B57" s="393" t="s">
        <v>1455</v>
      </c>
      <c r="C57" s="394">
        <v>45638.0</v>
      </c>
      <c r="D57" s="395" t="s">
        <v>849</v>
      </c>
      <c r="E57" s="396" t="s">
        <v>1456</v>
      </c>
      <c r="F57" s="396" t="s">
        <v>1457</v>
      </c>
      <c r="G57" s="396" t="s">
        <v>1458</v>
      </c>
      <c r="H57" s="396" t="s">
        <v>1459</v>
      </c>
      <c r="I57" s="397"/>
      <c r="J57" s="392">
        <f t="shared" si="8"/>
        <v>1</v>
      </c>
      <c r="K57" s="361"/>
      <c r="L57" s="398">
        <v>227174.0</v>
      </c>
      <c r="M57" s="398" t="s">
        <v>1460</v>
      </c>
      <c r="N57" s="361"/>
      <c r="O57" s="361"/>
      <c r="P57" s="361"/>
      <c r="Q57" s="361"/>
      <c r="R57" s="361"/>
      <c r="S57" s="361"/>
      <c r="T57" s="361"/>
      <c r="U57" s="361"/>
      <c r="V57" s="361"/>
      <c r="W57" s="361"/>
      <c r="X57" s="361"/>
      <c r="Y57" s="361"/>
      <c r="Z57" s="361"/>
    </row>
    <row r="58" ht="22.5" customHeight="1" outlineLevel="1">
      <c r="A58" s="395">
        <v>213954.0</v>
      </c>
      <c r="B58" s="393" t="s">
        <v>1461</v>
      </c>
      <c r="C58" s="394">
        <v>45638.0</v>
      </c>
      <c r="D58" s="395" t="s">
        <v>849</v>
      </c>
      <c r="E58" s="396" t="s">
        <v>1456</v>
      </c>
      <c r="F58" s="396" t="s">
        <v>1462</v>
      </c>
      <c r="G58" s="396" t="s">
        <v>1436</v>
      </c>
      <c r="H58" s="396" t="s">
        <v>1463</v>
      </c>
      <c r="I58" s="397"/>
      <c r="J58" s="392">
        <f t="shared" si="8"/>
        <v>1</v>
      </c>
      <c r="K58" s="361"/>
      <c r="L58" s="398">
        <v>227200.0</v>
      </c>
      <c r="M58" s="398" t="s">
        <v>772</v>
      </c>
      <c r="N58" s="361"/>
      <c r="O58" s="361"/>
      <c r="P58" s="361"/>
      <c r="Q58" s="361"/>
      <c r="R58" s="361"/>
      <c r="S58" s="361"/>
      <c r="T58" s="361"/>
      <c r="U58" s="361"/>
      <c r="V58" s="361"/>
      <c r="W58" s="361"/>
      <c r="X58" s="361"/>
      <c r="Y58" s="361"/>
      <c r="Z58" s="361"/>
    </row>
    <row r="59" ht="22.5" customHeight="1" outlineLevel="1">
      <c r="A59" s="395">
        <v>213974.0</v>
      </c>
      <c r="B59" s="393" t="s">
        <v>1464</v>
      </c>
      <c r="C59" s="394">
        <v>45638.0</v>
      </c>
      <c r="D59" s="395" t="s">
        <v>849</v>
      </c>
      <c r="E59" s="396" t="s">
        <v>1306</v>
      </c>
      <c r="I59" s="397"/>
      <c r="J59" s="392">
        <f t="shared" si="8"/>
        <v>1</v>
      </c>
      <c r="K59" s="361"/>
      <c r="L59" s="398">
        <v>227220.0</v>
      </c>
      <c r="M59" s="398" t="s">
        <v>818</v>
      </c>
      <c r="N59" s="361"/>
      <c r="O59" s="361"/>
      <c r="P59" s="361"/>
      <c r="Q59" s="361"/>
      <c r="R59" s="361"/>
      <c r="S59" s="361"/>
      <c r="T59" s="361"/>
      <c r="U59" s="361"/>
      <c r="V59" s="361"/>
      <c r="W59" s="361"/>
      <c r="X59" s="361"/>
      <c r="Y59" s="361"/>
      <c r="Z59" s="361"/>
    </row>
    <row r="60" ht="22.5" customHeight="1" outlineLevel="1">
      <c r="A60" s="395">
        <v>193579.0</v>
      </c>
      <c r="B60" s="393" t="s">
        <v>1465</v>
      </c>
      <c r="C60" s="394">
        <v>45638.0</v>
      </c>
      <c r="D60" s="395" t="s">
        <v>858</v>
      </c>
      <c r="E60" s="396" t="s">
        <v>1466</v>
      </c>
      <c r="F60" s="396" t="s">
        <v>1467</v>
      </c>
      <c r="G60" s="396" t="s">
        <v>1468</v>
      </c>
      <c r="H60" s="396" t="s">
        <v>1469</v>
      </c>
      <c r="I60" s="397"/>
      <c r="J60" s="392">
        <f t="shared" si="8"/>
        <v>1</v>
      </c>
      <c r="K60" s="361"/>
      <c r="L60" s="398">
        <v>227224.0</v>
      </c>
      <c r="M60" s="398" t="s">
        <v>784</v>
      </c>
      <c r="N60" s="361"/>
      <c r="O60" s="361"/>
      <c r="P60" s="361"/>
      <c r="Q60" s="361"/>
      <c r="R60" s="361"/>
      <c r="S60" s="361"/>
      <c r="T60" s="361"/>
      <c r="U60" s="361"/>
      <c r="V60" s="361"/>
      <c r="W60" s="361"/>
      <c r="X60" s="361"/>
      <c r="Y60" s="361"/>
      <c r="Z60" s="361"/>
    </row>
    <row r="61" ht="22.5" customHeight="1" outlineLevel="1">
      <c r="A61" s="395">
        <v>247389.0</v>
      </c>
      <c r="B61" s="393" t="s">
        <v>1470</v>
      </c>
      <c r="C61" s="394">
        <v>45638.0</v>
      </c>
      <c r="D61" s="395" t="s">
        <v>849</v>
      </c>
      <c r="E61" s="396" t="s">
        <v>1471</v>
      </c>
      <c r="F61" s="396" t="s">
        <v>1435</v>
      </c>
      <c r="G61" s="396" t="s">
        <v>1472</v>
      </c>
      <c r="H61" s="396" t="s">
        <v>1473</v>
      </c>
      <c r="I61" s="397"/>
      <c r="J61" s="392">
        <f t="shared" si="8"/>
        <v>1</v>
      </c>
      <c r="K61" s="361"/>
      <c r="L61" s="398">
        <v>227225.0</v>
      </c>
      <c r="M61" s="398" t="s">
        <v>774</v>
      </c>
      <c r="N61" s="361"/>
      <c r="O61" s="361"/>
      <c r="P61" s="361"/>
      <c r="Q61" s="361"/>
      <c r="R61" s="361"/>
      <c r="S61" s="361"/>
      <c r="T61" s="361"/>
      <c r="U61" s="361"/>
      <c r="V61" s="361"/>
      <c r="W61" s="361"/>
      <c r="X61" s="361"/>
      <c r="Y61" s="361"/>
      <c r="Z61" s="361"/>
    </row>
    <row r="62" ht="22.5" customHeight="1" outlineLevel="1">
      <c r="A62" s="395">
        <v>247390.0</v>
      </c>
      <c r="B62" s="393" t="s">
        <v>1474</v>
      </c>
      <c r="C62" s="394">
        <v>45638.0</v>
      </c>
      <c r="D62" s="395" t="s">
        <v>849</v>
      </c>
      <c r="E62" s="396" t="s">
        <v>1471</v>
      </c>
      <c r="F62" s="396" t="s">
        <v>1355</v>
      </c>
      <c r="G62" s="396" t="s">
        <v>1475</v>
      </c>
      <c r="H62" s="396" t="s">
        <v>1476</v>
      </c>
      <c r="I62" s="397"/>
      <c r="J62" s="392">
        <f t="shared" si="8"/>
        <v>1</v>
      </c>
      <c r="K62" s="361"/>
      <c r="L62" s="398">
        <v>227240.0</v>
      </c>
      <c r="M62" s="398" t="s">
        <v>780</v>
      </c>
      <c r="N62" s="361"/>
      <c r="O62" s="361"/>
      <c r="P62" s="361"/>
      <c r="Q62" s="361"/>
      <c r="R62" s="361"/>
      <c r="S62" s="361"/>
      <c r="T62" s="361"/>
      <c r="U62" s="361"/>
      <c r="V62" s="361"/>
      <c r="W62" s="361"/>
      <c r="X62" s="361"/>
      <c r="Y62" s="361"/>
      <c r="Z62" s="361"/>
    </row>
    <row r="63" ht="15.75" customHeight="1" outlineLevel="1">
      <c r="A63" s="387"/>
      <c r="C63" s="388"/>
      <c r="D63" s="389"/>
      <c r="E63" s="390"/>
      <c r="F63" s="390"/>
      <c r="G63" s="390"/>
      <c r="H63" s="390"/>
      <c r="I63" s="391">
        <f>counta(A64:A71)</f>
        <v>8</v>
      </c>
      <c r="J63" s="389"/>
      <c r="K63" s="361"/>
      <c r="L63" s="361"/>
      <c r="M63" s="361"/>
      <c r="N63" s="361"/>
      <c r="O63" s="361"/>
      <c r="P63" s="361"/>
      <c r="Q63" s="361"/>
      <c r="R63" s="361"/>
      <c r="S63" s="361"/>
      <c r="T63" s="361"/>
      <c r="U63" s="361"/>
      <c r="V63" s="361"/>
      <c r="W63" s="361"/>
      <c r="X63" s="361"/>
      <c r="Y63" s="361"/>
      <c r="Z63" s="361"/>
    </row>
    <row r="64" ht="22.5" customHeight="1" outlineLevel="1">
      <c r="A64" s="392">
        <v>227240.0</v>
      </c>
      <c r="B64" s="407" t="s">
        <v>1477</v>
      </c>
      <c r="C64" s="394">
        <v>45638.0</v>
      </c>
      <c r="D64" s="395" t="s">
        <v>849</v>
      </c>
      <c r="E64" s="396" t="s">
        <v>1478</v>
      </c>
      <c r="F64" s="396" t="s">
        <v>1479</v>
      </c>
      <c r="G64" s="396" t="s">
        <v>1480</v>
      </c>
      <c r="H64" s="396" t="s">
        <v>1481</v>
      </c>
      <c r="I64" s="397"/>
      <c r="J64" s="392">
        <f t="shared" ref="J64:J72" si="9">countif(A$6:A64,A64)</f>
        <v>1</v>
      </c>
      <c r="K64" s="361"/>
      <c r="L64" s="398">
        <v>237006.0</v>
      </c>
      <c r="M64" s="398" t="s">
        <v>770</v>
      </c>
      <c r="N64" s="361"/>
      <c r="O64" s="361"/>
      <c r="P64" s="361"/>
      <c r="Q64" s="361"/>
      <c r="R64" s="361"/>
      <c r="S64" s="361"/>
      <c r="T64" s="361"/>
      <c r="U64" s="361"/>
      <c r="V64" s="361"/>
      <c r="W64" s="361"/>
      <c r="X64" s="361"/>
      <c r="Y64" s="361"/>
      <c r="Z64" s="361"/>
    </row>
    <row r="65" ht="22.5" customHeight="1" outlineLevel="1">
      <c r="A65" s="392">
        <v>237006.0</v>
      </c>
      <c r="B65" s="407" t="s">
        <v>1482</v>
      </c>
      <c r="C65" s="394">
        <v>45638.0</v>
      </c>
      <c r="D65" s="395" t="s">
        <v>849</v>
      </c>
      <c r="E65" s="396" t="s">
        <v>1478</v>
      </c>
      <c r="F65" s="396" t="s">
        <v>1479</v>
      </c>
      <c r="G65" s="396" t="s">
        <v>1483</v>
      </c>
      <c r="H65" s="396" t="s">
        <v>1484</v>
      </c>
      <c r="I65" s="397"/>
      <c r="J65" s="392">
        <f t="shared" si="9"/>
        <v>1</v>
      </c>
      <c r="K65" s="361"/>
      <c r="L65" s="398">
        <v>237009.0</v>
      </c>
      <c r="M65" s="398" t="s">
        <v>688</v>
      </c>
      <c r="N65" s="361"/>
      <c r="O65" s="361"/>
      <c r="P65" s="361"/>
      <c r="Q65" s="361"/>
      <c r="R65" s="361"/>
      <c r="S65" s="361"/>
      <c r="T65" s="361"/>
      <c r="U65" s="361"/>
      <c r="V65" s="361"/>
      <c r="W65" s="361"/>
      <c r="X65" s="361"/>
      <c r="Y65" s="361"/>
      <c r="Z65" s="361"/>
    </row>
    <row r="66" ht="22.5" customHeight="1" outlineLevel="1">
      <c r="A66" s="392">
        <v>227200.0</v>
      </c>
      <c r="B66" s="407" t="s">
        <v>1485</v>
      </c>
      <c r="C66" s="394">
        <v>45638.0</v>
      </c>
      <c r="D66" s="395" t="s">
        <v>849</v>
      </c>
      <c r="E66" s="396" t="s">
        <v>1478</v>
      </c>
      <c r="F66" s="396" t="s">
        <v>1486</v>
      </c>
      <c r="G66" s="396" t="s">
        <v>1487</v>
      </c>
      <c r="H66" s="396" t="s">
        <v>1488</v>
      </c>
      <c r="I66" s="397"/>
      <c r="J66" s="392">
        <f t="shared" si="9"/>
        <v>1</v>
      </c>
      <c r="K66" s="361"/>
      <c r="L66" s="398">
        <v>237023.0</v>
      </c>
      <c r="M66" s="398" t="s">
        <v>788</v>
      </c>
      <c r="N66" s="361"/>
      <c r="O66" s="361"/>
      <c r="P66" s="361"/>
      <c r="Q66" s="361"/>
      <c r="R66" s="361"/>
      <c r="S66" s="361"/>
      <c r="T66" s="361"/>
      <c r="U66" s="361"/>
      <c r="V66" s="361"/>
      <c r="W66" s="361"/>
      <c r="X66" s="361"/>
      <c r="Y66" s="361"/>
      <c r="Z66" s="361"/>
    </row>
    <row r="67" ht="22.5" customHeight="1" outlineLevel="1">
      <c r="A67" s="392">
        <v>143071.0</v>
      </c>
      <c r="B67" s="407" t="s">
        <v>1489</v>
      </c>
      <c r="C67" s="394">
        <v>45638.0</v>
      </c>
      <c r="D67" s="395" t="s">
        <v>858</v>
      </c>
      <c r="E67" s="396" t="s">
        <v>1490</v>
      </c>
      <c r="F67" s="396" t="s">
        <v>1409</v>
      </c>
      <c r="G67" s="396" t="s">
        <v>1491</v>
      </c>
      <c r="H67" s="396" t="s">
        <v>1492</v>
      </c>
      <c r="I67" s="397"/>
      <c r="J67" s="392">
        <f t="shared" si="9"/>
        <v>1</v>
      </c>
      <c r="K67" s="361"/>
      <c r="L67" s="398">
        <v>237037.0</v>
      </c>
      <c r="M67" s="398" t="s">
        <v>1493</v>
      </c>
      <c r="N67" s="361"/>
      <c r="O67" s="361"/>
      <c r="P67" s="361"/>
      <c r="Q67" s="361"/>
      <c r="R67" s="361"/>
      <c r="S67" s="361"/>
      <c r="T67" s="361"/>
      <c r="U67" s="361"/>
      <c r="V67" s="361"/>
      <c r="W67" s="361"/>
      <c r="X67" s="361"/>
      <c r="Y67" s="361"/>
      <c r="Z67" s="361"/>
    </row>
    <row r="68" ht="22.5" customHeight="1" outlineLevel="1">
      <c r="A68" s="392">
        <v>193544.0</v>
      </c>
      <c r="B68" s="407" t="s">
        <v>1494</v>
      </c>
      <c r="C68" s="394">
        <v>45638.0</v>
      </c>
      <c r="D68" s="395" t="s">
        <v>845</v>
      </c>
      <c r="E68" s="396" t="s">
        <v>1495</v>
      </c>
      <c r="F68" s="396" t="s">
        <v>1409</v>
      </c>
      <c r="G68" s="396" t="s">
        <v>1483</v>
      </c>
      <c r="H68" s="396" t="s">
        <v>1496</v>
      </c>
      <c r="I68" s="397"/>
      <c r="J68" s="392">
        <f t="shared" si="9"/>
        <v>1</v>
      </c>
      <c r="K68" s="361"/>
      <c r="L68" s="398">
        <v>237049.0</v>
      </c>
      <c r="M68" s="398" t="s">
        <v>808</v>
      </c>
      <c r="N68" s="361"/>
      <c r="O68" s="361"/>
      <c r="P68" s="361"/>
      <c r="Q68" s="361"/>
      <c r="R68" s="361"/>
      <c r="S68" s="361"/>
      <c r="T68" s="361"/>
      <c r="U68" s="361"/>
      <c r="V68" s="361"/>
      <c r="W68" s="361"/>
      <c r="X68" s="361"/>
      <c r="Y68" s="361"/>
      <c r="Z68" s="361"/>
    </row>
    <row r="69" ht="22.5" customHeight="1" outlineLevel="1">
      <c r="A69" s="392">
        <v>237009.0</v>
      </c>
      <c r="B69" s="407" t="s">
        <v>1497</v>
      </c>
      <c r="C69" s="394">
        <v>45638.0</v>
      </c>
      <c r="D69" s="395" t="s">
        <v>845</v>
      </c>
      <c r="E69" s="396" t="s">
        <v>1495</v>
      </c>
      <c r="F69" s="396" t="s">
        <v>1409</v>
      </c>
      <c r="G69" s="396" t="s">
        <v>1498</v>
      </c>
      <c r="H69" s="396" t="s">
        <v>1422</v>
      </c>
      <c r="I69" s="397"/>
      <c r="J69" s="392">
        <f t="shared" si="9"/>
        <v>1</v>
      </c>
      <c r="K69" s="361"/>
      <c r="L69" s="398">
        <v>237101.0</v>
      </c>
      <c r="M69" s="398" t="s">
        <v>812</v>
      </c>
      <c r="N69" s="361"/>
      <c r="O69" s="361"/>
      <c r="P69" s="361"/>
      <c r="Q69" s="361"/>
      <c r="R69" s="361"/>
      <c r="S69" s="361"/>
      <c r="T69" s="361"/>
      <c r="U69" s="361"/>
      <c r="V69" s="361"/>
      <c r="W69" s="361"/>
      <c r="X69" s="361"/>
      <c r="Y69" s="361"/>
      <c r="Z69" s="361"/>
    </row>
    <row r="70" ht="22.5" customHeight="1" outlineLevel="1">
      <c r="A70" s="392">
        <v>237004.0</v>
      </c>
      <c r="B70" s="407" t="s">
        <v>1499</v>
      </c>
      <c r="C70" s="394">
        <v>45638.0</v>
      </c>
      <c r="D70" s="395" t="s">
        <v>849</v>
      </c>
      <c r="E70" s="396" t="s">
        <v>1500</v>
      </c>
      <c r="F70" s="396" t="s">
        <v>1409</v>
      </c>
      <c r="G70" s="396" t="s">
        <v>1501</v>
      </c>
      <c r="H70" s="396" t="s">
        <v>1502</v>
      </c>
      <c r="I70" s="397"/>
      <c r="J70" s="392">
        <f t="shared" si="9"/>
        <v>1</v>
      </c>
      <c r="K70" s="361"/>
      <c r="L70" s="398">
        <v>237169.0</v>
      </c>
      <c r="M70" s="398" t="s">
        <v>365</v>
      </c>
      <c r="N70" s="361"/>
      <c r="O70" s="361"/>
      <c r="P70" s="361"/>
      <c r="Q70" s="361"/>
      <c r="R70" s="361"/>
      <c r="S70" s="361"/>
      <c r="T70" s="361"/>
      <c r="U70" s="361"/>
      <c r="V70" s="361"/>
      <c r="W70" s="361"/>
      <c r="X70" s="361"/>
      <c r="Y70" s="361"/>
      <c r="Z70" s="361"/>
    </row>
    <row r="71" ht="22.5" customHeight="1" outlineLevel="1">
      <c r="A71" s="392">
        <v>227225.0</v>
      </c>
      <c r="B71" s="407" t="s">
        <v>1503</v>
      </c>
      <c r="C71" s="394">
        <v>45638.0</v>
      </c>
      <c r="D71" s="395" t="s">
        <v>849</v>
      </c>
      <c r="E71" s="396" t="s">
        <v>1504</v>
      </c>
      <c r="F71" s="396" t="s">
        <v>1486</v>
      </c>
      <c r="G71" s="396" t="s">
        <v>1487</v>
      </c>
      <c r="H71" s="396" t="s">
        <v>1505</v>
      </c>
      <c r="I71" s="397"/>
      <c r="J71" s="392">
        <f t="shared" si="9"/>
        <v>1</v>
      </c>
      <c r="K71" s="361"/>
      <c r="L71" s="398">
        <v>237172.0</v>
      </c>
      <c r="M71" s="398" t="s">
        <v>1506</v>
      </c>
      <c r="N71" s="361"/>
      <c r="O71" s="361"/>
      <c r="P71" s="361"/>
      <c r="Q71" s="361"/>
      <c r="R71" s="361"/>
      <c r="S71" s="361"/>
      <c r="T71" s="361"/>
      <c r="U71" s="361"/>
      <c r="V71" s="361"/>
      <c r="W71" s="361"/>
      <c r="X71" s="361"/>
      <c r="Y71" s="361"/>
      <c r="Z71" s="361"/>
    </row>
    <row r="72" ht="22.5" customHeight="1" outlineLevel="1">
      <c r="A72" s="392">
        <v>227224.0</v>
      </c>
      <c r="B72" s="407" t="s">
        <v>1507</v>
      </c>
      <c r="C72" s="394">
        <v>45638.0</v>
      </c>
      <c r="D72" s="395" t="s">
        <v>849</v>
      </c>
      <c r="E72" s="396" t="s">
        <v>1504</v>
      </c>
      <c r="F72" s="396" t="s">
        <v>1508</v>
      </c>
      <c r="G72" s="396" t="s">
        <v>1509</v>
      </c>
      <c r="H72" s="396" t="s">
        <v>1422</v>
      </c>
      <c r="I72" s="397"/>
      <c r="J72" s="392">
        <f t="shared" si="9"/>
        <v>1</v>
      </c>
      <c r="K72" s="361"/>
      <c r="L72" s="398">
        <v>237222.0</v>
      </c>
      <c r="M72" s="398" t="s">
        <v>352</v>
      </c>
      <c r="N72" s="361"/>
      <c r="O72" s="361"/>
      <c r="P72" s="361"/>
      <c r="Q72" s="361"/>
      <c r="R72" s="361"/>
      <c r="S72" s="361"/>
      <c r="T72" s="361"/>
      <c r="U72" s="361"/>
      <c r="V72" s="361"/>
      <c r="W72" s="361"/>
      <c r="X72" s="361"/>
      <c r="Y72" s="361"/>
      <c r="Z72" s="361"/>
    </row>
    <row r="73" ht="15.75" customHeight="1" outlineLevel="1">
      <c r="A73" s="387"/>
      <c r="C73" s="388"/>
      <c r="D73" s="389"/>
      <c r="E73" s="390"/>
      <c r="F73" s="390"/>
      <c r="G73" s="390"/>
      <c r="H73" s="390"/>
      <c r="I73" s="391">
        <f>counta(A74:A81)</f>
        <v>7</v>
      </c>
      <c r="J73" s="389"/>
      <c r="K73" s="361"/>
      <c r="L73" s="361"/>
      <c r="M73" s="361"/>
      <c r="N73" s="361"/>
      <c r="O73" s="361"/>
      <c r="P73" s="361"/>
      <c r="Q73" s="361"/>
      <c r="R73" s="361"/>
      <c r="S73" s="361"/>
      <c r="T73" s="361"/>
      <c r="U73" s="361"/>
      <c r="V73" s="361"/>
      <c r="W73" s="361"/>
      <c r="X73" s="361"/>
      <c r="Y73" s="361"/>
      <c r="Z73" s="361"/>
    </row>
    <row r="74" ht="22.5" customHeight="1" outlineLevel="1">
      <c r="A74" s="401">
        <v>183422.0</v>
      </c>
      <c r="B74" s="400" t="s">
        <v>1510</v>
      </c>
      <c r="C74" s="394">
        <v>45639.0</v>
      </c>
      <c r="D74" s="395" t="s">
        <v>849</v>
      </c>
      <c r="E74" s="396" t="s">
        <v>1511</v>
      </c>
      <c r="F74" s="396" t="s">
        <v>1277</v>
      </c>
      <c r="G74" s="396" t="s">
        <v>1512</v>
      </c>
      <c r="H74" s="396" t="s">
        <v>1513</v>
      </c>
      <c r="I74" s="397"/>
      <c r="J74" s="392">
        <f t="shared" ref="J74:J76" si="10">countif(A$6:A74,A74)</f>
        <v>1</v>
      </c>
      <c r="K74" s="361"/>
      <c r="L74" s="398">
        <v>237235.0</v>
      </c>
      <c r="M74" s="398" t="s">
        <v>354</v>
      </c>
      <c r="N74" s="361"/>
      <c r="O74" s="361"/>
      <c r="P74" s="361"/>
      <c r="Q74" s="361"/>
      <c r="R74" s="361"/>
      <c r="S74" s="361"/>
      <c r="T74" s="361"/>
      <c r="U74" s="361"/>
      <c r="V74" s="361"/>
      <c r="W74" s="361"/>
      <c r="X74" s="361"/>
      <c r="Y74" s="361"/>
      <c r="Z74" s="361"/>
    </row>
    <row r="75" ht="22.5" customHeight="1" outlineLevel="1">
      <c r="A75" s="401">
        <v>193516.0</v>
      </c>
      <c r="B75" s="400" t="s">
        <v>1514</v>
      </c>
      <c r="C75" s="394">
        <v>45639.0</v>
      </c>
      <c r="D75" s="395" t="s">
        <v>845</v>
      </c>
      <c r="E75" s="396" t="s">
        <v>1515</v>
      </c>
      <c r="F75" s="396" t="s">
        <v>1516</v>
      </c>
      <c r="G75" s="396" t="s">
        <v>1356</v>
      </c>
      <c r="H75" s="396" t="s">
        <v>1517</v>
      </c>
      <c r="I75" s="397"/>
      <c r="J75" s="392">
        <f t="shared" si="10"/>
        <v>1</v>
      </c>
      <c r="K75" s="361"/>
      <c r="L75" s="398">
        <v>237238.0</v>
      </c>
      <c r="M75" s="398" t="s">
        <v>1518</v>
      </c>
      <c r="N75" s="361"/>
      <c r="O75" s="361"/>
      <c r="P75" s="361"/>
      <c r="Q75" s="361"/>
      <c r="R75" s="361"/>
      <c r="S75" s="361"/>
      <c r="T75" s="361"/>
      <c r="U75" s="361"/>
      <c r="V75" s="361"/>
      <c r="W75" s="361"/>
      <c r="X75" s="361"/>
      <c r="Y75" s="361"/>
      <c r="Z75" s="361"/>
    </row>
    <row r="76" ht="22.5" customHeight="1" outlineLevel="1">
      <c r="A76" s="401">
        <v>213893.0</v>
      </c>
      <c r="B76" s="400" t="s">
        <v>1519</v>
      </c>
      <c r="C76" s="394">
        <v>45639.0</v>
      </c>
      <c r="D76" s="395" t="s">
        <v>849</v>
      </c>
      <c r="E76" s="396" t="s">
        <v>1520</v>
      </c>
      <c r="F76" s="396" t="s">
        <v>1521</v>
      </c>
      <c r="G76" s="396" t="s">
        <v>1522</v>
      </c>
      <c r="H76" s="396" t="s">
        <v>1523</v>
      </c>
      <c r="I76" s="397"/>
      <c r="J76" s="392">
        <f t="shared" si="10"/>
        <v>1</v>
      </c>
      <c r="K76" s="361"/>
      <c r="L76" s="398">
        <v>237259.0</v>
      </c>
      <c r="M76" s="398" t="s">
        <v>1524</v>
      </c>
      <c r="N76" s="361"/>
      <c r="O76" s="361"/>
      <c r="P76" s="361"/>
      <c r="Q76" s="361"/>
      <c r="R76" s="361"/>
      <c r="S76" s="361"/>
      <c r="T76" s="361"/>
      <c r="U76" s="361"/>
      <c r="V76" s="361"/>
      <c r="W76" s="361"/>
      <c r="X76" s="361"/>
      <c r="Y76" s="361"/>
      <c r="Z76" s="361"/>
    </row>
    <row r="77" ht="15.75" customHeight="1" outlineLevel="1">
      <c r="A77" s="387"/>
      <c r="C77" s="388"/>
      <c r="D77" s="389"/>
      <c r="E77" s="390"/>
      <c r="F77" s="390"/>
      <c r="G77" s="390"/>
      <c r="H77" s="390"/>
      <c r="I77" s="391">
        <f>counta(A78:A85)</f>
        <v>7</v>
      </c>
      <c r="J77" s="389"/>
      <c r="K77" s="361"/>
      <c r="L77" s="361"/>
      <c r="M77" s="361"/>
      <c r="N77" s="361"/>
      <c r="O77" s="361"/>
      <c r="P77" s="361"/>
      <c r="Q77" s="361"/>
      <c r="R77" s="361"/>
      <c r="S77" s="361"/>
      <c r="T77" s="361"/>
      <c r="U77" s="361"/>
      <c r="V77" s="361"/>
      <c r="W77" s="361"/>
      <c r="X77" s="361"/>
      <c r="Y77" s="361"/>
      <c r="Z77" s="361"/>
    </row>
    <row r="78" ht="22.5" customHeight="1" outlineLevel="1">
      <c r="A78" s="399">
        <v>183421.0</v>
      </c>
      <c r="B78" s="400" t="s">
        <v>1525</v>
      </c>
      <c r="C78" s="394">
        <v>45639.0</v>
      </c>
      <c r="D78" s="395" t="s">
        <v>858</v>
      </c>
      <c r="E78" s="396" t="s">
        <v>1526</v>
      </c>
      <c r="F78" s="396" t="s">
        <v>1527</v>
      </c>
      <c r="G78" s="396" t="s">
        <v>1528</v>
      </c>
      <c r="H78" s="396" t="s">
        <v>1529</v>
      </c>
      <c r="I78" s="397"/>
      <c r="J78" s="392">
        <f t="shared" ref="J78:J84" si="11">countif(A$6:A78,A78)</f>
        <v>1</v>
      </c>
      <c r="K78" s="361"/>
      <c r="L78" s="398">
        <v>247038.0</v>
      </c>
      <c r="M78" s="398" t="s">
        <v>346</v>
      </c>
      <c r="N78" s="361"/>
      <c r="O78" s="361"/>
      <c r="P78" s="361"/>
      <c r="Q78" s="361"/>
      <c r="R78" s="361"/>
      <c r="S78" s="361"/>
      <c r="T78" s="361"/>
      <c r="U78" s="361"/>
      <c r="V78" s="361"/>
      <c r="W78" s="361"/>
      <c r="X78" s="361"/>
      <c r="Y78" s="361"/>
      <c r="Z78" s="361"/>
    </row>
    <row r="79" ht="22.5" customHeight="1" outlineLevel="1">
      <c r="A79" s="399">
        <v>193548.0</v>
      </c>
      <c r="B79" s="400" t="s">
        <v>1530</v>
      </c>
      <c r="C79" s="394">
        <v>45639.0</v>
      </c>
      <c r="D79" s="395" t="s">
        <v>845</v>
      </c>
      <c r="E79" s="396" t="s">
        <v>1531</v>
      </c>
      <c r="F79" s="396" t="s">
        <v>1532</v>
      </c>
      <c r="G79" s="396" t="s">
        <v>1533</v>
      </c>
      <c r="H79" s="396" t="s">
        <v>1534</v>
      </c>
      <c r="I79" s="397"/>
      <c r="J79" s="392">
        <f t="shared" si="11"/>
        <v>1</v>
      </c>
      <c r="K79" s="361"/>
      <c r="L79" s="398">
        <v>247078.0</v>
      </c>
      <c r="M79" s="398" t="s">
        <v>340</v>
      </c>
      <c r="N79" s="361"/>
      <c r="O79" s="361"/>
      <c r="P79" s="361"/>
      <c r="Q79" s="361"/>
      <c r="R79" s="361"/>
      <c r="S79" s="361"/>
      <c r="T79" s="361"/>
      <c r="U79" s="361"/>
      <c r="V79" s="361"/>
      <c r="W79" s="361"/>
      <c r="X79" s="361"/>
      <c r="Y79" s="361"/>
      <c r="Z79" s="361"/>
    </row>
    <row r="80" ht="22.5" customHeight="1" outlineLevel="1">
      <c r="A80" s="399">
        <v>237043.0</v>
      </c>
      <c r="B80" s="400" t="s">
        <v>1535</v>
      </c>
      <c r="C80" s="394">
        <v>45639.0</v>
      </c>
      <c r="D80" s="395" t="s">
        <v>849</v>
      </c>
      <c r="E80" s="396" t="s">
        <v>1536</v>
      </c>
      <c r="F80" s="396" t="s">
        <v>1537</v>
      </c>
      <c r="G80" s="396" t="s">
        <v>1538</v>
      </c>
      <c r="H80" s="396" t="s">
        <v>1539</v>
      </c>
      <c r="I80" s="397"/>
      <c r="J80" s="392">
        <f t="shared" si="11"/>
        <v>1</v>
      </c>
      <c r="K80" s="361"/>
      <c r="L80" s="398">
        <v>247079.0</v>
      </c>
      <c r="M80" s="398" t="s">
        <v>350</v>
      </c>
      <c r="N80" s="361"/>
      <c r="O80" s="361"/>
      <c r="P80" s="361"/>
      <c r="Q80" s="361"/>
      <c r="R80" s="361"/>
      <c r="S80" s="361"/>
      <c r="T80" s="361"/>
      <c r="U80" s="361"/>
      <c r="V80" s="361"/>
      <c r="W80" s="361"/>
      <c r="X80" s="361"/>
      <c r="Y80" s="361"/>
      <c r="Z80" s="361"/>
    </row>
    <row r="81" ht="22.5" customHeight="1" outlineLevel="1">
      <c r="A81" s="399">
        <v>247251.0</v>
      </c>
      <c r="B81" s="400" t="s">
        <v>1540</v>
      </c>
      <c r="C81" s="394">
        <v>45639.0</v>
      </c>
      <c r="D81" s="395" t="s">
        <v>845</v>
      </c>
      <c r="E81" s="396" t="s">
        <v>1306</v>
      </c>
      <c r="I81" s="397"/>
      <c r="J81" s="392">
        <f t="shared" si="11"/>
        <v>1</v>
      </c>
      <c r="K81" s="361"/>
      <c r="L81" s="398">
        <v>247080.0</v>
      </c>
      <c r="M81" s="398" t="s">
        <v>338</v>
      </c>
      <c r="N81" s="361"/>
      <c r="O81" s="361"/>
      <c r="P81" s="361"/>
      <c r="Q81" s="361"/>
      <c r="R81" s="361"/>
      <c r="S81" s="361"/>
      <c r="T81" s="361"/>
      <c r="U81" s="361"/>
      <c r="V81" s="361"/>
      <c r="W81" s="361"/>
      <c r="X81" s="361"/>
      <c r="Y81" s="361"/>
      <c r="Z81" s="361"/>
    </row>
    <row r="82" ht="22.5" customHeight="1" outlineLevel="1">
      <c r="A82" s="399">
        <v>247026.0</v>
      </c>
      <c r="B82" s="400" t="s">
        <v>1541</v>
      </c>
      <c r="C82" s="394">
        <v>45639.0</v>
      </c>
      <c r="D82" s="395" t="s">
        <v>845</v>
      </c>
      <c r="E82" s="396" t="s">
        <v>1306</v>
      </c>
      <c r="I82" s="397"/>
      <c r="J82" s="392">
        <f t="shared" si="11"/>
        <v>1</v>
      </c>
      <c r="K82" s="361"/>
      <c r="L82" s="398">
        <v>247106.0</v>
      </c>
      <c r="M82" s="398" t="s">
        <v>342</v>
      </c>
      <c r="N82" s="361"/>
      <c r="O82" s="361"/>
      <c r="P82" s="361"/>
      <c r="Q82" s="361"/>
      <c r="R82" s="361"/>
      <c r="S82" s="361"/>
      <c r="T82" s="361"/>
      <c r="U82" s="361"/>
      <c r="V82" s="361"/>
      <c r="W82" s="361"/>
      <c r="X82" s="361"/>
      <c r="Y82" s="361"/>
      <c r="Z82" s="361"/>
    </row>
    <row r="83" ht="22.5" customHeight="1" outlineLevel="1">
      <c r="A83" s="399">
        <v>173239.0</v>
      </c>
      <c r="B83" s="400" t="s">
        <v>1542</v>
      </c>
      <c r="C83" s="394">
        <v>45639.0</v>
      </c>
      <c r="D83" s="395" t="s">
        <v>845</v>
      </c>
      <c r="E83" s="396" t="s">
        <v>1531</v>
      </c>
      <c r="F83" s="396" t="s">
        <v>1543</v>
      </c>
      <c r="G83" s="396" t="s">
        <v>1544</v>
      </c>
      <c r="H83" s="396" t="s">
        <v>1545</v>
      </c>
      <c r="I83" s="397"/>
      <c r="J83" s="392">
        <f t="shared" si="11"/>
        <v>1</v>
      </c>
      <c r="K83" s="361"/>
      <c r="L83" s="398">
        <v>247114.0</v>
      </c>
      <c r="M83" s="398" t="s">
        <v>786</v>
      </c>
      <c r="N83" s="361"/>
      <c r="O83" s="361"/>
      <c r="P83" s="361"/>
      <c r="Q83" s="361"/>
      <c r="R83" s="361"/>
      <c r="S83" s="361"/>
      <c r="T83" s="361"/>
      <c r="U83" s="361"/>
      <c r="V83" s="361"/>
      <c r="W83" s="361"/>
      <c r="X83" s="361"/>
      <c r="Y83" s="361"/>
      <c r="Z83" s="361"/>
    </row>
    <row r="84" ht="22.5" customHeight="1" outlineLevel="1">
      <c r="A84" s="399">
        <v>203700.0</v>
      </c>
      <c r="B84" s="400" t="s">
        <v>1546</v>
      </c>
      <c r="C84" s="394">
        <v>45639.0</v>
      </c>
      <c r="D84" s="395" t="s">
        <v>849</v>
      </c>
      <c r="E84" s="396" t="s">
        <v>1536</v>
      </c>
      <c r="F84" s="396" t="s">
        <v>1543</v>
      </c>
      <c r="G84" s="396" t="s">
        <v>1547</v>
      </c>
      <c r="H84" s="396" t="s">
        <v>1539</v>
      </c>
      <c r="I84" s="397"/>
      <c r="J84" s="392">
        <f t="shared" si="11"/>
        <v>1</v>
      </c>
      <c r="K84" s="361"/>
      <c r="L84" s="398">
        <v>247122.0</v>
      </c>
      <c r="M84" s="398" t="s">
        <v>810</v>
      </c>
      <c r="N84" s="361"/>
      <c r="O84" s="361"/>
      <c r="P84" s="361"/>
      <c r="Q84" s="361"/>
      <c r="R84" s="361"/>
      <c r="S84" s="361"/>
      <c r="T84" s="361"/>
      <c r="U84" s="361"/>
      <c r="V84" s="361"/>
      <c r="W84" s="361"/>
      <c r="X84" s="361"/>
      <c r="Y84" s="361"/>
      <c r="Z84" s="361"/>
    </row>
    <row r="85" ht="15.75" customHeight="1" outlineLevel="1">
      <c r="A85" s="387"/>
      <c r="C85" s="388"/>
      <c r="D85" s="389"/>
      <c r="E85" s="390"/>
      <c r="F85" s="390"/>
      <c r="G85" s="390"/>
      <c r="H85" s="390"/>
      <c r="I85" s="391">
        <f>counta(A86:A93)</f>
        <v>8</v>
      </c>
      <c r="J85" s="389"/>
      <c r="K85" s="361"/>
      <c r="L85" s="361"/>
      <c r="M85" s="361"/>
      <c r="N85" s="361"/>
      <c r="O85" s="361"/>
      <c r="P85" s="361"/>
      <c r="Q85" s="361"/>
      <c r="R85" s="361"/>
      <c r="S85" s="361"/>
      <c r="T85" s="361"/>
      <c r="U85" s="361"/>
      <c r="V85" s="361"/>
      <c r="W85" s="361"/>
      <c r="X85" s="361"/>
      <c r="Y85" s="361"/>
      <c r="Z85" s="361"/>
    </row>
    <row r="86" ht="22.5" customHeight="1" outlineLevel="1">
      <c r="A86" s="401">
        <v>212007.0</v>
      </c>
      <c r="B86" s="400" t="s">
        <v>1548</v>
      </c>
      <c r="C86" s="394">
        <v>45639.0</v>
      </c>
      <c r="D86" s="395" t="s">
        <v>858</v>
      </c>
      <c r="E86" s="396" t="s">
        <v>1549</v>
      </c>
      <c r="F86" s="396" t="s">
        <v>1550</v>
      </c>
      <c r="G86" s="396" t="s">
        <v>1551</v>
      </c>
      <c r="H86" s="396" t="s">
        <v>1552</v>
      </c>
      <c r="I86" s="397"/>
      <c r="J86" s="392">
        <f t="shared" ref="J86:J93" si="12">countif(A$6:A86,A86)</f>
        <v>1</v>
      </c>
      <c r="K86" s="361"/>
      <c r="L86" s="398">
        <v>247161.0</v>
      </c>
      <c r="M86" s="398" t="s">
        <v>336</v>
      </c>
      <c r="N86" s="361"/>
      <c r="O86" s="361"/>
      <c r="P86" s="361"/>
      <c r="Q86" s="361"/>
      <c r="R86" s="361"/>
      <c r="S86" s="361"/>
      <c r="T86" s="361"/>
      <c r="U86" s="361"/>
      <c r="V86" s="361"/>
      <c r="W86" s="361"/>
      <c r="X86" s="361"/>
      <c r="Y86" s="361"/>
      <c r="Z86" s="361"/>
    </row>
    <row r="87" ht="22.5" customHeight="1" outlineLevel="1">
      <c r="A87" s="401">
        <v>222010.0</v>
      </c>
      <c r="B87" s="400" t="s">
        <v>1553</v>
      </c>
      <c r="C87" s="394">
        <v>45639.0</v>
      </c>
      <c r="D87" s="395" t="s">
        <v>845</v>
      </c>
      <c r="E87" s="396" t="s">
        <v>1554</v>
      </c>
      <c r="F87" s="396" t="s">
        <v>1555</v>
      </c>
      <c r="G87" s="396" t="s">
        <v>1556</v>
      </c>
      <c r="H87" s="396" t="s">
        <v>1557</v>
      </c>
      <c r="I87" s="397"/>
      <c r="J87" s="392">
        <f t="shared" si="12"/>
        <v>1</v>
      </c>
      <c r="K87" s="361"/>
      <c r="L87" s="398">
        <v>247184.0</v>
      </c>
      <c r="M87" s="398" t="s">
        <v>334</v>
      </c>
      <c r="N87" s="361"/>
      <c r="O87" s="361"/>
      <c r="P87" s="361"/>
      <c r="Q87" s="361"/>
      <c r="R87" s="361"/>
      <c r="S87" s="361"/>
      <c r="T87" s="361"/>
      <c r="U87" s="361"/>
      <c r="V87" s="361"/>
      <c r="W87" s="361"/>
      <c r="X87" s="361"/>
      <c r="Y87" s="361"/>
      <c r="Z87" s="361"/>
    </row>
    <row r="88" ht="22.5" customHeight="1" outlineLevel="1">
      <c r="A88" s="401">
        <v>222014.0</v>
      </c>
      <c r="B88" s="400" t="s">
        <v>1558</v>
      </c>
      <c r="C88" s="394">
        <v>45639.0</v>
      </c>
      <c r="D88" s="395" t="s">
        <v>845</v>
      </c>
      <c r="E88" s="396" t="s">
        <v>1559</v>
      </c>
      <c r="F88" s="396" t="s">
        <v>1555</v>
      </c>
      <c r="G88" s="396" t="s">
        <v>1560</v>
      </c>
      <c r="H88" s="396" t="s">
        <v>1561</v>
      </c>
      <c r="I88" s="397"/>
      <c r="J88" s="392">
        <f t="shared" si="12"/>
        <v>1</v>
      </c>
      <c r="K88" s="361"/>
      <c r="L88" s="398">
        <v>247198.0</v>
      </c>
      <c r="M88" s="398" t="s">
        <v>469</v>
      </c>
      <c r="N88" s="361"/>
      <c r="O88" s="361"/>
      <c r="P88" s="361"/>
      <c r="Q88" s="361"/>
      <c r="R88" s="361"/>
      <c r="S88" s="361"/>
      <c r="T88" s="361"/>
      <c r="U88" s="361"/>
      <c r="V88" s="361"/>
      <c r="W88" s="361"/>
      <c r="X88" s="361"/>
      <c r="Y88" s="361"/>
      <c r="Z88" s="361"/>
    </row>
    <row r="89" ht="22.5" customHeight="1" outlineLevel="1">
      <c r="A89" s="401">
        <v>232002.0</v>
      </c>
      <c r="B89" s="400" t="s">
        <v>1562</v>
      </c>
      <c r="C89" s="394">
        <v>45639.0</v>
      </c>
      <c r="D89" s="395" t="s">
        <v>845</v>
      </c>
      <c r="E89" s="396" t="s">
        <v>1559</v>
      </c>
      <c r="F89" s="396" t="s">
        <v>1563</v>
      </c>
      <c r="G89" s="396" t="s">
        <v>1560</v>
      </c>
      <c r="H89" s="396" t="s">
        <v>1552</v>
      </c>
      <c r="I89" s="397"/>
      <c r="J89" s="392">
        <f t="shared" si="12"/>
        <v>1</v>
      </c>
      <c r="K89" s="361"/>
      <c r="L89" s="398">
        <v>247207.0</v>
      </c>
      <c r="M89" s="398" t="s">
        <v>344</v>
      </c>
      <c r="N89" s="361"/>
      <c r="O89" s="361"/>
      <c r="P89" s="361"/>
      <c r="Q89" s="361"/>
      <c r="R89" s="361"/>
      <c r="S89" s="361"/>
      <c r="T89" s="361"/>
      <c r="U89" s="361"/>
      <c r="V89" s="361"/>
      <c r="W89" s="361"/>
      <c r="X89" s="361"/>
      <c r="Y89" s="361"/>
      <c r="Z89" s="361"/>
    </row>
    <row r="90" ht="22.5" customHeight="1" outlineLevel="1">
      <c r="A90" s="401">
        <v>242001.0</v>
      </c>
      <c r="B90" s="400" t="s">
        <v>1564</v>
      </c>
      <c r="C90" s="394">
        <v>45639.0</v>
      </c>
      <c r="D90" s="395" t="s">
        <v>845</v>
      </c>
      <c r="E90" s="396" t="s">
        <v>1559</v>
      </c>
      <c r="F90" s="396" t="s">
        <v>1565</v>
      </c>
      <c r="G90" s="396" t="s">
        <v>1560</v>
      </c>
      <c r="H90" s="396" t="s">
        <v>1492</v>
      </c>
      <c r="I90" s="397"/>
      <c r="J90" s="392">
        <f t="shared" si="12"/>
        <v>1</v>
      </c>
      <c r="K90" s="361"/>
      <c r="L90" s="398">
        <v>247230.0</v>
      </c>
      <c r="M90" s="398" t="s">
        <v>782</v>
      </c>
      <c r="N90" s="361"/>
      <c r="O90" s="361"/>
      <c r="P90" s="361"/>
      <c r="Q90" s="361"/>
      <c r="R90" s="361"/>
      <c r="S90" s="361"/>
      <c r="T90" s="361"/>
      <c r="U90" s="361"/>
      <c r="V90" s="361"/>
      <c r="W90" s="361"/>
      <c r="X90" s="361"/>
      <c r="Y90" s="361"/>
      <c r="Z90" s="361"/>
    </row>
    <row r="91" ht="22.5" customHeight="1" outlineLevel="1">
      <c r="A91" s="401">
        <v>242009.0</v>
      </c>
      <c r="B91" s="400" t="s">
        <v>1566</v>
      </c>
      <c r="C91" s="394">
        <v>45639.0</v>
      </c>
      <c r="D91" s="395" t="s">
        <v>849</v>
      </c>
      <c r="E91" s="396" t="s">
        <v>1567</v>
      </c>
      <c r="F91" s="396" t="s">
        <v>1565</v>
      </c>
      <c r="G91" s="396" t="s">
        <v>1568</v>
      </c>
      <c r="H91" s="396" t="s">
        <v>1569</v>
      </c>
      <c r="I91" s="397"/>
      <c r="J91" s="392">
        <f t="shared" si="12"/>
        <v>1</v>
      </c>
      <c r="K91" s="361"/>
      <c r="L91" s="398">
        <v>247260.0</v>
      </c>
      <c r="M91" s="398" t="s">
        <v>348</v>
      </c>
      <c r="N91" s="361"/>
      <c r="O91" s="361"/>
      <c r="P91" s="361"/>
      <c r="Q91" s="361"/>
      <c r="R91" s="361"/>
      <c r="S91" s="361"/>
      <c r="T91" s="361"/>
      <c r="U91" s="361"/>
      <c r="V91" s="361"/>
      <c r="W91" s="361"/>
      <c r="X91" s="361"/>
      <c r="Y91" s="361"/>
      <c r="Z91" s="361"/>
    </row>
    <row r="92" ht="22.5" customHeight="1" outlineLevel="1">
      <c r="A92" s="401">
        <v>242003.0</v>
      </c>
      <c r="B92" s="400" t="s">
        <v>1570</v>
      </c>
      <c r="C92" s="394">
        <v>45639.0</v>
      </c>
      <c r="D92" s="395" t="s">
        <v>845</v>
      </c>
      <c r="E92" s="396" t="s">
        <v>1559</v>
      </c>
      <c r="F92" s="396" t="s">
        <v>1565</v>
      </c>
      <c r="G92" s="396" t="s">
        <v>1556</v>
      </c>
      <c r="H92" s="396" t="s">
        <v>1571</v>
      </c>
      <c r="I92" s="397"/>
      <c r="J92" s="392">
        <f t="shared" si="12"/>
        <v>1</v>
      </c>
      <c r="K92" s="361"/>
      <c r="L92" s="398">
        <v>247278.0</v>
      </c>
      <c r="M92" s="398" t="s">
        <v>1572</v>
      </c>
      <c r="N92" s="361"/>
      <c r="O92" s="361"/>
      <c r="P92" s="361"/>
      <c r="Q92" s="361"/>
      <c r="R92" s="361"/>
      <c r="S92" s="361"/>
      <c r="T92" s="361"/>
      <c r="U92" s="361"/>
      <c r="V92" s="361"/>
      <c r="W92" s="361"/>
      <c r="X92" s="361"/>
      <c r="Y92" s="361"/>
      <c r="Z92" s="361"/>
    </row>
    <row r="93" ht="22.5" customHeight="1" outlineLevel="1">
      <c r="A93" s="401">
        <v>242006.0</v>
      </c>
      <c r="B93" s="400" t="s">
        <v>1573</v>
      </c>
      <c r="C93" s="394">
        <v>45639.0</v>
      </c>
      <c r="D93" s="395" t="s">
        <v>849</v>
      </c>
      <c r="E93" s="396" t="s">
        <v>1567</v>
      </c>
      <c r="F93" s="396" t="s">
        <v>1555</v>
      </c>
      <c r="G93" s="396" t="s">
        <v>1574</v>
      </c>
      <c r="H93" s="396" t="s">
        <v>1575</v>
      </c>
      <c r="I93" s="397"/>
      <c r="J93" s="392">
        <f t="shared" si="12"/>
        <v>1</v>
      </c>
      <c r="K93" s="361"/>
      <c r="L93" s="398">
        <v>247282.0</v>
      </c>
      <c r="M93" s="398" t="s">
        <v>1576</v>
      </c>
      <c r="N93" s="361"/>
      <c r="O93" s="361"/>
      <c r="P93" s="361"/>
      <c r="Q93" s="361"/>
      <c r="R93" s="361"/>
      <c r="S93" s="361"/>
      <c r="T93" s="361"/>
      <c r="U93" s="361"/>
      <c r="V93" s="361"/>
      <c r="W93" s="361"/>
      <c r="X93" s="361"/>
      <c r="Y93" s="361"/>
      <c r="Z93" s="361"/>
    </row>
    <row r="94" ht="15.75" customHeight="1" outlineLevel="1">
      <c r="A94" s="387"/>
      <c r="C94" s="388"/>
      <c r="D94" s="389"/>
      <c r="E94" s="390"/>
      <c r="F94" s="390"/>
      <c r="G94" s="390"/>
      <c r="H94" s="390"/>
      <c r="I94" s="391">
        <f>counta(A95:A102)</f>
        <v>8</v>
      </c>
      <c r="J94" s="389"/>
      <c r="K94" s="361"/>
      <c r="L94" s="361"/>
      <c r="M94" s="361"/>
      <c r="N94" s="361"/>
      <c r="O94" s="361"/>
      <c r="P94" s="361"/>
      <c r="Q94" s="361"/>
      <c r="R94" s="361"/>
      <c r="S94" s="361"/>
      <c r="T94" s="361"/>
      <c r="U94" s="361"/>
      <c r="V94" s="361"/>
      <c r="W94" s="361"/>
      <c r="X94" s="361"/>
      <c r="Y94" s="361"/>
      <c r="Z94" s="361"/>
    </row>
    <row r="95" ht="22.5" customHeight="1" outlineLevel="1">
      <c r="A95" s="408" t="s">
        <v>250</v>
      </c>
      <c r="B95" s="393" t="s">
        <v>1577</v>
      </c>
      <c r="C95" s="394">
        <v>45639.0</v>
      </c>
      <c r="D95" s="395" t="s">
        <v>849</v>
      </c>
      <c r="E95" s="396" t="s">
        <v>1536</v>
      </c>
      <c r="F95" s="396" t="s">
        <v>1565</v>
      </c>
      <c r="G95" s="396" t="s">
        <v>1578</v>
      </c>
      <c r="H95" s="396" t="s">
        <v>1579</v>
      </c>
      <c r="I95" s="397"/>
      <c r="J95" s="392">
        <f t="shared" ref="J95:J104" si="13">countif(A$6:A95,A95)</f>
        <v>1</v>
      </c>
      <c r="K95" s="361"/>
      <c r="L95" s="398">
        <v>247299.0</v>
      </c>
      <c r="M95" s="398" t="s">
        <v>1580</v>
      </c>
      <c r="N95" s="361"/>
      <c r="O95" s="361"/>
      <c r="P95" s="361"/>
      <c r="Q95" s="361"/>
      <c r="R95" s="361"/>
      <c r="S95" s="361"/>
      <c r="T95" s="361"/>
      <c r="U95" s="361"/>
      <c r="V95" s="361"/>
      <c r="W95" s="361"/>
      <c r="X95" s="361"/>
      <c r="Y95" s="361"/>
      <c r="Z95" s="361"/>
    </row>
    <row r="96" ht="22.5" customHeight="1" outlineLevel="1">
      <c r="A96" s="408" t="s">
        <v>373</v>
      </c>
      <c r="B96" s="393" t="s">
        <v>1581</v>
      </c>
      <c r="C96" s="394">
        <v>45639.0</v>
      </c>
      <c r="D96" s="395" t="s">
        <v>849</v>
      </c>
      <c r="E96" s="396" t="s">
        <v>1536</v>
      </c>
      <c r="F96" s="396" t="s">
        <v>1565</v>
      </c>
      <c r="G96" s="396" t="s">
        <v>1582</v>
      </c>
      <c r="H96" s="396" t="s">
        <v>1583</v>
      </c>
      <c r="I96" s="397"/>
      <c r="J96" s="392">
        <f t="shared" si="13"/>
        <v>1</v>
      </c>
      <c r="K96" s="361"/>
      <c r="L96" s="398">
        <v>247329.0</v>
      </c>
      <c r="M96" s="398" t="s">
        <v>1584</v>
      </c>
      <c r="N96" s="361"/>
      <c r="O96" s="361"/>
      <c r="P96" s="361"/>
      <c r="Q96" s="361"/>
      <c r="R96" s="361"/>
      <c r="S96" s="361"/>
      <c r="T96" s="361"/>
      <c r="U96" s="361"/>
      <c r="V96" s="361"/>
      <c r="W96" s="361"/>
      <c r="X96" s="361"/>
      <c r="Y96" s="361"/>
      <c r="Z96" s="361"/>
    </row>
    <row r="97" ht="22.5" customHeight="1" outlineLevel="1">
      <c r="A97" s="408" t="s">
        <v>252</v>
      </c>
      <c r="B97" s="393" t="s">
        <v>1585</v>
      </c>
      <c r="C97" s="394">
        <v>45639.0</v>
      </c>
      <c r="D97" s="395" t="s">
        <v>849</v>
      </c>
      <c r="E97" s="396" t="s">
        <v>1536</v>
      </c>
      <c r="F97" s="396" t="s">
        <v>1586</v>
      </c>
      <c r="G97" s="396" t="s">
        <v>1582</v>
      </c>
      <c r="H97" s="396" t="s">
        <v>1587</v>
      </c>
      <c r="I97" s="397"/>
      <c r="J97" s="392">
        <f t="shared" si="13"/>
        <v>1</v>
      </c>
      <c r="K97" s="361"/>
      <c r="L97" s="398">
        <v>247366.0</v>
      </c>
      <c r="M97" s="398" t="s">
        <v>1588</v>
      </c>
      <c r="N97" s="361"/>
      <c r="O97" s="361"/>
      <c r="P97" s="361"/>
      <c r="Q97" s="361"/>
      <c r="R97" s="361"/>
      <c r="S97" s="361"/>
      <c r="T97" s="361"/>
      <c r="U97" s="361"/>
      <c r="V97" s="361"/>
      <c r="W97" s="361"/>
      <c r="X97" s="361"/>
      <c r="Y97" s="361"/>
      <c r="Z97" s="361"/>
    </row>
    <row r="98" ht="22.5" customHeight="1" outlineLevel="1">
      <c r="A98" s="408" t="s">
        <v>248</v>
      </c>
      <c r="B98" s="393" t="s">
        <v>1589</v>
      </c>
      <c r="C98" s="394">
        <v>45639.0</v>
      </c>
      <c r="D98" s="395" t="s">
        <v>849</v>
      </c>
      <c r="E98" s="396" t="s">
        <v>1536</v>
      </c>
      <c r="F98" s="396" t="s">
        <v>1586</v>
      </c>
      <c r="G98" s="396" t="s">
        <v>1590</v>
      </c>
      <c r="H98" s="396" t="s">
        <v>1591</v>
      </c>
      <c r="I98" s="397"/>
      <c r="J98" s="392">
        <f t="shared" si="13"/>
        <v>1</v>
      </c>
      <c r="K98" s="361"/>
      <c r="L98" s="398">
        <v>247378.0</v>
      </c>
      <c r="M98" s="398" t="s">
        <v>207</v>
      </c>
      <c r="N98" s="361"/>
      <c r="O98" s="361"/>
      <c r="P98" s="361"/>
      <c r="Q98" s="361"/>
      <c r="R98" s="361"/>
      <c r="S98" s="361"/>
      <c r="T98" s="361"/>
      <c r="U98" s="361"/>
      <c r="V98" s="361"/>
      <c r="W98" s="361"/>
      <c r="X98" s="361"/>
      <c r="Y98" s="361"/>
      <c r="Z98" s="361"/>
    </row>
    <row r="99" ht="22.5" customHeight="1" outlineLevel="1">
      <c r="A99" s="408" t="s">
        <v>262</v>
      </c>
      <c r="B99" s="393" t="s">
        <v>1592</v>
      </c>
      <c r="C99" s="394">
        <v>45639.0</v>
      </c>
      <c r="D99" s="395" t="s">
        <v>849</v>
      </c>
      <c r="E99" s="396" t="s">
        <v>1536</v>
      </c>
      <c r="F99" s="396" t="s">
        <v>1586</v>
      </c>
      <c r="G99" s="396" t="s">
        <v>1436</v>
      </c>
      <c r="H99" s="396" t="s">
        <v>1593</v>
      </c>
      <c r="I99" s="397"/>
      <c r="J99" s="392">
        <f t="shared" si="13"/>
        <v>1</v>
      </c>
      <c r="K99" s="361"/>
      <c r="L99" s="398">
        <v>247379.0</v>
      </c>
      <c r="M99" s="398" t="s">
        <v>361</v>
      </c>
      <c r="N99" s="361"/>
      <c r="O99" s="361"/>
      <c r="P99" s="361"/>
      <c r="Q99" s="361"/>
      <c r="R99" s="361"/>
      <c r="S99" s="361"/>
      <c r="T99" s="361"/>
      <c r="U99" s="361"/>
      <c r="V99" s="361"/>
      <c r="W99" s="361"/>
      <c r="X99" s="361"/>
      <c r="Y99" s="361"/>
      <c r="Z99" s="361"/>
    </row>
    <row r="100" ht="22.5" customHeight="1" outlineLevel="1">
      <c r="A100" s="408" t="s">
        <v>254</v>
      </c>
      <c r="B100" s="393" t="s">
        <v>1594</v>
      </c>
      <c r="C100" s="394">
        <v>45639.0</v>
      </c>
      <c r="D100" s="395" t="s">
        <v>849</v>
      </c>
      <c r="E100" s="396" t="s">
        <v>1536</v>
      </c>
      <c r="F100" s="396" t="s">
        <v>1586</v>
      </c>
      <c r="G100" s="396" t="s">
        <v>1595</v>
      </c>
      <c r="H100" s="396" t="s">
        <v>1569</v>
      </c>
      <c r="I100" s="397"/>
      <c r="J100" s="392">
        <f t="shared" si="13"/>
        <v>1</v>
      </c>
      <c r="K100" s="361"/>
      <c r="L100" s="398">
        <v>247391.0</v>
      </c>
      <c r="M100" s="398" t="s">
        <v>1596</v>
      </c>
      <c r="N100" s="361"/>
      <c r="O100" s="361"/>
      <c r="P100" s="361"/>
      <c r="Q100" s="361"/>
      <c r="R100" s="361"/>
      <c r="S100" s="361"/>
      <c r="T100" s="361"/>
      <c r="U100" s="361"/>
      <c r="V100" s="361"/>
      <c r="W100" s="361"/>
      <c r="X100" s="361"/>
      <c r="Y100" s="361"/>
      <c r="Z100" s="361"/>
    </row>
    <row r="101" ht="22.5" customHeight="1" outlineLevel="1">
      <c r="A101" s="409" t="s">
        <v>246</v>
      </c>
      <c r="B101" s="400" t="s">
        <v>1597</v>
      </c>
      <c r="C101" s="394">
        <v>45639.0</v>
      </c>
      <c r="D101" s="395" t="s">
        <v>849</v>
      </c>
      <c r="E101" s="396" t="s">
        <v>1306</v>
      </c>
      <c r="I101" s="397"/>
      <c r="J101" s="392">
        <f t="shared" si="13"/>
        <v>1</v>
      </c>
      <c r="K101" s="361"/>
      <c r="L101" s="398">
        <v>247392.0</v>
      </c>
      <c r="M101" s="398" t="s">
        <v>1598</v>
      </c>
      <c r="N101" s="361"/>
      <c r="O101" s="361"/>
      <c r="P101" s="361"/>
      <c r="Q101" s="361"/>
      <c r="R101" s="361"/>
      <c r="S101" s="361"/>
      <c r="T101" s="361"/>
      <c r="U101" s="361"/>
      <c r="V101" s="361"/>
      <c r="W101" s="361"/>
      <c r="X101" s="361"/>
      <c r="Y101" s="361"/>
      <c r="Z101" s="361"/>
    </row>
    <row r="102" ht="22.5" customHeight="1" outlineLevel="1">
      <c r="A102" s="409" t="s">
        <v>260</v>
      </c>
      <c r="B102" s="400" t="s">
        <v>1599</v>
      </c>
      <c r="C102" s="394">
        <v>45639.0</v>
      </c>
      <c r="D102" s="395" t="s">
        <v>849</v>
      </c>
      <c r="E102" s="396" t="s">
        <v>1600</v>
      </c>
      <c r="F102" s="396" t="s">
        <v>1601</v>
      </c>
      <c r="G102" s="396" t="s">
        <v>1602</v>
      </c>
      <c r="H102" s="396" t="s">
        <v>1603</v>
      </c>
      <c r="I102" s="397"/>
      <c r="J102" s="392">
        <f t="shared" si="13"/>
        <v>1</v>
      </c>
      <c r="K102" s="361"/>
      <c r="L102" s="398">
        <v>163215.0</v>
      </c>
      <c r="M102" s="398" t="s">
        <v>576</v>
      </c>
      <c r="N102" s="361"/>
      <c r="O102" s="361"/>
      <c r="P102" s="361"/>
      <c r="Q102" s="361"/>
      <c r="R102" s="361"/>
      <c r="S102" s="361"/>
      <c r="T102" s="361"/>
      <c r="U102" s="361"/>
      <c r="V102" s="361"/>
      <c r="W102" s="361"/>
      <c r="X102" s="361"/>
      <c r="Y102" s="361"/>
      <c r="Z102" s="361"/>
    </row>
    <row r="103" ht="22.5" customHeight="1" outlineLevel="1">
      <c r="A103" s="409" t="s">
        <v>1604</v>
      </c>
      <c r="B103" s="400" t="s">
        <v>1605</v>
      </c>
      <c r="C103" s="394">
        <v>45639.0</v>
      </c>
      <c r="D103" s="395" t="s">
        <v>845</v>
      </c>
      <c r="E103" s="396" t="s">
        <v>1606</v>
      </c>
      <c r="F103" s="396" t="s">
        <v>1607</v>
      </c>
      <c r="G103" s="396" t="s">
        <v>1608</v>
      </c>
      <c r="H103" s="396" t="s">
        <v>1529</v>
      </c>
      <c r="I103" s="397"/>
      <c r="J103" s="392">
        <f t="shared" si="13"/>
        <v>1</v>
      </c>
      <c r="K103" s="361"/>
      <c r="L103" s="398">
        <v>183400.0</v>
      </c>
      <c r="M103" s="398" t="s">
        <v>489</v>
      </c>
      <c r="N103" s="361"/>
      <c r="O103" s="361"/>
      <c r="P103" s="361"/>
      <c r="Q103" s="361"/>
      <c r="R103" s="361"/>
      <c r="S103" s="361"/>
      <c r="T103" s="361"/>
      <c r="U103" s="361"/>
      <c r="V103" s="361"/>
      <c r="W103" s="361"/>
      <c r="X103" s="361"/>
      <c r="Y103" s="361"/>
      <c r="Z103" s="361"/>
    </row>
    <row r="104" ht="22.5" customHeight="1" outlineLevel="1">
      <c r="A104" s="409">
        <v>193529.0</v>
      </c>
      <c r="B104" s="400" t="s">
        <v>1609</v>
      </c>
      <c r="C104" s="394">
        <v>45639.0</v>
      </c>
      <c r="D104" s="395" t="s">
        <v>845</v>
      </c>
      <c r="E104" s="396" t="s">
        <v>1306</v>
      </c>
      <c r="I104" s="397"/>
      <c r="J104" s="392">
        <f t="shared" si="13"/>
        <v>1</v>
      </c>
      <c r="K104" s="361"/>
      <c r="L104" s="398">
        <v>183422.0</v>
      </c>
      <c r="M104" s="398" t="s">
        <v>372</v>
      </c>
      <c r="N104" s="361"/>
      <c r="O104" s="361"/>
      <c r="P104" s="361"/>
      <c r="Q104" s="361"/>
      <c r="R104" s="361"/>
      <c r="S104" s="361"/>
      <c r="T104" s="361"/>
      <c r="U104" s="361"/>
      <c r="V104" s="361"/>
      <c r="W104" s="361"/>
      <c r="X104" s="361"/>
      <c r="Y104" s="361"/>
      <c r="Z104" s="361"/>
    </row>
    <row r="105" ht="15.75" customHeight="1" outlineLevel="1">
      <c r="A105" s="387"/>
      <c r="C105" s="388"/>
      <c r="D105" s="389"/>
      <c r="E105" s="390"/>
      <c r="F105" s="390"/>
      <c r="G105" s="390"/>
      <c r="H105" s="390"/>
      <c r="I105" s="391">
        <f>counta(A106:A113)</f>
        <v>7</v>
      </c>
      <c r="J105" s="389"/>
      <c r="K105" s="361"/>
      <c r="L105" s="361"/>
      <c r="M105" s="361"/>
      <c r="N105" s="361"/>
      <c r="O105" s="361"/>
      <c r="P105" s="361"/>
      <c r="Q105" s="361"/>
      <c r="R105" s="361"/>
      <c r="S105" s="361"/>
      <c r="T105" s="361"/>
      <c r="U105" s="361"/>
      <c r="V105" s="361"/>
      <c r="W105" s="361"/>
      <c r="X105" s="361"/>
      <c r="Y105" s="361"/>
      <c r="Z105" s="361"/>
    </row>
    <row r="106" ht="22.5" customHeight="1" outlineLevel="1">
      <c r="A106" s="408" t="s">
        <v>272</v>
      </c>
      <c r="B106" s="393" t="s">
        <v>1610</v>
      </c>
      <c r="C106" s="394">
        <v>45639.0</v>
      </c>
      <c r="D106" s="395" t="s">
        <v>849</v>
      </c>
      <c r="E106" s="396" t="s">
        <v>1611</v>
      </c>
      <c r="F106" s="396" t="s">
        <v>1586</v>
      </c>
      <c r="G106" s="396" t="s">
        <v>1612</v>
      </c>
      <c r="H106" s="396" t="s">
        <v>1569</v>
      </c>
      <c r="I106" s="397"/>
      <c r="J106" s="392">
        <f t="shared" ref="J106:J112" si="14">countif(A$6:A106,A106)</f>
        <v>1</v>
      </c>
      <c r="K106" s="361"/>
      <c r="L106" s="398">
        <v>183440.0</v>
      </c>
      <c r="M106" s="398" t="s">
        <v>483</v>
      </c>
      <c r="N106" s="361"/>
      <c r="O106" s="361"/>
      <c r="P106" s="361"/>
      <c r="Q106" s="361"/>
      <c r="R106" s="361"/>
      <c r="S106" s="361"/>
      <c r="T106" s="361"/>
      <c r="U106" s="361"/>
      <c r="V106" s="361"/>
      <c r="W106" s="361"/>
      <c r="X106" s="361"/>
      <c r="Y106" s="361"/>
      <c r="Z106" s="361"/>
    </row>
    <row r="107" ht="22.5" customHeight="1" outlineLevel="1">
      <c r="A107" s="410" t="s">
        <v>302</v>
      </c>
      <c r="B107" s="393" t="s">
        <v>1613</v>
      </c>
      <c r="C107" s="394">
        <v>45639.0</v>
      </c>
      <c r="D107" s="395" t="s">
        <v>849</v>
      </c>
      <c r="E107" s="396" t="s">
        <v>1600</v>
      </c>
      <c r="F107" s="396" t="s">
        <v>1614</v>
      </c>
      <c r="G107" s="396" t="s">
        <v>1615</v>
      </c>
      <c r="H107" s="396" t="s">
        <v>1616</v>
      </c>
      <c r="I107" s="397"/>
      <c r="J107" s="392">
        <f t="shared" si="14"/>
        <v>1</v>
      </c>
      <c r="K107" s="361"/>
      <c r="L107" s="398">
        <v>193443.0</v>
      </c>
      <c r="M107" s="398" t="s">
        <v>640</v>
      </c>
      <c r="N107" s="361"/>
      <c r="O107" s="361"/>
      <c r="P107" s="361"/>
      <c r="Q107" s="361"/>
      <c r="R107" s="361"/>
      <c r="S107" s="361"/>
      <c r="T107" s="361"/>
      <c r="U107" s="361"/>
      <c r="V107" s="361"/>
      <c r="W107" s="361"/>
      <c r="X107" s="361"/>
      <c r="Y107" s="361"/>
      <c r="Z107" s="361"/>
    </row>
    <row r="108" ht="22.5" customHeight="1" outlineLevel="1">
      <c r="A108" s="411">
        <v>163215.0</v>
      </c>
      <c r="B108" s="393" t="s">
        <v>1617</v>
      </c>
      <c r="C108" s="394">
        <v>45639.0</v>
      </c>
      <c r="D108" s="395" t="s">
        <v>849</v>
      </c>
      <c r="E108" s="396" t="s">
        <v>1600</v>
      </c>
      <c r="F108" s="396" t="s">
        <v>1618</v>
      </c>
      <c r="G108" s="396" t="s">
        <v>1619</v>
      </c>
      <c r="H108" s="396" t="s">
        <v>1620</v>
      </c>
      <c r="I108" s="397"/>
      <c r="J108" s="392">
        <f t="shared" si="14"/>
        <v>1</v>
      </c>
      <c r="K108" s="361"/>
      <c r="L108" s="398">
        <v>193447.0</v>
      </c>
      <c r="M108" s="398" t="s">
        <v>305</v>
      </c>
      <c r="N108" s="361"/>
      <c r="O108" s="361"/>
      <c r="P108" s="361"/>
      <c r="Q108" s="361"/>
      <c r="R108" s="361"/>
      <c r="S108" s="361"/>
      <c r="T108" s="361"/>
      <c r="U108" s="361"/>
      <c r="V108" s="361"/>
      <c r="W108" s="361"/>
      <c r="X108" s="361"/>
      <c r="Y108" s="361"/>
      <c r="Z108" s="361"/>
    </row>
    <row r="109" ht="22.5" customHeight="1" outlineLevel="1">
      <c r="A109" s="410" t="s">
        <v>300</v>
      </c>
      <c r="B109" s="393" t="s">
        <v>1621</v>
      </c>
      <c r="C109" s="394">
        <v>45639.0</v>
      </c>
      <c r="D109" s="395" t="s">
        <v>849</v>
      </c>
      <c r="E109" s="396" t="s">
        <v>1344</v>
      </c>
      <c r="F109" s="396" t="s">
        <v>1622</v>
      </c>
      <c r="G109" s="396" t="s">
        <v>1619</v>
      </c>
      <c r="H109" s="396" t="s">
        <v>1620</v>
      </c>
      <c r="I109" s="397"/>
      <c r="J109" s="392">
        <f t="shared" si="14"/>
        <v>1</v>
      </c>
      <c r="K109" s="361"/>
      <c r="L109" s="398">
        <v>193451.0</v>
      </c>
      <c r="M109" s="398" t="s">
        <v>642</v>
      </c>
      <c r="N109" s="361"/>
      <c r="O109" s="361"/>
      <c r="P109" s="361"/>
      <c r="Q109" s="361"/>
      <c r="R109" s="361"/>
      <c r="S109" s="361"/>
      <c r="T109" s="361"/>
      <c r="U109" s="361"/>
      <c r="V109" s="361"/>
      <c r="W109" s="361"/>
      <c r="X109" s="361"/>
      <c r="Y109" s="361"/>
      <c r="Z109" s="361"/>
    </row>
    <row r="110" ht="22.5" customHeight="1" outlineLevel="1">
      <c r="A110" s="408" t="s">
        <v>752</v>
      </c>
      <c r="B110" s="393" t="s">
        <v>1623</v>
      </c>
      <c r="C110" s="394">
        <v>45639.0</v>
      </c>
      <c r="D110" s="395" t="s">
        <v>849</v>
      </c>
      <c r="E110" s="396" t="s">
        <v>1611</v>
      </c>
      <c r="F110" s="396" t="s">
        <v>1624</v>
      </c>
      <c r="G110" s="396" t="s">
        <v>1625</v>
      </c>
      <c r="H110" s="396" t="s">
        <v>1626</v>
      </c>
      <c r="I110" s="397"/>
      <c r="J110" s="392">
        <f t="shared" si="14"/>
        <v>1</v>
      </c>
      <c r="K110" s="361"/>
      <c r="L110" s="398">
        <v>193499.0</v>
      </c>
      <c r="M110" s="398" t="s">
        <v>253</v>
      </c>
      <c r="N110" s="361"/>
      <c r="O110" s="361"/>
      <c r="P110" s="361"/>
      <c r="Q110" s="361"/>
      <c r="R110" s="361"/>
      <c r="S110" s="361"/>
      <c r="T110" s="361"/>
      <c r="U110" s="361"/>
      <c r="V110" s="361"/>
      <c r="W110" s="361"/>
      <c r="X110" s="361"/>
      <c r="Y110" s="361"/>
      <c r="Z110" s="361"/>
    </row>
    <row r="111" ht="22.5" customHeight="1" outlineLevel="1">
      <c r="A111" s="408" t="s">
        <v>308</v>
      </c>
      <c r="B111" s="393" t="s">
        <v>1627</v>
      </c>
      <c r="C111" s="394">
        <v>45639.0</v>
      </c>
      <c r="D111" s="395" t="s">
        <v>849</v>
      </c>
      <c r="E111" s="396" t="s">
        <v>1628</v>
      </c>
      <c r="F111" s="396" t="s">
        <v>1479</v>
      </c>
      <c r="G111" s="396" t="s">
        <v>1612</v>
      </c>
      <c r="H111" s="396" t="s">
        <v>1569</v>
      </c>
      <c r="I111" s="397"/>
      <c r="J111" s="392">
        <f t="shared" si="14"/>
        <v>1</v>
      </c>
      <c r="K111" s="361"/>
      <c r="L111" s="398">
        <v>193516.0</v>
      </c>
      <c r="M111" s="398" t="s">
        <v>377</v>
      </c>
      <c r="N111" s="361"/>
      <c r="O111" s="361"/>
      <c r="P111" s="361"/>
      <c r="Q111" s="361"/>
      <c r="R111" s="361"/>
      <c r="S111" s="361"/>
      <c r="T111" s="361"/>
      <c r="U111" s="361"/>
      <c r="V111" s="361"/>
      <c r="W111" s="361"/>
      <c r="X111" s="361"/>
      <c r="Y111" s="361"/>
      <c r="Z111" s="361"/>
    </row>
    <row r="112" ht="22.5" customHeight="1" outlineLevel="1">
      <c r="A112" s="408">
        <v>247187.0</v>
      </c>
      <c r="B112" s="393" t="s">
        <v>1629</v>
      </c>
      <c r="C112" s="394">
        <v>45639.0</v>
      </c>
      <c r="D112" s="395" t="s">
        <v>845</v>
      </c>
      <c r="E112" s="396" t="s">
        <v>1630</v>
      </c>
      <c r="F112" s="396" t="s">
        <v>1631</v>
      </c>
      <c r="G112" s="396" t="s">
        <v>1632</v>
      </c>
      <c r="H112" s="396" t="s">
        <v>1552</v>
      </c>
      <c r="I112" s="397"/>
      <c r="J112" s="392">
        <f t="shared" si="14"/>
        <v>1</v>
      </c>
      <c r="K112" s="361"/>
      <c r="L112" s="398">
        <v>193633.0</v>
      </c>
      <c r="M112" s="398" t="s">
        <v>1633</v>
      </c>
      <c r="N112" s="361"/>
      <c r="O112" s="361"/>
      <c r="P112" s="361"/>
      <c r="Q112" s="361"/>
      <c r="R112" s="361"/>
      <c r="S112" s="361"/>
      <c r="T112" s="361"/>
      <c r="U112" s="361"/>
      <c r="V112" s="361"/>
      <c r="W112" s="361"/>
      <c r="X112" s="361"/>
      <c r="Y112" s="361"/>
      <c r="Z112" s="361"/>
    </row>
    <row r="113" ht="15.75" customHeight="1" outlineLevel="1">
      <c r="A113" s="387"/>
      <c r="C113" s="388"/>
      <c r="D113" s="389"/>
      <c r="E113" s="390"/>
      <c r="F113" s="390"/>
      <c r="G113" s="390"/>
      <c r="H113" s="390"/>
      <c r="I113" s="391">
        <f>counta(A114:A121)</f>
        <v>7</v>
      </c>
      <c r="J113" s="389"/>
      <c r="K113" s="361"/>
      <c r="L113" s="361"/>
      <c r="M113" s="361"/>
      <c r="N113" s="361"/>
      <c r="O113" s="361"/>
      <c r="P113" s="361"/>
      <c r="Q113" s="361"/>
      <c r="R113" s="361"/>
      <c r="S113" s="361"/>
      <c r="T113" s="361"/>
      <c r="U113" s="361"/>
      <c r="V113" s="361"/>
      <c r="W113" s="361"/>
      <c r="X113" s="361"/>
      <c r="Y113" s="361"/>
      <c r="Z113" s="361"/>
    </row>
    <row r="114" ht="22.5" customHeight="1" outlineLevel="1">
      <c r="A114" s="401">
        <v>247278.0</v>
      </c>
      <c r="B114" s="400" t="s">
        <v>1634</v>
      </c>
      <c r="C114" s="394">
        <v>45643.0</v>
      </c>
      <c r="D114" s="395" t="s">
        <v>849</v>
      </c>
      <c r="E114" s="396" t="s">
        <v>1536</v>
      </c>
      <c r="F114" s="396" t="s">
        <v>1635</v>
      </c>
      <c r="G114" s="396" t="s">
        <v>1636</v>
      </c>
      <c r="H114" s="396" t="s">
        <v>1637</v>
      </c>
      <c r="I114" s="397"/>
      <c r="J114" s="392">
        <f t="shared" ref="J114:J120" si="15">countif(A$6:A114,A114)</f>
        <v>1</v>
      </c>
      <c r="K114" s="361"/>
      <c r="L114" s="398">
        <v>213820.0</v>
      </c>
      <c r="M114" s="398" t="s">
        <v>646</v>
      </c>
      <c r="N114" s="361"/>
      <c r="O114" s="361"/>
      <c r="P114" s="361"/>
      <c r="Q114" s="361"/>
      <c r="R114" s="361"/>
      <c r="S114" s="361"/>
      <c r="T114" s="361"/>
      <c r="U114" s="361"/>
      <c r="V114" s="361"/>
      <c r="W114" s="361"/>
      <c r="X114" s="361"/>
      <c r="Y114" s="361"/>
      <c r="Z114" s="361"/>
    </row>
    <row r="115" ht="22.5" customHeight="1" outlineLevel="1">
      <c r="A115" s="401">
        <v>247282.0</v>
      </c>
      <c r="B115" s="400" t="s">
        <v>1638</v>
      </c>
      <c r="C115" s="394">
        <v>45643.0</v>
      </c>
      <c r="D115" s="395" t="s">
        <v>849</v>
      </c>
      <c r="E115" s="396" t="s">
        <v>1536</v>
      </c>
      <c r="F115" s="396" t="s">
        <v>1635</v>
      </c>
      <c r="G115" s="396" t="s">
        <v>1636</v>
      </c>
      <c r="H115" s="396" t="s">
        <v>1639</v>
      </c>
      <c r="I115" s="397"/>
      <c r="J115" s="392">
        <f t="shared" si="15"/>
        <v>1</v>
      </c>
      <c r="K115" s="361"/>
      <c r="L115" s="398">
        <v>213828.0</v>
      </c>
      <c r="M115" s="398" t="s">
        <v>1640</v>
      </c>
      <c r="N115" s="361"/>
      <c r="O115" s="361"/>
      <c r="P115" s="361"/>
      <c r="Q115" s="361"/>
      <c r="R115" s="361"/>
      <c r="S115" s="361"/>
      <c r="T115" s="361"/>
      <c r="U115" s="361"/>
      <c r="V115" s="361"/>
      <c r="W115" s="361"/>
      <c r="X115" s="361"/>
      <c r="Y115" s="361"/>
      <c r="Z115" s="361"/>
    </row>
    <row r="116" ht="22.5" customHeight="1" outlineLevel="1">
      <c r="A116" s="401">
        <v>247283.0</v>
      </c>
      <c r="B116" s="400" t="s">
        <v>1641</v>
      </c>
      <c r="C116" s="394">
        <v>45643.0</v>
      </c>
      <c r="D116" s="395" t="s">
        <v>858</v>
      </c>
      <c r="E116" s="396" t="s">
        <v>1642</v>
      </c>
      <c r="F116" s="396" t="s">
        <v>1643</v>
      </c>
      <c r="G116" s="396" t="s">
        <v>1644</v>
      </c>
      <c r="H116" s="396" t="s">
        <v>1645</v>
      </c>
      <c r="I116" s="397"/>
      <c r="J116" s="392">
        <f t="shared" si="15"/>
        <v>1</v>
      </c>
      <c r="K116" s="361"/>
      <c r="L116" s="398">
        <v>213856.0</v>
      </c>
      <c r="M116" s="398" t="s">
        <v>1646</v>
      </c>
      <c r="N116" s="361"/>
      <c r="O116" s="361"/>
      <c r="P116" s="361"/>
      <c r="Q116" s="361"/>
      <c r="R116" s="361"/>
      <c r="S116" s="361"/>
      <c r="T116" s="361"/>
      <c r="U116" s="361"/>
      <c r="V116" s="361"/>
      <c r="W116" s="361"/>
      <c r="X116" s="361"/>
      <c r="Y116" s="361"/>
      <c r="Z116" s="361"/>
    </row>
    <row r="117" ht="22.5" customHeight="1" outlineLevel="1">
      <c r="A117" s="401">
        <v>247329.0</v>
      </c>
      <c r="B117" s="400" t="s">
        <v>1647</v>
      </c>
      <c r="C117" s="394">
        <v>45643.0</v>
      </c>
      <c r="D117" s="395" t="s">
        <v>849</v>
      </c>
      <c r="E117" s="396" t="s">
        <v>1536</v>
      </c>
      <c r="F117" s="396" t="s">
        <v>1648</v>
      </c>
      <c r="G117" s="396" t="s">
        <v>1590</v>
      </c>
      <c r="H117" s="396" t="s">
        <v>1637</v>
      </c>
      <c r="I117" s="397"/>
      <c r="J117" s="392">
        <f t="shared" si="15"/>
        <v>1</v>
      </c>
      <c r="K117" s="361"/>
      <c r="L117" s="398">
        <v>213893.0</v>
      </c>
      <c r="M117" s="398" t="s">
        <v>367</v>
      </c>
      <c r="N117" s="361"/>
      <c r="O117" s="361"/>
      <c r="P117" s="361"/>
      <c r="Q117" s="361"/>
      <c r="R117" s="361"/>
      <c r="S117" s="361"/>
      <c r="T117" s="361"/>
      <c r="U117" s="361"/>
      <c r="V117" s="361"/>
      <c r="W117" s="361"/>
      <c r="X117" s="361"/>
      <c r="Y117" s="361"/>
      <c r="Z117" s="361"/>
    </row>
    <row r="118" ht="22.5" customHeight="1" outlineLevel="1">
      <c r="A118" s="401">
        <v>247378.0</v>
      </c>
      <c r="B118" s="400" t="s">
        <v>1649</v>
      </c>
      <c r="C118" s="394">
        <v>45643.0</v>
      </c>
      <c r="D118" s="395" t="s">
        <v>849</v>
      </c>
      <c r="E118" s="396" t="s">
        <v>1650</v>
      </c>
      <c r="F118" s="396" t="s">
        <v>1624</v>
      </c>
      <c r="G118" s="396" t="s">
        <v>1651</v>
      </c>
      <c r="H118" s="396" t="s">
        <v>1637</v>
      </c>
      <c r="I118" s="397"/>
      <c r="J118" s="392">
        <f t="shared" si="15"/>
        <v>1</v>
      </c>
      <c r="K118" s="361"/>
      <c r="L118" s="398">
        <v>213936.0</v>
      </c>
      <c r="M118" s="398" t="s">
        <v>381</v>
      </c>
      <c r="N118" s="361"/>
      <c r="O118" s="361"/>
      <c r="P118" s="361"/>
      <c r="Q118" s="361"/>
      <c r="R118" s="361"/>
      <c r="S118" s="361"/>
      <c r="T118" s="361"/>
      <c r="U118" s="361"/>
      <c r="V118" s="361"/>
      <c r="W118" s="361"/>
      <c r="X118" s="361"/>
      <c r="Y118" s="361"/>
      <c r="Z118" s="361"/>
    </row>
    <row r="119" ht="22.5" customHeight="1" outlineLevel="1">
      <c r="A119" s="401">
        <v>247391.0</v>
      </c>
      <c r="B119" s="400" t="s">
        <v>1652</v>
      </c>
      <c r="C119" s="394">
        <v>45643.0</v>
      </c>
      <c r="D119" s="395" t="s">
        <v>849</v>
      </c>
      <c r="E119" s="396" t="s">
        <v>1536</v>
      </c>
      <c r="F119" s="396" t="s">
        <v>1635</v>
      </c>
      <c r="G119" s="396" t="s">
        <v>1590</v>
      </c>
      <c r="H119" s="396" t="s">
        <v>1653</v>
      </c>
      <c r="I119" s="397"/>
      <c r="J119" s="392">
        <f t="shared" si="15"/>
        <v>1</v>
      </c>
      <c r="K119" s="361"/>
      <c r="L119" s="398">
        <v>213938.0</v>
      </c>
      <c r="M119" s="398" t="s">
        <v>644</v>
      </c>
      <c r="N119" s="361"/>
      <c r="O119" s="361"/>
      <c r="P119" s="361"/>
      <c r="Q119" s="361"/>
      <c r="R119" s="361"/>
      <c r="S119" s="361"/>
      <c r="T119" s="361"/>
      <c r="U119" s="361"/>
      <c r="V119" s="361"/>
      <c r="W119" s="361"/>
      <c r="X119" s="361"/>
      <c r="Y119" s="361"/>
      <c r="Z119" s="361"/>
    </row>
    <row r="120" ht="22.5" customHeight="1" outlineLevel="1">
      <c r="A120" s="401">
        <v>247392.0</v>
      </c>
      <c r="B120" s="400" t="s">
        <v>1654</v>
      </c>
      <c r="C120" s="394">
        <v>45643.0</v>
      </c>
      <c r="D120" s="395" t="s">
        <v>849</v>
      </c>
      <c r="E120" s="396" t="s">
        <v>1600</v>
      </c>
      <c r="F120" s="396" t="s">
        <v>1635</v>
      </c>
      <c r="G120" s="396" t="s">
        <v>1590</v>
      </c>
      <c r="H120" s="396" t="s">
        <v>1653</v>
      </c>
      <c r="I120" s="397"/>
      <c r="J120" s="392">
        <f t="shared" si="15"/>
        <v>1</v>
      </c>
      <c r="K120" s="361"/>
      <c r="L120" s="398">
        <v>227023.0</v>
      </c>
      <c r="M120" s="398" t="s">
        <v>479</v>
      </c>
      <c r="N120" s="361"/>
      <c r="O120" s="361"/>
      <c r="P120" s="361"/>
      <c r="Q120" s="361"/>
      <c r="R120" s="361"/>
      <c r="S120" s="361"/>
      <c r="T120" s="361"/>
      <c r="U120" s="361"/>
      <c r="V120" s="361"/>
      <c r="W120" s="361"/>
      <c r="X120" s="361"/>
      <c r="Y120" s="361"/>
      <c r="Z120" s="361"/>
    </row>
    <row r="121" ht="15.75" customHeight="1" outlineLevel="1">
      <c r="A121" s="387"/>
      <c r="C121" s="388"/>
      <c r="D121" s="389"/>
      <c r="E121" s="390"/>
      <c r="F121" s="390"/>
      <c r="G121" s="390"/>
      <c r="H121" s="390"/>
      <c r="I121" s="391">
        <f>counta(A122:A129)</f>
        <v>8</v>
      </c>
      <c r="J121" s="389"/>
      <c r="K121" s="361"/>
      <c r="L121" s="361"/>
      <c r="M121" s="361"/>
      <c r="N121" s="361"/>
      <c r="O121" s="361"/>
      <c r="P121" s="361"/>
      <c r="Q121" s="361"/>
      <c r="R121" s="361"/>
      <c r="S121" s="361"/>
      <c r="T121" s="361"/>
      <c r="U121" s="361"/>
      <c r="V121" s="361"/>
      <c r="W121" s="361"/>
      <c r="X121" s="361"/>
      <c r="Y121" s="361"/>
      <c r="Z121" s="361"/>
    </row>
    <row r="122" ht="22.5" customHeight="1" outlineLevel="1">
      <c r="A122" s="395">
        <v>247260.0</v>
      </c>
      <c r="B122" s="393" t="s">
        <v>1655</v>
      </c>
      <c r="C122" s="394">
        <v>45644.0</v>
      </c>
      <c r="D122" s="395" t="s">
        <v>849</v>
      </c>
      <c r="E122" s="396" t="s">
        <v>1600</v>
      </c>
      <c r="F122" s="396" t="s">
        <v>1543</v>
      </c>
      <c r="G122" s="396" t="s">
        <v>1656</v>
      </c>
      <c r="H122" s="396" t="s">
        <v>1657</v>
      </c>
      <c r="I122" s="397"/>
      <c r="J122" s="392">
        <f t="shared" ref="J122:J131" si="16">countif(A$6:A122,A122)</f>
        <v>1</v>
      </c>
      <c r="K122" s="361"/>
      <c r="L122" s="398">
        <v>227130.0</v>
      </c>
      <c r="M122" s="398" t="s">
        <v>648</v>
      </c>
      <c r="N122" s="361"/>
      <c r="O122" s="361"/>
      <c r="P122" s="361"/>
      <c r="Q122" s="361"/>
      <c r="R122" s="361"/>
      <c r="S122" s="361"/>
      <c r="T122" s="361"/>
      <c r="U122" s="361"/>
      <c r="V122" s="361"/>
      <c r="W122" s="361"/>
      <c r="X122" s="361"/>
      <c r="Y122" s="361"/>
      <c r="Z122" s="361"/>
    </row>
    <row r="123" ht="22.5" customHeight="1" outlineLevel="1">
      <c r="A123" s="395">
        <v>247080.0</v>
      </c>
      <c r="B123" s="393" t="s">
        <v>1658</v>
      </c>
      <c r="C123" s="394">
        <v>45644.0</v>
      </c>
      <c r="D123" s="395" t="s">
        <v>849</v>
      </c>
      <c r="E123" s="396" t="s">
        <v>1600</v>
      </c>
      <c r="F123" s="396" t="s">
        <v>1659</v>
      </c>
      <c r="G123" s="396" t="s">
        <v>1660</v>
      </c>
      <c r="H123" s="396" t="s">
        <v>1661</v>
      </c>
      <c r="I123" s="397"/>
      <c r="J123" s="392">
        <f t="shared" si="16"/>
        <v>1</v>
      </c>
      <c r="K123" s="361"/>
      <c r="L123" s="398">
        <v>227160.0</v>
      </c>
      <c r="M123" s="398" t="s">
        <v>301</v>
      </c>
      <c r="N123" s="361"/>
      <c r="O123" s="361"/>
      <c r="P123" s="361"/>
      <c r="Q123" s="361"/>
      <c r="R123" s="361"/>
      <c r="S123" s="361"/>
      <c r="T123" s="361"/>
      <c r="U123" s="361"/>
      <c r="V123" s="361"/>
      <c r="W123" s="361"/>
      <c r="X123" s="361"/>
      <c r="Y123" s="361"/>
      <c r="Z123" s="361"/>
    </row>
    <row r="124" ht="22.5" customHeight="1" outlineLevel="1">
      <c r="A124" s="395">
        <v>247106.0</v>
      </c>
      <c r="B124" s="393" t="s">
        <v>1662</v>
      </c>
      <c r="C124" s="394">
        <v>45644.0</v>
      </c>
      <c r="D124" s="395" t="s">
        <v>845</v>
      </c>
      <c r="E124" s="396" t="s">
        <v>1663</v>
      </c>
      <c r="F124" s="396" t="s">
        <v>1565</v>
      </c>
      <c r="G124" s="396" t="s">
        <v>1660</v>
      </c>
      <c r="H124" s="396" t="s">
        <v>1557</v>
      </c>
      <c r="I124" s="397"/>
      <c r="J124" s="392">
        <f t="shared" si="16"/>
        <v>1</v>
      </c>
      <c r="K124" s="361"/>
      <c r="L124" s="398">
        <v>227177.0</v>
      </c>
      <c r="M124" s="398" t="s">
        <v>440</v>
      </c>
      <c r="N124" s="361"/>
      <c r="O124" s="361"/>
      <c r="P124" s="361"/>
      <c r="Q124" s="361"/>
      <c r="R124" s="361"/>
      <c r="S124" s="361"/>
      <c r="T124" s="361"/>
      <c r="U124" s="361"/>
      <c r="V124" s="361"/>
      <c r="W124" s="361"/>
      <c r="X124" s="361"/>
      <c r="Y124" s="361"/>
      <c r="Z124" s="361"/>
    </row>
    <row r="125" ht="22.5" customHeight="1" outlineLevel="1">
      <c r="A125" s="395">
        <v>247079.0</v>
      </c>
      <c r="B125" s="393" t="s">
        <v>1664</v>
      </c>
      <c r="C125" s="394">
        <v>45644.0</v>
      </c>
      <c r="D125" s="395" t="s">
        <v>849</v>
      </c>
      <c r="E125" s="396" t="s">
        <v>1600</v>
      </c>
      <c r="F125" s="396" t="s">
        <v>1665</v>
      </c>
      <c r="G125" s="396" t="s">
        <v>1666</v>
      </c>
      <c r="H125" s="396" t="s">
        <v>1637</v>
      </c>
      <c r="I125" s="397"/>
      <c r="J125" s="392">
        <f t="shared" si="16"/>
        <v>1</v>
      </c>
      <c r="K125" s="361"/>
      <c r="L125" s="398">
        <v>227227.0</v>
      </c>
      <c r="M125" s="398" t="s">
        <v>1667</v>
      </c>
      <c r="N125" s="361"/>
      <c r="O125" s="361"/>
      <c r="P125" s="361"/>
      <c r="Q125" s="361"/>
      <c r="R125" s="361"/>
      <c r="S125" s="361"/>
      <c r="T125" s="361"/>
      <c r="U125" s="361"/>
      <c r="V125" s="361"/>
      <c r="W125" s="361"/>
      <c r="X125" s="361"/>
      <c r="Y125" s="361"/>
      <c r="Z125" s="361"/>
    </row>
    <row r="126" ht="22.5" customHeight="1" outlineLevel="1">
      <c r="A126" s="395">
        <v>247207.0</v>
      </c>
      <c r="B126" s="393" t="s">
        <v>1668</v>
      </c>
      <c r="C126" s="394">
        <v>45644.0</v>
      </c>
      <c r="D126" s="395" t="s">
        <v>849</v>
      </c>
      <c r="E126" s="396" t="s">
        <v>1536</v>
      </c>
      <c r="F126" s="396" t="s">
        <v>1665</v>
      </c>
      <c r="G126" s="396" t="s">
        <v>1669</v>
      </c>
      <c r="H126" s="396" t="s">
        <v>1637</v>
      </c>
      <c r="I126" s="397"/>
      <c r="J126" s="392">
        <f t="shared" si="16"/>
        <v>1</v>
      </c>
      <c r="K126" s="361"/>
      <c r="L126" s="398">
        <v>227244.0</v>
      </c>
      <c r="M126" s="398" t="s">
        <v>369</v>
      </c>
      <c r="N126" s="361"/>
      <c r="O126" s="361"/>
      <c r="P126" s="361"/>
      <c r="Q126" s="361"/>
      <c r="R126" s="361"/>
      <c r="S126" s="361"/>
      <c r="T126" s="361"/>
      <c r="U126" s="361"/>
      <c r="V126" s="361"/>
      <c r="W126" s="361"/>
      <c r="X126" s="361"/>
      <c r="Y126" s="361"/>
      <c r="Z126" s="361"/>
    </row>
    <row r="127" ht="22.5" customHeight="1" outlineLevel="1">
      <c r="A127" s="395">
        <v>247184.0</v>
      </c>
      <c r="B127" s="393" t="s">
        <v>1670</v>
      </c>
      <c r="C127" s="394">
        <v>45644.0</v>
      </c>
      <c r="D127" s="395" t="s">
        <v>845</v>
      </c>
      <c r="E127" s="396" t="s">
        <v>1663</v>
      </c>
      <c r="F127" s="396" t="s">
        <v>1671</v>
      </c>
      <c r="G127" s="396" t="s">
        <v>1672</v>
      </c>
      <c r="H127" s="396" t="s">
        <v>1673</v>
      </c>
      <c r="I127" s="397"/>
      <c r="J127" s="392">
        <f t="shared" si="16"/>
        <v>1</v>
      </c>
      <c r="K127" s="361"/>
      <c r="L127" s="398">
        <v>237158.0</v>
      </c>
      <c r="M127" s="398" t="s">
        <v>309</v>
      </c>
      <c r="N127" s="361"/>
      <c r="O127" s="361"/>
      <c r="P127" s="361"/>
      <c r="Q127" s="361"/>
      <c r="R127" s="361"/>
      <c r="S127" s="361"/>
      <c r="T127" s="361"/>
      <c r="U127" s="361"/>
      <c r="V127" s="361"/>
      <c r="W127" s="361"/>
      <c r="X127" s="361"/>
      <c r="Y127" s="361"/>
      <c r="Z127" s="361"/>
    </row>
    <row r="128" ht="22.5" customHeight="1" outlineLevel="1">
      <c r="A128" s="395">
        <v>247161.0</v>
      </c>
      <c r="B128" s="393" t="s">
        <v>1674</v>
      </c>
      <c r="C128" s="394">
        <v>45644.0</v>
      </c>
      <c r="D128" s="395" t="s">
        <v>849</v>
      </c>
      <c r="E128" s="396" t="s">
        <v>1675</v>
      </c>
      <c r="F128" s="396" t="s">
        <v>1676</v>
      </c>
      <c r="G128" s="396" t="s">
        <v>1669</v>
      </c>
      <c r="H128" s="396" t="s">
        <v>1677</v>
      </c>
      <c r="I128" s="397"/>
      <c r="J128" s="392">
        <f t="shared" si="16"/>
        <v>1</v>
      </c>
      <c r="K128" s="361"/>
      <c r="L128" s="398">
        <v>237182.0</v>
      </c>
      <c r="M128" s="398" t="s">
        <v>273</v>
      </c>
      <c r="N128" s="361"/>
      <c r="O128" s="361"/>
      <c r="P128" s="361"/>
      <c r="Q128" s="361"/>
      <c r="R128" s="361"/>
      <c r="S128" s="361"/>
      <c r="T128" s="361"/>
      <c r="U128" s="361"/>
      <c r="V128" s="361"/>
      <c r="W128" s="361"/>
      <c r="X128" s="361"/>
      <c r="Y128" s="361"/>
      <c r="Z128" s="361"/>
    </row>
    <row r="129" ht="22.5" customHeight="1" outlineLevel="1">
      <c r="A129" s="395">
        <v>247078.0</v>
      </c>
      <c r="B129" s="393" t="s">
        <v>1678</v>
      </c>
      <c r="C129" s="394">
        <v>45644.0</v>
      </c>
      <c r="D129" s="395" t="s">
        <v>849</v>
      </c>
      <c r="E129" s="396" t="s">
        <v>1600</v>
      </c>
      <c r="F129" s="396" t="s">
        <v>1665</v>
      </c>
      <c r="G129" s="396" t="s">
        <v>1679</v>
      </c>
      <c r="H129" s="396" t="s">
        <v>1680</v>
      </c>
      <c r="I129" s="397"/>
      <c r="J129" s="392">
        <f t="shared" si="16"/>
        <v>1</v>
      </c>
      <c r="K129" s="361"/>
      <c r="L129" s="398">
        <v>237206.0</v>
      </c>
      <c r="M129" s="398" t="s">
        <v>303</v>
      </c>
      <c r="N129" s="361"/>
      <c r="O129" s="361"/>
      <c r="P129" s="361"/>
      <c r="Q129" s="361"/>
      <c r="R129" s="361"/>
      <c r="S129" s="361"/>
      <c r="T129" s="361"/>
      <c r="U129" s="361"/>
      <c r="V129" s="361"/>
      <c r="W129" s="361"/>
      <c r="X129" s="361"/>
      <c r="Y129" s="361"/>
      <c r="Z129" s="361"/>
    </row>
    <row r="130" ht="22.5" customHeight="1" outlineLevel="1">
      <c r="A130" s="395">
        <v>247038.0</v>
      </c>
      <c r="B130" s="393" t="s">
        <v>1681</v>
      </c>
      <c r="C130" s="394">
        <v>45644.0</v>
      </c>
      <c r="D130" s="395" t="s">
        <v>845</v>
      </c>
      <c r="E130" s="396" t="s">
        <v>1663</v>
      </c>
      <c r="F130" s="396" t="s">
        <v>1671</v>
      </c>
      <c r="G130" s="396" t="s">
        <v>1660</v>
      </c>
      <c r="H130" s="396" t="s">
        <v>1557</v>
      </c>
      <c r="I130" s="397"/>
      <c r="J130" s="392">
        <f t="shared" si="16"/>
        <v>1</v>
      </c>
      <c r="K130" s="361"/>
      <c r="L130" s="398">
        <v>237207.0</v>
      </c>
      <c r="M130" s="398" t="s">
        <v>315</v>
      </c>
      <c r="N130" s="361"/>
      <c r="O130" s="361"/>
      <c r="P130" s="361"/>
      <c r="Q130" s="361"/>
      <c r="R130" s="361"/>
      <c r="S130" s="361"/>
      <c r="T130" s="361"/>
      <c r="U130" s="361"/>
      <c r="V130" s="361"/>
      <c r="W130" s="361"/>
      <c r="X130" s="361"/>
      <c r="Y130" s="361"/>
      <c r="Z130" s="361"/>
    </row>
    <row r="131" ht="22.5" customHeight="1" outlineLevel="1">
      <c r="A131" s="395">
        <v>247037.0</v>
      </c>
      <c r="B131" s="393" t="s">
        <v>1682</v>
      </c>
      <c r="C131" s="394">
        <v>45644.0</v>
      </c>
      <c r="D131" s="395" t="s">
        <v>849</v>
      </c>
      <c r="E131" s="396" t="s">
        <v>1683</v>
      </c>
      <c r="F131" s="396" t="s">
        <v>1676</v>
      </c>
      <c r="G131" s="396" t="s">
        <v>1669</v>
      </c>
      <c r="H131" s="396" t="s">
        <v>1680</v>
      </c>
      <c r="I131" s="397"/>
      <c r="J131" s="392">
        <f t="shared" si="16"/>
        <v>1</v>
      </c>
      <c r="K131" s="361"/>
      <c r="L131" s="398">
        <v>247043.0</v>
      </c>
      <c r="M131" s="398" t="s">
        <v>311</v>
      </c>
      <c r="N131" s="361"/>
      <c r="O131" s="361"/>
      <c r="P131" s="361"/>
      <c r="Q131" s="361"/>
      <c r="R131" s="361"/>
      <c r="S131" s="361"/>
      <c r="T131" s="361"/>
      <c r="U131" s="361"/>
      <c r="V131" s="361"/>
      <c r="W131" s="361"/>
      <c r="X131" s="361"/>
      <c r="Y131" s="361"/>
      <c r="Z131" s="361"/>
    </row>
    <row r="132" ht="15.75" customHeight="1" outlineLevel="1">
      <c r="A132" s="387"/>
      <c r="C132" s="388"/>
      <c r="D132" s="389"/>
      <c r="E132" s="390"/>
      <c r="F132" s="390"/>
      <c r="G132" s="390"/>
      <c r="H132" s="390"/>
      <c r="I132" s="391">
        <f>counta(A133:A140)</f>
        <v>7</v>
      </c>
      <c r="J132" s="389"/>
      <c r="K132" s="361"/>
      <c r="L132" s="361"/>
      <c r="M132" s="361"/>
      <c r="N132" s="361"/>
      <c r="O132" s="361"/>
      <c r="P132" s="361"/>
      <c r="Q132" s="361"/>
      <c r="R132" s="361"/>
      <c r="S132" s="361"/>
      <c r="T132" s="361"/>
      <c r="U132" s="361"/>
      <c r="V132" s="361"/>
      <c r="W132" s="361"/>
      <c r="X132" s="361"/>
      <c r="Y132" s="361"/>
      <c r="Z132" s="361"/>
    </row>
    <row r="133" ht="22.5" customHeight="1" outlineLevel="1">
      <c r="A133" s="395">
        <v>227130.0</v>
      </c>
      <c r="B133" s="393" t="s">
        <v>1684</v>
      </c>
      <c r="C133" s="394">
        <v>45644.0</v>
      </c>
      <c r="D133" s="395" t="s">
        <v>849</v>
      </c>
      <c r="E133" s="396" t="s">
        <v>1306</v>
      </c>
      <c r="I133" s="397"/>
      <c r="J133" s="392">
        <f t="shared" ref="J133:J136" si="17">countif(A$6:A133,A133)</f>
        <v>1</v>
      </c>
      <c r="K133" s="361"/>
      <c r="L133" s="398">
        <v>247164.0</v>
      </c>
      <c r="M133" s="398" t="s">
        <v>1685</v>
      </c>
      <c r="N133" s="361"/>
      <c r="O133" s="361"/>
      <c r="P133" s="361"/>
      <c r="Q133" s="361"/>
      <c r="R133" s="361"/>
      <c r="S133" s="361"/>
      <c r="T133" s="361"/>
      <c r="U133" s="361"/>
      <c r="V133" s="361"/>
      <c r="W133" s="361"/>
      <c r="X133" s="361"/>
      <c r="Y133" s="361"/>
      <c r="Z133" s="361"/>
    </row>
    <row r="134" ht="22.5" customHeight="1" outlineLevel="1">
      <c r="A134" s="395">
        <v>247185.0</v>
      </c>
      <c r="B134" s="393" t="s">
        <v>1686</v>
      </c>
      <c r="C134" s="394">
        <v>45644.0</v>
      </c>
      <c r="D134" s="395" t="s">
        <v>849</v>
      </c>
      <c r="E134" s="396" t="s">
        <v>1687</v>
      </c>
      <c r="F134" s="396" t="s">
        <v>1435</v>
      </c>
      <c r="G134" s="396" t="s">
        <v>1669</v>
      </c>
      <c r="H134" s="396" t="s">
        <v>1688</v>
      </c>
      <c r="I134" s="397"/>
      <c r="J134" s="392">
        <f t="shared" si="17"/>
        <v>1</v>
      </c>
      <c r="K134" s="361"/>
      <c r="L134" s="398">
        <v>247185.0</v>
      </c>
      <c r="M134" s="398" t="s">
        <v>434</v>
      </c>
      <c r="N134" s="361"/>
      <c r="O134" s="361"/>
      <c r="P134" s="361"/>
      <c r="Q134" s="361"/>
      <c r="R134" s="361"/>
      <c r="S134" s="361"/>
      <c r="T134" s="361"/>
      <c r="U134" s="361"/>
      <c r="V134" s="361"/>
      <c r="W134" s="361"/>
      <c r="X134" s="361"/>
      <c r="Y134" s="361"/>
      <c r="Z134" s="361"/>
    </row>
    <row r="135" ht="22.5" customHeight="1" outlineLevel="1">
      <c r="A135" s="395">
        <v>213856.0</v>
      </c>
      <c r="B135" s="393" t="s">
        <v>1689</v>
      </c>
      <c r="C135" s="394">
        <v>45644.0</v>
      </c>
      <c r="D135" s="395" t="s">
        <v>849</v>
      </c>
      <c r="E135" s="396" t="s">
        <v>1306</v>
      </c>
      <c r="I135" s="397"/>
      <c r="J135" s="392">
        <f t="shared" si="17"/>
        <v>1</v>
      </c>
      <c r="K135" s="361"/>
      <c r="L135" s="398">
        <v>247187.0</v>
      </c>
      <c r="M135" s="398" t="s">
        <v>307</v>
      </c>
      <c r="N135" s="361"/>
      <c r="O135" s="361"/>
      <c r="P135" s="361"/>
      <c r="Q135" s="361"/>
      <c r="R135" s="361"/>
      <c r="S135" s="361"/>
      <c r="T135" s="361"/>
      <c r="U135" s="361"/>
      <c r="V135" s="361"/>
      <c r="W135" s="361"/>
      <c r="X135" s="361"/>
      <c r="Y135" s="361"/>
      <c r="Z135" s="361"/>
    </row>
    <row r="136" ht="22.5" customHeight="1" outlineLevel="1">
      <c r="A136" s="395">
        <v>247384.0</v>
      </c>
      <c r="B136" s="393" t="s">
        <v>1690</v>
      </c>
      <c r="C136" s="394">
        <v>45644.0</v>
      </c>
      <c r="D136" s="395" t="s">
        <v>845</v>
      </c>
      <c r="E136" s="396" t="s">
        <v>1691</v>
      </c>
      <c r="F136" s="396" t="s">
        <v>1692</v>
      </c>
      <c r="G136" s="396" t="s">
        <v>1660</v>
      </c>
      <c r="H136" s="396" t="s">
        <v>1693</v>
      </c>
      <c r="I136" s="397"/>
      <c r="J136" s="392">
        <f t="shared" si="17"/>
        <v>1</v>
      </c>
      <c r="K136" s="361"/>
      <c r="L136" s="398">
        <v>247384.0</v>
      </c>
      <c r="M136" s="398" t="s">
        <v>652</v>
      </c>
      <c r="N136" s="361"/>
      <c r="O136" s="361"/>
      <c r="P136" s="361"/>
      <c r="Q136" s="361"/>
      <c r="R136" s="361"/>
      <c r="S136" s="361"/>
      <c r="T136" s="361"/>
      <c r="U136" s="361"/>
      <c r="V136" s="361"/>
      <c r="W136" s="361"/>
      <c r="X136" s="361"/>
      <c r="Y136" s="361"/>
      <c r="Z136" s="361"/>
    </row>
    <row r="137" ht="15.75" customHeight="1" outlineLevel="1">
      <c r="A137" s="387"/>
      <c r="C137" s="388"/>
      <c r="D137" s="389"/>
      <c r="E137" s="390"/>
      <c r="F137" s="390"/>
      <c r="G137" s="390"/>
      <c r="H137" s="390"/>
      <c r="I137" s="391">
        <f>counta(A138:A145)</f>
        <v>7</v>
      </c>
      <c r="J137" s="389"/>
      <c r="K137" s="361"/>
      <c r="L137" s="361"/>
      <c r="M137" s="361"/>
      <c r="N137" s="361"/>
      <c r="O137" s="361"/>
      <c r="P137" s="361"/>
      <c r="Q137" s="361"/>
      <c r="R137" s="361"/>
      <c r="S137" s="361"/>
      <c r="T137" s="361"/>
      <c r="U137" s="361"/>
      <c r="V137" s="361"/>
      <c r="W137" s="361"/>
      <c r="X137" s="361"/>
      <c r="Y137" s="361"/>
      <c r="Z137" s="361"/>
    </row>
    <row r="138" ht="22.5" customHeight="1" outlineLevel="1">
      <c r="A138" s="395">
        <v>227023.0</v>
      </c>
      <c r="B138" s="393" t="s">
        <v>1694</v>
      </c>
      <c r="C138" s="394">
        <v>45645.0</v>
      </c>
      <c r="D138" s="395" t="s">
        <v>849</v>
      </c>
      <c r="E138" s="396" t="s">
        <v>1628</v>
      </c>
      <c r="F138" s="396" t="s">
        <v>1695</v>
      </c>
      <c r="G138" s="396" t="s">
        <v>1696</v>
      </c>
      <c r="H138" s="396" t="s">
        <v>1569</v>
      </c>
      <c r="I138" s="397"/>
      <c r="J138" s="392">
        <f t="shared" ref="J138:J140" si="18">countif(A$6:A138,A138)</f>
        <v>1</v>
      </c>
      <c r="K138" s="361"/>
      <c r="L138" s="361"/>
      <c r="M138" s="361"/>
      <c r="N138" s="361"/>
      <c r="O138" s="361"/>
      <c r="P138" s="361"/>
      <c r="Q138" s="361"/>
      <c r="R138" s="361"/>
      <c r="S138" s="361"/>
      <c r="T138" s="361"/>
      <c r="U138" s="361"/>
      <c r="V138" s="361"/>
      <c r="W138" s="361"/>
      <c r="X138" s="361"/>
      <c r="Y138" s="361"/>
      <c r="Z138" s="361"/>
    </row>
    <row r="139" ht="22.5" customHeight="1" outlineLevel="1">
      <c r="A139" s="395">
        <v>183400.0</v>
      </c>
      <c r="B139" s="393" t="s">
        <v>1697</v>
      </c>
      <c r="C139" s="394">
        <v>45645.0</v>
      </c>
      <c r="D139" s="395" t="s">
        <v>849</v>
      </c>
      <c r="E139" s="396" t="s">
        <v>1698</v>
      </c>
      <c r="F139" s="396" t="s">
        <v>1586</v>
      </c>
      <c r="G139" s="396" t="s">
        <v>1696</v>
      </c>
      <c r="H139" s="396" t="s">
        <v>1637</v>
      </c>
      <c r="I139" s="397"/>
      <c r="J139" s="392">
        <f t="shared" si="18"/>
        <v>1</v>
      </c>
      <c r="K139" s="361"/>
      <c r="L139" s="361"/>
      <c r="M139" s="361"/>
      <c r="N139" s="361"/>
      <c r="O139" s="361"/>
      <c r="P139" s="361"/>
      <c r="Q139" s="361"/>
      <c r="R139" s="361"/>
      <c r="S139" s="361"/>
      <c r="T139" s="361"/>
      <c r="U139" s="361"/>
      <c r="V139" s="361"/>
      <c r="W139" s="361"/>
      <c r="X139" s="361"/>
      <c r="Y139" s="361"/>
      <c r="Z139" s="361"/>
    </row>
    <row r="140" ht="22.5" customHeight="1" outlineLevel="1">
      <c r="A140" s="395">
        <v>183440.0</v>
      </c>
      <c r="B140" s="393" t="s">
        <v>1699</v>
      </c>
      <c r="C140" s="394">
        <v>45645.0</v>
      </c>
      <c r="D140" s="395" t="s">
        <v>849</v>
      </c>
      <c r="E140" s="396" t="s">
        <v>1700</v>
      </c>
      <c r="F140" s="396" t="s">
        <v>1586</v>
      </c>
      <c r="G140" s="396" t="s">
        <v>1696</v>
      </c>
      <c r="H140" s="396" t="s">
        <v>1569</v>
      </c>
      <c r="I140" s="397"/>
      <c r="J140" s="392">
        <f t="shared" si="18"/>
        <v>1</v>
      </c>
      <c r="K140" s="361"/>
      <c r="L140" s="361"/>
      <c r="M140" s="361"/>
      <c r="N140" s="361"/>
      <c r="O140" s="361"/>
      <c r="P140" s="361"/>
      <c r="Q140" s="361"/>
      <c r="R140" s="361"/>
      <c r="S140" s="361"/>
      <c r="T140" s="361"/>
      <c r="U140" s="361"/>
      <c r="V140" s="361"/>
      <c r="W140" s="361"/>
      <c r="X140" s="361"/>
      <c r="Y140" s="361"/>
      <c r="Z140" s="361"/>
    </row>
    <row r="141" ht="15.75" customHeight="1" outlineLevel="1">
      <c r="A141" s="387"/>
      <c r="C141" s="388"/>
      <c r="D141" s="389"/>
      <c r="E141" s="390"/>
      <c r="F141" s="390"/>
      <c r="G141" s="390"/>
      <c r="H141" s="390"/>
      <c r="I141" s="391">
        <f>counta(A142:A149)</f>
        <v>8</v>
      </c>
      <c r="J141" s="389"/>
      <c r="K141" s="361"/>
      <c r="L141" s="361"/>
      <c r="M141" s="361"/>
      <c r="N141" s="361"/>
      <c r="O141" s="361"/>
      <c r="P141" s="361"/>
      <c r="Q141" s="361"/>
      <c r="R141" s="361"/>
      <c r="S141" s="361"/>
      <c r="T141" s="361"/>
      <c r="U141" s="361"/>
      <c r="V141" s="361"/>
      <c r="W141" s="361"/>
      <c r="X141" s="361"/>
      <c r="Y141" s="361"/>
      <c r="Z141" s="361"/>
    </row>
    <row r="142" ht="22.5" customHeight="1" outlineLevel="1">
      <c r="A142" s="392">
        <v>227170.0</v>
      </c>
      <c r="B142" s="407" t="s">
        <v>1701</v>
      </c>
      <c r="C142" s="394">
        <v>45645.0</v>
      </c>
      <c r="D142" s="395" t="s">
        <v>845</v>
      </c>
      <c r="E142" s="396" t="s">
        <v>1702</v>
      </c>
      <c r="F142" s="396" t="s">
        <v>1703</v>
      </c>
      <c r="G142" s="396" t="s">
        <v>1632</v>
      </c>
      <c r="H142" s="396" t="s">
        <v>1557</v>
      </c>
      <c r="I142" s="397"/>
      <c r="J142" s="392">
        <f t="shared" ref="J142:J151" si="19">countif(A$6:A142,A142)</f>
        <v>1</v>
      </c>
      <c r="K142" s="361"/>
      <c r="L142" s="361"/>
      <c r="M142" s="361"/>
      <c r="N142" s="361"/>
      <c r="O142" s="361"/>
      <c r="P142" s="361"/>
      <c r="Q142" s="361"/>
      <c r="R142" s="361"/>
      <c r="S142" s="361"/>
      <c r="T142" s="361"/>
      <c r="U142" s="361"/>
      <c r="V142" s="361"/>
      <c r="W142" s="361"/>
      <c r="X142" s="361"/>
      <c r="Y142" s="361"/>
      <c r="Z142" s="361"/>
    </row>
    <row r="143" ht="22.5" customHeight="1" outlineLevel="1">
      <c r="A143" s="392">
        <v>183324.0</v>
      </c>
      <c r="B143" s="407" t="s">
        <v>1704</v>
      </c>
      <c r="C143" s="394">
        <v>45645.0</v>
      </c>
      <c r="D143" s="395" t="s">
        <v>845</v>
      </c>
      <c r="E143" s="396" t="s">
        <v>1702</v>
      </c>
      <c r="F143" s="396" t="s">
        <v>1703</v>
      </c>
      <c r="G143" s="396" t="s">
        <v>1632</v>
      </c>
      <c r="H143" s="396" t="s">
        <v>1705</v>
      </c>
      <c r="I143" s="397"/>
      <c r="J143" s="392">
        <f t="shared" si="19"/>
        <v>1</v>
      </c>
      <c r="K143" s="361"/>
      <c r="L143" s="361"/>
      <c r="M143" s="361"/>
      <c r="N143" s="361"/>
      <c r="O143" s="361"/>
      <c r="P143" s="361"/>
      <c r="Q143" s="361"/>
      <c r="R143" s="361"/>
      <c r="S143" s="361"/>
      <c r="T143" s="361"/>
      <c r="U143" s="361"/>
      <c r="V143" s="361"/>
      <c r="W143" s="361"/>
      <c r="X143" s="361"/>
      <c r="Y143" s="361"/>
      <c r="Z143" s="361"/>
    </row>
    <row r="144" ht="22.5" customHeight="1" outlineLevel="1">
      <c r="A144" s="392">
        <v>247114.0</v>
      </c>
      <c r="B144" s="407" t="s">
        <v>1706</v>
      </c>
      <c r="C144" s="394">
        <v>45645.0</v>
      </c>
      <c r="D144" s="395" t="s">
        <v>849</v>
      </c>
      <c r="E144" s="396" t="s">
        <v>1536</v>
      </c>
      <c r="F144" s="396" t="s">
        <v>1707</v>
      </c>
      <c r="G144" s="396" t="s">
        <v>1708</v>
      </c>
      <c r="H144" s="396" t="s">
        <v>1709</v>
      </c>
      <c r="I144" s="397"/>
      <c r="J144" s="392">
        <f t="shared" si="19"/>
        <v>1</v>
      </c>
      <c r="K144" s="361"/>
      <c r="L144" s="361"/>
      <c r="M144" s="361"/>
      <c r="N144" s="361"/>
      <c r="O144" s="361"/>
      <c r="P144" s="361"/>
      <c r="Q144" s="361"/>
      <c r="R144" s="361"/>
      <c r="S144" s="361"/>
      <c r="T144" s="361"/>
      <c r="U144" s="361"/>
      <c r="V144" s="361"/>
      <c r="W144" s="361"/>
      <c r="X144" s="361"/>
      <c r="Y144" s="361"/>
      <c r="Z144" s="361"/>
    </row>
    <row r="145" ht="22.5" customHeight="1" outlineLevel="1">
      <c r="A145" s="392">
        <v>227125.0</v>
      </c>
      <c r="B145" s="407" t="s">
        <v>1710</v>
      </c>
      <c r="C145" s="394">
        <v>45645.0</v>
      </c>
      <c r="D145" s="395" t="s">
        <v>849</v>
      </c>
      <c r="E145" s="396" t="s">
        <v>1306</v>
      </c>
      <c r="I145" s="397"/>
      <c r="J145" s="392">
        <f t="shared" si="19"/>
        <v>1</v>
      </c>
      <c r="K145" s="361"/>
      <c r="L145" s="361"/>
      <c r="M145" s="361"/>
      <c r="N145" s="361"/>
      <c r="O145" s="361"/>
      <c r="P145" s="361"/>
      <c r="Q145" s="361"/>
      <c r="R145" s="361"/>
      <c r="S145" s="361"/>
      <c r="T145" s="361"/>
      <c r="U145" s="361"/>
      <c r="V145" s="361"/>
      <c r="W145" s="361"/>
      <c r="X145" s="361"/>
      <c r="Y145" s="361"/>
      <c r="Z145" s="361"/>
    </row>
    <row r="146" ht="22.5" customHeight="1" outlineLevel="1">
      <c r="A146" s="392">
        <v>237023.0</v>
      </c>
      <c r="B146" s="407" t="s">
        <v>1711</v>
      </c>
      <c r="C146" s="394">
        <v>45645.0</v>
      </c>
      <c r="D146" s="395" t="s">
        <v>849</v>
      </c>
      <c r="E146" s="396" t="s">
        <v>1536</v>
      </c>
      <c r="F146" s="396" t="s">
        <v>1676</v>
      </c>
      <c r="G146" s="396" t="s">
        <v>1632</v>
      </c>
      <c r="H146" s="396" t="s">
        <v>1712</v>
      </c>
      <c r="I146" s="397"/>
      <c r="J146" s="392">
        <f t="shared" si="19"/>
        <v>1</v>
      </c>
      <c r="K146" s="361"/>
      <c r="L146" s="361"/>
      <c r="M146" s="361"/>
      <c r="N146" s="361"/>
      <c r="O146" s="361"/>
      <c r="P146" s="361"/>
      <c r="Q146" s="361"/>
      <c r="R146" s="361"/>
      <c r="S146" s="361"/>
      <c r="T146" s="361"/>
      <c r="U146" s="361"/>
      <c r="V146" s="361"/>
      <c r="W146" s="361"/>
      <c r="X146" s="361"/>
      <c r="Y146" s="361"/>
      <c r="Z146" s="361"/>
    </row>
    <row r="147" ht="22.5" customHeight="1" outlineLevel="1">
      <c r="A147" s="392">
        <v>247230.0</v>
      </c>
      <c r="B147" s="407" t="s">
        <v>1713</v>
      </c>
      <c r="C147" s="394">
        <v>45645.0</v>
      </c>
      <c r="D147" s="395" t="s">
        <v>845</v>
      </c>
      <c r="E147" s="396" t="s">
        <v>1702</v>
      </c>
      <c r="F147" s="396" t="s">
        <v>1714</v>
      </c>
      <c r="G147" s="396" t="s">
        <v>1632</v>
      </c>
      <c r="H147" s="396" t="s">
        <v>1693</v>
      </c>
      <c r="I147" s="397"/>
      <c r="J147" s="392">
        <f t="shared" si="19"/>
        <v>1</v>
      </c>
      <c r="K147" s="361"/>
      <c r="L147" s="361"/>
      <c r="M147" s="361"/>
      <c r="N147" s="361"/>
      <c r="O147" s="361"/>
      <c r="P147" s="361"/>
      <c r="Q147" s="361"/>
      <c r="R147" s="361"/>
      <c r="S147" s="361"/>
      <c r="T147" s="361"/>
      <c r="U147" s="361"/>
      <c r="V147" s="361"/>
      <c r="W147" s="361"/>
      <c r="X147" s="361"/>
      <c r="Y147" s="361"/>
      <c r="Z147" s="361"/>
    </row>
    <row r="148" ht="22.5" customHeight="1" outlineLevel="1">
      <c r="A148" s="392">
        <v>237049.0</v>
      </c>
      <c r="B148" s="407" t="s">
        <v>1715</v>
      </c>
      <c r="C148" s="394">
        <v>45645.0</v>
      </c>
      <c r="D148" s="395" t="s">
        <v>845</v>
      </c>
      <c r="E148" s="396" t="s">
        <v>1716</v>
      </c>
      <c r="F148" s="396" t="s">
        <v>1714</v>
      </c>
      <c r="G148" s="396" t="s">
        <v>1632</v>
      </c>
      <c r="H148" s="396" t="s">
        <v>1693</v>
      </c>
      <c r="I148" s="397"/>
      <c r="J148" s="392">
        <f t="shared" si="19"/>
        <v>1</v>
      </c>
      <c r="K148" s="361"/>
      <c r="L148" s="361"/>
      <c r="M148" s="361"/>
      <c r="N148" s="361"/>
      <c r="O148" s="361"/>
      <c r="P148" s="361"/>
      <c r="Q148" s="361"/>
      <c r="R148" s="361"/>
      <c r="S148" s="361"/>
      <c r="T148" s="361"/>
      <c r="U148" s="361"/>
      <c r="V148" s="361"/>
      <c r="W148" s="361"/>
      <c r="X148" s="361"/>
      <c r="Y148" s="361"/>
      <c r="Z148" s="361"/>
    </row>
    <row r="149" ht="22.5" customHeight="1" outlineLevel="1">
      <c r="A149" s="392">
        <v>237037.0</v>
      </c>
      <c r="B149" s="393" t="s">
        <v>1717</v>
      </c>
      <c r="C149" s="394">
        <v>45645.0</v>
      </c>
      <c r="D149" s="395" t="s">
        <v>849</v>
      </c>
      <c r="E149" s="396" t="s">
        <v>1536</v>
      </c>
      <c r="F149" s="396" t="s">
        <v>1624</v>
      </c>
      <c r="G149" s="396" t="s">
        <v>1718</v>
      </c>
      <c r="H149" s="396" t="s">
        <v>1569</v>
      </c>
      <c r="I149" s="397"/>
      <c r="J149" s="392">
        <f t="shared" si="19"/>
        <v>1</v>
      </c>
      <c r="K149" s="361"/>
      <c r="L149" s="361"/>
      <c r="M149" s="361"/>
      <c r="N149" s="361"/>
      <c r="O149" s="361"/>
      <c r="P149" s="361"/>
      <c r="Q149" s="361"/>
      <c r="R149" s="361"/>
      <c r="S149" s="361"/>
      <c r="T149" s="361"/>
      <c r="U149" s="361"/>
      <c r="V149" s="361"/>
      <c r="W149" s="361"/>
      <c r="X149" s="361"/>
      <c r="Y149" s="361"/>
      <c r="Z149" s="361"/>
    </row>
    <row r="150" ht="22.5" customHeight="1" outlineLevel="1">
      <c r="A150" s="392">
        <v>247146.0</v>
      </c>
      <c r="B150" s="407" t="s">
        <v>1719</v>
      </c>
      <c r="C150" s="394">
        <v>45645.0</v>
      </c>
      <c r="D150" s="395" t="s">
        <v>849</v>
      </c>
      <c r="E150" s="396" t="s">
        <v>1536</v>
      </c>
      <c r="F150" s="396" t="s">
        <v>1676</v>
      </c>
      <c r="G150" s="396" t="s">
        <v>1720</v>
      </c>
      <c r="H150" s="396" t="s">
        <v>1637</v>
      </c>
      <c r="I150" s="397"/>
      <c r="J150" s="392">
        <f t="shared" si="19"/>
        <v>1</v>
      </c>
      <c r="K150" s="361"/>
      <c r="L150" s="361"/>
      <c r="M150" s="361"/>
      <c r="N150" s="361"/>
      <c r="O150" s="361"/>
      <c r="P150" s="361"/>
      <c r="Q150" s="361"/>
      <c r="R150" s="361"/>
      <c r="S150" s="361"/>
      <c r="T150" s="361"/>
      <c r="U150" s="361"/>
      <c r="V150" s="361"/>
      <c r="W150" s="361"/>
      <c r="X150" s="361"/>
      <c r="Y150" s="361"/>
      <c r="Z150" s="361"/>
    </row>
    <row r="151" ht="22.5" customHeight="1" outlineLevel="1">
      <c r="A151" s="392">
        <v>247059.0</v>
      </c>
      <c r="B151" s="393" t="s">
        <v>1721</v>
      </c>
      <c r="C151" s="394">
        <v>45645.0</v>
      </c>
      <c r="D151" s="395" t="s">
        <v>849</v>
      </c>
      <c r="E151" s="396" t="s">
        <v>1306</v>
      </c>
      <c r="I151" s="397"/>
      <c r="J151" s="392">
        <f t="shared" si="19"/>
        <v>1</v>
      </c>
      <c r="K151" s="361"/>
      <c r="L151" s="361"/>
      <c r="M151" s="361"/>
      <c r="N151" s="361"/>
      <c r="O151" s="361"/>
      <c r="P151" s="361"/>
      <c r="Q151" s="361"/>
      <c r="R151" s="361"/>
      <c r="S151" s="361"/>
      <c r="T151" s="361"/>
      <c r="U151" s="361"/>
      <c r="V151" s="361"/>
      <c r="W151" s="361"/>
      <c r="X151" s="361"/>
      <c r="Y151" s="361"/>
      <c r="Z151" s="361"/>
    </row>
    <row r="152" ht="15.75" customHeight="1" outlineLevel="1">
      <c r="A152" s="387"/>
      <c r="C152" s="388"/>
      <c r="D152" s="389"/>
      <c r="E152" s="390"/>
      <c r="F152" s="390"/>
      <c r="G152" s="390"/>
      <c r="H152" s="390"/>
      <c r="I152" s="391">
        <f>counta(A153:A160)</f>
        <v>8</v>
      </c>
      <c r="J152" s="389"/>
      <c r="K152" s="361"/>
      <c r="L152" s="361"/>
      <c r="M152" s="361"/>
      <c r="N152" s="361"/>
      <c r="O152" s="361"/>
      <c r="P152" s="361"/>
      <c r="Q152" s="361"/>
      <c r="R152" s="361"/>
      <c r="S152" s="361"/>
      <c r="T152" s="361"/>
      <c r="U152" s="361"/>
      <c r="V152" s="361"/>
      <c r="W152" s="361"/>
      <c r="X152" s="361"/>
      <c r="Y152" s="361"/>
      <c r="Z152" s="361"/>
    </row>
    <row r="153" ht="22.5" customHeight="1" outlineLevel="1">
      <c r="A153" s="401">
        <v>237222.0</v>
      </c>
      <c r="B153" s="400" t="s">
        <v>1722</v>
      </c>
      <c r="C153" s="394">
        <v>45646.0</v>
      </c>
      <c r="D153" s="395" t="s">
        <v>849</v>
      </c>
      <c r="E153" s="396" t="s">
        <v>1306</v>
      </c>
      <c r="I153" s="397"/>
      <c r="J153" s="392">
        <f t="shared" ref="J153:J160" si="20">countif(A$6:A153,A153)</f>
        <v>1</v>
      </c>
      <c r="K153" s="361"/>
      <c r="L153" s="361"/>
      <c r="M153" s="361"/>
      <c r="N153" s="361"/>
      <c r="O153" s="361"/>
      <c r="P153" s="361"/>
      <c r="Q153" s="361"/>
      <c r="R153" s="361"/>
      <c r="S153" s="361"/>
      <c r="T153" s="361"/>
      <c r="U153" s="361"/>
      <c r="V153" s="361"/>
      <c r="W153" s="361"/>
      <c r="X153" s="361"/>
      <c r="Y153" s="361"/>
      <c r="Z153" s="361"/>
    </row>
    <row r="154" ht="22.5" customHeight="1" outlineLevel="1">
      <c r="A154" s="401">
        <v>247379.0</v>
      </c>
      <c r="B154" s="400" t="s">
        <v>1723</v>
      </c>
      <c r="C154" s="394">
        <v>45646.0</v>
      </c>
      <c r="D154" s="395" t="s">
        <v>849</v>
      </c>
      <c r="E154" s="396" t="s">
        <v>1724</v>
      </c>
      <c r="F154" s="396" t="s">
        <v>1725</v>
      </c>
      <c r="G154" s="396" t="s">
        <v>1726</v>
      </c>
      <c r="H154" s="396" t="s">
        <v>1569</v>
      </c>
      <c r="I154" s="397"/>
      <c r="J154" s="392">
        <f t="shared" si="20"/>
        <v>1</v>
      </c>
      <c r="K154" s="361"/>
      <c r="L154" s="361"/>
      <c r="M154" s="361"/>
      <c r="N154" s="361"/>
      <c r="O154" s="361"/>
      <c r="P154" s="361"/>
      <c r="Q154" s="361"/>
      <c r="R154" s="361"/>
      <c r="S154" s="361"/>
      <c r="T154" s="361"/>
      <c r="U154" s="361"/>
      <c r="V154" s="361"/>
      <c r="W154" s="361"/>
      <c r="X154" s="361"/>
      <c r="Y154" s="361"/>
      <c r="Z154" s="361"/>
    </row>
    <row r="155" ht="22.5" customHeight="1" outlineLevel="1">
      <c r="A155" s="401">
        <v>227153.0</v>
      </c>
      <c r="B155" s="400" t="s">
        <v>1727</v>
      </c>
      <c r="C155" s="394">
        <v>45646.0</v>
      </c>
      <c r="D155" s="395" t="s">
        <v>849</v>
      </c>
      <c r="E155" s="396" t="s">
        <v>1724</v>
      </c>
      <c r="F155" s="396" t="s">
        <v>1728</v>
      </c>
      <c r="G155" s="396" t="s">
        <v>1729</v>
      </c>
      <c r="H155" s="396" t="s">
        <v>1569</v>
      </c>
      <c r="I155" s="397"/>
      <c r="J155" s="392">
        <f t="shared" si="20"/>
        <v>1</v>
      </c>
      <c r="K155" s="361"/>
      <c r="L155" s="361"/>
      <c r="M155" s="361"/>
      <c r="N155" s="361"/>
      <c r="O155" s="361"/>
      <c r="P155" s="361"/>
      <c r="Q155" s="361"/>
      <c r="R155" s="361"/>
      <c r="S155" s="361"/>
      <c r="T155" s="361"/>
      <c r="U155" s="361"/>
      <c r="V155" s="361"/>
      <c r="W155" s="361"/>
      <c r="X155" s="361"/>
      <c r="Y155" s="361"/>
      <c r="Z155" s="361"/>
    </row>
    <row r="156" ht="22.5" customHeight="1" outlineLevel="1">
      <c r="A156" s="401">
        <v>237227.0</v>
      </c>
      <c r="B156" s="400" t="s">
        <v>1730</v>
      </c>
      <c r="C156" s="394">
        <v>45646.0</v>
      </c>
      <c r="D156" s="395" t="s">
        <v>845</v>
      </c>
      <c r="E156" s="396" t="s">
        <v>1702</v>
      </c>
      <c r="F156" s="396" t="s">
        <v>1731</v>
      </c>
      <c r="G156" s="396" t="s">
        <v>1660</v>
      </c>
      <c r="H156" s="396" t="s">
        <v>1732</v>
      </c>
      <c r="I156" s="397"/>
      <c r="J156" s="392">
        <f t="shared" si="20"/>
        <v>1</v>
      </c>
      <c r="K156" s="361"/>
      <c r="L156" s="361"/>
      <c r="M156" s="361"/>
      <c r="N156" s="361"/>
      <c r="O156" s="361"/>
      <c r="P156" s="361"/>
      <c r="Q156" s="361"/>
      <c r="R156" s="361"/>
      <c r="S156" s="361"/>
      <c r="T156" s="361"/>
      <c r="U156" s="361"/>
      <c r="V156" s="361"/>
      <c r="W156" s="361"/>
      <c r="X156" s="361"/>
      <c r="Y156" s="361"/>
      <c r="Z156" s="361"/>
    </row>
    <row r="157" ht="22.5" customHeight="1" outlineLevel="1">
      <c r="A157" s="401">
        <v>237238.0</v>
      </c>
      <c r="B157" s="400" t="s">
        <v>1733</v>
      </c>
      <c r="C157" s="394">
        <v>45646.0</v>
      </c>
      <c r="D157" s="395" t="s">
        <v>849</v>
      </c>
      <c r="E157" s="396" t="s">
        <v>1734</v>
      </c>
      <c r="F157" s="396" t="s">
        <v>1735</v>
      </c>
      <c r="G157" s="396" t="s">
        <v>1728</v>
      </c>
      <c r="H157" s="396" t="s">
        <v>1637</v>
      </c>
      <c r="I157" s="397"/>
      <c r="J157" s="392">
        <f t="shared" si="20"/>
        <v>1</v>
      </c>
      <c r="K157" s="361"/>
      <c r="L157" s="361"/>
      <c r="M157" s="361"/>
      <c r="N157" s="361"/>
      <c r="O157" s="361"/>
      <c r="P157" s="361"/>
      <c r="Q157" s="361"/>
      <c r="R157" s="361"/>
      <c r="S157" s="361"/>
      <c r="T157" s="361"/>
      <c r="U157" s="361"/>
      <c r="V157" s="361"/>
      <c r="W157" s="361"/>
      <c r="X157" s="361"/>
      <c r="Y157" s="361"/>
      <c r="Z157" s="361"/>
    </row>
    <row r="158" ht="22.5" customHeight="1" outlineLevel="1">
      <c r="A158" s="401">
        <v>237235.0</v>
      </c>
      <c r="B158" s="400" t="s">
        <v>1736</v>
      </c>
      <c r="C158" s="394">
        <v>45646.0</v>
      </c>
      <c r="D158" s="395" t="s">
        <v>845</v>
      </c>
      <c r="E158" s="396" t="s">
        <v>1702</v>
      </c>
      <c r="F158" s="396" t="s">
        <v>1731</v>
      </c>
      <c r="G158" s="396" t="s">
        <v>1660</v>
      </c>
      <c r="H158" s="396" t="s">
        <v>1492</v>
      </c>
      <c r="I158" s="397"/>
      <c r="J158" s="392">
        <f t="shared" si="20"/>
        <v>1</v>
      </c>
      <c r="K158" s="361"/>
      <c r="L158" s="361"/>
      <c r="M158" s="361"/>
      <c r="N158" s="361"/>
      <c r="O158" s="361"/>
      <c r="P158" s="361"/>
      <c r="Q158" s="361"/>
      <c r="R158" s="361"/>
      <c r="S158" s="361"/>
      <c r="T158" s="361"/>
      <c r="U158" s="361"/>
      <c r="V158" s="361"/>
      <c r="W158" s="361"/>
      <c r="X158" s="361"/>
      <c r="Y158" s="361"/>
      <c r="Z158" s="361"/>
    </row>
    <row r="159" ht="22.5" customHeight="1" outlineLevel="1">
      <c r="A159" s="401">
        <v>237169.0</v>
      </c>
      <c r="B159" s="400" t="s">
        <v>1737</v>
      </c>
      <c r="C159" s="394">
        <v>45646.0</v>
      </c>
      <c r="D159" s="395" t="s">
        <v>845</v>
      </c>
      <c r="E159" s="396" t="s">
        <v>1702</v>
      </c>
      <c r="F159" s="396" t="s">
        <v>1731</v>
      </c>
      <c r="G159" s="396" t="s">
        <v>1660</v>
      </c>
      <c r="H159" s="396" t="s">
        <v>1492</v>
      </c>
      <c r="I159" s="397"/>
      <c r="J159" s="392">
        <f t="shared" si="20"/>
        <v>1</v>
      </c>
      <c r="K159" s="361"/>
      <c r="L159" s="361"/>
      <c r="M159" s="361"/>
      <c r="N159" s="361"/>
      <c r="O159" s="361"/>
      <c r="P159" s="361"/>
      <c r="Q159" s="361"/>
      <c r="R159" s="361"/>
      <c r="S159" s="361"/>
      <c r="T159" s="361"/>
      <c r="U159" s="361"/>
      <c r="V159" s="361"/>
      <c r="W159" s="361"/>
      <c r="X159" s="361"/>
      <c r="Y159" s="361"/>
      <c r="Z159" s="361"/>
    </row>
    <row r="160" ht="22.5" customHeight="1" outlineLevel="1">
      <c r="A160" s="401">
        <v>237259.0</v>
      </c>
      <c r="B160" s="400" t="s">
        <v>1738</v>
      </c>
      <c r="C160" s="394">
        <v>45646.0</v>
      </c>
      <c r="D160" s="395" t="s">
        <v>849</v>
      </c>
      <c r="E160" s="396" t="s">
        <v>1724</v>
      </c>
      <c r="F160" s="396" t="s">
        <v>1739</v>
      </c>
      <c r="G160" s="396" t="s">
        <v>1728</v>
      </c>
      <c r="H160" s="396" t="s">
        <v>1637</v>
      </c>
      <c r="I160" s="397"/>
      <c r="J160" s="392">
        <f t="shared" si="20"/>
        <v>1</v>
      </c>
      <c r="K160" s="361"/>
      <c r="L160" s="361"/>
      <c r="M160" s="361"/>
      <c r="N160" s="361"/>
      <c r="O160" s="361"/>
      <c r="P160" s="361"/>
      <c r="Q160" s="361"/>
      <c r="R160" s="361"/>
      <c r="S160" s="361"/>
      <c r="T160" s="361"/>
      <c r="U160" s="361"/>
      <c r="V160" s="361"/>
      <c r="W160" s="361"/>
      <c r="X160" s="361"/>
      <c r="Y160" s="361"/>
      <c r="Z160" s="361"/>
    </row>
    <row r="161" ht="15.75" customHeight="1" outlineLevel="1">
      <c r="A161" s="387"/>
      <c r="C161" s="388"/>
      <c r="D161" s="389"/>
      <c r="E161" s="390"/>
      <c r="F161" s="390"/>
      <c r="G161" s="390"/>
      <c r="H161" s="390"/>
      <c r="I161" s="391">
        <f>counta(A162:A168)</f>
        <v>6</v>
      </c>
      <c r="J161" s="389"/>
      <c r="K161" s="361"/>
      <c r="L161" s="361"/>
      <c r="M161" s="361"/>
      <c r="N161" s="361"/>
      <c r="O161" s="361"/>
      <c r="P161" s="361"/>
      <c r="Q161" s="361"/>
      <c r="R161" s="361"/>
      <c r="S161" s="361"/>
      <c r="T161" s="361"/>
      <c r="U161" s="361"/>
      <c r="V161" s="361"/>
      <c r="W161" s="361"/>
      <c r="X161" s="361"/>
      <c r="Y161" s="361"/>
      <c r="Z161" s="361"/>
    </row>
    <row r="162" ht="22.5" customHeight="1" outlineLevel="1">
      <c r="A162" s="399">
        <v>247122.0</v>
      </c>
      <c r="B162" s="400" t="s">
        <v>1740</v>
      </c>
      <c r="C162" s="394">
        <v>45646.0</v>
      </c>
      <c r="D162" s="395" t="s">
        <v>845</v>
      </c>
      <c r="E162" s="396" t="s">
        <v>1702</v>
      </c>
      <c r="F162" s="396" t="s">
        <v>1741</v>
      </c>
      <c r="G162" s="396" t="s">
        <v>1632</v>
      </c>
      <c r="H162" s="396" t="s">
        <v>1693</v>
      </c>
      <c r="I162" s="397"/>
      <c r="J162" s="392">
        <f t="shared" ref="J162:J166" si="21">countif(A$6:A162,A162)</f>
        <v>1</v>
      </c>
      <c r="K162" s="361"/>
      <c r="L162" s="361"/>
      <c r="M162" s="361"/>
      <c r="N162" s="361"/>
      <c r="O162" s="361"/>
      <c r="P162" s="361"/>
      <c r="Q162" s="361"/>
      <c r="R162" s="361"/>
      <c r="S162" s="361"/>
      <c r="T162" s="361"/>
      <c r="U162" s="361"/>
      <c r="V162" s="361"/>
      <c r="W162" s="361"/>
      <c r="X162" s="361"/>
      <c r="Y162" s="361"/>
      <c r="Z162" s="361"/>
    </row>
    <row r="163" ht="22.5" customHeight="1" outlineLevel="1">
      <c r="A163" s="399">
        <v>237101.0</v>
      </c>
      <c r="B163" s="400" t="s">
        <v>1742</v>
      </c>
      <c r="C163" s="394">
        <v>45646.0</v>
      </c>
      <c r="D163" s="395" t="s">
        <v>849</v>
      </c>
      <c r="E163" s="396" t="s">
        <v>1600</v>
      </c>
      <c r="F163" s="396" t="s">
        <v>1479</v>
      </c>
      <c r="G163" s="396" t="s">
        <v>1632</v>
      </c>
      <c r="H163" s="396" t="s">
        <v>1743</v>
      </c>
      <c r="I163" s="397"/>
      <c r="J163" s="392">
        <f t="shared" si="21"/>
        <v>1</v>
      </c>
      <c r="K163" s="361"/>
      <c r="L163" s="361"/>
      <c r="M163" s="361"/>
      <c r="N163" s="361"/>
      <c r="O163" s="361"/>
      <c r="P163" s="361"/>
      <c r="Q163" s="361"/>
      <c r="R163" s="361"/>
      <c r="S163" s="361"/>
      <c r="T163" s="361"/>
      <c r="U163" s="361"/>
      <c r="V163" s="361"/>
      <c r="W163" s="361"/>
      <c r="X163" s="361"/>
      <c r="Y163" s="361"/>
      <c r="Z163" s="361"/>
    </row>
    <row r="164" ht="22.5" customHeight="1" outlineLevel="1">
      <c r="A164" s="399">
        <v>227220.0</v>
      </c>
      <c r="B164" s="400" t="s">
        <v>1744</v>
      </c>
      <c r="C164" s="394">
        <v>45646.0</v>
      </c>
      <c r="D164" s="395" t="s">
        <v>849</v>
      </c>
      <c r="E164" s="396" t="s">
        <v>1600</v>
      </c>
      <c r="F164" s="396" t="s">
        <v>1479</v>
      </c>
      <c r="G164" s="396" t="s">
        <v>1632</v>
      </c>
      <c r="H164" s="396" t="s">
        <v>1745</v>
      </c>
      <c r="I164" s="397"/>
      <c r="J164" s="392">
        <f t="shared" si="21"/>
        <v>1</v>
      </c>
      <c r="K164" s="361"/>
      <c r="L164" s="361"/>
      <c r="M164" s="361"/>
      <c r="N164" s="361"/>
      <c r="O164" s="361"/>
      <c r="P164" s="361"/>
      <c r="Q164" s="361"/>
      <c r="R164" s="361"/>
      <c r="S164" s="361"/>
      <c r="T164" s="361"/>
      <c r="U164" s="361"/>
      <c r="V164" s="361"/>
      <c r="W164" s="361"/>
      <c r="X164" s="361"/>
      <c r="Y164" s="361"/>
      <c r="Z164" s="361"/>
    </row>
    <row r="165" ht="22.5" customHeight="1" outlineLevel="1">
      <c r="A165" s="399">
        <v>183332.0</v>
      </c>
      <c r="B165" s="400" t="s">
        <v>1746</v>
      </c>
      <c r="C165" s="394">
        <v>45646.0</v>
      </c>
      <c r="D165" s="395" t="s">
        <v>849</v>
      </c>
      <c r="E165" s="396" t="s">
        <v>1747</v>
      </c>
      <c r="F165" s="396" t="s">
        <v>1676</v>
      </c>
      <c r="G165" s="396" t="s">
        <v>1718</v>
      </c>
      <c r="H165" s="396" t="s">
        <v>1748</v>
      </c>
      <c r="I165" s="397"/>
      <c r="J165" s="392">
        <f t="shared" si="21"/>
        <v>1</v>
      </c>
      <c r="K165" s="361"/>
      <c r="L165" s="361"/>
      <c r="M165" s="361"/>
      <c r="N165" s="361"/>
      <c r="O165" s="361"/>
      <c r="P165" s="361"/>
      <c r="Q165" s="361"/>
      <c r="R165" s="361"/>
      <c r="S165" s="361"/>
      <c r="T165" s="361"/>
      <c r="U165" s="361"/>
      <c r="V165" s="361"/>
      <c r="W165" s="361"/>
      <c r="X165" s="361"/>
      <c r="Y165" s="361"/>
      <c r="Z165" s="361"/>
    </row>
    <row r="166" ht="22.5" customHeight="1" outlineLevel="1">
      <c r="A166" s="399">
        <v>227174.0</v>
      </c>
      <c r="B166" s="400" t="s">
        <v>1749</v>
      </c>
      <c r="C166" s="394">
        <v>45646.0</v>
      </c>
      <c r="D166" s="395" t="s">
        <v>845</v>
      </c>
      <c r="E166" s="396" t="s">
        <v>1600</v>
      </c>
      <c r="F166" s="396" t="s">
        <v>1750</v>
      </c>
      <c r="G166" s="396" t="s">
        <v>1632</v>
      </c>
      <c r="H166" s="396" t="s">
        <v>1693</v>
      </c>
      <c r="I166" s="397"/>
      <c r="J166" s="392">
        <f t="shared" si="21"/>
        <v>1</v>
      </c>
      <c r="K166" s="361"/>
      <c r="L166" s="361"/>
      <c r="M166" s="361"/>
      <c r="N166" s="361"/>
      <c r="O166" s="361"/>
      <c r="P166" s="361"/>
      <c r="Q166" s="361"/>
      <c r="R166" s="361"/>
      <c r="S166" s="361"/>
      <c r="T166" s="361"/>
      <c r="U166" s="361"/>
      <c r="V166" s="361"/>
      <c r="W166" s="361"/>
      <c r="X166" s="361"/>
      <c r="Y166" s="361"/>
      <c r="Z166" s="361"/>
    </row>
    <row r="167" ht="15.75" customHeight="1" outlineLevel="1">
      <c r="A167" s="387"/>
      <c r="C167" s="388"/>
      <c r="D167" s="389"/>
      <c r="E167" s="390"/>
      <c r="F167" s="390"/>
      <c r="G167" s="390"/>
      <c r="H167" s="390"/>
      <c r="I167" s="391">
        <f>counta(A168:A175)</f>
        <v>7</v>
      </c>
      <c r="J167" s="389"/>
      <c r="K167" s="361"/>
      <c r="L167" s="361"/>
      <c r="M167" s="361"/>
      <c r="N167" s="361"/>
      <c r="O167" s="361"/>
      <c r="P167" s="361"/>
      <c r="Q167" s="361"/>
      <c r="R167" s="361"/>
      <c r="S167" s="361"/>
      <c r="T167" s="361"/>
      <c r="U167" s="361"/>
      <c r="V167" s="361"/>
      <c r="W167" s="361"/>
      <c r="X167" s="361"/>
      <c r="Y167" s="361"/>
      <c r="Z167" s="361"/>
    </row>
    <row r="168" ht="22.5" customHeight="1" outlineLevel="1">
      <c r="A168" s="399">
        <v>183432.0</v>
      </c>
      <c r="B168" s="400" t="s">
        <v>1751</v>
      </c>
      <c r="C168" s="394">
        <v>45665.0</v>
      </c>
      <c r="D168" s="395" t="s">
        <v>845</v>
      </c>
      <c r="E168" s="396" t="s">
        <v>1306</v>
      </c>
      <c r="I168" s="397"/>
      <c r="J168" s="392">
        <f>countif(A$6:A168,A168)</f>
        <v>1</v>
      </c>
      <c r="K168" s="361"/>
      <c r="L168" s="361"/>
      <c r="M168" s="361"/>
      <c r="N168" s="361"/>
      <c r="O168" s="361"/>
      <c r="P168" s="361"/>
      <c r="Q168" s="361"/>
      <c r="R168" s="361"/>
      <c r="S168" s="361"/>
      <c r="T168" s="361"/>
      <c r="U168" s="361"/>
      <c r="V168" s="361"/>
      <c r="W168" s="361"/>
      <c r="X168" s="361"/>
      <c r="Y168" s="361"/>
      <c r="Z168" s="361"/>
    </row>
    <row r="169" ht="15.75" customHeight="1" outlineLevel="1">
      <c r="A169" s="387"/>
      <c r="C169" s="388"/>
      <c r="D169" s="389"/>
      <c r="E169" s="390"/>
      <c r="F169" s="390"/>
      <c r="G169" s="390"/>
      <c r="H169" s="390"/>
      <c r="I169" s="391">
        <f>counta(A170:A177)</f>
        <v>7</v>
      </c>
      <c r="J169" s="389"/>
      <c r="K169" s="361"/>
      <c r="L169" s="361"/>
      <c r="M169" s="361"/>
      <c r="N169" s="361"/>
      <c r="O169" s="361"/>
      <c r="P169" s="361"/>
      <c r="Q169" s="361"/>
      <c r="R169" s="361"/>
      <c r="S169" s="361"/>
      <c r="T169" s="361"/>
      <c r="U169" s="361"/>
      <c r="V169" s="361"/>
      <c r="W169" s="361"/>
      <c r="X169" s="361"/>
      <c r="Y169" s="361"/>
      <c r="Z169" s="361"/>
    </row>
    <row r="170" ht="22.5" customHeight="1" outlineLevel="1">
      <c r="A170" s="395">
        <v>173286.0</v>
      </c>
      <c r="B170" s="393" t="s">
        <v>1752</v>
      </c>
      <c r="C170" s="394">
        <v>45663.0</v>
      </c>
      <c r="D170" s="395" t="s">
        <v>845</v>
      </c>
      <c r="E170" s="396" t="s">
        <v>1753</v>
      </c>
      <c r="F170" s="396" t="s">
        <v>1754</v>
      </c>
      <c r="G170" s="396" t="s">
        <v>1755</v>
      </c>
      <c r="H170" s="396" t="s">
        <v>1756</v>
      </c>
      <c r="I170" s="397"/>
      <c r="J170" s="392">
        <f t="shared" ref="J170:J175" si="22">countif(A$6:A170,A170)</f>
        <v>1</v>
      </c>
      <c r="K170" s="361"/>
      <c r="L170" s="361"/>
      <c r="M170" s="361"/>
      <c r="N170" s="361"/>
      <c r="O170" s="361"/>
      <c r="P170" s="361"/>
      <c r="Q170" s="361"/>
      <c r="R170" s="361"/>
      <c r="S170" s="361"/>
      <c r="T170" s="361"/>
      <c r="U170" s="361"/>
      <c r="V170" s="361"/>
      <c r="W170" s="361"/>
      <c r="X170" s="361"/>
      <c r="Y170" s="361"/>
      <c r="Z170" s="361"/>
    </row>
    <row r="171" ht="22.5" customHeight="1" outlineLevel="1">
      <c r="A171" s="395">
        <v>227024.0</v>
      </c>
      <c r="B171" s="393" t="s">
        <v>1757</v>
      </c>
      <c r="C171" s="394">
        <v>45663.0</v>
      </c>
      <c r="D171" s="395" t="s">
        <v>849</v>
      </c>
      <c r="E171" s="396" t="s">
        <v>1753</v>
      </c>
      <c r="F171" s="396" t="s">
        <v>1355</v>
      </c>
      <c r="G171" s="396" t="s">
        <v>1758</v>
      </c>
      <c r="H171" s="396" t="s">
        <v>1759</v>
      </c>
      <c r="I171" s="397"/>
      <c r="J171" s="392">
        <f t="shared" si="22"/>
        <v>1</v>
      </c>
      <c r="K171" s="361"/>
      <c r="L171" s="361"/>
      <c r="M171" s="361"/>
      <c r="N171" s="361"/>
      <c r="O171" s="361"/>
      <c r="P171" s="361"/>
      <c r="Q171" s="361"/>
      <c r="R171" s="361"/>
      <c r="S171" s="361"/>
      <c r="T171" s="361"/>
      <c r="U171" s="361"/>
      <c r="V171" s="361"/>
      <c r="W171" s="361"/>
      <c r="X171" s="361"/>
      <c r="Y171" s="361"/>
      <c r="Z171" s="361"/>
    </row>
    <row r="172" ht="22.5" customHeight="1" outlineLevel="1">
      <c r="A172" s="395">
        <v>227032.0</v>
      </c>
      <c r="B172" s="393" t="s">
        <v>1760</v>
      </c>
      <c r="C172" s="394">
        <v>45663.0</v>
      </c>
      <c r="D172" s="395" t="s">
        <v>845</v>
      </c>
      <c r="E172" s="396" t="s">
        <v>1753</v>
      </c>
      <c r="F172" s="396" t="s">
        <v>1676</v>
      </c>
      <c r="G172" s="396" t="s">
        <v>1758</v>
      </c>
      <c r="H172" s="396" t="s">
        <v>1761</v>
      </c>
      <c r="I172" s="397"/>
      <c r="J172" s="392">
        <f t="shared" si="22"/>
        <v>1</v>
      </c>
      <c r="K172" s="361"/>
      <c r="L172" s="361"/>
      <c r="M172" s="361"/>
      <c r="N172" s="361"/>
      <c r="O172" s="361"/>
      <c r="P172" s="361"/>
      <c r="Q172" s="361"/>
      <c r="R172" s="361"/>
      <c r="S172" s="361"/>
      <c r="T172" s="361"/>
      <c r="U172" s="361"/>
      <c r="V172" s="361"/>
      <c r="W172" s="361"/>
      <c r="X172" s="361"/>
      <c r="Y172" s="361"/>
      <c r="Z172" s="361"/>
    </row>
    <row r="173" ht="22.5" customHeight="1" outlineLevel="1">
      <c r="A173" s="395">
        <v>193519.0</v>
      </c>
      <c r="B173" s="393" t="s">
        <v>1762</v>
      </c>
      <c r="C173" s="394">
        <v>45663.0</v>
      </c>
      <c r="D173" s="395" t="s">
        <v>849</v>
      </c>
      <c r="E173" s="396" t="s">
        <v>1753</v>
      </c>
      <c r="F173" s="396" t="s">
        <v>1355</v>
      </c>
      <c r="G173" s="396" t="s">
        <v>1669</v>
      </c>
      <c r="H173" s="396" t="s">
        <v>1763</v>
      </c>
      <c r="I173" s="397"/>
      <c r="J173" s="392">
        <f t="shared" si="22"/>
        <v>1</v>
      </c>
      <c r="K173" s="361"/>
      <c r="L173" s="361"/>
      <c r="M173" s="361"/>
      <c r="N173" s="361"/>
      <c r="O173" s="361"/>
      <c r="P173" s="361"/>
      <c r="Q173" s="361"/>
      <c r="R173" s="361"/>
      <c r="S173" s="361"/>
      <c r="T173" s="361"/>
      <c r="U173" s="361"/>
      <c r="V173" s="361"/>
      <c r="W173" s="361"/>
      <c r="X173" s="361"/>
      <c r="Y173" s="361"/>
      <c r="Z173" s="361"/>
    </row>
    <row r="174" ht="22.5" customHeight="1" outlineLevel="1">
      <c r="A174" s="395">
        <v>247357.0</v>
      </c>
      <c r="B174" s="393" t="s">
        <v>1764</v>
      </c>
      <c r="C174" s="394">
        <v>45663.0</v>
      </c>
      <c r="D174" s="395" t="s">
        <v>849</v>
      </c>
      <c r="E174" s="396" t="s">
        <v>1675</v>
      </c>
      <c r="F174" s="396" t="s">
        <v>1355</v>
      </c>
      <c r="G174" s="396" t="s">
        <v>1765</v>
      </c>
      <c r="H174" s="396" t="s">
        <v>1579</v>
      </c>
      <c r="I174" s="397"/>
      <c r="J174" s="392">
        <f t="shared" si="22"/>
        <v>1</v>
      </c>
      <c r="K174" s="361"/>
      <c r="L174" s="361"/>
      <c r="M174" s="361"/>
      <c r="N174" s="361"/>
      <c r="O174" s="361"/>
      <c r="P174" s="361"/>
      <c r="Q174" s="361"/>
      <c r="R174" s="361"/>
      <c r="S174" s="361"/>
      <c r="T174" s="361"/>
      <c r="U174" s="361"/>
      <c r="V174" s="361"/>
      <c r="W174" s="361"/>
      <c r="X174" s="361"/>
      <c r="Y174" s="361"/>
      <c r="Z174" s="361"/>
    </row>
    <row r="175" ht="22.5" customHeight="1" outlineLevel="1">
      <c r="A175" s="395">
        <v>213810.0</v>
      </c>
      <c r="B175" s="393" t="s">
        <v>1766</v>
      </c>
      <c r="C175" s="394">
        <v>45663.0</v>
      </c>
      <c r="D175" s="395" t="s">
        <v>845</v>
      </c>
      <c r="E175" s="396" t="s">
        <v>1767</v>
      </c>
      <c r="F175" s="396" t="s">
        <v>1768</v>
      </c>
      <c r="G175" s="396" t="s">
        <v>1758</v>
      </c>
      <c r="H175" s="396" t="s">
        <v>1769</v>
      </c>
      <c r="I175" s="397"/>
      <c r="J175" s="392">
        <f t="shared" si="22"/>
        <v>1</v>
      </c>
      <c r="K175" s="361"/>
      <c r="L175" s="361"/>
      <c r="M175" s="361"/>
      <c r="N175" s="361"/>
      <c r="O175" s="361"/>
      <c r="P175" s="361"/>
      <c r="Q175" s="361"/>
      <c r="R175" s="361"/>
      <c r="S175" s="361"/>
      <c r="T175" s="361"/>
      <c r="U175" s="361"/>
      <c r="V175" s="361"/>
      <c r="W175" s="361"/>
      <c r="X175" s="361"/>
      <c r="Y175" s="361"/>
      <c r="Z175" s="361"/>
    </row>
    <row r="176" ht="15.75" customHeight="1" outlineLevel="1">
      <c r="A176" s="387"/>
      <c r="C176" s="388"/>
      <c r="D176" s="389"/>
      <c r="E176" s="390"/>
      <c r="F176" s="390"/>
      <c r="G176" s="390"/>
      <c r="H176" s="390"/>
      <c r="I176" s="391">
        <f>counta(A177:A184)</f>
        <v>8</v>
      </c>
      <c r="J176" s="389"/>
      <c r="K176" s="361"/>
      <c r="L176" s="361"/>
      <c r="M176" s="361"/>
      <c r="N176" s="361"/>
      <c r="O176" s="361"/>
      <c r="P176" s="361"/>
      <c r="Q176" s="361"/>
      <c r="R176" s="361"/>
      <c r="S176" s="361"/>
      <c r="T176" s="361"/>
      <c r="U176" s="361"/>
      <c r="V176" s="361"/>
      <c r="W176" s="361"/>
      <c r="X176" s="361"/>
      <c r="Y176" s="361"/>
      <c r="Z176" s="361"/>
    </row>
    <row r="177" ht="22.5" customHeight="1" outlineLevel="1">
      <c r="A177" s="395">
        <v>247191.0</v>
      </c>
      <c r="B177" s="393" t="s">
        <v>1770</v>
      </c>
      <c r="C177" s="394">
        <v>45667.0</v>
      </c>
      <c r="D177" s="395" t="s">
        <v>849</v>
      </c>
      <c r="E177" s="396" t="s">
        <v>1771</v>
      </c>
      <c r="F177" s="396" t="s">
        <v>1508</v>
      </c>
      <c r="G177" s="396" t="s">
        <v>1672</v>
      </c>
      <c r="H177" s="396" t="s">
        <v>1772</v>
      </c>
      <c r="I177" s="397"/>
      <c r="J177" s="392">
        <f t="shared" ref="J177:J188" si="23">countif(A$6:A177,A177)</f>
        <v>1</v>
      </c>
      <c r="K177" s="361"/>
      <c r="L177" s="361"/>
      <c r="M177" s="361"/>
      <c r="N177" s="361"/>
      <c r="O177" s="361"/>
      <c r="P177" s="361"/>
      <c r="Q177" s="361"/>
      <c r="R177" s="361"/>
      <c r="S177" s="361"/>
      <c r="T177" s="361"/>
      <c r="U177" s="361"/>
      <c r="V177" s="361"/>
      <c r="W177" s="361"/>
      <c r="X177" s="361"/>
      <c r="Y177" s="361"/>
      <c r="Z177" s="361"/>
    </row>
    <row r="178" ht="22.5" customHeight="1" outlineLevel="1">
      <c r="A178" s="395">
        <v>247198.0</v>
      </c>
      <c r="B178" s="393" t="s">
        <v>1773</v>
      </c>
      <c r="C178" s="394">
        <v>45667.0</v>
      </c>
      <c r="D178" s="395" t="s">
        <v>845</v>
      </c>
      <c r="E178" s="396" t="s">
        <v>1771</v>
      </c>
      <c r="F178" s="396" t="s">
        <v>1774</v>
      </c>
      <c r="G178" s="396" t="s">
        <v>1672</v>
      </c>
      <c r="H178" s="396" t="s">
        <v>1775</v>
      </c>
      <c r="I178" s="397"/>
      <c r="J178" s="392">
        <f t="shared" si="23"/>
        <v>1</v>
      </c>
      <c r="K178" s="361"/>
      <c r="L178" s="361"/>
      <c r="M178" s="361"/>
      <c r="N178" s="361"/>
      <c r="O178" s="361"/>
      <c r="P178" s="361"/>
      <c r="Q178" s="361"/>
      <c r="R178" s="361"/>
      <c r="S178" s="361"/>
      <c r="T178" s="361"/>
      <c r="U178" s="361"/>
      <c r="V178" s="361"/>
      <c r="W178" s="361"/>
      <c r="X178" s="361"/>
      <c r="Y178" s="361"/>
      <c r="Z178" s="361"/>
    </row>
    <row r="179" ht="22.5" customHeight="1" outlineLevel="1">
      <c r="A179" s="395">
        <v>247299.0</v>
      </c>
      <c r="B179" s="393" t="s">
        <v>1776</v>
      </c>
      <c r="C179" s="394">
        <v>45667.0</v>
      </c>
      <c r="D179" s="395" t="s">
        <v>849</v>
      </c>
      <c r="E179" s="396" t="s">
        <v>1771</v>
      </c>
      <c r="F179" s="396" t="s">
        <v>1508</v>
      </c>
      <c r="G179" s="396" t="s">
        <v>1672</v>
      </c>
      <c r="H179" s="396" t="s">
        <v>1772</v>
      </c>
      <c r="I179" s="397"/>
      <c r="J179" s="392">
        <f t="shared" si="23"/>
        <v>1</v>
      </c>
      <c r="K179" s="361"/>
      <c r="L179" s="361"/>
      <c r="M179" s="361"/>
      <c r="N179" s="361"/>
      <c r="O179" s="361"/>
      <c r="P179" s="361"/>
      <c r="Q179" s="361"/>
      <c r="R179" s="361"/>
      <c r="S179" s="361"/>
      <c r="T179" s="361"/>
      <c r="U179" s="361"/>
      <c r="V179" s="361"/>
      <c r="W179" s="361"/>
      <c r="X179" s="361"/>
      <c r="Y179" s="361"/>
      <c r="Z179" s="361"/>
    </row>
    <row r="180" ht="22.5" customHeight="1" outlineLevel="1">
      <c r="A180" s="395">
        <v>247190.0</v>
      </c>
      <c r="B180" s="393" t="s">
        <v>1777</v>
      </c>
      <c r="C180" s="394">
        <v>45667.0</v>
      </c>
      <c r="D180" s="395" t="s">
        <v>849</v>
      </c>
      <c r="E180" s="396" t="s">
        <v>1771</v>
      </c>
      <c r="F180" s="396" t="s">
        <v>1778</v>
      </c>
      <c r="G180" s="396" t="s">
        <v>1672</v>
      </c>
      <c r="H180" s="396" t="s">
        <v>1779</v>
      </c>
      <c r="I180" s="397"/>
      <c r="J180" s="392">
        <f t="shared" si="23"/>
        <v>1</v>
      </c>
      <c r="K180" s="361"/>
      <c r="L180" s="361"/>
      <c r="M180" s="361"/>
      <c r="N180" s="361"/>
      <c r="O180" s="361"/>
      <c r="P180" s="361"/>
      <c r="Q180" s="361"/>
      <c r="R180" s="361"/>
      <c r="S180" s="361"/>
      <c r="T180" s="361"/>
      <c r="U180" s="361"/>
      <c r="V180" s="361"/>
      <c r="W180" s="361"/>
      <c r="X180" s="361"/>
      <c r="Y180" s="361"/>
      <c r="Z180" s="361"/>
    </row>
    <row r="181" ht="22.5" customHeight="1" outlineLevel="1">
      <c r="A181" s="395">
        <v>203693.0</v>
      </c>
      <c r="B181" s="393" t="s">
        <v>1780</v>
      </c>
      <c r="C181" s="394">
        <v>45667.0</v>
      </c>
      <c r="D181" s="395" t="s">
        <v>845</v>
      </c>
      <c r="E181" s="396" t="s">
        <v>1600</v>
      </c>
      <c r="F181" s="396" t="s">
        <v>1781</v>
      </c>
      <c r="G181" s="396" t="s">
        <v>1672</v>
      </c>
      <c r="H181" s="396" t="s">
        <v>1782</v>
      </c>
      <c r="I181" s="397"/>
      <c r="J181" s="392">
        <f t="shared" si="23"/>
        <v>1</v>
      </c>
      <c r="K181" s="361"/>
      <c r="L181" s="361"/>
      <c r="M181" s="361"/>
      <c r="N181" s="361"/>
      <c r="O181" s="361"/>
      <c r="P181" s="361"/>
      <c r="Q181" s="361"/>
      <c r="R181" s="361"/>
      <c r="S181" s="361"/>
      <c r="T181" s="361"/>
      <c r="U181" s="361"/>
      <c r="V181" s="361"/>
      <c r="W181" s="361"/>
      <c r="X181" s="361"/>
      <c r="Y181" s="361"/>
      <c r="Z181" s="361"/>
    </row>
    <row r="182" ht="22.5" customHeight="1" outlineLevel="1">
      <c r="A182" s="395">
        <v>193534.0</v>
      </c>
      <c r="B182" s="393" t="s">
        <v>1783</v>
      </c>
      <c r="C182" s="394">
        <v>45667.0</v>
      </c>
      <c r="D182" s="395" t="s">
        <v>849</v>
      </c>
      <c r="E182" s="396" t="s">
        <v>1600</v>
      </c>
      <c r="F182" s="396" t="s">
        <v>1666</v>
      </c>
      <c r="G182" s="396" t="s">
        <v>1672</v>
      </c>
      <c r="H182" s="396" t="s">
        <v>1784</v>
      </c>
      <c r="I182" s="397"/>
      <c r="J182" s="392">
        <f t="shared" si="23"/>
        <v>1</v>
      </c>
      <c r="K182" s="361"/>
      <c r="L182" s="361"/>
      <c r="M182" s="361"/>
      <c r="N182" s="361"/>
      <c r="O182" s="361"/>
      <c r="P182" s="361"/>
      <c r="Q182" s="361"/>
      <c r="R182" s="361"/>
      <c r="S182" s="361"/>
      <c r="T182" s="361"/>
      <c r="U182" s="361"/>
      <c r="V182" s="361"/>
      <c r="W182" s="361"/>
      <c r="X182" s="361"/>
      <c r="Y182" s="361"/>
      <c r="Z182" s="361"/>
    </row>
    <row r="183" ht="22.5" customHeight="1" outlineLevel="1">
      <c r="A183" s="395">
        <v>227064.0</v>
      </c>
      <c r="B183" s="393" t="s">
        <v>1785</v>
      </c>
      <c r="C183" s="394">
        <v>45667.0</v>
      </c>
      <c r="D183" s="395" t="s">
        <v>849</v>
      </c>
      <c r="E183" s="396" t="s">
        <v>1600</v>
      </c>
      <c r="F183" s="396" t="s">
        <v>1676</v>
      </c>
      <c r="G183" s="396" t="s">
        <v>1672</v>
      </c>
      <c r="H183" s="396" t="s">
        <v>1786</v>
      </c>
      <c r="I183" s="397"/>
      <c r="J183" s="392">
        <f t="shared" si="23"/>
        <v>1</v>
      </c>
      <c r="K183" s="361"/>
      <c r="L183" s="361"/>
      <c r="M183" s="361"/>
      <c r="N183" s="361"/>
      <c r="O183" s="361"/>
      <c r="P183" s="361"/>
      <c r="Q183" s="361"/>
      <c r="R183" s="361"/>
      <c r="S183" s="361"/>
      <c r="T183" s="361"/>
      <c r="U183" s="361"/>
      <c r="V183" s="361"/>
      <c r="W183" s="361"/>
      <c r="X183" s="361"/>
      <c r="Y183" s="361"/>
      <c r="Z183" s="361"/>
    </row>
    <row r="184" ht="22.5" customHeight="1" outlineLevel="1">
      <c r="A184" s="395">
        <v>227048.0</v>
      </c>
      <c r="B184" s="393" t="s">
        <v>1787</v>
      </c>
      <c r="C184" s="394">
        <v>45667.0</v>
      </c>
      <c r="D184" s="395" t="s">
        <v>849</v>
      </c>
      <c r="E184" s="396" t="s">
        <v>1600</v>
      </c>
      <c r="F184" s="396" t="s">
        <v>1676</v>
      </c>
      <c r="G184" s="396" t="s">
        <v>1672</v>
      </c>
      <c r="H184" s="396" t="s">
        <v>1786</v>
      </c>
      <c r="I184" s="397"/>
      <c r="J184" s="392">
        <f t="shared" si="23"/>
        <v>1</v>
      </c>
      <c r="K184" s="361"/>
      <c r="L184" s="361"/>
      <c r="M184" s="361"/>
      <c r="N184" s="361"/>
      <c r="O184" s="361"/>
      <c r="P184" s="361"/>
      <c r="Q184" s="361"/>
      <c r="R184" s="361"/>
      <c r="S184" s="361"/>
      <c r="T184" s="361"/>
      <c r="U184" s="361"/>
      <c r="V184" s="361"/>
      <c r="W184" s="361"/>
      <c r="X184" s="361"/>
      <c r="Y184" s="361"/>
      <c r="Z184" s="361"/>
    </row>
    <row r="185" ht="22.5" customHeight="1" outlineLevel="1">
      <c r="A185" s="395">
        <v>227080.0</v>
      </c>
      <c r="B185" s="393" t="s">
        <v>1788</v>
      </c>
      <c r="C185" s="394">
        <v>45667.0</v>
      </c>
      <c r="D185" s="395" t="s">
        <v>845</v>
      </c>
      <c r="E185" s="396" t="s">
        <v>1789</v>
      </c>
      <c r="F185" s="396" t="s">
        <v>1790</v>
      </c>
      <c r="G185" s="396" t="s">
        <v>1791</v>
      </c>
      <c r="H185" s="396" t="s">
        <v>1784</v>
      </c>
      <c r="I185" s="397"/>
      <c r="J185" s="392">
        <f t="shared" si="23"/>
        <v>1</v>
      </c>
      <c r="K185" s="361"/>
      <c r="L185" s="361"/>
      <c r="M185" s="361"/>
      <c r="N185" s="361"/>
      <c r="O185" s="361"/>
      <c r="P185" s="361"/>
      <c r="Q185" s="361"/>
      <c r="R185" s="361"/>
      <c r="S185" s="361"/>
      <c r="T185" s="361"/>
      <c r="U185" s="361"/>
      <c r="V185" s="361"/>
      <c r="W185" s="361"/>
      <c r="X185" s="361"/>
      <c r="Y185" s="361"/>
      <c r="Z185" s="361"/>
    </row>
    <row r="186" ht="22.5" customHeight="1" outlineLevel="1">
      <c r="A186" s="395">
        <v>183340.0</v>
      </c>
      <c r="B186" s="393" t="s">
        <v>1792</v>
      </c>
      <c r="C186" s="394">
        <v>45667.0</v>
      </c>
      <c r="D186" s="395" t="s">
        <v>849</v>
      </c>
      <c r="E186" s="396" t="s">
        <v>1600</v>
      </c>
      <c r="F186" s="396" t="s">
        <v>1676</v>
      </c>
      <c r="G186" s="396" t="s">
        <v>1672</v>
      </c>
      <c r="H186" s="396" t="s">
        <v>1786</v>
      </c>
      <c r="I186" s="397"/>
      <c r="J186" s="392">
        <f t="shared" si="23"/>
        <v>1</v>
      </c>
      <c r="K186" s="361"/>
      <c r="L186" s="361"/>
      <c r="M186" s="361"/>
      <c r="N186" s="361"/>
      <c r="O186" s="361"/>
      <c r="P186" s="361"/>
      <c r="Q186" s="361"/>
      <c r="R186" s="361"/>
      <c r="S186" s="361"/>
      <c r="T186" s="361"/>
      <c r="U186" s="361"/>
      <c r="V186" s="361"/>
      <c r="W186" s="361"/>
      <c r="X186" s="361"/>
      <c r="Y186" s="361"/>
      <c r="Z186" s="361"/>
    </row>
    <row r="187" ht="22.5" customHeight="1" outlineLevel="1">
      <c r="A187" s="395">
        <v>133051.0</v>
      </c>
      <c r="B187" s="393" t="s">
        <v>1793</v>
      </c>
      <c r="C187" s="394">
        <v>45667.0</v>
      </c>
      <c r="D187" s="395" t="s">
        <v>849</v>
      </c>
      <c r="E187" s="396" t="s">
        <v>1600</v>
      </c>
      <c r="F187" s="396" t="s">
        <v>1676</v>
      </c>
      <c r="G187" s="396" t="s">
        <v>1672</v>
      </c>
      <c r="H187" s="396" t="s">
        <v>1786</v>
      </c>
      <c r="I187" s="397"/>
      <c r="J187" s="392">
        <f t="shared" si="23"/>
        <v>1</v>
      </c>
      <c r="K187" s="361"/>
      <c r="L187" s="361"/>
      <c r="M187" s="361"/>
      <c r="N187" s="361"/>
      <c r="O187" s="361"/>
      <c r="P187" s="361"/>
      <c r="Q187" s="361"/>
      <c r="R187" s="361"/>
      <c r="S187" s="361"/>
      <c r="T187" s="361"/>
      <c r="U187" s="361"/>
      <c r="V187" s="361"/>
      <c r="W187" s="361"/>
      <c r="X187" s="361"/>
      <c r="Y187" s="361"/>
      <c r="Z187" s="361"/>
    </row>
    <row r="188" ht="22.5" customHeight="1" outlineLevel="1">
      <c r="A188" s="395">
        <v>227047.0</v>
      </c>
      <c r="B188" s="393" t="s">
        <v>1794</v>
      </c>
      <c r="C188" s="394">
        <v>45667.0</v>
      </c>
      <c r="D188" s="395" t="s">
        <v>849</v>
      </c>
      <c r="E188" s="396" t="s">
        <v>1600</v>
      </c>
      <c r="F188" s="396" t="s">
        <v>1666</v>
      </c>
      <c r="G188" s="396" t="s">
        <v>1672</v>
      </c>
      <c r="H188" s="396" t="s">
        <v>1786</v>
      </c>
      <c r="I188" s="397"/>
      <c r="J188" s="392">
        <f t="shared" si="23"/>
        <v>1</v>
      </c>
      <c r="K188" s="361"/>
      <c r="L188" s="361"/>
      <c r="M188" s="361"/>
      <c r="N188" s="361"/>
      <c r="O188" s="361"/>
      <c r="P188" s="361"/>
      <c r="Q188" s="361"/>
      <c r="R188" s="361"/>
      <c r="S188" s="361"/>
      <c r="T188" s="361"/>
      <c r="U188" s="361"/>
      <c r="V188" s="361"/>
      <c r="W188" s="361"/>
      <c r="X188" s="361"/>
      <c r="Y188" s="361"/>
      <c r="Z188" s="361"/>
    </row>
    <row r="189" ht="15.75" customHeight="1" outlineLevel="1">
      <c r="A189" s="387"/>
      <c r="C189" s="388"/>
      <c r="D189" s="389"/>
      <c r="E189" s="390"/>
      <c r="F189" s="390"/>
      <c r="G189" s="390"/>
      <c r="H189" s="390"/>
      <c r="I189" s="391">
        <f>counta(A190:A196)</f>
        <v>6</v>
      </c>
      <c r="J189" s="389"/>
      <c r="K189" s="361"/>
      <c r="L189" s="361"/>
      <c r="M189" s="361"/>
      <c r="N189" s="361"/>
      <c r="O189" s="361"/>
      <c r="P189" s="361"/>
      <c r="Q189" s="361"/>
      <c r="R189" s="361"/>
      <c r="S189" s="361"/>
      <c r="T189" s="361"/>
      <c r="U189" s="361"/>
      <c r="V189" s="361"/>
      <c r="W189" s="361"/>
      <c r="X189" s="361"/>
      <c r="Y189" s="361"/>
      <c r="Z189" s="361"/>
    </row>
    <row r="190" ht="22.5" customHeight="1" outlineLevel="1">
      <c r="A190" s="395">
        <v>237137.0</v>
      </c>
      <c r="B190" s="393" t="s">
        <v>1795</v>
      </c>
      <c r="C190" s="394">
        <v>45672.0</v>
      </c>
      <c r="D190" s="395" t="s">
        <v>845</v>
      </c>
      <c r="E190" s="396" t="s">
        <v>1796</v>
      </c>
      <c r="F190" s="396" t="s">
        <v>1479</v>
      </c>
      <c r="G190" s="396" t="s">
        <v>1728</v>
      </c>
      <c r="H190" s="396" t="s">
        <v>1784</v>
      </c>
      <c r="I190" s="397"/>
      <c r="J190" s="392">
        <f t="shared" ref="J190:J194" si="24">countif(A$6:A190,A190)</f>
        <v>1</v>
      </c>
      <c r="K190" s="361"/>
      <c r="L190" s="361"/>
      <c r="M190" s="361"/>
      <c r="N190" s="361"/>
      <c r="O190" s="361"/>
      <c r="P190" s="361"/>
      <c r="Q190" s="361"/>
      <c r="R190" s="361"/>
      <c r="S190" s="361"/>
      <c r="T190" s="361"/>
      <c r="U190" s="361"/>
      <c r="V190" s="361"/>
      <c r="W190" s="361"/>
      <c r="X190" s="361"/>
      <c r="Y190" s="361"/>
      <c r="Z190" s="361"/>
    </row>
    <row r="191" ht="22.5" customHeight="1" outlineLevel="1">
      <c r="A191" s="395">
        <v>237122.0</v>
      </c>
      <c r="B191" s="393" t="s">
        <v>1797</v>
      </c>
      <c r="C191" s="394">
        <v>45672.0</v>
      </c>
      <c r="D191" s="395" t="s">
        <v>845</v>
      </c>
      <c r="E191" s="396" t="s">
        <v>1753</v>
      </c>
      <c r="F191" s="396" t="s">
        <v>1790</v>
      </c>
      <c r="G191" s="396" t="s">
        <v>1728</v>
      </c>
      <c r="H191" s="396" t="s">
        <v>1798</v>
      </c>
      <c r="I191" s="397"/>
      <c r="J191" s="392">
        <f t="shared" si="24"/>
        <v>1</v>
      </c>
      <c r="K191" s="361"/>
      <c r="L191" s="361"/>
      <c r="M191" s="361"/>
      <c r="N191" s="361"/>
      <c r="O191" s="361"/>
      <c r="P191" s="361"/>
      <c r="Q191" s="361"/>
      <c r="R191" s="361"/>
      <c r="S191" s="361"/>
      <c r="T191" s="361"/>
      <c r="U191" s="361"/>
      <c r="V191" s="361"/>
      <c r="W191" s="361"/>
      <c r="X191" s="361"/>
      <c r="Y191" s="361"/>
      <c r="Z191" s="361"/>
    </row>
    <row r="192" ht="22.5" customHeight="1" outlineLevel="1">
      <c r="A192" s="395">
        <v>227003.0</v>
      </c>
      <c r="B192" s="393" t="s">
        <v>1799</v>
      </c>
      <c r="C192" s="394">
        <v>45672.0</v>
      </c>
      <c r="D192" s="395" t="s">
        <v>849</v>
      </c>
      <c r="E192" s="396" t="s">
        <v>1800</v>
      </c>
      <c r="F192" s="396" t="s">
        <v>1676</v>
      </c>
      <c r="G192" s="396" t="s">
        <v>1672</v>
      </c>
      <c r="H192" s="396" t="s">
        <v>1798</v>
      </c>
      <c r="I192" s="397"/>
      <c r="J192" s="392">
        <f t="shared" si="24"/>
        <v>1</v>
      </c>
      <c r="K192" s="361"/>
      <c r="L192" s="361"/>
      <c r="M192" s="361"/>
      <c r="N192" s="361"/>
      <c r="O192" s="361"/>
      <c r="P192" s="361"/>
      <c r="Q192" s="361"/>
      <c r="R192" s="361"/>
      <c r="S192" s="361"/>
      <c r="T192" s="361"/>
      <c r="U192" s="361"/>
      <c r="V192" s="361"/>
      <c r="W192" s="361"/>
      <c r="X192" s="361"/>
      <c r="Y192" s="361"/>
      <c r="Z192" s="361"/>
    </row>
    <row r="193" ht="22.5" customHeight="1" outlineLevel="1">
      <c r="A193" s="395">
        <v>247001.0</v>
      </c>
      <c r="B193" s="393" t="s">
        <v>1801</v>
      </c>
      <c r="C193" s="394">
        <v>45672.0</v>
      </c>
      <c r="D193" s="395" t="s">
        <v>858</v>
      </c>
      <c r="E193" s="396" t="s">
        <v>1802</v>
      </c>
      <c r="F193" s="396" t="s">
        <v>1803</v>
      </c>
      <c r="G193" s="396" t="s">
        <v>1804</v>
      </c>
      <c r="H193" s="396" t="s">
        <v>1784</v>
      </c>
      <c r="I193" s="397"/>
      <c r="J193" s="392">
        <f t="shared" si="24"/>
        <v>1</v>
      </c>
      <c r="K193" s="361"/>
      <c r="L193" s="361"/>
      <c r="M193" s="361"/>
      <c r="N193" s="361"/>
      <c r="O193" s="361"/>
      <c r="P193" s="361"/>
      <c r="Q193" s="361"/>
      <c r="R193" s="361"/>
      <c r="S193" s="361"/>
      <c r="T193" s="361"/>
      <c r="U193" s="361"/>
      <c r="V193" s="361"/>
      <c r="W193" s="361"/>
      <c r="X193" s="361"/>
      <c r="Y193" s="361"/>
      <c r="Z193" s="361"/>
    </row>
    <row r="194" ht="22.5" customHeight="1" outlineLevel="1">
      <c r="A194" s="395">
        <v>247068.0</v>
      </c>
      <c r="B194" s="393" t="s">
        <v>1805</v>
      </c>
      <c r="C194" s="394">
        <v>45672.0</v>
      </c>
      <c r="D194" s="395" t="s">
        <v>858</v>
      </c>
      <c r="E194" s="396" t="s">
        <v>1806</v>
      </c>
      <c r="F194" s="396" t="s">
        <v>1803</v>
      </c>
      <c r="G194" s="396" t="s">
        <v>1804</v>
      </c>
      <c r="H194" s="396" t="s">
        <v>1784</v>
      </c>
      <c r="I194" s="397"/>
      <c r="J194" s="392">
        <f t="shared" si="24"/>
        <v>1</v>
      </c>
      <c r="K194" s="361"/>
      <c r="L194" s="361"/>
      <c r="M194" s="361"/>
      <c r="N194" s="361"/>
      <c r="O194" s="361"/>
      <c r="P194" s="361"/>
      <c r="Q194" s="361"/>
      <c r="R194" s="361"/>
      <c r="S194" s="361"/>
      <c r="T194" s="361"/>
      <c r="U194" s="361"/>
      <c r="V194" s="361"/>
      <c r="W194" s="361"/>
      <c r="X194" s="361"/>
      <c r="Y194" s="361"/>
      <c r="Z194" s="361"/>
    </row>
    <row r="195" ht="15.75" customHeight="1" outlineLevel="1">
      <c r="A195" s="387"/>
      <c r="C195" s="388"/>
      <c r="D195" s="389"/>
      <c r="E195" s="390"/>
      <c r="F195" s="390"/>
      <c r="G195" s="390"/>
      <c r="H195" s="390"/>
      <c r="I195" s="391">
        <f>counta(A196:A202)</f>
        <v>6</v>
      </c>
      <c r="J195" s="389"/>
      <c r="K195" s="361"/>
      <c r="L195" s="361"/>
      <c r="M195" s="361"/>
      <c r="N195" s="361"/>
      <c r="O195" s="361"/>
      <c r="P195" s="361"/>
      <c r="Q195" s="361"/>
      <c r="R195" s="361"/>
      <c r="S195" s="361"/>
      <c r="T195" s="361"/>
      <c r="U195" s="361"/>
      <c r="V195" s="361"/>
      <c r="W195" s="361"/>
      <c r="X195" s="361"/>
      <c r="Y195" s="361"/>
      <c r="Z195" s="361"/>
    </row>
    <row r="196" ht="22.5" customHeight="1" outlineLevel="1">
      <c r="A196" s="395">
        <v>237237.0</v>
      </c>
      <c r="B196" s="393" t="s">
        <v>1807</v>
      </c>
      <c r="C196" s="394">
        <v>45693.0</v>
      </c>
      <c r="D196" s="395" t="s">
        <v>849</v>
      </c>
      <c r="E196" s="396" t="s">
        <v>1808</v>
      </c>
      <c r="F196" s="396" t="s">
        <v>1809</v>
      </c>
      <c r="G196" s="396" t="s">
        <v>1804</v>
      </c>
      <c r="H196" s="396" t="s">
        <v>1784</v>
      </c>
      <c r="I196" s="397"/>
      <c r="J196" s="392">
        <f t="shared" ref="J196:J201" si="25">countif(A$6:A196,A196)</f>
        <v>1</v>
      </c>
      <c r="K196" s="361"/>
      <c r="L196" s="361"/>
      <c r="M196" s="361"/>
      <c r="N196" s="361"/>
      <c r="O196" s="361"/>
      <c r="P196" s="361"/>
      <c r="Q196" s="361"/>
      <c r="R196" s="361"/>
      <c r="S196" s="361"/>
      <c r="T196" s="361"/>
      <c r="U196" s="361"/>
      <c r="V196" s="361"/>
      <c r="W196" s="361"/>
      <c r="X196" s="361"/>
      <c r="Y196" s="361"/>
      <c r="Z196" s="361"/>
    </row>
    <row r="197" ht="22.5" customHeight="1" outlineLevel="1">
      <c r="A197" s="395">
        <v>213991.0</v>
      </c>
      <c r="B197" s="393" t="s">
        <v>1810</v>
      </c>
      <c r="C197" s="394">
        <v>45693.0</v>
      </c>
      <c r="D197" s="395" t="s">
        <v>849</v>
      </c>
      <c r="E197" s="396" t="s">
        <v>1811</v>
      </c>
      <c r="F197" s="396" t="s">
        <v>1373</v>
      </c>
      <c r="G197" s="396" t="s">
        <v>1696</v>
      </c>
      <c r="H197" s="396" t="s">
        <v>1812</v>
      </c>
      <c r="I197" s="397"/>
      <c r="J197" s="392">
        <f t="shared" si="25"/>
        <v>1</v>
      </c>
      <c r="K197" s="361"/>
      <c r="L197" s="361"/>
      <c r="M197" s="361"/>
      <c r="N197" s="361"/>
      <c r="O197" s="361"/>
      <c r="P197" s="361"/>
      <c r="Q197" s="361"/>
      <c r="R197" s="361"/>
      <c r="S197" s="361"/>
      <c r="T197" s="361"/>
      <c r="U197" s="361"/>
      <c r="V197" s="361"/>
      <c r="W197" s="361"/>
      <c r="X197" s="361"/>
      <c r="Y197" s="361"/>
      <c r="Z197" s="361"/>
    </row>
    <row r="198" ht="22.5" customHeight="1" outlineLevel="1">
      <c r="A198" s="395">
        <v>247036.0</v>
      </c>
      <c r="B198" s="393" t="s">
        <v>1813</v>
      </c>
      <c r="C198" s="394">
        <v>45693.0</v>
      </c>
      <c r="D198" s="395" t="s">
        <v>849</v>
      </c>
      <c r="E198" s="396" t="s">
        <v>1600</v>
      </c>
      <c r="F198" s="396" t="s">
        <v>1277</v>
      </c>
      <c r="G198" s="396" t="s">
        <v>1814</v>
      </c>
      <c r="H198" s="396" t="s">
        <v>1815</v>
      </c>
      <c r="I198" s="397"/>
      <c r="J198" s="392">
        <f t="shared" si="25"/>
        <v>1</v>
      </c>
      <c r="K198" s="361"/>
      <c r="L198" s="361"/>
      <c r="M198" s="361"/>
      <c r="N198" s="361"/>
      <c r="O198" s="361"/>
      <c r="P198" s="361"/>
      <c r="Q198" s="361"/>
      <c r="R198" s="361"/>
      <c r="S198" s="361"/>
      <c r="T198" s="361"/>
      <c r="U198" s="361"/>
      <c r="V198" s="361"/>
      <c r="W198" s="361"/>
      <c r="X198" s="361"/>
      <c r="Y198" s="361"/>
      <c r="Z198" s="361"/>
    </row>
    <row r="199" ht="22.5" customHeight="1" outlineLevel="1">
      <c r="A199" s="395">
        <v>213895.0</v>
      </c>
      <c r="B199" s="393" t="s">
        <v>1816</v>
      </c>
      <c r="C199" s="394">
        <v>45693.0</v>
      </c>
      <c r="D199" s="395" t="s">
        <v>849</v>
      </c>
      <c r="E199" s="396" t="s">
        <v>1811</v>
      </c>
      <c r="F199" s="396" t="s">
        <v>1373</v>
      </c>
      <c r="G199" s="396" t="s">
        <v>1672</v>
      </c>
      <c r="H199" s="396" t="s">
        <v>1817</v>
      </c>
      <c r="I199" s="397"/>
      <c r="J199" s="392">
        <f t="shared" si="25"/>
        <v>1</v>
      </c>
      <c r="K199" s="361"/>
      <c r="L199" s="361"/>
      <c r="M199" s="361"/>
      <c r="N199" s="361"/>
      <c r="O199" s="361"/>
      <c r="P199" s="361"/>
      <c r="Q199" s="361"/>
      <c r="R199" s="361"/>
      <c r="S199" s="361"/>
      <c r="T199" s="361"/>
      <c r="U199" s="361"/>
      <c r="V199" s="361"/>
      <c r="W199" s="361"/>
      <c r="X199" s="361"/>
      <c r="Y199" s="361"/>
      <c r="Z199" s="361"/>
    </row>
    <row r="200" ht="22.5" customHeight="1" outlineLevel="1">
      <c r="A200" s="395">
        <v>247127.0</v>
      </c>
      <c r="B200" s="393" t="s">
        <v>1818</v>
      </c>
      <c r="C200" s="394">
        <v>45693.0</v>
      </c>
      <c r="D200" s="395" t="s">
        <v>849</v>
      </c>
      <c r="E200" s="396" t="s">
        <v>1600</v>
      </c>
      <c r="F200" s="396" t="s">
        <v>1819</v>
      </c>
      <c r="G200" s="396" t="s">
        <v>1814</v>
      </c>
      <c r="H200" s="396" t="s">
        <v>1815</v>
      </c>
      <c r="I200" s="397"/>
      <c r="J200" s="392">
        <f t="shared" si="25"/>
        <v>1</v>
      </c>
      <c r="K200" s="361"/>
      <c r="L200" s="361"/>
      <c r="M200" s="361"/>
      <c r="N200" s="361"/>
      <c r="O200" s="361"/>
      <c r="P200" s="361"/>
      <c r="Q200" s="361"/>
      <c r="R200" s="361"/>
      <c r="S200" s="361"/>
      <c r="T200" s="361"/>
      <c r="U200" s="361"/>
      <c r="V200" s="361"/>
      <c r="W200" s="361"/>
      <c r="X200" s="361"/>
      <c r="Y200" s="361"/>
      <c r="Z200" s="361"/>
    </row>
    <row r="201" ht="22.5" customHeight="1" outlineLevel="1">
      <c r="A201" s="395">
        <v>247076.0</v>
      </c>
      <c r="B201" s="393" t="s">
        <v>1820</v>
      </c>
      <c r="C201" s="394">
        <v>45693.0</v>
      </c>
      <c r="D201" s="395" t="s">
        <v>849</v>
      </c>
      <c r="E201" s="396" t="s">
        <v>1600</v>
      </c>
      <c r="F201" s="396" t="s">
        <v>1676</v>
      </c>
      <c r="G201" s="396" t="s">
        <v>1814</v>
      </c>
      <c r="H201" s="396" t="s">
        <v>1815</v>
      </c>
      <c r="I201" s="397"/>
      <c r="J201" s="392">
        <f t="shared" si="25"/>
        <v>1</v>
      </c>
      <c r="K201" s="361"/>
      <c r="L201" s="361"/>
      <c r="M201" s="361"/>
      <c r="N201" s="361"/>
      <c r="O201" s="361"/>
      <c r="P201" s="361"/>
      <c r="Q201" s="361"/>
      <c r="R201" s="361"/>
      <c r="S201" s="361"/>
      <c r="T201" s="361"/>
      <c r="U201" s="361"/>
      <c r="V201" s="361"/>
      <c r="W201" s="361"/>
      <c r="X201" s="361"/>
      <c r="Y201" s="361"/>
      <c r="Z201" s="361"/>
    </row>
    <row r="202" ht="15.75" customHeight="1" outlineLevel="1">
      <c r="A202" s="387"/>
      <c r="C202" s="388"/>
      <c r="D202" s="389"/>
      <c r="E202" s="390"/>
      <c r="F202" s="390"/>
      <c r="G202" s="390"/>
      <c r="H202" s="390"/>
      <c r="I202" s="391">
        <f>counta(A203:A210)</f>
        <v>7</v>
      </c>
      <c r="J202" s="389"/>
      <c r="K202" s="361"/>
      <c r="L202" s="361"/>
      <c r="M202" s="361"/>
      <c r="N202" s="361"/>
      <c r="O202" s="361"/>
      <c r="P202" s="361"/>
      <c r="Q202" s="361"/>
      <c r="R202" s="361"/>
      <c r="S202" s="361"/>
      <c r="T202" s="361"/>
      <c r="U202" s="361"/>
      <c r="V202" s="361"/>
      <c r="W202" s="361"/>
      <c r="X202" s="361"/>
      <c r="Y202" s="361"/>
      <c r="Z202" s="361"/>
    </row>
    <row r="203" ht="22.5" customHeight="1" outlineLevel="1">
      <c r="A203" s="395">
        <v>227122.0</v>
      </c>
      <c r="B203" s="393" t="s">
        <v>1821</v>
      </c>
      <c r="C203" s="394">
        <v>45700.0</v>
      </c>
      <c r="D203" s="395" t="s">
        <v>849</v>
      </c>
      <c r="E203" s="396" t="s">
        <v>1822</v>
      </c>
      <c r="F203" s="396" t="s">
        <v>1823</v>
      </c>
      <c r="G203" s="396" t="s">
        <v>1672</v>
      </c>
      <c r="H203" s="396" t="s">
        <v>1824</v>
      </c>
      <c r="I203" s="397"/>
      <c r="J203" s="392">
        <f t="shared" ref="J203:J207" si="26">countif(A$6:A203,A203)</f>
        <v>1</v>
      </c>
      <c r="K203" s="361"/>
      <c r="L203" s="361"/>
      <c r="M203" s="361"/>
      <c r="N203" s="361"/>
      <c r="O203" s="361"/>
      <c r="P203" s="361"/>
      <c r="Q203" s="361"/>
      <c r="R203" s="361"/>
      <c r="S203" s="361"/>
      <c r="T203" s="361"/>
      <c r="U203" s="361"/>
      <c r="V203" s="361"/>
      <c r="W203" s="361"/>
      <c r="X203" s="361"/>
      <c r="Y203" s="361"/>
      <c r="Z203" s="361"/>
    </row>
    <row r="204" ht="22.5" customHeight="1" outlineLevel="1">
      <c r="A204" s="395">
        <v>227155.0</v>
      </c>
      <c r="B204" s="393" t="s">
        <v>1825</v>
      </c>
      <c r="C204" s="394">
        <v>45700.0</v>
      </c>
      <c r="D204" s="395" t="s">
        <v>845</v>
      </c>
      <c r="E204" s="396" t="s">
        <v>1826</v>
      </c>
      <c r="F204" s="396" t="s">
        <v>1827</v>
      </c>
      <c r="G204" s="396" t="s">
        <v>1728</v>
      </c>
      <c r="H204" s="396" t="s">
        <v>1784</v>
      </c>
      <c r="I204" s="397"/>
      <c r="J204" s="392">
        <f t="shared" si="26"/>
        <v>1</v>
      </c>
      <c r="K204" s="361"/>
      <c r="L204" s="361"/>
      <c r="M204" s="361"/>
      <c r="N204" s="361"/>
      <c r="O204" s="361"/>
      <c r="P204" s="361"/>
      <c r="Q204" s="361"/>
      <c r="R204" s="361"/>
      <c r="S204" s="361"/>
      <c r="T204" s="361"/>
      <c r="U204" s="361"/>
      <c r="V204" s="361"/>
      <c r="W204" s="361"/>
      <c r="X204" s="361"/>
      <c r="Y204" s="361"/>
      <c r="Z204" s="361"/>
    </row>
    <row r="205" ht="22.5" customHeight="1" outlineLevel="1">
      <c r="A205" s="395">
        <v>237050.0</v>
      </c>
      <c r="B205" s="393" t="s">
        <v>1828</v>
      </c>
      <c r="C205" s="394">
        <v>45700.0</v>
      </c>
      <c r="D205" s="395" t="s">
        <v>858</v>
      </c>
      <c r="E205" s="396" t="s">
        <v>1829</v>
      </c>
      <c r="F205" s="396" t="s">
        <v>1827</v>
      </c>
      <c r="G205" s="396" t="s">
        <v>1830</v>
      </c>
      <c r="H205" s="396" t="s">
        <v>1831</v>
      </c>
      <c r="I205" s="397"/>
      <c r="J205" s="392">
        <f t="shared" si="26"/>
        <v>1</v>
      </c>
      <c r="K205" s="361"/>
      <c r="L205" s="361"/>
      <c r="M205" s="361"/>
      <c r="N205" s="361"/>
      <c r="O205" s="361"/>
      <c r="P205" s="361"/>
      <c r="Q205" s="361"/>
      <c r="R205" s="361"/>
      <c r="S205" s="361"/>
      <c r="T205" s="361"/>
      <c r="U205" s="361"/>
      <c r="V205" s="361"/>
      <c r="W205" s="361"/>
      <c r="X205" s="361"/>
      <c r="Y205" s="361"/>
      <c r="Z205" s="361"/>
    </row>
    <row r="206" ht="22.5" customHeight="1" outlineLevel="1">
      <c r="A206" s="395">
        <v>227148.0</v>
      </c>
      <c r="B206" s="393" t="s">
        <v>1832</v>
      </c>
      <c r="C206" s="394">
        <v>45700.0</v>
      </c>
      <c r="D206" s="395" t="s">
        <v>849</v>
      </c>
      <c r="E206" s="396" t="s">
        <v>1822</v>
      </c>
      <c r="F206" s="396" t="s">
        <v>1666</v>
      </c>
      <c r="G206" s="396" t="s">
        <v>1728</v>
      </c>
      <c r="H206" s="396" t="s">
        <v>1824</v>
      </c>
      <c r="I206" s="397"/>
      <c r="J206" s="392">
        <f t="shared" si="26"/>
        <v>1</v>
      </c>
      <c r="K206" s="361"/>
      <c r="L206" s="361"/>
      <c r="M206" s="361"/>
      <c r="N206" s="361"/>
      <c r="O206" s="361"/>
      <c r="P206" s="361"/>
      <c r="Q206" s="361"/>
      <c r="R206" s="361"/>
      <c r="S206" s="361"/>
      <c r="T206" s="361"/>
      <c r="U206" s="361"/>
      <c r="V206" s="361"/>
      <c r="W206" s="361"/>
      <c r="X206" s="361"/>
      <c r="Y206" s="361"/>
      <c r="Z206" s="361"/>
    </row>
    <row r="207" ht="22.5" customHeight="1" outlineLevel="1">
      <c r="A207" s="395">
        <v>173230.0</v>
      </c>
      <c r="B207" s="393" t="s">
        <v>1833</v>
      </c>
      <c r="C207" s="394">
        <v>45700.0</v>
      </c>
      <c r="D207" s="395" t="s">
        <v>849</v>
      </c>
      <c r="E207" s="396" t="s">
        <v>1834</v>
      </c>
      <c r="F207" s="396" t="s">
        <v>1355</v>
      </c>
      <c r="G207" s="396" t="s">
        <v>1835</v>
      </c>
      <c r="H207" s="396" t="s">
        <v>1772</v>
      </c>
      <c r="I207" s="397"/>
      <c r="J207" s="392">
        <f t="shared" si="26"/>
        <v>1</v>
      </c>
      <c r="K207" s="361"/>
      <c r="L207" s="361"/>
      <c r="M207" s="361"/>
      <c r="N207" s="361"/>
      <c r="O207" s="361"/>
      <c r="P207" s="361"/>
      <c r="Q207" s="361"/>
      <c r="R207" s="361"/>
      <c r="S207" s="361"/>
      <c r="T207" s="361"/>
      <c r="U207" s="361"/>
      <c r="V207" s="361"/>
      <c r="W207" s="361"/>
      <c r="X207" s="361"/>
      <c r="Y207" s="361"/>
      <c r="Z207" s="361"/>
    </row>
    <row r="208" ht="22.5" customHeight="1" outlineLevel="1">
      <c r="A208" s="412">
        <v>143079.0</v>
      </c>
      <c r="B208" s="413" t="s">
        <v>1836</v>
      </c>
      <c r="C208" s="394">
        <v>45700.0</v>
      </c>
      <c r="D208" s="412" t="s">
        <v>849</v>
      </c>
      <c r="E208" s="414" t="s">
        <v>1837</v>
      </c>
      <c r="F208" s="414" t="s">
        <v>1838</v>
      </c>
      <c r="G208" s="414" t="s">
        <v>1838</v>
      </c>
      <c r="H208" s="414" t="s">
        <v>1759</v>
      </c>
      <c r="I208" s="397"/>
      <c r="J208" s="392"/>
      <c r="K208" s="361"/>
      <c r="L208" s="361"/>
      <c r="M208" s="361"/>
      <c r="N208" s="361"/>
      <c r="O208" s="361"/>
      <c r="P208" s="361"/>
      <c r="Q208" s="361"/>
      <c r="R208" s="361"/>
      <c r="S208" s="361"/>
      <c r="T208" s="361"/>
      <c r="U208" s="361"/>
      <c r="V208" s="361"/>
      <c r="W208" s="361"/>
      <c r="X208" s="361"/>
      <c r="Y208" s="361"/>
      <c r="Z208" s="361"/>
    </row>
    <row r="209" ht="15.75" customHeight="1" outlineLevel="1">
      <c r="A209" s="387"/>
      <c r="C209" s="388"/>
      <c r="D209" s="389"/>
      <c r="E209" s="390"/>
      <c r="F209" s="390"/>
      <c r="G209" s="390"/>
      <c r="H209" s="390"/>
      <c r="I209" s="391">
        <f>counta(A210:A217)</f>
        <v>7</v>
      </c>
      <c r="J209" s="389"/>
      <c r="K209" s="361"/>
      <c r="L209" s="361"/>
      <c r="M209" s="361"/>
      <c r="N209" s="361"/>
      <c r="O209" s="361"/>
      <c r="P209" s="361"/>
      <c r="Q209" s="361"/>
      <c r="R209" s="361"/>
      <c r="S209" s="361"/>
      <c r="T209" s="361"/>
      <c r="U209" s="361"/>
      <c r="V209" s="361"/>
      <c r="W209" s="361"/>
      <c r="X209" s="361"/>
      <c r="Y209" s="361"/>
      <c r="Z209" s="361"/>
    </row>
    <row r="210" ht="22.5" customHeight="1" outlineLevel="1">
      <c r="A210" s="395">
        <v>247388.0</v>
      </c>
      <c r="B210" s="393" t="s">
        <v>1839</v>
      </c>
      <c r="C210" s="394">
        <v>45702.0</v>
      </c>
      <c r="D210" s="395" t="s">
        <v>845</v>
      </c>
      <c r="E210" s="396" t="s">
        <v>1840</v>
      </c>
      <c r="F210" s="396" t="s">
        <v>1841</v>
      </c>
      <c r="G210" s="396" t="s">
        <v>1842</v>
      </c>
      <c r="H210" s="396" t="s">
        <v>1843</v>
      </c>
      <c r="I210" s="397"/>
      <c r="J210" s="392">
        <f t="shared" ref="J210:J211" si="27">countif(A$6:A210,A210)</f>
        <v>1</v>
      </c>
      <c r="K210" s="361"/>
      <c r="L210" s="361"/>
      <c r="M210" s="361"/>
      <c r="N210" s="361"/>
      <c r="O210" s="361"/>
      <c r="P210" s="361"/>
      <c r="Q210" s="361"/>
      <c r="R210" s="361"/>
      <c r="S210" s="361"/>
      <c r="T210" s="361"/>
      <c r="U210" s="361"/>
      <c r="V210" s="361"/>
      <c r="W210" s="361"/>
      <c r="X210" s="361"/>
      <c r="Y210" s="361"/>
      <c r="Z210" s="361"/>
    </row>
    <row r="211" ht="22.5" customHeight="1" outlineLevel="1">
      <c r="A211" s="395">
        <v>203759.0</v>
      </c>
      <c r="B211" s="393" t="s">
        <v>1844</v>
      </c>
      <c r="C211" s="394">
        <v>45702.0</v>
      </c>
      <c r="D211" s="395" t="s">
        <v>849</v>
      </c>
      <c r="E211" s="396" t="s">
        <v>1822</v>
      </c>
      <c r="F211" s="396" t="s">
        <v>1361</v>
      </c>
      <c r="G211" s="396" t="s">
        <v>1845</v>
      </c>
      <c r="H211" s="396" t="s">
        <v>1846</v>
      </c>
      <c r="I211" s="397"/>
      <c r="J211" s="392">
        <f t="shared" si="27"/>
        <v>1</v>
      </c>
      <c r="K211" s="361"/>
      <c r="L211" s="361"/>
      <c r="M211" s="361"/>
      <c r="N211" s="361"/>
      <c r="O211" s="361"/>
      <c r="P211" s="361"/>
      <c r="Q211" s="361"/>
      <c r="R211" s="361"/>
      <c r="S211" s="361"/>
      <c r="T211" s="361"/>
      <c r="U211" s="361"/>
      <c r="V211" s="361"/>
      <c r="W211" s="361"/>
      <c r="X211" s="361"/>
      <c r="Y211" s="361"/>
      <c r="Z211" s="361"/>
    </row>
    <row r="212" ht="15.75" customHeight="1" outlineLevel="1">
      <c r="A212" s="387"/>
      <c r="C212" s="388"/>
      <c r="D212" s="389"/>
      <c r="E212" s="390"/>
      <c r="F212" s="390"/>
      <c r="G212" s="390"/>
      <c r="H212" s="390"/>
      <c r="I212" s="391">
        <f>counta(A213:A220)</f>
        <v>7</v>
      </c>
      <c r="J212" s="389"/>
      <c r="K212" s="361"/>
      <c r="L212" s="361"/>
      <c r="M212" s="361"/>
      <c r="N212" s="361"/>
      <c r="O212" s="361"/>
      <c r="P212" s="361"/>
      <c r="Q212" s="361"/>
      <c r="R212" s="361"/>
      <c r="S212" s="361"/>
      <c r="T212" s="361"/>
      <c r="U212" s="361"/>
      <c r="V212" s="361"/>
      <c r="W212" s="361"/>
      <c r="X212" s="361"/>
      <c r="Y212" s="361"/>
      <c r="Z212" s="361"/>
    </row>
    <row r="213" ht="22.5" customHeight="1" outlineLevel="1">
      <c r="A213" s="395">
        <v>247150.0</v>
      </c>
      <c r="B213" s="393" t="s">
        <v>1847</v>
      </c>
      <c r="C213" s="394">
        <v>45705.0</v>
      </c>
      <c r="D213" s="395" t="s">
        <v>858</v>
      </c>
      <c r="E213" s="396" t="s">
        <v>1840</v>
      </c>
      <c r="F213" s="396" t="s">
        <v>1848</v>
      </c>
      <c r="G213" s="396" t="s">
        <v>1849</v>
      </c>
      <c r="H213" s="396" t="s">
        <v>1775</v>
      </c>
      <c r="I213" s="397"/>
      <c r="J213" s="392">
        <f t="shared" ref="J213:J219" si="28">countif(A$6:A213,A213)</f>
        <v>1</v>
      </c>
      <c r="K213" s="361"/>
      <c r="L213" s="361"/>
      <c r="M213" s="361"/>
      <c r="N213" s="361"/>
      <c r="O213" s="361"/>
      <c r="P213" s="361"/>
      <c r="Q213" s="361"/>
      <c r="R213" s="361"/>
      <c r="S213" s="361"/>
      <c r="T213" s="361"/>
      <c r="U213" s="361"/>
      <c r="V213" s="361"/>
      <c r="W213" s="361"/>
      <c r="X213" s="361"/>
      <c r="Y213" s="361"/>
      <c r="Z213" s="361"/>
    </row>
    <row r="214" ht="22.5" customHeight="1" outlineLevel="1">
      <c r="A214" s="395">
        <v>247183.0</v>
      </c>
      <c r="B214" s="393" t="s">
        <v>1850</v>
      </c>
      <c r="C214" s="394">
        <v>45705.0</v>
      </c>
      <c r="D214" s="395" t="s">
        <v>858</v>
      </c>
      <c r="E214" s="396" t="s">
        <v>1840</v>
      </c>
      <c r="F214" s="396" t="s">
        <v>1848</v>
      </c>
      <c r="G214" s="396" t="s">
        <v>1849</v>
      </c>
      <c r="H214" s="396" t="s">
        <v>1775</v>
      </c>
      <c r="I214" s="397"/>
      <c r="J214" s="392">
        <f t="shared" si="28"/>
        <v>1</v>
      </c>
      <c r="K214" s="361"/>
      <c r="L214" s="361"/>
      <c r="M214" s="361"/>
      <c r="N214" s="361"/>
      <c r="O214" s="361"/>
      <c r="P214" s="361"/>
      <c r="Q214" s="361"/>
      <c r="R214" s="361"/>
      <c r="S214" s="361"/>
      <c r="T214" s="361"/>
      <c r="U214" s="361"/>
      <c r="V214" s="361"/>
      <c r="W214" s="361"/>
      <c r="X214" s="361"/>
      <c r="Y214" s="361"/>
      <c r="Z214" s="361"/>
    </row>
    <row r="215" ht="22.5" customHeight="1" outlineLevel="1">
      <c r="A215" s="395">
        <v>247358.0</v>
      </c>
      <c r="B215" s="393" t="s">
        <v>1851</v>
      </c>
      <c r="C215" s="394">
        <v>45705.0</v>
      </c>
      <c r="D215" s="395" t="s">
        <v>858</v>
      </c>
      <c r="E215" s="396" t="s">
        <v>1840</v>
      </c>
      <c r="F215" s="396" t="s">
        <v>1852</v>
      </c>
      <c r="G215" s="396" t="s">
        <v>1804</v>
      </c>
      <c r="H215" s="396" t="s">
        <v>1775</v>
      </c>
      <c r="I215" s="397"/>
      <c r="J215" s="392">
        <f t="shared" si="28"/>
        <v>1</v>
      </c>
      <c r="K215" s="361"/>
      <c r="L215" s="361"/>
      <c r="M215" s="361"/>
      <c r="N215" s="361"/>
      <c r="O215" s="361"/>
      <c r="P215" s="361"/>
      <c r="Q215" s="361"/>
      <c r="R215" s="361"/>
      <c r="S215" s="361"/>
      <c r="T215" s="361"/>
      <c r="U215" s="361"/>
      <c r="V215" s="361"/>
      <c r="W215" s="361"/>
      <c r="X215" s="361"/>
      <c r="Y215" s="361"/>
      <c r="Z215" s="361"/>
    </row>
    <row r="216" ht="22.5" customHeight="1" outlineLevel="1">
      <c r="A216" s="395">
        <v>247377.0</v>
      </c>
      <c r="B216" s="393" t="s">
        <v>1853</v>
      </c>
      <c r="C216" s="394">
        <v>45705.0</v>
      </c>
      <c r="D216" s="395" t="s">
        <v>858</v>
      </c>
      <c r="E216" s="396" t="s">
        <v>1840</v>
      </c>
      <c r="F216" s="396" t="s">
        <v>1854</v>
      </c>
      <c r="G216" s="396" t="s">
        <v>1855</v>
      </c>
      <c r="H216" s="396" t="s">
        <v>1775</v>
      </c>
      <c r="I216" s="397"/>
      <c r="J216" s="392">
        <f t="shared" si="28"/>
        <v>1</v>
      </c>
      <c r="K216" s="361"/>
      <c r="L216" s="361"/>
      <c r="M216" s="361"/>
      <c r="N216" s="361"/>
      <c r="O216" s="361"/>
      <c r="P216" s="361"/>
      <c r="Q216" s="361"/>
      <c r="R216" s="361"/>
      <c r="S216" s="361"/>
      <c r="T216" s="361"/>
      <c r="U216" s="361"/>
      <c r="V216" s="361"/>
      <c r="W216" s="361"/>
      <c r="X216" s="361"/>
      <c r="Y216" s="361"/>
      <c r="Z216" s="361"/>
    </row>
    <row r="217" ht="22.5" customHeight="1" outlineLevel="1">
      <c r="A217" s="395">
        <v>247412.0</v>
      </c>
      <c r="B217" s="393" t="s">
        <v>1856</v>
      </c>
      <c r="C217" s="394">
        <v>45705.0</v>
      </c>
      <c r="D217" s="395" t="s">
        <v>858</v>
      </c>
      <c r="E217" s="396" t="s">
        <v>1857</v>
      </c>
      <c r="F217" s="396" t="s">
        <v>1852</v>
      </c>
      <c r="G217" s="396" t="s">
        <v>1804</v>
      </c>
      <c r="H217" s="396" t="s">
        <v>1775</v>
      </c>
      <c r="I217" s="397"/>
      <c r="J217" s="392">
        <f t="shared" si="28"/>
        <v>1</v>
      </c>
      <c r="K217" s="361"/>
      <c r="L217" s="361"/>
      <c r="M217" s="361"/>
      <c r="N217" s="361"/>
      <c r="O217" s="361"/>
      <c r="P217" s="361"/>
      <c r="Q217" s="361"/>
      <c r="R217" s="361"/>
      <c r="S217" s="361"/>
      <c r="T217" s="361"/>
      <c r="U217" s="361"/>
      <c r="V217" s="361"/>
      <c r="W217" s="361"/>
      <c r="X217" s="361"/>
      <c r="Y217" s="361"/>
      <c r="Z217" s="361"/>
    </row>
    <row r="218" ht="22.5" customHeight="1" outlineLevel="1">
      <c r="A218" s="395">
        <v>237230.0</v>
      </c>
      <c r="B218" s="393" t="s">
        <v>1858</v>
      </c>
      <c r="C218" s="394">
        <v>45705.0</v>
      </c>
      <c r="D218" s="395" t="s">
        <v>858</v>
      </c>
      <c r="E218" s="396" t="s">
        <v>1857</v>
      </c>
      <c r="F218" s="396" t="s">
        <v>1852</v>
      </c>
      <c r="G218" s="396" t="s">
        <v>1804</v>
      </c>
      <c r="H218" s="396" t="s">
        <v>1775</v>
      </c>
      <c r="I218" s="397"/>
      <c r="J218" s="392">
        <f t="shared" si="28"/>
        <v>1</v>
      </c>
      <c r="K218" s="361"/>
      <c r="L218" s="361"/>
      <c r="M218" s="361"/>
      <c r="N218" s="361"/>
      <c r="O218" s="361"/>
      <c r="P218" s="361"/>
      <c r="Q218" s="361"/>
      <c r="R218" s="361"/>
      <c r="S218" s="361"/>
      <c r="T218" s="361"/>
      <c r="U218" s="361"/>
      <c r="V218" s="361"/>
      <c r="W218" s="361"/>
      <c r="X218" s="361"/>
      <c r="Y218" s="361"/>
      <c r="Z218" s="361"/>
    </row>
    <row r="219" ht="22.5" customHeight="1" outlineLevel="1">
      <c r="A219" s="395">
        <v>237056.0</v>
      </c>
      <c r="B219" s="393" t="s">
        <v>1859</v>
      </c>
      <c r="C219" s="394">
        <v>45705.0</v>
      </c>
      <c r="D219" s="395" t="s">
        <v>858</v>
      </c>
      <c r="E219" s="396" t="s">
        <v>1860</v>
      </c>
      <c r="F219" s="396" t="s">
        <v>1841</v>
      </c>
      <c r="G219" s="396" t="s">
        <v>1861</v>
      </c>
      <c r="H219" s="396" t="s">
        <v>1775</v>
      </c>
      <c r="I219" s="397"/>
      <c r="J219" s="392">
        <f t="shared" si="28"/>
        <v>1</v>
      </c>
      <c r="K219" s="361"/>
      <c r="L219" s="361"/>
      <c r="M219" s="361"/>
      <c r="N219" s="361"/>
      <c r="O219" s="361"/>
      <c r="P219" s="361"/>
      <c r="Q219" s="361"/>
      <c r="R219" s="361"/>
      <c r="S219" s="361"/>
      <c r="T219" s="361"/>
      <c r="U219" s="361"/>
      <c r="V219" s="361"/>
      <c r="W219" s="361"/>
      <c r="X219" s="361"/>
      <c r="Y219" s="361"/>
      <c r="Z219" s="361"/>
    </row>
    <row r="220" ht="15.75" customHeight="1" outlineLevel="1">
      <c r="A220" s="387"/>
      <c r="C220" s="388"/>
      <c r="D220" s="389"/>
      <c r="E220" s="390"/>
      <c r="F220" s="390"/>
      <c r="G220" s="390"/>
      <c r="H220" s="390"/>
      <c r="I220" s="391">
        <f>counta(A221:A228)</f>
        <v>7</v>
      </c>
      <c r="J220" s="389"/>
      <c r="K220" s="361"/>
      <c r="L220" s="361"/>
      <c r="M220" s="361"/>
      <c r="N220" s="361"/>
      <c r="O220" s="361"/>
      <c r="P220" s="361"/>
      <c r="Q220" s="361"/>
      <c r="R220" s="361"/>
      <c r="S220" s="361"/>
      <c r="T220" s="361"/>
      <c r="U220" s="361"/>
      <c r="V220" s="361"/>
      <c r="W220" s="361"/>
      <c r="X220" s="361"/>
      <c r="Y220" s="361"/>
      <c r="Z220" s="361"/>
    </row>
    <row r="221" ht="22.5" customHeight="1" outlineLevel="1">
      <c r="A221" s="395">
        <v>247199.0</v>
      </c>
      <c r="B221" s="393" t="s">
        <v>1862</v>
      </c>
      <c r="C221" s="394">
        <v>45715.0</v>
      </c>
      <c r="D221" s="395" t="s">
        <v>849</v>
      </c>
      <c r="E221" s="396" t="s">
        <v>1863</v>
      </c>
      <c r="F221" s="396" t="s">
        <v>1676</v>
      </c>
      <c r="G221" s="396" t="s">
        <v>1720</v>
      </c>
      <c r="H221" s="396" t="s">
        <v>1798</v>
      </c>
      <c r="I221" s="397"/>
      <c r="J221" s="392">
        <f t="shared" ref="J221:J227" si="29">countif(A$6:A221,A221)</f>
        <v>1</v>
      </c>
      <c r="K221" s="361"/>
      <c r="L221" s="361"/>
      <c r="M221" s="361"/>
      <c r="N221" s="361"/>
      <c r="O221" s="361"/>
      <c r="P221" s="361"/>
      <c r="Q221" s="361"/>
      <c r="R221" s="361"/>
      <c r="S221" s="361"/>
      <c r="T221" s="361"/>
      <c r="U221" s="361"/>
      <c r="V221" s="361"/>
      <c r="W221" s="361"/>
      <c r="X221" s="361"/>
      <c r="Y221" s="361"/>
      <c r="Z221" s="361"/>
    </row>
    <row r="222" ht="22.5" customHeight="1" outlineLevel="1">
      <c r="A222" s="395">
        <v>247196.0</v>
      </c>
      <c r="B222" s="393" t="s">
        <v>1864</v>
      </c>
      <c r="C222" s="394">
        <v>45715.0</v>
      </c>
      <c r="D222" s="395" t="s">
        <v>849</v>
      </c>
      <c r="E222" s="396" t="s">
        <v>1863</v>
      </c>
      <c r="F222" s="396" t="s">
        <v>1865</v>
      </c>
      <c r="G222" s="396" t="s">
        <v>1720</v>
      </c>
      <c r="H222" s="396" t="s">
        <v>1569</v>
      </c>
      <c r="I222" s="397"/>
      <c r="J222" s="392">
        <f t="shared" si="29"/>
        <v>1</v>
      </c>
      <c r="K222" s="361"/>
      <c r="L222" s="361"/>
      <c r="M222" s="361"/>
      <c r="N222" s="361"/>
      <c r="O222" s="361"/>
      <c r="P222" s="361"/>
      <c r="Q222" s="361"/>
      <c r="R222" s="361"/>
      <c r="S222" s="361"/>
      <c r="T222" s="361"/>
      <c r="U222" s="361"/>
      <c r="V222" s="361"/>
      <c r="W222" s="361"/>
      <c r="X222" s="361"/>
      <c r="Y222" s="361"/>
      <c r="Z222" s="361"/>
    </row>
    <row r="223" ht="22.5" customHeight="1" outlineLevel="1">
      <c r="A223" s="395">
        <v>247156.0</v>
      </c>
      <c r="B223" s="393" t="s">
        <v>1866</v>
      </c>
      <c r="C223" s="394">
        <v>45715.0</v>
      </c>
      <c r="D223" s="395" t="s">
        <v>849</v>
      </c>
      <c r="E223" s="396" t="s">
        <v>1867</v>
      </c>
      <c r="F223" s="396" t="s">
        <v>1868</v>
      </c>
      <c r="G223" s="396" t="s">
        <v>1869</v>
      </c>
      <c r="H223" s="396" t="s">
        <v>1798</v>
      </c>
      <c r="I223" s="397"/>
      <c r="J223" s="392">
        <f t="shared" si="29"/>
        <v>1</v>
      </c>
      <c r="K223" s="361"/>
      <c r="L223" s="361"/>
      <c r="M223" s="361"/>
      <c r="N223" s="361"/>
      <c r="O223" s="361"/>
      <c r="P223" s="361"/>
      <c r="Q223" s="361"/>
      <c r="R223" s="361"/>
      <c r="S223" s="361"/>
      <c r="T223" s="361"/>
      <c r="U223" s="361"/>
      <c r="V223" s="361"/>
      <c r="W223" s="361"/>
      <c r="X223" s="361"/>
      <c r="Y223" s="361"/>
      <c r="Z223" s="361"/>
    </row>
    <row r="224" ht="22.5" customHeight="1" outlineLevel="1">
      <c r="A224" s="395">
        <v>247192.0</v>
      </c>
      <c r="B224" s="393" t="s">
        <v>1870</v>
      </c>
      <c r="C224" s="394">
        <v>45715.0</v>
      </c>
      <c r="D224" s="395" t="s">
        <v>849</v>
      </c>
      <c r="E224" s="396" t="s">
        <v>1863</v>
      </c>
      <c r="F224" s="396" t="s">
        <v>1871</v>
      </c>
      <c r="G224" s="396" t="s">
        <v>1869</v>
      </c>
      <c r="H224" s="396" t="s">
        <v>1569</v>
      </c>
      <c r="I224" s="397"/>
      <c r="J224" s="392">
        <f t="shared" si="29"/>
        <v>1</v>
      </c>
      <c r="K224" s="361"/>
      <c r="L224" s="361"/>
      <c r="M224" s="361"/>
      <c r="N224" s="361"/>
      <c r="O224" s="361"/>
      <c r="P224" s="361"/>
      <c r="Q224" s="361"/>
      <c r="R224" s="361"/>
      <c r="S224" s="361"/>
      <c r="T224" s="361"/>
      <c r="U224" s="361"/>
      <c r="V224" s="361"/>
      <c r="W224" s="361"/>
      <c r="X224" s="361"/>
      <c r="Y224" s="361"/>
      <c r="Z224" s="361"/>
    </row>
    <row r="225" ht="22.5" customHeight="1" outlineLevel="1">
      <c r="A225" s="395">
        <v>247195.0</v>
      </c>
      <c r="B225" s="393" t="s">
        <v>1872</v>
      </c>
      <c r="C225" s="394">
        <v>45715.0</v>
      </c>
      <c r="D225" s="395" t="s">
        <v>849</v>
      </c>
      <c r="E225" s="396" t="s">
        <v>1863</v>
      </c>
      <c r="F225" s="396" t="s">
        <v>1543</v>
      </c>
      <c r="G225" s="396" t="s">
        <v>1869</v>
      </c>
      <c r="H225" s="396" t="s">
        <v>1873</v>
      </c>
      <c r="I225" s="397"/>
      <c r="J225" s="392">
        <f t="shared" si="29"/>
        <v>1</v>
      </c>
      <c r="K225" s="361"/>
      <c r="L225" s="361"/>
      <c r="M225" s="361"/>
      <c r="N225" s="361"/>
      <c r="O225" s="361"/>
      <c r="P225" s="361"/>
      <c r="Q225" s="361"/>
      <c r="R225" s="361"/>
      <c r="S225" s="361"/>
      <c r="T225" s="361"/>
      <c r="U225" s="361"/>
      <c r="V225" s="361"/>
      <c r="W225" s="361"/>
      <c r="X225" s="361"/>
      <c r="Y225" s="361"/>
      <c r="Z225" s="361"/>
    </row>
    <row r="226" ht="22.5" customHeight="1" outlineLevel="1">
      <c r="A226" s="395">
        <v>193547.0</v>
      </c>
      <c r="B226" s="393" t="s">
        <v>1874</v>
      </c>
      <c r="C226" s="394">
        <v>45715.0</v>
      </c>
      <c r="D226" s="395" t="s">
        <v>849</v>
      </c>
      <c r="E226" s="396" t="s">
        <v>1834</v>
      </c>
      <c r="F226" s="396" t="s">
        <v>1676</v>
      </c>
      <c r="G226" s="396" t="s">
        <v>1720</v>
      </c>
      <c r="H226" s="396" t="s">
        <v>1798</v>
      </c>
      <c r="I226" s="397"/>
      <c r="J226" s="392">
        <f t="shared" si="29"/>
        <v>1</v>
      </c>
      <c r="K226" s="361"/>
      <c r="L226" s="361"/>
      <c r="M226" s="361"/>
      <c r="N226" s="361"/>
      <c r="O226" s="361"/>
      <c r="P226" s="361"/>
      <c r="Q226" s="361"/>
      <c r="R226" s="361"/>
      <c r="S226" s="361"/>
      <c r="T226" s="361"/>
      <c r="U226" s="361"/>
      <c r="V226" s="361"/>
      <c r="W226" s="361"/>
      <c r="X226" s="361"/>
      <c r="Y226" s="361"/>
      <c r="Z226" s="361"/>
    </row>
    <row r="227" ht="22.5" customHeight="1" outlineLevel="1">
      <c r="A227" s="395">
        <v>247300.0</v>
      </c>
      <c r="B227" s="393" t="s">
        <v>1875</v>
      </c>
      <c r="C227" s="394">
        <v>45715.0</v>
      </c>
      <c r="D227" s="395" t="s">
        <v>845</v>
      </c>
      <c r="E227" s="396" t="s">
        <v>1876</v>
      </c>
      <c r="F227" s="396" t="s">
        <v>1877</v>
      </c>
      <c r="G227" s="396" t="s">
        <v>1878</v>
      </c>
      <c r="H227" s="396" t="s">
        <v>1775</v>
      </c>
      <c r="I227" s="397"/>
      <c r="J227" s="392">
        <f t="shared" si="29"/>
        <v>1</v>
      </c>
      <c r="K227" s="361"/>
      <c r="L227" s="361"/>
      <c r="M227" s="361"/>
      <c r="N227" s="361"/>
      <c r="O227" s="361"/>
      <c r="P227" s="361"/>
      <c r="Q227" s="361"/>
      <c r="R227" s="361"/>
      <c r="S227" s="361"/>
      <c r="T227" s="361"/>
      <c r="U227" s="361"/>
      <c r="V227" s="361"/>
      <c r="W227" s="361"/>
      <c r="X227" s="361"/>
      <c r="Y227" s="361"/>
      <c r="Z227" s="361"/>
    </row>
    <row r="228" ht="15.75" customHeight="1" outlineLevel="1">
      <c r="A228" s="387"/>
      <c r="C228" s="388"/>
      <c r="D228" s="389"/>
      <c r="E228" s="390"/>
      <c r="F228" s="390"/>
      <c r="G228" s="390"/>
      <c r="H228" s="390"/>
      <c r="I228" s="391">
        <f>counta(A229:A236)</f>
        <v>8</v>
      </c>
      <c r="J228" s="389"/>
      <c r="K228" s="361"/>
      <c r="L228" s="361"/>
      <c r="M228" s="361"/>
      <c r="N228" s="361"/>
      <c r="O228" s="361"/>
      <c r="P228" s="361"/>
      <c r="Q228" s="361"/>
      <c r="R228" s="361"/>
      <c r="S228" s="361"/>
      <c r="T228" s="361"/>
      <c r="U228" s="361"/>
      <c r="V228" s="361"/>
      <c r="W228" s="361"/>
      <c r="X228" s="361"/>
      <c r="Y228" s="361"/>
      <c r="Z228" s="361"/>
    </row>
    <row r="229" ht="22.5" customHeight="1" outlineLevel="1">
      <c r="A229" s="395">
        <v>247264.0</v>
      </c>
      <c r="B229" s="393" t="s">
        <v>1879</v>
      </c>
      <c r="C229" s="394">
        <v>45715.0</v>
      </c>
      <c r="D229" s="395" t="s">
        <v>849</v>
      </c>
      <c r="E229" s="396" t="s">
        <v>1863</v>
      </c>
      <c r="F229" s="396" t="s">
        <v>1543</v>
      </c>
      <c r="G229" s="396" t="s">
        <v>1880</v>
      </c>
      <c r="H229" s="402"/>
      <c r="I229" s="397"/>
      <c r="J229" s="392">
        <f t="shared" ref="J229:J238" si="30">countif(A$6:A229,A229)</f>
        <v>1</v>
      </c>
      <c r="K229" s="361"/>
      <c r="L229" s="361"/>
      <c r="M229" s="361"/>
      <c r="N229" s="361"/>
      <c r="O229" s="361"/>
      <c r="P229" s="361"/>
      <c r="Q229" s="361"/>
      <c r="R229" s="361"/>
      <c r="S229" s="361"/>
      <c r="T229" s="361"/>
      <c r="U229" s="361"/>
      <c r="V229" s="361"/>
      <c r="W229" s="361"/>
      <c r="X229" s="361"/>
      <c r="Y229" s="361"/>
      <c r="Z229" s="361"/>
    </row>
    <row r="230" ht="22.5" customHeight="1" outlineLevel="1">
      <c r="A230" s="395">
        <v>247265.0</v>
      </c>
      <c r="B230" s="393" t="s">
        <v>1881</v>
      </c>
      <c r="C230" s="394">
        <v>45715.0</v>
      </c>
      <c r="D230" s="395" t="s">
        <v>849</v>
      </c>
      <c r="E230" s="396" t="s">
        <v>1882</v>
      </c>
      <c r="F230" s="396" t="s">
        <v>1865</v>
      </c>
      <c r="G230" s="396" t="s">
        <v>1883</v>
      </c>
      <c r="H230" s="402" t="s">
        <v>1884</v>
      </c>
      <c r="I230" s="397"/>
      <c r="J230" s="392">
        <f t="shared" si="30"/>
        <v>1</v>
      </c>
      <c r="K230" s="361"/>
      <c r="L230" s="361"/>
      <c r="M230" s="361"/>
      <c r="N230" s="361"/>
      <c r="O230" s="361"/>
      <c r="P230" s="361"/>
      <c r="Q230" s="361"/>
      <c r="R230" s="361"/>
      <c r="S230" s="361"/>
      <c r="T230" s="361"/>
      <c r="U230" s="361"/>
      <c r="V230" s="361"/>
      <c r="W230" s="361"/>
      <c r="X230" s="361"/>
      <c r="Y230" s="361"/>
      <c r="Z230" s="361"/>
    </row>
    <row r="231" ht="22.5" customHeight="1" outlineLevel="1">
      <c r="A231" s="395">
        <v>247200.0</v>
      </c>
      <c r="B231" s="393" t="s">
        <v>1885</v>
      </c>
      <c r="C231" s="394">
        <v>45715.0</v>
      </c>
      <c r="D231" s="395" t="s">
        <v>849</v>
      </c>
      <c r="E231" s="396" t="s">
        <v>1834</v>
      </c>
      <c r="F231" s="396" t="s">
        <v>1676</v>
      </c>
      <c r="G231" s="396" t="s">
        <v>1884</v>
      </c>
      <c r="H231" s="402"/>
      <c r="I231" s="397"/>
      <c r="J231" s="392">
        <f t="shared" si="30"/>
        <v>1</v>
      </c>
      <c r="K231" s="361"/>
      <c r="L231" s="361"/>
      <c r="M231" s="361"/>
      <c r="N231" s="361"/>
      <c r="O231" s="361"/>
      <c r="P231" s="361"/>
      <c r="Q231" s="361"/>
      <c r="R231" s="361"/>
      <c r="S231" s="361"/>
      <c r="T231" s="361"/>
      <c r="U231" s="361"/>
      <c r="V231" s="361"/>
      <c r="W231" s="361"/>
      <c r="X231" s="361"/>
      <c r="Y231" s="361"/>
      <c r="Z231" s="361"/>
    </row>
    <row r="232" ht="22.5" customHeight="1" outlineLevel="1">
      <c r="A232" s="395">
        <v>247360.0</v>
      </c>
      <c r="B232" s="415" t="s">
        <v>1886</v>
      </c>
      <c r="C232" s="394">
        <v>45715.0</v>
      </c>
      <c r="D232" s="395" t="s">
        <v>849</v>
      </c>
      <c r="E232" s="396" t="s">
        <v>1834</v>
      </c>
      <c r="F232" s="396" t="s">
        <v>1676</v>
      </c>
      <c r="G232" s="396" t="s">
        <v>1718</v>
      </c>
      <c r="H232" s="402" t="s">
        <v>1887</v>
      </c>
      <c r="I232" s="397"/>
      <c r="J232" s="392">
        <f t="shared" si="30"/>
        <v>1</v>
      </c>
      <c r="K232" s="361"/>
      <c r="L232" s="361"/>
      <c r="M232" s="361"/>
      <c r="N232" s="361"/>
      <c r="O232" s="361"/>
      <c r="P232" s="361"/>
      <c r="Q232" s="361"/>
      <c r="R232" s="361"/>
      <c r="S232" s="361"/>
      <c r="T232" s="361"/>
      <c r="U232" s="361"/>
      <c r="V232" s="361"/>
      <c r="W232" s="361"/>
      <c r="X232" s="361"/>
      <c r="Y232" s="361"/>
      <c r="Z232" s="361"/>
    </row>
    <row r="233" ht="22.5" customHeight="1" outlineLevel="1">
      <c r="A233" s="395">
        <v>247405.0</v>
      </c>
      <c r="B233" s="393" t="s">
        <v>1888</v>
      </c>
      <c r="C233" s="394">
        <v>45715.0</v>
      </c>
      <c r="D233" s="395" t="s">
        <v>849</v>
      </c>
      <c r="E233" s="396" t="s">
        <v>1863</v>
      </c>
      <c r="F233" s="396" t="s">
        <v>1676</v>
      </c>
      <c r="G233" s="396" t="s">
        <v>1889</v>
      </c>
      <c r="H233" s="402" t="s">
        <v>1887</v>
      </c>
      <c r="I233" s="397"/>
      <c r="J233" s="392">
        <f t="shared" si="30"/>
        <v>1</v>
      </c>
      <c r="K233" s="361"/>
      <c r="L233" s="361"/>
      <c r="M233" s="361"/>
      <c r="N233" s="361"/>
      <c r="O233" s="361"/>
      <c r="P233" s="361"/>
      <c r="Q233" s="361"/>
      <c r="R233" s="361"/>
      <c r="S233" s="361"/>
      <c r="T233" s="361"/>
      <c r="U233" s="361"/>
      <c r="V233" s="361"/>
      <c r="W233" s="361"/>
      <c r="X233" s="361"/>
      <c r="Y233" s="361"/>
      <c r="Z233" s="361"/>
    </row>
    <row r="234" ht="22.5" customHeight="1" outlineLevel="1">
      <c r="A234" s="395">
        <v>247415.0</v>
      </c>
      <c r="B234" s="393" t="s">
        <v>1890</v>
      </c>
      <c r="C234" s="394">
        <v>45715.0</v>
      </c>
      <c r="D234" s="395" t="s">
        <v>849</v>
      </c>
      <c r="E234" s="396" t="s">
        <v>1863</v>
      </c>
      <c r="F234" s="396" t="s">
        <v>1676</v>
      </c>
      <c r="G234" s="396" t="s">
        <v>1891</v>
      </c>
      <c r="H234" s="402" t="s">
        <v>1892</v>
      </c>
      <c r="I234" s="397"/>
      <c r="J234" s="392">
        <f t="shared" si="30"/>
        <v>1</v>
      </c>
      <c r="K234" s="361"/>
      <c r="L234" s="361"/>
      <c r="M234" s="361"/>
      <c r="N234" s="361"/>
      <c r="O234" s="361"/>
      <c r="P234" s="361"/>
      <c r="Q234" s="361"/>
      <c r="R234" s="361"/>
      <c r="S234" s="361"/>
      <c r="T234" s="361"/>
      <c r="U234" s="361"/>
      <c r="V234" s="361"/>
      <c r="W234" s="361"/>
      <c r="X234" s="361"/>
      <c r="Y234" s="361"/>
      <c r="Z234" s="361"/>
    </row>
    <row r="235" ht="22.5" customHeight="1" outlineLevel="1">
      <c r="A235" s="395">
        <v>247273.0</v>
      </c>
      <c r="B235" s="393" t="s">
        <v>1893</v>
      </c>
      <c r="C235" s="394">
        <v>45715.0</v>
      </c>
      <c r="D235" s="395" t="s">
        <v>849</v>
      </c>
      <c r="E235" s="396" t="s">
        <v>1834</v>
      </c>
      <c r="F235" s="396" t="s">
        <v>1676</v>
      </c>
      <c r="G235" s="396" t="s">
        <v>1720</v>
      </c>
      <c r="H235" s="402" t="s">
        <v>1892</v>
      </c>
      <c r="I235" s="397"/>
      <c r="J235" s="392">
        <f t="shared" si="30"/>
        <v>1</v>
      </c>
      <c r="K235" s="361"/>
      <c r="L235" s="361"/>
      <c r="M235" s="361"/>
      <c r="N235" s="361"/>
      <c r="O235" s="361"/>
      <c r="P235" s="361"/>
      <c r="Q235" s="361"/>
      <c r="R235" s="361"/>
      <c r="S235" s="361"/>
      <c r="T235" s="361"/>
      <c r="U235" s="361"/>
      <c r="V235" s="361"/>
      <c r="W235" s="361"/>
      <c r="X235" s="361"/>
      <c r="Y235" s="361"/>
      <c r="Z235" s="361"/>
    </row>
    <row r="236" ht="22.5" customHeight="1" outlineLevel="1">
      <c r="A236" s="395">
        <v>237152.0</v>
      </c>
      <c r="B236" s="393" t="s">
        <v>1894</v>
      </c>
      <c r="C236" s="394">
        <v>45715.0</v>
      </c>
      <c r="D236" s="395" t="s">
        <v>845</v>
      </c>
      <c r="E236" s="396" t="s">
        <v>1895</v>
      </c>
      <c r="F236" s="396" t="s">
        <v>1896</v>
      </c>
      <c r="G236" s="396" t="s">
        <v>1878</v>
      </c>
      <c r="H236" s="402" t="s">
        <v>1784</v>
      </c>
      <c r="I236" s="397"/>
      <c r="J236" s="392">
        <f t="shared" si="30"/>
        <v>1</v>
      </c>
      <c r="K236" s="361"/>
      <c r="L236" s="361"/>
      <c r="M236" s="361"/>
      <c r="N236" s="361"/>
      <c r="O236" s="361"/>
      <c r="P236" s="361"/>
      <c r="Q236" s="361"/>
      <c r="R236" s="361"/>
      <c r="S236" s="361"/>
      <c r="T236" s="361"/>
      <c r="U236" s="361"/>
      <c r="V236" s="361"/>
      <c r="W236" s="361"/>
      <c r="X236" s="361"/>
      <c r="Y236" s="361"/>
      <c r="Z236" s="361"/>
    </row>
    <row r="237" ht="22.5" customHeight="1" outlineLevel="1">
      <c r="A237" s="395">
        <v>247347.0</v>
      </c>
      <c r="B237" s="393" t="s">
        <v>1897</v>
      </c>
      <c r="C237" s="394">
        <v>45715.0</v>
      </c>
      <c r="D237" s="395" t="s">
        <v>849</v>
      </c>
      <c r="E237" s="396" t="s">
        <v>1834</v>
      </c>
      <c r="F237" s="396" t="s">
        <v>1898</v>
      </c>
      <c r="G237" s="396" t="s">
        <v>1718</v>
      </c>
      <c r="H237" s="402" t="s">
        <v>1899</v>
      </c>
      <c r="I237" s="397"/>
      <c r="J237" s="392">
        <f t="shared" si="30"/>
        <v>1</v>
      </c>
      <c r="K237" s="361"/>
      <c r="L237" s="361"/>
      <c r="M237" s="361"/>
      <c r="N237" s="361"/>
      <c r="O237" s="361"/>
      <c r="P237" s="361"/>
      <c r="Q237" s="361"/>
      <c r="R237" s="361"/>
      <c r="S237" s="361"/>
      <c r="T237" s="361"/>
      <c r="U237" s="361"/>
      <c r="V237" s="361"/>
      <c r="W237" s="361"/>
      <c r="X237" s="361"/>
      <c r="Y237" s="361"/>
      <c r="Z237" s="361"/>
    </row>
    <row r="238" ht="22.5" customHeight="1" outlineLevel="1">
      <c r="A238" s="412">
        <v>247193.0</v>
      </c>
      <c r="B238" s="415" t="s">
        <v>1900</v>
      </c>
      <c r="C238" s="394">
        <v>45715.0</v>
      </c>
      <c r="D238" s="412" t="s">
        <v>1901</v>
      </c>
      <c r="E238" s="396"/>
      <c r="F238" s="396"/>
      <c r="G238" s="396"/>
      <c r="H238" s="402"/>
      <c r="I238" s="397"/>
      <c r="J238" s="392">
        <f t="shared" si="30"/>
        <v>1</v>
      </c>
      <c r="K238" s="361"/>
      <c r="L238" s="361"/>
      <c r="M238" s="361"/>
      <c r="N238" s="361"/>
      <c r="O238" s="361"/>
      <c r="P238" s="361"/>
      <c r="Q238" s="361"/>
      <c r="R238" s="361"/>
      <c r="S238" s="361"/>
      <c r="T238" s="361"/>
      <c r="U238" s="361"/>
      <c r="V238" s="361"/>
      <c r="W238" s="361"/>
      <c r="X238" s="361"/>
      <c r="Y238" s="361"/>
      <c r="Z238" s="361"/>
    </row>
    <row r="239" ht="22.5" customHeight="1" outlineLevel="1">
      <c r="A239" s="412">
        <v>247298.0</v>
      </c>
      <c r="B239" s="415" t="s">
        <v>1902</v>
      </c>
      <c r="C239" s="416" t="s">
        <v>1903</v>
      </c>
      <c r="D239" s="412" t="s">
        <v>845</v>
      </c>
      <c r="E239" s="396"/>
      <c r="F239" s="396"/>
      <c r="G239" s="396"/>
      <c r="H239" s="402"/>
      <c r="I239" s="397"/>
      <c r="J239" s="392"/>
      <c r="K239" s="361"/>
      <c r="L239" s="361"/>
      <c r="M239" s="361"/>
      <c r="N239" s="361"/>
      <c r="O239" s="361"/>
      <c r="P239" s="361"/>
      <c r="Q239" s="361"/>
      <c r="R239" s="361"/>
      <c r="S239" s="361"/>
      <c r="T239" s="361"/>
      <c r="U239" s="361"/>
      <c r="V239" s="361"/>
      <c r="W239" s="361"/>
      <c r="X239" s="361"/>
      <c r="Y239" s="361"/>
      <c r="Z239" s="361"/>
    </row>
    <row r="240" ht="15.75" customHeight="1" outlineLevel="1">
      <c r="A240" s="387"/>
      <c r="C240" s="388"/>
      <c r="D240" s="389"/>
      <c r="E240" s="390"/>
      <c r="F240" s="390"/>
      <c r="G240" s="390"/>
      <c r="H240" s="390"/>
      <c r="I240" s="391">
        <f>counta(A241:A247)</f>
        <v>7</v>
      </c>
      <c r="J240" s="389"/>
      <c r="K240" s="361"/>
      <c r="L240" s="361"/>
      <c r="M240" s="361"/>
      <c r="N240" s="361"/>
      <c r="O240" s="361"/>
      <c r="P240" s="361"/>
      <c r="Q240" s="361"/>
      <c r="R240" s="361"/>
      <c r="S240" s="361"/>
      <c r="T240" s="361"/>
      <c r="U240" s="361"/>
      <c r="V240" s="361"/>
      <c r="W240" s="361"/>
      <c r="X240" s="361"/>
      <c r="Y240" s="361"/>
      <c r="Z240" s="361"/>
    </row>
    <row r="241" ht="22.5" customHeight="1" outlineLevel="1">
      <c r="A241" s="395">
        <v>227214.0</v>
      </c>
      <c r="B241" s="393" t="s">
        <v>1904</v>
      </c>
      <c r="C241" s="394">
        <v>45715.0</v>
      </c>
      <c r="D241" s="395" t="s">
        <v>849</v>
      </c>
      <c r="E241" s="396" t="s">
        <v>1905</v>
      </c>
      <c r="F241" s="396" t="s">
        <v>1871</v>
      </c>
      <c r="G241" s="396" t="s">
        <v>1595</v>
      </c>
      <c r="H241" s="396" t="s">
        <v>1906</v>
      </c>
      <c r="I241" s="397"/>
      <c r="J241" s="392">
        <f t="shared" ref="J241:J248" si="31">countif(A$6:A241,A241)</f>
        <v>1</v>
      </c>
      <c r="K241" s="361"/>
      <c r="L241" s="361"/>
      <c r="M241" s="361"/>
      <c r="N241" s="361"/>
      <c r="O241" s="361"/>
      <c r="P241" s="361"/>
      <c r="Q241" s="361"/>
      <c r="R241" s="361"/>
      <c r="S241" s="361"/>
      <c r="T241" s="361"/>
      <c r="U241" s="361"/>
      <c r="V241" s="361"/>
      <c r="W241" s="361"/>
      <c r="X241" s="361"/>
      <c r="Y241" s="361"/>
      <c r="Z241" s="361"/>
    </row>
    <row r="242" ht="22.5" customHeight="1" outlineLevel="1">
      <c r="A242" s="395">
        <v>247083.0</v>
      </c>
      <c r="B242" s="393" t="s">
        <v>1907</v>
      </c>
      <c r="C242" s="394">
        <v>45715.0</v>
      </c>
      <c r="D242" s="395" t="s">
        <v>849</v>
      </c>
      <c r="E242" s="396" t="s">
        <v>1905</v>
      </c>
      <c r="F242" s="396" t="s">
        <v>1908</v>
      </c>
      <c r="G242" s="396" t="s">
        <v>1595</v>
      </c>
      <c r="H242" s="396" t="s">
        <v>1906</v>
      </c>
      <c r="I242" s="397"/>
      <c r="J242" s="392">
        <f t="shared" si="31"/>
        <v>1</v>
      </c>
      <c r="K242" s="361"/>
      <c r="L242" s="361"/>
      <c r="M242" s="361"/>
      <c r="N242" s="361"/>
      <c r="O242" s="361"/>
      <c r="P242" s="361"/>
      <c r="Q242" s="361"/>
      <c r="R242" s="361"/>
      <c r="S242" s="361"/>
      <c r="T242" s="361"/>
      <c r="U242" s="361"/>
      <c r="V242" s="361"/>
      <c r="W242" s="361"/>
      <c r="X242" s="361"/>
      <c r="Y242" s="361"/>
      <c r="Z242" s="361"/>
    </row>
    <row r="243" ht="22.5" customHeight="1" outlineLevel="1">
      <c r="A243" s="395">
        <v>247178.0</v>
      </c>
      <c r="B243" s="393" t="s">
        <v>1909</v>
      </c>
      <c r="C243" s="394">
        <v>45715.0</v>
      </c>
      <c r="D243" s="395" t="s">
        <v>849</v>
      </c>
      <c r="E243" s="396" t="s">
        <v>1905</v>
      </c>
      <c r="F243" s="396" t="s">
        <v>1910</v>
      </c>
      <c r="G243" s="396" t="s">
        <v>1720</v>
      </c>
      <c r="H243" s="396" t="s">
        <v>1906</v>
      </c>
      <c r="I243" s="397"/>
      <c r="J243" s="392">
        <f t="shared" si="31"/>
        <v>1</v>
      </c>
      <c r="K243" s="361"/>
      <c r="L243" s="361"/>
      <c r="M243" s="361"/>
      <c r="N243" s="361"/>
      <c r="O243" s="361"/>
      <c r="P243" s="361"/>
      <c r="Q243" s="361"/>
      <c r="R243" s="361"/>
      <c r="S243" s="361"/>
      <c r="T243" s="361"/>
      <c r="U243" s="361"/>
      <c r="V243" s="361"/>
      <c r="W243" s="361"/>
      <c r="X243" s="361"/>
      <c r="Y243" s="361"/>
      <c r="Z243" s="361"/>
    </row>
    <row r="244" ht="22.5" customHeight="1" outlineLevel="1">
      <c r="A244" s="395">
        <v>237226.0</v>
      </c>
      <c r="B244" s="393" t="s">
        <v>1911</v>
      </c>
      <c r="C244" s="394">
        <v>45715.0</v>
      </c>
      <c r="D244" s="395" t="s">
        <v>849</v>
      </c>
      <c r="E244" s="396" t="s">
        <v>1863</v>
      </c>
      <c r="F244" s="396" t="s">
        <v>1910</v>
      </c>
      <c r="G244" s="396" t="s">
        <v>1718</v>
      </c>
      <c r="H244" s="396" t="s">
        <v>1912</v>
      </c>
      <c r="I244" s="397"/>
      <c r="J244" s="392">
        <f t="shared" si="31"/>
        <v>1</v>
      </c>
      <c r="K244" s="361"/>
      <c r="L244" s="361"/>
      <c r="M244" s="361"/>
      <c r="N244" s="361"/>
      <c r="O244" s="361"/>
      <c r="P244" s="361"/>
      <c r="Q244" s="361"/>
      <c r="R244" s="361"/>
      <c r="S244" s="361"/>
      <c r="T244" s="361"/>
      <c r="U244" s="361"/>
      <c r="V244" s="361"/>
      <c r="W244" s="361"/>
      <c r="X244" s="361"/>
      <c r="Y244" s="361"/>
      <c r="Z244" s="361"/>
    </row>
    <row r="245" ht="22.5" customHeight="1" outlineLevel="1">
      <c r="A245" s="395">
        <v>237008.0</v>
      </c>
      <c r="B245" s="393" t="s">
        <v>1913</v>
      </c>
      <c r="C245" s="394">
        <v>45715.0</v>
      </c>
      <c r="D245" s="395" t="s">
        <v>849</v>
      </c>
      <c r="E245" s="396" t="s">
        <v>1863</v>
      </c>
      <c r="F245" s="396" t="s">
        <v>1865</v>
      </c>
      <c r="G245" s="396" t="s">
        <v>1914</v>
      </c>
      <c r="H245" s="396" t="s">
        <v>1915</v>
      </c>
      <c r="I245" s="397"/>
      <c r="J245" s="392">
        <f t="shared" si="31"/>
        <v>1</v>
      </c>
      <c r="K245" s="361"/>
      <c r="L245" s="361"/>
      <c r="M245" s="361"/>
      <c r="N245" s="361"/>
      <c r="O245" s="361"/>
      <c r="P245" s="361"/>
      <c r="Q245" s="361"/>
      <c r="R245" s="361"/>
      <c r="S245" s="361"/>
      <c r="T245" s="361"/>
      <c r="U245" s="361"/>
      <c r="V245" s="361"/>
      <c r="W245" s="361"/>
      <c r="X245" s="361"/>
      <c r="Y245" s="361"/>
      <c r="Z245" s="361"/>
    </row>
    <row r="246" ht="22.5" customHeight="1" outlineLevel="1">
      <c r="A246" s="395">
        <v>193584.0</v>
      </c>
      <c r="B246" s="393" t="s">
        <v>1916</v>
      </c>
      <c r="C246" s="394">
        <v>45715.0</v>
      </c>
      <c r="D246" s="395" t="s">
        <v>849</v>
      </c>
      <c r="E246" s="396" t="s">
        <v>1863</v>
      </c>
      <c r="F246" s="396" t="s">
        <v>1865</v>
      </c>
      <c r="G246" s="396" t="s">
        <v>1728</v>
      </c>
      <c r="H246" s="396" t="s">
        <v>1569</v>
      </c>
      <c r="I246" s="397"/>
      <c r="J246" s="392">
        <f t="shared" si="31"/>
        <v>1</v>
      </c>
      <c r="K246" s="361"/>
      <c r="L246" s="361"/>
      <c r="M246" s="361"/>
      <c r="N246" s="361"/>
      <c r="O246" s="361"/>
      <c r="P246" s="361"/>
      <c r="Q246" s="361"/>
      <c r="R246" s="361"/>
      <c r="S246" s="361"/>
      <c r="T246" s="361"/>
      <c r="U246" s="361"/>
      <c r="V246" s="361"/>
      <c r="W246" s="361"/>
      <c r="X246" s="361"/>
      <c r="Y246" s="361"/>
      <c r="Z246" s="361"/>
    </row>
    <row r="247" ht="22.5" customHeight="1" outlineLevel="1">
      <c r="A247" s="395">
        <v>227058.0</v>
      </c>
      <c r="B247" s="393" t="s">
        <v>1917</v>
      </c>
      <c r="C247" s="394">
        <v>45715.0</v>
      </c>
      <c r="D247" s="412" t="s">
        <v>26</v>
      </c>
      <c r="E247" s="396" t="s">
        <v>1905</v>
      </c>
      <c r="F247" s="396" t="s">
        <v>1910</v>
      </c>
      <c r="G247" s="396" t="s">
        <v>1918</v>
      </c>
      <c r="H247" s="396" t="s">
        <v>1919</v>
      </c>
      <c r="I247" s="397"/>
      <c r="J247" s="392">
        <f t="shared" si="31"/>
        <v>1</v>
      </c>
      <c r="K247" s="361"/>
      <c r="L247" s="361"/>
      <c r="M247" s="361"/>
      <c r="N247" s="361"/>
      <c r="O247" s="361"/>
      <c r="P247" s="361"/>
      <c r="Q247" s="361"/>
      <c r="R247" s="361"/>
      <c r="S247" s="361"/>
      <c r="T247" s="361"/>
      <c r="U247" s="361"/>
      <c r="V247" s="361"/>
      <c r="W247" s="361"/>
      <c r="X247" s="361"/>
      <c r="Y247" s="361"/>
      <c r="Z247" s="361"/>
    </row>
    <row r="248" ht="22.5" customHeight="1" outlineLevel="1">
      <c r="A248" s="395">
        <v>143084.0</v>
      </c>
      <c r="B248" s="393" t="s">
        <v>1920</v>
      </c>
      <c r="C248" s="394">
        <v>45715.0</v>
      </c>
      <c r="D248" s="395" t="s">
        <v>849</v>
      </c>
      <c r="E248" s="396" t="s">
        <v>1905</v>
      </c>
      <c r="F248" s="396" t="s">
        <v>1921</v>
      </c>
      <c r="G248" s="396" t="s">
        <v>1720</v>
      </c>
      <c r="H248" s="396" t="s">
        <v>1922</v>
      </c>
      <c r="I248" s="397"/>
      <c r="J248" s="392">
        <f t="shared" si="31"/>
        <v>1</v>
      </c>
      <c r="K248" s="361"/>
      <c r="L248" s="361"/>
      <c r="M248" s="361"/>
      <c r="N248" s="361"/>
      <c r="O248" s="361"/>
      <c r="P248" s="361"/>
      <c r="Q248" s="361"/>
      <c r="R248" s="361"/>
      <c r="S248" s="361"/>
      <c r="T248" s="361"/>
      <c r="U248" s="361"/>
      <c r="V248" s="361"/>
      <c r="W248" s="361"/>
      <c r="X248" s="361"/>
      <c r="Y248" s="361"/>
      <c r="Z248" s="361"/>
    </row>
    <row r="249" ht="15.75" customHeight="1" outlineLevel="1">
      <c r="A249" s="387"/>
      <c r="C249" s="388"/>
      <c r="D249" s="389"/>
      <c r="E249" s="390"/>
      <c r="F249" s="390"/>
      <c r="G249" s="390"/>
      <c r="H249" s="390"/>
      <c r="I249" s="391">
        <f>counta(A250:A257)</f>
        <v>7</v>
      </c>
      <c r="J249" s="389"/>
      <c r="K249" s="361"/>
      <c r="L249" s="361"/>
      <c r="M249" s="361"/>
      <c r="N249" s="361"/>
      <c r="O249" s="361"/>
      <c r="P249" s="361"/>
      <c r="Q249" s="361"/>
      <c r="R249" s="361"/>
      <c r="S249" s="361"/>
      <c r="T249" s="361"/>
      <c r="U249" s="361"/>
      <c r="V249" s="361"/>
      <c r="W249" s="361"/>
      <c r="X249" s="361"/>
      <c r="Y249" s="361"/>
      <c r="Z249" s="361"/>
    </row>
    <row r="250" ht="22.5" customHeight="1" outlineLevel="1">
      <c r="A250" s="412">
        <v>163188.0</v>
      </c>
      <c r="B250" s="415" t="s">
        <v>722</v>
      </c>
      <c r="C250" s="394">
        <v>45765.0</v>
      </c>
      <c r="D250" s="412" t="s">
        <v>849</v>
      </c>
      <c r="E250" s="414" t="s">
        <v>1838</v>
      </c>
      <c r="F250" s="414" t="s">
        <v>1923</v>
      </c>
      <c r="G250" s="414" t="s">
        <v>1838</v>
      </c>
      <c r="H250" s="414" t="s">
        <v>1761</v>
      </c>
      <c r="I250" s="397"/>
      <c r="J250" s="392">
        <f t="shared" ref="J250:J256" si="32">countif(A$6:A250,A250)</f>
        <v>1</v>
      </c>
      <c r="K250" s="361"/>
      <c r="L250" s="361"/>
      <c r="M250" s="361"/>
      <c r="N250" s="361"/>
      <c r="O250" s="361"/>
      <c r="P250" s="361"/>
      <c r="Q250" s="361"/>
      <c r="R250" s="361"/>
      <c r="S250" s="361"/>
      <c r="T250" s="361"/>
      <c r="U250" s="361"/>
      <c r="V250" s="361"/>
      <c r="W250" s="361"/>
      <c r="X250" s="361"/>
      <c r="Y250" s="361"/>
      <c r="Z250" s="361"/>
    </row>
    <row r="251" ht="22.5" customHeight="1" outlineLevel="1">
      <c r="A251" s="412">
        <v>247203.0</v>
      </c>
      <c r="B251" s="415" t="s">
        <v>588</v>
      </c>
      <c r="C251" s="394">
        <v>45765.0</v>
      </c>
      <c r="D251" s="412" t="s">
        <v>849</v>
      </c>
      <c r="E251" s="414" t="s">
        <v>1838</v>
      </c>
      <c r="F251" s="414" t="s">
        <v>1923</v>
      </c>
      <c r="G251" s="414" t="s">
        <v>1838</v>
      </c>
      <c r="H251" s="414" t="s">
        <v>1761</v>
      </c>
      <c r="I251" s="397"/>
      <c r="J251" s="392">
        <f t="shared" si="32"/>
        <v>1</v>
      </c>
      <c r="K251" s="361"/>
      <c r="L251" s="361"/>
      <c r="M251" s="361"/>
      <c r="N251" s="361"/>
      <c r="O251" s="361"/>
      <c r="P251" s="361"/>
      <c r="Q251" s="361"/>
      <c r="R251" s="361"/>
      <c r="S251" s="361"/>
      <c r="T251" s="361"/>
      <c r="U251" s="361"/>
      <c r="V251" s="361"/>
      <c r="W251" s="361"/>
      <c r="X251" s="361"/>
      <c r="Y251" s="361"/>
      <c r="Z251" s="361"/>
    </row>
    <row r="252" ht="22.5" customHeight="1" outlineLevel="1">
      <c r="A252" s="412">
        <v>237196.0</v>
      </c>
      <c r="B252" s="415" t="s">
        <v>590</v>
      </c>
      <c r="C252" s="394">
        <v>45765.0</v>
      </c>
      <c r="D252" s="412" t="s">
        <v>849</v>
      </c>
      <c r="E252" s="414" t="s">
        <v>1838</v>
      </c>
      <c r="F252" s="414" t="s">
        <v>1355</v>
      </c>
      <c r="G252" s="414" t="s">
        <v>1660</v>
      </c>
      <c r="H252" s="414" t="s">
        <v>1924</v>
      </c>
      <c r="I252" s="397"/>
      <c r="J252" s="392">
        <f t="shared" si="32"/>
        <v>1</v>
      </c>
      <c r="K252" s="361"/>
      <c r="L252" s="361"/>
      <c r="M252" s="361"/>
      <c r="N252" s="361"/>
      <c r="O252" s="361"/>
      <c r="P252" s="361"/>
      <c r="Q252" s="361"/>
      <c r="R252" s="361"/>
      <c r="S252" s="361"/>
      <c r="T252" s="361"/>
      <c r="U252" s="361"/>
      <c r="V252" s="361"/>
      <c r="W252" s="361"/>
      <c r="X252" s="361"/>
      <c r="Y252" s="361"/>
      <c r="Z252" s="361"/>
    </row>
    <row r="253" ht="22.5" customHeight="1" outlineLevel="1">
      <c r="A253" s="412">
        <v>237157.0</v>
      </c>
      <c r="B253" s="415" t="s">
        <v>582</v>
      </c>
      <c r="C253" s="394">
        <v>45765.0</v>
      </c>
      <c r="D253" s="412" t="s">
        <v>849</v>
      </c>
      <c r="E253" s="414" t="s">
        <v>1838</v>
      </c>
      <c r="F253" s="414" t="s">
        <v>1355</v>
      </c>
      <c r="G253" s="414" t="s">
        <v>1838</v>
      </c>
      <c r="H253" s="414" t="s">
        <v>1925</v>
      </c>
      <c r="I253" s="397"/>
      <c r="J253" s="392">
        <f t="shared" si="32"/>
        <v>1</v>
      </c>
      <c r="K253" s="361"/>
      <c r="L253" s="361"/>
      <c r="M253" s="361"/>
      <c r="N253" s="361"/>
      <c r="O253" s="361"/>
      <c r="P253" s="361"/>
      <c r="Q253" s="361"/>
      <c r="R253" s="361"/>
      <c r="S253" s="361"/>
      <c r="T253" s="361"/>
      <c r="U253" s="361"/>
      <c r="V253" s="361"/>
      <c r="W253" s="361"/>
      <c r="X253" s="361"/>
      <c r="Y253" s="361"/>
      <c r="Z253" s="361"/>
    </row>
    <row r="254" ht="22.5" customHeight="1" outlineLevel="1">
      <c r="A254" s="412">
        <v>193552.0</v>
      </c>
      <c r="B254" s="415" t="s">
        <v>1926</v>
      </c>
      <c r="C254" s="394">
        <v>45765.0</v>
      </c>
      <c r="D254" s="412" t="s">
        <v>26</v>
      </c>
      <c r="E254" s="414" t="s">
        <v>1838</v>
      </c>
      <c r="F254" s="414" t="s">
        <v>1676</v>
      </c>
      <c r="G254" s="414" t="s">
        <v>1838</v>
      </c>
      <c r="H254" s="414" t="s">
        <v>1927</v>
      </c>
      <c r="I254" s="397"/>
      <c r="J254" s="392">
        <f t="shared" si="32"/>
        <v>1</v>
      </c>
      <c r="K254" s="361"/>
      <c r="L254" s="361"/>
      <c r="M254" s="361"/>
      <c r="N254" s="361"/>
      <c r="O254" s="361"/>
      <c r="P254" s="361"/>
      <c r="Q254" s="361"/>
      <c r="R254" s="361"/>
      <c r="S254" s="361"/>
      <c r="T254" s="361"/>
      <c r="U254" s="361"/>
      <c r="V254" s="361"/>
      <c r="W254" s="361"/>
      <c r="X254" s="361"/>
      <c r="Y254" s="361"/>
      <c r="Z254" s="361"/>
    </row>
    <row r="255" ht="22.5" customHeight="1" outlineLevel="1">
      <c r="A255" s="412">
        <v>173232.0</v>
      </c>
      <c r="B255" s="415" t="s">
        <v>547</v>
      </c>
      <c r="C255" s="394">
        <v>45765.0</v>
      </c>
      <c r="D255" s="412" t="s">
        <v>26</v>
      </c>
      <c r="E255" s="414" t="s">
        <v>1838</v>
      </c>
      <c r="F255" s="414" t="s">
        <v>1676</v>
      </c>
      <c r="G255" s="414" t="s">
        <v>1838</v>
      </c>
      <c r="H255" s="414" t="s">
        <v>1928</v>
      </c>
      <c r="I255" s="397"/>
      <c r="J255" s="392">
        <f t="shared" si="32"/>
        <v>1</v>
      </c>
      <c r="K255" s="361"/>
      <c r="L255" s="361"/>
      <c r="M255" s="361"/>
      <c r="N255" s="361"/>
      <c r="O255" s="361"/>
      <c r="P255" s="361"/>
      <c r="Q255" s="361"/>
      <c r="R255" s="361"/>
      <c r="S255" s="361"/>
      <c r="T255" s="361"/>
      <c r="U255" s="361"/>
      <c r="V255" s="361"/>
      <c r="W255" s="361"/>
      <c r="X255" s="361"/>
      <c r="Y255" s="361"/>
      <c r="Z255" s="361"/>
    </row>
    <row r="256" ht="22.5" customHeight="1" outlineLevel="1">
      <c r="A256" s="412">
        <v>227035.0</v>
      </c>
      <c r="B256" s="415" t="s">
        <v>767</v>
      </c>
      <c r="C256" s="394">
        <v>45765.0</v>
      </c>
      <c r="D256" s="412" t="s">
        <v>849</v>
      </c>
      <c r="E256" s="414" t="s">
        <v>1838</v>
      </c>
      <c r="F256" s="414" t="s">
        <v>1355</v>
      </c>
      <c r="G256" s="414" t="s">
        <v>1838</v>
      </c>
      <c r="H256" s="414" t="s">
        <v>1929</v>
      </c>
      <c r="I256" s="397"/>
      <c r="J256" s="392">
        <f t="shared" si="32"/>
        <v>1</v>
      </c>
      <c r="K256" s="361"/>
      <c r="L256" s="361"/>
      <c r="M256" s="361"/>
      <c r="N256" s="361"/>
      <c r="O256" s="361"/>
      <c r="P256" s="361"/>
      <c r="Q256" s="361"/>
      <c r="R256" s="361"/>
      <c r="S256" s="361"/>
      <c r="T256" s="361"/>
      <c r="U256" s="361"/>
      <c r="V256" s="361"/>
      <c r="W256" s="361"/>
      <c r="X256" s="361"/>
      <c r="Y256" s="361"/>
      <c r="Z256" s="361"/>
    </row>
    <row r="257" ht="15.75" customHeight="1" outlineLevel="1">
      <c r="A257" s="387"/>
      <c r="C257" s="388"/>
      <c r="D257" s="389"/>
      <c r="E257" s="390"/>
      <c r="F257" s="390"/>
      <c r="G257" s="390"/>
      <c r="H257" s="390"/>
      <c r="I257" s="391">
        <f>counta(A258:A265)</f>
        <v>7</v>
      </c>
      <c r="J257" s="389"/>
      <c r="K257" s="361"/>
      <c r="L257" s="361"/>
      <c r="M257" s="361"/>
      <c r="N257" s="361"/>
      <c r="O257" s="361"/>
      <c r="P257" s="361"/>
      <c r="Q257" s="361"/>
      <c r="R257" s="361"/>
      <c r="S257" s="361"/>
      <c r="T257" s="361"/>
      <c r="U257" s="361"/>
      <c r="V257" s="361"/>
      <c r="W257" s="361"/>
      <c r="X257" s="361"/>
      <c r="Y257" s="361"/>
      <c r="Z257" s="361"/>
    </row>
    <row r="258" ht="22.5" customHeight="1" outlineLevel="1">
      <c r="A258" s="412">
        <v>213901.0</v>
      </c>
      <c r="B258" s="415" t="s">
        <v>277</v>
      </c>
      <c r="C258" s="394">
        <v>45765.0</v>
      </c>
      <c r="D258" s="412" t="s">
        <v>849</v>
      </c>
      <c r="E258" s="414" t="s">
        <v>1838</v>
      </c>
      <c r="F258" s="414" t="s">
        <v>1930</v>
      </c>
      <c r="G258" s="414" t="s">
        <v>1838</v>
      </c>
      <c r="H258" s="414" t="s">
        <v>1931</v>
      </c>
      <c r="I258" s="397"/>
      <c r="J258" s="392">
        <f t="shared" ref="J258:J264" si="33">countif(A$6:A258,A258)</f>
        <v>1</v>
      </c>
      <c r="K258" s="361"/>
      <c r="L258" s="361"/>
      <c r="M258" s="361"/>
      <c r="N258" s="361"/>
      <c r="O258" s="361"/>
      <c r="P258" s="361"/>
      <c r="Q258" s="361"/>
      <c r="R258" s="361"/>
      <c r="S258" s="361"/>
      <c r="T258" s="361"/>
      <c r="U258" s="361"/>
      <c r="V258" s="361"/>
      <c r="W258" s="361"/>
      <c r="X258" s="361"/>
      <c r="Y258" s="361"/>
      <c r="Z258" s="361"/>
    </row>
    <row r="259" ht="22.5" customHeight="1" outlineLevel="1">
      <c r="A259" s="412">
        <v>247086.0</v>
      </c>
      <c r="B259" s="415" t="s">
        <v>287</v>
      </c>
      <c r="C259" s="394">
        <v>45765.0</v>
      </c>
      <c r="D259" s="412" t="s">
        <v>849</v>
      </c>
      <c r="E259" s="414" t="s">
        <v>1838</v>
      </c>
      <c r="F259" s="414" t="s">
        <v>1435</v>
      </c>
      <c r="G259" s="414" t="s">
        <v>1932</v>
      </c>
      <c r="H259" s="414" t="s">
        <v>1569</v>
      </c>
      <c r="I259" s="397"/>
      <c r="J259" s="392">
        <f t="shared" si="33"/>
        <v>1</v>
      </c>
      <c r="K259" s="361"/>
      <c r="L259" s="361"/>
      <c r="M259" s="361"/>
      <c r="N259" s="361"/>
      <c r="O259" s="361"/>
      <c r="P259" s="361"/>
      <c r="Q259" s="361"/>
      <c r="R259" s="361"/>
      <c r="S259" s="361"/>
      <c r="T259" s="361"/>
      <c r="U259" s="361"/>
      <c r="V259" s="361"/>
      <c r="W259" s="361"/>
      <c r="X259" s="361"/>
      <c r="Y259" s="361"/>
      <c r="Z259" s="361"/>
    </row>
    <row r="260" ht="22.5" customHeight="1" outlineLevel="1">
      <c r="A260" s="412">
        <v>247332.0</v>
      </c>
      <c r="B260" s="415" t="s">
        <v>281</v>
      </c>
      <c r="C260" s="394">
        <v>45765.0</v>
      </c>
      <c r="D260" s="412" t="s">
        <v>849</v>
      </c>
      <c r="E260" s="414" t="s">
        <v>1838</v>
      </c>
      <c r="F260" s="414" t="s">
        <v>1543</v>
      </c>
      <c r="G260" s="414" t="s">
        <v>1595</v>
      </c>
      <c r="H260" s="414" t="s">
        <v>1798</v>
      </c>
      <c r="I260" s="397"/>
      <c r="J260" s="392">
        <f t="shared" si="33"/>
        <v>1</v>
      </c>
      <c r="K260" s="361"/>
      <c r="L260" s="361"/>
      <c r="M260" s="361"/>
      <c r="N260" s="361"/>
      <c r="O260" s="361"/>
      <c r="P260" s="361"/>
      <c r="Q260" s="361"/>
      <c r="R260" s="361"/>
      <c r="S260" s="361"/>
      <c r="T260" s="361"/>
      <c r="U260" s="361"/>
      <c r="V260" s="361"/>
      <c r="W260" s="361"/>
      <c r="X260" s="361"/>
      <c r="Y260" s="361"/>
      <c r="Z260" s="361"/>
    </row>
    <row r="261" ht="22.5" customHeight="1" outlineLevel="1">
      <c r="A261" s="412">
        <v>213835.0</v>
      </c>
      <c r="B261" s="415" t="s">
        <v>275</v>
      </c>
      <c r="C261" s="394">
        <v>45765.0</v>
      </c>
      <c r="D261" s="412" t="s">
        <v>849</v>
      </c>
      <c r="E261" s="414" t="s">
        <v>1838</v>
      </c>
      <c r="F261" s="414" t="s">
        <v>1933</v>
      </c>
      <c r="G261" s="414" t="s">
        <v>1838</v>
      </c>
      <c r="H261" s="414" t="s">
        <v>1934</v>
      </c>
      <c r="I261" s="397"/>
      <c r="J261" s="392">
        <f t="shared" si="33"/>
        <v>1</v>
      </c>
      <c r="K261" s="361"/>
      <c r="L261" s="361"/>
      <c r="M261" s="361"/>
      <c r="N261" s="361"/>
      <c r="O261" s="361"/>
      <c r="P261" s="361"/>
      <c r="Q261" s="361"/>
      <c r="R261" s="361"/>
      <c r="S261" s="361"/>
      <c r="T261" s="361"/>
      <c r="U261" s="361"/>
      <c r="V261" s="361"/>
      <c r="W261" s="361"/>
      <c r="X261" s="361"/>
      <c r="Y261" s="361"/>
      <c r="Z261" s="361"/>
    </row>
    <row r="262" ht="22.5" customHeight="1" outlineLevel="1">
      <c r="A262" s="412">
        <v>247097.0</v>
      </c>
      <c r="B262" s="415" t="s">
        <v>285</v>
      </c>
      <c r="C262" s="394">
        <v>45765.0</v>
      </c>
      <c r="D262" s="412" t="s">
        <v>849</v>
      </c>
      <c r="E262" s="414" t="s">
        <v>1838</v>
      </c>
      <c r="F262" s="414" t="s">
        <v>1543</v>
      </c>
      <c r="G262" s="414" t="s">
        <v>1838</v>
      </c>
      <c r="H262" s="414" t="s">
        <v>1798</v>
      </c>
      <c r="I262" s="397"/>
      <c r="J262" s="392">
        <f t="shared" si="33"/>
        <v>1</v>
      </c>
      <c r="K262" s="361"/>
      <c r="L262" s="361"/>
      <c r="M262" s="361"/>
      <c r="N262" s="361"/>
      <c r="O262" s="361"/>
      <c r="P262" s="361"/>
      <c r="Q262" s="361"/>
      <c r="R262" s="361"/>
      <c r="S262" s="361"/>
      <c r="T262" s="361"/>
      <c r="U262" s="361"/>
      <c r="V262" s="361"/>
      <c r="W262" s="361"/>
      <c r="X262" s="361"/>
      <c r="Y262" s="361"/>
      <c r="Z262" s="361"/>
    </row>
    <row r="263" ht="22.5" customHeight="1" outlineLevel="1">
      <c r="A263" s="412">
        <v>227081.0</v>
      </c>
      <c r="B263" s="415" t="s">
        <v>279</v>
      </c>
      <c r="C263" s="394">
        <v>45765.0</v>
      </c>
      <c r="D263" s="412" t="s">
        <v>849</v>
      </c>
      <c r="E263" s="414" t="s">
        <v>1838</v>
      </c>
      <c r="F263" s="414" t="s">
        <v>1930</v>
      </c>
      <c r="G263" s="414" t="s">
        <v>1660</v>
      </c>
      <c r="H263" s="414" t="s">
        <v>1919</v>
      </c>
      <c r="I263" s="397"/>
      <c r="J263" s="392">
        <f t="shared" si="33"/>
        <v>1</v>
      </c>
      <c r="K263" s="361"/>
      <c r="L263" s="361"/>
      <c r="M263" s="361"/>
      <c r="N263" s="361"/>
      <c r="O263" s="361"/>
      <c r="P263" s="361"/>
      <c r="Q263" s="361"/>
      <c r="R263" s="361"/>
      <c r="S263" s="361"/>
      <c r="T263" s="361"/>
      <c r="U263" s="361"/>
      <c r="V263" s="361"/>
      <c r="W263" s="361"/>
      <c r="X263" s="361"/>
      <c r="Y263" s="361"/>
      <c r="Z263" s="361"/>
    </row>
    <row r="264" ht="22.5" customHeight="1" outlineLevel="1">
      <c r="A264" s="412">
        <v>193613.0</v>
      </c>
      <c r="B264" s="415" t="s">
        <v>283</v>
      </c>
      <c r="C264" s="394">
        <v>45765.0</v>
      </c>
      <c r="D264" s="412" t="s">
        <v>849</v>
      </c>
      <c r="E264" s="414" t="s">
        <v>1838</v>
      </c>
      <c r="F264" s="414" t="s">
        <v>1355</v>
      </c>
      <c r="G264" s="414" t="s">
        <v>1935</v>
      </c>
      <c r="H264" s="414" t="s">
        <v>1798</v>
      </c>
      <c r="I264" s="397"/>
      <c r="J264" s="392">
        <f t="shared" si="33"/>
        <v>1</v>
      </c>
      <c r="K264" s="361"/>
      <c r="L264" s="361"/>
      <c r="M264" s="361"/>
      <c r="N264" s="361"/>
      <c r="O264" s="361"/>
      <c r="P264" s="361"/>
      <c r="Q264" s="361"/>
      <c r="R264" s="361"/>
      <c r="S264" s="361"/>
      <c r="T264" s="361"/>
      <c r="U264" s="361"/>
      <c r="V264" s="361"/>
      <c r="W264" s="361"/>
      <c r="X264" s="361"/>
      <c r="Y264" s="361"/>
      <c r="Z264" s="361"/>
    </row>
    <row r="265" ht="15.75" customHeight="1" outlineLevel="1">
      <c r="A265" s="417"/>
      <c r="C265" s="418"/>
      <c r="D265" s="419"/>
      <c r="E265" s="419"/>
      <c r="F265" s="419"/>
      <c r="G265" s="419"/>
      <c r="H265" s="419"/>
      <c r="I265" s="420">
        <f>counta(A266:A273)</f>
        <v>7</v>
      </c>
      <c r="J265" s="419"/>
      <c r="K265" s="421"/>
      <c r="L265" s="421"/>
      <c r="M265" s="421"/>
      <c r="N265" s="421"/>
      <c r="O265" s="421"/>
      <c r="P265" s="421"/>
      <c r="Q265" s="421"/>
      <c r="R265" s="421"/>
      <c r="S265" s="421"/>
      <c r="T265" s="421"/>
      <c r="U265" s="421"/>
      <c r="V265" s="421"/>
      <c r="W265" s="421"/>
      <c r="X265" s="421"/>
      <c r="Y265" s="421"/>
      <c r="Z265" s="421"/>
    </row>
    <row r="266" ht="22.5" customHeight="1" outlineLevel="1">
      <c r="A266" s="412">
        <v>213876.0</v>
      </c>
      <c r="B266" s="415" t="s">
        <v>217</v>
      </c>
      <c r="C266" s="394">
        <v>45761.0</v>
      </c>
      <c r="D266" s="412" t="s">
        <v>849</v>
      </c>
      <c r="E266" s="414" t="s">
        <v>1936</v>
      </c>
      <c r="F266" s="414" t="s">
        <v>1937</v>
      </c>
      <c r="G266" s="414" t="s">
        <v>1932</v>
      </c>
      <c r="H266" s="414" t="s">
        <v>1938</v>
      </c>
      <c r="I266" s="397"/>
      <c r="J266" s="392">
        <f t="shared" ref="J266:J270" si="34">countif(A$6:A266,A266)</f>
        <v>1</v>
      </c>
      <c r="K266" s="361"/>
      <c r="L266" s="361"/>
      <c r="M266" s="361"/>
      <c r="N266" s="361"/>
      <c r="O266" s="361"/>
      <c r="P266" s="361"/>
      <c r="Q266" s="361"/>
      <c r="R266" s="361"/>
      <c r="S266" s="361"/>
      <c r="T266" s="361"/>
      <c r="U266" s="361"/>
      <c r="V266" s="361"/>
      <c r="W266" s="361"/>
      <c r="X266" s="361"/>
      <c r="Y266" s="361"/>
      <c r="Z266" s="361"/>
    </row>
    <row r="267" ht="22.5" customHeight="1" outlineLevel="1">
      <c r="A267" s="412">
        <v>247225.0</v>
      </c>
      <c r="B267" s="415" t="s">
        <v>213</v>
      </c>
      <c r="C267" s="394">
        <v>45761.0</v>
      </c>
      <c r="D267" s="412" t="s">
        <v>849</v>
      </c>
      <c r="E267" s="414" t="s">
        <v>1939</v>
      </c>
      <c r="F267" s="414" t="s">
        <v>1435</v>
      </c>
      <c r="G267" s="414" t="s">
        <v>1932</v>
      </c>
      <c r="H267" s="414" t="s">
        <v>1938</v>
      </c>
      <c r="I267" s="397"/>
      <c r="J267" s="392">
        <f t="shared" si="34"/>
        <v>1</v>
      </c>
      <c r="K267" s="361"/>
      <c r="L267" s="361"/>
      <c r="M267" s="361"/>
      <c r="N267" s="361"/>
      <c r="O267" s="361"/>
      <c r="P267" s="361"/>
      <c r="Q267" s="361"/>
      <c r="R267" s="361"/>
      <c r="S267" s="361"/>
      <c r="T267" s="361"/>
      <c r="U267" s="361"/>
      <c r="V267" s="361"/>
      <c r="W267" s="361"/>
      <c r="X267" s="361"/>
      <c r="Y267" s="361"/>
      <c r="Z267" s="361"/>
    </row>
    <row r="268" ht="22.5" customHeight="1" outlineLevel="1">
      <c r="A268" s="412">
        <v>203765.0</v>
      </c>
      <c r="B268" s="415" t="s">
        <v>211</v>
      </c>
      <c r="C268" s="394">
        <v>45761.0</v>
      </c>
      <c r="D268" s="412" t="s">
        <v>849</v>
      </c>
      <c r="E268" s="414" t="s">
        <v>1838</v>
      </c>
      <c r="F268" s="414" t="s">
        <v>1355</v>
      </c>
      <c r="G268" s="414" t="s">
        <v>1940</v>
      </c>
      <c r="H268" s="414" t="s">
        <v>1938</v>
      </c>
      <c r="I268" s="397"/>
      <c r="J268" s="392">
        <f t="shared" si="34"/>
        <v>1</v>
      </c>
      <c r="K268" s="361"/>
      <c r="L268" s="361"/>
      <c r="M268" s="361"/>
      <c r="N268" s="361"/>
      <c r="O268" s="361"/>
      <c r="P268" s="361"/>
      <c r="Q268" s="361"/>
      <c r="R268" s="361"/>
      <c r="S268" s="361"/>
      <c r="T268" s="361"/>
      <c r="U268" s="361"/>
      <c r="V268" s="361"/>
      <c r="W268" s="361"/>
      <c r="X268" s="361"/>
      <c r="Y268" s="361"/>
      <c r="Z268" s="361"/>
    </row>
    <row r="269" ht="22.5" customHeight="1" outlineLevel="1">
      <c r="A269" s="412">
        <v>247245.0</v>
      </c>
      <c r="B269" s="415" t="s">
        <v>219</v>
      </c>
      <c r="C269" s="394">
        <v>45761.0</v>
      </c>
      <c r="D269" s="412" t="s">
        <v>849</v>
      </c>
      <c r="E269" s="414" t="s">
        <v>1936</v>
      </c>
      <c r="F269" s="414" t="s">
        <v>1937</v>
      </c>
      <c r="G269" s="414" t="s">
        <v>1932</v>
      </c>
      <c r="H269" s="414" t="s">
        <v>1941</v>
      </c>
      <c r="I269" s="397"/>
      <c r="J269" s="392">
        <f t="shared" si="34"/>
        <v>1</v>
      </c>
      <c r="K269" s="361"/>
      <c r="L269" s="361"/>
      <c r="M269" s="361"/>
      <c r="N269" s="361"/>
      <c r="O269" s="361"/>
      <c r="P269" s="361"/>
      <c r="Q269" s="361"/>
      <c r="R269" s="361"/>
      <c r="S269" s="361"/>
      <c r="T269" s="361"/>
      <c r="U269" s="361"/>
      <c r="V269" s="361"/>
      <c r="W269" s="361"/>
      <c r="X269" s="361"/>
      <c r="Y269" s="361"/>
      <c r="Z269" s="361"/>
    </row>
    <row r="270" ht="22.5" customHeight="1" outlineLevel="1">
      <c r="A270" s="412">
        <v>213947.0</v>
      </c>
      <c r="B270" s="415" t="s">
        <v>215</v>
      </c>
      <c r="C270" s="394">
        <v>45761.0</v>
      </c>
      <c r="D270" s="412" t="s">
        <v>849</v>
      </c>
      <c r="E270" s="414" t="s">
        <v>1942</v>
      </c>
      <c r="F270" s="414" t="s">
        <v>1943</v>
      </c>
      <c r="G270" s="414" t="s">
        <v>1932</v>
      </c>
      <c r="H270" s="414" t="s">
        <v>1944</v>
      </c>
      <c r="I270" s="397"/>
      <c r="J270" s="392">
        <f t="shared" si="34"/>
        <v>1</v>
      </c>
      <c r="K270" s="361"/>
      <c r="L270" s="361"/>
      <c r="M270" s="361"/>
      <c r="N270" s="361"/>
      <c r="O270" s="361"/>
      <c r="P270" s="361"/>
      <c r="Q270" s="361"/>
      <c r="R270" s="361"/>
      <c r="S270" s="361"/>
      <c r="T270" s="361"/>
      <c r="U270" s="361"/>
      <c r="V270" s="361"/>
      <c r="W270" s="361"/>
      <c r="X270" s="361"/>
      <c r="Y270" s="361"/>
      <c r="Z270" s="361"/>
    </row>
    <row r="271" ht="15.75" customHeight="1" outlineLevel="1">
      <c r="A271" s="419"/>
      <c r="C271" s="418"/>
      <c r="D271" s="419"/>
      <c r="E271" s="419"/>
      <c r="F271" s="419"/>
      <c r="G271" s="419"/>
      <c r="H271" s="419"/>
      <c r="I271" s="420">
        <f>counta(A272:A279)</f>
        <v>8</v>
      </c>
      <c r="J271" s="419"/>
      <c r="K271" s="421"/>
      <c r="L271" s="421"/>
      <c r="M271" s="421"/>
      <c r="N271" s="421"/>
      <c r="O271" s="421"/>
      <c r="P271" s="421"/>
      <c r="Q271" s="421"/>
      <c r="R271" s="421"/>
      <c r="S271" s="421"/>
      <c r="T271" s="421"/>
      <c r="U271" s="421"/>
      <c r="V271" s="421"/>
      <c r="W271" s="421"/>
      <c r="X271" s="421"/>
      <c r="Y271" s="421"/>
      <c r="Z271" s="421"/>
    </row>
    <row r="272" ht="22.5" customHeight="1" outlineLevel="1">
      <c r="A272" s="412">
        <v>227144.0</v>
      </c>
      <c r="B272" s="415" t="s">
        <v>432</v>
      </c>
      <c r="C272" s="394">
        <v>45763.0</v>
      </c>
      <c r="D272" s="412" t="s">
        <v>849</v>
      </c>
      <c r="E272" s="414" t="s">
        <v>1838</v>
      </c>
      <c r="F272" s="414" t="s">
        <v>1930</v>
      </c>
      <c r="G272" s="414" t="s">
        <v>1945</v>
      </c>
      <c r="H272" s="414" t="s">
        <v>1569</v>
      </c>
      <c r="I272" s="397"/>
      <c r="J272" s="392">
        <f t="shared" ref="J272:J279" si="35">countif(A$6:A272,A272)</f>
        <v>1</v>
      </c>
      <c r="K272" s="361"/>
      <c r="L272" s="361"/>
      <c r="M272" s="361"/>
      <c r="N272" s="361"/>
      <c r="O272" s="361"/>
      <c r="P272" s="361"/>
      <c r="Q272" s="361"/>
      <c r="R272" s="361"/>
      <c r="S272" s="361"/>
      <c r="T272" s="361"/>
      <c r="U272" s="361"/>
      <c r="V272" s="361"/>
      <c r="W272" s="361"/>
      <c r="X272" s="361"/>
      <c r="Y272" s="361"/>
      <c r="Z272" s="361"/>
    </row>
    <row r="273" ht="22.5" customHeight="1" outlineLevel="1">
      <c r="A273" s="412">
        <v>237246.0</v>
      </c>
      <c r="B273" s="415" t="s">
        <v>430</v>
      </c>
      <c r="C273" s="394">
        <v>45763.0</v>
      </c>
      <c r="D273" s="412" t="s">
        <v>849</v>
      </c>
      <c r="E273" s="414" t="s">
        <v>1838</v>
      </c>
      <c r="F273" s="414" t="s">
        <v>1933</v>
      </c>
      <c r="G273" s="414" t="s">
        <v>1945</v>
      </c>
      <c r="H273" s="414" t="s">
        <v>1946</v>
      </c>
      <c r="I273" s="397"/>
      <c r="J273" s="392">
        <f t="shared" si="35"/>
        <v>1</v>
      </c>
      <c r="K273" s="422"/>
      <c r="L273" s="361"/>
      <c r="M273" s="361"/>
      <c r="N273" s="361"/>
      <c r="O273" s="361"/>
      <c r="P273" s="361"/>
      <c r="Q273" s="361"/>
      <c r="R273" s="361"/>
      <c r="S273" s="361"/>
      <c r="T273" s="361"/>
      <c r="U273" s="361"/>
      <c r="V273" s="361"/>
      <c r="W273" s="361"/>
      <c r="X273" s="361"/>
      <c r="Y273" s="361"/>
      <c r="Z273" s="361"/>
    </row>
    <row r="274" ht="22.5" customHeight="1" outlineLevel="1">
      <c r="A274" s="412">
        <v>247359.0</v>
      </c>
      <c r="B274" s="415" t="s">
        <v>420</v>
      </c>
      <c r="C274" s="394">
        <v>45763.0</v>
      </c>
      <c r="D274" s="412" t="s">
        <v>845</v>
      </c>
      <c r="E274" s="414" t="s">
        <v>1947</v>
      </c>
      <c r="F274" s="414" t="s">
        <v>1933</v>
      </c>
      <c r="G274" s="414" t="s">
        <v>1948</v>
      </c>
      <c r="H274" s="414" t="s">
        <v>1946</v>
      </c>
      <c r="I274" s="397"/>
      <c r="J274" s="392">
        <f t="shared" si="35"/>
        <v>1</v>
      </c>
      <c r="K274" s="361"/>
      <c r="L274" s="361"/>
      <c r="M274" s="361"/>
      <c r="N274" s="361"/>
      <c r="O274" s="361"/>
      <c r="P274" s="361"/>
      <c r="Q274" s="361"/>
      <c r="R274" s="361"/>
      <c r="S274" s="361"/>
      <c r="T274" s="361"/>
      <c r="U274" s="361"/>
      <c r="V274" s="361"/>
      <c r="W274" s="361"/>
      <c r="X274" s="361"/>
      <c r="Y274" s="361"/>
      <c r="Z274" s="361"/>
    </row>
    <row r="275" ht="22.5" customHeight="1" outlineLevel="1">
      <c r="A275" s="412">
        <v>227188.0</v>
      </c>
      <c r="B275" s="415" t="s">
        <v>330</v>
      </c>
      <c r="C275" s="394">
        <v>45763.0</v>
      </c>
      <c r="D275" s="412" t="s">
        <v>849</v>
      </c>
      <c r="E275" s="414" t="s">
        <v>1838</v>
      </c>
      <c r="F275" s="414" t="s">
        <v>1933</v>
      </c>
      <c r="G275" s="414" t="s">
        <v>1945</v>
      </c>
      <c r="H275" s="414" t="s">
        <v>1761</v>
      </c>
      <c r="I275" s="397"/>
      <c r="J275" s="392">
        <f t="shared" si="35"/>
        <v>1</v>
      </c>
      <c r="K275" s="361"/>
      <c r="L275" s="361"/>
      <c r="M275" s="361"/>
      <c r="N275" s="361"/>
      <c r="O275" s="361"/>
      <c r="P275" s="361"/>
      <c r="Q275" s="361"/>
      <c r="R275" s="361"/>
      <c r="S275" s="361"/>
      <c r="T275" s="361"/>
      <c r="U275" s="361"/>
      <c r="V275" s="361"/>
      <c r="W275" s="361"/>
      <c r="X275" s="361"/>
      <c r="Y275" s="361"/>
      <c r="Z275" s="361"/>
    </row>
    <row r="276" ht="22.5" customHeight="1" outlineLevel="1">
      <c r="A276" s="412">
        <v>227069.0</v>
      </c>
      <c r="B276" s="415" t="s">
        <v>428</v>
      </c>
      <c r="C276" s="394">
        <v>45763.0</v>
      </c>
      <c r="D276" s="412" t="s">
        <v>849</v>
      </c>
      <c r="E276" s="414" t="s">
        <v>1838</v>
      </c>
      <c r="F276" s="414" t="s">
        <v>1933</v>
      </c>
      <c r="G276" s="414" t="s">
        <v>1945</v>
      </c>
      <c r="H276" s="414" t="s">
        <v>1946</v>
      </c>
      <c r="I276" s="397"/>
      <c r="J276" s="392">
        <f t="shared" si="35"/>
        <v>1</v>
      </c>
      <c r="K276" s="361"/>
      <c r="L276" s="361"/>
      <c r="M276" s="361"/>
      <c r="N276" s="361"/>
      <c r="O276" s="361"/>
      <c r="P276" s="361"/>
      <c r="Q276" s="361"/>
      <c r="R276" s="361"/>
      <c r="S276" s="361"/>
      <c r="T276" s="361"/>
      <c r="U276" s="361"/>
      <c r="V276" s="361"/>
      <c r="W276" s="361"/>
      <c r="X276" s="361"/>
      <c r="Y276" s="361"/>
      <c r="Z276" s="361"/>
    </row>
    <row r="277" ht="22.5" customHeight="1" outlineLevel="1">
      <c r="A277" s="412">
        <v>237061.0</v>
      </c>
      <c r="B277" s="415" t="s">
        <v>323</v>
      </c>
      <c r="C277" s="394">
        <v>45763.0</v>
      </c>
      <c r="D277" s="412" t="s">
        <v>849</v>
      </c>
      <c r="E277" s="414" t="s">
        <v>1838</v>
      </c>
      <c r="F277" s="414" t="s">
        <v>1933</v>
      </c>
      <c r="G277" s="414" t="s">
        <v>1945</v>
      </c>
      <c r="H277" s="414" t="s">
        <v>1798</v>
      </c>
      <c r="I277" s="397"/>
      <c r="J277" s="392">
        <f t="shared" si="35"/>
        <v>1</v>
      </c>
      <c r="K277" s="361"/>
      <c r="L277" s="361"/>
      <c r="M277" s="361"/>
      <c r="N277" s="361"/>
      <c r="O277" s="361"/>
      <c r="P277" s="361"/>
      <c r="Q277" s="361"/>
      <c r="R277" s="361"/>
      <c r="S277" s="361"/>
      <c r="T277" s="361"/>
      <c r="U277" s="361"/>
      <c r="V277" s="361"/>
      <c r="W277" s="361"/>
      <c r="X277" s="361"/>
      <c r="Y277" s="361"/>
      <c r="Z277" s="361"/>
    </row>
    <row r="278" ht="22.5" customHeight="1" outlineLevel="1">
      <c r="A278" s="412">
        <v>237245.0</v>
      </c>
      <c r="B278" s="415" t="s">
        <v>327</v>
      </c>
      <c r="C278" s="394">
        <v>45763.0</v>
      </c>
      <c r="D278" s="412" t="s">
        <v>849</v>
      </c>
      <c r="E278" s="414" t="s">
        <v>1838</v>
      </c>
      <c r="F278" s="414" t="s">
        <v>1933</v>
      </c>
      <c r="G278" s="414" t="s">
        <v>1945</v>
      </c>
      <c r="H278" s="414" t="s">
        <v>1761</v>
      </c>
      <c r="I278" s="397"/>
      <c r="J278" s="392">
        <f t="shared" si="35"/>
        <v>1</v>
      </c>
      <c r="K278" s="361"/>
      <c r="L278" s="361"/>
      <c r="M278" s="361"/>
      <c r="N278" s="361"/>
      <c r="O278" s="361"/>
      <c r="P278" s="361"/>
      <c r="Q278" s="361"/>
      <c r="R278" s="361"/>
      <c r="S278" s="361"/>
      <c r="T278" s="361"/>
      <c r="U278" s="361"/>
      <c r="V278" s="361"/>
      <c r="W278" s="361"/>
      <c r="X278" s="361"/>
      <c r="Y278" s="361"/>
      <c r="Z278" s="361"/>
    </row>
    <row r="279" ht="22.5" customHeight="1" outlineLevel="1">
      <c r="A279" s="412">
        <v>227008.0</v>
      </c>
      <c r="B279" s="415" t="s">
        <v>426</v>
      </c>
      <c r="C279" s="394">
        <v>45763.0</v>
      </c>
      <c r="D279" s="412" t="s">
        <v>849</v>
      </c>
      <c r="E279" s="414" t="s">
        <v>1838</v>
      </c>
      <c r="F279" s="414" t="s">
        <v>1930</v>
      </c>
      <c r="G279" s="414" t="s">
        <v>1945</v>
      </c>
      <c r="H279" s="414" t="s">
        <v>1569</v>
      </c>
      <c r="I279" s="397"/>
      <c r="J279" s="392">
        <f t="shared" si="35"/>
        <v>1</v>
      </c>
      <c r="K279" s="361"/>
      <c r="L279" s="361"/>
      <c r="M279" s="361"/>
      <c r="N279" s="361"/>
      <c r="O279" s="361"/>
      <c r="P279" s="361"/>
      <c r="Q279" s="361"/>
      <c r="R279" s="361"/>
      <c r="S279" s="361"/>
      <c r="T279" s="361"/>
      <c r="U279" s="361"/>
      <c r="V279" s="361"/>
      <c r="W279" s="361"/>
      <c r="X279" s="361"/>
      <c r="Y279" s="361"/>
      <c r="Z279" s="361"/>
    </row>
    <row r="280" ht="15.75" customHeight="1" outlineLevel="1">
      <c r="A280" s="419"/>
      <c r="C280" s="418"/>
      <c r="D280" s="419"/>
      <c r="E280" s="419"/>
      <c r="F280" s="419"/>
      <c r="G280" s="419"/>
      <c r="H280" s="419"/>
      <c r="I280" s="420">
        <f>counta(A281:A288)</f>
        <v>7</v>
      </c>
      <c r="J280" s="419"/>
      <c r="K280" s="421"/>
      <c r="L280" s="421"/>
      <c r="M280" s="421"/>
      <c r="N280" s="421"/>
      <c r="O280" s="421"/>
      <c r="P280" s="421"/>
      <c r="Q280" s="421"/>
      <c r="R280" s="421"/>
      <c r="S280" s="421"/>
      <c r="T280" s="421"/>
      <c r="U280" s="421"/>
      <c r="V280" s="421"/>
      <c r="W280" s="421"/>
      <c r="X280" s="421"/>
      <c r="Y280" s="421"/>
      <c r="Z280" s="421"/>
    </row>
    <row r="281" ht="22.5" customHeight="1" outlineLevel="1">
      <c r="A281" s="412">
        <v>193526.0</v>
      </c>
      <c r="B281" s="415" t="s">
        <v>295</v>
      </c>
      <c r="C281" s="394">
        <v>45813.0</v>
      </c>
      <c r="D281" s="395" t="s">
        <v>1901</v>
      </c>
      <c r="E281" s="396"/>
      <c r="F281" s="396"/>
      <c r="G281" s="396"/>
      <c r="H281" s="396"/>
      <c r="I281" s="397"/>
      <c r="J281" s="392">
        <f t="shared" ref="J281:J286" si="36">countif(A$6:A281,A281)</f>
        <v>1</v>
      </c>
      <c r="K281" s="361"/>
      <c r="L281" s="361"/>
      <c r="M281" s="361"/>
      <c r="N281" s="361"/>
      <c r="O281" s="361"/>
      <c r="P281" s="361"/>
      <c r="Q281" s="361"/>
      <c r="R281" s="361"/>
      <c r="S281" s="361"/>
      <c r="T281" s="361"/>
      <c r="U281" s="361"/>
      <c r="V281" s="361"/>
      <c r="W281" s="361"/>
      <c r="X281" s="361"/>
      <c r="Y281" s="361"/>
      <c r="Z281" s="361"/>
    </row>
    <row r="282" ht="22.5" customHeight="1" outlineLevel="1">
      <c r="A282" s="412">
        <v>203780.0</v>
      </c>
      <c r="B282" s="415" t="s">
        <v>291</v>
      </c>
      <c r="C282" s="394">
        <v>45813.0</v>
      </c>
      <c r="D282" s="395" t="s">
        <v>1901</v>
      </c>
      <c r="E282" s="396"/>
      <c r="F282" s="396"/>
      <c r="G282" s="396"/>
      <c r="H282" s="396"/>
      <c r="I282" s="397"/>
      <c r="J282" s="392">
        <f t="shared" si="36"/>
        <v>1</v>
      </c>
      <c r="K282" s="361"/>
      <c r="L282" s="361"/>
      <c r="M282" s="361"/>
      <c r="N282" s="361"/>
      <c r="O282" s="361"/>
      <c r="P282" s="361"/>
      <c r="Q282" s="361"/>
      <c r="R282" s="361"/>
      <c r="S282" s="361"/>
      <c r="T282" s="361"/>
      <c r="U282" s="361"/>
      <c r="V282" s="361"/>
      <c r="W282" s="361"/>
      <c r="X282" s="361"/>
      <c r="Y282" s="361"/>
      <c r="Z282" s="361"/>
    </row>
    <row r="283" ht="22.5" customHeight="1" outlineLevel="1">
      <c r="A283" s="412">
        <v>237161.0</v>
      </c>
      <c r="B283" s="415" t="s">
        <v>297</v>
      </c>
      <c r="C283" s="394">
        <v>45813.0</v>
      </c>
      <c r="D283" s="395" t="s">
        <v>1901</v>
      </c>
      <c r="E283" s="396"/>
      <c r="F283" s="396"/>
      <c r="G283" s="396"/>
      <c r="H283" s="396"/>
      <c r="I283" s="397"/>
      <c r="J283" s="392">
        <f t="shared" si="36"/>
        <v>1</v>
      </c>
      <c r="K283" s="361"/>
      <c r="L283" s="361"/>
      <c r="M283" s="361"/>
      <c r="N283" s="361"/>
      <c r="O283" s="361"/>
      <c r="P283" s="361"/>
      <c r="Q283" s="361"/>
      <c r="R283" s="361"/>
      <c r="S283" s="361"/>
      <c r="T283" s="361"/>
      <c r="U283" s="361"/>
      <c r="V283" s="361"/>
      <c r="W283" s="361"/>
      <c r="X283" s="361"/>
      <c r="Y283" s="361"/>
      <c r="Z283" s="361"/>
    </row>
    <row r="284" ht="22.5" customHeight="1" outlineLevel="1">
      <c r="A284" s="412">
        <v>237117.0</v>
      </c>
      <c r="B284" s="415" t="s">
        <v>289</v>
      </c>
      <c r="C284" s="394">
        <v>45813.0</v>
      </c>
      <c r="D284" s="395" t="s">
        <v>1901</v>
      </c>
      <c r="E284" s="396"/>
      <c r="F284" s="396"/>
      <c r="G284" s="396"/>
      <c r="H284" s="396"/>
      <c r="I284" s="397"/>
      <c r="J284" s="392">
        <f t="shared" si="36"/>
        <v>1</v>
      </c>
      <c r="K284" s="361"/>
      <c r="L284" s="361"/>
      <c r="M284" s="361"/>
      <c r="N284" s="361"/>
      <c r="O284" s="361"/>
      <c r="P284" s="361"/>
      <c r="Q284" s="361"/>
      <c r="R284" s="361"/>
      <c r="S284" s="361"/>
      <c r="T284" s="361"/>
      <c r="U284" s="361"/>
      <c r="V284" s="361"/>
      <c r="W284" s="361"/>
      <c r="X284" s="361"/>
      <c r="Y284" s="361"/>
      <c r="Z284" s="361"/>
    </row>
    <row r="285" ht="22.5" customHeight="1" outlineLevel="1">
      <c r="A285" s="412">
        <v>213812.0</v>
      </c>
      <c r="B285" s="415" t="s">
        <v>1949</v>
      </c>
      <c r="C285" s="394">
        <v>45813.0</v>
      </c>
      <c r="D285" s="395" t="s">
        <v>1901</v>
      </c>
      <c r="E285" s="396"/>
      <c r="F285" s="396"/>
      <c r="G285" s="396"/>
      <c r="H285" s="396"/>
      <c r="I285" s="397"/>
      <c r="J285" s="392">
        <f t="shared" si="36"/>
        <v>1</v>
      </c>
      <c r="K285" s="361"/>
      <c r="L285" s="361"/>
      <c r="M285" s="361"/>
      <c r="N285" s="361"/>
      <c r="O285" s="361"/>
      <c r="P285" s="361"/>
      <c r="Q285" s="361"/>
      <c r="R285" s="361"/>
      <c r="S285" s="361"/>
      <c r="T285" s="361"/>
      <c r="U285" s="361"/>
      <c r="V285" s="361"/>
      <c r="W285" s="361"/>
      <c r="X285" s="361"/>
      <c r="Y285" s="361"/>
      <c r="Z285" s="361"/>
    </row>
    <row r="286" ht="22.5" customHeight="1" outlineLevel="1">
      <c r="A286" s="412">
        <v>193523.0</v>
      </c>
      <c r="B286" s="415" t="s">
        <v>293</v>
      </c>
      <c r="C286" s="394">
        <v>45813.0</v>
      </c>
      <c r="D286" s="395" t="s">
        <v>1901</v>
      </c>
      <c r="E286" s="396"/>
      <c r="F286" s="396"/>
      <c r="G286" s="396"/>
      <c r="H286" s="396"/>
      <c r="I286" s="397"/>
      <c r="J286" s="392">
        <f t="shared" si="36"/>
        <v>1</v>
      </c>
      <c r="K286" s="361"/>
      <c r="L286" s="361"/>
      <c r="M286" s="361"/>
      <c r="N286" s="361"/>
      <c r="O286" s="361"/>
      <c r="P286" s="361"/>
      <c r="Q286" s="361"/>
      <c r="R286" s="361"/>
      <c r="S286" s="361"/>
      <c r="T286" s="361"/>
      <c r="U286" s="361"/>
      <c r="V286" s="361"/>
      <c r="W286" s="361"/>
      <c r="X286" s="361"/>
      <c r="Y286" s="361"/>
      <c r="Z286" s="361"/>
    </row>
    <row r="287" ht="15.75" customHeight="1" outlineLevel="1">
      <c r="A287" s="419"/>
      <c r="C287" s="418"/>
      <c r="D287" s="419"/>
      <c r="E287" s="419"/>
      <c r="F287" s="419"/>
      <c r="G287" s="419"/>
      <c r="H287" s="419"/>
      <c r="I287" s="420">
        <f>counta(A288:A295)</f>
        <v>8</v>
      </c>
      <c r="J287" s="419"/>
      <c r="K287" s="421"/>
      <c r="L287" s="421"/>
      <c r="M287" s="421"/>
      <c r="N287" s="421"/>
      <c r="O287" s="421"/>
      <c r="P287" s="421"/>
      <c r="Q287" s="421"/>
      <c r="R287" s="421"/>
      <c r="S287" s="421"/>
      <c r="T287" s="421"/>
      <c r="U287" s="421"/>
      <c r="V287" s="421"/>
      <c r="W287" s="421"/>
      <c r="X287" s="421"/>
      <c r="Y287" s="421"/>
      <c r="Z287" s="421"/>
    </row>
    <row r="288" ht="22.5" customHeight="1" outlineLevel="1">
      <c r="A288" s="412">
        <v>213935.0</v>
      </c>
      <c r="B288" s="415" t="s">
        <v>558</v>
      </c>
      <c r="C288" s="394">
        <v>45805.0</v>
      </c>
      <c r="D288" s="412" t="s">
        <v>26</v>
      </c>
      <c r="E288" s="414" t="s">
        <v>1950</v>
      </c>
      <c r="F288" s="414" t="s">
        <v>1435</v>
      </c>
      <c r="G288" s="414" t="s">
        <v>1669</v>
      </c>
      <c r="H288" s="414" t="s">
        <v>1928</v>
      </c>
      <c r="I288" s="397"/>
      <c r="J288" s="392">
        <f t="shared" ref="J288:J295" si="37">countif(A$6:A288,A288)</f>
        <v>1</v>
      </c>
      <c r="K288" s="361"/>
      <c r="L288" s="361"/>
      <c r="M288" s="361"/>
      <c r="N288" s="361"/>
      <c r="O288" s="361"/>
      <c r="P288" s="361"/>
      <c r="Q288" s="361"/>
      <c r="R288" s="361"/>
      <c r="S288" s="361"/>
      <c r="T288" s="361"/>
      <c r="U288" s="361"/>
      <c r="V288" s="361"/>
      <c r="W288" s="361"/>
      <c r="X288" s="361"/>
      <c r="Y288" s="361"/>
      <c r="Z288" s="361"/>
    </row>
    <row r="289" ht="22.5" customHeight="1" outlineLevel="1">
      <c r="A289" s="412">
        <v>237156.0</v>
      </c>
      <c r="B289" s="415" t="s">
        <v>732</v>
      </c>
      <c r="C289" s="394">
        <v>45805.0</v>
      </c>
      <c r="D289" s="412" t="s">
        <v>26</v>
      </c>
      <c r="E289" s="414" t="s">
        <v>1838</v>
      </c>
      <c r="F289" s="414" t="s">
        <v>1355</v>
      </c>
      <c r="G289" s="414" t="s">
        <v>1838</v>
      </c>
      <c r="H289" s="414" t="s">
        <v>1951</v>
      </c>
      <c r="I289" s="397"/>
      <c r="J289" s="392">
        <f t="shared" si="37"/>
        <v>1</v>
      </c>
      <c r="K289" s="361"/>
      <c r="L289" s="361"/>
      <c r="M289" s="361"/>
      <c r="N289" s="361"/>
      <c r="O289" s="361"/>
      <c r="P289" s="361"/>
      <c r="Q289" s="361"/>
      <c r="R289" s="361"/>
      <c r="S289" s="361"/>
      <c r="T289" s="361"/>
      <c r="U289" s="361"/>
      <c r="V289" s="361"/>
      <c r="W289" s="361"/>
      <c r="X289" s="361"/>
      <c r="Y289" s="361"/>
      <c r="Z289" s="361"/>
    </row>
    <row r="290" ht="22.5" customHeight="1" outlineLevel="1">
      <c r="A290" s="412">
        <v>227063.0</v>
      </c>
      <c r="B290" s="415" t="s">
        <v>560</v>
      </c>
      <c r="C290" s="394">
        <v>45805.0</v>
      </c>
      <c r="D290" s="412" t="s">
        <v>26</v>
      </c>
      <c r="E290" s="414" t="s">
        <v>1838</v>
      </c>
      <c r="F290" s="414" t="s">
        <v>1355</v>
      </c>
      <c r="G290" s="414" t="s">
        <v>1838</v>
      </c>
      <c r="H290" s="414" t="s">
        <v>1952</v>
      </c>
      <c r="I290" s="397"/>
      <c r="J290" s="392">
        <f t="shared" si="37"/>
        <v>1</v>
      </c>
      <c r="K290" s="361"/>
      <c r="L290" s="361"/>
      <c r="M290" s="361"/>
      <c r="N290" s="361"/>
      <c r="O290" s="361"/>
      <c r="P290" s="361"/>
      <c r="Q290" s="361"/>
      <c r="R290" s="361"/>
      <c r="S290" s="361"/>
      <c r="T290" s="361"/>
      <c r="U290" s="361"/>
      <c r="V290" s="361"/>
      <c r="W290" s="361"/>
      <c r="X290" s="361"/>
      <c r="Y290" s="361"/>
      <c r="Z290" s="361"/>
    </row>
    <row r="291" ht="22.5" customHeight="1" outlineLevel="1">
      <c r="A291" s="412">
        <v>213881.0</v>
      </c>
      <c r="B291" s="415" t="s">
        <v>383</v>
      </c>
      <c r="C291" s="394">
        <v>45805.0</v>
      </c>
      <c r="D291" s="412" t="s">
        <v>26</v>
      </c>
      <c r="E291" s="414" t="s">
        <v>1953</v>
      </c>
      <c r="F291" s="414" t="s">
        <v>1435</v>
      </c>
      <c r="G291" s="414" t="s">
        <v>1838</v>
      </c>
      <c r="H291" s="414" t="s">
        <v>1951</v>
      </c>
      <c r="I291" s="397"/>
      <c r="J291" s="392">
        <f t="shared" si="37"/>
        <v>1</v>
      </c>
      <c r="K291" s="361"/>
      <c r="L291" s="361"/>
      <c r="M291" s="361"/>
      <c r="N291" s="361"/>
      <c r="O291" s="361"/>
      <c r="P291" s="361"/>
      <c r="Q291" s="361"/>
      <c r="R291" s="361"/>
      <c r="S291" s="361"/>
      <c r="T291" s="361"/>
      <c r="U291" s="361"/>
      <c r="V291" s="361"/>
      <c r="W291" s="361"/>
      <c r="X291" s="361"/>
      <c r="Y291" s="361"/>
      <c r="Z291" s="361"/>
    </row>
    <row r="292" ht="22.5" customHeight="1" outlineLevel="1">
      <c r="A292" s="412">
        <v>247098.0</v>
      </c>
      <c r="B292" s="415" t="s">
        <v>730</v>
      </c>
      <c r="C292" s="394">
        <v>45805.0</v>
      </c>
      <c r="D292" s="412" t="s">
        <v>849</v>
      </c>
      <c r="E292" s="414" t="s">
        <v>1838</v>
      </c>
      <c r="F292" s="414" t="s">
        <v>1355</v>
      </c>
      <c r="G292" s="414" t="s">
        <v>1838</v>
      </c>
      <c r="H292" s="414" t="s">
        <v>1954</v>
      </c>
      <c r="I292" s="397"/>
      <c r="J292" s="392">
        <f t="shared" si="37"/>
        <v>1</v>
      </c>
      <c r="K292" s="361"/>
      <c r="L292" s="361"/>
      <c r="M292" s="361"/>
      <c r="N292" s="361"/>
      <c r="O292" s="361"/>
      <c r="P292" s="361"/>
      <c r="Q292" s="361"/>
      <c r="R292" s="361"/>
      <c r="S292" s="361"/>
      <c r="T292" s="361"/>
      <c r="U292" s="361"/>
      <c r="V292" s="361"/>
      <c r="W292" s="361"/>
      <c r="X292" s="361"/>
      <c r="Y292" s="361"/>
      <c r="Z292" s="361"/>
    </row>
    <row r="293" ht="22.5" customHeight="1" outlineLevel="1">
      <c r="A293" s="412">
        <v>247119.0</v>
      </c>
      <c r="B293" s="415" t="s">
        <v>724</v>
      </c>
      <c r="C293" s="394">
        <v>45805.0</v>
      </c>
      <c r="D293" s="412" t="s">
        <v>849</v>
      </c>
      <c r="E293" s="414" t="s">
        <v>1838</v>
      </c>
      <c r="F293" s="414" t="s">
        <v>1923</v>
      </c>
      <c r="G293" s="414" t="s">
        <v>1838</v>
      </c>
      <c r="H293" s="414" t="s">
        <v>1761</v>
      </c>
      <c r="I293" s="397"/>
      <c r="J293" s="392">
        <f t="shared" si="37"/>
        <v>1</v>
      </c>
      <c r="K293" s="361"/>
      <c r="L293" s="361"/>
      <c r="M293" s="361"/>
      <c r="N293" s="361"/>
      <c r="O293" s="361"/>
      <c r="P293" s="361"/>
      <c r="Q293" s="361"/>
      <c r="R293" s="361"/>
      <c r="S293" s="361"/>
      <c r="T293" s="361"/>
      <c r="U293" s="361"/>
      <c r="V293" s="361"/>
      <c r="W293" s="361"/>
      <c r="X293" s="361"/>
      <c r="Y293" s="361"/>
      <c r="Z293" s="361"/>
    </row>
    <row r="294" ht="22.5" customHeight="1" outlineLevel="1">
      <c r="A294" s="412">
        <v>213886.0</v>
      </c>
      <c r="B294" s="415" t="s">
        <v>1955</v>
      </c>
      <c r="C294" s="394">
        <v>45805.0</v>
      </c>
      <c r="D294" s="412" t="s">
        <v>26</v>
      </c>
      <c r="E294" s="414" t="s">
        <v>1838</v>
      </c>
      <c r="F294" s="414" t="s">
        <v>1355</v>
      </c>
      <c r="G294" s="414" t="s">
        <v>1838</v>
      </c>
      <c r="H294" s="414" t="s">
        <v>1953</v>
      </c>
      <c r="I294" s="397"/>
      <c r="J294" s="392">
        <f t="shared" si="37"/>
        <v>1</v>
      </c>
      <c r="K294" s="361"/>
      <c r="L294" s="361"/>
      <c r="M294" s="361"/>
      <c r="N294" s="361"/>
      <c r="O294" s="361"/>
      <c r="P294" s="361"/>
      <c r="Q294" s="361"/>
      <c r="R294" s="361"/>
      <c r="S294" s="361"/>
      <c r="T294" s="361"/>
      <c r="U294" s="361"/>
      <c r="V294" s="361"/>
      <c r="W294" s="361"/>
      <c r="X294" s="361"/>
      <c r="Y294" s="361"/>
      <c r="Z294" s="361"/>
    </row>
    <row r="295" ht="22.5" customHeight="1" outlineLevel="1">
      <c r="A295" s="412">
        <v>203764.0</v>
      </c>
      <c r="B295" s="415" t="s">
        <v>726</v>
      </c>
      <c r="C295" s="394">
        <v>45805.0</v>
      </c>
      <c r="D295" s="412" t="s">
        <v>849</v>
      </c>
      <c r="E295" s="414" t="s">
        <v>1838</v>
      </c>
      <c r="F295" s="414" t="s">
        <v>1923</v>
      </c>
      <c r="G295" s="414" t="s">
        <v>1956</v>
      </c>
      <c r="H295" s="414" t="s">
        <v>1954</v>
      </c>
      <c r="I295" s="397"/>
      <c r="J295" s="392">
        <f t="shared" si="37"/>
        <v>1</v>
      </c>
      <c r="K295" s="361"/>
      <c r="L295" s="361"/>
      <c r="M295" s="361"/>
      <c r="N295" s="361"/>
      <c r="O295" s="361"/>
      <c r="P295" s="361"/>
      <c r="Q295" s="361"/>
      <c r="R295" s="361"/>
      <c r="S295" s="361"/>
      <c r="T295" s="361"/>
      <c r="U295" s="361"/>
      <c r="V295" s="361"/>
      <c r="W295" s="361"/>
      <c r="X295" s="361"/>
      <c r="Y295" s="361"/>
      <c r="Z295" s="361"/>
    </row>
    <row r="296" ht="15.75" customHeight="1" outlineLevel="1">
      <c r="A296" s="417"/>
      <c r="C296" s="418"/>
      <c r="D296" s="419"/>
      <c r="E296" s="419"/>
      <c r="F296" s="419"/>
      <c r="G296" s="419"/>
      <c r="H296" s="419"/>
      <c r="I296" s="420">
        <f>counta(A297:A304)</f>
        <v>8</v>
      </c>
      <c r="J296" s="419"/>
      <c r="K296" s="421"/>
      <c r="L296" s="421"/>
      <c r="M296" s="421"/>
      <c r="N296" s="421"/>
      <c r="O296" s="421"/>
      <c r="P296" s="421"/>
      <c r="Q296" s="421"/>
      <c r="R296" s="421"/>
      <c r="S296" s="421"/>
      <c r="T296" s="421"/>
      <c r="U296" s="421"/>
      <c r="V296" s="421"/>
      <c r="W296" s="421"/>
      <c r="X296" s="421"/>
      <c r="Y296" s="421"/>
      <c r="Z296" s="421"/>
    </row>
    <row r="297" ht="22.5" customHeight="1" outlineLevel="1">
      <c r="A297" s="412">
        <v>193630.0</v>
      </c>
      <c r="B297" s="415" t="s">
        <v>1957</v>
      </c>
      <c r="C297" s="394">
        <v>45765.0</v>
      </c>
      <c r="D297" s="412" t="s">
        <v>849</v>
      </c>
      <c r="E297" s="414" t="s">
        <v>1838</v>
      </c>
      <c r="F297" s="414" t="s">
        <v>1923</v>
      </c>
      <c r="G297" s="414" t="s">
        <v>1838</v>
      </c>
      <c r="H297" s="414" t="s">
        <v>1761</v>
      </c>
      <c r="I297" s="397"/>
      <c r="J297" s="392">
        <f t="shared" ref="J297:J305" si="38">countif(A$6:A297,A297)</f>
        <v>1</v>
      </c>
      <c r="K297" s="361"/>
      <c r="L297" s="361"/>
      <c r="M297" s="361"/>
      <c r="N297" s="361"/>
      <c r="O297" s="361"/>
      <c r="P297" s="361"/>
      <c r="Q297" s="361"/>
      <c r="R297" s="361"/>
      <c r="S297" s="361"/>
      <c r="T297" s="361"/>
      <c r="U297" s="361"/>
      <c r="V297" s="361"/>
      <c r="W297" s="361"/>
      <c r="X297" s="361"/>
      <c r="Y297" s="361"/>
      <c r="Z297" s="361"/>
    </row>
    <row r="298" ht="22.5" customHeight="1" outlineLevel="1">
      <c r="A298" s="412">
        <v>213808.0</v>
      </c>
      <c r="B298" s="415" t="s">
        <v>586</v>
      </c>
      <c r="C298" s="394">
        <v>45765.0</v>
      </c>
      <c r="D298" s="412" t="s">
        <v>849</v>
      </c>
      <c r="E298" s="414" t="s">
        <v>1838</v>
      </c>
      <c r="F298" s="414" t="s">
        <v>1923</v>
      </c>
      <c r="G298" s="414" t="s">
        <v>1838</v>
      </c>
      <c r="H298" s="414" t="s">
        <v>1761</v>
      </c>
      <c r="I298" s="397"/>
      <c r="J298" s="392">
        <f t="shared" si="38"/>
        <v>1</v>
      </c>
      <c r="K298" s="361"/>
      <c r="L298" s="361"/>
      <c r="M298" s="361"/>
      <c r="N298" s="361"/>
      <c r="O298" s="361"/>
      <c r="P298" s="361"/>
      <c r="Q298" s="361"/>
      <c r="R298" s="361"/>
      <c r="S298" s="361"/>
      <c r="T298" s="361"/>
      <c r="U298" s="361"/>
      <c r="V298" s="361"/>
      <c r="W298" s="361"/>
      <c r="X298" s="361"/>
      <c r="Y298" s="361"/>
      <c r="Z298" s="361"/>
    </row>
    <row r="299" ht="22.5" customHeight="1" outlineLevel="1">
      <c r="A299" s="412">
        <v>213889.0</v>
      </c>
      <c r="B299" s="415" t="s">
        <v>1958</v>
      </c>
      <c r="C299" s="394">
        <v>45765.0</v>
      </c>
      <c r="D299" s="412" t="s">
        <v>849</v>
      </c>
      <c r="E299" s="414" t="s">
        <v>1838</v>
      </c>
      <c r="F299" s="414" t="s">
        <v>1355</v>
      </c>
      <c r="G299" s="414" t="s">
        <v>1838</v>
      </c>
      <c r="H299" s="414" t="s">
        <v>1761</v>
      </c>
      <c r="I299" s="397"/>
      <c r="J299" s="392">
        <f t="shared" si="38"/>
        <v>1</v>
      </c>
      <c r="K299" s="361"/>
      <c r="L299" s="361"/>
      <c r="M299" s="361"/>
      <c r="N299" s="361"/>
      <c r="O299" s="361"/>
      <c r="P299" s="361"/>
      <c r="Q299" s="361"/>
      <c r="R299" s="361"/>
      <c r="S299" s="361"/>
      <c r="T299" s="361"/>
      <c r="U299" s="361"/>
      <c r="V299" s="361"/>
      <c r="W299" s="361"/>
      <c r="X299" s="361"/>
      <c r="Y299" s="361"/>
      <c r="Z299" s="361"/>
    </row>
    <row r="300" ht="22.5" customHeight="1" outlineLevel="1">
      <c r="A300" s="412">
        <v>247054.0</v>
      </c>
      <c r="B300" s="415" t="s">
        <v>584</v>
      </c>
      <c r="C300" s="394">
        <v>45765.0</v>
      </c>
      <c r="D300" s="412" t="s">
        <v>849</v>
      </c>
      <c r="E300" s="414" t="s">
        <v>1838</v>
      </c>
      <c r="F300" s="414" t="s">
        <v>1923</v>
      </c>
      <c r="G300" s="414" t="s">
        <v>1838</v>
      </c>
      <c r="H300" s="414" t="s">
        <v>1761</v>
      </c>
      <c r="I300" s="397"/>
      <c r="J300" s="392">
        <f t="shared" si="38"/>
        <v>1</v>
      </c>
      <c r="K300" s="361"/>
      <c r="L300" s="361"/>
      <c r="M300" s="361"/>
      <c r="N300" s="361"/>
      <c r="O300" s="361"/>
      <c r="P300" s="361"/>
      <c r="Q300" s="361"/>
      <c r="R300" s="361"/>
      <c r="S300" s="361"/>
      <c r="T300" s="361"/>
      <c r="U300" s="361"/>
      <c r="V300" s="361"/>
      <c r="W300" s="361"/>
      <c r="X300" s="361"/>
      <c r="Y300" s="361"/>
      <c r="Z300" s="361"/>
    </row>
    <row r="301" ht="22.5" customHeight="1" outlineLevel="1">
      <c r="A301" s="412">
        <v>213805.0</v>
      </c>
      <c r="B301" s="415" t="s">
        <v>556</v>
      </c>
      <c r="C301" s="394">
        <v>45765.0</v>
      </c>
      <c r="D301" s="412" t="s">
        <v>26</v>
      </c>
      <c r="E301" s="414" t="s">
        <v>1838</v>
      </c>
      <c r="F301" s="414" t="s">
        <v>1435</v>
      </c>
      <c r="G301" s="414" t="s">
        <v>1838</v>
      </c>
      <c r="H301" s="414" t="s">
        <v>1959</v>
      </c>
      <c r="I301" s="397"/>
      <c r="J301" s="392">
        <f t="shared" si="38"/>
        <v>1</v>
      </c>
      <c r="K301" s="361"/>
      <c r="L301" s="361"/>
      <c r="M301" s="361"/>
      <c r="N301" s="361"/>
      <c r="O301" s="361"/>
      <c r="P301" s="361"/>
      <c r="Q301" s="361"/>
      <c r="R301" s="361"/>
      <c r="S301" s="361"/>
      <c r="T301" s="361"/>
      <c r="U301" s="361"/>
      <c r="V301" s="361"/>
      <c r="W301" s="361"/>
      <c r="X301" s="361"/>
      <c r="Y301" s="361"/>
      <c r="Z301" s="361"/>
    </row>
    <row r="302" ht="22.5" customHeight="1" outlineLevel="1">
      <c r="A302" s="412">
        <v>213975.0</v>
      </c>
      <c r="B302" s="415" t="s">
        <v>580</v>
      </c>
      <c r="C302" s="394">
        <v>45765.0</v>
      </c>
      <c r="D302" s="412" t="s">
        <v>849</v>
      </c>
      <c r="E302" s="414" t="s">
        <v>1838</v>
      </c>
      <c r="F302" s="414" t="s">
        <v>1923</v>
      </c>
      <c r="G302" s="414" t="s">
        <v>1838</v>
      </c>
      <c r="H302" s="414" t="s">
        <v>1951</v>
      </c>
      <c r="I302" s="397"/>
      <c r="J302" s="392">
        <f t="shared" si="38"/>
        <v>1</v>
      </c>
      <c r="K302" s="361"/>
      <c r="L302" s="361"/>
      <c r="M302" s="361"/>
      <c r="N302" s="361"/>
      <c r="O302" s="361"/>
      <c r="P302" s="361"/>
      <c r="Q302" s="361"/>
      <c r="R302" s="361"/>
      <c r="S302" s="361"/>
      <c r="T302" s="361"/>
      <c r="U302" s="361"/>
      <c r="V302" s="361"/>
      <c r="W302" s="361"/>
      <c r="X302" s="361"/>
      <c r="Y302" s="361"/>
      <c r="Z302" s="361"/>
    </row>
    <row r="303" ht="22.5" customHeight="1" outlineLevel="1">
      <c r="A303" s="412">
        <v>193536.0</v>
      </c>
      <c r="B303" s="415" t="s">
        <v>578</v>
      </c>
      <c r="C303" s="394">
        <v>45765.0</v>
      </c>
      <c r="D303" s="412" t="s">
        <v>849</v>
      </c>
      <c r="E303" s="414" t="s">
        <v>1838</v>
      </c>
      <c r="F303" s="414" t="s">
        <v>1923</v>
      </c>
      <c r="G303" s="414" t="s">
        <v>1838</v>
      </c>
      <c r="H303" s="414" t="s">
        <v>1960</v>
      </c>
      <c r="I303" s="397"/>
      <c r="J303" s="392">
        <f t="shared" si="38"/>
        <v>1</v>
      </c>
      <c r="K303" s="361"/>
      <c r="L303" s="361"/>
      <c r="M303" s="361"/>
      <c r="N303" s="361"/>
      <c r="O303" s="361"/>
      <c r="P303" s="361"/>
      <c r="Q303" s="361"/>
      <c r="R303" s="361"/>
      <c r="S303" s="361"/>
      <c r="T303" s="361"/>
      <c r="U303" s="361"/>
      <c r="V303" s="361"/>
      <c r="W303" s="361"/>
      <c r="X303" s="361"/>
      <c r="Y303" s="361"/>
      <c r="Z303" s="361"/>
    </row>
    <row r="304" ht="22.5" customHeight="1" outlineLevel="1">
      <c r="A304" s="412">
        <v>213916.0</v>
      </c>
      <c r="B304" s="415" t="s">
        <v>552</v>
      </c>
      <c r="C304" s="394">
        <v>45765.0</v>
      </c>
      <c r="D304" s="412" t="s">
        <v>26</v>
      </c>
      <c r="E304" s="414" t="s">
        <v>1838</v>
      </c>
      <c r="F304" s="414" t="s">
        <v>1355</v>
      </c>
      <c r="G304" s="414" t="s">
        <v>1838</v>
      </c>
      <c r="H304" s="414" t="s">
        <v>1959</v>
      </c>
      <c r="I304" s="397"/>
      <c r="J304" s="392">
        <f t="shared" si="38"/>
        <v>1</v>
      </c>
      <c r="K304" s="361"/>
      <c r="L304" s="361"/>
      <c r="M304" s="361"/>
      <c r="N304" s="361"/>
      <c r="O304" s="361"/>
      <c r="P304" s="361"/>
      <c r="Q304" s="361"/>
      <c r="R304" s="361"/>
      <c r="S304" s="361"/>
      <c r="T304" s="361"/>
      <c r="U304" s="361"/>
      <c r="V304" s="361"/>
      <c r="W304" s="361"/>
      <c r="X304" s="361"/>
      <c r="Y304" s="361"/>
      <c r="Z304" s="361"/>
    </row>
    <row r="305" ht="22.5" customHeight="1" outlineLevel="1">
      <c r="A305" s="412">
        <v>213854.0</v>
      </c>
      <c r="B305" s="415" t="s">
        <v>554</v>
      </c>
      <c r="C305" s="394">
        <v>45765.0</v>
      </c>
      <c r="D305" s="412" t="s">
        <v>26</v>
      </c>
      <c r="E305" s="414" t="s">
        <v>1961</v>
      </c>
      <c r="F305" s="414" t="s">
        <v>1435</v>
      </c>
      <c r="G305" s="414" t="s">
        <v>1962</v>
      </c>
      <c r="H305" s="414" t="s">
        <v>1928</v>
      </c>
      <c r="I305" s="397"/>
      <c r="J305" s="392">
        <f t="shared" si="38"/>
        <v>1</v>
      </c>
      <c r="K305" s="361"/>
      <c r="L305" s="361"/>
      <c r="M305" s="361"/>
      <c r="N305" s="361"/>
      <c r="O305" s="361"/>
      <c r="P305" s="361"/>
      <c r="Q305" s="361"/>
      <c r="R305" s="361"/>
      <c r="S305" s="361"/>
      <c r="T305" s="361"/>
      <c r="U305" s="361"/>
      <c r="V305" s="361"/>
      <c r="W305" s="361"/>
      <c r="X305" s="361"/>
      <c r="Y305" s="361"/>
      <c r="Z305" s="361"/>
    </row>
    <row r="306" ht="15.75" customHeight="1" outlineLevel="1">
      <c r="A306" s="419"/>
      <c r="C306" s="418"/>
      <c r="D306" s="419"/>
      <c r="E306" s="419"/>
      <c r="F306" s="419"/>
      <c r="G306" s="419"/>
      <c r="H306" s="419"/>
      <c r="I306" s="420">
        <f>counta(A307:A314)</f>
        <v>8</v>
      </c>
      <c r="J306" s="419"/>
      <c r="K306" s="421"/>
      <c r="L306" s="421"/>
      <c r="M306" s="421"/>
      <c r="N306" s="421"/>
      <c r="O306" s="421"/>
      <c r="P306" s="421"/>
      <c r="Q306" s="421"/>
      <c r="R306" s="421"/>
      <c r="S306" s="421"/>
      <c r="T306" s="421"/>
      <c r="U306" s="421"/>
      <c r="V306" s="421"/>
      <c r="W306" s="421"/>
      <c r="X306" s="421"/>
      <c r="Y306" s="421"/>
      <c r="Z306" s="421"/>
    </row>
    <row r="307" ht="22.5" customHeight="1" outlineLevel="1">
      <c r="A307" s="412">
        <v>193588.0</v>
      </c>
      <c r="B307" s="415" t="s">
        <v>718</v>
      </c>
      <c r="C307" s="394">
        <v>45764.0</v>
      </c>
      <c r="D307" s="412" t="s">
        <v>849</v>
      </c>
      <c r="E307" s="414" t="s">
        <v>1838</v>
      </c>
      <c r="F307" s="414" t="s">
        <v>1355</v>
      </c>
      <c r="G307" s="414" t="s">
        <v>1963</v>
      </c>
      <c r="H307" s="414" t="s">
        <v>1761</v>
      </c>
      <c r="I307" s="397"/>
      <c r="J307" s="392">
        <f t="shared" ref="J307:J315" si="39">countif(A$6:A307,A307)</f>
        <v>1</v>
      </c>
      <c r="K307" s="361"/>
      <c r="L307" s="361"/>
      <c r="M307" s="361"/>
      <c r="N307" s="361"/>
      <c r="O307" s="361"/>
      <c r="P307" s="361"/>
      <c r="Q307" s="361"/>
      <c r="R307" s="361"/>
      <c r="S307" s="361"/>
      <c r="T307" s="361"/>
      <c r="U307" s="361"/>
      <c r="V307" s="361"/>
      <c r="W307" s="361"/>
      <c r="X307" s="361"/>
      <c r="Y307" s="361"/>
      <c r="Z307" s="361"/>
    </row>
    <row r="308" ht="22.5" customHeight="1" outlineLevel="1">
      <c r="A308" s="412">
        <v>213815.0</v>
      </c>
      <c r="B308" s="415" t="s">
        <v>186</v>
      </c>
      <c r="C308" s="394">
        <v>45764.0</v>
      </c>
      <c r="D308" s="412" t="s">
        <v>849</v>
      </c>
      <c r="E308" s="414" t="s">
        <v>1838</v>
      </c>
      <c r="F308" s="414" t="s">
        <v>1435</v>
      </c>
      <c r="G308" s="414" t="s">
        <v>1838</v>
      </c>
      <c r="H308" s="414" t="s">
        <v>1964</v>
      </c>
      <c r="I308" s="397"/>
      <c r="J308" s="392">
        <f t="shared" si="39"/>
        <v>1</v>
      </c>
      <c r="K308" s="361"/>
      <c r="L308" s="361"/>
      <c r="M308" s="361"/>
      <c r="N308" s="361"/>
      <c r="O308" s="361"/>
      <c r="P308" s="361"/>
      <c r="Q308" s="361"/>
      <c r="R308" s="361"/>
      <c r="S308" s="361"/>
      <c r="T308" s="361"/>
      <c r="U308" s="361"/>
      <c r="V308" s="361"/>
      <c r="W308" s="361"/>
      <c r="X308" s="361"/>
      <c r="Y308" s="361"/>
      <c r="Z308" s="361"/>
    </row>
    <row r="309" ht="22.5" customHeight="1" outlineLevel="1">
      <c r="A309" s="412">
        <v>213861.0</v>
      </c>
      <c r="B309" s="415" t="s">
        <v>195</v>
      </c>
      <c r="C309" s="394">
        <v>45764.0</v>
      </c>
      <c r="D309" s="412" t="s">
        <v>849</v>
      </c>
      <c r="E309" s="414" t="s">
        <v>1838</v>
      </c>
      <c r="F309" s="414" t="s">
        <v>1355</v>
      </c>
      <c r="G309" s="414" t="s">
        <v>1838</v>
      </c>
      <c r="H309" s="414" t="s">
        <v>1965</v>
      </c>
      <c r="I309" s="397"/>
      <c r="J309" s="392">
        <f t="shared" si="39"/>
        <v>1</v>
      </c>
      <c r="K309" s="361"/>
      <c r="L309" s="361"/>
      <c r="M309" s="361"/>
      <c r="N309" s="361"/>
      <c r="O309" s="361"/>
      <c r="P309" s="361"/>
      <c r="Q309" s="361"/>
      <c r="R309" s="361"/>
      <c r="S309" s="361"/>
      <c r="T309" s="361"/>
      <c r="U309" s="361"/>
      <c r="V309" s="361"/>
      <c r="W309" s="361"/>
      <c r="X309" s="361"/>
      <c r="Y309" s="361"/>
      <c r="Z309" s="361"/>
    </row>
    <row r="310" ht="22.5" customHeight="1" outlineLevel="1">
      <c r="A310" s="412">
        <v>247223.0</v>
      </c>
      <c r="B310" s="415" t="s">
        <v>199</v>
      </c>
      <c r="C310" s="394">
        <v>45764.0</v>
      </c>
      <c r="D310" s="412" t="s">
        <v>849</v>
      </c>
      <c r="E310" s="414" t="s">
        <v>1838</v>
      </c>
      <c r="F310" s="414" t="s">
        <v>1933</v>
      </c>
      <c r="G310" s="414" t="s">
        <v>1838</v>
      </c>
      <c r="H310" s="414" t="s">
        <v>1761</v>
      </c>
      <c r="I310" s="397"/>
      <c r="J310" s="392">
        <f t="shared" si="39"/>
        <v>1</v>
      </c>
      <c r="K310" s="361"/>
      <c r="L310" s="361"/>
      <c r="M310" s="361"/>
      <c r="N310" s="361"/>
      <c r="O310" s="361"/>
      <c r="P310" s="361"/>
      <c r="Q310" s="361"/>
      <c r="R310" s="361"/>
      <c r="S310" s="361"/>
      <c r="T310" s="361"/>
      <c r="U310" s="361"/>
      <c r="V310" s="361"/>
      <c r="W310" s="361"/>
      <c r="X310" s="361"/>
      <c r="Y310" s="361"/>
      <c r="Z310" s="361"/>
    </row>
    <row r="311" ht="22.5" customHeight="1" outlineLevel="1">
      <c r="A311" s="412">
        <v>113024.0</v>
      </c>
      <c r="B311" s="415" t="s">
        <v>201</v>
      </c>
      <c r="C311" s="394">
        <v>45764.0</v>
      </c>
      <c r="D311" s="412" t="s">
        <v>849</v>
      </c>
      <c r="E311" s="414" t="s">
        <v>1838</v>
      </c>
      <c r="F311" s="414" t="s">
        <v>1355</v>
      </c>
      <c r="G311" s="414" t="s">
        <v>1838</v>
      </c>
      <c r="H311" s="414" t="s">
        <v>1884</v>
      </c>
      <c r="I311" s="397"/>
      <c r="J311" s="392">
        <f t="shared" si="39"/>
        <v>1</v>
      </c>
      <c r="K311" s="361"/>
      <c r="L311" s="361"/>
      <c r="M311" s="361"/>
      <c r="N311" s="361"/>
      <c r="O311" s="361"/>
      <c r="P311" s="361"/>
      <c r="Q311" s="361"/>
      <c r="R311" s="361"/>
      <c r="S311" s="361"/>
      <c r="T311" s="361"/>
      <c r="U311" s="361"/>
      <c r="V311" s="361"/>
      <c r="W311" s="361"/>
      <c r="X311" s="361"/>
      <c r="Y311" s="361"/>
      <c r="Z311" s="361"/>
    </row>
    <row r="312" ht="22.5" customHeight="1" outlineLevel="1">
      <c r="A312" s="412">
        <v>213851.0</v>
      </c>
      <c r="B312" s="415" t="s">
        <v>197</v>
      </c>
      <c r="C312" s="394">
        <v>45764.0</v>
      </c>
      <c r="D312" s="412" t="s">
        <v>849</v>
      </c>
      <c r="E312" s="414" t="s">
        <v>1966</v>
      </c>
      <c r="F312" s="414" t="s">
        <v>1933</v>
      </c>
      <c r="G312" s="414" t="s">
        <v>1838</v>
      </c>
      <c r="H312" s="414" t="s">
        <v>1761</v>
      </c>
      <c r="I312" s="397"/>
      <c r="J312" s="392">
        <f t="shared" si="39"/>
        <v>1</v>
      </c>
      <c r="K312" s="361"/>
      <c r="L312" s="361"/>
      <c r="M312" s="361"/>
      <c r="N312" s="361"/>
      <c r="O312" s="361"/>
      <c r="P312" s="361"/>
      <c r="Q312" s="361"/>
      <c r="R312" s="361"/>
      <c r="S312" s="361"/>
      <c r="T312" s="361"/>
      <c r="U312" s="361"/>
      <c r="V312" s="361"/>
      <c r="W312" s="361"/>
      <c r="X312" s="361"/>
      <c r="Y312" s="361"/>
      <c r="Z312" s="361"/>
    </row>
    <row r="313" ht="22.5" customHeight="1" outlineLevel="1">
      <c r="A313" s="412">
        <v>213914.0</v>
      </c>
      <c r="B313" s="415" t="s">
        <v>188</v>
      </c>
      <c r="C313" s="394">
        <v>45764.0</v>
      </c>
      <c r="D313" s="412" t="s">
        <v>849</v>
      </c>
      <c r="E313" s="414" t="s">
        <v>1838</v>
      </c>
      <c r="F313" s="414" t="s">
        <v>1355</v>
      </c>
      <c r="G313" s="414" t="s">
        <v>1838</v>
      </c>
      <c r="H313" s="414" t="s">
        <v>1967</v>
      </c>
      <c r="I313" s="397"/>
      <c r="J313" s="392">
        <f t="shared" si="39"/>
        <v>1</v>
      </c>
      <c r="K313" s="361"/>
      <c r="L313" s="361"/>
      <c r="M313" s="361"/>
      <c r="N313" s="361"/>
      <c r="O313" s="361"/>
      <c r="P313" s="361"/>
      <c r="Q313" s="361"/>
      <c r="R313" s="361"/>
      <c r="S313" s="361"/>
      <c r="T313" s="361"/>
      <c r="U313" s="361"/>
      <c r="V313" s="361"/>
      <c r="W313" s="361"/>
      <c r="X313" s="361"/>
      <c r="Y313" s="361"/>
      <c r="Z313" s="361"/>
    </row>
    <row r="314" ht="22.5" customHeight="1" outlineLevel="1">
      <c r="A314" s="412">
        <v>203701.0</v>
      </c>
      <c r="B314" s="415" t="s">
        <v>549</v>
      </c>
      <c r="C314" s="394">
        <v>45764.0</v>
      </c>
      <c r="D314" s="412" t="s">
        <v>26</v>
      </c>
      <c r="E314" s="414" t="s">
        <v>1838</v>
      </c>
      <c r="F314" s="414" t="s">
        <v>1355</v>
      </c>
      <c r="G314" s="414" t="s">
        <v>1838</v>
      </c>
      <c r="H314" s="414" t="s">
        <v>1951</v>
      </c>
      <c r="I314" s="397"/>
      <c r="J314" s="392">
        <f t="shared" si="39"/>
        <v>1</v>
      </c>
      <c r="K314" s="361"/>
      <c r="L314" s="361"/>
      <c r="M314" s="361"/>
      <c r="N314" s="361"/>
      <c r="O314" s="361"/>
      <c r="P314" s="361"/>
      <c r="Q314" s="361"/>
      <c r="R314" s="361"/>
      <c r="S314" s="361"/>
      <c r="T314" s="361"/>
      <c r="U314" s="361"/>
      <c r="V314" s="361"/>
      <c r="W314" s="361"/>
      <c r="X314" s="361"/>
      <c r="Y314" s="361"/>
      <c r="Z314" s="361"/>
    </row>
    <row r="315" ht="22.5" customHeight="1" outlineLevel="1">
      <c r="A315" s="412">
        <v>247172.0</v>
      </c>
      <c r="B315" s="415" t="s">
        <v>545</v>
      </c>
      <c r="C315" s="394">
        <v>45764.0</v>
      </c>
      <c r="D315" s="412" t="s">
        <v>849</v>
      </c>
      <c r="E315" s="414" t="s">
        <v>1838</v>
      </c>
      <c r="F315" s="414" t="s">
        <v>1355</v>
      </c>
      <c r="G315" s="414" t="s">
        <v>1838</v>
      </c>
      <c r="H315" s="414" t="s">
        <v>1968</v>
      </c>
      <c r="I315" s="397"/>
      <c r="J315" s="392">
        <f t="shared" si="39"/>
        <v>1</v>
      </c>
      <c r="K315" s="361"/>
      <c r="L315" s="361"/>
      <c r="M315" s="361"/>
      <c r="N315" s="361"/>
      <c r="O315" s="361"/>
      <c r="P315" s="361"/>
      <c r="Q315" s="361"/>
      <c r="R315" s="361"/>
      <c r="S315" s="361"/>
      <c r="T315" s="361"/>
      <c r="U315" s="361"/>
      <c r="V315" s="361"/>
      <c r="W315" s="361"/>
      <c r="X315" s="361"/>
      <c r="Y315" s="361"/>
      <c r="Z315" s="361"/>
    </row>
    <row r="316" ht="15.75" customHeight="1" outlineLevel="1">
      <c r="A316" s="417"/>
      <c r="C316" s="418"/>
      <c r="D316" s="419"/>
      <c r="E316" s="419"/>
      <c r="F316" s="419"/>
      <c r="G316" s="419"/>
      <c r="H316" s="419"/>
      <c r="I316" s="420">
        <f>counta(A317:A324)</f>
        <v>8</v>
      </c>
      <c r="J316" s="419"/>
      <c r="K316" s="421"/>
      <c r="L316" s="421"/>
      <c r="M316" s="421"/>
      <c r="N316" s="421"/>
      <c r="O316" s="421"/>
      <c r="P316" s="421"/>
      <c r="Q316" s="421"/>
      <c r="R316" s="421"/>
      <c r="S316" s="421"/>
      <c r="T316" s="421"/>
      <c r="U316" s="421"/>
      <c r="V316" s="421"/>
      <c r="W316" s="421"/>
      <c r="X316" s="421"/>
      <c r="Y316" s="421"/>
      <c r="Z316" s="421"/>
    </row>
    <row r="317" ht="22.5" customHeight="1" outlineLevel="1">
      <c r="A317" s="412">
        <v>237147.0</v>
      </c>
      <c r="B317" s="415" t="s">
        <v>684</v>
      </c>
      <c r="C317" s="394">
        <v>45764.0</v>
      </c>
      <c r="D317" s="412" t="s">
        <v>849</v>
      </c>
      <c r="E317" s="414" t="s">
        <v>1969</v>
      </c>
      <c r="F317" s="414" t="s">
        <v>1933</v>
      </c>
      <c r="G317" s="414" t="s">
        <v>1970</v>
      </c>
      <c r="H317" s="414" t="s">
        <v>1761</v>
      </c>
      <c r="I317" s="397"/>
      <c r="J317" s="392">
        <f t="shared" ref="J317:J326" si="40">countif(A$6:A317,A317)</f>
        <v>1</v>
      </c>
      <c r="K317" s="361"/>
      <c r="L317" s="361"/>
      <c r="M317" s="361"/>
      <c r="N317" s="361"/>
      <c r="O317" s="361"/>
      <c r="P317" s="361"/>
      <c r="Q317" s="361"/>
      <c r="R317" s="361"/>
      <c r="S317" s="361"/>
      <c r="T317" s="361"/>
      <c r="U317" s="361"/>
      <c r="V317" s="361"/>
      <c r="W317" s="361"/>
      <c r="X317" s="361"/>
      <c r="Y317" s="361"/>
      <c r="Z317" s="361"/>
    </row>
    <row r="318" ht="22.5" customHeight="1" outlineLevel="1">
      <c r="A318" s="412">
        <v>213968.0</v>
      </c>
      <c r="B318" s="415" t="s">
        <v>192</v>
      </c>
      <c r="C318" s="394">
        <v>45764.0</v>
      </c>
      <c r="D318" s="412" t="s">
        <v>849</v>
      </c>
      <c r="E318" s="414" t="s">
        <v>1837</v>
      </c>
      <c r="F318" s="414" t="s">
        <v>1435</v>
      </c>
      <c r="G318" s="414" t="s">
        <v>1970</v>
      </c>
      <c r="H318" s="414" t="s">
        <v>1971</v>
      </c>
      <c r="I318" s="397"/>
      <c r="J318" s="392">
        <f t="shared" si="40"/>
        <v>1</v>
      </c>
      <c r="K318" s="361"/>
      <c r="L318" s="361"/>
      <c r="M318" s="361"/>
      <c r="N318" s="361"/>
      <c r="O318" s="361"/>
      <c r="P318" s="361"/>
      <c r="Q318" s="361"/>
      <c r="R318" s="361"/>
      <c r="S318" s="361"/>
      <c r="T318" s="361"/>
      <c r="U318" s="361"/>
      <c r="V318" s="361"/>
      <c r="W318" s="361"/>
      <c r="X318" s="361"/>
      <c r="Y318" s="361"/>
      <c r="Z318" s="361"/>
    </row>
    <row r="319" ht="22.5" customHeight="1" outlineLevel="1">
      <c r="A319" s="412">
        <v>247416.0</v>
      </c>
      <c r="B319" s="415" t="s">
        <v>686</v>
      </c>
      <c r="C319" s="394">
        <v>45764.0</v>
      </c>
      <c r="D319" s="412" t="s">
        <v>849</v>
      </c>
      <c r="E319" s="414" t="s">
        <v>1837</v>
      </c>
      <c r="F319" s="414" t="s">
        <v>1933</v>
      </c>
      <c r="G319" s="414" t="s">
        <v>1970</v>
      </c>
      <c r="H319" s="414" t="s">
        <v>1761</v>
      </c>
      <c r="I319" s="397"/>
      <c r="J319" s="392">
        <f t="shared" si="40"/>
        <v>1</v>
      </c>
      <c r="K319" s="361"/>
      <c r="L319" s="361"/>
      <c r="M319" s="361"/>
      <c r="N319" s="361"/>
      <c r="O319" s="361"/>
      <c r="P319" s="361"/>
      <c r="Q319" s="361"/>
      <c r="R319" s="361"/>
      <c r="S319" s="361"/>
      <c r="T319" s="361"/>
      <c r="U319" s="361"/>
      <c r="V319" s="361"/>
      <c r="W319" s="361"/>
      <c r="X319" s="361"/>
      <c r="Y319" s="361"/>
      <c r="Z319" s="361"/>
    </row>
    <row r="320" ht="22.5" customHeight="1" outlineLevel="1">
      <c r="A320" s="412">
        <v>193445.0</v>
      </c>
      <c r="B320" s="415" t="s">
        <v>184</v>
      </c>
      <c r="C320" s="394">
        <v>45764.0</v>
      </c>
      <c r="D320" s="412" t="s">
        <v>849</v>
      </c>
      <c r="E320" s="414" t="s">
        <v>1837</v>
      </c>
      <c r="F320" s="414" t="s">
        <v>1435</v>
      </c>
      <c r="G320" s="414" t="s">
        <v>1970</v>
      </c>
      <c r="H320" s="414" t="s">
        <v>1971</v>
      </c>
      <c r="I320" s="397"/>
      <c r="J320" s="392">
        <f t="shared" si="40"/>
        <v>1</v>
      </c>
      <c r="K320" s="361"/>
      <c r="L320" s="361"/>
      <c r="M320" s="361"/>
      <c r="N320" s="361"/>
      <c r="O320" s="361"/>
      <c r="P320" s="361"/>
      <c r="Q320" s="361"/>
      <c r="R320" s="361"/>
      <c r="S320" s="361"/>
      <c r="T320" s="361"/>
      <c r="U320" s="361"/>
      <c r="V320" s="361"/>
      <c r="W320" s="361"/>
      <c r="X320" s="361"/>
      <c r="Y320" s="361"/>
      <c r="Z320" s="361"/>
    </row>
    <row r="321" ht="22.5" customHeight="1" outlineLevel="1">
      <c r="A321" s="412">
        <v>247263.0</v>
      </c>
      <c r="B321" s="415" t="s">
        <v>680</v>
      </c>
      <c r="C321" s="394">
        <v>45764.0</v>
      </c>
      <c r="D321" s="412" t="s">
        <v>849</v>
      </c>
      <c r="E321" s="414" t="s">
        <v>1837</v>
      </c>
      <c r="F321" s="414" t="s">
        <v>1355</v>
      </c>
      <c r="G321" s="414" t="s">
        <v>1970</v>
      </c>
      <c r="H321" s="414" t="s">
        <v>1972</v>
      </c>
      <c r="I321" s="397"/>
      <c r="J321" s="392">
        <f t="shared" si="40"/>
        <v>1</v>
      </c>
      <c r="K321" s="361"/>
      <c r="L321" s="361"/>
      <c r="M321" s="361"/>
      <c r="N321" s="361"/>
      <c r="O321" s="361"/>
      <c r="P321" s="361"/>
      <c r="Q321" s="361"/>
      <c r="R321" s="361"/>
      <c r="S321" s="361"/>
      <c r="T321" s="361"/>
      <c r="U321" s="361"/>
      <c r="V321" s="361"/>
      <c r="W321" s="361"/>
      <c r="X321" s="361"/>
      <c r="Y321" s="361"/>
      <c r="Z321" s="361"/>
    </row>
    <row r="322" ht="22.5" customHeight="1" outlineLevel="1">
      <c r="A322" s="412">
        <v>213859.0</v>
      </c>
      <c r="B322" s="415" t="s">
        <v>676</v>
      </c>
      <c r="C322" s="394">
        <v>45764.0</v>
      </c>
      <c r="D322" s="412" t="s">
        <v>845</v>
      </c>
      <c r="E322" s="414" t="s">
        <v>1973</v>
      </c>
      <c r="F322" s="414" t="s">
        <v>1774</v>
      </c>
      <c r="G322" s="414" t="s">
        <v>1963</v>
      </c>
      <c r="H322" s="414" t="s">
        <v>1761</v>
      </c>
      <c r="I322" s="397"/>
      <c r="J322" s="392">
        <f t="shared" si="40"/>
        <v>1</v>
      </c>
      <c r="K322" s="361"/>
      <c r="L322" s="361"/>
      <c r="M322" s="361"/>
      <c r="N322" s="361"/>
      <c r="O322" s="361"/>
      <c r="P322" s="361"/>
      <c r="Q322" s="361"/>
      <c r="R322" s="361"/>
      <c r="S322" s="361"/>
      <c r="T322" s="361"/>
      <c r="U322" s="361"/>
      <c r="V322" s="361"/>
      <c r="W322" s="361"/>
      <c r="X322" s="361"/>
      <c r="Y322" s="361"/>
      <c r="Z322" s="361"/>
    </row>
    <row r="323" ht="22.5" customHeight="1" outlineLevel="1">
      <c r="A323" s="412">
        <v>227097.0</v>
      </c>
      <c r="B323" s="415" t="s">
        <v>690</v>
      </c>
      <c r="C323" s="394">
        <v>45764.0</v>
      </c>
      <c r="D323" s="412" t="s">
        <v>845</v>
      </c>
      <c r="E323" s="414" t="s">
        <v>1974</v>
      </c>
      <c r="F323" s="414" t="s">
        <v>1933</v>
      </c>
      <c r="G323" s="414" t="s">
        <v>1975</v>
      </c>
      <c r="H323" s="414" t="s">
        <v>1976</v>
      </c>
      <c r="I323" s="397"/>
      <c r="J323" s="392">
        <f t="shared" si="40"/>
        <v>1</v>
      </c>
      <c r="K323" s="361"/>
      <c r="L323" s="361"/>
      <c r="M323" s="361"/>
      <c r="N323" s="361"/>
      <c r="O323" s="361"/>
      <c r="P323" s="361"/>
      <c r="Q323" s="361"/>
      <c r="R323" s="361"/>
      <c r="S323" s="361"/>
      <c r="T323" s="361"/>
      <c r="U323" s="361"/>
      <c r="V323" s="361"/>
      <c r="W323" s="361"/>
      <c r="X323" s="361"/>
      <c r="Y323" s="361"/>
      <c r="Z323" s="361"/>
    </row>
    <row r="324" ht="22.5" customHeight="1" outlineLevel="1">
      <c r="A324" s="412">
        <v>193632.0</v>
      </c>
      <c r="B324" s="415" t="s">
        <v>678</v>
      </c>
      <c r="C324" s="394">
        <v>45764.0</v>
      </c>
      <c r="D324" s="412" t="s">
        <v>849</v>
      </c>
      <c r="E324" s="414" t="s">
        <v>1837</v>
      </c>
      <c r="F324" s="414" t="s">
        <v>1933</v>
      </c>
      <c r="G324" s="414" t="s">
        <v>1970</v>
      </c>
      <c r="H324" s="414" t="s">
        <v>1972</v>
      </c>
      <c r="I324" s="397"/>
      <c r="J324" s="392">
        <f t="shared" si="40"/>
        <v>1</v>
      </c>
      <c r="K324" s="361"/>
      <c r="L324" s="361"/>
      <c r="M324" s="361"/>
      <c r="N324" s="361"/>
      <c r="O324" s="361"/>
      <c r="P324" s="361"/>
      <c r="Q324" s="361"/>
      <c r="R324" s="361"/>
      <c r="S324" s="361"/>
      <c r="T324" s="361"/>
      <c r="U324" s="361"/>
      <c r="V324" s="361"/>
      <c r="W324" s="361"/>
      <c r="X324" s="361"/>
      <c r="Y324" s="361"/>
      <c r="Z324" s="361"/>
    </row>
    <row r="325" ht="22.5" customHeight="1" outlineLevel="1">
      <c r="A325" s="412">
        <v>247262.0</v>
      </c>
      <c r="B325" s="415" t="s">
        <v>682</v>
      </c>
      <c r="C325" s="394">
        <v>45764.0</v>
      </c>
      <c r="D325" s="412" t="s">
        <v>849</v>
      </c>
      <c r="E325" s="414" t="s">
        <v>1837</v>
      </c>
      <c r="F325" s="414" t="s">
        <v>1355</v>
      </c>
      <c r="G325" s="414" t="s">
        <v>1963</v>
      </c>
      <c r="H325" s="414" t="s">
        <v>1761</v>
      </c>
      <c r="I325" s="397"/>
      <c r="J325" s="392">
        <f t="shared" si="40"/>
        <v>1</v>
      </c>
      <c r="K325" s="361"/>
      <c r="L325" s="361"/>
      <c r="M325" s="361"/>
      <c r="N325" s="361"/>
      <c r="O325" s="361"/>
      <c r="P325" s="361"/>
      <c r="Q325" s="361"/>
      <c r="R325" s="361"/>
      <c r="S325" s="361"/>
      <c r="T325" s="361"/>
      <c r="U325" s="361"/>
      <c r="V325" s="361"/>
      <c r="W325" s="361"/>
      <c r="X325" s="361"/>
      <c r="Y325" s="361"/>
      <c r="Z325" s="361"/>
    </row>
    <row r="326" ht="22.5" customHeight="1" outlineLevel="1">
      <c r="A326" s="412">
        <v>247088.0</v>
      </c>
      <c r="B326" s="415" t="s">
        <v>688</v>
      </c>
      <c r="C326" s="394">
        <v>45764.0</v>
      </c>
      <c r="D326" s="412" t="s">
        <v>849</v>
      </c>
      <c r="E326" s="414" t="s">
        <v>1837</v>
      </c>
      <c r="F326" s="414" t="s">
        <v>1933</v>
      </c>
      <c r="G326" s="414" t="s">
        <v>1970</v>
      </c>
      <c r="H326" s="414" t="s">
        <v>1977</v>
      </c>
      <c r="I326" s="397"/>
      <c r="J326" s="392">
        <f t="shared" si="40"/>
        <v>1</v>
      </c>
      <c r="K326" s="361"/>
      <c r="L326" s="361"/>
      <c r="M326" s="361"/>
      <c r="N326" s="361"/>
      <c r="O326" s="361"/>
      <c r="P326" s="361"/>
      <c r="Q326" s="361"/>
      <c r="R326" s="361"/>
      <c r="S326" s="361"/>
      <c r="T326" s="361"/>
      <c r="U326" s="361"/>
      <c r="V326" s="361"/>
      <c r="W326" s="361"/>
      <c r="X326" s="361"/>
      <c r="Y326" s="361"/>
      <c r="Z326" s="361"/>
    </row>
    <row r="327" ht="15.75" customHeight="1" outlineLevel="1">
      <c r="A327" s="419"/>
      <c r="C327" s="418"/>
      <c r="D327" s="419"/>
      <c r="E327" s="419"/>
      <c r="F327" s="419"/>
      <c r="G327" s="419"/>
      <c r="H327" s="419"/>
      <c r="I327" s="420">
        <f>counta(A328:A335)</f>
        <v>7</v>
      </c>
      <c r="J327" s="419"/>
      <c r="K327" s="421"/>
      <c r="L327" s="421"/>
      <c r="M327" s="421"/>
      <c r="N327" s="421"/>
      <c r="O327" s="421"/>
      <c r="P327" s="421"/>
      <c r="Q327" s="421"/>
      <c r="R327" s="421"/>
      <c r="S327" s="421"/>
      <c r="T327" s="421"/>
      <c r="U327" s="421"/>
      <c r="V327" s="421"/>
      <c r="W327" s="421"/>
      <c r="X327" s="421"/>
      <c r="Y327" s="421"/>
      <c r="Z327" s="421"/>
    </row>
    <row r="328" ht="22.5" customHeight="1" outlineLevel="1">
      <c r="A328" s="412">
        <v>237183.0</v>
      </c>
      <c r="B328" s="415" t="s">
        <v>738</v>
      </c>
      <c r="C328" s="394">
        <v>45765.0</v>
      </c>
      <c r="D328" s="412" t="s">
        <v>849</v>
      </c>
      <c r="E328" s="414" t="s">
        <v>1838</v>
      </c>
      <c r="F328" s="414" t="s">
        <v>1923</v>
      </c>
      <c r="G328" s="414" t="s">
        <v>1838</v>
      </c>
      <c r="H328" s="414" t="s">
        <v>1761</v>
      </c>
      <c r="I328" s="397"/>
      <c r="J328" s="392">
        <f t="shared" ref="J328:J334" si="41">countif(A$6:A328,A328)</f>
        <v>1</v>
      </c>
      <c r="K328" s="361"/>
      <c r="L328" s="361"/>
      <c r="M328" s="361"/>
      <c r="N328" s="361"/>
      <c r="O328" s="361"/>
      <c r="P328" s="361"/>
      <c r="Q328" s="361"/>
      <c r="R328" s="361"/>
      <c r="S328" s="361"/>
      <c r="T328" s="361"/>
      <c r="U328" s="361"/>
      <c r="V328" s="361"/>
      <c r="W328" s="361"/>
      <c r="X328" s="361"/>
      <c r="Y328" s="361"/>
      <c r="Z328" s="361"/>
    </row>
    <row r="329" ht="22.5" customHeight="1" outlineLevel="1">
      <c r="A329" s="412">
        <v>183310.0</v>
      </c>
      <c r="B329" s="415" t="s">
        <v>1978</v>
      </c>
      <c r="C329" s="394">
        <v>45765.0</v>
      </c>
      <c r="D329" s="412" t="s">
        <v>849</v>
      </c>
      <c r="E329" s="414" t="s">
        <v>1838</v>
      </c>
      <c r="F329" s="414" t="s">
        <v>1933</v>
      </c>
      <c r="G329" s="414" t="s">
        <v>1838</v>
      </c>
      <c r="H329" s="414" t="s">
        <v>1972</v>
      </c>
      <c r="I329" s="397"/>
      <c r="J329" s="392">
        <f t="shared" si="41"/>
        <v>1</v>
      </c>
      <c r="K329" s="361"/>
      <c r="L329" s="361"/>
      <c r="M329" s="361"/>
      <c r="N329" s="361"/>
      <c r="O329" s="361"/>
      <c r="P329" s="361"/>
      <c r="Q329" s="361"/>
      <c r="R329" s="361"/>
      <c r="S329" s="361"/>
      <c r="T329" s="361"/>
      <c r="U329" s="361"/>
      <c r="V329" s="361"/>
      <c r="W329" s="361"/>
      <c r="X329" s="361"/>
      <c r="Y329" s="361"/>
      <c r="Z329" s="361"/>
    </row>
    <row r="330" ht="22.5" customHeight="1" outlineLevel="1">
      <c r="A330" s="412">
        <v>227104.0</v>
      </c>
      <c r="B330" s="415" t="s">
        <v>740</v>
      </c>
      <c r="C330" s="394">
        <v>45765.0</v>
      </c>
      <c r="D330" s="395" t="s">
        <v>1901</v>
      </c>
      <c r="E330" s="396"/>
      <c r="F330" s="396"/>
      <c r="G330" s="396"/>
      <c r="H330" s="396"/>
      <c r="I330" s="397"/>
      <c r="J330" s="392">
        <f t="shared" si="41"/>
        <v>1</v>
      </c>
      <c r="K330" s="361"/>
      <c r="L330" s="361"/>
      <c r="M330" s="361"/>
      <c r="N330" s="361"/>
      <c r="O330" s="361"/>
      <c r="P330" s="361"/>
      <c r="Q330" s="361"/>
      <c r="R330" s="361"/>
      <c r="S330" s="361"/>
      <c r="T330" s="361"/>
      <c r="U330" s="361"/>
      <c r="V330" s="361"/>
      <c r="W330" s="361"/>
      <c r="X330" s="361"/>
      <c r="Y330" s="361"/>
      <c r="Z330" s="361"/>
    </row>
    <row r="331" ht="22.5" customHeight="1" outlineLevel="1">
      <c r="A331" s="412">
        <v>213946.0</v>
      </c>
      <c r="B331" s="415" t="s">
        <v>321</v>
      </c>
      <c r="C331" s="394">
        <v>45765.0</v>
      </c>
      <c r="D331" s="412" t="s">
        <v>849</v>
      </c>
      <c r="E331" s="414" t="s">
        <v>1838</v>
      </c>
      <c r="F331" s="414" t="s">
        <v>1355</v>
      </c>
      <c r="G331" s="414" t="s">
        <v>1838</v>
      </c>
      <c r="H331" s="414" t="s">
        <v>1965</v>
      </c>
      <c r="I331" s="397"/>
      <c r="J331" s="392">
        <f t="shared" si="41"/>
        <v>1</v>
      </c>
      <c r="K331" s="361"/>
      <c r="L331" s="361"/>
      <c r="M331" s="361"/>
      <c r="N331" s="361"/>
      <c r="O331" s="361"/>
      <c r="P331" s="361"/>
      <c r="Q331" s="361"/>
      <c r="R331" s="361"/>
      <c r="S331" s="361"/>
      <c r="T331" s="361"/>
      <c r="U331" s="361"/>
      <c r="V331" s="361"/>
      <c r="W331" s="361"/>
      <c r="X331" s="361"/>
      <c r="Y331" s="361"/>
      <c r="Z331" s="361"/>
    </row>
    <row r="332" ht="22.5" customHeight="1" outlineLevel="1">
      <c r="A332" s="412">
        <v>213898.0</v>
      </c>
      <c r="B332" s="415" t="s">
        <v>736</v>
      </c>
      <c r="C332" s="394">
        <v>45765.0</v>
      </c>
      <c r="D332" s="412" t="s">
        <v>849</v>
      </c>
      <c r="E332" s="414" t="s">
        <v>1838</v>
      </c>
      <c r="F332" s="414" t="s">
        <v>1676</v>
      </c>
      <c r="G332" s="414" t="s">
        <v>1838</v>
      </c>
      <c r="H332" s="414" t="s">
        <v>1979</v>
      </c>
      <c r="I332" s="397"/>
      <c r="J332" s="392">
        <f t="shared" si="41"/>
        <v>1</v>
      </c>
      <c r="K332" s="361"/>
      <c r="L332" s="361"/>
      <c r="M332" s="361"/>
      <c r="N332" s="361"/>
      <c r="O332" s="361"/>
      <c r="P332" s="361"/>
      <c r="Q332" s="361"/>
      <c r="R332" s="361"/>
      <c r="S332" s="361"/>
      <c r="T332" s="361"/>
      <c r="U332" s="361"/>
      <c r="V332" s="361"/>
      <c r="W332" s="361"/>
      <c r="X332" s="361"/>
      <c r="Y332" s="361"/>
      <c r="Z332" s="361"/>
    </row>
    <row r="333" ht="22.5" customHeight="1" outlineLevel="1">
      <c r="A333" s="412">
        <v>213863.0</v>
      </c>
      <c r="B333" s="415" t="s">
        <v>734</v>
      </c>
      <c r="C333" s="394">
        <v>45765.0</v>
      </c>
      <c r="D333" s="412" t="s">
        <v>849</v>
      </c>
      <c r="E333" s="414" t="s">
        <v>1838</v>
      </c>
      <c r="F333" s="414" t="s">
        <v>1355</v>
      </c>
      <c r="G333" s="414" t="s">
        <v>1838</v>
      </c>
      <c r="H333" s="414" t="s">
        <v>1798</v>
      </c>
      <c r="I333" s="397"/>
      <c r="J333" s="392">
        <f t="shared" si="41"/>
        <v>1</v>
      </c>
      <c r="K333" s="361"/>
      <c r="L333" s="361"/>
      <c r="M333" s="361"/>
      <c r="N333" s="361"/>
      <c r="O333" s="361"/>
      <c r="P333" s="361"/>
      <c r="Q333" s="361"/>
      <c r="R333" s="361"/>
      <c r="S333" s="361"/>
      <c r="T333" s="361"/>
      <c r="U333" s="361"/>
      <c r="V333" s="361"/>
      <c r="W333" s="361"/>
      <c r="X333" s="361"/>
      <c r="Y333" s="361"/>
      <c r="Z333" s="361"/>
    </row>
    <row r="334" ht="22.5" customHeight="1" outlineLevel="1">
      <c r="A334" s="412">
        <v>203746.0</v>
      </c>
      <c r="B334" s="415" t="s">
        <v>728</v>
      </c>
      <c r="C334" s="394">
        <v>45765.0</v>
      </c>
      <c r="D334" s="395" t="s">
        <v>1901</v>
      </c>
      <c r="E334" s="396"/>
      <c r="F334" s="396"/>
      <c r="G334" s="396"/>
      <c r="H334" s="396"/>
      <c r="I334" s="397"/>
      <c r="J334" s="392">
        <f t="shared" si="41"/>
        <v>1</v>
      </c>
      <c r="K334" s="361"/>
      <c r="L334" s="361"/>
      <c r="M334" s="361"/>
      <c r="N334" s="361"/>
      <c r="O334" s="361"/>
      <c r="P334" s="361"/>
      <c r="Q334" s="361"/>
      <c r="R334" s="361"/>
      <c r="S334" s="361"/>
      <c r="T334" s="361"/>
      <c r="U334" s="361"/>
      <c r="V334" s="361"/>
      <c r="W334" s="361"/>
      <c r="X334" s="361"/>
      <c r="Y334" s="361"/>
      <c r="Z334" s="361"/>
    </row>
    <row r="335" ht="15.75" customHeight="1" outlineLevel="1">
      <c r="A335" s="417"/>
      <c r="C335" s="418"/>
      <c r="D335" s="419"/>
      <c r="E335" s="419"/>
      <c r="F335" s="419"/>
      <c r="G335" s="419"/>
      <c r="H335" s="419"/>
      <c r="I335" s="420">
        <f>counta(A336:A1350)</f>
        <v>31</v>
      </c>
      <c r="J335" s="419"/>
      <c r="K335" s="421"/>
      <c r="L335" s="421"/>
      <c r="M335" s="421"/>
      <c r="N335" s="421"/>
      <c r="O335" s="421"/>
      <c r="P335" s="421"/>
      <c r="Q335" s="421"/>
      <c r="R335" s="421"/>
      <c r="S335" s="421"/>
      <c r="T335" s="421"/>
      <c r="U335" s="421"/>
      <c r="V335" s="421"/>
      <c r="W335" s="421"/>
      <c r="X335" s="421"/>
      <c r="Y335" s="421"/>
      <c r="Z335" s="421"/>
    </row>
    <row r="336" ht="22.5" customHeight="1" outlineLevel="1">
      <c r="A336" s="412">
        <v>247313.0</v>
      </c>
      <c r="B336" s="415" t="s">
        <v>1412</v>
      </c>
      <c r="C336" s="394">
        <v>45813.0</v>
      </c>
      <c r="D336" s="412" t="s">
        <v>845</v>
      </c>
      <c r="E336" s="414" t="s">
        <v>1980</v>
      </c>
      <c r="F336" s="414" t="s">
        <v>1981</v>
      </c>
      <c r="G336" s="414" t="s">
        <v>1728</v>
      </c>
      <c r="H336" s="414" t="s">
        <v>1982</v>
      </c>
      <c r="I336" s="397"/>
      <c r="J336" s="392">
        <f t="shared" ref="J336:J339" si="42">countif(A$6:A336,A336)</f>
        <v>2</v>
      </c>
      <c r="K336" s="361"/>
      <c r="L336" s="361"/>
      <c r="M336" s="361"/>
      <c r="N336" s="361"/>
      <c r="O336" s="361"/>
      <c r="P336" s="361"/>
      <c r="Q336" s="361"/>
      <c r="R336" s="361"/>
      <c r="S336" s="361"/>
      <c r="T336" s="361"/>
      <c r="U336" s="361"/>
      <c r="V336" s="361"/>
      <c r="W336" s="361"/>
      <c r="X336" s="361"/>
      <c r="Y336" s="361"/>
      <c r="Z336" s="361"/>
    </row>
    <row r="337" ht="22.5" customHeight="1" outlineLevel="1">
      <c r="A337" s="412">
        <v>213870.0</v>
      </c>
      <c r="B337" s="415" t="s">
        <v>1983</v>
      </c>
      <c r="C337" s="394">
        <v>45813.0</v>
      </c>
      <c r="D337" s="412" t="s">
        <v>849</v>
      </c>
      <c r="E337" s="414" t="s">
        <v>1984</v>
      </c>
      <c r="F337" s="414" t="s">
        <v>1355</v>
      </c>
      <c r="G337" s="414" t="s">
        <v>1985</v>
      </c>
      <c r="H337" s="414" t="s">
        <v>1986</v>
      </c>
      <c r="I337" s="397"/>
      <c r="J337" s="392">
        <f t="shared" si="42"/>
        <v>1</v>
      </c>
      <c r="K337" s="361"/>
      <c r="L337" s="361"/>
      <c r="M337" s="361"/>
      <c r="N337" s="361"/>
      <c r="O337" s="361"/>
      <c r="P337" s="361"/>
      <c r="Q337" s="361"/>
      <c r="R337" s="361"/>
      <c r="S337" s="361"/>
      <c r="T337" s="361"/>
      <c r="U337" s="361"/>
      <c r="V337" s="361"/>
      <c r="W337" s="361"/>
      <c r="X337" s="361"/>
      <c r="Y337" s="361"/>
      <c r="Z337" s="361"/>
    </row>
    <row r="338" ht="22.5" customHeight="1" outlineLevel="1">
      <c r="A338" s="412">
        <v>237110.0</v>
      </c>
      <c r="B338" s="415" t="s">
        <v>1987</v>
      </c>
      <c r="C338" s="394">
        <v>45813.0</v>
      </c>
      <c r="D338" s="412" t="s">
        <v>849</v>
      </c>
      <c r="E338" s="414" t="s">
        <v>1988</v>
      </c>
      <c r="F338" s="414" t="s">
        <v>1435</v>
      </c>
      <c r="G338" s="414" t="s">
        <v>1985</v>
      </c>
      <c r="H338" s="414" t="s">
        <v>1986</v>
      </c>
      <c r="I338" s="397"/>
      <c r="J338" s="392">
        <f t="shared" si="42"/>
        <v>1</v>
      </c>
      <c r="K338" s="361"/>
      <c r="L338" s="361"/>
      <c r="M338" s="361"/>
      <c r="N338" s="361"/>
      <c r="O338" s="361"/>
      <c r="P338" s="361"/>
      <c r="Q338" s="361"/>
      <c r="R338" s="361"/>
      <c r="S338" s="361"/>
      <c r="T338" s="361"/>
      <c r="U338" s="361"/>
      <c r="V338" s="361"/>
      <c r="W338" s="361"/>
      <c r="X338" s="361"/>
      <c r="Y338" s="361"/>
      <c r="Z338" s="361"/>
    </row>
    <row r="339" ht="22.5" customHeight="1" outlineLevel="1">
      <c r="A339" s="412">
        <v>237160.0</v>
      </c>
      <c r="B339" s="415" t="s">
        <v>1989</v>
      </c>
      <c r="C339" s="394">
        <v>45813.0</v>
      </c>
      <c r="D339" s="412" t="s">
        <v>849</v>
      </c>
      <c r="E339" s="414" t="s">
        <v>1990</v>
      </c>
      <c r="F339" s="414" t="s">
        <v>1355</v>
      </c>
      <c r="G339" s="414" t="s">
        <v>1728</v>
      </c>
      <c r="H339" s="414" t="s">
        <v>1991</v>
      </c>
      <c r="I339" s="397"/>
      <c r="J339" s="392">
        <f t="shared" si="42"/>
        <v>1</v>
      </c>
      <c r="K339" s="361"/>
      <c r="L339" s="361"/>
      <c r="M339" s="361"/>
      <c r="N339" s="361"/>
      <c r="O339" s="361"/>
      <c r="P339" s="361"/>
      <c r="Q339" s="361"/>
      <c r="R339" s="361"/>
      <c r="S339" s="361"/>
      <c r="T339" s="361"/>
      <c r="U339" s="361"/>
      <c r="V339" s="361"/>
      <c r="W339" s="361"/>
      <c r="X339" s="361"/>
      <c r="Y339" s="361"/>
      <c r="Z339" s="361"/>
    </row>
    <row r="340" ht="15.75" customHeight="1" outlineLevel="1">
      <c r="A340" s="417"/>
      <c r="C340" s="418"/>
      <c r="D340" s="419"/>
      <c r="E340" s="419"/>
      <c r="F340" s="419"/>
      <c r="G340" s="419"/>
      <c r="H340" s="419"/>
      <c r="I340" s="420">
        <f>counta(A341:A1355)</f>
        <v>27</v>
      </c>
      <c r="J340" s="419"/>
      <c r="K340" s="421"/>
      <c r="L340" s="421"/>
      <c r="M340" s="421"/>
      <c r="N340" s="421"/>
      <c r="O340" s="421"/>
      <c r="P340" s="421"/>
      <c r="Q340" s="421"/>
      <c r="R340" s="421"/>
      <c r="S340" s="421"/>
      <c r="T340" s="421"/>
      <c r="U340" s="421"/>
      <c r="V340" s="421"/>
      <c r="W340" s="421"/>
      <c r="X340" s="421"/>
      <c r="Y340" s="421"/>
      <c r="Z340" s="421"/>
    </row>
    <row r="341" ht="22.5" customHeight="1" outlineLevel="1">
      <c r="A341" s="412">
        <v>183423.0</v>
      </c>
      <c r="B341" s="415" t="s">
        <v>325</v>
      </c>
      <c r="C341" s="394">
        <v>45866.0</v>
      </c>
      <c r="D341" s="412" t="s">
        <v>845</v>
      </c>
      <c r="E341" s="414"/>
      <c r="F341" s="414"/>
      <c r="G341" s="414"/>
      <c r="H341" s="414"/>
      <c r="I341" s="397"/>
      <c r="J341" s="392"/>
      <c r="K341" s="361"/>
      <c r="L341" s="361"/>
      <c r="M341" s="361"/>
      <c r="N341" s="361"/>
      <c r="O341" s="361"/>
      <c r="P341" s="361"/>
      <c r="Q341" s="361"/>
      <c r="R341" s="361"/>
      <c r="S341" s="361"/>
      <c r="T341" s="361"/>
      <c r="U341" s="361"/>
      <c r="V341" s="361"/>
      <c r="W341" s="361"/>
      <c r="X341" s="361"/>
      <c r="Y341" s="361"/>
      <c r="Z341" s="361"/>
    </row>
    <row r="342" ht="22.5" customHeight="1" outlineLevel="1">
      <c r="A342" s="412"/>
      <c r="B342" s="415"/>
      <c r="C342" s="394"/>
      <c r="D342" s="412"/>
      <c r="E342" s="414"/>
      <c r="F342" s="414"/>
      <c r="G342" s="414"/>
      <c r="H342" s="414"/>
      <c r="I342" s="397"/>
      <c r="J342" s="392"/>
      <c r="K342" s="361"/>
      <c r="L342" s="361"/>
      <c r="M342" s="361"/>
      <c r="N342" s="361"/>
      <c r="O342" s="361"/>
      <c r="P342" s="361"/>
      <c r="Q342" s="361"/>
      <c r="R342" s="361"/>
      <c r="S342" s="361"/>
      <c r="T342" s="361"/>
      <c r="U342" s="361"/>
      <c r="V342" s="361"/>
      <c r="W342" s="361"/>
      <c r="X342" s="361"/>
      <c r="Y342" s="361"/>
      <c r="Z342" s="361"/>
    </row>
    <row r="343" ht="22.5" customHeight="1" outlineLevel="1">
      <c r="A343" s="412"/>
      <c r="B343" s="415"/>
      <c r="C343" s="394"/>
      <c r="D343" s="412"/>
      <c r="E343" s="414"/>
      <c r="F343" s="414"/>
      <c r="G343" s="414"/>
      <c r="H343" s="414"/>
      <c r="I343" s="397"/>
      <c r="J343" s="392"/>
      <c r="K343" s="361"/>
      <c r="L343" s="361"/>
      <c r="M343" s="361"/>
      <c r="N343" s="361"/>
      <c r="O343" s="361"/>
      <c r="P343" s="361"/>
      <c r="Q343" s="361"/>
      <c r="R343" s="361"/>
      <c r="S343" s="361"/>
      <c r="T343" s="361"/>
      <c r="U343" s="361"/>
      <c r="V343" s="361"/>
      <c r="W343" s="361"/>
      <c r="X343" s="361"/>
      <c r="Y343" s="361"/>
      <c r="Z343" s="361"/>
    </row>
    <row r="344" ht="22.5" customHeight="1" outlineLevel="1">
      <c r="A344" s="412"/>
      <c r="B344" s="415"/>
      <c r="C344" s="394"/>
      <c r="D344" s="412"/>
      <c r="E344" s="414"/>
      <c r="F344" s="414"/>
      <c r="G344" s="414"/>
      <c r="H344" s="414"/>
      <c r="I344" s="397"/>
      <c r="J344" s="392"/>
      <c r="K344" s="361"/>
      <c r="L344" s="361"/>
      <c r="M344" s="361"/>
      <c r="N344" s="361"/>
      <c r="O344" s="361"/>
      <c r="P344" s="361"/>
      <c r="Q344" s="361"/>
      <c r="R344" s="361"/>
      <c r="S344" s="361"/>
      <c r="T344" s="361"/>
      <c r="U344" s="361"/>
      <c r="V344" s="361"/>
      <c r="W344" s="361"/>
      <c r="X344" s="361"/>
      <c r="Y344" s="361"/>
      <c r="Z344" s="361"/>
    </row>
    <row r="345" ht="22.5" customHeight="1" outlineLevel="1">
      <c r="A345" s="412"/>
      <c r="B345" s="415"/>
      <c r="C345" s="394"/>
      <c r="D345" s="412"/>
      <c r="E345" s="414"/>
      <c r="F345" s="414"/>
      <c r="G345" s="414"/>
      <c r="H345" s="414"/>
      <c r="I345" s="397"/>
      <c r="J345" s="392"/>
      <c r="K345" s="361"/>
      <c r="L345" s="361"/>
      <c r="M345" s="361"/>
      <c r="N345" s="361"/>
      <c r="O345" s="361"/>
      <c r="P345" s="361"/>
      <c r="Q345" s="361"/>
      <c r="R345" s="361"/>
      <c r="S345" s="361"/>
      <c r="T345" s="361"/>
      <c r="U345" s="361"/>
      <c r="V345" s="361"/>
      <c r="W345" s="361"/>
      <c r="X345" s="361"/>
      <c r="Y345" s="361"/>
      <c r="Z345" s="361"/>
    </row>
    <row r="346" ht="22.5" customHeight="1" outlineLevel="1">
      <c r="A346" s="412"/>
      <c r="B346" s="415"/>
      <c r="C346" s="394"/>
      <c r="D346" s="412"/>
      <c r="E346" s="414"/>
      <c r="F346" s="414"/>
      <c r="G346" s="414"/>
      <c r="H346" s="414"/>
      <c r="I346" s="397"/>
      <c r="J346" s="392"/>
      <c r="K346" s="361"/>
      <c r="L346" s="361"/>
      <c r="M346" s="361"/>
      <c r="N346" s="361"/>
      <c r="O346" s="361"/>
      <c r="P346" s="361"/>
      <c r="Q346" s="361"/>
      <c r="R346" s="361"/>
      <c r="S346" s="361"/>
      <c r="T346" s="361"/>
      <c r="U346" s="361"/>
      <c r="V346" s="361"/>
      <c r="W346" s="361"/>
      <c r="X346" s="361"/>
      <c r="Y346" s="361"/>
      <c r="Z346" s="361"/>
    </row>
    <row r="347" ht="22.5" customHeight="1" outlineLevel="1">
      <c r="A347" s="412"/>
      <c r="B347" s="415"/>
      <c r="C347" s="394"/>
      <c r="D347" s="412"/>
      <c r="E347" s="414"/>
      <c r="F347" s="414"/>
      <c r="G347" s="414"/>
      <c r="H347" s="414"/>
      <c r="I347" s="397"/>
      <c r="J347" s="392"/>
      <c r="K347" s="361"/>
      <c r="L347" s="361"/>
      <c r="M347" s="361"/>
      <c r="N347" s="361"/>
      <c r="O347" s="361"/>
      <c r="P347" s="361"/>
      <c r="Q347" s="361"/>
      <c r="R347" s="361"/>
      <c r="S347" s="361"/>
      <c r="T347" s="361"/>
      <c r="U347" s="361"/>
      <c r="V347" s="361"/>
      <c r="W347" s="361"/>
      <c r="X347" s="361"/>
      <c r="Y347" s="361"/>
      <c r="Z347" s="361"/>
    </row>
    <row r="348" ht="15.75" customHeight="1" outlineLevel="1">
      <c r="A348" s="417"/>
      <c r="C348" s="418"/>
      <c r="D348" s="419"/>
      <c r="E348" s="419"/>
      <c r="F348" s="419"/>
      <c r="G348" s="419"/>
      <c r="H348" s="419"/>
      <c r="I348" s="420">
        <f>counta(A349:A1363)</f>
        <v>26</v>
      </c>
      <c r="J348" s="419"/>
      <c r="K348" s="421"/>
      <c r="L348" s="421"/>
      <c r="M348" s="421"/>
      <c r="N348" s="421"/>
      <c r="O348" s="421"/>
      <c r="P348" s="421"/>
      <c r="Q348" s="421"/>
      <c r="R348" s="421"/>
      <c r="S348" s="421"/>
      <c r="T348" s="421"/>
      <c r="U348" s="421"/>
      <c r="V348" s="421"/>
      <c r="W348" s="421"/>
      <c r="X348" s="421"/>
      <c r="Y348" s="421"/>
      <c r="Z348" s="421"/>
    </row>
    <row r="349" ht="22.5" customHeight="1" outlineLevel="1">
      <c r="A349" s="412">
        <v>237072.0</v>
      </c>
      <c r="B349" s="415" t="s">
        <v>388</v>
      </c>
      <c r="C349" s="394"/>
      <c r="D349" s="412" t="s">
        <v>26</v>
      </c>
      <c r="E349" s="414"/>
      <c r="F349" s="414"/>
      <c r="G349" s="414"/>
      <c r="H349" s="414"/>
      <c r="I349" s="397"/>
      <c r="J349" s="392"/>
      <c r="K349" s="361"/>
      <c r="L349" s="361"/>
      <c r="M349" s="361"/>
      <c r="N349" s="361"/>
      <c r="O349" s="361"/>
      <c r="P349" s="361"/>
      <c r="Q349" s="361"/>
      <c r="R349" s="361"/>
      <c r="S349" s="361"/>
      <c r="T349" s="361"/>
      <c r="U349" s="361"/>
      <c r="V349" s="361"/>
      <c r="W349" s="361"/>
      <c r="X349" s="361"/>
      <c r="Y349" s="361"/>
      <c r="Z349" s="361"/>
    </row>
    <row r="350" ht="22.5" customHeight="1" outlineLevel="1">
      <c r="A350" s="412">
        <v>237129.0</v>
      </c>
      <c r="B350" s="415" t="s">
        <v>390</v>
      </c>
      <c r="C350" s="394"/>
      <c r="D350" s="412" t="s">
        <v>26</v>
      </c>
      <c r="E350" s="414"/>
      <c r="F350" s="414"/>
      <c r="G350" s="414"/>
      <c r="H350" s="414"/>
      <c r="I350" s="397"/>
      <c r="J350" s="392"/>
      <c r="K350" s="361"/>
      <c r="L350" s="361"/>
      <c r="M350" s="361"/>
      <c r="N350" s="361"/>
      <c r="O350" s="361"/>
      <c r="P350" s="361"/>
      <c r="Q350" s="361"/>
      <c r="R350" s="361"/>
      <c r="S350" s="361"/>
      <c r="T350" s="361"/>
      <c r="U350" s="361"/>
      <c r="V350" s="361"/>
      <c r="W350" s="361"/>
      <c r="X350" s="361"/>
      <c r="Y350" s="361"/>
      <c r="Z350" s="361"/>
    </row>
    <row r="351" ht="22.5" customHeight="1" outlineLevel="1">
      <c r="A351" s="412">
        <v>183330.0</v>
      </c>
      <c r="B351" s="415" t="s">
        <v>714</v>
      </c>
      <c r="C351" s="394"/>
      <c r="D351" s="412" t="s">
        <v>26</v>
      </c>
      <c r="E351" s="414"/>
      <c r="F351" s="414"/>
      <c r="G351" s="414"/>
      <c r="H351" s="414"/>
      <c r="I351" s="397"/>
      <c r="J351" s="392"/>
      <c r="K351" s="361"/>
      <c r="L351" s="361"/>
      <c r="M351" s="361"/>
      <c r="N351" s="361"/>
      <c r="O351" s="361"/>
      <c r="P351" s="361"/>
      <c r="Q351" s="361"/>
      <c r="R351" s="361"/>
      <c r="S351" s="361"/>
      <c r="T351" s="361"/>
      <c r="U351" s="361"/>
      <c r="V351" s="361"/>
      <c r="W351" s="361"/>
      <c r="X351" s="361"/>
      <c r="Y351" s="361"/>
      <c r="Z351" s="361"/>
    </row>
    <row r="352" ht="22.5" customHeight="1" outlineLevel="1">
      <c r="A352" s="412">
        <v>213929.0</v>
      </c>
      <c r="B352" s="415" t="s">
        <v>1992</v>
      </c>
      <c r="C352" s="394"/>
      <c r="D352" s="412" t="s">
        <v>26</v>
      </c>
      <c r="E352" s="414"/>
      <c r="F352" s="414"/>
      <c r="G352" s="414"/>
      <c r="H352" s="414"/>
      <c r="I352" s="397"/>
      <c r="J352" s="392"/>
      <c r="K352" s="361"/>
      <c r="L352" s="361"/>
      <c r="M352" s="361"/>
      <c r="N352" s="361"/>
      <c r="O352" s="361"/>
      <c r="P352" s="361"/>
      <c r="Q352" s="361"/>
      <c r="R352" s="361"/>
      <c r="S352" s="361"/>
      <c r="T352" s="361"/>
      <c r="U352" s="361"/>
      <c r="V352" s="361"/>
      <c r="W352" s="361"/>
      <c r="X352" s="361"/>
      <c r="Y352" s="361"/>
      <c r="Z352" s="361"/>
    </row>
    <row r="353" ht="22.5" customHeight="1" outlineLevel="1">
      <c r="A353" s="412">
        <v>247082.0</v>
      </c>
      <c r="B353" s="415" t="s">
        <v>1342</v>
      </c>
      <c r="C353" s="394"/>
      <c r="D353" s="412" t="s">
        <v>26</v>
      </c>
      <c r="E353" s="414"/>
      <c r="F353" s="414"/>
      <c r="G353" s="414"/>
      <c r="H353" s="414"/>
      <c r="I353" s="397"/>
      <c r="J353" s="392"/>
      <c r="K353" s="361"/>
      <c r="L353" s="361"/>
      <c r="M353" s="361"/>
      <c r="N353" s="361"/>
      <c r="O353" s="361"/>
      <c r="P353" s="361"/>
      <c r="Q353" s="361"/>
      <c r="R353" s="361"/>
      <c r="S353" s="361"/>
      <c r="T353" s="361"/>
      <c r="U353" s="361"/>
      <c r="V353" s="361"/>
      <c r="W353" s="361"/>
      <c r="X353" s="361"/>
      <c r="Y353" s="361"/>
      <c r="Z353" s="361"/>
    </row>
    <row r="354" ht="22.5" customHeight="1" outlineLevel="1">
      <c r="A354" s="412">
        <v>227058.0</v>
      </c>
      <c r="B354" s="415" t="s">
        <v>385</v>
      </c>
      <c r="C354" s="394"/>
      <c r="D354" s="412" t="s">
        <v>26</v>
      </c>
      <c r="E354" s="414"/>
      <c r="F354" s="414"/>
      <c r="G354" s="414"/>
      <c r="H354" s="414"/>
      <c r="I354" s="397"/>
      <c r="J354" s="392"/>
      <c r="K354" s="361"/>
      <c r="L354" s="361"/>
      <c r="M354" s="361"/>
      <c r="N354" s="361"/>
      <c r="O354" s="361"/>
      <c r="P354" s="361"/>
      <c r="Q354" s="361"/>
      <c r="R354" s="361"/>
      <c r="S354" s="361"/>
      <c r="T354" s="361"/>
      <c r="U354" s="361"/>
      <c r="V354" s="361"/>
      <c r="W354" s="361"/>
      <c r="X354" s="361"/>
      <c r="Y354" s="361"/>
      <c r="Z354" s="361"/>
    </row>
    <row r="355" ht="22.5" customHeight="1" outlineLevel="1">
      <c r="A355" s="412">
        <v>213844.0</v>
      </c>
      <c r="B355" s="415" t="s">
        <v>708</v>
      </c>
      <c r="C355" s="394"/>
      <c r="D355" s="412" t="s">
        <v>26</v>
      </c>
      <c r="E355" s="414"/>
      <c r="F355" s="414"/>
      <c r="G355" s="414"/>
      <c r="H355" s="414"/>
      <c r="I355" s="397"/>
      <c r="J355" s="392"/>
      <c r="K355" s="361"/>
      <c r="L355" s="361"/>
      <c r="M355" s="361"/>
      <c r="N355" s="361"/>
      <c r="O355" s="361"/>
      <c r="P355" s="361"/>
      <c r="Q355" s="361"/>
      <c r="R355" s="361"/>
      <c r="S355" s="361"/>
      <c r="T355" s="361"/>
      <c r="U355" s="361"/>
      <c r="V355" s="361"/>
      <c r="W355" s="361"/>
      <c r="X355" s="361"/>
      <c r="Y355" s="361"/>
      <c r="Z355" s="361"/>
    </row>
    <row r="356" ht="22.5" customHeight="1" outlineLevel="1">
      <c r="A356" s="412">
        <v>173268.0</v>
      </c>
      <c r="B356" s="415" t="s">
        <v>636</v>
      </c>
      <c r="C356" s="394"/>
      <c r="D356" s="412" t="s">
        <v>26</v>
      </c>
      <c r="E356" s="414"/>
      <c r="F356" s="414"/>
      <c r="G356" s="414"/>
      <c r="H356" s="414"/>
      <c r="I356" s="397"/>
      <c r="J356" s="392"/>
      <c r="K356" s="361"/>
      <c r="L356" s="361"/>
      <c r="M356" s="361"/>
      <c r="N356" s="361"/>
      <c r="O356" s="361"/>
      <c r="P356" s="361"/>
      <c r="Q356" s="361"/>
      <c r="R356" s="361"/>
      <c r="S356" s="361"/>
      <c r="T356" s="361"/>
      <c r="U356" s="361"/>
      <c r="V356" s="361"/>
      <c r="W356" s="361"/>
      <c r="X356" s="361"/>
      <c r="Y356" s="361"/>
      <c r="Z356" s="361"/>
    </row>
    <row r="357" ht="22.5" customHeight="1" outlineLevel="1">
      <c r="A357" s="412">
        <v>193490.0</v>
      </c>
      <c r="B357" s="415" t="s">
        <v>634</v>
      </c>
      <c r="C357" s="394"/>
      <c r="D357" s="412" t="s">
        <v>26</v>
      </c>
      <c r="E357" s="414"/>
      <c r="F357" s="414"/>
      <c r="G357" s="414"/>
      <c r="H357" s="414"/>
      <c r="I357" s="397"/>
      <c r="J357" s="392"/>
      <c r="K357" s="361"/>
      <c r="L357" s="361"/>
      <c r="M357" s="361"/>
      <c r="N357" s="361"/>
      <c r="O357" s="361"/>
      <c r="P357" s="361"/>
      <c r="Q357" s="361"/>
      <c r="R357" s="361"/>
      <c r="S357" s="361"/>
      <c r="T357" s="361"/>
      <c r="U357" s="361"/>
      <c r="V357" s="361"/>
      <c r="W357" s="361"/>
      <c r="X357" s="361"/>
      <c r="Y357" s="361"/>
      <c r="Z357" s="361"/>
    </row>
    <row r="358" ht="22.5" customHeight="1" outlineLevel="1">
      <c r="A358" s="412">
        <v>217001.0</v>
      </c>
      <c r="B358" s="415" t="s">
        <v>638</v>
      </c>
      <c r="C358" s="394"/>
      <c r="D358" s="412" t="s">
        <v>26</v>
      </c>
      <c r="E358" s="414"/>
      <c r="F358" s="414"/>
      <c r="G358" s="414"/>
      <c r="H358" s="414"/>
      <c r="I358" s="397"/>
      <c r="J358" s="392"/>
      <c r="K358" s="361"/>
      <c r="L358" s="361"/>
      <c r="M358" s="361"/>
      <c r="N358" s="361"/>
      <c r="O358" s="361"/>
      <c r="P358" s="361"/>
      <c r="Q358" s="361"/>
      <c r="R358" s="361"/>
      <c r="S358" s="361"/>
      <c r="T358" s="361"/>
      <c r="U358" s="361"/>
      <c r="V358" s="361"/>
      <c r="W358" s="361"/>
      <c r="X358" s="361"/>
      <c r="Y358" s="361"/>
      <c r="Z358" s="361"/>
    </row>
    <row r="359" ht="22.5" customHeight="1" outlineLevel="1">
      <c r="A359" s="412">
        <v>247064.0</v>
      </c>
      <c r="B359" s="415" t="s">
        <v>712</v>
      </c>
      <c r="C359" s="394"/>
      <c r="D359" s="412" t="s">
        <v>26</v>
      </c>
      <c r="E359" s="414"/>
      <c r="F359" s="414"/>
      <c r="G359" s="414"/>
      <c r="H359" s="414"/>
      <c r="I359" s="397"/>
      <c r="J359" s="392"/>
      <c r="K359" s="361"/>
      <c r="L359" s="361"/>
      <c r="M359" s="361"/>
      <c r="N359" s="361"/>
      <c r="O359" s="361"/>
      <c r="P359" s="361"/>
      <c r="Q359" s="361"/>
      <c r="R359" s="361"/>
      <c r="S359" s="361"/>
      <c r="T359" s="361"/>
      <c r="U359" s="361"/>
      <c r="V359" s="361"/>
      <c r="W359" s="361"/>
      <c r="X359" s="361"/>
      <c r="Y359" s="361"/>
      <c r="Z359" s="361"/>
    </row>
    <row r="360" ht="22.5" customHeight="1" outlineLevel="1">
      <c r="A360" s="412">
        <v>193496.0</v>
      </c>
      <c r="B360" s="415" t="s">
        <v>632</v>
      </c>
      <c r="C360" s="394"/>
      <c r="D360" s="412" t="s">
        <v>26</v>
      </c>
      <c r="E360" s="414"/>
      <c r="F360" s="414"/>
      <c r="G360" s="414"/>
      <c r="H360" s="414"/>
      <c r="I360" s="397"/>
      <c r="J360" s="392"/>
      <c r="K360" s="361"/>
      <c r="L360" s="361"/>
      <c r="M360" s="361"/>
      <c r="N360" s="361"/>
      <c r="O360" s="361"/>
      <c r="P360" s="361"/>
      <c r="Q360" s="361"/>
      <c r="R360" s="361"/>
      <c r="S360" s="361"/>
      <c r="T360" s="361"/>
      <c r="U360" s="361"/>
      <c r="V360" s="361"/>
      <c r="W360" s="361"/>
      <c r="X360" s="361"/>
      <c r="Y360" s="361"/>
      <c r="Z360" s="361"/>
    </row>
    <row r="361" ht="22.5" customHeight="1" outlineLevel="1">
      <c r="A361" s="412">
        <v>173246.0</v>
      </c>
      <c r="B361" s="415" t="s">
        <v>710</v>
      </c>
      <c r="C361" s="394"/>
      <c r="D361" s="412" t="s">
        <v>26</v>
      </c>
      <c r="E361" s="414"/>
      <c r="F361" s="414"/>
      <c r="G361" s="414"/>
      <c r="H361" s="414"/>
      <c r="I361" s="397"/>
      <c r="J361" s="392"/>
      <c r="K361" s="361"/>
      <c r="L361" s="361"/>
      <c r="M361" s="361"/>
      <c r="N361" s="361"/>
      <c r="O361" s="361"/>
      <c r="P361" s="361"/>
      <c r="Q361" s="361"/>
      <c r="R361" s="361"/>
      <c r="S361" s="361"/>
      <c r="T361" s="361"/>
      <c r="U361" s="361"/>
      <c r="V361" s="361"/>
      <c r="W361" s="361"/>
      <c r="X361" s="361"/>
      <c r="Y361" s="361"/>
      <c r="Z361" s="361"/>
    </row>
    <row r="362" ht="22.5" customHeight="1" outlineLevel="1">
      <c r="A362" s="412">
        <v>183322.0</v>
      </c>
      <c r="B362" s="415" t="s">
        <v>706</v>
      </c>
      <c r="C362" s="394"/>
      <c r="D362" s="412" t="s">
        <v>26</v>
      </c>
      <c r="E362" s="414"/>
      <c r="F362" s="414"/>
      <c r="G362" s="414"/>
      <c r="H362" s="414"/>
      <c r="I362" s="397"/>
      <c r="J362" s="392"/>
      <c r="K362" s="361"/>
      <c r="L362" s="361"/>
      <c r="M362" s="361"/>
      <c r="N362" s="361"/>
      <c r="O362" s="361"/>
      <c r="P362" s="361"/>
      <c r="Q362" s="361"/>
      <c r="R362" s="361"/>
      <c r="S362" s="361"/>
      <c r="T362" s="361"/>
      <c r="U362" s="361"/>
      <c r="V362" s="361"/>
      <c r="W362" s="361"/>
      <c r="X362" s="361"/>
      <c r="Y362" s="361"/>
      <c r="Z362" s="361"/>
    </row>
    <row r="363" ht="22.5" customHeight="1" outlineLevel="1">
      <c r="A363" s="412">
        <v>227091.0</v>
      </c>
      <c r="B363" s="415" t="s">
        <v>716</v>
      </c>
      <c r="C363" s="394"/>
      <c r="D363" s="412" t="s">
        <v>26</v>
      </c>
      <c r="E363" s="414"/>
      <c r="F363" s="414"/>
      <c r="G363" s="414"/>
      <c r="H363" s="414"/>
      <c r="I363" s="397"/>
      <c r="J363" s="392"/>
      <c r="K363" s="361"/>
      <c r="L363" s="361"/>
      <c r="M363" s="361"/>
      <c r="N363" s="361"/>
      <c r="O363" s="361"/>
      <c r="P363" s="361"/>
      <c r="Q363" s="361"/>
      <c r="R363" s="361"/>
      <c r="S363" s="361"/>
      <c r="T363" s="361"/>
      <c r="U363" s="361"/>
      <c r="V363" s="361"/>
      <c r="W363" s="361"/>
      <c r="X363" s="361"/>
      <c r="Y363" s="361"/>
      <c r="Z363" s="361"/>
    </row>
    <row r="364" ht="15.75" customHeight="1" outlineLevel="1">
      <c r="A364" s="417"/>
      <c r="C364" s="418"/>
      <c r="D364" s="419"/>
      <c r="E364" s="419"/>
      <c r="F364" s="419"/>
      <c r="G364" s="419"/>
      <c r="H364" s="419"/>
      <c r="I364" s="420">
        <f>counta(A365:A1379)</f>
        <v>11</v>
      </c>
      <c r="J364" s="419"/>
      <c r="K364" s="421"/>
      <c r="L364" s="421"/>
      <c r="M364" s="421"/>
      <c r="N364" s="421"/>
      <c r="O364" s="421"/>
      <c r="P364" s="421"/>
      <c r="Q364" s="421"/>
      <c r="R364" s="421"/>
      <c r="S364" s="421"/>
      <c r="T364" s="421"/>
      <c r="U364" s="421"/>
      <c r="V364" s="421"/>
      <c r="W364" s="421"/>
      <c r="X364" s="421"/>
      <c r="Y364" s="421"/>
      <c r="Z364" s="421"/>
    </row>
    <row r="365" ht="22.5" customHeight="1" outlineLevel="1">
      <c r="A365" s="412">
        <v>213817.0</v>
      </c>
      <c r="B365" s="415" t="s">
        <v>606</v>
      </c>
      <c r="C365" s="394"/>
      <c r="D365" s="412" t="s">
        <v>849</v>
      </c>
      <c r="E365" s="414"/>
      <c r="F365" s="414"/>
      <c r="G365" s="414"/>
      <c r="H365" s="414"/>
      <c r="I365" s="397"/>
      <c r="J365" s="392"/>
      <c r="K365" s="361"/>
      <c r="L365" s="361"/>
      <c r="M365" s="361"/>
      <c r="N365" s="361"/>
      <c r="O365" s="361"/>
      <c r="P365" s="361"/>
      <c r="Q365" s="361"/>
      <c r="R365" s="361"/>
      <c r="S365" s="361"/>
      <c r="T365" s="361"/>
      <c r="U365" s="361"/>
      <c r="V365" s="361"/>
      <c r="W365" s="361"/>
      <c r="X365" s="361"/>
      <c r="Y365" s="361"/>
      <c r="Z365" s="361"/>
    </row>
    <row r="366" ht="22.5" customHeight="1" outlineLevel="1">
      <c r="A366" s="412">
        <v>257132.0</v>
      </c>
      <c r="B366" s="415" t="s">
        <v>442</v>
      </c>
      <c r="C366" s="394"/>
      <c r="D366" s="412" t="s">
        <v>26</v>
      </c>
      <c r="E366" s="414"/>
      <c r="F366" s="414"/>
      <c r="G366" s="414"/>
      <c r="H366" s="414"/>
      <c r="I366" s="397"/>
      <c r="J366" s="392"/>
      <c r="K366" s="361"/>
      <c r="L366" s="361"/>
      <c r="M366" s="361"/>
      <c r="N366" s="361"/>
      <c r="O366" s="361"/>
      <c r="P366" s="361"/>
      <c r="Q366" s="361"/>
      <c r="R366" s="361"/>
      <c r="S366" s="361"/>
      <c r="T366" s="361"/>
      <c r="U366" s="361"/>
      <c r="V366" s="361"/>
      <c r="W366" s="361"/>
      <c r="X366" s="361"/>
      <c r="Y366" s="361"/>
      <c r="Z366" s="361"/>
    </row>
    <row r="367" ht="22.5" customHeight="1" outlineLevel="1">
      <c r="A367" s="412">
        <v>257133.0</v>
      </c>
      <c r="B367" s="415" t="s">
        <v>436</v>
      </c>
      <c r="C367" s="394"/>
      <c r="D367" s="412" t="s">
        <v>26</v>
      </c>
      <c r="E367" s="414"/>
      <c r="F367" s="414"/>
      <c r="G367" s="414"/>
      <c r="H367" s="414"/>
      <c r="I367" s="397"/>
      <c r="J367" s="392"/>
      <c r="K367" s="361"/>
      <c r="L367" s="361"/>
      <c r="M367" s="361"/>
      <c r="N367" s="361"/>
      <c r="O367" s="361"/>
      <c r="P367" s="361"/>
      <c r="Q367" s="361"/>
      <c r="R367" s="361"/>
      <c r="S367" s="361"/>
      <c r="T367" s="361"/>
      <c r="U367" s="361"/>
      <c r="V367" s="361"/>
      <c r="W367" s="361"/>
      <c r="X367" s="361"/>
      <c r="Y367" s="361"/>
      <c r="Z367" s="361"/>
    </row>
    <row r="368" ht="22.5" customHeight="1" outlineLevel="1">
      <c r="A368" s="412">
        <v>193511.0</v>
      </c>
      <c r="B368" s="415" t="s">
        <v>444</v>
      </c>
      <c r="C368" s="394"/>
      <c r="D368" s="412" t="s">
        <v>26</v>
      </c>
      <c r="E368" s="414"/>
      <c r="F368" s="414"/>
      <c r="G368" s="414"/>
      <c r="H368" s="414"/>
      <c r="I368" s="397"/>
      <c r="J368" s="392"/>
      <c r="K368" s="361"/>
      <c r="L368" s="361"/>
      <c r="M368" s="361"/>
      <c r="N368" s="361"/>
      <c r="O368" s="361"/>
      <c r="P368" s="361"/>
      <c r="Q368" s="361"/>
      <c r="R368" s="361"/>
      <c r="S368" s="361"/>
      <c r="T368" s="361"/>
      <c r="U368" s="361"/>
      <c r="V368" s="361"/>
      <c r="W368" s="361"/>
      <c r="X368" s="361"/>
      <c r="Y368" s="361"/>
      <c r="Z368" s="361"/>
    </row>
    <row r="369" ht="15.75" customHeight="1" outlineLevel="1">
      <c r="A369" s="417"/>
      <c r="C369" s="418"/>
      <c r="D369" s="419"/>
      <c r="E369" s="419"/>
      <c r="F369" s="419"/>
      <c r="G369" s="419"/>
      <c r="H369" s="419"/>
      <c r="I369" s="420">
        <f>counta(A370:A1384)</f>
        <v>7</v>
      </c>
      <c r="J369" s="419"/>
      <c r="K369" s="421"/>
      <c r="L369" s="421"/>
      <c r="M369" s="421"/>
      <c r="N369" s="421"/>
      <c r="O369" s="421"/>
      <c r="P369" s="421"/>
      <c r="Q369" s="421"/>
      <c r="R369" s="421"/>
      <c r="S369" s="421"/>
      <c r="T369" s="421"/>
      <c r="U369" s="421"/>
      <c r="V369" s="421"/>
      <c r="W369" s="421"/>
      <c r="X369" s="421"/>
      <c r="Y369" s="421"/>
      <c r="Z369" s="421"/>
    </row>
    <row r="370" ht="22.5" customHeight="1" outlineLevel="1">
      <c r="A370" s="222" t="s">
        <v>791</v>
      </c>
      <c r="B370" s="423" t="s">
        <v>792</v>
      </c>
      <c r="C370" s="394"/>
      <c r="D370" s="412"/>
      <c r="E370" s="414"/>
      <c r="F370" s="414"/>
      <c r="G370" s="414"/>
      <c r="H370" s="414"/>
      <c r="I370" s="397"/>
      <c r="J370" s="392"/>
      <c r="K370" s="361"/>
      <c r="L370" s="361"/>
      <c r="M370" s="361"/>
      <c r="N370" s="361"/>
      <c r="O370" s="361"/>
      <c r="P370" s="361"/>
      <c r="Q370" s="361"/>
      <c r="R370" s="361"/>
      <c r="S370" s="361"/>
      <c r="T370" s="361"/>
      <c r="U370" s="361"/>
      <c r="V370" s="361"/>
      <c r="W370" s="361"/>
      <c r="X370" s="361"/>
      <c r="Y370" s="361"/>
      <c r="Z370" s="361"/>
    </row>
    <row r="371" ht="22.5" customHeight="1" outlineLevel="1">
      <c r="A371" s="424" t="s">
        <v>793</v>
      </c>
      <c r="B371" s="425" t="s">
        <v>794</v>
      </c>
      <c r="C371" s="394"/>
      <c r="D371" s="412"/>
      <c r="E371" s="414"/>
      <c r="F371" s="414"/>
      <c r="G371" s="414"/>
      <c r="H371" s="414"/>
      <c r="I371" s="397"/>
      <c r="J371" s="392"/>
      <c r="K371" s="361"/>
      <c r="L371" s="361"/>
      <c r="M371" s="361"/>
      <c r="N371" s="361"/>
      <c r="O371" s="361"/>
      <c r="P371" s="361"/>
      <c r="Q371" s="361"/>
      <c r="R371" s="361"/>
      <c r="S371" s="361"/>
      <c r="T371" s="361"/>
      <c r="U371" s="361"/>
      <c r="V371" s="361"/>
      <c r="W371" s="361"/>
      <c r="X371" s="361"/>
      <c r="Y371" s="361"/>
      <c r="Z371" s="361"/>
    </row>
    <row r="372" ht="22.5" customHeight="1" outlineLevel="1">
      <c r="A372" s="424" t="s">
        <v>795</v>
      </c>
      <c r="B372" s="425" t="s">
        <v>796</v>
      </c>
      <c r="C372" s="394"/>
      <c r="D372" s="412"/>
      <c r="E372" s="414"/>
      <c r="F372" s="414"/>
      <c r="G372" s="414"/>
      <c r="H372" s="414"/>
      <c r="I372" s="397"/>
      <c r="J372" s="392"/>
      <c r="K372" s="361"/>
      <c r="L372" s="361"/>
      <c r="M372" s="361"/>
      <c r="N372" s="361"/>
      <c r="O372" s="361"/>
      <c r="P372" s="361"/>
      <c r="Q372" s="361"/>
      <c r="R372" s="361"/>
      <c r="S372" s="361"/>
      <c r="T372" s="361"/>
      <c r="U372" s="361"/>
      <c r="V372" s="361"/>
      <c r="W372" s="361"/>
      <c r="X372" s="361"/>
      <c r="Y372" s="361"/>
      <c r="Z372" s="361"/>
    </row>
    <row r="373" ht="22.5" customHeight="1" outlineLevel="1">
      <c r="A373" s="424" t="s">
        <v>797</v>
      </c>
      <c r="B373" s="425" t="s">
        <v>798</v>
      </c>
      <c r="C373" s="394"/>
      <c r="D373" s="412"/>
      <c r="E373" s="414"/>
      <c r="F373" s="414"/>
      <c r="G373" s="414"/>
      <c r="H373" s="414"/>
      <c r="I373" s="397"/>
      <c r="J373" s="392"/>
      <c r="K373" s="361"/>
      <c r="L373" s="361"/>
      <c r="M373" s="361"/>
      <c r="N373" s="361"/>
      <c r="O373" s="361"/>
      <c r="P373" s="361"/>
      <c r="Q373" s="361"/>
      <c r="R373" s="361"/>
      <c r="S373" s="361"/>
      <c r="T373" s="361"/>
      <c r="U373" s="361"/>
      <c r="V373" s="361"/>
      <c r="W373" s="361"/>
      <c r="X373" s="361"/>
      <c r="Y373" s="361"/>
      <c r="Z373" s="361"/>
    </row>
    <row r="374" ht="22.5" customHeight="1" outlineLevel="1">
      <c r="A374" s="424" t="s">
        <v>799</v>
      </c>
      <c r="B374" s="425" t="s">
        <v>800</v>
      </c>
      <c r="C374" s="394"/>
      <c r="D374" s="412"/>
      <c r="E374" s="414"/>
      <c r="F374" s="414"/>
      <c r="G374" s="414"/>
      <c r="H374" s="414"/>
      <c r="I374" s="397"/>
      <c r="J374" s="392"/>
      <c r="K374" s="361"/>
      <c r="L374" s="361"/>
      <c r="M374" s="361"/>
      <c r="N374" s="361"/>
      <c r="O374" s="361"/>
      <c r="P374" s="361"/>
      <c r="Q374" s="361"/>
      <c r="R374" s="361"/>
      <c r="S374" s="361"/>
      <c r="T374" s="361"/>
      <c r="U374" s="361"/>
      <c r="V374" s="361"/>
      <c r="W374" s="361"/>
      <c r="X374" s="361"/>
      <c r="Y374" s="361"/>
      <c r="Z374" s="361"/>
    </row>
    <row r="375" ht="22.5" customHeight="1" outlineLevel="1">
      <c r="A375" s="424" t="s">
        <v>801</v>
      </c>
      <c r="B375" s="425" t="s">
        <v>802</v>
      </c>
      <c r="C375" s="394"/>
      <c r="D375" s="412"/>
      <c r="E375" s="414"/>
      <c r="F375" s="414"/>
      <c r="G375" s="414"/>
      <c r="H375" s="414"/>
      <c r="I375" s="397"/>
      <c r="J375" s="392"/>
      <c r="K375" s="361"/>
      <c r="L375" s="361"/>
      <c r="M375" s="361"/>
      <c r="N375" s="361"/>
      <c r="O375" s="361"/>
      <c r="P375" s="361"/>
      <c r="Q375" s="361"/>
      <c r="R375" s="361"/>
      <c r="S375" s="361"/>
      <c r="T375" s="361"/>
      <c r="U375" s="361"/>
      <c r="V375" s="361"/>
      <c r="W375" s="361"/>
      <c r="X375" s="361"/>
      <c r="Y375" s="361"/>
      <c r="Z375" s="361"/>
    </row>
    <row r="376" ht="22.5" customHeight="1" outlineLevel="1">
      <c r="A376" s="424" t="s">
        <v>803</v>
      </c>
      <c r="B376" s="425" t="s">
        <v>804</v>
      </c>
      <c r="C376" s="394"/>
      <c r="D376" s="412"/>
      <c r="E376" s="414"/>
      <c r="F376" s="414"/>
      <c r="G376" s="414"/>
      <c r="H376" s="414"/>
      <c r="I376" s="397"/>
      <c r="J376" s="392"/>
      <c r="K376" s="361"/>
      <c r="L376" s="361"/>
      <c r="M376" s="361"/>
      <c r="N376" s="361"/>
      <c r="O376" s="361"/>
      <c r="P376" s="361"/>
      <c r="Q376" s="361"/>
      <c r="R376" s="361"/>
      <c r="S376" s="361"/>
      <c r="T376" s="361"/>
      <c r="U376" s="361"/>
      <c r="V376" s="361"/>
      <c r="W376" s="361"/>
      <c r="X376" s="361"/>
      <c r="Y376" s="361"/>
      <c r="Z376" s="361"/>
    </row>
    <row r="377" ht="22.5" customHeight="1" outlineLevel="1">
      <c r="A377" s="412"/>
      <c r="B377" s="415"/>
      <c r="C377" s="394"/>
      <c r="D377" s="412"/>
      <c r="E377" s="414"/>
      <c r="F377" s="414"/>
      <c r="G377" s="414"/>
      <c r="H377" s="414"/>
      <c r="I377" s="397"/>
      <c r="J377" s="392"/>
      <c r="K377" s="361"/>
      <c r="L377" s="361"/>
      <c r="M377" s="361"/>
      <c r="N377" s="361"/>
      <c r="O377" s="361"/>
      <c r="P377" s="361"/>
      <c r="Q377" s="361"/>
      <c r="R377" s="361"/>
      <c r="S377" s="361"/>
      <c r="T377" s="361"/>
      <c r="U377" s="361"/>
      <c r="V377" s="361"/>
      <c r="W377" s="361"/>
      <c r="X377" s="361"/>
      <c r="Y377" s="361"/>
      <c r="Z377" s="361"/>
    </row>
    <row r="378" ht="22.5" customHeight="1" outlineLevel="1">
      <c r="A378" s="412"/>
      <c r="B378" s="415"/>
      <c r="C378" s="394"/>
      <c r="D378" s="412"/>
      <c r="E378" s="414"/>
      <c r="F378" s="414"/>
      <c r="G378" s="414"/>
      <c r="H378" s="414"/>
      <c r="I378" s="397"/>
      <c r="J378" s="392"/>
      <c r="K378" s="361"/>
      <c r="L378" s="361"/>
      <c r="M378" s="361"/>
      <c r="N378" s="361"/>
      <c r="O378" s="361"/>
      <c r="P378" s="361"/>
      <c r="Q378" s="361"/>
      <c r="R378" s="361"/>
      <c r="S378" s="361"/>
      <c r="T378" s="361"/>
      <c r="U378" s="361"/>
      <c r="V378" s="361"/>
      <c r="W378" s="361"/>
      <c r="X378" s="361"/>
      <c r="Y378" s="361"/>
      <c r="Z378" s="361"/>
    </row>
    <row r="379" ht="22.5" customHeight="1" outlineLevel="1">
      <c r="A379" s="412"/>
      <c r="B379" s="415"/>
      <c r="C379" s="394"/>
      <c r="D379" s="412"/>
      <c r="E379" s="414"/>
      <c r="F379" s="414"/>
      <c r="G379" s="414"/>
      <c r="H379" s="414"/>
      <c r="I379" s="397"/>
      <c r="J379" s="392"/>
      <c r="K379" s="361"/>
      <c r="L379" s="361"/>
      <c r="M379" s="361"/>
      <c r="N379" s="361"/>
      <c r="O379" s="361"/>
      <c r="P379" s="361"/>
      <c r="Q379" s="361"/>
      <c r="R379" s="361"/>
      <c r="S379" s="361"/>
      <c r="T379" s="361"/>
      <c r="U379" s="361"/>
      <c r="V379" s="361"/>
      <c r="W379" s="361"/>
      <c r="X379" s="361"/>
      <c r="Y379" s="361"/>
      <c r="Z379" s="361"/>
    </row>
    <row r="380" ht="22.5" customHeight="1" outlineLevel="1">
      <c r="A380" s="412"/>
      <c r="B380" s="415"/>
      <c r="C380" s="394"/>
      <c r="D380" s="412"/>
      <c r="E380" s="414"/>
      <c r="F380" s="414"/>
      <c r="G380" s="414"/>
      <c r="H380" s="414"/>
      <c r="I380" s="397"/>
      <c r="J380" s="392"/>
      <c r="K380" s="361"/>
      <c r="L380" s="361"/>
      <c r="M380" s="361"/>
      <c r="N380" s="361"/>
      <c r="O380" s="361"/>
      <c r="P380" s="361"/>
      <c r="Q380" s="361"/>
      <c r="R380" s="361"/>
      <c r="S380" s="361"/>
      <c r="T380" s="361"/>
      <c r="U380" s="361"/>
      <c r="V380" s="361"/>
      <c r="W380" s="361"/>
      <c r="X380" s="361"/>
      <c r="Y380" s="361"/>
      <c r="Z380" s="361"/>
    </row>
    <row r="381" ht="22.5" customHeight="1" outlineLevel="1">
      <c r="A381" s="412"/>
      <c r="B381" s="415"/>
      <c r="C381" s="394"/>
      <c r="D381" s="412"/>
      <c r="E381" s="414"/>
      <c r="F381" s="414"/>
      <c r="G381" s="414"/>
      <c r="H381" s="414"/>
      <c r="I381" s="397"/>
      <c r="J381" s="392"/>
      <c r="K381" s="361"/>
      <c r="L381" s="361"/>
      <c r="M381" s="361"/>
      <c r="N381" s="361"/>
      <c r="O381" s="361"/>
      <c r="P381" s="361"/>
      <c r="Q381" s="361"/>
      <c r="R381" s="361"/>
      <c r="S381" s="361"/>
      <c r="T381" s="361"/>
      <c r="U381" s="361"/>
      <c r="V381" s="361"/>
      <c r="W381" s="361"/>
      <c r="X381" s="361"/>
      <c r="Y381" s="361"/>
      <c r="Z381" s="361"/>
    </row>
    <row r="382" ht="22.5" customHeight="1" outlineLevel="1">
      <c r="A382" s="412"/>
      <c r="B382" s="415"/>
      <c r="C382" s="394"/>
      <c r="D382" s="412"/>
      <c r="E382" s="414"/>
      <c r="F382" s="414"/>
      <c r="G382" s="414"/>
      <c r="H382" s="414"/>
      <c r="I382" s="397"/>
      <c r="J382" s="392"/>
      <c r="K382" s="361"/>
      <c r="L382" s="361"/>
      <c r="M382" s="361"/>
      <c r="N382" s="361"/>
      <c r="O382" s="361"/>
      <c r="P382" s="361"/>
      <c r="Q382" s="361"/>
      <c r="R382" s="361"/>
      <c r="S382" s="361"/>
      <c r="T382" s="361"/>
      <c r="U382" s="361"/>
      <c r="V382" s="361"/>
      <c r="W382" s="361"/>
      <c r="X382" s="361"/>
      <c r="Y382" s="361"/>
      <c r="Z382" s="361"/>
    </row>
    <row r="383" ht="22.5" customHeight="1" outlineLevel="1">
      <c r="A383" s="412"/>
      <c r="B383" s="415"/>
      <c r="C383" s="394"/>
      <c r="D383" s="412"/>
      <c r="E383" s="414"/>
      <c r="F383" s="414"/>
      <c r="G383" s="414"/>
      <c r="H383" s="414"/>
      <c r="I383" s="397"/>
      <c r="J383" s="392"/>
      <c r="K383" s="361"/>
      <c r="L383" s="361"/>
      <c r="M383" s="361"/>
      <c r="N383" s="361"/>
      <c r="O383" s="361"/>
      <c r="P383" s="361"/>
      <c r="Q383" s="361"/>
      <c r="R383" s="361"/>
      <c r="S383" s="361"/>
      <c r="T383" s="361"/>
      <c r="U383" s="361"/>
      <c r="V383" s="361"/>
      <c r="W383" s="361"/>
      <c r="X383" s="361"/>
      <c r="Y383" s="361"/>
      <c r="Z383" s="361"/>
    </row>
    <row r="384" ht="22.5" customHeight="1" outlineLevel="1">
      <c r="A384" s="412"/>
      <c r="B384" s="415"/>
      <c r="C384" s="394"/>
      <c r="D384" s="412"/>
      <c r="E384" s="414"/>
      <c r="F384" s="414"/>
      <c r="G384" s="414"/>
      <c r="H384" s="414"/>
      <c r="I384" s="397"/>
      <c r="J384" s="392"/>
      <c r="K384" s="361"/>
      <c r="L384" s="361"/>
      <c r="M384" s="361"/>
      <c r="N384" s="361"/>
      <c r="O384" s="361"/>
      <c r="P384" s="361"/>
      <c r="Q384" s="361"/>
      <c r="R384" s="361"/>
      <c r="S384" s="361"/>
      <c r="T384" s="361"/>
      <c r="U384" s="361"/>
      <c r="V384" s="361"/>
      <c r="W384" s="361"/>
      <c r="X384" s="361"/>
      <c r="Y384" s="361"/>
      <c r="Z384" s="361"/>
    </row>
    <row r="385" ht="22.5" customHeight="1" outlineLevel="1">
      <c r="A385" s="412"/>
      <c r="B385" s="415"/>
      <c r="C385" s="394"/>
      <c r="D385" s="412"/>
      <c r="E385" s="414"/>
      <c r="F385" s="414"/>
      <c r="G385" s="414"/>
      <c r="H385" s="414"/>
      <c r="I385" s="397"/>
      <c r="J385" s="392"/>
      <c r="K385" s="361"/>
      <c r="L385" s="361"/>
      <c r="M385" s="361"/>
      <c r="N385" s="361"/>
      <c r="O385" s="361"/>
      <c r="P385" s="361"/>
      <c r="Q385" s="361"/>
      <c r="R385" s="361"/>
      <c r="S385" s="361"/>
      <c r="T385" s="361"/>
      <c r="U385" s="361"/>
      <c r="V385" s="361"/>
      <c r="W385" s="361"/>
      <c r="X385" s="361"/>
      <c r="Y385" s="361"/>
      <c r="Z385" s="361"/>
    </row>
    <row r="386" ht="22.5" customHeight="1" outlineLevel="1">
      <c r="A386" s="412"/>
      <c r="B386" s="415"/>
      <c r="C386" s="394"/>
      <c r="D386" s="412"/>
      <c r="E386" s="414"/>
      <c r="F386" s="414"/>
      <c r="G386" s="414"/>
      <c r="H386" s="414"/>
      <c r="I386" s="397"/>
      <c r="J386" s="392"/>
      <c r="K386" s="361"/>
      <c r="L386" s="361"/>
      <c r="M386" s="361"/>
      <c r="N386" s="361"/>
      <c r="O386" s="361"/>
      <c r="P386" s="361"/>
      <c r="Q386" s="361"/>
      <c r="R386" s="361"/>
      <c r="S386" s="361"/>
      <c r="T386" s="361"/>
      <c r="U386" s="361"/>
      <c r="V386" s="361"/>
      <c r="W386" s="361"/>
      <c r="X386" s="361"/>
      <c r="Y386" s="361"/>
      <c r="Z386" s="361"/>
    </row>
    <row r="387" ht="22.5" customHeight="1" outlineLevel="1">
      <c r="A387" s="412"/>
      <c r="B387" s="415"/>
      <c r="C387" s="394"/>
      <c r="D387" s="412"/>
      <c r="E387" s="414"/>
      <c r="F387" s="414"/>
      <c r="G387" s="414"/>
      <c r="H387" s="414"/>
      <c r="I387" s="397"/>
      <c r="J387" s="392"/>
      <c r="K387" s="361"/>
      <c r="L387" s="361"/>
      <c r="M387" s="361"/>
      <c r="N387" s="361"/>
      <c r="O387" s="361"/>
      <c r="P387" s="361"/>
      <c r="Q387" s="361"/>
      <c r="R387" s="361"/>
      <c r="S387" s="361"/>
      <c r="T387" s="361"/>
      <c r="U387" s="361"/>
      <c r="V387" s="361"/>
      <c r="W387" s="361"/>
      <c r="X387" s="361"/>
      <c r="Y387" s="361"/>
      <c r="Z387" s="361"/>
    </row>
    <row r="388" ht="22.5" customHeight="1" outlineLevel="1">
      <c r="A388" s="412"/>
      <c r="B388" s="415"/>
      <c r="C388" s="394"/>
      <c r="D388" s="412"/>
      <c r="E388" s="414"/>
      <c r="F388" s="414"/>
      <c r="G388" s="414"/>
      <c r="H388" s="414"/>
      <c r="I388" s="397"/>
      <c r="J388" s="392"/>
      <c r="K388" s="361"/>
      <c r="L388" s="361"/>
      <c r="M388" s="361"/>
      <c r="N388" s="361"/>
      <c r="O388" s="361"/>
      <c r="P388" s="361"/>
      <c r="Q388" s="361"/>
      <c r="R388" s="361"/>
      <c r="S388" s="361"/>
      <c r="T388" s="361"/>
      <c r="U388" s="361"/>
      <c r="V388" s="361"/>
      <c r="W388" s="361"/>
      <c r="X388" s="361"/>
      <c r="Y388" s="361"/>
      <c r="Z388" s="361"/>
    </row>
    <row r="389" ht="22.5" customHeight="1" outlineLevel="1">
      <c r="A389" s="412"/>
      <c r="B389" s="415"/>
      <c r="C389" s="394"/>
      <c r="D389" s="412"/>
      <c r="E389" s="414"/>
      <c r="F389" s="414"/>
      <c r="G389" s="414"/>
      <c r="H389" s="414"/>
      <c r="I389" s="397"/>
      <c r="J389" s="392"/>
      <c r="K389" s="361"/>
      <c r="L389" s="361"/>
      <c r="M389" s="361"/>
      <c r="N389" s="361"/>
      <c r="O389" s="361"/>
      <c r="P389" s="361"/>
      <c r="Q389" s="361"/>
      <c r="R389" s="361"/>
      <c r="S389" s="361"/>
      <c r="T389" s="361"/>
      <c r="U389" s="361"/>
      <c r="V389" s="361"/>
      <c r="W389" s="361"/>
      <c r="X389" s="361"/>
      <c r="Y389" s="361"/>
      <c r="Z389" s="361"/>
    </row>
    <row r="390" ht="22.5" customHeight="1" outlineLevel="1">
      <c r="A390" s="412"/>
      <c r="B390" s="415"/>
      <c r="C390" s="394"/>
      <c r="D390" s="412"/>
      <c r="E390" s="414"/>
      <c r="F390" s="414"/>
      <c r="G390" s="414"/>
      <c r="H390" s="414"/>
      <c r="I390" s="397"/>
      <c r="J390" s="392"/>
      <c r="K390" s="361"/>
      <c r="L390" s="361"/>
      <c r="M390" s="361"/>
      <c r="N390" s="361"/>
      <c r="O390" s="361"/>
      <c r="P390" s="361"/>
      <c r="Q390" s="361"/>
      <c r="R390" s="361"/>
      <c r="S390" s="361"/>
      <c r="T390" s="361"/>
      <c r="U390" s="361"/>
      <c r="V390" s="361"/>
      <c r="W390" s="361"/>
      <c r="X390" s="361"/>
      <c r="Y390" s="361"/>
      <c r="Z390" s="361"/>
    </row>
    <row r="391" ht="22.5" customHeight="1" outlineLevel="1">
      <c r="A391" s="412"/>
      <c r="B391" s="415"/>
      <c r="C391" s="394"/>
      <c r="D391" s="412"/>
      <c r="E391" s="414"/>
      <c r="F391" s="414"/>
      <c r="G391" s="414"/>
      <c r="H391" s="414"/>
      <c r="I391" s="397"/>
      <c r="J391" s="392"/>
      <c r="K391" s="361"/>
      <c r="L391" s="361"/>
      <c r="M391" s="361"/>
      <c r="N391" s="361"/>
      <c r="O391" s="361"/>
      <c r="P391" s="361"/>
      <c r="Q391" s="361"/>
      <c r="R391" s="361"/>
      <c r="S391" s="361"/>
      <c r="T391" s="361"/>
      <c r="U391" s="361"/>
      <c r="V391" s="361"/>
      <c r="W391" s="361"/>
      <c r="X391" s="361"/>
      <c r="Y391" s="361"/>
      <c r="Z391" s="361"/>
    </row>
    <row r="392" ht="22.5" customHeight="1" outlineLevel="1">
      <c r="A392" s="412"/>
      <c r="B392" s="415"/>
      <c r="C392" s="394"/>
      <c r="D392" s="412"/>
      <c r="E392" s="414"/>
      <c r="F392" s="414"/>
      <c r="G392" s="414"/>
      <c r="H392" s="414"/>
      <c r="I392" s="397"/>
      <c r="J392" s="392"/>
      <c r="K392" s="361"/>
      <c r="L392" s="361"/>
      <c r="M392" s="361"/>
      <c r="N392" s="361"/>
      <c r="O392" s="361"/>
      <c r="P392" s="361"/>
      <c r="Q392" s="361"/>
      <c r="R392" s="361"/>
      <c r="S392" s="361"/>
      <c r="T392" s="361"/>
      <c r="U392" s="361"/>
      <c r="V392" s="361"/>
      <c r="W392" s="361"/>
      <c r="X392" s="361"/>
      <c r="Y392" s="361"/>
      <c r="Z392" s="361"/>
    </row>
    <row r="393" ht="22.5" customHeight="1" outlineLevel="1">
      <c r="A393" s="412"/>
      <c r="B393" s="415"/>
      <c r="C393" s="394"/>
      <c r="D393" s="412"/>
      <c r="E393" s="414"/>
      <c r="F393" s="414"/>
      <c r="G393" s="414"/>
      <c r="H393" s="414"/>
      <c r="I393" s="397"/>
      <c r="J393" s="392"/>
      <c r="K393" s="361"/>
      <c r="L393" s="361"/>
      <c r="M393" s="361"/>
      <c r="N393" s="361"/>
      <c r="O393" s="361"/>
      <c r="P393" s="361"/>
      <c r="Q393" s="361"/>
      <c r="R393" s="361"/>
      <c r="S393" s="361"/>
      <c r="T393" s="361"/>
      <c r="U393" s="361"/>
      <c r="V393" s="361"/>
      <c r="W393" s="361"/>
      <c r="X393" s="361"/>
      <c r="Y393" s="361"/>
      <c r="Z393" s="361"/>
    </row>
    <row r="394" ht="22.5" customHeight="1" outlineLevel="1">
      <c r="A394" s="412"/>
      <c r="B394" s="415"/>
      <c r="C394" s="394"/>
      <c r="D394" s="412"/>
      <c r="E394" s="414"/>
      <c r="F394" s="414"/>
      <c r="G394" s="414"/>
      <c r="H394" s="414"/>
      <c r="I394" s="397"/>
      <c r="J394" s="392"/>
      <c r="K394" s="361"/>
      <c r="L394" s="361"/>
      <c r="M394" s="361"/>
      <c r="N394" s="361"/>
      <c r="O394" s="361"/>
      <c r="P394" s="361"/>
      <c r="Q394" s="361"/>
      <c r="R394" s="361"/>
      <c r="S394" s="361"/>
      <c r="T394" s="361"/>
      <c r="U394" s="361"/>
      <c r="V394" s="361"/>
      <c r="W394" s="361"/>
      <c r="X394" s="361"/>
      <c r="Y394" s="361"/>
      <c r="Z394" s="361"/>
    </row>
    <row r="395" ht="22.5" customHeight="1" outlineLevel="1">
      <c r="A395" s="412"/>
      <c r="B395" s="415"/>
      <c r="C395" s="394"/>
      <c r="D395" s="412"/>
      <c r="E395" s="414"/>
      <c r="F395" s="414"/>
      <c r="G395" s="414"/>
      <c r="H395" s="414"/>
      <c r="I395" s="397"/>
      <c r="J395" s="392"/>
      <c r="K395" s="361"/>
      <c r="L395" s="361"/>
      <c r="M395" s="361"/>
      <c r="N395" s="361"/>
      <c r="O395" s="361"/>
      <c r="P395" s="361"/>
      <c r="Q395" s="361"/>
      <c r="R395" s="361"/>
      <c r="S395" s="361"/>
      <c r="T395" s="361"/>
      <c r="U395" s="361"/>
      <c r="V395" s="361"/>
      <c r="W395" s="361"/>
      <c r="X395" s="361"/>
      <c r="Y395" s="361"/>
      <c r="Z395" s="361"/>
    </row>
    <row r="396" ht="22.5" customHeight="1" outlineLevel="1">
      <c r="A396" s="412"/>
      <c r="B396" s="415"/>
      <c r="C396" s="394"/>
      <c r="D396" s="412"/>
      <c r="E396" s="414"/>
      <c r="F396" s="414"/>
      <c r="G396" s="414"/>
      <c r="H396" s="414"/>
      <c r="I396" s="397"/>
      <c r="J396" s="392"/>
      <c r="K396" s="361"/>
      <c r="L396" s="361"/>
      <c r="M396" s="361"/>
      <c r="N396" s="361"/>
      <c r="O396" s="361"/>
      <c r="P396" s="361"/>
      <c r="Q396" s="361"/>
      <c r="R396" s="361"/>
      <c r="S396" s="361"/>
      <c r="T396" s="361"/>
      <c r="U396" s="361"/>
      <c r="V396" s="361"/>
      <c r="W396" s="361"/>
      <c r="X396" s="361"/>
      <c r="Y396" s="361"/>
      <c r="Z396" s="361"/>
    </row>
    <row r="397" ht="22.5" customHeight="1" outlineLevel="1">
      <c r="A397" s="412"/>
      <c r="B397" s="415"/>
      <c r="C397" s="394"/>
      <c r="D397" s="412"/>
      <c r="E397" s="414"/>
      <c r="F397" s="414"/>
      <c r="G397" s="414"/>
      <c r="H397" s="414"/>
      <c r="I397" s="397"/>
      <c r="J397" s="392"/>
      <c r="K397" s="361"/>
      <c r="L397" s="361"/>
      <c r="M397" s="361"/>
      <c r="N397" s="361"/>
      <c r="O397" s="361"/>
      <c r="P397" s="361"/>
      <c r="Q397" s="361"/>
      <c r="R397" s="361"/>
      <c r="S397" s="361"/>
      <c r="T397" s="361"/>
      <c r="U397" s="361"/>
      <c r="V397" s="361"/>
      <c r="W397" s="361"/>
      <c r="X397" s="361"/>
      <c r="Y397" s="361"/>
      <c r="Z397" s="361"/>
    </row>
    <row r="398" ht="22.5" customHeight="1" outlineLevel="1">
      <c r="A398" s="412"/>
      <c r="B398" s="415"/>
      <c r="C398" s="394"/>
      <c r="D398" s="412"/>
      <c r="E398" s="414"/>
      <c r="F398" s="414"/>
      <c r="G398" s="414"/>
      <c r="H398" s="414"/>
      <c r="I398" s="397"/>
      <c r="J398" s="392"/>
      <c r="K398" s="361"/>
      <c r="L398" s="361"/>
      <c r="M398" s="361"/>
      <c r="N398" s="361"/>
      <c r="O398" s="361"/>
      <c r="P398" s="361"/>
      <c r="Q398" s="361"/>
      <c r="R398" s="361"/>
      <c r="S398" s="361"/>
      <c r="T398" s="361"/>
      <c r="U398" s="361"/>
      <c r="V398" s="361"/>
      <c r="W398" s="361"/>
      <c r="X398" s="361"/>
      <c r="Y398" s="361"/>
      <c r="Z398" s="361"/>
    </row>
    <row r="399" ht="22.5" customHeight="1" outlineLevel="1">
      <c r="A399" s="412"/>
      <c r="B399" s="415"/>
      <c r="C399" s="394"/>
      <c r="D399" s="412"/>
      <c r="E399" s="414"/>
      <c r="F399" s="414"/>
      <c r="G399" s="414"/>
      <c r="H399" s="414"/>
      <c r="I399" s="397"/>
      <c r="J399" s="392"/>
      <c r="K399" s="361"/>
      <c r="L399" s="361"/>
      <c r="M399" s="361"/>
      <c r="N399" s="361"/>
      <c r="O399" s="361"/>
      <c r="P399" s="361"/>
      <c r="Q399" s="361"/>
      <c r="R399" s="361"/>
      <c r="S399" s="361"/>
      <c r="T399" s="361"/>
      <c r="U399" s="361"/>
      <c r="V399" s="361"/>
      <c r="W399" s="361"/>
      <c r="X399" s="361"/>
      <c r="Y399" s="361"/>
      <c r="Z399" s="361"/>
    </row>
    <row r="400" ht="22.5" customHeight="1" outlineLevel="1">
      <c r="A400" s="412"/>
      <c r="B400" s="415"/>
      <c r="C400" s="394"/>
      <c r="D400" s="412"/>
      <c r="E400" s="414"/>
      <c r="F400" s="414"/>
      <c r="G400" s="414"/>
      <c r="H400" s="414"/>
      <c r="I400" s="397"/>
      <c r="J400" s="392"/>
      <c r="K400" s="361"/>
      <c r="L400" s="361"/>
      <c r="M400" s="361"/>
      <c r="N400" s="361"/>
      <c r="O400" s="361"/>
      <c r="P400" s="361"/>
      <c r="Q400" s="361"/>
      <c r="R400" s="361"/>
      <c r="S400" s="361"/>
      <c r="T400" s="361"/>
      <c r="U400" s="361"/>
      <c r="V400" s="361"/>
      <c r="W400" s="361"/>
      <c r="X400" s="361"/>
      <c r="Y400" s="361"/>
      <c r="Z400" s="361"/>
    </row>
    <row r="401" ht="22.5" customHeight="1" outlineLevel="1">
      <c r="A401" s="412"/>
      <c r="B401" s="415"/>
      <c r="C401" s="394"/>
      <c r="D401" s="412"/>
      <c r="E401" s="414"/>
      <c r="F401" s="414"/>
      <c r="G401" s="414"/>
      <c r="H401" s="414"/>
      <c r="I401" s="397"/>
      <c r="J401" s="392"/>
      <c r="K401" s="361"/>
      <c r="L401" s="361"/>
      <c r="M401" s="361"/>
      <c r="N401" s="361"/>
      <c r="O401" s="361"/>
      <c r="P401" s="361"/>
      <c r="Q401" s="361"/>
      <c r="R401" s="361"/>
      <c r="S401" s="361"/>
      <c r="T401" s="361"/>
      <c r="U401" s="361"/>
      <c r="V401" s="361"/>
      <c r="W401" s="361"/>
      <c r="X401" s="361"/>
      <c r="Y401" s="361"/>
      <c r="Z401" s="361"/>
    </row>
    <row r="402" ht="22.5" customHeight="1" outlineLevel="1">
      <c r="A402" s="412"/>
      <c r="B402" s="415"/>
      <c r="C402" s="394"/>
      <c r="D402" s="412"/>
      <c r="E402" s="414"/>
      <c r="F402" s="414"/>
      <c r="G402" s="414"/>
      <c r="H402" s="414"/>
      <c r="I402" s="397"/>
      <c r="J402" s="392"/>
      <c r="K402" s="361"/>
      <c r="L402" s="361"/>
      <c r="M402" s="361"/>
      <c r="N402" s="361"/>
      <c r="O402" s="361"/>
      <c r="P402" s="361"/>
      <c r="Q402" s="361"/>
      <c r="R402" s="361"/>
      <c r="S402" s="361"/>
      <c r="T402" s="361"/>
      <c r="U402" s="361"/>
      <c r="V402" s="361"/>
      <c r="W402" s="361"/>
      <c r="X402" s="361"/>
      <c r="Y402" s="361"/>
      <c r="Z402" s="361"/>
    </row>
    <row r="403" ht="22.5" customHeight="1" outlineLevel="1">
      <c r="A403" s="412"/>
      <c r="B403" s="415"/>
      <c r="C403" s="394"/>
      <c r="D403" s="412"/>
      <c r="E403" s="414"/>
      <c r="F403" s="414"/>
      <c r="G403" s="414"/>
      <c r="H403" s="414"/>
      <c r="I403" s="397"/>
      <c r="J403" s="392"/>
      <c r="K403" s="361"/>
      <c r="L403" s="361"/>
      <c r="M403" s="361"/>
      <c r="N403" s="361"/>
      <c r="O403" s="361"/>
      <c r="P403" s="361"/>
      <c r="Q403" s="361"/>
      <c r="R403" s="361"/>
      <c r="S403" s="361"/>
      <c r="T403" s="361"/>
      <c r="U403" s="361"/>
      <c r="V403" s="361"/>
      <c r="W403" s="361"/>
      <c r="X403" s="361"/>
      <c r="Y403" s="361"/>
      <c r="Z403" s="361"/>
    </row>
    <row r="404" ht="22.5" customHeight="1" outlineLevel="1">
      <c r="A404" s="412"/>
      <c r="B404" s="415"/>
      <c r="C404" s="394"/>
      <c r="D404" s="412"/>
      <c r="E404" s="414"/>
      <c r="F404" s="414"/>
      <c r="G404" s="414"/>
      <c r="H404" s="414"/>
      <c r="I404" s="397"/>
      <c r="J404" s="392"/>
      <c r="K404" s="361"/>
      <c r="L404" s="361"/>
      <c r="M404" s="361"/>
      <c r="N404" s="361"/>
      <c r="O404" s="361"/>
      <c r="P404" s="361"/>
      <c r="Q404" s="361"/>
      <c r="R404" s="361"/>
      <c r="S404" s="361"/>
      <c r="T404" s="361"/>
      <c r="U404" s="361"/>
      <c r="V404" s="361"/>
      <c r="W404" s="361"/>
      <c r="X404" s="361"/>
      <c r="Y404" s="361"/>
      <c r="Z404" s="361"/>
    </row>
    <row r="405" ht="22.5" customHeight="1" outlineLevel="1">
      <c r="A405" s="412"/>
      <c r="B405" s="415"/>
      <c r="C405" s="394"/>
      <c r="D405" s="412"/>
      <c r="E405" s="414"/>
      <c r="F405" s="414"/>
      <c r="G405" s="414"/>
      <c r="H405" s="414"/>
      <c r="I405" s="397"/>
      <c r="J405" s="392"/>
      <c r="K405" s="361"/>
      <c r="L405" s="361"/>
      <c r="M405" s="361"/>
      <c r="N405" s="361"/>
      <c r="O405" s="361"/>
      <c r="P405" s="361"/>
      <c r="Q405" s="361"/>
      <c r="R405" s="361"/>
      <c r="S405" s="361"/>
      <c r="T405" s="361"/>
      <c r="U405" s="361"/>
      <c r="V405" s="361"/>
      <c r="W405" s="361"/>
      <c r="X405" s="361"/>
      <c r="Y405" s="361"/>
      <c r="Z405" s="361"/>
    </row>
    <row r="406" ht="22.5" customHeight="1" outlineLevel="1">
      <c r="A406" s="412"/>
      <c r="B406" s="415"/>
      <c r="C406" s="394"/>
      <c r="D406" s="412"/>
      <c r="E406" s="414"/>
      <c r="F406" s="414"/>
      <c r="G406" s="414"/>
      <c r="H406" s="414"/>
      <c r="I406" s="397"/>
      <c r="J406" s="392"/>
      <c r="K406" s="361"/>
      <c r="L406" s="361"/>
      <c r="M406" s="361"/>
      <c r="N406" s="361"/>
      <c r="O406" s="361"/>
      <c r="P406" s="361"/>
      <c r="Q406" s="361"/>
      <c r="R406" s="361"/>
      <c r="S406" s="361"/>
      <c r="T406" s="361"/>
      <c r="U406" s="361"/>
      <c r="V406" s="361"/>
      <c r="W406" s="361"/>
      <c r="X406" s="361"/>
      <c r="Y406" s="361"/>
      <c r="Z406" s="361"/>
    </row>
    <row r="407" ht="22.5" customHeight="1" outlineLevel="1">
      <c r="A407" s="412"/>
      <c r="B407" s="415"/>
      <c r="C407" s="394"/>
      <c r="D407" s="412"/>
      <c r="E407" s="414"/>
      <c r="F407" s="414"/>
      <c r="G407" s="414"/>
      <c r="H407" s="414"/>
      <c r="I407" s="397"/>
      <c r="J407" s="392"/>
      <c r="K407" s="361"/>
      <c r="L407" s="361"/>
      <c r="M407" s="361"/>
      <c r="N407" s="361"/>
      <c r="O407" s="361"/>
      <c r="P407" s="361"/>
      <c r="Q407" s="361"/>
      <c r="R407" s="361"/>
      <c r="S407" s="361"/>
      <c r="T407" s="361"/>
      <c r="U407" s="361"/>
      <c r="V407" s="361"/>
      <c r="W407" s="361"/>
      <c r="X407" s="361"/>
      <c r="Y407" s="361"/>
      <c r="Z407" s="361"/>
    </row>
    <row r="408" ht="22.5" customHeight="1" outlineLevel="1">
      <c r="A408" s="412"/>
      <c r="B408" s="415"/>
      <c r="C408" s="394"/>
      <c r="D408" s="412"/>
      <c r="E408" s="414"/>
      <c r="F408" s="414"/>
      <c r="G408" s="414"/>
      <c r="H408" s="414"/>
      <c r="I408" s="397"/>
      <c r="J408" s="392"/>
      <c r="K408" s="361"/>
      <c r="L408" s="361"/>
      <c r="M408" s="361"/>
      <c r="N408" s="361"/>
      <c r="O408" s="361"/>
      <c r="P408" s="361"/>
      <c r="Q408" s="361"/>
      <c r="R408" s="361"/>
      <c r="S408" s="361"/>
      <c r="T408" s="361"/>
      <c r="U408" s="361"/>
      <c r="V408" s="361"/>
      <c r="W408" s="361"/>
      <c r="X408" s="361"/>
      <c r="Y408" s="361"/>
      <c r="Z408" s="361"/>
    </row>
    <row r="409" ht="22.5" customHeight="1" outlineLevel="1">
      <c r="A409" s="412"/>
      <c r="B409" s="415"/>
      <c r="C409" s="394"/>
      <c r="D409" s="412"/>
      <c r="E409" s="414"/>
      <c r="F409" s="414"/>
      <c r="G409" s="414"/>
      <c r="H409" s="414"/>
      <c r="I409" s="397"/>
      <c r="J409" s="392"/>
      <c r="K409" s="361"/>
      <c r="L409" s="361"/>
      <c r="M409" s="361"/>
      <c r="N409" s="361"/>
      <c r="O409" s="361"/>
      <c r="P409" s="361"/>
      <c r="Q409" s="361"/>
      <c r="R409" s="361"/>
      <c r="S409" s="361"/>
      <c r="T409" s="361"/>
      <c r="U409" s="361"/>
      <c r="V409" s="361"/>
      <c r="W409" s="361"/>
      <c r="X409" s="361"/>
      <c r="Y409" s="361"/>
      <c r="Z409" s="361"/>
    </row>
    <row r="410" ht="22.5" customHeight="1" outlineLevel="1">
      <c r="A410" s="412"/>
      <c r="B410" s="415"/>
      <c r="C410" s="394"/>
      <c r="D410" s="412"/>
      <c r="E410" s="414"/>
      <c r="F410" s="414"/>
      <c r="G410" s="414"/>
      <c r="H410" s="414"/>
      <c r="I410" s="397"/>
      <c r="J410" s="392"/>
      <c r="K410" s="361"/>
      <c r="L410" s="361"/>
      <c r="M410" s="361"/>
      <c r="N410" s="361"/>
      <c r="O410" s="361"/>
      <c r="P410" s="361"/>
      <c r="Q410" s="361"/>
      <c r="R410" s="361"/>
      <c r="S410" s="361"/>
      <c r="T410" s="361"/>
      <c r="U410" s="361"/>
      <c r="V410" s="361"/>
      <c r="W410" s="361"/>
      <c r="X410" s="361"/>
      <c r="Y410" s="361"/>
      <c r="Z410" s="361"/>
    </row>
    <row r="411" ht="22.5" customHeight="1" outlineLevel="1">
      <c r="A411" s="412"/>
      <c r="B411" s="415"/>
      <c r="C411" s="394"/>
      <c r="D411" s="412"/>
      <c r="E411" s="414"/>
      <c r="F411" s="414"/>
      <c r="G411" s="414"/>
      <c r="H411" s="414"/>
      <c r="I411" s="397"/>
      <c r="J411" s="392"/>
      <c r="K411" s="361"/>
      <c r="L411" s="361"/>
      <c r="M411" s="361"/>
      <c r="N411" s="361"/>
      <c r="O411" s="361"/>
      <c r="P411" s="361"/>
      <c r="Q411" s="361"/>
      <c r="R411" s="361"/>
      <c r="S411" s="361"/>
      <c r="T411" s="361"/>
      <c r="U411" s="361"/>
      <c r="V411" s="361"/>
      <c r="W411" s="361"/>
      <c r="X411" s="361"/>
      <c r="Y411" s="361"/>
      <c r="Z411" s="361"/>
    </row>
    <row r="412" ht="22.5" customHeight="1" outlineLevel="1">
      <c r="A412" s="412"/>
      <c r="B412" s="415"/>
      <c r="C412" s="394"/>
      <c r="D412" s="412"/>
      <c r="E412" s="414"/>
      <c r="F412" s="414"/>
      <c r="G412" s="414"/>
      <c r="H412" s="414"/>
      <c r="I412" s="397"/>
      <c r="J412" s="392"/>
      <c r="K412" s="361"/>
      <c r="L412" s="361"/>
      <c r="M412" s="361"/>
      <c r="N412" s="361"/>
      <c r="O412" s="361"/>
      <c r="P412" s="361"/>
      <c r="Q412" s="361"/>
      <c r="R412" s="361"/>
      <c r="S412" s="361"/>
      <c r="T412" s="361"/>
      <c r="U412" s="361"/>
      <c r="V412" s="361"/>
      <c r="W412" s="361"/>
      <c r="X412" s="361"/>
      <c r="Y412" s="361"/>
      <c r="Z412" s="361"/>
    </row>
    <row r="413" ht="22.5" customHeight="1" outlineLevel="1">
      <c r="A413" s="412"/>
      <c r="B413" s="415"/>
      <c r="C413" s="394"/>
      <c r="D413" s="412"/>
      <c r="E413" s="414"/>
      <c r="F413" s="414"/>
      <c r="G413" s="414"/>
      <c r="H413" s="414"/>
      <c r="I413" s="397"/>
      <c r="J413" s="392"/>
      <c r="K413" s="361"/>
      <c r="L413" s="361"/>
      <c r="M413" s="361"/>
      <c r="N413" s="361"/>
      <c r="O413" s="361"/>
      <c r="P413" s="361"/>
      <c r="Q413" s="361"/>
      <c r="R413" s="361"/>
      <c r="S413" s="361"/>
      <c r="T413" s="361"/>
      <c r="U413" s="361"/>
      <c r="V413" s="361"/>
      <c r="W413" s="361"/>
      <c r="X413" s="361"/>
      <c r="Y413" s="361"/>
      <c r="Z413" s="361"/>
    </row>
    <row r="414" ht="22.5" customHeight="1" outlineLevel="1">
      <c r="A414" s="412"/>
      <c r="B414" s="415"/>
      <c r="C414" s="394"/>
      <c r="D414" s="412"/>
      <c r="E414" s="414"/>
      <c r="F414" s="414"/>
      <c r="G414" s="414"/>
      <c r="H414" s="414"/>
      <c r="I414" s="397"/>
      <c r="J414" s="392"/>
      <c r="K414" s="361"/>
      <c r="L414" s="361"/>
      <c r="M414" s="361"/>
      <c r="N414" s="361"/>
      <c r="O414" s="361"/>
      <c r="P414" s="361"/>
      <c r="Q414" s="361"/>
      <c r="R414" s="361"/>
      <c r="S414" s="361"/>
      <c r="T414" s="361"/>
      <c r="U414" s="361"/>
      <c r="V414" s="361"/>
      <c r="W414" s="361"/>
      <c r="X414" s="361"/>
      <c r="Y414" s="361"/>
      <c r="Z414" s="361"/>
    </row>
    <row r="415" ht="22.5" customHeight="1" outlineLevel="1">
      <c r="A415" s="412"/>
      <c r="B415" s="415"/>
      <c r="C415" s="394"/>
      <c r="D415" s="412"/>
      <c r="E415" s="414"/>
      <c r="F415" s="414"/>
      <c r="G415" s="414"/>
      <c r="H415" s="414"/>
      <c r="I415" s="397"/>
      <c r="J415" s="392"/>
      <c r="K415" s="361"/>
      <c r="L415" s="361"/>
      <c r="M415" s="361"/>
      <c r="N415" s="361"/>
      <c r="O415" s="361"/>
      <c r="P415" s="361"/>
      <c r="Q415" s="361"/>
      <c r="R415" s="361"/>
      <c r="S415" s="361"/>
      <c r="T415" s="361"/>
      <c r="U415" s="361"/>
      <c r="V415" s="361"/>
      <c r="W415" s="361"/>
      <c r="X415" s="361"/>
      <c r="Y415" s="361"/>
      <c r="Z415" s="361"/>
    </row>
    <row r="416" ht="22.5" customHeight="1" outlineLevel="1">
      <c r="A416" s="412"/>
      <c r="B416" s="415"/>
      <c r="C416" s="394"/>
      <c r="D416" s="412"/>
      <c r="E416" s="414"/>
      <c r="F416" s="414"/>
      <c r="G416" s="414"/>
      <c r="H416" s="414"/>
      <c r="I416" s="397"/>
      <c r="J416" s="392"/>
      <c r="K416" s="361"/>
      <c r="L416" s="361"/>
      <c r="M416" s="361"/>
      <c r="N416" s="361"/>
      <c r="O416" s="361"/>
      <c r="P416" s="361"/>
      <c r="Q416" s="361"/>
      <c r="R416" s="361"/>
      <c r="S416" s="361"/>
      <c r="T416" s="361"/>
      <c r="U416" s="361"/>
      <c r="V416" s="361"/>
      <c r="W416" s="361"/>
      <c r="X416" s="361"/>
      <c r="Y416" s="361"/>
      <c r="Z416" s="361"/>
    </row>
    <row r="417" ht="22.5" customHeight="1" outlineLevel="1">
      <c r="A417" s="412"/>
      <c r="B417" s="415"/>
      <c r="C417" s="394"/>
      <c r="D417" s="412"/>
      <c r="E417" s="414"/>
      <c r="F417" s="414"/>
      <c r="G417" s="414"/>
      <c r="H417" s="414"/>
      <c r="I417" s="397"/>
      <c r="J417" s="392"/>
      <c r="K417" s="361"/>
      <c r="L417" s="361"/>
      <c r="M417" s="361"/>
      <c r="N417" s="361"/>
      <c r="O417" s="361"/>
      <c r="P417" s="361"/>
      <c r="Q417" s="361"/>
      <c r="R417" s="361"/>
      <c r="S417" s="361"/>
      <c r="T417" s="361"/>
      <c r="U417" s="361"/>
      <c r="V417" s="361"/>
      <c r="W417" s="361"/>
      <c r="X417" s="361"/>
      <c r="Y417" s="361"/>
      <c r="Z417" s="361"/>
    </row>
    <row r="418" ht="22.5" customHeight="1" outlineLevel="1">
      <c r="A418" s="412"/>
      <c r="B418" s="415"/>
      <c r="C418" s="394"/>
      <c r="D418" s="412"/>
      <c r="E418" s="414"/>
      <c r="F418" s="414"/>
      <c r="G418" s="414"/>
      <c r="H418" s="414"/>
      <c r="I418" s="397"/>
      <c r="J418" s="392"/>
      <c r="K418" s="361"/>
      <c r="L418" s="361"/>
      <c r="M418" s="361"/>
      <c r="N418" s="361"/>
      <c r="O418" s="361"/>
      <c r="P418" s="361"/>
      <c r="Q418" s="361"/>
      <c r="R418" s="361"/>
      <c r="S418" s="361"/>
      <c r="T418" s="361"/>
      <c r="U418" s="361"/>
      <c r="V418" s="361"/>
      <c r="W418" s="361"/>
      <c r="X418" s="361"/>
      <c r="Y418" s="361"/>
      <c r="Z418" s="361"/>
    </row>
    <row r="419" ht="22.5" customHeight="1" outlineLevel="1">
      <c r="A419" s="412"/>
      <c r="B419" s="415"/>
      <c r="C419" s="394"/>
      <c r="D419" s="412"/>
      <c r="E419" s="414"/>
      <c r="F419" s="414"/>
      <c r="G419" s="414"/>
      <c r="H419" s="414"/>
      <c r="I419" s="397"/>
      <c r="J419" s="392"/>
      <c r="K419" s="361"/>
      <c r="L419" s="361"/>
      <c r="M419" s="361"/>
      <c r="N419" s="361"/>
      <c r="O419" s="361"/>
      <c r="P419" s="361"/>
      <c r="Q419" s="361"/>
      <c r="R419" s="361"/>
      <c r="S419" s="361"/>
      <c r="T419" s="361"/>
      <c r="U419" s="361"/>
      <c r="V419" s="361"/>
      <c r="W419" s="361"/>
      <c r="X419" s="361"/>
      <c r="Y419" s="361"/>
      <c r="Z419" s="361"/>
    </row>
    <row r="420" ht="22.5" customHeight="1" outlineLevel="1">
      <c r="A420" s="412"/>
      <c r="B420" s="415"/>
      <c r="C420" s="394"/>
      <c r="D420" s="412"/>
      <c r="E420" s="414"/>
      <c r="F420" s="414"/>
      <c r="G420" s="414"/>
      <c r="H420" s="414"/>
      <c r="I420" s="397"/>
      <c r="J420" s="392"/>
      <c r="K420" s="361"/>
      <c r="L420" s="361"/>
      <c r="M420" s="361"/>
      <c r="N420" s="361"/>
      <c r="O420" s="361"/>
      <c r="P420" s="361"/>
      <c r="Q420" s="361"/>
      <c r="R420" s="361"/>
      <c r="S420" s="361"/>
      <c r="T420" s="361"/>
      <c r="U420" s="361"/>
      <c r="V420" s="361"/>
      <c r="W420" s="361"/>
      <c r="X420" s="361"/>
      <c r="Y420" s="361"/>
      <c r="Z420" s="361"/>
    </row>
    <row r="421" ht="22.5" customHeight="1" outlineLevel="1">
      <c r="A421" s="412"/>
      <c r="B421" s="415"/>
      <c r="C421" s="394"/>
      <c r="D421" s="412"/>
      <c r="E421" s="414"/>
      <c r="F421" s="414"/>
      <c r="G421" s="414"/>
      <c r="H421" s="414"/>
      <c r="I421" s="397"/>
      <c r="J421" s="392"/>
      <c r="K421" s="361"/>
      <c r="L421" s="361"/>
      <c r="M421" s="361"/>
      <c r="N421" s="361"/>
      <c r="O421" s="361"/>
      <c r="P421" s="361"/>
      <c r="Q421" s="361"/>
      <c r="R421" s="361"/>
      <c r="S421" s="361"/>
      <c r="T421" s="361"/>
      <c r="U421" s="361"/>
      <c r="V421" s="361"/>
      <c r="W421" s="361"/>
      <c r="X421" s="361"/>
      <c r="Y421" s="361"/>
      <c r="Z421" s="361"/>
    </row>
    <row r="422" ht="22.5" customHeight="1" outlineLevel="1">
      <c r="A422" s="412"/>
      <c r="B422" s="415"/>
      <c r="C422" s="394"/>
      <c r="D422" s="412"/>
      <c r="E422" s="414"/>
      <c r="F422" s="414"/>
      <c r="G422" s="414"/>
      <c r="H422" s="414"/>
      <c r="I422" s="397"/>
      <c r="J422" s="392"/>
      <c r="K422" s="361"/>
      <c r="L422" s="361"/>
      <c r="M422" s="361"/>
      <c r="N422" s="361"/>
      <c r="O422" s="361"/>
      <c r="P422" s="361"/>
      <c r="Q422" s="361"/>
      <c r="R422" s="361"/>
      <c r="S422" s="361"/>
      <c r="T422" s="361"/>
      <c r="U422" s="361"/>
      <c r="V422" s="361"/>
      <c r="W422" s="361"/>
      <c r="X422" s="361"/>
      <c r="Y422" s="361"/>
      <c r="Z422" s="361"/>
    </row>
    <row r="423" ht="22.5" customHeight="1" outlineLevel="1">
      <c r="A423" s="412"/>
      <c r="B423" s="415"/>
      <c r="C423" s="394"/>
      <c r="D423" s="412"/>
      <c r="E423" s="414"/>
      <c r="F423" s="414"/>
      <c r="G423" s="414"/>
      <c r="H423" s="414"/>
      <c r="I423" s="397"/>
      <c r="J423" s="392"/>
      <c r="K423" s="361"/>
      <c r="L423" s="361"/>
      <c r="M423" s="361"/>
      <c r="N423" s="361"/>
      <c r="O423" s="361"/>
      <c r="P423" s="361"/>
      <c r="Q423" s="361"/>
      <c r="R423" s="361"/>
      <c r="S423" s="361"/>
      <c r="T423" s="361"/>
      <c r="U423" s="361"/>
      <c r="V423" s="361"/>
      <c r="W423" s="361"/>
      <c r="X423" s="361"/>
      <c r="Y423" s="361"/>
      <c r="Z423" s="361"/>
    </row>
    <row r="424" ht="22.5" customHeight="1" outlineLevel="1">
      <c r="A424" s="412"/>
      <c r="B424" s="415"/>
      <c r="C424" s="394"/>
      <c r="D424" s="412"/>
      <c r="E424" s="414"/>
      <c r="F424" s="414"/>
      <c r="G424" s="414"/>
      <c r="H424" s="414"/>
      <c r="I424" s="397"/>
      <c r="J424" s="392"/>
      <c r="K424" s="361"/>
      <c r="L424" s="361"/>
      <c r="M424" s="361"/>
      <c r="N424" s="361"/>
      <c r="O424" s="361"/>
      <c r="P424" s="361"/>
      <c r="Q424" s="361"/>
      <c r="R424" s="361"/>
      <c r="S424" s="361"/>
      <c r="T424" s="361"/>
      <c r="U424" s="361"/>
      <c r="V424" s="361"/>
      <c r="W424" s="361"/>
      <c r="X424" s="361"/>
      <c r="Y424" s="361"/>
      <c r="Z424" s="361"/>
    </row>
    <row r="425" ht="22.5" customHeight="1" outlineLevel="1">
      <c r="A425" s="412"/>
      <c r="B425" s="415"/>
      <c r="C425" s="394"/>
      <c r="D425" s="412"/>
      <c r="E425" s="414"/>
      <c r="F425" s="414"/>
      <c r="G425" s="414"/>
      <c r="H425" s="414"/>
      <c r="I425" s="397"/>
      <c r="J425" s="392"/>
      <c r="K425" s="361"/>
      <c r="L425" s="361"/>
      <c r="M425" s="361"/>
      <c r="N425" s="361"/>
      <c r="O425" s="361"/>
      <c r="P425" s="361"/>
      <c r="Q425" s="361"/>
      <c r="R425" s="361"/>
      <c r="S425" s="361"/>
      <c r="T425" s="361"/>
      <c r="U425" s="361"/>
      <c r="V425" s="361"/>
      <c r="W425" s="361"/>
      <c r="X425" s="361"/>
      <c r="Y425" s="361"/>
      <c r="Z425" s="361"/>
    </row>
    <row r="426" ht="22.5" customHeight="1" outlineLevel="1">
      <c r="A426" s="412"/>
      <c r="B426" s="415"/>
      <c r="C426" s="394"/>
      <c r="D426" s="412"/>
      <c r="E426" s="414"/>
      <c r="F426" s="414"/>
      <c r="G426" s="414"/>
      <c r="H426" s="414"/>
      <c r="I426" s="397"/>
      <c r="J426" s="392"/>
      <c r="K426" s="361"/>
      <c r="L426" s="361"/>
      <c r="M426" s="361"/>
      <c r="N426" s="361"/>
      <c r="O426" s="361"/>
      <c r="P426" s="361"/>
      <c r="Q426" s="361"/>
      <c r="R426" s="361"/>
      <c r="S426" s="361"/>
      <c r="T426" s="361"/>
      <c r="U426" s="361"/>
      <c r="V426" s="361"/>
      <c r="W426" s="361"/>
      <c r="X426" s="361"/>
      <c r="Y426" s="361"/>
      <c r="Z426" s="361"/>
    </row>
    <row r="427" ht="22.5" customHeight="1" outlineLevel="1">
      <c r="A427" s="412"/>
      <c r="B427" s="415"/>
      <c r="C427" s="394"/>
      <c r="D427" s="412"/>
      <c r="E427" s="414"/>
      <c r="F427" s="414"/>
      <c r="G427" s="414"/>
      <c r="H427" s="414"/>
      <c r="I427" s="397"/>
      <c r="J427" s="392"/>
      <c r="K427" s="361"/>
      <c r="L427" s="361"/>
      <c r="M427" s="361"/>
      <c r="N427" s="361"/>
      <c r="O427" s="361"/>
      <c r="P427" s="361"/>
      <c r="Q427" s="361"/>
      <c r="R427" s="361"/>
      <c r="S427" s="361"/>
      <c r="T427" s="361"/>
      <c r="U427" s="361"/>
      <c r="V427" s="361"/>
      <c r="W427" s="361"/>
      <c r="X427" s="361"/>
      <c r="Y427" s="361"/>
      <c r="Z427" s="361"/>
    </row>
    <row r="428" ht="22.5" customHeight="1" outlineLevel="1">
      <c r="A428" s="412"/>
      <c r="B428" s="415"/>
      <c r="C428" s="394"/>
      <c r="D428" s="412"/>
      <c r="E428" s="414"/>
      <c r="F428" s="414"/>
      <c r="G428" s="414"/>
      <c r="H428" s="414"/>
      <c r="I428" s="397"/>
      <c r="J428" s="392"/>
      <c r="K428" s="361"/>
      <c r="L428" s="361"/>
      <c r="M428" s="361"/>
      <c r="N428" s="361"/>
      <c r="O428" s="361"/>
      <c r="P428" s="361"/>
      <c r="Q428" s="361"/>
      <c r="R428" s="361"/>
      <c r="S428" s="361"/>
      <c r="T428" s="361"/>
      <c r="U428" s="361"/>
      <c r="V428" s="361"/>
      <c r="W428" s="361"/>
      <c r="X428" s="361"/>
      <c r="Y428" s="361"/>
      <c r="Z428" s="361"/>
    </row>
    <row r="429" ht="22.5" customHeight="1" outlineLevel="1">
      <c r="A429" s="412"/>
      <c r="B429" s="415"/>
      <c r="C429" s="394"/>
      <c r="D429" s="412"/>
      <c r="E429" s="414"/>
      <c r="F429" s="414"/>
      <c r="G429" s="414"/>
      <c r="H429" s="414"/>
      <c r="I429" s="397"/>
      <c r="J429" s="392"/>
      <c r="K429" s="361"/>
      <c r="L429" s="361"/>
      <c r="M429" s="361"/>
      <c r="N429" s="361"/>
      <c r="O429" s="361"/>
      <c r="P429" s="361"/>
      <c r="Q429" s="361"/>
      <c r="R429" s="361"/>
      <c r="S429" s="361"/>
      <c r="T429" s="361"/>
      <c r="U429" s="361"/>
      <c r="V429" s="361"/>
      <c r="W429" s="361"/>
      <c r="X429" s="361"/>
      <c r="Y429" s="361"/>
      <c r="Z429" s="361"/>
    </row>
    <row r="430" ht="22.5" customHeight="1" outlineLevel="1">
      <c r="A430" s="412"/>
      <c r="B430" s="415"/>
      <c r="C430" s="394"/>
      <c r="D430" s="412"/>
      <c r="E430" s="414"/>
      <c r="F430" s="414"/>
      <c r="G430" s="414"/>
      <c r="H430" s="414"/>
      <c r="I430" s="397"/>
      <c r="J430" s="392"/>
      <c r="K430" s="361"/>
      <c r="L430" s="361"/>
      <c r="M430" s="361"/>
      <c r="N430" s="361"/>
      <c r="O430" s="361"/>
      <c r="P430" s="361"/>
      <c r="Q430" s="361"/>
      <c r="R430" s="361"/>
      <c r="S430" s="361"/>
      <c r="T430" s="361"/>
      <c r="U430" s="361"/>
      <c r="V430" s="361"/>
      <c r="W430" s="361"/>
      <c r="X430" s="361"/>
      <c r="Y430" s="361"/>
      <c r="Z430" s="361"/>
    </row>
    <row r="431" ht="22.5" customHeight="1" outlineLevel="1">
      <c r="A431" s="412"/>
      <c r="B431" s="415"/>
      <c r="C431" s="394"/>
      <c r="D431" s="412"/>
      <c r="E431" s="414"/>
      <c r="F431" s="414"/>
      <c r="G431" s="414"/>
      <c r="H431" s="414"/>
      <c r="I431" s="397"/>
      <c r="J431" s="392"/>
      <c r="K431" s="361"/>
      <c r="L431" s="361"/>
      <c r="M431" s="361"/>
      <c r="N431" s="361"/>
      <c r="O431" s="361"/>
      <c r="P431" s="361"/>
      <c r="Q431" s="361"/>
      <c r="R431" s="361"/>
      <c r="S431" s="361"/>
      <c r="T431" s="361"/>
      <c r="U431" s="361"/>
      <c r="V431" s="361"/>
      <c r="W431" s="361"/>
      <c r="X431" s="361"/>
      <c r="Y431" s="361"/>
      <c r="Z431" s="361"/>
    </row>
    <row r="432" ht="22.5" customHeight="1" outlineLevel="1">
      <c r="A432" s="412"/>
      <c r="B432" s="415"/>
      <c r="C432" s="394"/>
      <c r="D432" s="412"/>
      <c r="E432" s="414"/>
      <c r="F432" s="414"/>
      <c r="G432" s="414"/>
      <c r="H432" s="414"/>
      <c r="I432" s="397"/>
      <c r="J432" s="392"/>
      <c r="K432" s="361"/>
      <c r="L432" s="361"/>
      <c r="M432" s="361"/>
      <c r="N432" s="361"/>
      <c r="O432" s="361"/>
      <c r="P432" s="361"/>
      <c r="Q432" s="361"/>
      <c r="R432" s="361"/>
      <c r="S432" s="361"/>
      <c r="T432" s="361"/>
      <c r="U432" s="361"/>
      <c r="V432" s="361"/>
      <c r="W432" s="361"/>
      <c r="X432" s="361"/>
      <c r="Y432" s="361"/>
      <c r="Z432" s="361"/>
    </row>
    <row r="433" ht="22.5" customHeight="1" outlineLevel="1">
      <c r="A433" s="412"/>
      <c r="B433" s="415"/>
      <c r="C433" s="394"/>
      <c r="D433" s="412"/>
      <c r="E433" s="414"/>
      <c r="F433" s="414"/>
      <c r="G433" s="414"/>
      <c r="H433" s="414"/>
      <c r="I433" s="397"/>
      <c r="J433" s="392"/>
      <c r="K433" s="361"/>
      <c r="L433" s="361"/>
      <c r="M433" s="361"/>
      <c r="N433" s="361"/>
      <c r="O433" s="361"/>
      <c r="P433" s="361"/>
      <c r="Q433" s="361"/>
      <c r="R433" s="361"/>
      <c r="S433" s="361"/>
      <c r="T433" s="361"/>
      <c r="U433" s="361"/>
      <c r="V433" s="361"/>
      <c r="W433" s="361"/>
      <c r="X433" s="361"/>
      <c r="Y433" s="361"/>
      <c r="Z433" s="361"/>
    </row>
    <row r="434" ht="22.5" customHeight="1" outlineLevel="1">
      <c r="A434" s="412"/>
      <c r="B434" s="415"/>
      <c r="C434" s="394"/>
      <c r="D434" s="412"/>
      <c r="E434" s="414"/>
      <c r="F434" s="414"/>
      <c r="G434" s="414"/>
      <c r="H434" s="414"/>
      <c r="I434" s="397"/>
      <c r="J434" s="392"/>
      <c r="K434" s="361"/>
      <c r="L434" s="361"/>
      <c r="M434" s="361"/>
      <c r="N434" s="361"/>
      <c r="O434" s="361"/>
      <c r="P434" s="361"/>
      <c r="Q434" s="361"/>
      <c r="R434" s="361"/>
      <c r="S434" s="361"/>
      <c r="T434" s="361"/>
      <c r="U434" s="361"/>
      <c r="V434" s="361"/>
      <c r="W434" s="361"/>
      <c r="X434" s="361"/>
      <c r="Y434" s="361"/>
      <c r="Z434" s="361"/>
    </row>
    <row r="435" ht="22.5" customHeight="1" outlineLevel="1">
      <c r="A435" s="412"/>
      <c r="B435" s="415"/>
      <c r="C435" s="394"/>
      <c r="D435" s="412"/>
      <c r="E435" s="414"/>
      <c r="F435" s="414"/>
      <c r="G435" s="414"/>
      <c r="H435" s="414"/>
      <c r="I435" s="397"/>
      <c r="J435" s="392"/>
      <c r="K435" s="361"/>
      <c r="L435" s="361"/>
      <c r="M435" s="361"/>
      <c r="N435" s="361"/>
      <c r="O435" s="361"/>
      <c r="P435" s="361"/>
      <c r="Q435" s="361"/>
      <c r="R435" s="361"/>
      <c r="S435" s="361"/>
      <c r="T435" s="361"/>
      <c r="U435" s="361"/>
      <c r="V435" s="361"/>
      <c r="W435" s="361"/>
      <c r="X435" s="361"/>
      <c r="Y435" s="361"/>
      <c r="Z435" s="361"/>
    </row>
    <row r="436" ht="22.5" customHeight="1" outlineLevel="1">
      <c r="A436" s="412"/>
      <c r="B436" s="415"/>
      <c r="C436" s="394"/>
      <c r="D436" s="412"/>
      <c r="E436" s="414"/>
      <c r="F436" s="414"/>
      <c r="G436" s="414"/>
      <c r="H436" s="414"/>
      <c r="I436" s="397"/>
      <c r="J436" s="392"/>
      <c r="K436" s="361"/>
      <c r="L436" s="361"/>
      <c r="M436" s="361"/>
      <c r="N436" s="361"/>
      <c r="O436" s="361"/>
      <c r="P436" s="361"/>
      <c r="Q436" s="361"/>
      <c r="R436" s="361"/>
      <c r="S436" s="361"/>
      <c r="T436" s="361"/>
      <c r="U436" s="361"/>
      <c r="V436" s="361"/>
      <c r="W436" s="361"/>
      <c r="X436" s="361"/>
      <c r="Y436" s="361"/>
      <c r="Z436" s="361"/>
    </row>
    <row r="437" ht="22.5" customHeight="1" outlineLevel="1">
      <c r="A437" s="412"/>
      <c r="B437" s="415"/>
      <c r="C437" s="394"/>
      <c r="D437" s="412"/>
      <c r="E437" s="414"/>
      <c r="F437" s="414"/>
      <c r="G437" s="414"/>
      <c r="H437" s="414"/>
      <c r="I437" s="397"/>
      <c r="J437" s="392"/>
      <c r="K437" s="361"/>
      <c r="L437" s="361"/>
      <c r="M437" s="361"/>
      <c r="N437" s="361"/>
      <c r="O437" s="361"/>
      <c r="P437" s="361"/>
      <c r="Q437" s="361"/>
      <c r="R437" s="361"/>
      <c r="S437" s="361"/>
      <c r="T437" s="361"/>
      <c r="U437" s="361"/>
      <c r="V437" s="361"/>
      <c r="W437" s="361"/>
      <c r="X437" s="361"/>
      <c r="Y437" s="361"/>
      <c r="Z437" s="361"/>
    </row>
    <row r="438" ht="22.5" customHeight="1" outlineLevel="1">
      <c r="A438" s="412"/>
      <c r="B438" s="415"/>
      <c r="C438" s="394"/>
      <c r="D438" s="412"/>
      <c r="E438" s="414"/>
      <c r="F438" s="414"/>
      <c r="G438" s="414"/>
      <c r="H438" s="414"/>
      <c r="I438" s="397"/>
      <c r="J438" s="392"/>
      <c r="K438" s="361"/>
      <c r="L438" s="361"/>
      <c r="M438" s="361"/>
      <c r="N438" s="361"/>
      <c r="O438" s="361"/>
      <c r="P438" s="361"/>
      <c r="Q438" s="361"/>
      <c r="R438" s="361"/>
      <c r="S438" s="361"/>
      <c r="T438" s="361"/>
      <c r="U438" s="361"/>
      <c r="V438" s="361"/>
      <c r="W438" s="361"/>
      <c r="X438" s="361"/>
      <c r="Y438" s="361"/>
      <c r="Z438" s="361"/>
    </row>
    <row r="439" ht="22.5" customHeight="1" outlineLevel="1">
      <c r="A439" s="412"/>
      <c r="B439" s="415"/>
      <c r="C439" s="394"/>
      <c r="D439" s="412"/>
      <c r="E439" s="414"/>
      <c r="F439" s="414"/>
      <c r="G439" s="414"/>
      <c r="H439" s="414"/>
      <c r="I439" s="397"/>
      <c r="J439" s="392"/>
      <c r="K439" s="361"/>
      <c r="L439" s="361"/>
      <c r="M439" s="361"/>
      <c r="N439" s="361"/>
      <c r="O439" s="361"/>
      <c r="P439" s="361"/>
      <c r="Q439" s="361"/>
      <c r="R439" s="361"/>
      <c r="S439" s="361"/>
      <c r="T439" s="361"/>
      <c r="U439" s="361"/>
      <c r="V439" s="361"/>
      <c r="W439" s="361"/>
      <c r="X439" s="361"/>
      <c r="Y439" s="361"/>
      <c r="Z439" s="361"/>
    </row>
    <row r="440" ht="22.5" customHeight="1" outlineLevel="1">
      <c r="A440" s="412"/>
      <c r="B440" s="415"/>
      <c r="C440" s="394"/>
      <c r="D440" s="412"/>
      <c r="E440" s="414"/>
      <c r="F440" s="414"/>
      <c r="G440" s="414"/>
      <c r="H440" s="414"/>
      <c r="I440" s="397"/>
      <c r="J440" s="392"/>
      <c r="K440" s="361"/>
      <c r="L440" s="361"/>
      <c r="M440" s="361"/>
      <c r="N440" s="361"/>
      <c r="O440" s="361"/>
      <c r="P440" s="361"/>
      <c r="Q440" s="361"/>
      <c r="R440" s="361"/>
      <c r="S440" s="361"/>
      <c r="T440" s="361"/>
      <c r="U440" s="361"/>
      <c r="V440" s="361"/>
      <c r="W440" s="361"/>
      <c r="X440" s="361"/>
      <c r="Y440" s="361"/>
      <c r="Z440" s="361"/>
    </row>
    <row r="441" ht="22.5" customHeight="1" outlineLevel="1">
      <c r="A441" s="412"/>
      <c r="B441" s="415"/>
      <c r="C441" s="394"/>
      <c r="D441" s="412"/>
      <c r="E441" s="414"/>
      <c r="F441" s="414"/>
      <c r="G441" s="414"/>
      <c r="H441" s="414"/>
      <c r="I441" s="397"/>
      <c r="J441" s="392"/>
      <c r="K441" s="361"/>
      <c r="L441" s="361"/>
      <c r="M441" s="361"/>
      <c r="N441" s="361"/>
      <c r="O441" s="361"/>
      <c r="P441" s="361"/>
      <c r="Q441" s="361"/>
      <c r="R441" s="361"/>
      <c r="S441" s="361"/>
      <c r="T441" s="361"/>
      <c r="U441" s="361"/>
      <c r="V441" s="361"/>
      <c r="W441" s="361"/>
      <c r="X441" s="361"/>
      <c r="Y441" s="361"/>
      <c r="Z441" s="361"/>
    </row>
    <row r="442" ht="22.5" customHeight="1" outlineLevel="1">
      <c r="A442" s="412"/>
      <c r="B442" s="415"/>
      <c r="C442" s="394"/>
      <c r="D442" s="412"/>
      <c r="E442" s="414"/>
      <c r="F442" s="414"/>
      <c r="G442" s="414"/>
      <c r="H442" s="414"/>
      <c r="I442" s="397"/>
      <c r="J442" s="392"/>
      <c r="K442" s="361"/>
      <c r="L442" s="361"/>
      <c r="M442" s="361"/>
      <c r="N442" s="361"/>
      <c r="O442" s="361"/>
      <c r="P442" s="361"/>
      <c r="Q442" s="361"/>
      <c r="R442" s="361"/>
      <c r="S442" s="361"/>
      <c r="T442" s="361"/>
      <c r="U442" s="361"/>
      <c r="V442" s="361"/>
      <c r="W442" s="361"/>
      <c r="X442" s="361"/>
      <c r="Y442" s="361"/>
      <c r="Z442" s="361"/>
    </row>
    <row r="443" ht="22.5" customHeight="1" outlineLevel="1">
      <c r="A443" s="412"/>
      <c r="B443" s="415"/>
      <c r="C443" s="394"/>
      <c r="D443" s="412"/>
      <c r="E443" s="414"/>
      <c r="F443" s="414"/>
      <c r="G443" s="414"/>
      <c r="H443" s="414"/>
      <c r="I443" s="397"/>
      <c r="J443" s="392"/>
      <c r="K443" s="361"/>
      <c r="L443" s="361"/>
      <c r="M443" s="361"/>
      <c r="N443" s="361"/>
      <c r="O443" s="361"/>
      <c r="P443" s="361"/>
      <c r="Q443" s="361"/>
      <c r="R443" s="361"/>
      <c r="S443" s="361"/>
      <c r="T443" s="361"/>
      <c r="U443" s="361"/>
      <c r="V443" s="361"/>
      <c r="W443" s="361"/>
      <c r="X443" s="361"/>
      <c r="Y443" s="361"/>
      <c r="Z443" s="361"/>
    </row>
    <row r="444" ht="22.5" customHeight="1" outlineLevel="1">
      <c r="A444" s="412"/>
      <c r="B444" s="415"/>
      <c r="C444" s="394"/>
      <c r="D444" s="412"/>
      <c r="E444" s="414"/>
      <c r="F444" s="414"/>
      <c r="G444" s="414"/>
      <c r="H444" s="414"/>
      <c r="I444" s="397"/>
      <c r="J444" s="392"/>
      <c r="K444" s="361"/>
      <c r="L444" s="361"/>
      <c r="M444" s="361"/>
      <c r="N444" s="361"/>
      <c r="O444" s="361"/>
      <c r="P444" s="361"/>
      <c r="Q444" s="361"/>
      <c r="R444" s="361"/>
      <c r="S444" s="361"/>
      <c r="T444" s="361"/>
      <c r="U444" s="361"/>
      <c r="V444" s="361"/>
      <c r="W444" s="361"/>
      <c r="X444" s="361"/>
      <c r="Y444" s="361"/>
      <c r="Z444" s="361"/>
    </row>
    <row r="445" ht="22.5" customHeight="1" outlineLevel="1">
      <c r="A445" s="412"/>
      <c r="B445" s="415"/>
      <c r="C445" s="394"/>
      <c r="D445" s="412"/>
      <c r="E445" s="414"/>
      <c r="F445" s="414"/>
      <c r="G445" s="414"/>
      <c r="H445" s="414"/>
      <c r="I445" s="397"/>
      <c r="J445" s="392"/>
      <c r="K445" s="361"/>
      <c r="L445" s="361"/>
      <c r="M445" s="361"/>
      <c r="N445" s="361"/>
      <c r="O445" s="361"/>
      <c r="P445" s="361"/>
      <c r="Q445" s="361"/>
      <c r="R445" s="361"/>
      <c r="S445" s="361"/>
      <c r="T445" s="361"/>
      <c r="U445" s="361"/>
      <c r="V445" s="361"/>
      <c r="W445" s="361"/>
      <c r="X445" s="361"/>
      <c r="Y445" s="361"/>
      <c r="Z445" s="361"/>
    </row>
    <row r="446" ht="22.5" customHeight="1" outlineLevel="1">
      <c r="A446" s="412"/>
      <c r="B446" s="415"/>
      <c r="C446" s="394"/>
      <c r="D446" s="412"/>
      <c r="E446" s="414"/>
      <c r="F446" s="414"/>
      <c r="G446" s="414"/>
      <c r="H446" s="414"/>
      <c r="I446" s="397"/>
      <c r="J446" s="392"/>
      <c r="K446" s="361"/>
      <c r="L446" s="361"/>
      <c r="M446" s="361"/>
      <c r="N446" s="361"/>
      <c r="O446" s="361"/>
      <c r="P446" s="361"/>
      <c r="Q446" s="361"/>
      <c r="R446" s="361"/>
      <c r="S446" s="361"/>
      <c r="T446" s="361"/>
      <c r="U446" s="361"/>
      <c r="V446" s="361"/>
      <c r="W446" s="361"/>
      <c r="X446" s="361"/>
      <c r="Y446" s="361"/>
      <c r="Z446" s="361"/>
    </row>
    <row r="447" ht="22.5" customHeight="1" outlineLevel="1">
      <c r="A447" s="412"/>
      <c r="B447" s="415"/>
      <c r="C447" s="394"/>
      <c r="D447" s="412"/>
      <c r="E447" s="414"/>
      <c r="F447" s="414"/>
      <c r="G447" s="414"/>
      <c r="H447" s="414"/>
      <c r="I447" s="397"/>
      <c r="J447" s="392"/>
      <c r="K447" s="361"/>
      <c r="L447" s="361"/>
      <c r="M447" s="361"/>
      <c r="N447" s="361"/>
      <c r="O447" s="361"/>
      <c r="P447" s="361"/>
      <c r="Q447" s="361"/>
      <c r="R447" s="361"/>
      <c r="S447" s="361"/>
      <c r="T447" s="361"/>
      <c r="U447" s="361"/>
      <c r="V447" s="361"/>
      <c r="W447" s="361"/>
      <c r="X447" s="361"/>
      <c r="Y447" s="361"/>
      <c r="Z447" s="361"/>
    </row>
    <row r="448" ht="22.5" customHeight="1" outlineLevel="1">
      <c r="A448" s="412"/>
      <c r="B448" s="415"/>
      <c r="C448" s="394"/>
      <c r="D448" s="412"/>
      <c r="E448" s="414"/>
      <c r="F448" s="414"/>
      <c r="G448" s="414"/>
      <c r="H448" s="414"/>
      <c r="I448" s="397"/>
      <c r="J448" s="392"/>
      <c r="K448" s="361"/>
      <c r="L448" s="361"/>
      <c r="M448" s="361"/>
      <c r="N448" s="361"/>
      <c r="O448" s="361"/>
      <c r="P448" s="361"/>
      <c r="Q448" s="361"/>
      <c r="R448" s="361"/>
      <c r="S448" s="361"/>
      <c r="T448" s="361"/>
      <c r="U448" s="361"/>
      <c r="V448" s="361"/>
      <c r="W448" s="361"/>
      <c r="X448" s="361"/>
      <c r="Y448" s="361"/>
      <c r="Z448" s="361"/>
    </row>
    <row r="449" ht="22.5" customHeight="1" outlineLevel="1">
      <c r="A449" s="412"/>
      <c r="B449" s="415"/>
      <c r="C449" s="394"/>
      <c r="D449" s="412"/>
      <c r="E449" s="414"/>
      <c r="F449" s="414"/>
      <c r="G449" s="414"/>
      <c r="H449" s="414"/>
      <c r="I449" s="397"/>
      <c r="J449" s="392"/>
      <c r="K449" s="361"/>
      <c r="L449" s="361"/>
      <c r="M449" s="361"/>
      <c r="N449" s="361"/>
      <c r="O449" s="361"/>
      <c r="P449" s="361"/>
      <c r="Q449" s="361"/>
      <c r="R449" s="361"/>
      <c r="S449" s="361"/>
      <c r="T449" s="361"/>
      <c r="U449" s="361"/>
      <c r="V449" s="361"/>
      <c r="W449" s="361"/>
      <c r="X449" s="361"/>
      <c r="Y449" s="361"/>
      <c r="Z449" s="361"/>
    </row>
    <row r="450" ht="22.5" customHeight="1" outlineLevel="1">
      <c r="A450" s="412"/>
      <c r="B450" s="415"/>
      <c r="C450" s="394"/>
      <c r="D450" s="412"/>
      <c r="E450" s="414"/>
      <c r="F450" s="414"/>
      <c r="G450" s="414"/>
      <c r="H450" s="414"/>
      <c r="I450" s="397"/>
      <c r="J450" s="392"/>
      <c r="K450" s="361"/>
      <c r="L450" s="361"/>
      <c r="M450" s="361"/>
      <c r="N450" s="361"/>
      <c r="O450" s="361"/>
      <c r="P450" s="361"/>
      <c r="Q450" s="361"/>
      <c r="R450" s="361"/>
      <c r="S450" s="361"/>
      <c r="T450" s="361"/>
      <c r="U450" s="361"/>
      <c r="V450" s="361"/>
      <c r="W450" s="361"/>
      <c r="X450" s="361"/>
      <c r="Y450" s="361"/>
      <c r="Z450" s="361"/>
    </row>
    <row r="451" ht="22.5" customHeight="1" outlineLevel="1">
      <c r="A451" s="412"/>
      <c r="B451" s="415"/>
      <c r="C451" s="394"/>
      <c r="D451" s="412"/>
      <c r="E451" s="414"/>
      <c r="F451" s="414"/>
      <c r="G451" s="414"/>
      <c r="H451" s="414"/>
      <c r="I451" s="397"/>
      <c r="J451" s="392"/>
      <c r="K451" s="361"/>
      <c r="L451" s="361"/>
      <c r="M451" s="361"/>
      <c r="N451" s="361"/>
      <c r="O451" s="361"/>
      <c r="P451" s="361"/>
      <c r="Q451" s="361"/>
      <c r="R451" s="361"/>
      <c r="S451" s="361"/>
      <c r="T451" s="361"/>
      <c r="U451" s="361"/>
      <c r="V451" s="361"/>
      <c r="W451" s="361"/>
      <c r="X451" s="361"/>
      <c r="Y451" s="361"/>
      <c r="Z451" s="361"/>
    </row>
    <row r="452" ht="22.5" customHeight="1" outlineLevel="1">
      <c r="A452" s="412"/>
      <c r="B452" s="415"/>
      <c r="C452" s="394"/>
      <c r="D452" s="412"/>
      <c r="E452" s="414"/>
      <c r="F452" s="414"/>
      <c r="G452" s="414"/>
      <c r="H452" s="414"/>
      <c r="I452" s="397"/>
      <c r="J452" s="392"/>
      <c r="K452" s="361"/>
      <c r="L452" s="361"/>
      <c r="M452" s="361"/>
      <c r="N452" s="361"/>
      <c r="O452" s="361"/>
      <c r="P452" s="361"/>
      <c r="Q452" s="361"/>
      <c r="R452" s="361"/>
      <c r="S452" s="361"/>
      <c r="T452" s="361"/>
      <c r="U452" s="361"/>
      <c r="V452" s="361"/>
      <c r="W452" s="361"/>
      <c r="X452" s="361"/>
      <c r="Y452" s="361"/>
      <c r="Z452" s="361"/>
    </row>
    <row r="453" ht="22.5" customHeight="1" outlineLevel="1">
      <c r="A453" s="412"/>
      <c r="B453" s="415"/>
      <c r="C453" s="394"/>
      <c r="D453" s="412"/>
      <c r="E453" s="414"/>
      <c r="F453" s="414"/>
      <c r="G453" s="414"/>
      <c r="H453" s="414"/>
      <c r="I453" s="397"/>
      <c r="J453" s="392"/>
      <c r="K453" s="361"/>
      <c r="L453" s="361"/>
      <c r="M453" s="361"/>
      <c r="N453" s="361"/>
      <c r="O453" s="361"/>
      <c r="P453" s="361"/>
      <c r="Q453" s="361"/>
      <c r="R453" s="361"/>
      <c r="S453" s="361"/>
      <c r="T453" s="361"/>
      <c r="U453" s="361"/>
      <c r="V453" s="361"/>
      <c r="W453" s="361"/>
      <c r="X453" s="361"/>
      <c r="Y453" s="361"/>
      <c r="Z453" s="361"/>
    </row>
    <row r="454" ht="22.5" customHeight="1" outlineLevel="1">
      <c r="A454" s="412"/>
      <c r="B454" s="415"/>
      <c r="C454" s="394"/>
      <c r="D454" s="412"/>
      <c r="E454" s="414"/>
      <c r="F454" s="414"/>
      <c r="G454" s="414"/>
      <c r="H454" s="414"/>
      <c r="I454" s="397"/>
      <c r="J454" s="392"/>
      <c r="K454" s="361"/>
      <c r="L454" s="361"/>
      <c r="M454" s="361"/>
      <c r="N454" s="361"/>
      <c r="O454" s="361"/>
      <c r="P454" s="361"/>
      <c r="Q454" s="361"/>
      <c r="R454" s="361"/>
      <c r="S454" s="361"/>
      <c r="T454" s="361"/>
      <c r="U454" s="361"/>
      <c r="V454" s="361"/>
      <c r="W454" s="361"/>
      <c r="X454" s="361"/>
      <c r="Y454" s="361"/>
      <c r="Z454" s="361"/>
    </row>
    <row r="455" ht="22.5" customHeight="1" outlineLevel="1">
      <c r="A455" s="412"/>
      <c r="B455" s="415"/>
      <c r="C455" s="394"/>
      <c r="D455" s="412"/>
      <c r="E455" s="414"/>
      <c r="F455" s="414"/>
      <c r="G455" s="414"/>
      <c r="H455" s="414"/>
      <c r="I455" s="397"/>
      <c r="J455" s="392"/>
      <c r="K455" s="361"/>
      <c r="L455" s="361"/>
      <c r="M455" s="361"/>
      <c r="N455" s="361"/>
      <c r="O455" s="361"/>
      <c r="P455" s="361"/>
      <c r="Q455" s="361"/>
      <c r="R455" s="361"/>
      <c r="S455" s="361"/>
      <c r="T455" s="361"/>
      <c r="U455" s="361"/>
      <c r="V455" s="361"/>
      <c r="W455" s="361"/>
      <c r="X455" s="361"/>
      <c r="Y455" s="361"/>
      <c r="Z455" s="361"/>
    </row>
    <row r="456" ht="22.5" customHeight="1" outlineLevel="1">
      <c r="A456" s="412"/>
      <c r="B456" s="415"/>
      <c r="C456" s="394"/>
      <c r="D456" s="412"/>
      <c r="E456" s="414"/>
      <c r="F456" s="414"/>
      <c r="G456" s="414"/>
      <c r="H456" s="414"/>
      <c r="I456" s="397"/>
      <c r="J456" s="392"/>
      <c r="K456" s="361"/>
      <c r="L456" s="361"/>
      <c r="M456" s="361"/>
      <c r="N456" s="361"/>
      <c r="O456" s="361"/>
      <c r="P456" s="361"/>
      <c r="Q456" s="361"/>
      <c r="R456" s="361"/>
      <c r="S456" s="361"/>
      <c r="T456" s="361"/>
      <c r="U456" s="361"/>
      <c r="V456" s="361"/>
      <c r="W456" s="361"/>
      <c r="X456" s="361"/>
      <c r="Y456" s="361"/>
      <c r="Z456" s="361"/>
    </row>
    <row r="457" ht="22.5" customHeight="1" outlineLevel="1">
      <c r="A457" s="412"/>
      <c r="B457" s="415"/>
      <c r="C457" s="394"/>
      <c r="D457" s="412"/>
      <c r="E457" s="414"/>
      <c r="F457" s="414"/>
      <c r="G457" s="414"/>
      <c r="H457" s="414"/>
      <c r="I457" s="397"/>
      <c r="J457" s="392"/>
      <c r="K457" s="361"/>
      <c r="L457" s="361"/>
      <c r="M457" s="361"/>
      <c r="N457" s="361"/>
      <c r="O457" s="361"/>
      <c r="P457" s="361"/>
      <c r="Q457" s="361"/>
      <c r="R457" s="361"/>
      <c r="S457" s="361"/>
      <c r="T457" s="361"/>
      <c r="U457" s="361"/>
      <c r="V457" s="361"/>
      <c r="W457" s="361"/>
      <c r="X457" s="361"/>
      <c r="Y457" s="361"/>
      <c r="Z457" s="361"/>
    </row>
    <row r="458" ht="22.5" customHeight="1" outlineLevel="1">
      <c r="A458" s="412"/>
      <c r="B458" s="415"/>
      <c r="C458" s="394"/>
      <c r="D458" s="412"/>
      <c r="E458" s="414"/>
      <c r="F458" s="414"/>
      <c r="G458" s="414"/>
      <c r="H458" s="414"/>
      <c r="I458" s="397"/>
      <c r="J458" s="392"/>
      <c r="K458" s="361"/>
      <c r="L458" s="361"/>
      <c r="M458" s="361"/>
      <c r="N458" s="361"/>
      <c r="O458" s="361"/>
      <c r="P458" s="361"/>
      <c r="Q458" s="361"/>
      <c r="R458" s="361"/>
      <c r="S458" s="361"/>
      <c r="T458" s="361"/>
      <c r="U458" s="361"/>
      <c r="V458" s="361"/>
      <c r="W458" s="361"/>
      <c r="X458" s="361"/>
      <c r="Y458" s="361"/>
      <c r="Z458" s="361"/>
    </row>
    <row r="459" ht="22.5" customHeight="1" outlineLevel="1">
      <c r="A459" s="412"/>
      <c r="B459" s="415"/>
      <c r="C459" s="394"/>
      <c r="D459" s="412"/>
      <c r="E459" s="414"/>
      <c r="F459" s="414"/>
      <c r="G459" s="414"/>
      <c r="H459" s="414"/>
      <c r="I459" s="397"/>
      <c r="J459" s="392"/>
      <c r="K459" s="361"/>
      <c r="L459" s="361"/>
      <c r="M459" s="361"/>
      <c r="N459" s="361"/>
      <c r="O459" s="361"/>
      <c r="P459" s="361"/>
      <c r="Q459" s="361"/>
      <c r="R459" s="361"/>
      <c r="S459" s="361"/>
      <c r="T459" s="361"/>
      <c r="U459" s="361"/>
      <c r="V459" s="361"/>
      <c r="W459" s="361"/>
      <c r="X459" s="361"/>
      <c r="Y459" s="361"/>
      <c r="Z459" s="361"/>
    </row>
    <row r="460" ht="22.5" customHeight="1" outlineLevel="1">
      <c r="A460" s="412"/>
      <c r="B460" s="415"/>
      <c r="C460" s="394"/>
      <c r="D460" s="412"/>
      <c r="E460" s="414"/>
      <c r="F460" s="414"/>
      <c r="G460" s="414"/>
      <c r="H460" s="414"/>
      <c r="I460" s="397"/>
      <c r="J460" s="392"/>
      <c r="K460" s="361"/>
      <c r="L460" s="361"/>
      <c r="M460" s="361"/>
      <c r="N460" s="361"/>
      <c r="O460" s="361"/>
      <c r="P460" s="361"/>
      <c r="Q460" s="361"/>
      <c r="R460" s="361"/>
      <c r="S460" s="361"/>
      <c r="T460" s="361"/>
      <c r="U460" s="361"/>
      <c r="V460" s="361"/>
      <c r="W460" s="361"/>
      <c r="X460" s="361"/>
      <c r="Y460" s="361"/>
      <c r="Z460" s="361"/>
    </row>
    <row r="461" ht="22.5" customHeight="1" outlineLevel="1">
      <c r="A461" s="412"/>
      <c r="B461" s="415"/>
      <c r="C461" s="394"/>
      <c r="D461" s="412"/>
      <c r="E461" s="414"/>
      <c r="F461" s="414"/>
      <c r="G461" s="414"/>
      <c r="H461" s="414"/>
      <c r="I461" s="397"/>
      <c r="J461" s="392"/>
      <c r="K461" s="361"/>
      <c r="L461" s="361"/>
      <c r="M461" s="361"/>
      <c r="N461" s="361"/>
      <c r="O461" s="361"/>
      <c r="P461" s="361"/>
      <c r="Q461" s="361"/>
      <c r="R461" s="361"/>
      <c r="S461" s="361"/>
      <c r="T461" s="361"/>
      <c r="U461" s="361"/>
      <c r="V461" s="361"/>
      <c r="W461" s="361"/>
      <c r="X461" s="361"/>
      <c r="Y461" s="361"/>
      <c r="Z461" s="361"/>
    </row>
    <row r="462" ht="22.5" customHeight="1" outlineLevel="1">
      <c r="A462" s="412"/>
      <c r="B462" s="415"/>
      <c r="C462" s="394"/>
      <c r="D462" s="412"/>
      <c r="E462" s="414"/>
      <c r="F462" s="414"/>
      <c r="G462" s="414"/>
      <c r="H462" s="414"/>
      <c r="I462" s="397"/>
      <c r="J462" s="392"/>
      <c r="K462" s="361"/>
      <c r="L462" s="361"/>
      <c r="M462" s="361"/>
      <c r="N462" s="361"/>
      <c r="O462" s="361"/>
      <c r="P462" s="361"/>
      <c r="Q462" s="361"/>
      <c r="R462" s="361"/>
      <c r="S462" s="361"/>
      <c r="T462" s="361"/>
      <c r="U462" s="361"/>
      <c r="V462" s="361"/>
      <c r="W462" s="361"/>
      <c r="X462" s="361"/>
      <c r="Y462" s="361"/>
      <c r="Z462" s="361"/>
    </row>
    <row r="463" ht="22.5" customHeight="1" outlineLevel="1">
      <c r="A463" s="412"/>
      <c r="B463" s="415"/>
      <c r="C463" s="394"/>
      <c r="D463" s="412"/>
      <c r="E463" s="414"/>
      <c r="F463" s="414"/>
      <c r="G463" s="414"/>
      <c r="H463" s="414"/>
      <c r="I463" s="397"/>
      <c r="J463" s="392"/>
      <c r="K463" s="361"/>
      <c r="L463" s="361"/>
      <c r="M463" s="361"/>
      <c r="N463" s="361"/>
      <c r="O463" s="361"/>
      <c r="P463" s="361"/>
      <c r="Q463" s="361"/>
      <c r="R463" s="361"/>
      <c r="S463" s="361"/>
      <c r="T463" s="361"/>
      <c r="U463" s="361"/>
      <c r="V463" s="361"/>
      <c r="W463" s="361"/>
      <c r="X463" s="361"/>
      <c r="Y463" s="361"/>
      <c r="Z463" s="361"/>
    </row>
    <row r="464" ht="22.5" customHeight="1" outlineLevel="1">
      <c r="A464" s="412"/>
      <c r="B464" s="415"/>
      <c r="C464" s="394"/>
      <c r="D464" s="412"/>
      <c r="E464" s="414"/>
      <c r="F464" s="414"/>
      <c r="G464" s="414"/>
      <c r="H464" s="414"/>
      <c r="I464" s="397"/>
      <c r="J464" s="392"/>
      <c r="K464" s="361"/>
      <c r="L464" s="361"/>
      <c r="M464" s="361"/>
      <c r="N464" s="361"/>
      <c r="O464" s="361"/>
      <c r="P464" s="361"/>
      <c r="Q464" s="361"/>
      <c r="R464" s="361"/>
      <c r="S464" s="361"/>
      <c r="T464" s="361"/>
      <c r="U464" s="361"/>
      <c r="V464" s="361"/>
      <c r="W464" s="361"/>
      <c r="X464" s="361"/>
      <c r="Y464" s="361"/>
      <c r="Z464" s="361"/>
    </row>
    <row r="465" ht="22.5" customHeight="1" outlineLevel="1">
      <c r="A465" s="412"/>
      <c r="B465" s="415"/>
      <c r="C465" s="394"/>
      <c r="D465" s="412"/>
      <c r="E465" s="414"/>
      <c r="F465" s="414"/>
      <c r="G465" s="414"/>
      <c r="H465" s="414"/>
      <c r="I465" s="397"/>
      <c r="J465" s="392"/>
      <c r="K465" s="361"/>
      <c r="L465" s="361"/>
      <c r="M465" s="361"/>
      <c r="N465" s="361"/>
      <c r="O465" s="361"/>
      <c r="P465" s="361"/>
      <c r="Q465" s="361"/>
      <c r="R465" s="361"/>
      <c r="S465" s="361"/>
      <c r="T465" s="361"/>
      <c r="U465" s="361"/>
      <c r="V465" s="361"/>
      <c r="W465" s="361"/>
      <c r="X465" s="361"/>
      <c r="Y465" s="361"/>
      <c r="Z465" s="361"/>
    </row>
    <row r="466" ht="22.5" customHeight="1" outlineLevel="1">
      <c r="A466" s="412"/>
      <c r="B466" s="415"/>
      <c r="C466" s="394"/>
      <c r="D466" s="412"/>
      <c r="E466" s="414"/>
      <c r="F466" s="414"/>
      <c r="G466" s="414"/>
      <c r="H466" s="414"/>
      <c r="I466" s="397"/>
      <c r="J466" s="392"/>
      <c r="K466" s="361"/>
      <c r="L466" s="361"/>
      <c r="M466" s="361"/>
      <c r="N466" s="361"/>
      <c r="O466" s="361"/>
      <c r="P466" s="361"/>
      <c r="Q466" s="361"/>
      <c r="R466" s="361"/>
      <c r="S466" s="361"/>
      <c r="T466" s="361"/>
      <c r="U466" s="361"/>
      <c r="V466" s="361"/>
      <c r="W466" s="361"/>
      <c r="X466" s="361"/>
      <c r="Y466" s="361"/>
      <c r="Z466" s="361"/>
    </row>
    <row r="467" ht="22.5" customHeight="1" outlineLevel="1">
      <c r="A467" s="412"/>
      <c r="B467" s="415"/>
      <c r="C467" s="394"/>
      <c r="D467" s="412"/>
      <c r="E467" s="414"/>
      <c r="F467" s="414"/>
      <c r="G467" s="414"/>
      <c r="H467" s="414"/>
      <c r="I467" s="397"/>
      <c r="J467" s="392"/>
      <c r="K467" s="361"/>
      <c r="L467" s="361"/>
      <c r="M467" s="361"/>
      <c r="N467" s="361"/>
      <c r="O467" s="361"/>
      <c r="P467" s="361"/>
      <c r="Q467" s="361"/>
      <c r="R467" s="361"/>
      <c r="S467" s="361"/>
      <c r="T467" s="361"/>
      <c r="U467" s="361"/>
      <c r="V467" s="361"/>
      <c r="W467" s="361"/>
      <c r="X467" s="361"/>
      <c r="Y467" s="361"/>
      <c r="Z467" s="361"/>
    </row>
    <row r="468" ht="22.5" customHeight="1" outlineLevel="1">
      <c r="A468" s="412"/>
      <c r="B468" s="415"/>
      <c r="C468" s="394"/>
      <c r="D468" s="412"/>
      <c r="E468" s="414"/>
      <c r="F468" s="414"/>
      <c r="G468" s="414"/>
      <c r="H468" s="414"/>
      <c r="I468" s="397"/>
      <c r="J468" s="392"/>
      <c r="K468" s="361"/>
      <c r="L468" s="361"/>
      <c r="M468" s="361"/>
      <c r="N468" s="361"/>
      <c r="O468" s="361"/>
      <c r="P468" s="361"/>
      <c r="Q468" s="361"/>
      <c r="R468" s="361"/>
      <c r="S468" s="361"/>
      <c r="T468" s="361"/>
      <c r="U468" s="361"/>
      <c r="V468" s="361"/>
      <c r="W468" s="361"/>
      <c r="X468" s="361"/>
      <c r="Y468" s="361"/>
      <c r="Z468" s="361"/>
    </row>
    <row r="469" ht="22.5" customHeight="1" outlineLevel="1">
      <c r="A469" s="412"/>
      <c r="B469" s="415"/>
      <c r="C469" s="394"/>
      <c r="D469" s="412"/>
      <c r="E469" s="414"/>
      <c r="F469" s="414"/>
      <c r="G469" s="414"/>
      <c r="H469" s="414"/>
      <c r="I469" s="397"/>
      <c r="J469" s="392"/>
      <c r="K469" s="361"/>
      <c r="L469" s="361"/>
      <c r="M469" s="361"/>
      <c r="N469" s="361"/>
      <c r="O469" s="361"/>
      <c r="P469" s="361"/>
      <c r="Q469" s="361"/>
      <c r="R469" s="361"/>
      <c r="S469" s="361"/>
      <c r="T469" s="361"/>
      <c r="U469" s="361"/>
      <c r="V469" s="361"/>
      <c r="W469" s="361"/>
      <c r="X469" s="361"/>
      <c r="Y469" s="361"/>
      <c r="Z469" s="361"/>
    </row>
    <row r="470" ht="22.5" customHeight="1" outlineLevel="1">
      <c r="A470" s="412"/>
      <c r="B470" s="415"/>
      <c r="C470" s="394"/>
      <c r="D470" s="412"/>
      <c r="E470" s="414"/>
      <c r="F470" s="414"/>
      <c r="G470" s="414"/>
      <c r="H470" s="414"/>
      <c r="I470" s="397"/>
      <c r="J470" s="392"/>
      <c r="K470" s="361"/>
      <c r="L470" s="361"/>
      <c r="M470" s="361"/>
      <c r="N470" s="361"/>
      <c r="O470" s="361"/>
      <c r="P470" s="361"/>
      <c r="Q470" s="361"/>
      <c r="R470" s="361"/>
      <c r="S470" s="361"/>
      <c r="T470" s="361"/>
      <c r="U470" s="361"/>
      <c r="V470" s="361"/>
      <c r="W470" s="361"/>
      <c r="X470" s="361"/>
      <c r="Y470" s="361"/>
      <c r="Z470" s="361"/>
    </row>
    <row r="471" ht="22.5" customHeight="1" outlineLevel="1">
      <c r="A471" s="412"/>
      <c r="B471" s="415"/>
      <c r="C471" s="394"/>
      <c r="D471" s="412"/>
      <c r="E471" s="414"/>
      <c r="F471" s="414"/>
      <c r="G471" s="414"/>
      <c r="H471" s="414"/>
      <c r="I471" s="397"/>
      <c r="J471" s="392"/>
      <c r="K471" s="361"/>
      <c r="L471" s="361"/>
      <c r="M471" s="361"/>
      <c r="N471" s="361"/>
      <c r="O471" s="361"/>
      <c r="P471" s="361"/>
      <c r="Q471" s="361"/>
      <c r="R471" s="361"/>
      <c r="S471" s="361"/>
      <c r="T471" s="361"/>
      <c r="U471" s="361"/>
      <c r="V471" s="361"/>
      <c r="W471" s="361"/>
      <c r="X471" s="361"/>
      <c r="Y471" s="361"/>
      <c r="Z471" s="361"/>
    </row>
    <row r="472" ht="22.5" customHeight="1" outlineLevel="1">
      <c r="A472" s="412"/>
      <c r="B472" s="415"/>
      <c r="C472" s="394"/>
      <c r="D472" s="412"/>
      <c r="E472" s="414"/>
      <c r="F472" s="414"/>
      <c r="G472" s="414"/>
      <c r="H472" s="414"/>
      <c r="I472" s="397"/>
      <c r="J472" s="392"/>
      <c r="K472" s="361"/>
      <c r="L472" s="361"/>
      <c r="M472" s="361"/>
      <c r="N472" s="361"/>
      <c r="O472" s="361"/>
      <c r="P472" s="361"/>
      <c r="Q472" s="361"/>
      <c r="R472" s="361"/>
      <c r="S472" s="361"/>
      <c r="T472" s="361"/>
      <c r="U472" s="361"/>
      <c r="V472" s="361"/>
      <c r="W472" s="361"/>
      <c r="X472" s="361"/>
      <c r="Y472" s="361"/>
      <c r="Z472" s="361"/>
    </row>
    <row r="473" ht="22.5" customHeight="1" outlineLevel="1">
      <c r="A473" s="412"/>
      <c r="B473" s="415"/>
      <c r="C473" s="394"/>
      <c r="D473" s="412"/>
      <c r="E473" s="414"/>
      <c r="F473" s="414"/>
      <c r="G473" s="414"/>
      <c r="H473" s="414"/>
      <c r="I473" s="397"/>
      <c r="J473" s="392"/>
      <c r="K473" s="361"/>
      <c r="L473" s="361"/>
      <c r="M473" s="361"/>
      <c r="N473" s="361"/>
      <c r="O473" s="361"/>
      <c r="P473" s="361"/>
      <c r="Q473" s="361"/>
      <c r="R473" s="361"/>
      <c r="S473" s="361"/>
      <c r="T473" s="361"/>
      <c r="U473" s="361"/>
      <c r="V473" s="361"/>
      <c r="W473" s="361"/>
      <c r="X473" s="361"/>
      <c r="Y473" s="361"/>
      <c r="Z473" s="361"/>
    </row>
    <row r="474" ht="22.5" customHeight="1" outlineLevel="1">
      <c r="A474" s="412"/>
      <c r="B474" s="415"/>
      <c r="C474" s="394"/>
      <c r="D474" s="412"/>
      <c r="E474" s="414"/>
      <c r="F474" s="414"/>
      <c r="G474" s="414"/>
      <c r="H474" s="414"/>
      <c r="I474" s="397"/>
      <c r="J474" s="392"/>
      <c r="K474" s="361"/>
      <c r="L474" s="361"/>
      <c r="M474" s="361"/>
      <c r="N474" s="361"/>
      <c r="O474" s="361"/>
      <c r="P474" s="361"/>
      <c r="Q474" s="361"/>
      <c r="R474" s="361"/>
      <c r="S474" s="361"/>
      <c r="T474" s="361"/>
      <c r="U474" s="361"/>
      <c r="V474" s="361"/>
      <c r="W474" s="361"/>
      <c r="X474" s="361"/>
      <c r="Y474" s="361"/>
      <c r="Z474" s="361"/>
    </row>
    <row r="475" ht="22.5" customHeight="1" outlineLevel="1">
      <c r="A475" s="412"/>
      <c r="B475" s="415"/>
      <c r="C475" s="394"/>
      <c r="D475" s="412"/>
      <c r="E475" s="414"/>
      <c r="F475" s="414"/>
      <c r="G475" s="414"/>
      <c r="H475" s="414"/>
      <c r="I475" s="397"/>
      <c r="J475" s="392"/>
      <c r="K475" s="361"/>
      <c r="L475" s="361"/>
      <c r="M475" s="361"/>
      <c r="N475" s="361"/>
      <c r="O475" s="361"/>
      <c r="P475" s="361"/>
      <c r="Q475" s="361"/>
      <c r="R475" s="361"/>
      <c r="S475" s="361"/>
      <c r="T475" s="361"/>
      <c r="U475" s="361"/>
      <c r="V475" s="361"/>
      <c r="W475" s="361"/>
      <c r="X475" s="361"/>
      <c r="Y475" s="361"/>
      <c r="Z475" s="361"/>
    </row>
    <row r="476" ht="22.5" customHeight="1" outlineLevel="1">
      <c r="A476" s="412"/>
      <c r="B476" s="415"/>
      <c r="C476" s="394"/>
      <c r="D476" s="412"/>
      <c r="E476" s="414"/>
      <c r="F476" s="414"/>
      <c r="G476" s="414"/>
      <c r="H476" s="414"/>
      <c r="I476" s="397"/>
      <c r="J476" s="392"/>
      <c r="K476" s="361"/>
      <c r="L476" s="361"/>
      <c r="M476" s="361"/>
      <c r="N476" s="361"/>
      <c r="O476" s="361"/>
      <c r="P476" s="361"/>
      <c r="Q476" s="361"/>
      <c r="R476" s="361"/>
      <c r="S476" s="361"/>
      <c r="T476" s="361"/>
      <c r="U476" s="361"/>
      <c r="V476" s="361"/>
      <c r="W476" s="361"/>
      <c r="X476" s="361"/>
      <c r="Y476" s="361"/>
      <c r="Z476" s="361"/>
    </row>
    <row r="477" ht="22.5" customHeight="1" outlineLevel="1">
      <c r="A477" s="412"/>
      <c r="B477" s="415"/>
      <c r="C477" s="394"/>
      <c r="D477" s="412"/>
      <c r="E477" s="414"/>
      <c r="F477" s="414"/>
      <c r="G477" s="414"/>
      <c r="H477" s="414"/>
      <c r="I477" s="397"/>
      <c r="J477" s="392"/>
      <c r="K477" s="361"/>
      <c r="L477" s="361"/>
      <c r="M477" s="361"/>
      <c r="N477" s="361"/>
      <c r="O477" s="361"/>
      <c r="P477" s="361"/>
      <c r="Q477" s="361"/>
      <c r="R477" s="361"/>
      <c r="S477" s="361"/>
      <c r="T477" s="361"/>
      <c r="U477" s="361"/>
      <c r="V477" s="361"/>
      <c r="W477" s="361"/>
      <c r="X477" s="361"/>
      <c r="Y477" s="361"/>
      <c r="Z477" s="361"/>
    </row>
    <row r="478" ht="22.5" customHeight="1" outlineLevel="1">
      <c r="A478" s="412"/>
      <c r="B478" s="415"/>
      <c r="C478" s="394"/>
      <c r="D478" s="412"/>
      <c r="E478" s="414"/>
      <c r="F478" s="414"/>
      <c r="G478" s="414"/>
      <c r="H478" s="414"/>
      <c r="I478" s="397"/>
      <c r="J478" s="392"/>
      <c r="K478" s="361"/>
      <c r="L478" s="361"/>
      <c r="M478" s="361"/>
      <c r="N478" s="361"/>
      <c r="O478" s="361"/>
      <c r="P478" s="361"/>
      <c r="Q478" s="361"/>
      <c r="R478" s="361"/>
      <c r="S478" s="361"/>
      <c r="T478" s="361"/>
      <c r="U478" s="361"/>
      <c r="V478" s="361"/>
      <c r="W478" s="361"/>
      <c r="X478" s="361"/>
      <c r="Y478" s="361"/>
      <c r="Z478" s="361"/>
    </row>
    <row r="479" ht="22.5" customHeight="1" outlineLevel="1">
      <c r="A479" s="412"/>
      <c r="B479" s="415"/>
      <c r="C479" s="394"/>
      <c r="D479" s="412"/>
      <c r="E479" s="414"/>
      <c r="F479" s="414"/>
      <c r="G479" s="414"/>
      <c r="H479" s="414"/>
      <c r="I479" s="397"/>
      <c r="J479" s="392"/>
      <c r="K479" s="361"/>
      <c r="L479" s="361"/>
      <c r="M479" s="361"/>
      <c r="N479" s="361"/>
      <c r="O479" s="361"/>
      <c r="P479" s="361"/>
      <c r="Q479" s="361"/>
      <c r="R479" s="361"/>
      <c r="S479" s="361"/>
      <c r="T479" s="361"/>
      <c r="U479" s="361"/>
      <c r="V479" s="361"/>
      <c r="W479" s="361"/>
      <c r="X479" s="361"/>
      <c r="Y479" s="361"/>
      <c r="Z479" s="361"/>
    </row>
    <row r="480" ht="22.5" customHeight="1" outlineLevel="1">
      <c r="A480" s="412"/>
      <c r="B480" s="415"/>
      <c r="C480" s="394"/>
      <c r="D480" s="412"/>
      <c r="E480" s="414"/>
      <c r="F480" s="414"/>
      <c r="G480" s="414"/>
      <c r="H480" s="414"/>
      <c r="I480" s="397"/>
      <c r="J480" s="392"/>
      <c r="K480" s="361"/>
      <c r="L480" s="361"/>
      <c r="M480" s="361"/>
      <c r="N480" s="361"/>
      <c r="O480" s="361"/>
      <c r="P480" s="361"/>
      <c r="Q480" s="361"/>
      <c r="R480" s="361"/>
      <c r="S480" s="361"/>
      <c r="T480" s="361"/>
      <c r="U480" s="361"/>
      <c r="V480" s="361"/>
      <c r="W480" s="361"/>
      <c r="X480" s="361"/>
      <c r="Y480" s="361"/>
      <c r="Z480" s="361"/>
    </row>
    <row r="481" ht="22.5" customHeight="1" outlineLevel="1">
      <c r="A481" s="412"/>
      <c r="B481" s="415"/>
      <c r="C481" s="394"/>
      <c r="D481" s="412"/>
      <c r="E481" s="414"/>
      <c r="F481" s="414"/>
      <c r="G481" s="414"/>
      <c r="H481" s="414"/>
      <c r="I481" s="397"/>
      <c r="J481" s="392"/>
      <c r="K481" s="361"/>
      <c r="L481" s="361"/>
      <c r="M481" s="361"/>
      <c r="N481" s="361"/>
      <c r="O481" s="361"/>
      <c r="P481" s="361"/>
      <c r="Q481" s="361"/>
      <c r="R481" s="361"/>
      <c r="S481" s="361"/>
      <c r="T481" s="361"/>
      <c r="U481" s="361"/>
      <c r="V481" s="361"/>
      <c r="W481" s="361"/>
      <c r="X481" s="361"/>
      <c r="Y481" s="361"/>
      <c r="Z481" s="361"/>
    </row>
    <row r="482" ht="22.5" customHeight="1" outlineLevel="1">
      <c r="A482" s="412"/>
      <c r="B482" s="415"/>
      <c r="C482" s="394"/>
      <c r="D482" s="412"/>
      <c r="E482" s="414"/>
      <c r="F482" s="414"/>
      <c r="G482" s="414"/>
      <c r="H482" s="414"/>
      <c r="I482" s="397"/>
      <c r="J482" s="392"/>
      <c r="K482" s="361"/>
      <c r="L482" s="361"/>
      <c r="M482" s="361"/>
      <c r="N482" s="361"/>
      <c r="O482" s="361"/>
      <c r="P482" s="361"/>
      <c r="Q482" s="361"/>
      <c r="R482" s="361"/>
      <c r="S482" s="361"/>
      <c r="T482" s="361"/>
      <c r="U482" s="361"/>
      <c r="V482" s="361"/>
      <c r="W482" s="361"/>
      <c r="X482" s="361"/>
      <c r="Y482" s="361"/>
      <c r="Z482" s="361"/>
    </row>
    <row r="483" ht="22.5" customHeight="1" outlineLevel="1">
      <c r="A483" s="412"/>
      <c r="B483" s="415"/>
      <c r="C483" s="394"/>
      <c r="D483" s="412"/>
      <c r="E483" s="414"/>
      <c r="F483" s="414"/>
      <c r="G483" s="414"/>
      <c r="H483" s="414"/>
      <c r="I483" s="397"/>
      <c r="J483" s="392"/>
      <c r="K483" s="361"/>
      <c r="L483" s="361"/>
      <c r="M483" s="361"/>
      <c r="N483" s="361"/>
      <c r="O483" s="361"/>
      <c r="P483" s="361"/>
      <c r="Q483" s="361"/>
      <c r="R483" s="361"/>
      <c r="S483" s="361"/>
      <c r="T483" s="361"/>
      <c r="U483" s="361"/>
      <c r="V483" s="361"/>
      <c r="W483" s="361"/>
      <c r="X483" s="361"/>
      <c r="Y483" s="361"/>
      <c r="Z483" s="361"/>
    </row>
    <row r="484" ht="22.5" customHeight="1" outlineLevel="1">
      <c r="A484" s="412"/>
      <c r="B484" s="415"/>
      <c r="C484" s="394"/>
      <c r="D484" s="412"/>
      <c r="E484" s="414"/>
      <c r="F484" s="414"/>
      <c r="G484" s="414"/>
      <c r="H484" s="414"/>
      <c r="I484" s="397"/>
      <c r="J484" s="392"/>
      <c r="K484" s="361"/>
      <c r="L484" s="361"/>
      <c r="M484" s="361"/>
      <c r="N484" s="361"/>
      <c r="O484" s="361"/>
      <c r="P484" s="361"/>
      <c r="Q484" s="361"/>
      <c r="R484" s="361"/>
      <c r="S484" s="361"/>
      <c r="T484" s="361"/>
      <c r="U484" s="361"/>
      <c r="V484" s="361"/>
      <c r="W484" s="361"/>
      <c r="X484" s="361"/>
      <c r="Y484" s="361"/>
      <c r="Z484" s="361"/>
    </row>
    <row r="485" ht="22.5" customHeight="1" outlineLevel="1">
      <c r="A485" s="412"/>
      <c r="B485" s="415"/>
      <c r="C485" s="394"/>
      <c r="D485" s="412"/>
      <c r="E485" s="414"/>
      <c r="F485" s="414"/>
      <c r="G485" s="414"/>
      <c r="H485" s="414"/>
      <c r="I485" s="397"/>
      <c r="J485" s="392"/>
      <c r="K485" s="361"/>
      <c r="L485" s="361"/>
      <c r="M485" s="361"/>
      <c r="N485" s="361"/>
      <c r="O485" s="361"/>
      <c r="P485" s="361"/>
      <c r="Q485" s="361"/>
      <c r="R485" s="361"/>
      <c r="S485" s="361"/>
      <c r="T485" s="361"/>
      <c r="U485" s="361"/>
      <c r="V485" s="361"/>
      <c r="W485" s="361"/>
      <c r="X485" s="361"/>
      <c r="Y485" s="361"/>
      <c r="Z485" s="361"/>
    </row>
    <row r="486" ht="22.5" customHeight="1" outlineLevel="1">
      <c r="A486" s="412"/>
      <c r="B486" s="415"/>
      <c r="C486" s="394"/>
      <c r="D486" s="412"/>
      <c r="E486" s="414"/>
      <c r="F486" s="414"/>
      <c r="G486" s="414"/>
      <c r="H486" s="414"/>
      <c r="I486" s="397"/>
      <c r="J486" s="392"/>
      <c r="K486" s="361"/>
      <c r="L486" s="361"/>
      <c r="M486" s="361"/>
      <c r="N486" s="361"/>
      <c r="O486" s="361"/>
      <c r="P486" s="361"/>
      <c r="Q486" s="361"/>
      <c r="R486" s="361"/>
      <c r="S486" s="361"/>
      <c r="T486" s="361"/>
      <c r="U486" s="361"/>
      <c r="V486" s="361"/>
      <c r="W486" s="361"/>
      <c r="X486" s="361"/>
      <c r="Y486" s="361"/>
      <c r="Z486" s="361"/>
    </row>
    <row r="487" ht="22.5" customHeight="1" outlineLevel="1">
      <c r="A487" s="412"/>
      <c r="B487" s="415"/>
      <c r="C487" s="394"/>
      <c r="D487" s="412"/>
      <c r="E487" s="414"/>
      <c r="F487" s="414"/>
      <c r="G487" s="414"/>
      <c r="H487" s="414"/>
      <c r="I487" s="397"/>
      <c r="J487" s="392"/>
      <c r="K487" s="361"/>
      <c r="L487" s="361"/>
      <c r="M487" s="361"/>
      <c r="N487" s="361"/>
      <c r="O487" s="361"/>
      <c r="P487" s="361"/>
      <c r="Q487" s="361"/>
      <c r="R487" s="361"/>
      <c r="S487" s="361"/>
      <c r="T487" s="361"/>
      <c r="U487" s="361"/>
      <c r="V487" s="361"/>
      <c r="W487" s="361"/>
      <c r="X487" s="361"/>
      <c r="Y487" s="361"/>
      <c r="Z487" s="361"/>
    </row>
    <row r="488" ht="22.5" customHeight="1" outlineLevel="1">
      <c r="A488" s="412"/>
      <c r="B488" s="415"/>
      <c r="C488" s="394"/>
      <c r="D488" s="412"/>
      <c r="E488" s="414"/>
      <c r="F488" s="414"/>
      <c r="G488" s="414"/>
      <c r="H488" s="414"/>
      <c r="I488" s="397"/>
      <c r="J488" s="392"/>
      <c r="K488" s="361"/>
      <c r="L488" s="361"/>
      <c r="M488" s="361"/>
      <c r="N488" s="361"/>
      <c r="O488" s="361"/>
      <c r="P488" s="361"/>
      <c r="Q488" s="361"/>
      <c r="R488" s="361"/>
      <c r="S488" s="361"/>
      <c r="T488" s="361"/>
      <c r="U488" s="361"/>
      <c r="V488" s="361"/>
      <c r="W488" s="361"/>
      <c r="X488" s="361"/>
      <c r="Y488" s="361"/>
      <c r="Z488" s="361"/>
    </row>
    <row r="489" ht="22.5" customHeight="1" outlineLevel="1">
      <c r="A489" s="412"/>
      <c r="B489" s="415"/>
      <c r="C489" s="394"/>
      <c r="D489" s="412"/>
      <c r="E489" s="414"/>
      <c r="F489" s="414"/>
      <c r="G489" s="414"/>
      <c r="H489" s="414"/>
      <c r="I489" s="397"/>
      <c r="J489" s="392"/>
      <c r="K489" s="361"/>
      <c r="L489" s="361"/>
      <c r="M489" s="361"/>
      <c r="N489" s="361"/>
      <c r="O489" s="361"/>
      <c r="P489" s="361"/>
      <c r="Q489" s="361"/>
      <c r="R489" s="361"/>
      <c r="S489" s="361"/>
      <c r="T489" s="361"/>
      <c r="U489" s="361"/>
      <c r="V489" s="361"/>
      <c r="W489" s="361"/>
      <c r="X489" s="361"/>
      <c r="Y489" s="361"/>
      <c r="Z489" s="361"/>
    </row>
    <row r="490" ht="22.5" customHeight="1" outlineLevel="1">
      <c r="A490" s="412"/>
      <c r="B490" s="415"/>
      <c r="C490" s="394"/>
      <c r="D490" s="412"/>
      <c r="E490" s="414"/>
      <c r="F490" s="414"/>
      <c r="G490" s="414"/>
      <c r="H490" s="414"/>
      <c r="I490" s="397"/>
      <c r="J490" s="392"/>
      <c r="K490" s="361"/>
      <c r="L490" s="361"/>
      <c r="M490" s="361"/>
      <c r="N490" s="361"/>
      <c r="O490" s="361"/>
      <c r="P490" s="361"/>
      <c r="Q490" s="361"/>
      <c r="R490" s="361"/>
      <c r="S490" s="361"/>
      <c r="T490" s="361"/>
      <c r="U490" s="361"/>
      <c r="V490" s="361"/>
      <c r="W490" s="361"/>
      <c r="X490" s="361"/>
      <c r="Y490" s="361"/>
      <c r="Z490" s="361"/>
    </row>
    <row r="491" ht="22.5" customHeight="1" outlineLevel="1">
      <c r="A491" s="412"/>
      <c r="B491" s="415"/>
      <c r="C491" s="394"/>
      <c r="D491" s="412"/>
      <c r="E491" s="414"/>
      <c r="F491" s="414"/>
      <c r="G491" s="414"/>
      <c r="H491" s="414"/>
      <c r="I491" s="397"/>
      <c r="J491" s="392"/>
      <c r="K491" s="361"/>
      <c r="L491" s="361"/>
      <c r="M491" s="361"/>
      <c r="N491" s="361"/>
      <c r="O491" s="361"/>
      <c r="P491" s="361"/>
      <c r="Q491" s="361"/>
      <c r="R491" s="361"/>
      <c r="S491" s="361"/>
      <c r="T491" s="361"/>
      <c r="U491" s="361"/>
      <c r="V491" s="361"/>
      <c r="W491" s="361"/>
      <c r="X491" s="361"/>
      <c r="Y491" s="361"/>
      <c r="Z491" s="361"/>
    </row>
    <row r="492" ht="22.5" customHeight="1" outlineLevel="1">
      <c r="A492" s="412"/>
      <c r="B492" s="415"/>
      <c r="C492" s="394"/>
      <c r="D492" s="412"/>
      <c r="E492" s="414"/>
      <c r="F492" s="414"/>
      <c r="G492" s="414"/>
      <c r="H492" s="414"/>
      <c r="I492" s="397"/>
      <c r="J492" s="392"/>
      <c r="K492" s="361"/>
      <c r="L492" s="361"/>
      <c r="M492" s="361"/>
      <c r="N492" s="361"/>
      <c r="O492" s="361"/>
      <c r="P492" s="361"/>
      <c r="Q492" s="361"/>
      <c r="R492" s="361"/>
      <c r="S492" s="361"/>
      <c r="T492" s="361"/>
      <c r="U492" s="361"/>
      <c r="V492" s="361"/>
      <c r="W492" s="361"/>
      <c r="X492" s="361"/>
      <c r="Y492" s="361"/>
      <c r="Z492" s="361"/>
    </row>
    <row r="493" ht="22.5" customHeight="1" outlineLevel="1">
      <c r="A493" s="412"/>
      <c r="B493" s="415"/>
      <c r="C493" s="394"/>
      <c r="D493" s="412"/>
      <c r="E493" s="414"/>
      <c r="F493" s="414"/>
      <c r="G493" s="414"/>
      <c r="H493" s="414"/>
      <c r="I493" s="397"/>
      <c r="J493" s="392"/>
      <c r="K493" s="361"/>
      <c r="L493" s="361"/>
      <c r="M493" s="361"/>
      <c r="N493" s="361"/>
      <c r="O493" s="361"/>
      <c r="P493" s="361"/>
      <c r="Q493" s="361"/>
      <c r="R493" s="361"/>
      <c r="S493" s="361"/>
      <c r="T493" s="361"/>
      <c r="U493" s="361"/>
      <c r="V493" s="361"/>
      <c r="W493" s="361"/>
      <c r="X493" s="361"/>
      <c r="Y493" s="361"/>
      <c r="Z493" s="361"/>
    </row>
    <row r="494" ht="22.5" customHeight="1" outlineLevel="1">
      <c r="A494" s="412"/>
      <c r="B494" s="415"/>
      <c r="C494" s="394"/>
      <c r="D494" s="412"/>
      <c r="E494" s="414"/>
      <c r="F494" s="414"/>
      <c r="G494" s="414"/>
      <c r="H494" s="414"/>
      <c r="I494" s="397"/>
      <c r="J494" s="392"/>
      <c r="K494" s="361"/>
      <c r="L494" s="361"/>
      <c r="M494" s="361"/>
      <c r="N494" s="361"/>
      <c r="O494" s="361"/>
      <c r="P494" s="361"/>
      <c r="Q494" s="361"/>
      <c r="R494" s="361"/>
      <c r="S494" s="361"/>
      <c r="T494" s="361"/>
      <c r="U494" s="361"/>
      <c r="V494" s="361"/>
      <c r="W494" s="361"/>
      <c r="X494" s="361"/>
      <c r="Y494" s="361"/>
      <c r="Z494" s="361"/>
    </row>
    <row r="495" ht="22.5" customHeight="1" outlineLevel="1">
      <c r="A495" s="412"/>
      <c r="B495" s="415"/>
      <c r="C495" s="394"/>
      <c r="D495" s="412"/>
      <c r="E495" s="414"/>
      <c r="F495" s="414"/>
      <c r="G495" s="414"/>
      <c r="H495" s="414"/>
      <c r="I495" s="397"/>
      <c r="J495" s="392"/>
      <c r="K495" s="361"/>
      <c r="L495" s="361"/>
      <c r="M495" s="361"/>
      <c r="N495" s="361"/>
      <c r="O495" s="361"/>
      <c r="P495" s="361"/>
      <c r="Q495" s="361"/>
      <c r="R495" s="361"/>
      <c r="S495" s="361"/>
      <c r="T495" s="361"/>
      <c r="U495" s="361"/>
      <c r="V495" s="361"/>
      <c r="W495" s="361"/>
      <c r="X495" s="361"/>
      <c r="Y495" s="361"/>
      <c r="Z495" s="361"/>
    </row>
    <row r="496" ht="22.5" customHeight="1" outlineLevel="1">
      <c r="A496" s="412"/>
      <c r="B496" s="415"/>
      <c r="C496" s="394"/>
      <c r="D496" s="412"/>
      <c r="E496" s="414"/>
      <c r="F496" s="414"/>
      <c r="G496" s="414"/>
      <c r="H496" s="414"/>
      <c r="I496" s="397"/>
      <c r="J496" s="392"/>
      <c r="K496" s="361"/>
      <c r="L496" s="361"/>
      <c r="M496" s="361"/>
      <c r="N496" s="361"/>
      <c r="O496" s="361"/>
      <c r="P496" s="361"/>
      <c r="Q496" s="361"/>
      <c r="R496" s="361"/>
      <c r="S496" s="361"/>
      <c r="T496" s="361"/>
      <c r="U496" s="361"/>
      <c r="V496" s="361"/>
      <c r="W496" s="361"/>
      <c r="X496" s="361"/>
      <c r="Y496" s="361"/>
      <c r="Z496" s="361"/>
    </row>
    <row r="497" ht="22.5" customHeight="1" outlineLevel="1">
      <c r="A497" s="412"/>
      <c r="B497" s="415"/>
      <c r="C497" s="394"/>
      <c r="D497" s="412"/>
      <c r="E497" s="414"/>
      <c r="F497" s="414"/>
      <c r="G497" s="414"/>
      <c r="H497" s="414"/>
      <c r="I497" s="397"/>
      <c r="J497" s="392"/>
      <c r="K497" s="361"/>
      <c r="L497" s="361"/>
      <c r="M497" s="361"/>
      <c r="N497" s="361"/>
      <c r="O497" s="361"/>
      <c r="P497" s="361"/>
      <c r="Q497" s="361"/>
      <c r="R497" s="361"/>
      <c r="S497" s="361"/>
      <c r="T497" s="361"/>
      <c r="U497" s="361"/>
      <c r="V497" s="361"/>
      <c r="W497" s="361"/>
      <c r="X497" s="361"/>
      <c r="Y497" s="361"/>
      <c r="Z497" s="361"/>
    </row>
    <row r="498" ht="22.5" customHeight="1" outlineLevel="1">
      <c r="A498" s="412"/>
      <c r="B498" s="415"/>
      <c r="C498" s="394"/>
      <c r="D498" s="412"/>
      <c r="E498" s="414"/>
      <c r="F498" s="414"/>
      <c r="G498" s="414"/>
      <c r="H498" s="414"/>
      <c r="I498" s="397"/>
      <c r="J498" s="392"/>
      <c r="K498" s="361"/>
      <c r="L498" s="361"/>
      <c r="M498" s="361"/>
      <c r="N498" s="361"/>
      <c r="O498" s="361"/>
      <c r="P498" s="361"/>
      <c r="Q498" s="361"/>
      <c r="R498" s="361"/>
      <c r="S498" s="361"/>
      <c r="T498" s="361"/>
      <c r="U498" s="361"/>
      <c r="V498" s="361"/>
      <c r="W498" s="361"/>
      <c r="X498" s="361"/>
      <c r="Y498" s="361"/>
      <c r="Z498" s="361"/>
    </row>
    <row r="499" ht="22.5" customHeight="1" outlineLevel="1">
      <c r="A499" s="412"/>
      <c r="B499" s="415"/>
      <c r="C499" s="394"/>
      <c r="D499" s="412"/>
      <c r="E499" s="414"/>
      <c r="F499" s="414"/>
      <c r="G499" s="414"/>
      <c r="H499" s="414"/>
      <c r="I499" s="397"/>
      <c r="J499" s="392"/>
      <c r="K499" s="361"/>
      <c r="L499" s="361"/>
      <c r="M499" s="361"/>
      <c r="N499" s="361"/>
      <c r="O499" s="361"/>
      <c r="P499" s="361"/>
      <c r="Q499" s="361"/>
      <c r="R499" s="361"/>
      <c r="S499" s="361"/>
      <c r="T499" s="361"/>
      <c r="U499" s="361"/>
      <c r="V499" s="361"/>
      <c r="W499" s="361"/>
      <c r="X499" s="361"/>
      <c r="Y499" s="361"/>
      <c r="Z499" s="361"/>
    </row>
    <row r="500" ht="22.5" customHeight="1" outlineLevel="1">
      <c r="A500" s="412"/>
      <c r="B500" s="415"/>
      <c r="C500" s="394"/>
      <c r="D500" s="412"/>
      <c r="E500" s="414"/>
      <c r="F500" s="414"/>
      <c r="G500" s="414"/>
      <c r="H500" s="414"/>
      <c r="I500" s="397"/>
      <c r="J500" s="392"/>
      <c r="K500" s="361"/>
      <c r="L500" s="361"/>
      <c r="M500" s="361"/>
      <c r="N500" s="361"/>
      <c r="O500" s="361"/>
      <c r="P500" s="361"/>
      <c r="Q500" s="361"/>
      <c r="R500" s="361"/>
      <c r="S500" s="361"/>
      <c r="T500" s="361"/>
      <c r="U500" s="361"/>
      <c r="V500" s="361"/>
      <c r="W500" s="361"/>
      <c r="X500" s="361"/>
      <c r="Y500" s="361"/>
      <c r="Z500" s="361"/>
    </row>
    <row r="501" ht="22.5" customHeight="1" outlineLevel="1">
      <c r="A501" s="412"/>
      <c r="B501" s="415"/>
      <c r="C501" s="394"/>
      <c r="D501" s="412"/>
      <c r="E501" s="414"/>
      <c r="F501" s="414"/>
      <c r="G501" s="414"/>
      <c r="H501" s="414"/>
      <c r="I501" s="397"/>
      <c r="J501" s="392"/>
      <c r="K501" s="361"/>
      <c r="L501" s="361"/>
      <c r="M501" s="361"/>
      <c r="N501" s="361"/>
      <c r="O501" s="361"/>
      <c r="P501" s="361"/>
      <c r="Q501" s="361"/>
      <c r="R501" s="361"/>
      <c r="S501" s="361"/>
      <c r="T501" s="361"/>
      <c r="U501" s="361"/>
      <c r="V501" s="361"/>
      <c r="W501" s="361"/>
      <c r="X501" s="361"/>
      <c r="Y501" s="361"/>
      <c r="Z501" s="361"/>
    </row>
    <row r="502" ht="22.5" customHeight="1" outlineLevel="1">
      <c r="A502" s="412"/>
      <c r="B502" s="415"/>
      <c r="C502" s="394"/>
      <c r="D502" s="412"/>
      <c r="E502" s="414"/>
      <c r="F502" s="414"/>
      <c r="G502" s="414"/>
      <c r="H502" s="414"/>
      <c r="I502" s="397"/>
      <c r="J502" s="392"/>
      <c r="K502" s="361"/>
      <c r="L502" s="361"/>
      <c r="M502" s="361"/>
      <c r="N502" s="361"/>
      <c r="O502" s="361"/>
      <c r="P502" s="361"/>
      <c r="Q502" s="361"/>
      <c r="R502" s="361"/>
      <c r="S502" s="361"/>
      <c r="T502" s="361"/>
      <c r="U502" s="361"/>
      <c r="V502" s="361"/>
      <c r="W502" s="361"/>
      <c r="X502" s="361"/>
      <c r="Y502" s="361"/>
      <c r="Z502" s="361"/>
    </row>
    <row r="503" ht="22.5" customHeight="1" outlineLevel="1">
      <c r="A503" s="412"/>
      <c r="B503" s="415"/>
      <c r="C503" s="394"/>
      <c r="D503" s="412"/>
      <c r="E503" s="414"/>
      <c r="F503" s="414"/>
      <c r="G503" s="414"/>
      <c r="H503" s="414"/>
      <c r="I503" s="397"/>
      <c r="J503" s="392"/>
      <c r="K503" s="361"/>
      <c r="L503" s="361"/>
      <c r="M503" s="361"/>
      <c r="N503" s="361"/>
      <c r="O503" s="361"/>
      <c r="P503" s="361"/>
      <c r="Q503" s="361"/>
      <c r="R503" s="361"/>
      <c r="S503" s="361"/>
      <c r="T503" s="361"/>
      <c r="U503" s="361"/>
      <c r="V503" s="361"/>
      <c r="W503" s="361"/>
      <c r="X503" s="361"/>
      <c r="Y503" s="361"/>
      <c r="Z503" s="361"/>
    </row>
    <row r="504" ht="22.5" customHeight="1" outlineLevel="1">
      <c r="A504" s="412"/>
      <c r="B504" s="415"/>
      <c r="C504" s="394"/>
      <c r="D504" s="412"/>
      <c r="E504" s="414"/>
      <c r="F504" s="414"/>
      <c r="G504" s="414"/>
      <c r="H504" s="414"/>
      <c r="I504" s="397"/>
      <c r="J504" s="392"/>
      <c r="K504" s="361"/>
      <c r="L504" s="361"/>
      <c r="M504" s="361"/>
      <c r="N504" s="361"/>
      <c r="O504" s="361"/>
      <c r="P504" s="361"/>
      <c r="Q504" s="361"/>
      <c r="R504" s="361"/>
      <c r="S504" s="361"/>
      <c r="T504" s="361"/>
      <c r="U504" s="361"/>
      <c r="V504" s="361"/>
      <c r="W504" s="361"/>
      <c r="X504" s="361"/>
      <c r="Y504" s="361"/>
      <c r="Z504" s="361"/>
    </row>
    <row r="505" ht="22.5" customHeight="1" outlineLevel="1">
      <c r="A505" s="412"/>
      <c r="B505" s="415"/>
      <c r="C505" s="394"/>
      <c r="D505" s="412"/>
      <c r="E505" s="414"/>
      <c r="F505" s="414"/>
      <c r="G505" s="414"/>
      <c r="H505" s="414"/>
      <c r="I505" s="397"/>
      <c r="J505" s="392"/>
      <c r="K505" s="361"/>
      <c r="L505" s="361"/>
      <c r="M505" s="361"/>
      <c r="N505" s="361"/>
      <c r="O505" s="361"/>
      <c r="P505" s="361"/>
      <c r="Q505" s="361"/>
      <c r="R505" s="361"/>
      <c r="S505" s="361"/>
      <c r="T505" s="361"/>
      <c r="U505" s="361"/>
      <c r="V505" s="361"/>
      <c r="W505" s="361"/>
      <c r="X505" s="361"/>
      <c r="Y505" s="361"/>
      <c r="Z505" s="361"/>
    </row>
    <row r="506" ht="22.5" customHeight="1" outlineLevel="1">
      <c r="A506" s="412"/>
      <c r="B506" s="415"/>
      <c r="C506" s="394"/>
      <c r="D506" s="412"/>
      <c r="E506" s="414"/>
      <c r="F506" s="414"/>
      <c r="G506" s="414"/>
      <c r="H506" s="414"/>
      <c r="I506" s="397"/>
      <c r="J506" s="392"/>
      <c r="K506" s="361"/>
      <c r="L506" s="361"/>
      <c r="M506" s="361"/>
      <c r="N506" s="361"/>
      <c r="O506" s="361"/>
      <c r="P506" s="361"/>
      <c r="Q506" s="361"/>
      <c r="R506" s="361"/>
      <c r="S506" s="361"/>
      <c r="T506" s="361"/>
      <c r="U506" s="361"/>
      <c r="V506" s="361"/>
      <c r="W506" s="361"/>
      <c r="X506" s="361"/>
      <c r="Y506" s="361"/>
      <c r="Z506" s="361"/>
    </row>
    <row r="507" ht="22.5" customHeight="1" outlineLevel="1">
      <c r="A507" s="412"/>
      <c r="B507" s="415"/>
      <c r="C507" s="394"/>
      <c r="D507" s="412"/>
      <c r="E507" s="414"/>
      <c r="F507" s="414"/>
      <c r="G507" s="414"/>
      <c r="H507" s="414"/>
      <c r="I507" s="397"/>
      <c r="J507" s="392"/>
      <c r="K507" s="361"/>
      <c r="L507" s="361"/>
      <c r="M507" s="361"/>
      <c r="N507" s="361"/>
      <c r="O507" s="361"/>
      <c r="P507" s="361"/>
      <c r="Q507" s="361"/>
      <c r="R507" s="361"/>
      <c r="S507" s="361"/>
      <c r="T507" s="361"/>
      <c r="U507" s="361"/>
      <c r="V507" s="361"/>
      <c r="W507" s="361"/>
      <c r="X507" s="361"/>
      <c r="Y507" s="361"/>
      <c r="Z507" s="361"/>
    </row>
    <row r="508" ht="22.5" customHeight="1" outlineLevel="1">
      <c r="A508" s="412"/>
      <c r="B508" s="415"/>
      <c r="C508" s="394"/>
      <c r="D508" s="412"/>
      <c r="E508" s="414"/>
      <c r="F508" s="414"/>
      <c r="G508" s="414"/>
      <c r="H508" s="414"/>
      <c r="I508" s="397"/>
      <c r="J508" s="392"/>
      <c r="K508" s="361"/>
      <c r="L508" s="361"/>
      <c r="M508" s="361"/>
      <c r="N508" s="361"/>
      <c r="O508" s="361"/>
      <c r="P508" s="361"/>
      <c r="Q508" s="361"/>
      <c r="R508" s="361"/>
      <c r="S508" s="361"/>
      <c r="T508" s="361"/>
      <c r="U508" s="361"/>
      <c r="V508" s="361"/>
      <c r="W508" s="361"/>
      <c r="X508" s="361"/>
      <c r="Y508" s="361"/>
      <c r="Z508" s="361"/>
    </row>
    <row r="509" ht="22.5" customHeight="1" outlineLevel="1">
      <c r="A509" s="412"/>
      <c r="B509" s="415"/>
      <c r="C509" s="394"/>
      <c r="D509" s="412"/>
      <c r="E509" s="414"/>
      <c r="F509" s="414"/>
      <c r="G509" s="414"/>
      <c r="H509" s="414"/>
      <c r="I509" s="397"/>
      <c r="J509" s="392"/>
      <c r="K509" s="361"/>
      <c r="L509" s="361"/>
      <c r="M509" s="361"/>
      <c r="N509" s="361"/>
      <c r="O509" s="361"/>
      <c r="P509" s="361"/>
      <c r="Q509" s="361"/>
      <c r="R509" s="361"/>
      <c r="S509" s="361"/>
      <c r="T509" s="361"/>
      <c r="U509" s="361"/>
      <c r="V509" s="361"/>
      <c r="W509" s="361"/>
      <c r="X509" s="361"/>
      <c r="Y509" s="361"/>
      <c r="Z509" s="361"/>
    </row>
    <row r="510" ht="22.5" customHeight="1" outlineLevel="1">
      <c r="A510" s="412"/>
      <c r="B510" s="415"/>
      <c r="C510" s="394"/>
      <c r="D510" s="412"/>
      <c r="E510" s="414"/>
      <c r="F510" s="414"/>
      <c r="G510" s="414"/>
      <c r="H510" s="414"/>
      <c r="I510" s="397"/>
      <c r="J510" s="392"/>
      <c r="K510" s="361"/>
      <c r="L510" s="361"/>
      <c r="M510" s="361"/>
      <c r="N510" s="361"/>
      <c r="O510" s="361"/>
      <c r="P510" s="361"/>
      <c r="Q510" s="361"/>
      <c r="R510" s="361"/>
      <c r="S510" s="361"/>
      <c r="T510" s="361"/>
      <c r="U510" s="361"/>
      <c r="V510" s="361"/>
      <c r="W510" s="361"/>
      <c r="X510" s="361"/>
      <c r="Y510" s="361"/>
      <c r="Z510" s="361"/>
    </row>
    <row r="511" ht="22.5" customHeight="1" outlineLevel="1">
      <c r="A511" s="412"/>
      <c r="B511" s="415"/>
      <c r="C511" s="394"/>
      <c r="D511" s="412"/>
      <c r="E511" s="414"/>
      <c r="F511" s="414"/>
      <c r="G511" s="414"/>
      <c r="H511" s="414"/>
      <c r="I511" s="397"/>
      <c r="J511" s="392"/>
      <c r="K511" s="361"/>
      <c r="L511" s="361"/>
      <c r="M511" s="361"/>
      <c r="N511" s="361"/>
      <c r="O511" s="361"/>
      <c r="P511" s="361"/>
      <c r="Q511" s="361"/>
      <c r="R511" s="361"/>
      <c r="S511" s="361"/>
      <c r="T511" s="361"/>
      <c r="U511" s="361"/>
      <c r="V511" s="361"/>
      <c r="W511" s="361"/>
      <c r="X511" s="361"/>
      <c r="Y511" s="361"/>
      <c r="Z511" s="361"/>
    </row>
    <row r="512" ht="22.5" customHeight="1" outlineLevel="1">
      <c r="A512" s="412"/>
      <c r="B512" s="415"/>
      <c r="C512" s="394"/>
      <c r="D512" s="412"/>
      <c r="E512" s="414"/>
      <c r="F512" s="414"/>
      <c r="G512" s="414"/>
      <c r="H512" s="414"/>
      <c r="I512" s="397"/>
      <c r="J512" s="392"/>
      <c r="K512" s="361"/>
      <c r="L512" s="361"/>
      <c r="M512" s="361"/>
      <c r="N512" s="361"/>
      <c r="O512" s="361"/>
      <c r="P512" s="361"/>
      <c r="Q512" s="361"/>
      <c r="R512" s="361"/>
      <c r="S512" s="361"/>
      <c r="T512" s="361"/>
      <c r="U512" s="361"/>
      <c r="V512" s="361"/>
      <c r="W512" s="361"/>
      <c r="X512" s="361"/>
      <c r="Y512" s="361"/>
      <c r="Z512" s="361"/>
    </row>
    <row r="513" ht="22.5" customHeight="1" outlineLevel="1">
      <c r="A513" s="412"/>
      <c r="B513" s="415"/>
      <c r="C513" s="394"/>
      <c r="D513" s="412"/>
      <c r="E513" s="414"/>
      <c r="F513" s="414"/>
      <c r="G513" s="414"/>
      <c r="H513" s="414"/>
      <c r="I513" s="397"/>
      <c r="J513" s="392"/>
      <c r="K513" s="361"/>
      <c r="L513" s="361"/>
      <c r="M513" s="361"/>
      <c r="N513" s="361"/>
      <c r="O513" s="361"/>
      <c r="P513" s="361"/>
      <c r="Q513" s="361"/>
      <c r="R513" s="361"/>
      <c r="S513" s="361"/>
      <c r="T513" s="361"/>
      <c r="U513" s="361"/>
      <c r="V513" s="361"/>
      <c r="W513" s="361"/>
      <c r="X513" s="361"/>
      <c r="Y513" s="361"/>
      <c r="Z513" s="361"/>
    </row>
    <row r="514" ht="22.5" customHeight="1" outlineLevel="1">
      <c r="A514" s="412"/>
      <c r="B514" s="415"/>
      <c r="C514" s="394"/>
      <c r="D514" s="412"/>
      <c r="E514" s="414"/>
      <c r="F514" s="414"/>
      <c r="G514" s="414"/>
      <c r="H514" s="414"/>
      <c r="I514" s="397"/>
      <c r="J514" s="392"/>
      <c r="K514" s="361"/>
      <c r="L514" s="361"/>
      <c r="M514" s="361"/>
      <c r="N514" s="361"/>
      <c r="O514" s="361"/>
      <c r="P514" s="361"/>
      <c r="Q514" s="361"/>
      <c r="R514" s="361"/>
      <c r="S514" s="361"/>
      <c r="T514" s="361"/>
      <c r="U514" s="361"/>
      <c r="V514" s="361"/>
      <c r="W514" s="361"/>
      <c r="X514" s="361"/>
      <c r="Y514" s="361"/>
      <c r="Z514" s="361"/>
    </row>
    <row r="515" ht="22.5" customHeight="1" outlineLevel="1">
      <c r="A515" s="412"/>
      <c r="B515" s="415"/>
      <c r="C515" s="394"/>
      <c r="D515" s="412"/>
      <c r="E515" s="414"/>
      <c r="F515" s="414"/>
      <c r="G515" s="414"/>
      <c r="H515" s="414"/>
      <c r="I515" s="397"/>
      <c r="J515" s="392"/>
      <c r="K515" s="361"/>
      <c r="L515" s="361"/>
      <c r="M515" s="361"/>
      <c r="N515" s="361"/>
      <c r="O515" s="361"/>
      <c r="P515" s="361"/>
      <c r="Q515" s="361"/>
      <c r="R515" s="361"/>
      <c r="S515" s="361"/>
      <c r="T515" s="361"/>
      <c r="U515" s="361"/>
      <c r="V515" s="361"/>
      <c r="W515" s="361"/>
      <c r="X515" s="361"/>
      <c r="Y515" s="361"/>
      <c r="Z515" s="361"/>
    </row>
    <row r="516" ht="22.5" customHeight="1" outlineLevel="1">
      <c r="A516" s="412"/>
      <c r="B516" s="415"/>
      <c r="C516" s="394"/>
      <c r="D516" s="412"/>
      <c r="E516" s="414"/>
      <c r="F516" s="414"/>
      <c r="G516" s="414"/>
      <c r="H516" s="414"/>
      <c r="I516" s="397"/>
      <c r="J516" s="392"/>
      <c r="K516" s="361"/>
      <c r="L516" s="361"/>
      <c r="M516" s="361"/>
      <c r="N516" s="361"/>
      <c r="O516" s="361"/>
      <c r="P516" s="361"/>
      <c r="Q516" s="361"/>
      <c r="R516" s="361"/>
      <c r="S516" s="361"/>
      <c r="T516" s="361"/>
      <c r="U516" s="361"/>
      <c r="V516" s="361"/>
      <c r="W516" s="361"/>
      <c r="X516" s="361"/>
      <c r="Y516" s="361"/>
      <c r="Z516" s="361"/>
    </row>
    <row r="517" ht="22.5" customHeight="1" outlineLevel="1">
      <c r="A517" s="412"/>
      <c r="B517" s="415"/>
      <c r="C517" s="394"/>
      <c r="D517" s="412"/>
      <c r="E517" s="414"/>
      <c r="F517" s="414"/>
      <c r="G517" s="414"/>
      <c r="H517" s="414"/>
      <c r="I517" s="397"/>
      <c r="J517" s="392"/>
      <c r="K517" s="361"/>
      <c r="L517" s="361"/>
      <c r="M517" s="361"/>
      <c r="N517" s="361"/>
      <c r="O517" s="361"/>
      <c r="P517" s="361"/>
      <c r="Q517" s="361"/>
      <c r="R517" s="361"/>
      <c r="S517" s="361"/>
      <c r="T517" s="361"/>
      <c r="U517" s="361"/>
      <c r="V517" s="361"/>
      <c r="W517" s="361"/>
      <c r="X517" s="361"/>
      <c r="Y517" s="361"/>
      <c r="Z517" s="361"/>
    </row>
    <row r="518" ht="22.5" customHeight="1" outlineLevel="1">
      <c r="A518" s="412"/>
      <c r="B518" s="415"/>
      <c r="C518" s="394"/>
      <c r="D518" s="412"/>
      <c r="E518" s="414"/>
      <c r="F518" s="414"/>
      <c r="G518" s="414"/>
      <c r="H518" s="414"/>
      <c r="I518" s="397"/>
      <c r="J518" s="392"/>
      <c r="K518" s="361"/>
      <c r="L518" s="361"/>
      <c r="M518" s="361"/>
      <c r="N518" s="361"/>
      <c r="O518" s="361"/>
      <c r="P518" s="361"/>
      <c r="Q518" s="361"/>
      <c r="R518" s="361"/>
      <c r="S518" s="361"/>
      <c r="T518" s="361"/>
      <c r="U518" s="361"/>
      <c r="V518" s="361"/>
      <c r="W518" s="361"/>
      <c r="X518" s="361"/>
      <c r="Y518" s="361"/>
      <c r="Z518" s="361"/>
    </row>
    <row r="519" ht="22.5" customHeight="1" outlineLevel="1">
      <c r="A519" s="412"/>
      <c r="B519" s="415"/>
      <c r="C519" s="394"/>
      <c r="D519" s="412"/>
      <c r="E519" s="414"/>
      <c r="F519" s="414"/>
      <c r="G519" s="414"/>
      <c r="H519" s="414"/>
      <c r="I519" s="397"/>
      <c r="J519" s="392"/>
      <c r="K519" s="361"/>
      <c r="L519" s="361"/>
      <c r="M519" s="361"/>
      <c r="N519" s="361"/>
      <c r="O519" s="361"/>
      <c r="P519" s="361"/>
      <c r="Q519" s="361"/>
      <c r="R519" s="361"/>
      <c r="S519" s="361"/>
      <c r="T519" s="361"/>
      <c r="U519" s="361"/>
      <c r="V519" s="361"/>
      <c r="W519" s="361"/>
      <c r="X519" s="361"/>
      <c r="Y519" s="361"/>
      <c r="Z519" s="361"/>
    </row>
    <row r="520" ht="22.5" customHeight="1" outlineLevel="1">
      <c r="A520" s="412"/>
      <c r="B520" s="415"/>
      <c r="C520" s="394"/>
      <c r="D520" s="412"/>
      <c r="E520" s="414"/>
      <c r="F520" s="414"/>
      <c r="G520" s="414"/>
      <c r="H520" s="414"/>
      <c r="I520" s="397"/>
      <c r="J520" s="392"/>
      <c r="K520" s="361"/>
      <c r="L520" s="361"/>
      <c r="M520" s="361"/>
      <c r="N520" s="361"/>
      <c r="O520" s="361"/>
      <c r="P520" s="361"/>
      <c r="Q520" s="361"/>
      <c r="R520" s="361"/>
      <c r="S520" s="361"/>
      <c r="T520" s="361"/>
      <c r="U520" s="361"/>
      <c r="V520" s="361"/>
      <c r="W520" s="361"/>
      <c r="X520" s="361"/>
      <c r="Y520" s="361"/>
      <c r="Z520" s="361"/>
    </row>
    <row r="521" ht="22.5" customHeight="1" outlineLevel="1">
      <c r="A521" s="412"/>
      <c r="B521" s="415"/>
      <c r="C521" s="394"/>
      <c r="D521" s="412"/>
      <c r="E521" s="414"/>
      <c r="F521" s="414"/>
      <c r="G521" s="414"/>
      <c r="H521" s="414"/>
      <c r="I521" s="397"/>
      <c r="J521" s="392"/>
      <c r="K521" s="361"/>
      <c r="L521" s="361"/>
      <c r="M521" s="361"/>
      <c r="N521" s="361"/>
      <c r="O521" s="361"/>
      <c r="P521" s="361"/>
      <c r="Q521" s="361"/>
      <c r="R521" s="361"/>
      <c r="S521" s="361"/>
      <c r="T521" s="361"/>
      <c r="U521" s="361"/>
      <c r="V521" s="361"/>
      <c r="W521" s="361"/>
      <c r="X521" s="361"/>
      <c r="Y521" s="361"/>
      <c r="Z521" s="361"/>
    </row>
    <row r="522" ht="22.5" customHeight="1" outlineLevel="1">
      <c r="A522" s="412"/>
      <c r="B522" s="415"/>
      <c r="C522" s="394"/>
      <c r="D522" s="412"/>
      <c r="E522" s="414"/>
      <c r="F522" s="414"/>
      <c r="G522" s="414"/>
      <c r="H522" s="414"/>
      <c r="I522" s="397"/>
      <c r="J522" s="392"/>
      <c r="K522" s="361"/>
      <c r="L522" s="361"/>
      <c r="M522" s="361"/>
      <c r="N522" s="361"/>
      <c r="O522" s="361"/>
      <c r="P522" s="361"/>
      <c r="Q522" s="361"/>
      <c r="R522" s="361"/>
      <c r="S522" s="361"/>
      <c r="T522" s="361"/>
      <c r="U522" s="361"/>
      <c r="V522" s="361"/>
      <c r="W522" s="361"/>
      <c r="X522" s="361"/>
      <c r="Y522" s="361"/>
      <c r="Z522" s="361"/>
    </row>
    <row r="523" ht="22.5" customHeight="1" outlineLevel="1">
      <c r="A523" s="412"/>
      <c r="B523" s="415"/>
      <c r="C523" s="394"/>
      <c r="D523" s="412"/>
      <c r="E523" s="414"/>
      <c r="F523" s="414"/>
      <c r="G523" s="414"/>
      <c r="H523" s="414"/>
      <c r="I523" s="397"/>
      <c r="J523" s="392"/>
      <c r="K523" s="361"/>
      <c r="L523" s="361"/>
      <c r="M523" s="361"/>
      <c r="N523" s="361"/>
      <c r="O523" s="361"/>
      <c r="P523" s="361"/>
      <c r="Q523" s="361"/>
      <c r="R523" s="361"/>
      <c r="S523" s="361"/>
      <c r="T523" s="361"/>
      <c r="U523" s="361"/>
      <c r="V523" s="361"/>
      <c r="W523" s="361"/>
      <c r="X523" s="361"/>
      <c r="Y523" s="361"/>
      <c r="Z523" s="361"/>
    </row>
    <row r="524" ht="22.5" customHeight="1" outlineLevel="1">
      <c r="A524" s="412"/>
      <c r="B524" s="415"/>
      <c r="C524" s="394"/>
      <c r="D524" s="412"/>
      <c r="E524" s="414"/>
      <c r="F524" s="414"/>
      <c r="G524" s="414"/>
      <c r="H524" s="414"/>
      <c r="I524" s="397"/>
      <c r="J524" s="392"/>
      <c r="K524" s="361"/>
      <c r="L524" s="361"/>
      <c r="M524" s="361"/>
      <c r="N524" s="361"/>
      <c r="O524" s="361"/>
      <c r="P524" s="361"/>
      <c r="Q524" s="361"/>
      <c r="R524" s="361"/>
      <c r="S524" s="361"/>
      <c r="T524" s="361"/>
      <c r="U524" s="361"/>
      <c r="V524" s="361"/>
      <c r="W524" s="361"/>
      <c r="X524" s="361"/>
      <c r="Y524" s="361"/>
      <c r="Z524" s="361"/>
    </row>
    <row r="525" ht="22.5" customHeight="1" outlineLevel="1">
      <c r="A525" s="412"/>
      <c r="B525" s="415"/>
      <c r="C525" s="394"/>
      <c r="D525" s="412"/>
      <c r="E525" s="414"/>
      <c r="F525" s="414"/>
      <c r="G525" s="414"/>
      <c r="H525" s="414"/>
      <c r="I525" s="397"/>
      <c r="J525" s="392"/>
      <c r="K525" s="361"/>
      <c r="L525" s="361"/>
      <c r="M525" s="361"/>
      <c r="N525" s="361"/>
      <c r="O525" s="361"/>
      <c r="P525" s="361"/>
      <c r="Q525" s="361"/>
      <c r="R525" s="361"/>
      <c r="S525" s="361"/>
      <c r="T525" s="361"/>
      <c r="U525" s="361"/>
      <c r="V525" s="361"/>
      <c r="W525" s="361"/>
      <c r="X525" s="361"/>
      <c r="Y525" s="361"/>
      <c r="Z525" s="361"/>
    </row>
    <row r="526" ht="22.5" customHeight="1" outlineLevel="1">
      <c r="A526" s="412"/>
      <c r="B526" s="415"/>
      <c r="C526" s="394"/>
      <c r="D526" s="412"/>
      <c r="E526" s="414"/>
      <c r="F526" s="414"/>
      <c r="G526" s="414"/>
      <c r="H526" s="414"/>
      <c r="I526" s="397"/>
      <c r="J526" s="392"/>
      <c r="K526" s="361"/>
      <c r="L526" s="361"/>
      <c r="M526" s="361"/>
      <c r="N526" s="361"/>
      <c r="O526" s="361"/>
      <c r="P526" s="361"/>
      <c r="Q526" s="361"/>
      <c r="R526" s="361"/>
      <c r="S526" s="361"/>
      <c r="T526" s="361"/>
      <c r="U526" s="361"/>
      <c r="V526" s="361"/>
      <c r="W526" s="361"/>
      <c r="X526" s="361"/>
      <c r="Y526" s="361"/>
      <c r="Z526" s="361"/>
    </row>
    <row r="527" ht="22.5" customHeight="1" outlineLevel="1">
      <c r="A527" s="412"/>
      <c r="B527" s="415"/>
      <c r="C527" s="394"/>
      <c r="D527" s="412"/>
      <c r="E527" s="414"/>
      <c r="F527" s="414"/>
      <c r="G527" s="414"/>
      <c r="H527" s="414"/>
      <c r="I527" s="397"/>
      <c r="J527" s="392"/>
      <c r="K527" s="361"/>
      <c r="L527" s="361"/>
      <c r="M527" s="361"/>
      <c r="N527" s="361"/>
      <c r="O527" s="361"/>
      <c r="P527" s="361"/>
      <c r="Q527" s="361"/>
      <c r="R527" s="361"/>
      <c r="S527" s="361"/>
      <c r="T527" s="361"/>
      <c r="U527" s="361"/>
      <c r="V527" s="361"/>
      <c r="W527" s="361"/>
      <c r="X527" s="361"/>
      <c r="Y527" s="361"/>
      <c r="Z527" s="361"/>
    </row>
    <row r="528" ht="22.5" customHeight="1" outlineLevel="1">
      <c r="A528" s="412"/>
      <c r="B528" s="415"/>
      <c r="C528" s="394"/>
      <c r="D528" s="412"/>
      <c r="E528" s="414"/>
      <c r="F528" s="414"/>
      <c r="G528" s="414"/>
      <c r="H528" s="414"/>
      <c r="I528" s="397"/>
      <c r="J528" s="392"/>
      <c r="K528" s="361"/>
      <c r="L528" s="361"/>
      <c r="M528" s="361"/>
      <c r="N528" s="361"/>
      <c r="O528" s="361"/>
      <c r="P528" s="361"/>
      <c r="Q528" s="361"/>
      <c r="R528" s="361"/>
      <c r="S528" s="361"/>
      <c r="T528" s="361"/>
      <c r="U528" s="361"/>
      <c r="V528" s="361"/>
      <c r="W528" s="361"/>
      <c r="X528" s="361"/>
      <c r="Y528" s="361"/>
      <c r="Z528" s="361"/>
    </row>
    <row r="529" ht="22.5" customHeight="1" outlineLevel="1">
      <c r="A529" s="412"/>
      <c r="B529" s="415"/>
      <c r="C529" s="394"/>
      <c r="D529" s="412"/>
      <c r="E529" s="414"/>
      <c r="F529" s="414"/>
      <c r="G529" s="414"/>
      <c r="H529" s="414"/>
      <c r="I529" s="397"/>
      <c r="J529" s="392"/>
      <c r="K529" s="361"/>
      <c r="L529" s="361"/>
      <c r="M529" s="361"/>
      <c r="N529" s="361"/>
      <c r="O529" s="361"/>
      <c r="P529" s="361"/>
      <c r="Q529" s="361"/>
      <c r="R529" s="361"/>
      <c r="S529" s="361"/>
      <c r="T529" s="361"/>
      <c r="U529" s="361"/>
      <c r="V529" s="361"/>
      <c r="W529" s="361"/>
      <c r="X529" s="361"/>
      <c r="Y529" s="361"/>
      <c r="Z529" s="361"/>
    </row>
    <row r="530" ht="22.5" customHeight="1" outlineLevel="1">
      <c r="A530" s="412"/>
      <c r="B530" s="415"/>
      <c r="C530" s="394"/>
      <c r="D530" s="412"/>
      <c r="E530" s="414"/>
      <c r="F530" s="414"/>
      <c r="G530" s="414"/>
      <c r="H530" s="414"/>
      <c r="I530" s="397"/>
      <c r="J530" s="392"/>
      <c r="K530" s="361"/>
      <c r="L530" s="361"/>
      <c r="M530" s="361"/>
      <c r="N530" s="361"/>
      <c r="O530" s="361"/>
      <c r="P530" s="361"/>
      <c r="Q530" s="361"/>
      <c r="R530" s="361"/>
      <c r="S530" s="361"/>
      <c r="T530" s="361"/>
      <c r="U530" s="361"/>
      <c r="V530" s="361"/>
      <c r="W530" s="361"/>
      <c r="X530" s="361"/>
      <c r="Y530" s="361"/>
      <c r="Z530" s="361"/>
    </row>
    <row r="531" ht="22.5" customHeight="1" outlineLevel="1">
      <c r="A531" s="412"/>
      <c r="B531" s="415"/>
      <c r="C531" s="394"/>
      <c r="D531" s="412"/>
      <c r="E531" s="414"/>
      <c r="F531" s="414"/>
      <c r="G531" s="414"/>
      <c r="H531" s="414"/>
      <c r="I531" s="397"/>
      <c r="J531" s="392"/>
      <c r="K531" s="361"/>
      <c r="L531" s="361"/>
      <c r="M531" s="361"/>
      <c r="N531" s="361"/>
      <c r="O531" s="361"/>
      <c r="P531" s="361"/>
      <c r="Q531" s="361"/>
      <c r="R531" s="361"/>
      <c r="S531" s="361"/>
      <c r="T531" s="361"/>
      <c r="U531" s="361"/>
      <c r="V531" s="361"/>
      <c r="W531" s="361"/>
      <c r="X531" s="361"/>
      <c r="Y531" s="361"/>
      <c r="Z531" s="361"/>
    </row>
    <row r="532" ht="22.5" customHeight="1" outlineLevel="1">
      <c r="A532" s="412"/>
      <c r="B532" s="415"/>
      <c r="C532" s="394"/>
      <c r="D532" s="412"/>
      <c r="E532" s="414"/>
      <c r="F532" s="414"/>
      <c r="G532" s="414"/>
      <c r="H532" s="414"/>
      <c r="I532" s="397"/>
      <c r="J532" s="392"/>
      <c r="K532" s="361"/>
      <c r="L532" s="361"/>
      <c r="M532" s="361"/>
      <c r="N532" s="361"/>
      <c r="O532" s="361"/>
      <c r="P532" s="361"/>
      <c r="Q532" s="361"/>
      <c r="R532" s="361"/>
      <c r="S532" s="361"/>
      <c r="T532" s="361"/>
      <c r="U532" s="361"/>
      <c r="V532" s="361"/>
      <c r="W532" s="361"/>
      <c r="X532" s="361"/>
      <c r="Y532" s="361"/>
      <c r="Z532" s="361"/>
    </row>
    <row r="533" ht="22.5" customHeight="1" outlineLevel="1">
      <c r="A533" s="412"/>
      <c r="B533" s="415"/>
      <c r="C533" s="394"/>
      <c r="D533" s="412"/>
      <c r="E533" s="414"/>
      <c r="F533" s="414"/>
      <c r="G533" s="414"/>
      <c r="H533" s="414"/>
      <c r="I533" s="397"/>
      <c r="J533" s="392"/>
      <c r="K533" s="361"/>
      <c r="L533" s="361"/>
      <c r="M533" s="361"/>
      <c r="N533" s="361"/>
      <c r="O533" s="361"/>
      <c r="P533" s="361"/>
      <c r="Q533" s="361"/>
      <c r="R533" s="361"/>
      <c r="S533" s="361"/>
      <c r="T533" s="361"/>
      <c r="U533" s="361"/>
      <c r="V533" s="361"/>
      <c r="W533" s="361"/>
      <c r="X533" s="361"/>
      <c r="Y533" s="361"/>
      <c r="Z533" s="361"/>
    </row>
    <row r="534" ht="22.5" customHeight="1" outlineLevel="1">
      <c r="A534" s="412"/>
      <c r="B534" s="415"/>
      <c r="C534" s="394"/>
      <c r="D534" s="412"/>
      <c r="E534" s="414"/>
      <c r="F534" s="414"/>
      <c r="G534" s="414"/>
      <c r="H534" s="414"/>
      <c r="I534" s="397"/>
      <c r="J534" s="392"/>
      <c r="K534" s="361"/>
      <c r="L534" s="361"/>
      <c r="M534" s="361"/>
      <c r="N534" s="361"/>
      <c r="O534" s="361"/>
      <c r="P534" s="361"/>
      <c r="Q534" s="361"/>
      <c r="R534" s="361"/>
      <c r="S534" s="361"/>
      <c r="T534" s="361"/>
      <c r="U534" s="361"/>
      <c r="V534" s="361"/>
      <c r="W534" s="361"/>
      <c r="X534" s="361"/>
      <c r="Y534" s="361"/>
      <c r="Z534" s="361"/>
    </row>
    <row r="535" ht="22.5" customHeight="1" outlineLevel="1">
      <c r="A535" s="412"/>
      <c r="B535" s="415"/>
      <c r="C535" s="394"/>
      <c r="D535" s="412"/>
      <c r="E535" s="414"/>
      <c r="F535" s="414"/>
      <c r="G535" s="414"/>
      <c r="H535" s="414"/>
      <c r="I535" s="397"/>
      <c r="J535" s="392"/>
      <c r="K535" s="361"/>
      <c r="L535" s="361"/>
      <c r="M535" s="361"/>
      <c r="N535" s="361"/>
      <c r="O535" s="361"/>
      <c r="P535" s="361"/>
      <c r="Q535" s="361"/>
      <c r="R535" s="361"/>
      <c r="S535" s="361"/>
      <c r="T535" s="361"/>
      <c r="U535" s="361"/>
      <c r="V535" s="361"/>
      <c r="W535" s="361"/>
      <c r="X535" s="361"/>
      <c r="Y535" s="361"/>
      <c r="Z535" s="361"/>
    </row>
    <row r="536" ht="22.5" customHeight="1" outlineLevel="1">
      <c r="A536" s="412"/>
      <c r="B536" s="415"/>
      <c r="C536" s="394"/>
      <c r="D536" s="412"/>
      <c r="E536" s="414"/>
      <c r="F536" s="414"/>
      <c r="G536" s="414"/>
      <c r="H536" s="414"/>
      <c r="I536" s="397"/>
      <c r="J536" s="392"/>
      <c r="K536" s="361"/>
      <c r="L536" s="361"/>
      <c r="M536" s="361"/>
      <c r="N536" s="361"/>
      <c r="O536" s="361"/>
      <c r="P536" s="361"/>
      <c r="Q536" s="361"/>
      <c r="R536" s="361"/>
      <c r="S536" s="361"/>
      <c r="T536" s="361"/>
      <c r="U536" s="361"/>
      <c r="V536" s="361"/>
      <c r="W536" s="361"/>
      <c r="X536" s="361"/>
      <c r="Y536" s="361"/>
      <c r="Z536" s="361"/>
    </row>
    <row r="537" ht="22.5" customHeight="1" outlineLevel="1">
      <c r="A537" s="412"/>
      <c r="B537" s="415"/>
      <c r="C537" s="394"/>
      <c r="D537" s="412"/>
      <c r="E537" s="414"/>
      <c r="F537" s="414"/>
      <c r="G537" s="414"/>
      <c r="H537" s="414"/>
      <c r="I537" s="397"/>
      <c r="J537" s="392"/>
      <c r="K537" s="361"/>
      <c r="L537" s="361"/>
      <c r="M537" s="361"/>
      <c r="N537" s="361"/>
      <c r="O537" s="361"/>
      <c r="P537" s="361"/>
      <c r="Q537" s="361"/>
      <c r="R537" s="361"/>
      <c r="S537" s="361"/>
      <c r="T537" s="361"/>
      <c r="U537" s="361"/>
      <c r="V537" s="361"/>
      <c r="W537" s="361"/>
      <c r="X537" s="361"/>
      <c r="Y537" s="361"/>
      <c r="Z537" s="361"/>
    </row>
    <row r="538" ht="22.5" customHeight="1" outlineLevel="1">
      <c r="A538" s="412"/>
      <c r="B538" s="415"/>
      <c r="C538" s="394"/>
      <c r="D538" s="412"/>
      <c r="E538" s="414"/>
      <c r="F538" s="414"/>
      <c r="G538" s="414"/>
      <c r="H538" s="414"/>
      <c r="I538" s="397"/>
      <c r="J538" s="392"/>
      <c r="K538" s="361"/>
      <c r="L538" s="361"/>
      <c r="M538" s="361"/>
      <c r="N538" s="361"/>
      <c r="O538" s="361"/>
      <c r="P538" s="361"/>
      <c r="Q538" s="361"/>
      <c r="R538" s="361"/>
      <c r="S538" s="361"/>
      <c r="T538" s="361"/>
      <c r="U538" s="361"/>
      <c r="V538" s="361"/>
      <c r="W538" s="361"/>
      <c r="X538" s="361"/>
      <c r="Y538" s="361"/>
      <c r="Z538" s="361"/>
    </row>
    <row r="539" ht="22.5" customHeight="1" outlineLevel="1">
      <c r="A539" s="412"/>
      <c r="B539" s="415"/>
      <c r="C539" s="394"/>
      <c r="D539" s="412"/>
      <c r="E539" s="414"/>
      <c r="F539" s="414"/>
      <c r="G539" s="414"/>
      <c r="H539" s="414"/>
      <c r="I539" s="397"/>
      <c r="J539" s="392"/>
      <c r="K539" s="361"/>
      <c r="L539" s="361"/>
      <c r="M539" s="361"/>
      <c r="N539" s="361"/>
      <c r="O539" s="361"/>
      <c r="P539" s="361"/>
      <c r="Q539" s="361"/>
      <c r="R539" s="361"/>
      <c r="S539" s="361"/>
      <c r="T539" s="361"/>
      <c r="U539" s="361"/>
      <c r="V539" s="361"/>
      <c r="W539" s="361"/>
      <c r="X539" s="361"/>
      <c r="Y539" s="361"/>
      <c r="Z539" s="361"/>
    </row>
    <row r="540" ht="22.5" customHeight="1" outlineLevel="1">
      <c r="A540" s="412"/>
      <c r="B540" s="415"/>
      <c r="C540" s="394"/>
      <c r="D540" s="412"/>
      <c r="E540" s="414"/>
      <c r="F540" s="414"/>
      <c r="G540" s="414"/>
      <c r="H540" s="414"/>
      <c r="I540" s="397"/>
      <c r="J540" s="392"/>
      <c r="K540" s="361"/>
      <c r="L540" s="361"/>
      <c r="M540" s="361"/>
      <c r="N540" s="361"/>
      <c r="O540" s="361"/>
      <c r="P540" s="361"/>
      <c r="Q540" s="361"/>
      <c r="R540" s="361"/>
      <c r="S540" s="361"/>
      <c r="T540" s="361"/>
      <c r="U540" s="361"/>
      <c r="V540" s="361"/>
      <c r="W540" s="361"/>
      <c r="X540" s="361"/>
      <c r="Y540" s="361"/>
      <c r="Z540" s="361"/>
    </row>
    <row r="541" ht="22.5" customHeight="1" outlineLevel="1">
      <c r="A541" s="412"/>
      <c r="B541" s="415"/>
      <c r="C541" s="394"/>
      <c r="D541" s="412"/>
      <c r="E541" s="414"/>
      <c r="F541" s="414"/>
      <c r="G541" s="414"/>
      <c r="H541" s="414"/>
      <c r="I541" s="397"/>
      <c r="J541" s="392"/>
      <c r="K541" s="361"/>
      <c r="L541" s="361"/>
      <c r="M541" s="361"/>
      <c r="N541" s="361"/>
      <c r="O541" s="361"/>
      <c r="P541" s="361"/>
      <c r="Q541" s="361"/>
      <c r="R541" s="361"/>
      <c r="S541" s="361"/>
      <c r="T541" s="361"/>
      <c r="U541" s="361"/>
      <c r="V541" s="361"/>
      <c r="W541" s="361"/>
      <c r="X541" s="361"/>
      <c r="Y541" s="361"/>
      <c r="Z541" s="361"/>
    </row>
    <row r="542" ht="22.5" customHeight="1" outlineLevel="1">
      <c r="A542" s="412"/>
      <c r="B542" s="415"/>
      <c r="C542" s="394"/>
      <c r="D542" s="412"/>
      <c r="E542" s="414"/>
      <c r="F542" s="414"/>
      <c r="G542" s="414"/>
      <c r="H542" s="414"/>
      <c r="I542" s="397"/>
      <c r="J542" s="392"/>
      <c r="K542" s="361"/>
      <c r="L542" s="361"/>
      <c r="M542" s="361"/>
      <c r="N542" s="361"/>
      <c r="O542" s="361"/>
      <c r="P542" s="361"/>
      <c r="Q542" s="361"/>
      <c r="R542" s="361"/>
      <c r="S542" s="361"/>
      <c r="T542" s="361"/>
      <c r="U542" s="361"/>
      <c r="V542" s="361"/>
      <c r="W542" s="361"/>
      <c r="X542" s="361"/>
      <c r="Y542" s="361"/>
      <c r="Z542" s="361"/>
    </row>
    <row r="543" ht="22.5" customHeight="1" outlineLevel="1">
      <c r="A543" s="412"/>
      <c r="B543" s="415"/>
      <c r="C543" s="394"/>
      <c r="D543" s="412"/>
      <c r="E543" s="414"/>
      <c r="F543" s="414"/>
      <c r="G543" s="414"/>
      <c r="H543" s="414"/>
      <c r="I543" s="397"/>
      <c r="J543" s="392"/>
      <c r="K543" s="361"/>
      <c r="L543" s="361"/>
      <c r="M543" s="361"/>
      <c r="N543" s="361"/>
      <c r="O543" s="361"/>
      <c r="P543" s="361"/>
      <c r="Q543" s="361"/>
      <c r="R543" s="361"/>
      <c r="S543" s="361"/>
      <c r="T543" s="361"/>
      <c r="U543" s="361"/>
      <c r="V543" s="361"/>
      <c r="W543" s="361"/>
      <c r="X543" s="361"/>
      <c r="Y543" s="361"/>
      <c r="Z543" s="361"/>
    </row>
    <row r="544" ht="22.5" customHeight="1" outlineLevel="1">
      <c r="A544" s="412"/>
      <c r="B544" s="415"/>
      <c r="C544" s="394"/>
      <c r="D544" s="412"/>
      <c r="E544" s="414"/>
      <c r="F544" s="414"/>
      <c r="G544" s="414"/>
      <c r="H544" s="414"/>
      <c r="I544" s="397"/>
      <c r="J544" s="392"/>
      <c r="K544" s="361"/>
      <c r="L544" s="361"/>
      <c r="M544" s="361"/>
      <c r="N544" s="361"/>
      <c r="O544" s="361"/>
      <c r="P544" s="361"/>
      <c r="Q544" s="361"/>
      <c r="R544" s="361"/>
      <c r="S544" s="361"/>
      <c r="T544" s="361"/>
      <c r="U544" s="361"/>
      <c r="V544" s="361"/>
      <c r="W544" s="361"/>
      <c r="X544" s="361"/>
      <c r="Y544" s="361"/>
      <c r="Z544" s="361"/>
    </row>
    <row r="545" ht="22.5" customHeight="1" outlineLevel="1">
      <c r="A545" s="412"/>
      <c r="B545" s="415"/>
      <c r="C545" s="394"/>
      <c r="D545" s="412"/>
      <c r="E545" s="414"/>
      <c r="F545" s="414"/>
      <c r="G545" s="414"/>
      <c r="H545" s="414"/>
      <c r="I545" s="397"/>
      <c r="J545" s="392"/>
      <c r="K545" s="361"/>
      <c r="L545" s="361"/>
      <c r="M545" s="361"/>
      <c r="N545" s="361"/>
      <c r="O545" s="361"/>
      <c r="P545" s="361"/>
      <c r="Q545" s="361"/>
      <c r="R545" s="361"/>
      <c r="S545" s="361"/>
      <c r="T545" s="361"/>
      <c r="U545" s="361"/>
      <c r="V545" s="361"/>
      <c r="W545" s="361"/>
      <c r="X545" s="361"/>
      <c r="Y545" s="361"/>
      <c r="Z545" s="361"/>
    </row>
    <row r="546" ht="22.5" customHeight="1" outlineLevel="1">
      <c r="A546" s="412"/>
      <c r="B546" s="415"/>
      <c r="C546" s="394"/>
      <c r="D546" s="412"/>
      <c r="E546" s="414"/>
      <c r="F546" s="414"/>
      <c r="G546" s="414"/>
      <c r="H546" s="414"/>
      <c r="I546" s="397"/>
      <c r="J546" s="392"/>
      <c r="K546" s="361"/>
      <c r="L546" s="361"/>
      <c r="M546" s="361"/>
      <c r="N546" s="361"/>
      <c r="O546" s="361"/>
      <c r="P546" s="361"/>
      <c r="Q546" s="361"/>
      <c r="R546" s="361"/>
      <c r="S546" s="361"/>
      <c r="T546" s="361"/>
      <c r="U546" s="361"/>
      <c r="V546" s="361"/>
      <c r="W546" s="361"/>
      <c r="X546" s="361"/>
      <c r="Y546" s="361"/>
      <c r="Z546" s="361"/>
    </row>
    <row r="547" ht="22.5" customHeight="1" outlineLevel="1">
      <c r="A547" s="412"/>
      <c r="B547" s="415"/>
      <c r="C547" s="394"/>
      <c r="D547" s="412"/>
      <c r="E547" s="414"/>
      <c r="F547" s="414"/>
      <c r="G547" s="414"/>
      <c r="H547" s="414"/>
      <c r="I547" s="397"/>
      <c r="J547" s="392"/>
      <c r="K547" s="361"/>
      <c r="L547" s="361"/>
      <c r="M547" s="361"/>
      <c r="N547" s="361"/>
      <c r="O547" s="361"/>
      <c r="P547" s="361"/>
      <c r="Q547" s="361"/>
      <c r="R547" s="361"/>
      <c r="S547" s="361"/>
      <c r="T547" s="361"/>
      <c r="U547" s="361"/>
      <c r="V547" s="361"/>
      <c r="W547" s="361"/>
      <c r="X547" s="361"/>
      <c r="Y547" s="361"/>
      <c r="Z547" s="361"/>
    </row>
    <row r="548" ht="22.5" customHeight="1" outlineLevel="1">
      <c r="A548" s="412"/>
      <c r="B548" s="415"/>
      <c r="C548" s="394"/>
      <c r="D548" s="412"/>
      <c r="E548" s="414"/>
      <c r="F548" s="414"/>
      <c r="G548" s="414"/>
      <c r="H548" s="414"/>
      <c r="I548" s="397"/>
      <c r="J548" s="392"/>
      <c r="K548" s="361"/>
      <c r="L548" s="361"/>
      <c r="M548" s="361"/>
      <c r="N548" s="361"/>
      <c r="O548" s="361"/>
      <c r="P548" s="361"/>
      <c r="Q548" s="361"/>
      <c r="R548" s="361"/>
      <c r="S548" s="361"/>
      <c r="T548" s="361"/>
      <c r="U548" s="361"/>
      <c r="V548" s="361"/>
      <c r="W548" s="361"/>
      <c r="X548" s="361"/>
      <c r="Y548" s="361"/>
      <c r="Z548" s="361"/>
    </row>
    <row r="549" ht="22.5" customHeight="1" outlineLevel="1">
      <c r="A549" s="412"/>
      <c r="B549" s="415"/>
      <c r="C549" s="394"/>
      <c r="D549" s="412"/>
      <c r="E549" s="414"/>
      <c r="F549" s="414"/>
      <c r="G549" s="414"/>
      <c r="H549" s="414"/>
      <c r="I549" s="397"/>
      <c r="J549" s="392"/>
      <c r="K549" s="361"/>
      <c r="L549" s="361"/>
      <c r="M549" s="361"/>
      <c r="N549" s="361"/>
      <c r="O549" s="361"/>
      <c r="P549" s="361"/>
      <c r="Q549" s="361"/>
      <c r="R549" s="361"/>
      <c r="S549" s="361"/>
      <c r="T549" s="361"/>
      <c r="U549" s="361"/>
      <c r="V549" s="361"/>
      <c r="W549" s="361"/>
      <c r="X549" s="361"/>
      <c r="Y549" s="361"/>
      <c r="Z549" s="361"/>
    </row>
    <row r="550" ht="22.5" customHeight="1" outlineLevel="1">
      <c r="A550" s="412"/>
      <c r="B550" s="415"/>
      <c r="C550" s="394"/>
      <c r="D550" s="412"/>
      <c r="E550" s="414"/>
      <c r="F550" s="414"/>
      <c r="G550" s="414"/>
      <c r="H550" s="414"/>
      <c r="I550" s="397"/>
      <c r="J550" s="392"/>
      <c r="K550" s="361"/>
      <c r="L550" s="361"/>
      <c r="M550" s="361"/>
      <c r="N550" s="361"/>
      <c r="O550" s="361"/>
      <c r="P550" s="361"/>
      <c r="Q550" s="361"/>
      <c r="R550" s="361"/>
      <c r="S550" s="361"/>
      <c r="T550" s="361"/>
      <c r="U550" s="361"/>
      <c r="V550" s="361"/>
      <c r="W550" s="361"/>
      <c r="X550" s="361"/>
      <c r="Y550" s="361"/>
      <c r="Z550" s="361"/>
    </row>
    <row r="551" ht="22.5" customHeight="1" outlineLevel="1">
      <c r="A551" s="412"/>
      <c r="B551" s="415"/>
      <c r="C551" s="394"/>
      <c r="D551" s="412"/>
      <c r="E551" s="414"/>
      <c r="F551" s="414"/>
      <c r="G551" s="414"/>
      <c r="H551" s="414"/>
      <c r="I551" s="397"/>
      <c r="J551" s="392"/>
      <c r="K551" s="361"/>
      <c r="L551" s="361"/>
      <c r="M551" s="361"/>
      <c r="N551" s="361"/>
      <c r="O551" s="361"/>
      <c r="P551" s="361"/>
      <c r="Q551" s="361"/>
      <c r="R551" s="361"/>
      <c r="S551" s="361"/>
      <c r="T551" s="361"/>
      <c r="U551" s="361"/>
      <c r="V551" s="361"/>
      <c r="W551" s="361"/>
      <c r="X551" s="361"/>
      <c r="Y551" s="361"/>
      <c r="Z551" s="361"/>
    </row>
    <row r="552" ht="22.5" customHeight="1" outlineLevel="1">
      <c r="A552" s="412"/>
      <c r="B552" s="415"/>
      <c r="C552" s="394"/>
      <c r="D552" s="412"/>
      <c r="E552" s="414"/>
      <c r="F552" s="414"/>
      <c r="G552" s="414"/>
      <c r="H552" s="414"/>
      <c r="I552" s="397"/>
      <c r="J552" s="392"/>
      <c r="K552" s="361"/>
      <c r="L552" s="361"/>
      <c r="M552" s="361"/>
      <c r="N552" s="361"/>
      <c r="O552" s="361"/>
      <c r="P552" s="361"/>
      <c r="Q552" s="361"/>
      <c r="R552" s="361"/>
      <c r="S552" s="361"/>
      <c r="T552" s="361"/>
      <c r="U552" s="361"/>
      <c r="V552" s="361"/>
      <c r="W552" s="361"/>
      <c r="X552" s="361"/>
      <c r="Y552" s="361"/>
      <c r="Z552" s="361"/>
    </row>
    <row r="553" ht="22.5" customHeight="1" outlineLevel="1">
      <c r="A553" s="412"/>
      <c r="B553" s="415"/>
      <c r="C553" s="394"/>
      <c r="D553" s="412"/>
      <c r="E553" s="414"/>
      <c r="F553" s="414"/>
      <c r="G553" s="414"/>
      <c r="H553" s="414"/>
      <c r="I553" s="397"/>
      <c r="J553" s="392"/>
      <c r="K553" s="361"/>
      <c r="L553" s="361"/>
      <c r="M553" s="361"/>
      <c r="N553" s="361"/>
      <c r="O553" s="361"/>
      <c r="P553" s="361"/>
      <c r="Q553" s="361"/>
      <c r="R553" s="361"/>
      <c r="S553" s="361"/>
      <c r="T553" s="361"/>
      <c r="U553" s="361"/>
      <c r="V553" s="361"/>
      <c r="W553" s="361"/>
      <c r="X553" s="361"/>
      <c r="Y553" s="361"/>
      <c r="Z553" s="361"/>
    </row>
    <row r="554" ht="22.5" customHeight="1" outlineLevel="1">
      <c r="A554" s="412"/>
      <c r="B554" s="415"/>
      <c r="C554" s="394"/>
      <c r="D554" s="412"/>
      <c r="E554" s="414"/>
      <c r="F554" s="414"/>
      <c r="G554" s="414"/>
      <c r="H554" s="414"/>
      <c r="I554" s="397"/>
      <c r="J554" s="392"/>
      <c r="K554" s="361"/>
      <c r="L554" s="361"/>
      <c r="M554" s="361"/>
      <c r="N554" s="361"/>
      <c r="O554" s="361"/>
      <c r="P554" s="361"/>
      <c r="Q554" s="361"/>
      <c r="R554" s="361"/>
      <c r="S554" s="361"/>
      <c r="T554" s="361"/>
      <c r="U554" s="361"/>
      <c r="V554" s="361"/>
      <c r="W554" s="361"/>
      <c r="X554" s="361"/>
      <c r="Y554" s="361"/>
      <c r="Z554" s="361"/>
    </row>
    <row r="555" ht="22.5" customHeight="1" outlineLevel="1">
      <c r="A555" s="412"/>
      <c r="B555" s="415"/>
      <c r="C555" s="394"/>
      <c r="D555" s="412"/>
      <c r="E555" s="414"/>
      <c r="F555" s="414"/>
      <c r="G555" s="414"/>
      <c r="H555" s="414"/>
      <c r="I555" s="397"/>
      <c r="J555" s="392"/>
      <c r="K555" s="361"/>
      <c r="L555" s="361"/>
      <c r="M555" s="361"/>
      <c r="N555" s="361"/>
      <c r="O555" s="361"/>
      <c r="P555" s="361"/>
      <c r="Q555" s="361"/>
      <c r="R555" s="361"/>
      <c r="S555" s="361"/>
      <c r="T555" s="361"/>
      <c r="U555" s="361"/>
      <c r="V555" s="361"/>
      <c r="W555" s="361"/>
      <c r="X555" s="361"/>
      <c r="Y555" s="361"/>
      <c r="Z555" s="361"/>
    </row>
    <row r="556" ht="22.5" customHeight="1" outlineLevel="1">
      <c r="A556" s="412"/>
      <c r="B556" s="415"/>
      <c r="C556" s="394"/>
      <c r="D556" s="412"/>
      <c r="E556" s="414"/>
      <c r="F556" s="414"/>
      <c r="G556" s="414"/>
      <c r="H556" s="414"/>
      <c r="I556" s="397"/>
      <c r="J556" s="392"/>
      <c r="K556" s="361"/>
      <c r="L556" s="361"/>
      <c r="M556" s="361"/>
      <c r="N556" s="361"/>
      <c r="O556" s="361"/>
      <c r="P556" s="361"/>
      <c r="Q556" s="361"/>
      <c r="R556" s="361"/>
      <c r="S556" s="361"/>
      <c r="T556" s="361"/>
      <c r="U556" s="361"/>
      <c r="V556" s="361"/>
      <c r="W556" s="361"/>
      <c r="X556" s="361"/>
      <c r="Y556" s="361"/>
      <c r="Z556" s="361"/>
    </row>
    <row r="557" ht="22.5" customHeight="1" outlineLevel="1">
      <c r="A557" s="412"/>
      <c r="B557" s="415"/>
      <c r="C557" s="394"/>
      <c r="D557" s="412"/>
      <c r="E557" s="414"/>
      <c r="F557" s="414"/>
      <c r="G557" s="414"/>
      <c r="H557" s="414"/>
      <c r="I557" s="397"/>
      <c r="J557" s="392"/>
      <c r="K557" s="361"/>
      <c r="L557" s="361"/>
      <c r="M557" s="361"/>
      <c r="N557" s="361"/>
      <c r="O557" s="361"/>
      <c r="P557" s="361"/>
      <c r="Q557" s="361"/>
      <c r="R557" s="361"/>
      <c r="S557" s="361"/>
      <c r="T557" s="361"/>
      <c r="U557" s="361"/>
      <c r="V557" s="361"/>
      <c r="W557" s="361"/>
      <c r="X557" s="361"/>
      <c r="Y557" s="361"/>
      <c r="Z557" s="361"/>
    </row>
    <row r="558" ht="22.5" customHeight="1" outlineLevel="1">
      <c r="A558" s="412"/>
      <c r="B558" s="415"/>
      <c r="C558" s="394"/>
      <c r="D558" s="412"/>
      <c r="E558" s="414"/>
      <c r="F558" s="414"/>
      <c r="G558" s="414"/>
      <c r="H558" s="414"/>
      <c r="I558" s="397"/>
      <c r="J558" s="392"/>
      <c r="K558" s="361"/>
      <c r="L558" s="361"/>
      <c r="M558" s="361"/>
      <c r="N558" s="361"/>
      <c r="O558" s="361"/>
      <c r="P558" s="361"/>
      <c r="Q558" s="361"/>
      <c r="R558" s="361"/>
      <c r="S558" s="361"/>
      <c r="T558" s="361"/>
      <c r="U558" s="361"/>
      <c r="V558" s="361"/>
      <c r="W558" s="361"/>
      <c r="X558" s="361"/>
      <c r="Y558" s="361"/>
      <c r="Z558" s="361"/>
    </row>
    <row r="559" ht="22.5" customHeight="1" outlineLevel="1">
      <c r="A559" s="412"/>
      <c r="B559" s="415"/>
      <c r="C559" s="394"/>
      <c r="D559" s="412"/>
      <c r="E559" s="414"/>
      <c r="F559" s="414"/>
      <c r="G559" s="414"/>
      <c r="H559" s="414"/>
      <c r="I559" s="397"/>
      <c r="J559" s="392"/>
      <c r="K559" s="361"/>
      <c r="L559" s="361"/>
      <c r="M559" s="361"/>
      <c r="N559" s="361"/>
      <c r="O559" s="361"/>
      <c r="P559" s="361"/>
      <c r="Q559" s="361"/>
      <c r="R559" s="361"/>
      <c r="S559" s="361"/>
      <c r="T559" s="361"/>
      <c r="U559" s="361"/>
      <c r="V559" s="361"/>
      <c r="W559" s="361"/>
      <c r="X559" s="361"/>
      <c r="Y559" s="361"/>
      <c r="Z559" s="361"/>
    </row>
    <row r="560" ht="22.5" customHeight="1" outlineLevel="1">
      <c r="A560" s="412"/>
      <c r="B560" s="415"/>
      <c r="C560" s="394"/>
      <c r="D560" s="412"/>
      <c r="E560" s="414"/>
      <c r="F560" s="414"/>
      <c r="G560" s="414"/>
      <c r="H560" s="414"/>
      <c r="I560" s="397"/>
      <c r="J560" s="392"/>
      <c r="K560" s="361"/>
      <c r="L560" s="361"/>
      <c r="M560" s="361"/>
      <c r="N560" s="361"/>
      <c r="O560" s="361"/>
      <c r="P560" s="361"/>
      <c r="Q560" s="361"/>
      <c r="R560" s="361"/>
      <c r="S560" s="361"/>
      <c r="T560" s="361"/>
      <c r="U560" s="361"/>
      <c r="V560" s="361"/>
      <c r="W560" s="361"/>
      <c r="X560" s="361"/>
      <c r="Y560" s="361"/>
      <c r="Z560" s="361"/>
    </row>
    <row r="561" ht="22.5" customHeight="1" outlineLevel="1">
      <c r="A561" s="412"/>
      <c r="B561" s="415"/>
      <c r="C561" s="394"/>
      <c r="D561" s="412"/>
      <c r="E561" s="414"/>
      <c r="F561" s="414"/>
      <c r="G561" s="414"/>
      <c r="H561" s="414"/>
      <c r="I561" s="397"/>
      <c r="J561" s="392"/>
      <c r="K561" s="361"/>
      <c r="L561" s="361"/>
      <c r="M561" s="361"/>
      <c r="N561" s="361"/>
      <c r="O561" s="361"/>
      <c r="P561" s="361"/>
      <c r="Q561" s="361"/>
      <c r="R561" s="361"/>
      <c r="S561" s="361"/>
      <c r="T561" s="361"/>
      <c r="U561" s="361"/>
      <c r="V561" s="361"/>
      <c r="W561" s="361"/>
      <c r="X561" s="361"/>
      <c r="Y561" s="361"/>
      <c r="Z561" s="361"/>
    </row>
    <row r="562" ht="22.5" customHeight="1" outlineLevel="1">
      <c r="A562" s="412"/>
      <c r="B562" s="415"/>
      <c r="C562" s="394"/>
      <c r="D562" s="412"/>
      <c r="E562" s="414"/>
      <c r="F562" s="414"/>
      <c r="G562" s="414"/>
      <c r="H562" s="414"/>
      <c r="I562" s="397"/>
      <c r="J562" s="392"/>
      <c r="K562" s="361"/>
      <c r="L562" s="361"/>
      <c r="M562" s="361"/>
      <c r="N562" s="361"/>
      <c r="O562" s="361"/>
      <c r="P562" s="361"/>
      <c r="Q562" s="361"/>
      <c r="R562" s="361"/>
      <c r="S562" s="361"/>
      <c r="T562" s="361"/>
      <c r="U562" s="361"/>
      <c r="V562" s="361"/>
      <c r="W562" s="361"/>
      <c r="X562" s="361"/>
      <c r="Y562" s="361"/>
      <c r="Z562" s="361"/>
    </row>
    <row r="563" ht="22.5" customHeight="1" outlineLevel="1">
      <c r="A563" s="412"/>
      <c r="B563" s="415"/>
      <c r="C563" s="394"/>
      <c r="D563" s="412"/>
      <c r="E563" s="414"/>
      <c r="F563" s="414"/>
      <c r="G563" s="414"/>
      <c r="H563" s="414"/>
      <c r="I563" s="397"/>
      <c r="J563" s="392"/>
      <c r="K563" s="361"/>
      <c r="L563" s="361"/>
      <c r="M563" s="361"/>
      <c r="N563" s="361"/>
      <c r="O563" s="361"/>
      <c r="P563" s="361"/>
      <c r="Q563" s="361"/>
      <c r="R563" s="361"/>
      <c r="S563" s="361"/>
      <c r="T563" s="361"/>
      <c r="U563" s="361"/>
      <c r="V563" s="361"/>
      <c r="W563" s="361"/>
      <c r="X563" s="361"/>
      <c r="Y563" s="361"/>
      <c r="Z563" s="361"/>
    </row>
    <row r="564" ht="22.5" customHeight="1" outlineLevel="1">
      <c r="A564" s="412"/>
      <c r="B564" s="415"/>
      <c r="C564" s="394"/>
      <c r="D564" s="412"/>
      <c r="E564" s="414"/>
      <c r="F564" s="414"/>
      <c r="G564" s="414"/>
      <c r="H564" s="414"/>
      <c r="I564" s="397"/>
      <c r="J564" s="392"/>
      <c r="K564" s="361"/>
      <c r="L564" s="361"/>
      <c r="M564" s="361"/>
      <c r="N564" s="361"/>
      <c r="O564" s="361"/>
      <c r="P564" s="361"/>
      <c r="Q564" s="361"/>
      <c r="R564" s="361"/>
      <c r="S564" s="361"/>
      <c r="T564" s="361"/>
      <c r="U564" s="361"/>
      <c r="V564" s="361"/>
      <c r="W564" s="361"/>
      <c r="X564" s="361"/>
      <c r="Y564" s="361"/>
      <c r="Z564" s="361"/>
    </row>
    <row r="565" ht="22.5" customHeight="1" outlineLevel="1">
      <c r="A565" s="412"/>
      <c r="B565" s="415"/>
      <c r="C565" s="394"/>
      <c r="D565" s="412"/>
      <c r="E565" s="414"/>
      <c r="F565" s="414"/>
      <c r="G565" s="414"/>
      <c r="H565" s="414"/>
      <c r="I565" s="397"/>
      <c r="J565" s="392"/>
      <c r="K565" s="361"/>
      <c r="L565" s="361"/>
      <c r="M565" s="361"/>
      <c r="N565" s="361"/>
      <c r="O565" s="361"/>
      <c r="P565" s="361"/>
      <c r="Q565" s="361"/>
      <c r="R565" s="361"/>
      <c r="S565" s="361"/>
      <c r="T565" s="361"/>
      <c r="U565" s="361"/>
      <c r="V565" s="361"/>
      <c r="W565" s="361"/>
      <c r="X565" s="361"/>
      <c r="Y565" s="361"/>
      <c r="Z565" s="361"/>
    </row>
    <row r="566" ht="22.5" customHeight="1" outlineLevel="1">
      <c r="A566" s="412"/>
      <c r="B566" s="415"/>
      <c r="C566" s="394"/>
      <c r="D566" s="412"/>
      <c r="E566" s="414"/>
      <c r="F566" s="414"/>
      <c r="G566" s="414"/>
      <c r="H566" s="414"/>
      <c r="I566" s="397"/>
      <c r="J566" s="392"/>
      <c r="K566" s="361"/>
      <c r="L566" s="361"/>
      <c r="M566" s="361"/>
      <c r="N566" s="361"/>
      <c r="O566" s="361"/>
      <c r="P566" s="361"/>
      <c r="Q566" s="361"/>
      <c r="R566" s="361"/>
      <c r="S566" s="361"/>
      <c r="T566" s="361"/>
      <c r="U566" s="361"/>
      <c r="V566" s="361"/>
      <c r="W566" s="361"/>
      <c r="X566" s="361"/>
      <c r="Y566" s="361"/>
      <c r="Z566" s="361"/>
    </row>
    <row r="567" ht="22.5" customHeight="1" outlineLevel="1">
      <c r="A567" s="412"/>
      <c r="B567" s="415"/>
      <c r="C567" s="394"/>
      <c r="D567" s="412"/>
      <c r="E567" s="414"/>
      <c r="F567" s="414"/>
      <c r="G567" s="414"/>
      <c r="H567" s="414"/>
      <c r="I567" s="397"/>
      <c r="J567" s="392"/>
      <c r="K567" s="361"/>
      <c r="L567" s="361"/>
      <c r="M567" s="361"/>
      <c r="N567" s="361"/>
      <c r="O567" s="361"/>
      <c r="P567" s="361"/>
      <c r="Q567" s="361"/>
      <c r="R567" s="361"/>
      <c r="S567" s="361"/>
      <c r="T567" s="361"/>
      <c r="U567" s="361"/>
      <c r="V567" s="361"/>
      <c r="W567" s="361"/>
      <c r="X567" s="361"/>
      <c r="Y567" s="361"/>
      <c r="Z567" s="361"/>
    </row>
    <row r="568" ht="22.5" customHeight="1" outlineLevel="1">
      <c r="A568" s="412"/>
      <c r="B568" s="415"/>
      <c r="C568" s="394"/>
      <c r="D568" s="412"/>
      <c r="E568" s="414"/>
      <c r="F568" s="414"/>
      <c r="G568" s="414"/>
      <c r="H568" s="414"/>
      <c r="I568" s="397"/>
      <c r="J568" s="392"/>
      <c r="K568" s="361"/>
      <c r="L568" s="361"/>
      <c r="M568" s="361"/>
      <c r="N568" s="361"/>
      <c r="O568" s="361"/>
      <c r="P568" s="361"/>
      <c r="Q568" s="361"/>
      <c r="R568" s="361"/>
      <c r="S568" s="361"/>
      <c r="T568" s="361"/>
      <c r="U568" s="361"/>
      <c r="V568" s="361"/>
      <c r="W568" s="361"/>
      <c r="X568" s="361"/>
      <c r="Y568" s="361"/>
      <c r="Z568" s="361"/>
    </row>
    <row r="569" ht="22.5" customHeight="1" outlineLevel="1">
      <c r="A569" s="412"/>
      <c r="B569" s="415"/>
      <c r="C569" s="394"/>
      <c r="D569" s="412"/>
      <c r="E569" s="414"/>
      <c r="F569" s="414"/>
      <c r="G569" s="414"/>
      <c r="H569" s="414"/>
      <c r="I569" s="397"/>
      <c r="J569" s="392"/>
      <c r="K569" s="361"/>
      <c r="L569" s="361"/>
      <c r="M569" s="361"/>
      <c r="N569" s="361"/>
      <c r="O569" s="361"/>
      <c r="P569" s="361"/>
      <c r="Q569" s="361"/>
      <c r="R569" s="361"/>
      <c r="S569" s="361"/>
      <c r="T569" s="361"/>
      <c r="U569" s="361"/>
      <c r="V569" s="361"/>
      <c r="W569" s="361"/>
      <c r="X569" s="361"/>
      <c r="Y569" s="361"/>
      <c r="Z569" s="361"/>
    </row>
    <row r="570" ht="22.5" customHeight="1" outlineLevel="1">
      <c r="A570" s="412"/>
      <c r="B570" s="415"/>
      <c r="C570" s="394"/>
      <c r="D570" s="412"/>
      <c r="E570" s="414"/>
      <c r="F570" s="414"/>
      <c r="G570" s="414"/>
      <c r="H570" s="414"/>
      <c r="I570" s="397"/>
      <c r="J570" s="392"/>
      <c r="K570" s="361"/>
      <c r="L570" s="361"/>
      <c r="M570" s="361"/>
      <c r="N570" s="361"/>
      <c r="O570" s="361"/>
      <c r="P570" s="361"/>
      <c r="Q570" s="361"/>
      <c r="R570" s="361"/>
      <c r="S570" s="361"/>
      <c r="T570" s="361"/>
      <c r="U570" s="361"/>
      <c r="V570" s="361"/>
      <c r="W570" s="361"/>
      <c r="X570" s="361"/>
      <c r="Y570" s="361"/>
      <c r="Z570" s="361"/>
    </row>
    <row r="571" ht="22.5" customHeight="1" outlineLevel="1">
      <c r="A571" s="412"/>
      <c r="B571" s="415"/>
      <c r="C571" s="394"/>
      <c r="D571" s="412"/>
      <c r="E571" s="414"/>
      <c r="F571" s="414"/>
      <c r="G571" s="414"/>
      <c r="H571" s="414"/>
      <c r="I571" s="397"/>
      <c r="J571" s="392"/>
      <c r="K571" s="361"/>
      <c r="L571" s="361"/>
      <c r="M571" s="361"/>
      <c r="N571" s="361"/>
      <c r="O571" s="361"/>
      <c r="P571" s="361"/>
      <c r="Q571" s="361"/>
      <c r="R571" s="361"/>
      <c r="S571" s="361"/>
      <c r="T571" s="361"/>
      <c r="U571" s="361"/>
      <c r="V571" s="361"/>
      <c r="W571" s="361"/>
      <c r="X571" s="361"/>
      <c r="Y571" s="361"/>
      <c r="Z571" s="361"/>
    </row>
    <row r="572" ht="22.5" customHeight="1" outlineLevel="1">
      <c r="A572" s="412"/>
      <c r="B572" s="415"/>
      <c r="C572" s="394"/>
      <c r="D572" s="412"/>
      <c r="E572" s="414"/>
      <c r="F572" s="414"/>
      <c r="G572" s="414"/>
      <c r="H572" s="414"/>
      <c r="I572" s="397"/>
      <c r="J572" s="392"/>
      <c r="K572" s="361"/>
      <c r="L572" s="361"/>
      <c r="M572" s="361"/>
      <c r="N572" s="361"/>
      <c r="O572" s="361"/>
      <c r="P572" s="361"/>
      <c r="Q572" s="361"/>
      <c r="R572" s="361"/>
      <c r="S572" s="361"/>
      <c r="T572" s="361"/>
      <c r="U572" s="361"/>
      <c r="V572" s="361"/>
      <c r="W572" s="361"/>
      <c r="X572" s="361"/>
      <c r="Y572" s="361"/>
      <c r="Z572" s="361"/>
    </row>
    <row r="573" ht="22.5" customHeight="1" outlineLevel="1">
      <c r="A573" s="412"/>
      <c r="B573" s="415"/>
      <c r="C573" s="394"/>
      <c r="D573" s="412"/>
      <c r="E573" s="414"/>
      <c r="F573" s="414"/>
      <c r="G573" s="414"/>
      <c r="H573" s="414"/>
      <c r="I573" s="397"/>
      <c r="J573" s="392"/>
      <c r="K573" s="361"/>
      <c r="L573" s="361"/>
      <c r="M573" s="361"/>
      <c r="N573" s="361"/>
      <c r="O573" s="361"/>
      <c r="P573" s="361"/>
      <c r="Q573" s="361"/>
      <c r="R573" s="361"/>
      <c r="S573" s="361"/>
      <c r="T573" s="361"/>
      <c r="U573" s="361"/>
      <c r="V573" s="361"/>
      <c r="W573" s="361"/>
      <c r="X573" s="361"/>
      <c r="Y573" s="361"/>
      <c r="Z573" s="361"/>
    </row>
    <row r="574" ht="22.5" customHeight="1" outlineLevel="1">
      <c r="A574" s="412"/>
      <c r="B574" s="415"/>
      <c r="C574" s="394"/>
      <c r="D574" s="412"/>
      <c r="E574" s="414"/>
      <c r="F574" s="414"/>
      <c r="G574" s="414"/>
      <c r="H574" s="414"/>
      <c r="I574" s="397"/>
      <c r="J574" s="392"/>
      <c r="K574" s="361"/>
      <c r="L574" s="361"/>
      <c r="M574" s="361"/>
      <c r="N574" s="361"/>
      <c r="O574" s="361"/>
      <c r="P574" s="361"/>
      <c r="Q574" s="361"/>
      <c r="R574" s="361"/>
      <c r="S574" s="361"/>
      <c r="T574" s="361"/>
      <c r="U574" s="361"/>
      <c r="V574" s="361"/>
      <c r="W574" s="361"/>
      <c r="X574" s="361"/>
      <c r="Y574" s="361"/>
      <c r="Z574" s="361"/>
    </row>
    <row r="575" ht="22.5" customHeight="1" outlineLevel="1">
      <c r="A575" s="412"/>
      <c r="B575" s="415"/>
      <c r="C575" s="394"/>
      <c r="D575" s="412"/>
      <c r="E575" s="414"/>
      <c r="F575" s="414"/>
      <c r="G575" s="414"/>
      <c r="H575" s="414"/>
      <c r="I575" s="397"/>
      <c r="J575" s="392"/>
      <c r="K575" s="361"/>
      <c r="L575" s="361"/>
      <c r="M575" s="361"/>
      <c r="N575" s="361"/>
      <c r="O575" s="361"/>
      <c r="P575" s="361"/>
      <c r="Q575" s="361"/>
      <c r="R575" s="361"/>
      <c r="S575" s="361"/>
      <c r="T575" s="361"/>
      <c r="U575" s="361"/>
      <c r="V575" s="361"/>
      <c r="W575" s="361"/>
      <c r="X575" s="361"/>
      <c r="Y575" s="361"/>
      <c r="Z575" s="361"/>
    </row>
    <row r="576" ht="22.5" customHeight="1" outlineLevel="1">
      <c r="A576" s="412"/>
      <c r="B576" s="415"/>
      <c r="C576" s="394"/>
      <c r="D576" s="412"/>
      <c r="E576" s="414"/>
      <c r="F576" s="414"/>
      <c r="G576" s="414"/>
      <c r="H576" s="414"/>
      <c r="I576" s="397"/>
      <c r="J576" s="392"/>
      <c r="K576" s="361"/>
      <c r="L576" s="361"/>
      <c r="M576" s="361"/>
      <c r="N576" s="361"/>
      <c r="O576" s="361"/>
      <c r="P576" s="361"/>
      <c r="Q576" s="361"/>
      <c r="R576" s="361"/>
      <c r="S576" s="361"/>
      <c r="T576" s="361"/>
      <c r="U576" s="361"/>
      <c r="V576" s="361"/>
      <c r="W576" s="361"/>
      <c r="X576" s="361"/>
      <c r="Y576" s="361"/>
      <c r="Z576" s="361"/>
    </row>
    <row r="577" ht="22.5" customHeight="1" outlineLevel="1">
      <c r="A577" s="412"/>
      <c r="B577" s="415"/>
      <c r="C577" s="394"/>
      <c r="D577" s="412"/>
      <c r="E577" s="414"/>
      <c r="F577" s="414"/>
      <c r="G577" s="414"/>
      <c r="H577" s="414"/>
      <c r="I577" s="397"/>
      <c r="J577" s="392"/>
      <c r="K577" s="361"/>
      <c r="L577" s="361"/>
      <c r="M577" s="361"/>
      <c r="N577" s="361"/>
      <c r="O577" s="361"/>
      <c r="P577" s="361"/>
      <c r="Q577" s="361"/>
      <c r="R577" s="361"/>
      <c r="S577" s="361"/>
      <c r="T577" s="361"/>
      <c r="U577" s="361"/>
      <c r="V577" s="361"/>
      <c r="W577" s="361"/>
      <c r="X577" s="361"/>
      <c r="Y577" s="361"/>
      <c r="Z577" s="361"/>
    </row>
    <row r="578" ht="22.5" customHeight="1" outlineLevel="1">
      <c r="A578" s="412"/>
      <c r="B578" s="415"/>
      <c r="C578" s="394"/>
      <c r="D578" s="412"/>
      <c r="E578" s="414"/>
      <c r="F578" s="414"/>
      <c r="G578" s="414"/>
      <c r="H578" s="414"/>
      <c r="I578" s="397"/>
      <c r="J578" s="392"/>
      <c r="K578" s="361"/>
      <c r="L578" s="361"/>
      <c r="M578" s="361"/>
      <c r="N578" s="361"/>
      <c r="O578" s="361"/>
      <c r="P578" s="361"/>
      <c r="Q578" s="361"/>
      <c r="R578" s="361"/>
      <c r="S578" s="361"/>
      <c r="T578" s="361"/>
      <c r="U578" s="361"/>
      <c r="V578" s="361"/>
      <c r="W578" s="361"/>
      <c r="X578" s="361"/>
      <c r="Y578" s="361"/>
      <c r="Z578" s="361"/>
    </row>
    <row r="579" ht="22.5" customHeight="1" outlineLevel="1">
      <c r="A579" s="412"/>
      <c r="B579" s="415"/>
      <c r="C579" s="394"/>
      <c r="D579" s="412"/>
      <c r="E579" s="414"/>
      <c r="F579" s="414"/>
      <c r="G579" s="414"/>
      <c r="H579" s="414"/>
      <c r="I579" s="397"/>
      <c r="J579" s="392"/>
      <c r="K579" s="361"/>
      <c r="L579" s="361"/>
      <c r="M579" s="361"/>
      <c r="N579" s="361"/>
      <c r="O579" s="361"/>
      <c r="P579" s="361"/>
      <c r="Q579" s="361"/>
      <c r="R579" s="361"/>
      <c r="S579" s="361"/>
      <c r="T579" s="361"/>
      <c r="U579" s="361"/>
      <c r="V579" s="361"/>
      <c r="W579" s="361"/>
      <c r="X579" s="361"/>
      <c r="Y579" s="361"/>
      <c r="Z579" s="361"/>
    </row>
    <row r="580" ht="22.5" customHeight="1" outlineLevel="1">
      <c r="A580" s="412"/>
      <c r="B580" s="415"/>
      <c r="C580" s="394"/>
      <c r="D580" s="412"/>
      <c r="E580" s="414"/>
      <c r="F580" s="414"/>
      <c r="G580" s="414"/>
      <c r="H580" s="414"/>
      <c r="I580" s="397"/>
      <c r="J580" s="392"/>
      <c r="K580" s="361"/>
      <c r="L580" s="361"/>
      <c r="M580" s="361"/>
      <c r="N580" s="361"/>
      <c r="O580" s="361"/>
      <c r="P580" s="361"/>
      <c r="Q580" s="361"/>
      <c r="R580" s="361"/>
      <c r="S580" s="361"/>
      <c r="T580" s="361"/>
      <c r="U580" s="361"/>
      <c r="V580" s="361"/>
      <c r="W580" s="361"/>
      <c r="X580" s="361"/>
      <c r="Y580" s="361"/>
      <c r="Z580" s="361"/>
    </row>
    <row r="581" ht="22.5" customHeight="1" outlineLevel="1">
      <c r="A581" s="412"/>
      <c r="B581" s="415"/>
      <c r="C581" s="394"/>
      <c r="D581" s="412"/>
      <c r="E581" s="414"/>
      <c r="F581" s="414"/>
      <c r="G581" s="414"/>
      <c r="H581" s="414"/>
      <c r="I581" s="397"/>
      <c r="J581" s="392"/>
      <c r="K581" s="361"/>
      <c r="L581" s="361"/>
      <c r="M581" s="361"/>
      <c r="N581" s="361"/>
      <c r="O581" s="361"/>
      <c r="P581" s="361"/>
      <c r="Q581" s="361"/>
      <c r="R581" s="361"/>
      <c r="S581" s="361"/>
      <c r="T581" s="361"/>
      <c r="U581" s="361"/>
      <c r="V581" s="361"/>
      <c r="W581" s="361"/>
      <c r="X581" s="361"/>
      <c r="Y581" s="361"/>
      <c r="Z581" s="361"/>
    </row>
    <row r="582" ht="22.5" customHeight="1" outlineLevel="1">
      <c r="A582" s="412"/>
      <c r="B582" s="415"/>
      <c r="C582" s="394"/>
      <c r="D582" s="412"/>
      <c r="E582" s="414"/>
      <c r="F582" s="414"/>
      <c r="G582" s="414"/>
      <c r="H582" s="414"/>
      <c r="I582" s="397"/>
      <c r="J582" s="392"/>
      <c r="K582" s="361"/>
      <c r="L582" s="361"/>
      <c r="M582" s="361"/>
      <c r="N582" s="361"/>
      <c r="O582" s="361"/>
      <c r="P582" s="361"/>
      <c r="Q582" s="361"/>
      <c r="R582" s="361"/>
      <c r="S582" s="361"/>
      <c r="T582" s="361"/>
      <c r="U582" s="361"/>
      <c r="V582" s="361"/>
      <c r="W582" s="361"/>
      <c r="X582" s="361"/>
      <c r="Y582" s="361"/>
      <c r="Z582" s="361"/>
    </row>
    <row r="583" ht="22.5" customHeight="1" outlineLevel="1">
      <c r="A583" s="412"/>
      <c r="B583" s="415"/>
      <c r="C583" s="394"/>
      <c r="D583" s="412"/>
      <c r="E583" s="414"/>
      <c r="F583" s="414"/>
      <c r="G583" s="414"/>
      <c r="H583" s="414"/>
      <c r="I583" s="397"/>
      <c r="J583" s="392"/>
      <c r="K583" s="361"/>
      <c r="L583" s="361"/>
      <c r="M583" s="361"/>
      <c r="N583" s="361"/>
      <c r="O583" s="361"/>
      <c r="P583" s="361"/>
      <c r="Q583" s="361"/>
      <c r="R583" s="361"/>
      <c r="S583" s="361"/>
      <c r="T583" s="361"/>
      <c r="U583" s="361"/>
      <c r="V583" s="361"/>
      <c r="W583" s="361"/>
      <c r="X583" s="361"/>
      <c r="Y583" s="361"/>
      <c r="Z583" s="361"/>
    </row>
    <row r="584" ht="22.5" customHeight="1" outlineLevel="1">
      <c r="A584" s="412"/>
      <c r="B584" s="415"/>
      <c r="C584" s="394"/>
      <c r="D584" s="412"/>
      <c r="E584" s="414"/>
      <c r="F584" s="414"/>
      <c r="G584" s="414"/>
      <c r="H584" s="414"/>
      <c r="I584" s="397"/>
      <c r="J584" s="392"/>
      <c r="K584" s="361"/>
      <c r="L584" s="361"/>
      <c r="M584" s="361"/>
      <c r="N584" s="361"/>
      <c r="O584" s="361"/>
      <c r="P584" s="361"/>
      <c r="Q584" s="361"/>
      <c r="R584" s="361"/>
      <c r="S584" s="361"/>
      <c r="T584" s="361"/>
      <c r="U584" s="361"/>
      <c r="V584" s="361"/>
      <c r="W584" s="361"/>
      <c r="X584" s="361"/>
      <c r="Y584" s="361"/>
      <c r="Z584" s="361"/>
    </row>
    <row r="585" ht="22.5" customHeight="1" outlineLevel="1">
      <c r="A585" s="412"/>
      <c r="B585" s="415"/>
      <c r="C585" s="394"/>
      <c r="D585" s="412"/>
      <c r="E585" s="414"/>
      <c r="F585" s="414"/>
      <c r="G585" s="414"/>
      <c r="H585" s="414"/>
      <c r="I585" s="397"/>
      <c r="J585" s="392"/>
      <c r="K585" s="361"/>
      <c r="L585" s="361"/>
      <c r="M585" s="361"/>
      <c r="N585" s="361"/>
      <c r="O585" s="361"/>
      <c r="P585" s="361"/>
      <c r="Q585" s="361"/>
      <c r="R585" s="361"/>
      <c r="S585" s="361"/>
      <c r="T585" s="361"/>
      <c r="U585" s="361"/>
      <c r="V585" s="361"/>
      <c r="W585" s="361"/>
      <c r="X585" s="361"/>
      <c r="Y585" s="361"/>
      <c r="Z585" s="361"/>
    </row>
    <row r="586" ht="22.5" customHeight="1" outlineLevel="1">
      <c r="A586" s="412"/>
      <c r="B586" s="415"/>
      <c r="C586" s="394"/>
      <c r="D586" s="412"/>
      <c r="E586" s="414"/>
      <c r="F586" s="414"/>
      <c r="G586" s="414"/>
      <c r="H586" s="414"/>
      <c r="I586" s="397"/>
      <c r="J586" s="392"/>
      <c r="K586" s="361"/>
      <c r="L586" s="361"/>
      <c r="M586" s="361"/>
      <c r="N586" s="361"/>
      <c r="O586" s="361"/>
      <c r="P586" s="361"/>
      <c r="Q586" s="361"/>
      <c r="R586" s="361"/>
      <c r="S586" s="361"/>
      <c r="T586" s="361"/>
      <c r="U586" s="361"/>
      <c r="V586" s="361"/>
      <c r="W586" s="361"/>
      <c r="X586" s="361"/>
      <c r="Y586" s="361"/>
      <c r="Z586" s="361"/>
    </row>
    <row r="587" ht="22.5" customHeight="1" outlineLevel="1">
      <c r="A587" s="412"/>
      <c r="B587" s="415"/>
      <c r="C587" s="394"/>
      <c r="D587" s="412"/>
      <c r="E587" s="414"/>
      <c r="F587" s="414"/>
      <c r="G587" s="414"/>
      <c r="H587" s="414"/>
      <c r="I587" s="397"/>
      <c r="J587" s="392"/>
      <c r="K587" s="361"/>
      <c r="L587" s="361"/>
      <c r="M587" s="361"/>
      <c r="N587" s="361"/>
      <c r="O587" s="361"/>
      <c r="P587" s="361"/>
      <c r="Q587" s="361"/>
      <c r="R587" s="361"/>
      <c r="S587" s="361"/>
      <c r="T587" s="361"/>
      <c r="U587" s="361"/>
      <c r="V587" s="361"/>
      <c r="W587" s="361"/>
      <c r="X587" s="361"/>
      <c r="Y587" s="361"/>
      <c r="Z587" s="361"/>
    </row>
    <row r="588" ht="22.5" customHeight="1" outlineLevel="1">
      <c r="A588" s="412"/>
      <c r="B588" s="415"/>
      <c r="C588" s="394"/>
      <c r="D588" s="412"/>
      <c r="E588" s="414"/>
      <c r="F588" s="414"/>
      <c r="G588" s="414"/>
      <c r="H588" s="414"/>
      <c r="I588" s="397"/>
      <c r="J588" s="392"/>
      <c r="K588" s="361"/>
      <c r="L588" s="361"/>
      <c r="M588" s="361"/>
      <c r="N588" s="361"/>
      <c r="O588" s="361"/>
      <c r="P588" s="361"/>
      <c r="Q588" s="361"/>
      <c r="R588" s="361"/>
      <c r="S588" s="361"/>
      <c r="T588" s="361"/>
      <c r="U588" s="361"/>
      <c r="V588" s="361"/>
      <c r="W588" s="361"/>
      <c r="X588" s="361"/>
      <c r="Y588" s="361"/>
      <c r="Z588" s="361"/>
    </row>
    <row r="589" ht="22.5" customHeight="1" outlineLevel="1">
      <c r="A589" s="412"/>
      <c r="B589" s="415"/>
      <c r="C589" s="394"/>
      <c r="D589" s="412"/>
      <c r="E589" s="414"/>
      <c r="F589" s="414"/>
      <c r="G589" s="414"/>
      <c r="H589" s="414"/>
      <c r="I589" s="397"/>
      <c r="J589" s="392"/>
      <c r="K589" s="361"/>
      <c r="L589" s="361"/>
      <c r="M589" s="361"/>
      <c r="N589" s="361"/>
      <c r="O589" s="361"/>
      <c r="P589" s="361"/>
      <c r="Q589" s="361"/>
      <c r="R589" s="361"/>
      <c r="S589" s="361"/>
      <c r="T589" s="361"/>
      <c r="U589" s="361"/>
      <c r="V589" s="361"/>
      <c r="W589" s="361"/>
      <c r="X589" s="361"/>
      <c r="Y589" s="361"/>
      <c r="Z589" s="361"/>
    </row>
    <row r="590" ht="22.5" customHeight="1" outlineLevel="1">
      <c r="A590" s="412"/>
      <c r="B590" s="415"/>
      <c r="C590" s="394"/>
      <c r="D590" s="412"/>
      <c r="E590" s="414"/>
      <c r="F590" s="414"/>
      <c r="G590" s="414"/>
      <c r="H590" s="414"/>
      <c r="I590" s="397"/>
      <c r="J590" s="392"/>
      <c r="K590" s="361"/>
      <c r="L590" s="361"/>
      <c r="M590" s="361"/>
      <c r="N590" s="361"/>
      <c r="O590" s="361"/>
      <c r="P590" s="361"/>
      <c r="Q590" s="361"/>
      <c r="R590" s="361"/>
      <c r="S590" s="361"/>
      <c r="T590" s="361"/>
      <c r="U590" s="361"/>
      <c r="V590" s="361"/>
      <c r="W590" s="361"/>
      <c r="X590" s="361"/>
      <c r="Y590" s="361"/>
      <c r="Z590" s="361"/>
    </row>
    <row r="591" ht="22.5" customHeight="1" outlineLevel="1">
      <c r="A591" s="412"/>
      <c r="B591" s="415"/>
      <c r="C591" s="394"/>
      <c r="D591" s="412"/>
      <c r="E591" s="414"/>
      <c r="F591" s="414"/>
      <c r="G591" s="414"/>
      <c r="H591" s="414"/>
      <c r="I591" s="397"/>
      <c r="J591" s="392"/>
      <c r="K591" s="361"/>
      <c r="L591" s="361"/>
      <c r="M591" s="361"/>
      <c r="N591" s="361"/>
      <c r="O591" s="361"/>
      <c r="P591" s="361"/>
      <c r="Q591" s="361"/>
      <c r="R591" s="361"/>
      <c r="S591" s="361"/>
      <c r="T591" s="361"/>
      <c r="U591" s="361"/>
      <c r="V591" s="361"/>
      <c r="W591" s="361"/>
      <c r="X591" s="361"/>
      <c r="Y591" s="361"/>
      <c r="Z591" s="361"/>
    </row>
    <row r="592" ht="22.5" customHeight="1" outlineLevel="1">
      <c r="A592" s="412"/>
      <c r="B592" s="415"/>
      <c r="C592" s="394"/>
      <c r="D592" s="412"/>
      <c r="E592" s="414"/>
      <c r="F592" s="414"/>
      <c r="G592" s="414"/>
      <c r="H592" s="414"/>
      <c r="I592" s="397"/>
      <c r="J592" s="392"/>
      <c r="K592" s="361"/>
      <c r="L592" s="361"/>
      <c r="M592" s="361"/>
      <c r="N592" s="361"/>
      <c r="O592" s="361"/>
      <c r="P592" s="361"/>
      <c r="Q592" s="361"/>
      <c r="R592" s="361"/>
      <c r="S592" s="361"/>
      <c r="T592" s="361"/>
      <c r="U592" s="361"/>
      <c r="V592" s="361"/>
      <c r="W592" s="361"/>
      <c r="X592" s="361"/>
      <c r="Y592" s="361"/>
      <c r="Z592" s="361"/>
    </row>
    <row r="593" ht="22.5" customHeight="1" outlineLevel="1">
      <c r="A593" s="412"/>
      <c r="B593" s="415"/>
      <c r="C593" s="394"/>
      <c r="D593" s="412"/>
      <c r="E593" s="414"/>
      <c r="F593" s="414"/>
      <c r="G593" s="414"/>
      <c r="H593" s="414"/>
      <c r="I593" s="397"/>
      <c r="J593" s="392"/>
      <c r="K593" s="361"/>
      <c r="L593" s="361"/>
      <c r="M593" s="361"/>
      <c r="N593" s="361"/>
      <c r="O593" s="361"/>
      <c r="P593" s="361"/>
      <c r="Q593" s="361"/>
      <c r="R593" s="361"/>
      <c r="S593" s="361"/>
      <c r="T593" s="361"/>
      <c r="U593" s="361"/>
      <c r="V593" s="361"/>
      <c r="W593" s="361"/>
      <c r="X593" s="361"/>
      <c r="Y593" s="361"/>
      <c r="Z593" s="361"/>
    </row>
    <row r="594" ht="22.5" customHeight="1" outlineLevel="1">
      <c r="A594" s="412"/>
      <c r="B594" s="415"/>
      <c r="C594" s="394"/>
      <c r="D594" s="412"/>
      <c r="E594" s="414"/>
      <c r="F594" s="414"/>
      <c r="G594" s="414"/>
      <c r="H594" s="414"/>
      <c r="I594" s="397"/>
      <c r="J594" s="392"/>
      <c r="K594" s="361"/>
      <c r="L594" s="361"/>
      <c r="M594" s="361"/>
      <c r="N594" s="361"/>
      <c r="O594" s="361"/>
      <c r="P594" s="361"/>
      <c r="Q594" s="361"/>
      <c r="R594" s="361"/>
      <c r="S594" s="361"/>
      <c r="T594" s="361"/>
      <c r="U594" s="361"/>
      <c r="V594" s="361"/>
      <c r="W594" s="361"/>
      <c r="X594" s="361"/>
      <c r="Y594" s="361"/>
      <c r="Z594" s="361"/>
    </row>
    <row r="595" ht="22.5" customHeight="1" outlineLevel="1">
      <c r="A595" s="412"/>
      <c r="B595" s="415"/>
      <c r="C595" s="394"/>
      <c r="D595" s="412"/>
      <c r="E595" s="414"/>
      <c r="F595" s="414"/>
      <c r="G595" s="414"/>
      <c r="H595" s="414"/>
      <c r="I595" s="397"/>
      <c r="J595" s="392"/>
      <c r="K595" s="361"/>
      <c r="L595" s="361"/>
      <c r="M595" s="361"/>
      <c r="N595" s="361"/>
      <c r="O595" s="361"/>
      <c r="P595" s="361"/>
      <c r="Q595" s="361"/>
      <c r="R595" s="361"/>
      <c r="S595" s="361"/>
      <c r="T595" s="361"/>
      <c r="U595" s="361"/>
      <c r="V595" s="361"/>
      <c r="W595" s="361"/>
      <c r="X595" s="361"/>
      <c r="Y595" s="361"/>
      <c r="Z595" s="361"/>
    </row>
    <row r="596" ht="22.5" customHeight="1" outlineLevel="1">
      <c r="A596" s="412"/>
      <c r="B596" s="415"/>
      <c r="C596" s="394"/>
      <c r="D596" s="412"/>
      <c r="E596" s="414"/>
      <c r="F596" s="414"/>
      <c r="G596" s="414"/>
      <c r="H596" s="414"/>
      <c r="I596" s="397"/>
      <c r="J596" s="392"/>
      <c r="K596" s="361"/>
      <c r="L596" s="361"/>
      <c r="M596" s="361"/>
      <c r="N596" s="361"/>
      <c r="O596" s="361"/>
      <c r="P596" s="361"/>
      <c r="Q596" s="361"/>
      <c r="R596" s="361"/>
      <c r="S596" s="361"/>
      <c r="T596" s="361"/>
      <c r="U596" s="361"/>
      <c r="V596" s="361"/>
      <c r="W596" s="361"/>
      <c r="X596" s="361"/>
      <c r="Y596" s="361"/>
      <c r="Z596" s="361"/>
    </row>
    <row r="597" ht="22.5" customHeight="1" outlineLevel="1">
      <c r="A597" s="412"/>
      <c r="B597" s="415"/>
      <c r="C597" s="394"/>
      <c r="D597" s="412"/>
      <c r="E597" s="414"/>
      <c r="F597" s="414"/>
      <c r="G597" s="414"/>
      <c r="H597" s="414"/>
      <c r="I597" s="397"/>
      <c r="J597" s="392"/>
      <c r="K597" s="361"/>
      <c r="L597" s="361"/>
      <c r="M597" s="361"/>
      <c r="N597" s="361"/>
      <c r="O597" s="361"/>
      <c r="P597" s="361"/>
      <c r="Q597" s="361"/>
      <c r="R597" s="361"/>
      <c r="S597" s="361"/>
      <c r="T597" s="361"/>
      <c r="U597" s="361"/>
      <c r="V597" s="361"/>
      <c r="W597" s="361"/>
      <c r="X597" s="361"/>
      <c r="Y597" s="361"/>
      <c r="Z597" s="361"/>
    </row>
    <row r="598" ht="22.5" customHeight="1" outlineLevel="1">
      <c r="A598" s="412"/>
      <c r="B598" s="415"/>
      <c r="C598" s="394"/>
      <c r="D598" s="412"/>
      <c r="E598" s="414"/>
      <c r="F598" s="414"/>
      <c r="G598" s="414"/>
      <c r="H598" s="414"/>
      <c r="I598" s="397"/>
      <c r="J598" s="392"/>
      <c r="K598" s="361"/>
      <c r="L598" s="361"/>
      <c r="M598" s="361"/>
      <c r="N598" s="361"/>
      <c r="O598" s="361"/>
      <c r="P598" s="361"/>
      <c r="Q598" s="361"/>
      <c r="R598" s="361"/>
      <c r="S598" s="361"/>
      <c r="T598" s="361"/>
      <c r="U598" s="361"/>
      <c r="V598" s="361"/>
      <c r="W598" s="361"/>
      <c r="X598" s="361"/>
      <c r="Y598" s="361"/>
      <c r="Z598" s="361"/>
    </row>
    <row r="599" ht="22.5" customHeight="1" outlineLevel="1">
      <c r="A599" s="412"/>
      <c r="B599" s="415"/>
      <c r="C599" s="394"/>
      <c r="D599" s="412"/>
      <c r="E599" s="414"/>
      <c r="F599" s="414"/>
      <c r="G599" s="414"/>
      <c r="H599" s="414"/>
      <c r="I599" s="397"/>
      <c r="J599" s="392"/>
      <c r="K599" s="361"/>
      <c r="L599" s="361"/>
      <c r="M599" s="361"/>
      <c r="N599" s="361"/>
      <c r="O599" s="361"/>
      <c r="P599" s="361"/>
      <c r="Q599" s="361"/>
      <c r="R599" s="361"/>
      <c r="S599" s="361"/>
      <c r="T599" s="361"/>
      <c r="U599" s="361"/>
      <c r="V599" s="361"/>
      <c r="W599" s="361"/>
      <c r="X599" s="361"/>
      <c r="Y599" s="361"/>
      <c r="Z599" s="361"/>
    </row>
    <row r="600" ht="22.5" customHeight="1" outlineLevel="1">
      <c r="A600" s="412"/>
      <c r="B600" s="415"/>
      <c r="C600" s="394"/>
      <c r="D600" s="412"/>
      <c r="E600" s="414"/>
      <c r="F600" s="414"/>
      <c r="G600" s="414"/>
      <c r="H600" s="414"/>
      <c r="I600" s="397"/>
      <c r="J600" s="392"/>
      <c r="K600" s="361"/>
      <c r="L600" s="361"/>
      <c r="M600" s="361"/>
      <c r="N600" s="361"/>
      <c r="O600" s="361"/>
      <c r="P600" s="361"/>
      <c r="Q600" s="361"/>
      <c r="R600" s="361"/>
      <c r="S600" s="361"/>
      <c r="T600" s="361"/>
      <c r="U600" s="361"/>
      <c r="V600" s="361"/>
      <c r="W600" s="361"/>
      <c r="X600" s="361"/>
      <c r="Y600" s="361"/>
      <c r="Z600" s="361"/>
    </row>
    <row r="601" ht="22.5" customHeight="1" outlineLevel="1">
      <c r="A601" s="412"/>
      <c r="B601" s="415"/>
      <c r="C601" s="394"/>
      <c r="D601" s="412"/>
      <c r="E601" s="414"/>
      <c r="F601" s="414"/>
      <c r="G601" s="414"/>
      <c r="H601" s="414"/>
      <c r="I601" s="397"/>
      <c r="J601" s="392"/>
      <c r="K601" s="361"/>
      <c r="L601" s="361"/>
      <c r="M601" s="361"/>
      <c r="N601" s="361"/>
      <c r="O601" s="361"/>
      <c r="P601" s="361"/>
      <c r="Q601" s="361"/>
      <c r="R601" s="361"/>
      <c r="S601" s="361"/>
      <c r="T601" s="361"/>
      <c r="U601" s="361"/>
      <c r="V601" s="361"/>
      <c r="W601" s="361"/>
      <c r="X601" s="361"/>
      <c r="Y601" s="361"/>
      <c r="Z601" s="361"/>
    </row>
    <row r="602" ht="22.5" customHeight="1" outlineLevel="1">
      <c r="A602" s="412"/>
      <c r="B602" s="415"/>
      <c r="C602" s="394"/>
      <c r="D602" s="412"/>
      <c r="E602" s="414"/>
      <c r="F602" s="414"/>
      <c r="G602" s="414"/>
      <c r="H602" s="414"/>
      <c r="I602" s="397"/>
      <c r="J602" s="392"/>
      <c r="K602" s="361"/>
      <c r="L602" s="361"/>
      <c r="M602" s="361"/>
      <c r="N602" s="361"/>
      <c r="O602" s="361"/>
      <c r="P602" s="361"/>
      <c r="Q602" s="361"/>
      <c r="R602" s="361"/>
      <c r="S602" s="361"/>
      <c r="T602" s="361"/>
      <c r="U602" s="361"/>
      <c r="V602" s="361"/>
      <c r="W602" s="361"/>
      <c r="X602" s="361"/>
      <c r="Y602" s="361"/>
      <c r="Z602" s="361"/>
    </row>
    <row r="603" ht="22.5" customHeight="1" outlineLevel="1">
      <c r="A603" s="412"/>
      <c r="B603" s="415"/>
      <c r="C603" s="394"/>
      <c r="D603" s="412"/>
      <c r="E603" s="414"/>
      <c r="F603" s="414"/>
      <c r="G603" s="414"/>
      <c r="H603" s="414"/>
      <c r="I603" s="397"/>
      <c r="J603" s="392"/>
      <c r="K603" s="361"/>
      <c r="L603" s="361"/>
      <c r="M603" s="361"/>
      <c r="N603" s="361"/>
      <c r="O603" s="361"/>
      <c r="P603" s="361"/>
      <c r="Q603" s="361"/>
      <c r="R603" s="361"/>
      <c r="S603" s="361"/>
      <c r="T603" s="361"/>
      <c r="U603" s="361"/>
      <c r="V603" s="361"/>
      <c r="W603" s="361"/>
      <c r="X603" s="361"/>
      <c r="Y603" s="361"/>
      <c r="Z603" s="361"/>
    </row>
    <row r="604" ht="22.5" customHeight="1" outlineLevel="1">
      <c r="A604" s="412"/>
      <c r="B604" s="415"/>
      <c r="C604" s="394"/>
      <c r="D604" s="412"/>
      <c r="E604" s="414"/>
      <c r="F604" s="414"/>
      <c r="G604" s="414"/>
      <c r="H604" s="414"/>
      <c r="I604" s="397"/>
      <c r="J604" s="392"/>
      <c r="K604" s="361"/>
      <c r="L604" s="361"/>
      <c r="M604" s="361"/>
      <c r="N604" s="361"/>
      <c r="O604" s="361"/>
      <c r="P604" s="361"/>
      <c r="Q604" s="361"/>
      <c r="R604" s="361"/>
      <c r="S604" s="361"/>
      <c r="T604" s="361"/>
      <c r="U604" s="361"/>
      <c r="V604" s="361"/>
      <c r="W604" s="361"/>
      <c r="X604" s="361"/>
      <c r="Y604" s="361"/>
      <c r="Z604" s="361"/>
    </row>
    <row r="605" ht="22.5" customHeight="1" outlineLevel="1">
      <c r="A605" s="412"/>
      <c r="B605" s="415"/>
      <c r="C605" s="394"/>
      <c r="D605" s="412"/>
      <c r="E605" s="414"/>
      <c r="F605" s="414"/>
      <c r="G605" s="414"/>
      <c r="H605" s="414"/>
      <c r="I605" s="397"/>
      <c r="J605" s="392"/>
      <c r="K605" s="361"/>
      <c r="L605" s="361"/>
      <c r="M605" s="361"/>
      <c r="N605" s="361"/>
      <c r="O605" s="361"/>
      <c r="P605" s="361"/>
      <c r="Q605" s="361"/>
      <c r="R605" s="361"/>
      <c r="S605" s="361"/>
      <c r="T605" s="361"/>
      <c r="U605" s="361"/>
      <c r="V605" s="361"/>
      <c r="W605" s="361"/>
      <c r="X605" s="361"/>
      <c r="Y605" s="361"/>
      <c r="Z605" s="361"/>
    </row>
    <row r="606" ht="22.5" customHeight="1" outlineLevel="1">
      <c r="A606" s="412"/>
      <c r="B606" s="415"/>
      <c r="C606" s="394"/>
      <c r="D606" s="412"/>
      <c r="E606" s="414"/>
      <c r="F606" s="414"/>
      <c r="G606" s="414"/>
      <c r="H606" s="414"/>
      <c r="I606" s="397"/>
      <c r="J606" s="392"/>
      <c r="K606" s="361"/>
      <c r="L606" s="361"/>
      <c r="M606" s="361"/>
      <c r="N606" s="361"/>
      <c r="O606" s="361"/>
      <c r="P606" s="361"/>
      <c r="Q606" s="361"/>
      <c r="R606" s="361"/>
      <c r="S606" s="361"/>
      <c r="T606" s="361"/>
      <c r="U606" s="361"/>
      <c r="V606" s="361"/>
      <c r="W606" s="361"/>
      <c r="X606" s="361"/>
      <c r="Y606" s="361"/>
      <c r="Z606" s="361"/>
    </row>
    <row r="607" ht="22.5" customHeight="1" outlineLevel="1">
      <c r="A607" s="412"/>
      <c r="B607" s="415"/>
      <c r="C607" s="394"/>
      <c r="D607" s="412"/>
      <c r="E607" s="414"/>
      <c r="F607" s="414"/>
      <c r="G607" s="414"/>
      <c r="H607" s="414"/>
      <c r="I607" s="397"/>
      <c r="J607" s="392"/>
      <c r="K607" s="361"/>
      <c r="L607" s="361"/>
      <c r="M607" s="361"/>
      <c r="N607" s="361"/>
      <c r="O607" s="361"/>
      <c r="P607" s="361"/>
      <c r="Q607" s="361"/>
      <c r="R607" s="361"/>
      <c r="S607" s="361"/>
      <c r="T607" s="361"/>
      <c r="U607" s="361"/>
      <c r="V607" s="361"/>
      <c r="W607" s="361"/>
      <c r="X607" s="361"/>
      <c r="Y607" s="361"/>
      <c r="Z607" s="361"/>
    </row>
    <row r="608" ht="22.5" customHeight="1" outlineLevel="1">
      <c r="A608" s="412"/>
      <c r="B608" s="415"/>
      <c r="C608" s="394"/>
      <c r="D608" s="412"/>
      <c r="E608" s="414"/>
      <c r="F608" s="414"/>
      <c r="G608" s="414"/>
      <c r="H608" s="414"/>
      <c r="I608" s="397"/>
      <c r="J608" s="392"/>
      <c r="K608" s="361"/>
      <c r="L608" s="361"/>
      <c r="M608" s="361"/>
      <c r="N608" s="361"/>
      <c r="O608" s="361"/>
      <c r="P608" s="361"/>
      <c r="Q608" s="361"/>
      <c r="R608" s="361"/>
      <c r="S608" s="361"/>
      <c r="T608" s="361"/>
      <c r="U608" s="361"/>
      <c r="V608" s="361"/>
      <c r="W608" s="361"/>
      <c r="X608" s="361"/>
      <c r="Y608" s="361"/>
      <c r="Z608" s="361"/>
    </row>
    <row r="609" ht="22.5" customHeight="1" outlineLevel="1">
      <c r="A609" s="412"/>
      <c r="B609" s="415"/>
      <c r="C609" s="394"/>
      <c r="D609" s="412"/>
      <c r="E609" s="414"/>
      <c r="F609" s="414"/>
      <c r="G609" s="414"/>
      <c r="H609" s="414"/>
      <c r="I609" s="397"/>
      <c r="J609" s="392"/>
      <c r="K609" s="361"/>
      <c r="L609" s="361"/>
      <c r="M609" s="361"/>
      <c r="N609" s="361"/>
      <c r="O609" s="361"/>
      <c r="P609" s="361"/>
      <c r="Q609" s="361"/>
      <c r="R609" s="361"/>
      <c r="S609" s="361"/>
      <c r="T609" s="361"/>
      <c r="U609" s="361"/>
      <c r="V609" s="361"/>
      <c r="W609" s="361"/>
      <c r="X609" s="361"/>
      <c r="Y609" s="361"/>
      <c r="Z609" s="361"/>
    </row>
    <row r="610" ht="22.5" customHeight="1" outlineLevel="1">
      <c r="A610" s="412"/>
      <c r="B610" s="415"/>
      <c r="C610" s="394"/>
      <c r="D610" s="412"/>
      <c r="E610" s="414"/>
      <c r="F610" s="414"/>
      <c r="G610" s="414"/>
      <c r="H610" s="414"/>
      <c r="I610" s="397"/>
      <c r="J610" s="392"/>
      <c r="K610" s="361"/>
      <c r="L610" s="361"/>
      <c r="M610" s="361"/>
      <c r="N610" s="361"/>
      <c r="O610" s="361"/>
      <c r="P610" s="361"/>
      <c r="Q610" s="361"/>
      <c r="R610" s="361"/>
      <c r="S610" s="361"/>
      <c r="T610" s="361"/>
      <c r="U610" s="361"/>
      <c r="V610" s="361"/>
      <c r="W610" s="361"/>
      <c r="X610" s="361"/>
      <c r="Y610" s="361"/>
      <c r="Z610" s="361"/>
    </row>
    <row r="611" ht="22.5" customHeight="1" outlineLevel="1">
      <c r="A611" s="412"/>
      <c r="B611" s="415"/>
      <c r="C611" s="394"/>
      <c r="D611" s="412"/>
      <c r="E611" s="414"/>
      <c r="F611" s="414"/>
      <c r="G611" s="414"/>
      <c r="H611" s="414"/>
      <c r="I611" s="397"/>
      <c r="J611" s="392"/>
      <c r="K611" s="361"/>
      <c r="L611" s="361"/>
      <c r="M611" s="361"/>
      <c r="N611" s="361"/>
      <c r="O611" s="361"/>
      <c r="P611" s="361"/>
      <c r="Q611" s="361"/>
      <c r="R611" s="361"/>
      <c r="S611" s="361"/>
      <c r="T611" s="361"/>
      <c r="U611" s="361"/>
      <c r="V611" s="361"/>
      <c r="W611" s="361"/>
      <c r="X611" s="361"/>
      <c r="Y611" s="361"/>
      <c r="Z611" s="361"/>
    </row>
    <row r="612" ht="22.5" customHeight="1" outlineLevel="1">
      <c r="A612" s="412"/>
      <c r="B612" s="415"/>
      <c r="C612" s="394"/>
      <c r="D612" s="412"/>
      <c r="E612" s="414"/>
      <c r="F612" s="414"/>
      <c r="G612" s="414"/>
      <c r="H612" s="414"/>
      <c r="I612" s="397"/>
      <c r="J612" s="392"/>
      <c r="K612" s="361"/>
      <c r="L612" s="361"/>
      <c r="M612" s="361"/>
      <c r="N612" s="361"/>
      <c r="O612" s="361"/>
      <c r="P612" s="361"/>
      <c r="Q612" s="361"/>
      <c r="R612" s="361"/>
      <c r="S612" s="361"/>
      <c r="T612" s="361"/>
      <c r="U612" s="361"/>
      <c r="V612" s="361"/>
      <c r="W612" s="361"/>
      <c r="X612" s="361"/>
      <c r="Y612" s="361"/>
      <c r="Z612" s="361"/>
    </row>
    <row r="613" ht="22.5" customHeight="1" outlineLevel="1">
      <c r="A613" s="412"/>
      <c r="B613" s="415"/>
      <c r="C613" s="394"/>
      <c r="D613" s="412"/>
      <c r="E613" s="414"/>
      <c r="F613" s="414"/>
      <c r="G613" s="414"/>
      <c r="H613" s="414"/>
      <c r="I613" s="397"/>
      <c r="J613" s="392"/>
      <c r="K613" s="361"/>
      <c r="L613" s="361"/>
      <c r="M613" s="361"/>
      <c r="N613" s="361"/>
      <c r="O613" s="361"/>
      <c r="P613" s="361"/>
      <c r="Q613" s="361"/>
      <c r="R613" s="361"/>
      <c r="S613" s="361"/>
      <c r="T613" s="361"/>
      <c r="U613" s="361"/>
      <c r="V613" s="361"/>
      <c r="W613" s="361"/>
      <c r="X613" s="361"/>
      <c r="Y613" s="361"/>
      <c r="Z613" s="361"/>
    </row>
    <row r="614" ht="22.5" customHeight="1" outlineLevel="1">
      <c r="A614" s="412"/>
      <c r="B614" s="415"/>
      <c r="C614" s="394"/>
      <c r="D614" s="412"/>
      <c r="E614" s="414"/>
      <c r="F614" s="414"/>
      <c r="G614" s="414"/>
      <c r="H614" s="414"/>
      <c r="I614" s="397"/>
      <c r="J614" s="392"/>
      <c r="K614" s="361"/>
      <c r="L614" s="361"/>
      <c r="M614" s="361"/>
      <c r="N614" s="361"/>
      <c r="O614" s="361"/>
      <c r="P614" s="361"/>
      <c r="Q614" s="361"/>
      <c r="R614" s="361"/>
      <c r="S614" s="361"/>
      <c r="T614" s="361"/>
      <c r="U614" s="361"/>
      <c r="V614" s="361"/>
      <c r="W614" s="361"/>
      <c r="X614" s="361"/>
      <c r="Y614" s="361"/>
      <c r="Z614" s="361"/>
    </row>
    <row r="615" ht="22.5" customHeight="1" outlineLevel="1">
      <c r="A615" s="412"/>
      <c r="B615" s="415"/>
      <c r="C615" s="394"/>
      <c r="D615" s="412"/>
      <c r="E615" s="414"/>
      <c r="F615" s="414"/>
      <c r="G615" s="414"/>
      <c r="H615" s="414"/>
      <c r="I615" s="397"/>
      <c r="J615" s="392"/>
      <c r="K615" s="361"/>
      <c r="L615" s="361"/>
      <c r="M615" s="361"/>
      <c r="N615" s="361"/>
      <c r="O615" s="361"/>
      <c r="P615" s="361"/>
      <c r="Q615" s="361"/>
      <c r="R615" s="361"/>
      <c r="S615" s="361"/>
      <c r="T615" s="361"/>
      <c r="U615" s="361"/>
      <c r="V615" s="361"/>
      <c r="W615" s="361"/>
      <c r="X615" s="361"/>
      <c r="Y615" s="361"/>
      <c r="Z615" s="361"/>
    </row>
    <row r="616" ht="22.5" customHeight="1" outlineLevel="1">
      <c r="A616" s="412"/>
      <c r="B616" s="415"/>
      <c r="C616" s="394"/>
      <c r="D616" s="412"/>
      <c r="E616" s="414"/>
      <c r="F616" s="414"/>
      <c r="G616" s="414"/>
      <c r="H616" s="414"/>
      <c r="I616" s="397"/>
      <c r="J616" s="392"/>
      <c r="K616" s="361"/>
      <c r="L616" s="361"/>
      <c r="M616" s="361"/>
      <c r="N616" s="361"/>
      <c r="O616" s="361"/>
      <c r="P616" s="361"/>
      <c r="Q616" s="361"/>
      <c r="R616" s="361"/>
      <c r="S616" s="361"/>
      <c r="T616" s="361"/>
      <c r="U616" s="361"/>
      <c r="V616" s="361"/>
      <c r="W616" s="361"/>
      <c r="X616" s="361"/>
      <c r="Y616" s="361"/>
      <c r="Z616" s="361"/>
    </row>
    <row r="617" ht="22.5" customHeight="1" outlineLevel="1">
      <c r="A617" s="412"/>
      <c r="B617" s="415"/>
      <c r="C617" s="394"/>
      <c r="D617" s="412"/>
      <c r="E617" s="414"/>
      <c r="F617" s="414"/>
      <c r="G617" s="414"/>
      <c r="H617" s="414"/>
      <c r="I617" s="397"/>
      <c r="J617" s="392"/>
      <c r="K617" s="361"/>
      <c r="L617" s="361"/>
      <c r="M617" s="361"/>
      <c r="N617" s="361"/>
      <c r="O617" s="361"/>
      <c r="P617" s="361"/>
      <c r="Q617" s="361"/>
      <c r="R617" s="361"/>
      <c r="S617" s="361"/>
      <c r="T617" s="361"/>
      <c r="U617" s="361"/>
      <c r="V617" s="361"/>
      <c r="W617" s="361"/>
      <c r="X617" s="361"/>
      <c r="Y617" s="361"/>
      <c r="Z617" s="361"/>
    </row>
    <row r="618" ht="22.5" customHeight="1" outlineLevel="1">
      <c r="A618" s="412"/>
      <c r="B618" s="415"/>
      <c r="C618" s="394"/>
      <c r="D618" s="412"/>
      <c r="E618" s="414"/>
      <c r="F618" s="414"/>
      <c r="G618" s="414"/>
      <c r="H618" s="414"/>
      <c r="I618" s="397"/>
      <c r="J618" s="392"/>
      <c r="K618" s="361"/>
      <c r="L618" s="361"/>
      <c r="M618" s="361"/>
      <c r="N618" s="361"/>
      <c r="O618" s="361"/>
      <c r="P618" s="361"/>
      <c r="Q618" s="361"/>
      <c r="R618" s="361"/>
      <c r="S618" s="361"/>
      <c r="T618" s="361"/>
      <c r="U618" s="361"/>
      <c r="V618" s="361"/>
      <c r="W618" s="361"/>
      <c r="X618" s="361"/>
      <c r="Y618" s="361"/>
      <c r="Z618" s="361"/>
    </row>
    <row r="619" ht="22.5" customHeight="1" outlineLevel="1">
      <c r="A619" s="412"/>
      <c r="B619" s="415"/>
      <c r="C619" s="394"/>
      <c r="D619" s="412"/>
      <c r="E619" s="414"/>
      <c r="F619" s="414"/>
      <c r="G619" s="414"/>
      <c r="H619" s="414"/>
      <c r="I619" s="397"/>
      <c r="J619" s="392"/>
      <c r="K619" s="361"/>
      <c r="L619" s="361"/>
      <c r="M619" s="361"/>
      <c r="N619" s="361"/>
      <c r="O619" s="361"/>
      <c r="P619" s="361"/>
      <c r="Q619" s="361"/>
      <c r="R619" s="361"/>
      <c r="S619" s="361"/>
      <c r="T619" s="361"/>
      <c r="U619" s="361"/>
      <c r="V619" s="361"/>
      <c r="W619" s="361"/>
      <c r="X619" s="361"/>
      <c r="Y619" s="361"/>
      <c r="Z619" s="361"/>
    </row>
    <row r="620" ht="22.5" customHeight="1" outlineLevel="1">
      <c r="A620" s="412"/>
      <c r="B620" s="415"/>
      <c r="C620" s="394"/>
      <c r="D620" s="412"/>
      <c r="E620" s="414"/>
      <c r="F620" s="414"/>
      <c r="G620" s="414"/>
      <c r="H620" s="414"/>
      <c r="I620" s="397"/>
      <c r="J620" s="392"/>
      <c r="K620" s="361"/>
      <c r="L620" s="361"/>
      <c r="M620" s="361"/>
      <c r="N620" s="361"/>
      <c r="O620" s="361"/>
      <c r="P620" s="361"/>
      <c r="Q620" s="361"/>
      <c r="R620" s="361"/>
      <c r="S620" s="361"/>
      <c r="T620" s="361"/>
      <c r="U620" s="361"/>
      <c r="V620" s="361"/>
      <c r="W620" s="361"/>
      <c r="X620" s="361"/>
      <c r="Y620" s="361"/>
      <c r="Z620" s="361"/>
    </row>
    <row r="621" ht="22.5" customHeight="1" outlineLevel="1">
      <c r="A621" s="412"/>
      <c r="B621" s="415"/>
      <c r="C621" s="394"/>
      <c r="D621" s="412"/>
      <c r="E621" s="414"/>
      <c r="F621" s="414"/>
      <c r="G621" s="414"/>
      <c r="H621" s="414"/>
      <c r="I621" s="397"/>
      <c r="J621" s="392"/>
      <c r="K621" s="361"/>
      <c r="L621" s="361"/>
      <c r="M621" s="361"/>
      <c r="N621" s="361"/>
      <c r="O621" s="361"/>
      <c r="P621" s="361"/>
      <c r="Q621" s="361"/>
      <c r="R621" s="361"/>
      <c r="S621" s="361"/>
      <c r="T621" s="361"/>
      <c r="U621" s="361"/>
      <c r="V621" s="361"/>
      <c r="W621" s="361"/>
      <c r="X621" s="361"/>
      <c r="Y621" s="361"/>
      <c r="Z621" s="361"/>
    </row>
    <row r="622" ht="22.5" customHeight="1" outlineLevel="1">
      <c r="A622" s="412"/>
      <c r="B622" s="415"/>
      <c r="C622" s="394"/>
      <c r="D622" s="412"/>
      <c r="E622" s="414"/>
      <c r="F622" s="414"/>
      <c r="G622" s="414"/>
      <c r="H622" s="414"/>
      <c r="I622" s="397"/>
      <c r="J622" s="392"/>
      <c r="K622" s="361"/>
      <c r="L622" s="361"/>
      <c r="M622" s="361"/>
      <c r="N622" s="361"/>
      <c r="O622" s="361"/>
      <c r="P622" s="361"/>
      <c r="Q622" s="361"/>
      <c r="R622" s="361"/>
      <c r="S622" s="361"/>
      <c r="T622" s="361"/>
      <c r="U622" s="361"/>
      <c r="V622" s="361"/>
      <c r="W622" s="361"/>
      <c r="X622" s="361"/>
      <c r="Y622" s="361"/>
      <c r="Z622" s="361"/>
    </row>
    <row r="623" ht="22.5" customHeight="1" outlineLevel="1">
      <c r="A623" s="412"/>
      <c r="B623" s="415"/>
      <c r="C623" s="394"/>
      <c r="D623" s="412"/>
      <c r="E623" s="414"/>
      <c r="F623" s="414"/>
      <c r="G623" s="414"/>
      <c r="H623" s="414"/>
      <c r="I623" s="397"/>
      <c r="J623" s="392"/>
      <c r="K623" s="361"/>
      <c r="L623" s="361"/>
      <c r="M623" s="361"/>
      <c r="N623" s="361"/>
      <c r="O623" s="361"/>
      <c r="P623" s="361"/>
      <c r="Q623" s="361"/>
      <c r="R623" s="361"/>
      <c r="S623" s="361"/>
      <c r="T623" s="361"/>
      <c r="U623" s="361"/>
      <c r="V623" s="361"/>
      <c r="W623" s="361"/>
      <c r="X623" s="361"/>
      <c r="Y623" s="361"/>
      <c r="Z623" s="361"/>
    </row>
    <row r="624" ht="22.5" customHeight="1" outlineLevel="1">
      <c r="A624" s="412"/>
      <c r="B624" s="415"/>
      <c r="C624" s="394"/>
      <c r="D624" s="412"/>
      <c r="E624" s="414"/>
      <c r="F624" s="414"/>
      <c r="G624" s="414"/>
      <c r="H624" s="414"/>
      <c r="I624" s="397"/>
      <c r="J624" s="392"/>
      <c r="K624" s="361"/>
      <c r="L624" s="361"/>
      <c r="M624" s="361"/>
      <c r="N624" s="361"/>
      <c r="O624" s="361"/>
      <c r="P624" s="361"/>
      <c r="Q624" s="361"/>
      <c r="R624" s="361"/>
      <c r="S624" s="361"/>
      <c r="T624" s="361"/>
      <c r="U624" s="361"/>
      <c r="V624" s="361"/>
      <c r="W624" s="361"/>
      <c r="X624" s="361"/>
      <c r="Y624" s="361"/>
      <c r="Z624" s="361"/>
    </row>
    <row r="625" ht="22.5" customHeight="1" outlineLevel="1">
      <c r="A625" s="412"/>
      <c r="B625" s="415"/>
      <c r="C625" s="394"/>
      <c r="D625" s="412"/>
      <c r="E625" s="414"/>
      <c r="F625" s="414"/>
      <c r="G625" s="414"/>
      <c r="H625" s="414"/>
      <c r="I625" s="397"/>
      <c r="J625" s="392"/>
      <c r="K625" s="361"/>
      <c r="L625" s="361"/>
      <c r="M625" s="361"/>
      <c r="N625" s="361"/>
      <c r="O625" s="361"/>
      <c r="P625" s="361"/>
      <c r="Q625" s="361"/>
      <c r="R625" s="361"/>
      <c r="S625" s="361"/>
      <c r="T625" s="361"/>
      <c r="U625" s="361"/>
      <c r="V625" s="361"/>
      <c r="W625" s="361"/>
      <c r="X625" s="361"/>
      <c r="Y625" s="361"/>
      <c r="Z625" s="361"/>
    </row>
    <row r="626" ht="22.5" customHeight="1" outlineLevel="1">
      <c r="A626" s="412"/>
      <c r="B626" s="415"/>
      <c r="C626" s="394"/>
      <c r="D626" s="412"/>
      <c r="E626" s="414"/>
      <c r="F626" s="414"/>
      <c r="G626" s="414"/>
      <c r="H626" s="414"/>
      <c r="I626" s="397"/>
      <c r="J626" s="392"/>
      <c r="K626" s="361"/>
      <c r="L626" s="361"/>
      <c r="M626" s="361"/>
      <c r="N626" s="361"/>
      <c r="O626" s="361"/>
      <c r="P626" s="361"/>
      <c r="Q626" s="361"/>
      <c r="R626" s="361"/>
      <c r="S626" s="361"/>
      <c r="T626" s="361"/>
      <c r="U626" s="361"/>
      <c r="V626" s="361"/>
      <c r="W626" s="361"/>
      <c r="X626" s="361"/>
      <c r="Y626" s="361"/>
      <c r="Z626" s="361"/>
    </row>
    <row r="627" ht="22.5" customHeight="1" outlineLevel="1">
      <c r="A627" s="412"/>
      <c r="B627" s="415"/>
      <c r="C627" s="394"/>
      <c r="D627" s="412"/>
      <c r="E627" s="414"/>
      <c r="F627" s="414"/>
      <c r="G627" s="414"/>
      <c r="H627" s="414"/>
      <c r="I627" s="397"/>
      <c r="J627" s="392"/>
      <c r="K627" s="361"/>
      <c r="L627" s="361"/>
      <c r="M627" s="361"/>
      <c r="N627" s="361"/>
      <c r="O627" s="361"/>
      <c r="P627" s="361"/>
      <c r="Q627" s="361"/>
      <c r="R627" s="361"/>
      <c r="S627" s="361"/>
      <c r="T627" s="361"/>
      <c r="U627" s="361"/>
      <c r="V627" s="361"/>
      <c r="W627" s="361"/>
      <c r="X627" s="361"/>
      <c r="Y627" s="361"/>
      <c r="Z627" s="361"/>
    </row>
    <row r="628" ht="22.5" customHeight="1" outlineLevel="1">
      <c r="A628" s="412"/>
      <c r="B628" s="415"/>
      <c r="C628" s="394"/>
      <c r="D628" s="412"/>
      <c r="E628" s="414"/>
      <c r="F628" s="414"/>
      <c r="G628" s="414"/>
      <c r="H628" s="414"/>
      <c r="I628" s="397"/>
      <c r="J628" s="392"/>
      <c r="K628" s="361"/>
      <c r="L628" s="361"/>
      <c r="M628" s="361"/>
      <c r="N628" s="361"/>
      <c r="O628" s="361"/>
      <c r="P628" s="361"/>
      <c r="Q628" s="361"/>
      <c r="R628" s="361"/>
      <c r="S628" s="361"/>
      <c r="T628" s="361"/>
      <c r="U628" s="361"/>
      <c r="V628" s="361"/>
      <c r="W628" s="361"/>
      <c r="X628" s="361"/>
      <c r="Y628" s="361"/>
      <c r="Z628" s="361"/>
    </row>
    <row r="629" ht="22.5" customHeight="1" outlineLevel="1">
      <c r="A629" s="412"/>
      <c r="B629" s="415"/>
      <c r="C629" s="394"/>
      <c r="D629" s="412"/>
      <c r="E629" s="414"/>
      <c r="F629" s="414"/>
      <c r="G629" s="414"/>
      <c r="H629" s="414"/>
      <c r="I629" s="397"/>
      <c r="J629" s="392"/>
      <c r="K629" s="361"/>
      <c r="L629" s="361"/>
      <c r="M629" s="361"/>
      <c r="N629" s="361"/>
      <c r="O629" s="361"/>
      <c r="P629" s="361"/>
      <c r="Q629" s="361"/>
      <c r="R629" s="361"/>
      <c r="S629" s="361"/>
      <c r="T629" s="361"/>
      <c r="U629" s="361"/>
      <c r="V629" s="361"/>
      <c r="W629" s="361"/>
      <c r="X629" s="361"/>
      <c r="Y629" s="361"/>
      <c r="Z629" s="361"/>
    </row>
    <row r="630" ht="22.5" customHeight="1" outlineLevel="1">
      <c r="A630" s="412"/>
      <c r="B630" s="415"/>
      <c r="C630" s="394"/>
      <c r="D630" s="412"/>
      <c r="E630" s="414"/>
      <c r="F630" s="414"/>
      <c r="G630" s="414"/>
      <c r="H630" s="414"/>
      <c r="I630" s="397"/>
      <c r="J630" s="392"/>
      <c r="K630" s="361"/>
      <c r="L630" s="361"/>
      <c r="M630" s="361"/>
      <c r="N630" s="361"/>
      <c r="O630" s="361"/>
      <c r="P630" s="361"/>
      <c r="Q630" s="361"/>
      <c r="R630" s="361"/>
      <c r="S630" s="361"/>
      <c r="T630" s="361"/>
      <c r="U630" s="361"/>
      <c r="V630" s="361"/>
      <c r="W630" s="361"/>
      <c r="X630" s="361"/>
      <c r="Y630" s="361"/>
      <c r="Z630" s="361"/>
    </row>
    <row r="631" ht="22.5" customHeight="1" outlineLevel="1">
      <c r="A631" s="412"/>
      <c r="B631" s="415"/>
      <c r="C631" s="394"/>
      <c r="D631" s="412"/>
      <c r="E631" s="414"/>
      <c r="F631" s="414"/>
      <c r="G631" s="414"/>
      <c r="H631" s="414"/>
      <c r="I631" s="397"/>
      <c r="J631" s="392"/>
      <c r="K631" s="361"/>
      <c r="L631" s="361"/>
      <c r="M631" s="361"/>
      <c r="N631" s="361"/>
      <c r="O631" s="361"/>
      <c r="P631" s="361"/>
      <c r="Q631" s="361"/>
      <c r="R631" s="361"/>
      <c r="S631" s="361"/>
      <c r="T631" s="361"/>
      <c r="U631" s="361"/>
      <c r="V631" s="361"/>
      <c r="W631" s="361"/>
      <c r="X631" s="361"/>
      <c r="Y631" s="361"/>
      <c r="Z631" s="361"/>
    </row>
    <row r="632" ht="22.5" customHeight="1" outlineLevel="1">
      <c r="A632" s="412"/>
      <c r="B632" s="415"/>
      <c r="C632" s="394"/>
      <c r="D632" s="412"/>
      <c r="E632" s="414"/>
      <c r="F632" s="414"/>
      <c r="G632" s="414"/>
      <c r="H632" s="414"/>
      <c r="I632" s="397"/>
      <c r="J632" s="392"/>
      <c r="K632" s="361"/>
      <c r="L632" s="361"/>
      <c r="M632" s="361"/>
      <c r="N632" s="361"/>
      <c r="O632" s="361"/>
      <c r="P632" s="361"/>
      <c r="Q632" s="361"/>
      <c r="R632" s="361"/>
      <c r="S632" s="361"/>
      <c r="T632" s="361"/>
      <c r="U632" s="361"/>
      <c r="V632" s="361"/>
      <c r="W632" s="361"/>
      <c r="X632" s="361"/>
      <c r="Y632" s="361"/>
      <c r="Z632" s="361"/>
    </row>
    <row r="633" ht="22.5" customHeight="1" outlineLevel="1">
      <c r="A633" s="412"/>
      <c r="B633" s="415"/>
      <c r="C633" s="394"/>
      <c r="D633" s="412"/>
      <c r="E633" s="414"/>
      <c r="F633" s="414"/>
      <c r="G633" s="414"/>
      <c r="H633" s="414"/>
      <c r="I633" s="397"/>
      <c r="J633" s="392"/>
      <c r="K633" s="361"/>
      <c r="L633" s="361"/>
      <c r="M633" s="361"/>
      <c r="N633" s="361"/>
      <c r="O633" s="361"/>
      <c r="P633" s="361"/>
      <c r="Q633" s="361"/>
      <c r="R633" s="361"/>
      <c r="S633" s="361"/>
      <c r="T633" s="361"/>
      <c r="U633" s="361"/>
      <c r="V633" s="361"/>
      <c r="W633" s="361"/>
      <c r="X633" s="361"/>
      <c r="Y633" s="361"/>
      <c r="Z633" s="361"/>
    </row>
    <row r="634" ht="22.5" customHeight="1" outlineLevel="1">
      <c r="A634" s="412"/>
      <c r="B634" s="415"/>
      <c r="C634" s="394"/>
      <c r="D634" s="412"/>
      <c r="E634" s="414"/>
      <c r="F634" s="414"/>
      <c r="G634" s="414"/>
      <c r="H634" s="414"/>
      <c r="I634" s="397"/>
      <c r="J634" s="392"/>
      <c r="K634" s="361"/>
      <c r="L634" s="361"/>
      <c r="M634" s="361"/>
      <c r="N634" s="361"/>
      <c r="O634" s="361"/>
      <c r="P634" s="361"/>
      <c r="Q634" s="361"/>
      <c r="R634" s="361"/>
      <c r="S634" s="361"/>
      <c r="T634" s="361"/>
      <c r="U634" s="361"/>
      <c r="V634" s="361"/>
      <c r="W634" s="361"/>
      <c r="X634" s="361"/>
      <c r="Y634" s="361"/>
      <c r="Z634" s="361"/>
    </row>
    <row r="635" ht="22.5" customHeight="1" outlineLevel="1">
      <c r="A635" s="412"/>
      <c r="B635" s="415"/>
      <c r="C635" s="394"/>
      <c r="D635" s="412"/>
      <c r="E635" s="414"/>
      <c r="F635" s="414"/>
      <c r="G635" s="414"/>
      <c r="H635" s="414"/>
      <c r="I635" s="397"/>
      <c r="J635" s="392"/>
      <c r="K635" s="361"/>
      <c r="L635" s="361"/>
      <c r="M635" s="361"/>
      <c r="N635" s="361"/>
      <c r="O635" s="361"/>
      <c r="P635" s="361"/>
      <c r="Q635" s="361"/>
      <c r="R635" s="361"/>
      <c r="S635" s="361"/>
      <c r="T635" s="361"/>
      <c r="U635" s="361"/>
      <c r="V635" s="361"/>
      <c r="W635" s="361"/>
      <c r="X635" s="361"/>
      <c r="Y635" s="361"/>
      <c r="Z635" s="361"/>
    </row>
    <row r="636" ht="22.5" customHeight="1" outlineLevel="1">
      <c r="A636" s="412"/>
      <c r="B636" s="415"/>
      <c r="C636" s="394"/>
      <c r="D636" s="412"/>
      <c r="E636" s="414"/>
      <c r="F636" s="414"/>
      <c r="G636" s="414"/>
      <c r="H636" s="414"/>
      <c r="I636" s="397"/>
      <c r="J636" s="392"/>
      <c r="K636" s="361"/>
      <c r="L636" s="361"/>
      <c r="M636" s="361"/>
      <c r="N636" s="361"/>
      <c r="O636" s="361"/>
      <c r="P636" s="361"/>
      <c r="Q636" s="361"/>
      <c r="R636" s="361"/>
      <c r="S636" s="361"/>
      <c r="T636" s="361"/>
      <c r="U636" s="361"/>
      <c r="V636" s="361"/>
      <c r="W636" s="361"/>
      <c r="X636" s="361"/>
      <c r="Y636" s="361"/>
      <c r="Z636" s="361"/>
    </row>
    <row r="637" ht="22.5" customHeight="1" outlineLevel="1">
      <c r="A637" s="412"/>
      <c r="B637" s="415"/>
      <c r="C637" s="394"/>
      <c r="D637" s="412"/>
      <c r="E637" s="414"/>
      <c r="F637" s="414"/>
      <c r="G637" s="414"/>
      <c r="H637" s="414"/>
      <c r="I637" s="397"/>
      <c r="J637" s="392"/>
      <c r="K637" s="361"/>
      <c r="L637" s="361"/>
      <c r="M637" s="361"/>
      <c r="N637" s="361"/>
      <c r="O637" s="361"/>
      <c r="P637" s="361"/>
      <c r="Q637" s="361"/>
      <c r="R637" s="361"/>
      <c r="S637" s="361"/>
      <c r="T637" s="361"/>
      <c r="U637" s="361"/>
      <c r="V637" s="361"/>
      <c r="W637" s="361"/>
      <c r="X637" s="361"/>
      <c r="Y637" s="361"/>
      <c r="Z637" s="361"/>
    </row>
    <row r="638" ht="22.5" customHeight="1" outlineLevel="1">
      <c r="A638" s="412"/>
      <c r="B638" s="415"/>
      <c r="C638" s="394"/>
      <c r="D638" s="412"/>
      <c r="E638" s="414"/>
      <c r="F638" s="414"/>
      <c r="G638" s="414"/>
      <c r="H638" s="414"/>
      <c r="I638" s="397"/>
      <c r="J638" s="392"/>
      <c r="K638" s="361"/>
      <c r="L638" s="361"/>
      <c r="M638" s="361"/>
      <c r="N638" s="361"/>
      <c r="O638" s="361"/>
      <c r="P638" s="361"/>
      <c r="Q638" s="361"/>
      <c r="R638" s="361"/>
      <c r="S638" s="361"/>
      <c r="T638" s="361"/>
      <c r="U638" s="361"/>
      <c r="V638" s="361"/>
      <c r="W638" s="361"/>
      <c r="X638" s="361"/>
      <c r="Y638" s="361"/>
      <c r="Z638" s="361"/>
    </row>
    <row r="639" ht="22.5" customHeight="1" outlineLevel="1">
      <c r="A639" s="412"/>
      <c r="B639" s="415"/>
      <c r="C639" s="394"/>
      <c r="D639" s="412"/>
      <c r="E639" s="414"/>
      <c r="F639" s="414"/>
      <c r="G639" s="414"/>
      <c r="H639" s="414"/>
      <c r="I639" s="397"/>
      <c r="J639" s="392"/>
      <c r="K639" s="361"/>
      <c r="L639" s="361"/>
      <c r="M639" s="361"/>
      <c r="N639" s="361"/>
      <c r="O639" s="361"/>
      <c r="P639" s="361"/>
      <c r="Q639" s="361"/>
      <c r="R639" s="361"/>
      <c r="S639" s="361"/>
      <c r="T639" s="361"/>
      <c r="U639" s="361"/>
      <c r="V639" s="361"/>
      <c r="W639" s="361"/>
      <c r="X639" s="361"/>
      <c r="Y639" s="361"/>
      <c r="Z639" s="361"/>
    </row>
    <row r="640" ht="22.5" customHeight="1" outlineLevel="1">
      <c r="A640" s="412"/>
      <c r="B640" s="415"/>
      <c r="C640" s="394"/>
      <c r="D640" s="412"/>
      <c r="E640" s="414"/>
      <c r="F640" s="414"/>
      <c r="G640" s="414"/>
      <c r="H640" s="414"/>
      <c r="I640" s="397"/>
      <c r="J640" s="392"/>
      <c r="K640" s="361"/>
      <c r="L640" s="361"/>
      <c r="M640" s="361"/>
      <c r="N640" s="361"/>
      <c r="O640" s="361"/>
      <c r="P640" s="361"/>
      <c r="Q640" s="361"/>
      <c r="R640" s="361"/>
      <c r="S640" s="361"/>
      <c r="T640" s="361"/>
      <c r="U640" s="361"/>
      <c r="V640" s="361"/>
      <c r="W640" s="361"/>
      <c r="X640" s="361"/>
      <c r="Y640" s="361"/>
      <c r="Z640" s="361"/>
    </row>
    <row r="641" ht="22.5" customHeight="1" outlineLevel="1">
      <c r="A641" s="412"/>
      <c r="B641" s="415"/>
      <c r="C641" s="394"/>
      <c r="D641" s="412"/>
      <c r="E641" s="414"/>
      <c r="F641" s="414"/>
      <c r="G641" s="414"/>
      <c r="H641" s="414"/>
      <c r="I641" s="397"/>
      <c r="J641" s="392"/>
      <c r="K641" s="361"/>
      <c r="L641" s="361"/>
      <c r="M641" s="361"/>
      <c r="N641" s="361"/>
      <c r="O641" s="361"/>
      <c r="P641" s="361"/>
      <c r="Q641" s="361"/>
      <c r="R641" s="361"/>
      <c r="S641" s="361"/>
      <c r="T641" s="361"/>
      <c r="U641" s="361"/>
      <c r="V641" s="361"/>
      <c r="W641" s="361"/>
      <c r="X641" s="361"/>
      <c r="Y641" s="361"/>
      <c r="Z641" s="361"/>
    </row>
    <row r="642" ht="22.5" customHeight="1" outlineLevel="1">
      <c r="A642" s="412"/>
      <c r="B642" s="415"/>
      <c r="C642" s="394"/>
      <c r="D642" s="412"/>
      <c r="E642" s="414"/>
      <c r="F642" s="414"/>
      <c r="G642" s="414"/>
      <c r="H642" s="414"/>
      <c r="I642" s="397"/>
      <c r="J642" s="392"/>
      <c r="K642" s="361"/>
      <c r="L642" s="361"/>
      <c r="M642" s="361"/>
      <c r="N642" s="361"/>
      <c r="O642" s="361"/>
      <c r="P642" s="361"/>
      <c r="Q642" s="361"/>
      <c r="R642" s="361"/>
      <c r="S642" s="361"/>
      <c r="T642" s="361"/>
      <c r="U642" s="361"/>
      <c r="V642" s="361"/>
      <c r="W642" s="361"/>
      <c r="X642" s="361"/>
      <c r="Y642" s="361"/>
      <c r="Z642" s="361"/>
    </row>
    <row r="643" ht="22.5" customHeight="1" outlineLevel="1">
      <c r="A643" s="412"/>
      <c r="B643" s="415"/>
      <c r="C643" s="394"/>
      <c r="D643" s="412"/>
      <c r="E643" s="414"/>
      <c r="F643" s="414"/>
      <c r="G643" s="414"/>
      <c r="H643" s="414"/>
      <c r="I643" s="397"/>
      <c r="J643" s="392"/>
      <c r="K643" s="361"/>
      <c r="L643" s="361"/>
      <c r="M643" s="361"/>
      <c r="N643" s="361"/>
      <c r="O643" s="361"/>
      <c r="P643" s="361"/>
      <c r="Q643" s="361"/>
      <c r="R643" s="361"/>
      <c r="S643" s="361"/>
      <c r="T643" s="361"/>
      <c r="U643" s="361"/>
      <c r="V643" s="361"/>
      <c r="W643" s="361"/>
      <c r="X643" s="361"/>
      <c r="Y643" s="361"/>
      <c r="Z643" s="361"/>
    </row>
    <row r="644" ht="22.5" customHeight="1" outlineLevel="1">
      <c r="A644" s="412"/>
      <c r="B644" s="415"/>
      <c r="C644" s="394"/>
      <c r="D644" s="412"/>
      <c r="E644" s="414"/>
      <c r="F644" s="414"/>
      <c r="G644" s="414"/>
      <c r="H644" s="414"/>
      <c r="I644" s="397"/>
      <c r="J644" s="392"/>
      <c r="K644" s="361"/>
      <c r="L644" s="361"/>
      <c r="M644" s="361"/>
      <c r="N644" s="361"/>
      <c r="O644" s="361"/>
      <c r="P644" s="361"/>
      <c r="Q644" s="361"/>
      <c r="R644" s="361"/>
      <c r="S644" s="361"/>
      <c r="T644" s="361"/>
      <c r="U644" s="361"/>
      <c r="V644" s="361"/>
      <c r="W644" s="361"/>
      <c r="X644" s="361"/>
      <c r="Y644" s="361"/>
      <c r="Z644" s="361"/>
    </row>
    <row r="645" ht="22.5" customHeight="1" outlineLevel="1">
      <c r="A645" s="412"/>
      <c r="B645" s="415"/>
      <c r="C645" s="394"/>
      <c r="D645" s="412"/>
      <c r="E645" s="414"/>
      <c r="F645" s="414"/>
      <c r="G645" s="414"/>
      <c r="H645" s="414"/>
      <c r="I645" s="397"/>
      <c r="J645" s="392"/>
      <c r="K645" s="361"/>
      <c r="L645" s="361"/>
      <c r="M645" s="361"/>
      <c r="N645" s="361"/>
      <c r="O645" s="361"/>
      <c r="P645" s="361"/>
      <c r="Q645" s="361"/>
      <c r="R645" s="361"/>
      <c r="S645" s="361"/>
      <c r="T645" s="361"/>
      <c r="U645" s="361"/>
      <c r="V645" s="361"/>
      <c r="W645" s="361"/>
      <c r="X645" s="361"/>
      <c r="Y645" s="361"/>
      <c r="Z645" s="361"/>
    </row>
    <row r="646" ht="22.5" customHeight="1" outlineLevel="1">
      <c r="A646" s="412"/>
      <c r="B646" s="415"/>
      <c r="C646" s="394"/>
      <c r="D646" s="412"/>
      <c r="E646" s="414"/>
      <c r="F646" s="414"/>
      <c r="G646" s="414"/>
      <c r="H646" s="414"/>
      <c r="I646" s="397"/>
      <c r="J646" s="392"/>
      <c r="K646" s="361"/>
      <c r="L646" s="361"/>
      <c r="M646" s="361"/>
      <c r="N646" s="361"/>
      <c r="O646" s="361"/>
      <c r="P646" s="361"/>
      <c r="Q646" s="361"/>
      <c r="R646" s="361"/>
      <c r="S646" s="361"/>
      <c r="T646" s="361"/>
      <c r="U646" s="361"/>
      <c r="V646" s="361"/>
      <c r="W646" s="361"/>
      <c r="X646" s="361"/>
      <c r="Y646" s="361"/>
      <c r="Z646" s="361"/>
    </row>
    <row r="647" ht="22.5" customHeight="1" outlineLevel="1">
      <c r="A647" s="412"/>
      <c r="B647" s="415"/>
      <c r="C647" s="394"/>
      <c r="D647" s="412"/>
      <c r="E647" s="414"/>
      <c r="F647" s="414"/>
      <c r="G647" s="414"/>
      <c r="H647" s="414"/>
      <c r="I647" s="397"/>
      <c r="J647" s="392"/>
      <c r="K647" s="361"/>
      <c r="L647" s="361"/>
      <c r="M647" s="361"/>
      <c r="N647" s="361"/>
      <c r="O647" s="361"/>
      <c r="P647" s="361"/>
      <c r="Q647" s="361"/>
      <c r="R647" s="361"/>
      <c r="S647" s="361"/>
      <c r="T647" s="361"/>
      <c r="U647" s="361"/>
      <c r="V647" s="361"/>
      <c r="W647" s="361"/>
      <c r="X647" s="361"/>
      <c r="Y647" s="361"/>
      <c r="Z647" s="361"/>
    </row>
    <row r="648" ht="22.5" customHeight="1" outlineLevel="1">
      <c r="A648" s="412"/>
      <c r="B648" s="415"/>
      <c r="C648" s="394"/>
      <c r="D648" s="412"/>
      <c r="E648" s="414"/>
      <c r="F648" s="414"/>
      <c r="G648" s="414"/>
      <c r="H648" s="414"/>
      <c r="I648" s="397"/>
      <c r="J648" s="392"/>
      <c r="K648" s="361"/>
      <c r="L648" s="361"/>
      <c r="M648" s="361"/>
      <c r="N648" s="361"/>
      <c r="O648" s="361"/>
      <c r="P648" s="361"/>
      <c r="Q648" s="361"/>
      <c r="R648" s="361"/>
      <c r="S648" s="361"/>
      <c r="T648" s="361"/>
      <c r="U648" s="361"/>
      <c r="V648" s="361"/>
      <c r="W648" s="361"/>
      <c r="X648" s="361"/>
      <c r="Y648" s="361"/>
      <c r="Z648" s="361"/>
    </row>
    <row r="649" ht="22.5" customHeight="1" outlineLevel="1">
      <c r="A649" s="412"/>
      <c r="B649" s="415"/>
      <c r="C649" s="394"/>
      <c r="D649" s="412"/>
      <c r="E649" s="414"/>
      <c r="F649" s="414"/>
      <c r="G649" s="414"/>
      <c r="H649" s="414"/>
      <c r="I649" s="397"/>
      <c r="J649" s="392"/>
      <c r="K649" s="361"/>
      <c r="L649" s="361"/>
      <c r="M649" s="361"/>
      <c r="N649" s="361"/>
      <c r="O649" s="361"/>
      <c r="P649" s="361"/>
      <c r="Q649" s="361"/>
      <c r="R649" s="361"/>
      <c r="S649" s="361"/>
      <c r="T649" s="361"/>
      <c r="U649" s="361"/>
      <c r="V649" s="361"/>
      <c r="W649" s="361"/>
      <c r="X649" s="361"/>
      <c r="Y649" s="361"/>
      <c r="Z649" s="361"/>
    </row>
    <row r="650" ht="22.5" customHeight="1" outlineLevel="1">
      <c r="A650" s="412"/>
      <c r="B650" s="415"/>
      <c r="C650" s="394"/>
      <c r="D650" s="412"/>
      <c r="E650" s="414"/>
      <c r="F650" s="414"/>
      <c r="G650" s="414"/>
      <c r="H650" s="414"/>
      <c r="I650" s="397"/>
      <c r="J650" s="392"/>
      <c r="K650" s="361"/>
      <c r="L650" s="361"/>
      <c r="M650" s="361"/>
      <c r="N650" s="361"/>
      <c r="O650" s="361"/>
      <c r="P650" s="361"/>
      <c r="Q650" s="361"/>
      <c r="R650" s="361"/>
      <c r="S650" s="361"/>
      <c r="T650" s="361"/>
      <c r="U650" s="361"/>
      <c r="V650" s="361"/>
      <c r="W650" s="361"/>
      <c r="X650" s="361"/>
      <c r="Y650" s="361"/>
      <c r="Z650" s="361"/>
    </row>
    <row r="651" ht="22.5" customHeight="1" outlineLevel="1">
      <c r="A651" s="412"/>
      <c r="B651" s="415"/>
      <c r="C651" s="394"/>
      <c r="D651" s="412"/>
      <c r="E651" s="414"/>
      <c r="F651" s="414"/>
      <c r="G651" s="414"/>
      <c r="H651" s="414"/>
      <c r="I651" s="397"/>
      <c r="J651" s="392"/>
      <c r="K651" s="361"/>
      <c r="L651" s="361"/>
      <c r="M651" s="361"/>
      <c r="N651" s="361"/>
      <c r="O651" s="361"/>
      <c r="P651" s="361"/>
      <c r="Q651" s="361"/>
      <c r="R651" s="361"/>
      <c r="S651" s="361"/>
      <c r="T651" s="361"/>
      <c r="U651" s="361"/>
      <c r="V651" s="361"/>
      <c r="W651" s="361"/>
      <c r="X651" s="361"/>
      <c r="Y651" s="361"/>
      <c r="Z651" s="361"/>
    </row>
    <row r="652" ht="22.5" customHeight="1" outlineLevel="1">
      <c r="A652" s="412"/>
      <c r="B652" s="415"/>
      <c r="C652" s="394"/>
      <c r="D652" s="412"/>
      <c r="E652" s="414"/>
      <c r="F652" s="414"/>
      <c r="G652" s="414"/>
      <c r="H652" s="414"/>
      <c r="I652" s="397"/>
      <c r="J652" s="392"/>
      <c r="K652" s="361"/>
      <c r="L652" s="361"/>
      <c r="M652" s="361"/>
      <c r="N652" s="361"/>
      <c r="O652" s="361"/>
      <c r="P652" s="361"/>
      <c r="Q652" s="361"/>
      <c r="R652" s="361"/>
      <c r="S652" s="361"/>
      <c r="T652" s="361"/>
      <c r="U652" s="361"/>
      <c r="V652" s="361"/>
      <c r="W652" s="361"/>
      <c r="X652" s="361"/>
      <c r="Y652" s="361"/>
      <c r="Z652" s="361"/>
    </row>
    <row r="653" ht="22.5" customHeight="1" outlineLevel="1">
      <c r="A653" s="412"/>
      <c r="B653" s="415"/>
      <c r="C653" s="394"/>
      <c r="D653" s="412"/>
      <c r="E653" s="414"/>
      <c r="F653" s="414"/>
      <c r="G653" s="414"/>
      <c r="H653" s="414"/>
      <c r="I653" s="397"/>
      <c r="J653" s="392"/>
      <c r="K653" s="361"/>
      <c r="L653" s="361"/>
      <c r="M653" s="361"/>
      <c r="N653" s="361"/>
      <c r="O653" s="361"/>
      <c r="P653" s="361"/>
      <c r="Q653" s="361"/>
      <c r="R653" s="361"/>
      <c r="S653" s="361"/>
      <c r="T653" s="361"/>
      <c r="U653" s="361"/>
      <c r="V653" s="361"/>
      <c r="W653" s="361"/>
      <c r="X653" s="361"/>
      <c r="Y653" s="361"/>
      <c r="Z653" s="361"/>
    </row>
    <row r="654" ht="22.5" customHeight="1" outlineLevel="1">
      <c r="A654" s="412"/>
      <c r="B654" s="415"/>
      <c r="C654" s="394"/>
      <c r="D654" s="412"/>
      <c r="E654" s="414"/>
      <c r="F654" s="414"/>
      <c r="G654" s="414"/>
      <c r="H654" s="414"/>
      <c r="I654" s="397"/>
      <c r="J654" s="392"/>
      <c r="K654" s="361"/>
      <c r="L654" s="361"/>
      <c r="M654" s="361"/>
      <c r="N654" s="361"/>
      <c r="O654" s="361"/>
      <c r="P654" s="361"/>
      <c r="Q654" s="361"/>
      <c r="R654" s="361"/>
      <c r="S654" s="361"/>
      <c r="T654" s="361"/>
      <c r="U654" s="361"/>
      <c r="V654" s="361"/>
      <c r="W654" s="361"/>
      <c r="X654" s="361"/>
      <c r="Y654" s="361"/>
      <c r="Z654" s="361"/>
    </row>
    <row r="655" ht="22.5" customHeight="1" outlineLevel="1">
      <c r="A655" s="412"/>
      <c r="B655" s="415"/>
      <c r="C655" s="394"/>
      <c r="D655" s="412"/>
      <c r="E655" s="414"/>
      <c r="F655" s="414"/>
      <c r="G655" s="414"/>
      <c r="H655" s="414"/>
      <c r="I655" s="397"/>
      <c r="J655" s="392"/>
      <c r="K655" s="361"/>
      <c r="L655" s="361"/>
      <c r="M655" s="361"/>
      <c r="N655" s="361"/>
      <c r="O655" s="361"/>
      <c r="P655" s="361"/>
      <c r="Q655" s="361"/>
      <c r="R655" s="361"/>
      <c r="S655" s="361"/>
      <c r="T655" s="361"/>
      <c r="U655" s="361"/>
      <c r="V655" s="361"/>
      <c r="W655" s="361"/>
      <c r="X655" s="361"/>
      <c r="Y655" s="361"/>
      <c r="Z655" s="361"/>
    </row>
    <row r="656" ht="22.5" customHeight="1" outlineLevel="1">
      <c r="A656" s="412"/>
      <c r="B656" s="415"/>
      <c r="C656" s="394"/>
      <c r="D656" s="412"/>
      <c r="E656" s="414"/>
      <c r="F656" s="414"/>
      <c r="G656" s="414"/>
      <c r="H656" s="414"/>
      <c r="I656" s="397"/>
      <c r="J656" s="392"/>
      <c r="K656" s="361"/>
      <c r="L656" s="361"/>
      <c r="M656" s="361"/>
      <c r="N656" s="361"/>
      <c r="O656" s="361"/>
      <c r="P656" s="361"/>
      <c r="Q656" s="361"/>
      <c r="R656" s="361"/>
      <c r="S656" s="361"/>
      <c r="T656" s="361"/>
      <c r="U656" s="361"/>
      <c r="V656" s="361"/>
      <c r="W656" s="361"/>
      <c r="X656" s="361"/>
      <c r="Y656" s="361"/>
      <c r="Z656" s="361"/>
    </row>
    <row r="657" ht="22.5" customHeight="1" outlineLevel="1">
      <c r="A657" s="412"/>
      <c r="B657" s="415"/>
      <c r="C657" s="394"/>
      <c r="D657" s="412"/>
      <c r="E657" s="414"/>
      <c r="F657" s="414"/>
      <c r="G657" s="414"/>
      <c r="H657" s="414"/>
      <c r="I657" s="397"/>
      <c r="J657" s="392"/>
      <c r="K657" s="361"/>
      <c r="L657" s="361"/>
      <c r="M657" s="361"/>
      <c r="N657" s="361"/>
      <c r="O657" s="361"/>
      <c r="P657" s="361"/>
      <c r="Q657" s="361"/>
      <c r="R657" s="361"/>
      <c r="S657" s="361"/>
      <c r="T657" s="361"/>
      <c r="U657" s="361"/>
      <c r="V657" s="361"/>
      <c r="W657" s="361"/>
      <c r="X657" s="361"/>
      <c r="Y657" s="361"/>
      <c r="Z657" s="361"/>
    </row>
    <row r="658" ht="22.5" customHeight="1" outlineLevel="1">
      <c r="A658" s="412"/>
      <c r="B658" s="415"/>
      <c r="C658" s="394"/>
      <c r="D658" s="412"/>
      <c r="E658" s="414"/>
      <c r="F658" s="414"/>
      <c r="G658" s="414"/>
      <c r="H658" s="414"/>
      <c r="I658" s="397"/>
      <c r="J658" s="392"/>
      <c r="K658" s="361"/>
      <c r="L658" s="361"/>
      <c r="M658" s="361"/>
      <c r="N658" s="361"/>
      <c r="O658" s="361"/>
      <c r="P658" s="361"/>
      <c r="Q658" s="361"/>
      <c r="R658" s="361"/>
      <c r="S658" s="361"/>
      <c r="T658" s="361"/>
      <c r="U658" s="361"/>
      <c r="V658" s="361"/>
      <c r="W658" s="361"/>
      <c r="X658" s="361"/>
      <c r="Y658" s="361"/>
      <c r="Z658" s="361"/>
    </row>
    <row r="659" ht="22.5" customHeight="1" outlineLevel="1">
      <c r="A659" s="412"/>
      <c r="B659" s="415"/>
      <c r="C659" s="394"/>
      <c r="D659" s="412"/>
      <c r="E659" s="414"/>
      <c r="F659" s="414"/>
      <c r="G659" s="414"/>
      <c r="H659" s="414"/>
      <c r="I659" s="397"/>
      <c r="J659" s="392"/>
      <c r="K659" s="361"/>
      <c r="L659" s="361"/>
      <c r="M659" s="361"/>
      <c r="N659" s="361"/>
      <c r="O659" s="361"/>
      <c r="P659" s="361"/>
      <c r="Q659" s="361"/>
      <c r="R659" s="361"/>
      <c r="S659" s="361"/>
      <c r="T659" s="361"/>
      <c r="U659" s="361"/>
      <c r="V659" s="361"/>
      <c r="W659" s="361"/>
      <c r="X659" s="361"/>
      <c r="Y659" s="361"/>
      <c r="Z659" s="361"/>
    </row>
    <row r="660" ht="22.5" customHeight="1" outlineLevel="1">
      <c r="A660" s="412"/>
      <c r="B660" s="415"/>
      <c r="C660" s="394"/>
      <c r="D660" s="412"/>
      <c r="E660" s="414"/>
      <c r="F660" s="414"/>
      <c r="G660" s="414"/>
      <c r="H660" s="414"/>
      <c r="I660" s="397"/>
      <c r="J660" s="392"/>
      <c r="K660" s="361"/>
      <c r="L660" s="361"/>
      <c r="M660" s="361"/>
      <c r="N660" s="361"/>
      <c r="O660" s="361"/>
      <c r="P660" s="361"/>
      <c r="Q660" s="361"/>
      <c r="R660" s="361"/>
      <c r="S660" s="361"/>
      <c r="T660" s="361"/>
      <c r="U660" s="361"/>
      <c r="V660" s="361"/>
      <c r="W660" s="361"/>
      <c r="X660" s="361"/>
      <c r="Y660" s="361"/>
      <c r="Z660" s="361"/>
    </row>
    <row r="661" ht="22.5" customHeight="1" outlineLevel="1">
      <c r="A661" s="412"/>
      <c r="B661" s="415"/>
      <c r="C661" s="394"/>
      <c r="D661" s="412"/>
      <c r="E661" s="414"/>
      <c r="F661" s="414"/>
      <c r="G661" s="414"/>
      <c r="H661" s="414"/>
      <c r="I661" s="397"/>
      <c r="J661" s="392"/>
      <c r="K661" s="361"/>
      <c r="L661" s="361"/>
      <c r="M661" s="361"/>
      <c r="N661" s="361"/>
      <c r="O661" s="361"/>
      <c r="P661" s="361"/>
      <c r="Q661" s="361"/>
      <c r="R661" s="361"/>
      <c r="S661" s="361"/>
      <c r="T661" s="361"/>
      <c r="U661" s="361"/>
      <c r="V661" s="361"/>
      <c r="W661" s="361"/>
      <c r="X661" s="361"/>
      <c r="Y661" s="361"/>
      <c r="Z661" s="361"/>
    </row>
    <row r="662" ht="22.5" customHeight="1" outlineLevel="1">
      <c r="A662" s="412"/>
      <c r="B662" s="415"/>
      <c r="C662" s="394"/>
      <c r="D662" s="412"/>
      <c r="E662" s="414"/>
      <c r="F662" s="414"/>
      <c r="G662" s="414"/>
      <c r="H662" s="414"/>
      <c r="I662" s="397"/>
      <c r="J662" s="392"/>
      <c r="K662" s="361"/>
      <c r="L662" s="361"/>
      <c r="M662" s="361"/>
      <c r="N662" s="361"/>
      <c r="O662" s="361"/>
      <c r="P662" s="361"/>
      <c r="Q662" s="361"/>
      <c r="R662" s="361"/>
      <c r="S662" s="361"/>
      <c r="T662" s="361"/>
      <c r="U662" s="361"/>
      <c r="V662" s="361"/>
      <c r="W662" s="361"/>
      <c r="X662" s="361"/>
      <c r="Y662" s="361"/>
      <c r="Z662" s="361"/>
    </row>
    <row r="663" ht="22.5" customHeight="1" outlineLevel="1">
      <c r="A663" s="412"/>
      <c r="B663" s="415"/>
      <c r="C663" s="394"/>
      <c r="D663" s="412"/>
      <c r="E663" s="414"/>
      <c r="F663" s="414"/>
      <c r="G663" s="414"/>
      <c r="H663" s="414"/>
      <c r="I663" s="397"/>
      <c r="J663" s="392"/>
      <c r="K663" s="361"/>
      <c r="L663" s="361"/>
      <c r="M663" s="361"/>
      <c r="N663" s="361"/>
      <c r="O663" s="361"/>
      <c r="P663" s="361"/>
      <c r="Q663" s="361"/>
      <c r="R663" s="361"/>
      <c r="S663" s="361"/>
      <c r="T663" s="361"/>
      <c r="U663" s="361"/>
      <c r="V663" s="361"/>
      <c r="W663" s="361"/>
      <c r="X663" s="361"/>
      <c r="Y663" s="361"/>
      <c r="Z663" s="361"/>
    </row>
    <row r="664" ht="22.5" customHeight="1" outlineLevel="1">
      <c r="A664" s="412"/>
      <c r="B664" s="415"/>
      <c r="C664" s="394"/>
      <c r="D664" s="412"/>
      <c r="E664" s="414"/>
      <c r="F664" s="414"/>
      <c r="G664" s="414"/>
      <c r="H664" s="414"/>
      <c r="I664" s="397"/>
      <c r="J664" s="392"/>
      <c r="K664" s="361"/>
      <c r="L664" s="361"/>
      <c r="M664" s="361"/>
      <c r="N664" s="361"/>
      <c r="O664" s="361"/>
      <c r="P664" s="361"/>
      <c r="Q664" s="361"/>
      <c r="R664" s="361"/>
      <c r="S664" s="361"/>
      <c r="T664" s="361"/>
      <c r="U664" s="361"/>
      <c r="V664" s="361"/>
      <c r="W664" s="361"/>
      <c r="X664" s="361"/>
      <c r="Y664" s="361"/>
      <c r="Z664" s="361"/>
    </row>
    <row r="665" ht="22.5" customHeight="1" outlineLevel="1">
      <c r="A665" s="412"/>
      <c r="B665" s="415"/>
      <c r="C665" s="394"/>
      <c r="D665" s="412"/>
      <c r="E665" s="414"/>
      <c r="F665" s="414"/>
      <c r="G665" s="414"/>
      <c r="H665" s="414"/>
      <c r="I665" s="397"/>
      <c r="J665" s="392"/>
      <c r="K665" s="361"/>
      <c r="L665" s="361"/>
      <c r="M665" s="361"/>
      <c r="N665" s="361"/>
      <c r="O665" s="361"/>
      <c r="P665" s="361"/>
      <c r="Q665" s="361"/>
      <c r="R665" s="361"/>
      <c r="S665" s="361"/>
      <c r="T665" s="361"/>
      <c r="U665" s="361"/>
      <c r="V665" s="361"/>
      <c r="W665" s="361"/>
      <c r="X665" s="361"/>
      <c r="Y665" s="361"/>
      <c r="Z665" s="361"/>
    </row>
    <row r="666" ht="22.5" customHeight="1" outlineLevel="1">
      <c r="A666" s="412"/>
      <c r="B666" s="415"/>
      <c r="C666" s="394"/>
      <c r="D666" s="412"/>
      <c r="E666" s="414"/>
      <c r="F666" s="414"/>
      <c r="G666" s="414"/>
      <c r="H666" s="414"/>
      <c r="I666" s="397"/>
      <c r="J666" s="392"/>
      <c r="K666" s="361"/>
      <c r="L666" s="361"/>
      <c r="M666" s="361"/>
      <c r="N666" s="361"/>
      <c r="O666" s="361"/>
      <c r="P666" s="361"/>
      <c r="Q666" s="361"/>
      <c r="R666" s="361"/>
      <c r="S666" s="361"/>
      <c r="T666" s="361"/>
      <c r="U666" s="361"/>
      <c r="V666" s="361"/>
      <c r="W666" s="361"/>
      <c r="X666" s="361"/>
      <c r="Y666" s="361"/>
      <c r="Z666" s="361"/>
    </row>
    <row r="667" ht="22.5" customHeight="1" outlineLevel="1">
      <c r="A667" s="412"/>
      <c r="B667" s="415"/>
      <c r="C667" s="394"/>
      <c r="D667" s="412"/>
      <c r="E667" s="414"/>
      <c r="F667" s="414"/>
      <c r="G667" s="414"/>
      <c r="H667" s="414"/>
      <c r="I667" s="397"/>
      <c r="J667" s="392"/>
      <c r="K667" s="361"/>
      <c r="L667" s="361"/>
      <c r="M667" s="361"/>
      <c r="N667" s="361"/>
      <c r="O667" s="361"/>
      <c r="P667" s="361"/>
      <c r="Q667" s="361"/>
      <c r="R667" s="361"/>
      <c r="S667" s="361"/>
      <c r="T667" s="361"/>
      <c r="U667" s="361"/>
      <c r="V667" s="361"/>
      <c r="W667" s="361"/>
      <c r="X667" s="361"/>
      <c r="Y667" s="361"/>
      <c r="Z667" s="361"/>
    </row>
    <row r="668" ht="22.5" customHeight="1" outlineLevel="1">
      <c r="A668" s="412"/>
      <c r="B668" s="415"/>
      <c r="C668" s="394"/>
      <c r="D668" s="412"/>
      <c r="E668" s="414"/>
      <c r="F668" s="414"/>
      <c r="G668" s="414"/>
      <c r="H668" s="414"/>
      <c r="I668" s="397"/>
      <c r="J668" s="392"/>
      <c r="K668" s="361"/>
      <c r="L668" s="361"/>
      <c r="M668" s="361"/>
      <c r="N668" s="361"/>
      <c r="O668" s="361"/>
      <c r="P668" s="361"/>
      <c r="Q668" s="361"/>
      <c r="R668" s="361"/>
      <c r="S668" s="361"/>
      <c r="T668" s="361"/>
      <c r="U668" s="361"/>
      <c r="V668" s="361"/>
      <c r="W668" s="361"/>
      <c r="X668" s="361"/>
      <c r="Y668" s="361"/>
      <c r="Z668" s="361"/>
    </row>
    <row r="669" ht="22.5" customHeight="1" outlineLevel="1">
      <c r="A669" s="412"/>
      <c r="B669" s="415"/>
      <c r="C669" s="394"/>
      <c r="D669" s="412"/>
      <c r="E669" s="414"/>
      <c r="F669" s="414"/>
      <c r="G669" s="414"/>
      <c r="H669" s="414"/>
      <c r="I669" s="397"/>
      <c r="J669" s="392"/>
      <c r="K669" s="361"/>
      <c r="L669" s="361"/>
      <c r="M669" s="361"/>
      <c r="N669" s="361"/>
      <c r="O669" s="361"/>
      <c r="P669" s="361"/>
      <c r="Q669" s="361"/>
      <c r="R669" s="361"/>
      <c r="S669" s="361"/>
      <c r="T669" s="361"/>
      <c r="U669" s="361"/>
      <c r="V669" s="361"/>
      <c r="W669" s="361"/>
      <c r="X669" s="361"/>
      <c r="Y669" s="361"/>
      <c r="Z669" s="361"/>
    </row>
    <row r="670" ht="22.5" customHeight="1" outlineLevel="1">
      <c r="A670" s="412"/>
      <c r="B670" s="415"/>
      <c r="C670" s="394"/>
      <c r="D670" s="412"/>
      <c r="E670" s="414"/>
      <c r="F670" s="414"/>
      <c r="G670" s="414"/>
      <c r="H670" s="414"/>
      <c r="I670" s="397"/>
      <c r="J670" s="392"/>
      <c r="K670" s="361"/>
      <c r="L670" s="361"/>
      <c r="M670" s="361"/>
      <c r="N670" s="361"/>
      <c r="O670" s="361"/>
      <c r="P670" s="361"/>
      <c r="Q670" s="361"/>
      <c r="R670" s="361"/>
      <c r="S670" s="361"/>
      <c r="T670" s="361"/>
      <c r="U670" s="361"/>
      <c r="V670" s="361"/>
      <c r="W670" s="361"/>
      <c r="X670" s="361"/>
      <c r="Y670" s="361"/>
      <c r="Z670" s="361"/>
    </row>
    <row r="671" ht="22.5" customHeight="1" outlineLevel="1">
      <c r="A671" s="412"/>
      <c r="B671" s="415"/>
      <c r="C671" s="394"/>
      <c r="D671" s="412"/>
      <c r="E671" s="414"/>
      <c r="F671" s="414"/>
      <c r="G671" s="414"/>
      <c r="H671" s="414"/>
      <c r="I671" s="397"/>
      <c r="J671" s="392"/>
      <c r="K671" s="361"/>
      <c r="L671" s="361"/>
      <c r="M671" s="361"/>
      <c r="N671" s="361"/>
      <c r="O671" s="361"/>
      <c r="P671" s="361"/>
      <c r="Q671" s="361"/>
      <c r="R671" s="361"/>
      <c r="S671" s="361"/>
      <c r="T671" s="361"/>
      <c r="U671" s="361"/>
      <c r="V671" s="361"/>
      <c r="W671" s="361"/>
      <c r="X671" s="361"/>
      <c r="Y671" s="361"/>
      <c r="Z671" s="361"/>
    </row>
    <row r="672" ht="22.5" customHeight="1" outlineLevel="1">
      <c r="A672" s="412"/>
      <c r="B672" s="415"/>
      <c r="C672" s="394"/>
      <c r="D672" s="412"/>
      <c r="E672" s="414"/>
      <c r="F672" s="414"/>
      <c r="G672" s="414"/>
      <c r="H672" s="414"/>
      <c r="I672" s="397"/>
      <c r="J672" s="392"/>
      <c r="K672" s="361"/>
      <c r="L672" s="361"/>
      <c r="M672" s="361"/>
      <c r="N672" s="361"/>
      <c r="O672" s="361"/>
      <c r="P672" s="361"/>
      <c r="Q672" s="361"/>
      <c r="R672" s="361"/>
      <c r="S672" s="361"/>
      <c r="T672" s="361"/>
      <c r="U672" s="361"/>
      <c r="V672" s="361"/>
      <c r="W672" s="361"/>
      <c r="X672" s="361"/>
      <c r="Y672" s="361"/>
      <c r="Z672" s="361"/>
    </row>
    <row r="673" ht="22.5" customHeight="1" outlineLevel="1">
      <c r="A673" s="412"/>
      <c r="B673" s="415"/>
      <c r="C673" s="394"/>
      <c r="D673" s="412"/>
      <c r="E673" s="414"/>
      <c r="F673" s="414"/>
      <c r="G673" s="414"/>
      <c r="H673" s="414"/>
      <c r="I673" s="397"/>
      <c r="J673" s="392"/>
      <c r="K673" s="361"/>
      <c r="L673" s="361"/>
      <c r="M673" s="361"/>
      <c r="N673" s="361"/>
      <c r="O673" s="361"/>
      <c r="P673" s="361"/>
      <c r="Q673" s="361"/>
      <c r="R673" s="361"/>
      <c r="S673" s="361"/>
      <c r="T673" s="361"/>
      <c r="U673" s="361"/>
      <c r="V673" s="361"/>
      <c r="W673" s="361"/>
      <c r="X673" s="361"/>
      <c r="Y673" s="361"/>
      <c r="Z673" s="361"/>
    </row>
    <row r="674" ht="22.5" customHeight="1" outlineLevel="1">
      <c r="A674" s="412"/>
      <c r="B674" s="415"/>
      <c r="C674" s="394"/>
      <c r="D674" s="412"/>
      <c r="E674" s="414"/>
      <c r="F674" s="414"/>
      <c r="G674" s="414"/>
      <c r="H674" s="414"/>
      <c r="I674" s="397"/>
      <c r="J674" s="392"/>
      <c r="K674" s="361"/>
      <c r="L674" s="361"/>
      <c r="M674" s="361"/>
      <c r="N674" s="361"/>
      <c r="O674" s="361"/>
      <c r="P674" s="361"/>
      <c r="Q674" s="361"/>
      <c r="R674" s="361"/>
      <c r="S674" s="361"/>
      <c r="T674" s="361"/>
      <c r="U674" s="361"/>
      <c r="V674" s="361"/>
      <c r="W674" s="361"/>
      <c r="X674" s="361"/>
      <c r="Y674" s="361"/>
      <c r="Z674" s="361"/>
    </row>
    <row r="675" ht="22.5" customHeight="1" outlineLevel="1">
      <c r="A675" s="412"/>
      <c r="B675" s="415"/>
      <c r="C675" s="394"/>
      <c r="D675" s="412"/>
      <c r="E675" s="414"/>
      <c r="F675" s="414"/>
      <c r="G675" s="414"/>
      <c r="H675" s="414"/>
      <c r="I675" s="397"/>
      <c r="J675" s="392"/>
      <c r="K675" s="361"/>
      <c r="L675" s="361"/>
      <c r="M675" s="361"/>
      <c r="N675" s="361"/>
      <c r="O675" s="361"/>
      <c r="P675" s="361"/>
      <c r="Q675" s="361"/>
      <c r="R675" s="361"/>
      <c r="S675" s="361"/>
      <c r="T675" s="361"/>
      <c r="U675" s="361"/>
      <c r="V675" s="361"/>
      <c r="W675" s="361"/>
      <c r="X675" s="361"/>
      <c r="Y675" s="361"/>
      <c r="Z675" s="361"/>
    </row>
    <row r="676" ht="22.5" customHeight="1" outlineLevel="1">
      <c r="A676" s="412"/>
      <c r="B676" s="415"/>
      <c r="C676" s="394"/>
      <c r="D676" s="412"/>
      <c r="E676" s="414"/>
      <c r="F676" s="414"/>
      <c r="G676" s="414"/>
      <c r="H676" s="414"/>
      <c r="I676" s="397"/>
      <c r="J676" s="392"/>
      <c r="K676" s="361"/>
      <c r="L676" s="361"/>
      <c r="M676" s="361"/>
      <c r="N676" s="361"/>
      <c r="O676" s="361"/>
      <c r="P676" s="361"/>
      <c r="Q676" s="361"/>
      <c r="R676" s="361"/>
      <c r="S676" s="361"/>
      <c r="T676" s="361"/>
      <c r="U676" s="361"/>
      <c r="V676" s="361"/>
      <c r="W676" s="361"/>
      <c r="X676" s="361"/>
      <c r="Y676" s="361"/>
      <c r="Z676" s="361"/>
    </row>
    <row r="677" ht="22.5" customHeight="1" outlineLevel="1">
      <c r="A677" s="412"/>
      <c r="B677" s="415"/>
      <c r="C677" s="394"/>
      <c r="D677" s="412"/>
      <c r="E677" s="414"/>
      <c r="F677" s="414"/>
      <c r="G677" s="414"/>
      <c r="H677" s="414"/>
      <c r="I677" s="397"/>
      <c r="J677" s="392"/>
      <c r="K677" s="361"/>
      <c r="L677" s="361"/>
      <c r="M677" s="361"/>
      <c r="N677" s="361"/>
      <c r="O677" s="361"/>
      <c r="P677" s="361"/>
      <c r="Q677" s="361"/>
      <c r="R677" s="361"/>
      <c r="S677" s="361"/>
      <c r="T677" s="361"/>
      <c r="U677" s="361"/>
      <c r="V677" s="361"/>
      <c r="W677" s="361"/>
      <c r="X677" s="361"/>
      <c r="Y677" s="361"/>
      <c r="Z677" s="361"/>
    </row>
    <row r="678" ht="22.5" customHeight="1" outlineLevel="1">
      <c r="A678" s="412"/>
      <c r="B678" s="415"/>
      <c r="C678" s="394"/>
      <c r="D678" s="412"/>
      <c r="E678" s="414"/>
      <c r="F678" s="414"/>
      <c r="G678" s="414"/>
      <c r="H678" s="414"/>
      <c r="I678" s="397"/>
      <c r="J678" s="392"/>
      <c r="K678" s="361"/>
      <c r="L678" s="361"/>
      <c r="M678" s="361"/>
      <c r="N678" s="361"/>
      <c r="O678" s="361"/>
      <c r="P678" s="361"/>
      <c r="Q678" s="361"/>
      <c r="R678" s="361"/>
      <c r="S678" s="361"/>
      <c r="T678" s="361"/>
      <c r="U678" s="361"/>
      <c r="V678" s="361"/>
      <c r="W678" s="361"/>
      <c r="X678" s="361"/>
      <c r="Y678" s="361"/>
      <c r="Z678" s="361"/>
    </row>
    <row r="679" ht="22.5" customHeight="1" outlineLevel="1">
      <c r="A679" s="412"/>
      <c r="B679" s="415"/>
      <c r="C679" s="394"/>
      <c r="D679" s="412"/>
      <c r="E679" s="414"/>
      <c r="F679" s="414"/>
      <c r="G679" s="414"/>
      <c r="H679" s="414"/>
      <c r="I679" s="397"/>
      <c r="J679" s="392"/>
      <c r="K679" s="361"/>
      <c r="L679" s="361"/>
      <c r="M679" s="361"/>
      <c r="N679" s="361"/>
      <c r="O679" s="361"/>
      <c r="P679" s="361"/>
      <c r="Q679" s="361"/>
      <c r="R679" s="361"/>
      <c r="S679" s="361"/>
      <c r="T679" s="361"/>
      <c r="U679" s="361"/>
      <c r="V679" s="361"/>
      <c r="W679" s="361"/>
      <c r="X679" s="361"/>
      <c r="Y679" s="361"/>
      <c r="Z679" s="361"/>
    </row>
    <row r="680" ht="22.5" customHeight="1" outlineLevel="1">
      <c r="A680" s="412"/>
      <c r="B680" s="415"/>
      <c r="C680" s="394"/>
      <c r="D680" s="412"/>
      <c r="E680" s="414"/>
      <c r="F680" s="414"/>
      <c r="G680" s="414"/>
      <c r="H680" s="414"/>
      <c r="I680" s="397"/>
      <c r="J680" s="392"/>
      <c r="K680" s="361"/>
      <c r="L680" s="361"/>
      <c r="M680" s="361"/>
      <c r="N680" s="361"/>
      <c r="O680" s="361"/>
      <c r="P680" s="361"/>
      <c r="Q680" s="361"/>
      <c r="R680" s="361"/>
      <c r="S680" s="361"/>
      <c r="T680" s="361"/>
      <c r="U680" s="361"/>
      <c r="V680" s="361"/>
      <c r="W680" s="361"/>
      <c r="X680" s="361"/>
      <c r="Y680" s="361"/>
      <c r="Z680" s="361"/>
    </row>
    <row r="681" ht="22.5" customHeight="1" outlineLevel="1">
      <c r="A681" s="412"/>
      <c r="B681" s="415"/>
      <c r="C681" s="394"/>
      <c r="D681" s="412"/>
      <c r="E681" s="414"/>
      <c r="F681" s="414"/>
      <c r="G681" s="414"/>
      <c r="H681" s="414"/>
      <c r="I681" s="397"/>
      <c r="J681" s="392"/>
      <c r="K681" s="361"/>
      <c r="L681" s="361"/>
      <c r="M681" s="361"/>
      <c r="N681" s="361"/>
      <c r="O681" s="361"/>
      <c r="P681" s="361"/>
      <c r="Q681" s="361"/>
      <c r="R681" s="361"/>
      <c r="S681" s="361"/>
      <c r="T681" s="361"/>
      <c r="U681" s="361"/>
      <c r="V681" s="361"/>
      <c r="W681" s="361"/>
      <c r="X681" s="361"/>
      <c r="Y681" s="361"/>
      <c r="Z681" s="361"/>
    </row>
    <row r="682" ht="22.5" customHeight="1" outlineLevel="1">
      <c r="A682" s="412"/>
      <c r="B682" s="415"/>
      <c r="C682" s="394"/>
      <c r="D682" s="412"/>
      <c r="E682" s="414"/>
      <c r="F682" s="414"/>
      <c r="G682" s="414"/>
      <c r="H682" s="414"/>
      <c r="I682" s="397"/>
      <c r="J682" s="392"/>
      <c r="K682" s="361"/>
      <c r="L682" s="361"/>
      <c r="M682" s="361"/>
      <c r="N682" s="361"/>
      <c r="O682" s="361"/>
      <c r="P682" s="361"/>
      <c r="Q682" s="361"/>
      <c r="R682" s="361"/>
      <c r="S682" s="361"/>
      <c r="T682" s="361"/>
      <c r="U682" s="361"/>
      <c r="V682" s="361"/>
      <c r="W682" s="361"/>
      <c r="X682" s="361"/>
      <c r="Y682" s="361"/>
      <c r="Z682" s="361"/>
    </row>
    <row r="683" ht="22.5" customHeight="1" outlineLevel="1">
      <c r="A683" s="412"/>
      <c r="B683" s="415"/>
      <c r="C683" s="394"/>
      <c r="D683" s="412"/>
      <c r="E683" s="414"/>
      <c r="F683" s="414"/>
      <c r="G683" s="414"/>
      <c r="H683" s="414"/>
      <c r="I683" s="397"/>
      <c r="J683" s="392"/>
      <c r="K683" s="361"/>
      <c r="L683" s="361"/>
      <c r="M683" s="361"/>
      <c r="N683" s="361"/>
      <c r="O683" s="361"/>
      <c r="P683" s="361"/>
      <c r="Q683" s="361"/>
      <c r="R683" s="361"/>
      <c r="S683" s="361"/>
      <c r="T683" s="361"/>
      <c r="U683" s="361"/>
      <c r="V683" s="361"/>
      <c r="W683" s="361"/>
      <c r="X683" s="361"/>
      <c r="Y683" s="361"/>
      <c r="Z683" s="361"/>
    </row>
    <row r="684" ht="22.5" customHeight="1" outlineLevel="1">
      <c r="A684" s="412"/>
      <c r="B684" s="415"/>
      <c r="C684" s="394"/>
      <c r="D684" s="412"/>
      <c r="E684" s="414"/>
      <c r="F684" s="414"/>
      <c r="G684" s="414"/>
      <c r="H684" s="414"/>
      <c r="I684" s="397"/>
      <c r="J684" s="392"/>
      <c r="K684" s="361"/>
      <c r="L684" s="361"/>
      <c r="M684" s="361"/>
      <c r="N684" s="361"/>
      <c r="O684" s="361"/>
      <c r="P684" s="361"/>
      <c r="Q684" s="361"/>
      <c r="R684" s="361"/>
      <c r="S684" s="361"/>
      <c r="T684" s="361"/>
      <c r="U684" s="361"/>
      <c r="V684" s="361"/>
      <c r="W684" s="361"/>
      <c r="X684" s="361"/>
      <c r="Y684" s="361"/>
      <c r="Z684" s="361"/>
    </row>
    <row r="685" ht="22.5" customHeight="1" outlineLevel="1">
      <c r="A685" s="412"/>
      <c r="B685" s="415"/>
      <c r="C685" s="394"/>
      <c r="D685" s="412"/>
      <c r="E685" s="414"/>
      <c r="F685" s="414"/>
      <c r="G685" s="414"/>
      <c r="H685" s="414"/>
      <c r="I685" s="397"/>
      <c r="J685" s="392"/>
      <c r="K685" s="361"/>
      <c r="L685" s="361"/>
      <c r="M685" s="361"/>
      <c r="N685" s="361"/>
      <c r="O685" s="361"/>
      <c r="P685" s="361"/>
      <c r="Q685" s="361"/>
      <c r="R685" s="361"/>
      <c r="S685" s="361"/>
      <c r="T685" s="361"/>
      <c r="U685" s="361"/>
      <c r="V685" s="361"/>
      <c r="W685" s="361"/>
      <c r="X685" s="361"/>
      <c r="Y685" s="361"/>
      <c r="Z685" s="361"/>
    </row>
    <row r="686" ht="22.5" customHeight="1" outlineLevel="1">
      <c r="A686" s="412"/>
      <c r="B686" s="415"/>
      <c r="C686" s="394"/>
      <c r="D686" s="412"/>
      <c r="E686" s="414"/>
      <c r="F686" s="414"/>
      <c r="G686" s="414"/>
      <c r="H686" s="414"/>
      <c r="I686" s="397"/>
      <c r="J686" s="392"/>
      <c r="K686" s="361"/>
      <c r="L686" s="361"/>
      <c r="M686" s="361"/>
      <c r="N686" s="361"/>
      <c r="O686" s="361"/>
      <c r="P686" s="361"/>
      <c r="Q686" s="361"/>
      <c r="R686" s="361"/>
      <c r="S686" s="361"/>
      <c r="T686" s="361"/>
      <c r="U686" s="361"/>
      <c r="V686" s="361"/>
      <c r="W686" s="361"/>
      <c r="X686" s="361"/>
      <c r="Y686" s="361"/>
      <c r="Z686" s="361"/>
    </row>
    <row r="687" ht="22.5" customHeight="1" outlineLevel="1">
      <c r="A687" s="412"/>
      <c r="B687" s="415"/>
      <c r="C687" s="394"/>
      <c r="D687" s="412"/>
      <c r="E687" s="414"/>
      <c r="F687" s="414"/>
      <c r="G687" s="414"/>
      <c r="H687" s="414"/>
      <c r="I687" s="397"/>
      <c r="J687" s="392"/>
      <c r="K687" s="361"/>
      <c r="L687" s="361"/>
      <c r="M687" s="361"/>
      <c r="N687" s="361"/>
      <c r="O687" s="361"/>
      <c r="P687" s="361"/>
      <c r="Q687" s="361"/>
      <c r="R687" s="361"/>
      <c r="S687" s="361"/>
      <c r="T687" s="361"/>
      <c r="U687" s="361"/>
      <c r="V687" s="361"/>
      <c r="W687" s="361"/>
      <c r="X687" s="361"/>
      <c r="Y687" s="361"/>
      <c r="Z687" s="361"/>
    </row>
    <row r="688" ht="22.5" customHeight="1" outlineLevel="1">
      <c r="A688" s="412"/>
      <c r="B688" s="415"/>
      <c r="C688" s="394"/>
      <c r="D688" s="412"/>
      <c r="E688" s="414"/>
      <c r="F688" s="414"/>
      <c r="G688" s="414"/>
      <c r="H688" s="414"/>
      <c r="I688" s="397"/>
      <c r="J688" s="392"/>
      <c r="K688" s="361"/>
      <c r="L688" s="361"/>
      <c r="M688" s="361"/>
      <c r="N688" s="361"/>
      <c r="O688" s="361"/>
      <c r="P688" s="361"/>
      <c r="Q688" s="361"/>
      <c r="R688" s="361"/>
      <c r="S688" s="361"/>
      <c r="T688" s="361"/>
      <c r="U688" s="361"/>
      <c r="V688" s="361"/>
      <c r="W688" s="361"/>
      <c r="X688" s="361"/>
      <c r="Y688" s="361"/>
      <c r="Z688" s="361"/>
    </row>
    <row r="689" ht="22.5" customHeight="1" outlineLevel="1">
      <c r="A689" s="412"/>
      <c r="B689" s="415"/>
      <c r="C689" s="394"/>
      <c r="D689" s="412"/>
      <c r="E689" s="414"/>
      <c r="F689" s="414"/>
      <c r="G689" s="414"/>
      <c r="H689" s="414"/>
      <c r="I689" s="397"/>
      <c r="J689" s="392"/>
      <c r="K689" s="361"/>
      <c r="L689" s="361"/>
      <c r="M689" s="361"/>
      <c r="N689" s="361"/>
      <c r="O689" s="361"/>
      <c r="P689" s="361"/>
      <c r="Q689" s="361"/>
      <c r="R689" s="361"/>
      <c r="S689" s="361"/>
      <c r="T689" s="361"/>
      <c r="U689" s="361"/>
      <c r="V689" s="361"/>
      <c r="W689" s="361"/>
      <c r="X689" s="361"/>
      <c r="Y689" s="361"/>
      <c r="Z689" s="361"/>
    </row>
    <row r="690" ht="22.5" customHeight="1" outlineLevel="1">
      <c r="A690" s="412"/>
      <c r="B690" s="415"/>
      <c r="C690" s="394"/>
      <c r="D690" s="412"/>
      <c r="E690" s="414"/>
      <c r="F690" s="414"/>
      <c r="G690" s="414"/>
      <c r="H690" s="414"/>
      <c r="I690" s="397"/>
      <c r="J690" s="392"/>
      <c r="K690" s="361"/>
      <c r="L690" s="361"/>
      <c r="M690" s="361"/>
      <c r="N690" s="361"/>
      <c r="O690" s="361"/>
      <c r="P690" s="361"/>
      <c r="Q690" s="361"/>
      <c r="R690" s="361"/>
      <c r="S690" s="361"/>
      <c r="T690" s="361"/>
      <c r="U690" s="361"/>
      <c r="V690" s="361"/>
      <c r="W690" s="361"/>
      <c r="X690" s="361"/>
      <c r="Y690" s="361"/>
      <c r="Z690" s="361"/>
    </row>
    <row r="691" ht="22.5" customHeight="1" outlineLevel="1">
      <c r="A691" s="412"/>
      <c r="B691" s="415"/>
      <c r="C691" s="394"/>
      <c r="D691" s="412"/>
      <c r="E691" s="414"/>
      <c r="F691" s="414"/>
      <c r="G691" s="414"/>
      <c r="H691" s="414"/>
      <c r="I691" s="397"/>
      <c r="J691" s="392"/>
      <c r="K691" s="361"/>
      <c r="L691" s="361"/>
      <c r="M691" s="361"/>
      <c r="N691" s="361"/>
      <c r="O691" s="361"/>
      <c r="P691" s="361"/>
      <c r="Q691" s="361"/>
      <c r="R691" s="361"/>
      <c r="S691" s="361"/>
      <c r="T691" s="361"/>
      <c r="U691" s="361"/>
      <c r="V691" s="361"/>
      <c r="W691" s="361"/>
      <c r="X691" s="361"/>
      <c r="Y691" s="361"/>
      <c r="Z691" s="361"/>
    </row>
    <row r="692" ht="22.5" customHeight="1" outlineLevel="1">
      <c r="A692" s="412"/>
      <c r="B692" s="415"/>
      <c r="C692" s="394"/>
      <c r="D692" s="412"/>
      <c r="E692" s="414"/>
      <c r="F692" s="414"/>
      <c r="G692" s="414"/>
      <c r="H692" s="414"/>
      <c r="I692" s="397"/>
      <c r="J692" s="392"/>
      <c r="K692" s="361"/>
      <c r="L692" s="361"/>
      <c r="M692" s="361"/>
      <c r="N692" s="361"/>
      <c r="O692" s="361"/>
      <c r="P692" s="361"/>
      <c r="Q692" s="361"/>
      <c r="R692" s="361"/>
      <c r="S692" s="361"/>
      <c r="T692" s="361"/>
      <c r="U692" s="361"/>
      <c r="V692" s="361"/>
      <c r="W692" s="361"/>
      <c r="X692" s="361"/>
      <c r="Y692" s="361"/>
      <c r="Z692" s="361"/>
    </row>
    <row r="693" ht="22.5" customHeight="1" outlineLevel="1">
      <c r="A693" s="412"/>
      <c r="B693" s="415"/>
      <c r="C693" s="394"/>
      <c r="D693" s="412"/>
      <c r="E693" s="414"/>
      <c r="F693" s="414"/>
      <c r="G693" s="414"/>
      <c r="H693" s="414"/>
      <c r="I693" s="397"/>
      <c r="J693" s="392"/>
      <c r="K693" s="361"/>
      <c r="L693" s="361"/>
      <c r="M693" s="361"/>
      <c r="N693" s="361"/>
      <c r="O693" s="361"/>
      <c r="P693" s="361"/>
      <c r="Q693" s="361"/>
      <c r="R693" s="361"/>
      <c r="S693" s="361"/>
      <c r="T693" s="361"/>
      <c r="U693" s="361"/>
      <c r="V693" s="361"/>
      <c r="W693" s="361"/>
      <c r="X693" s="361"/>
      <c r="Y693" s="361"/>
      <c r="Z693" s="361"/>
    </row>
    <row r="694" ht="22.5" customHeight="1" outlineLevel="1">
      <c r="A694" s="412"/>
      <c r="B694" s="415"/>
      <c r="C694" s="394"/>
      <c r="D694" s="412"/>
      <c r="E694" s="414"/>
      <c r="F694" s="414"/>
      <c r="G694" s="414"/>
      <c r="H694" s="414"/>
      <c r="I694" s="397"/>
      <c r="J694" s="392"/>
      <c r="K694" s="361"/>
      <c r="L694" s="361"/>
      <c r="M694" s="361"/>
      <c r="N694" s="361"/>
      <c r="O694" s="361"/>
      <c r="P694" s="361"/>
      <c r="Q694" s="361"/>
      <c r="R694" s="361"/>
      <c r="S694" s="361"/>
      <c r="T694" s="361"/>
      <c r="U694" s="361"/>
      <c r="V694" s="361"/>
      <c r="W694" s="361"/>
      <c r="X694" s="361"/>
      <c r="Y694" s="361"/>
      <c r="Z694" s="361"/>
    </row>
    <row r="695" ht="22.5" customHeight="1" outlineLevel="1">
      <c r="A695" s="412"/>
      <c r="B695" s="415"/>
      <c r="C695" s="394"/>
      <c r="D695" s="412"/>
      <c r="E695" s="414"/>
      <c r="F695" s="414"/>
      <c r="G695" s="414"/>
      <c r="H695" s="414"/>
      <c r="I695" s="397"/>
      <c r="J695" s="392"/>
      <c r="K695" s="361"/>
      <c r="L695" s="361"/>
      <c r="M695" s="361"/>
      <c r="N695" s="361"/>
      <c r="O695" s="361"/>
      <c r="P695" s="361"/>
      <c r="Q695" s="361"/>
      <c r="R695" s="361"/>
      <c r="S695" s="361"/>
      <c r="T695" s="361"/>
      <c r="U695" s="361"/>
      <c r="V695" s="361"/>
      <c r="W695" s="361"/>
      <c r="X695" s="361"/>
      <c r="Y695" s="361"/>
      <c r="Z695" s="361"/>
    </row>
    <row r="696" ht="22.5" customHeight="1" outlineLevel="1">
      <c r="A696" s="412"/>
      <c r="B696" s="415"/>
      <c r="C696" s="394"/>
      <c r="D696" s="412"/>
      <c r="E696" s="414"/>
      <c r="F696" s="414"/>
      <c r="G696" s="414"/>
      <c r="H696" s="414"/>
      <c r="I696" s="397"/>
      <c r="J696" s="392"/>
      <c r="K696" s="361"/>
      <c r="L696" s="361"/>
      <c r="M696" s="361"/>
      <c r="N696" s="361"/>
      <c r="O696" s="361"/>
      <c r="P696" s="361"/>
      <c r="Q696" s="361"/>
      <c r="R696" s="361"/>
      <c r="S696" s="361"/>
      <c r="T696" s="361"/>
      <c r="U696" s="361"/>
      <c r="V696" s="361"/>
      <c r="W696" s="361"/>
      <c r="X696" s="361"/>
      <c r="Y696" s="361"/>
      <c r="Z696" s="361"/>
    </row>
    <row r="697" ht="22.5" customHeight="1" outlineLevel="1">
      <c r="A697" s="412"/>
      <c r="B697" s="415"/>
      <c r="C697" s="394"/>
      <c r="D697" s="412"/>
      <c r="E697" s="414"/>
      <c r="F697" s="414"/>
      <c r="G697" s="414"/>
      <c r="H697" s="414"/>
      <c r="I697" s="397"/>
      <c r="J697" s="392"/>
      <c r="K697" s="361"/>
      <c r="L697" s="361"/>
      <c r="M697" s="361"/>
      <c r="N697" s="361"/>
      <c r="O697" s="361"/>
      <c r="P697" s="361"/>
      <c r="Q697" s="361"/>
      <c r="R697" s="361"/>
      <c r="S697" s="361"/>
      <c r="T697" s="361"/>
      <c r="U697" s="361"/>
      <c r="V697" s="361"/>
      <c r="W697" s="361"/>
      <c r="X697" s="361"/>
      <c r="Y697" s="361"/>
      <c r="Z697" s="361"/>
    </row>
    <row r="698" ht="22.5" customHeight="1" outlineLevel="1">
      <c r="A698" s="412"/>
      <c r="B698" s="415"/>
      <c r="C698" s="394"/>
      <c r="D698" s="412"/>
      <c r="E698" s="414"/>
      <c r="F698" s="414"/>
      <c r="G698" s="414"/>
      <c r="H698" s="414"/>
      <c r="I698" s="397"/>
      <c r="J698" s="392"/>
      <c r="K698" s="361"/>
      <c r="L698" s="361"/>
      <c r="M698" s="361"/>
      <c r="N698" s="361"/>
      <c r="O698" s="361"/>
      <c r="P698" s="361"/>
      <c r="Q698" s="361"/>
      <c r="R698" s="361"/>
      <c r="S698" s="361"/>
      <c r="T698" s="361"/>
      <c r="U698" s="361"/>
      <c r="V698" s="361"/>
      <c r="W698" s="361"/>
      <c r="X698" s="361"/>
      <c r="Y698" s="361"/>
      <c r="Z698" s="361"/>
    </row>
    <row r="699" ht="22.5" customHeight="1" outlineLevel="1">
      <c r="A699" s="412"/>
      <c r="B699" s="415"/>
      <c r="C699" s="394"/>
      <c r="D699" s="412"/>
      <c r="E699" s="414"/>
      <c r="F699" s="414"/>
      <c r="G699" s="414"/>
      <c r="H699" s="414"/>
      <c r="I699" s="397"/>
      <c r="J699" s="392"/>
      <c r="K699" s="361"/>
      <c r="L699" s="361"/>
      <c r="M699" s="361"/>
      <c r="N699" s="361"/>
      <c r="O699" s="361"/>
      <c r="P699" s="361"/>
      <c r="Q699" s="361"/>
      <c r="R699" s="361"/>
      <c r="S699" s="361"/>
      <c r="T699" s="361"/>
      <c r="U699" s="361"/>
      <c r="V699" s="361"/>
      <c r="W699" s="361"/>
      <c r="X699" s="361"/>
      <c r="Y699" s="361"/>
      <c r="Z699" s="361"/>
    </row>
    <row r="700" ht="22.5" customHeight="1" outlineLevel="1">
      <c r="A700" s="412"/>
      <c r="B700" s="415"/>
      <c r="C700" s="394"/>
      <c r="D700" s="412"/>
      <c r="E700" s="414"/>
      <c r="F700" s="414"/>
      <c r="G700" s="414"/>
      <c r="H700" s="414"/>
      <c r="I700" s="397"/>
      <c r="J700" s="392"/>
      <c r="K700" s="361"/>
      <c r="L700" s="361"/>
      <c r="M700" s="361"/>
      <c r="N700" s="361"/>
      <c r="O700" s="361"/>
      <c r="P700" s="361"/>
      <c r="Q700" s="361"/>
      <c r="R700" s="361"/>
      <c r="S700" s="361"/>
      <c r="T700" s="361"/>
      <c r="U700" s="361"/>
      <c r="V700" s="361"/>
      <c r="W700" s="361"/>
      <c r="X700" s="361"/>
      <c r="Y700" s="361"/>
      <c r="Z700" s="361"/>
    </row>
    <row r="701" ht="22.5" customHeight="1" outlineLevel="1">
      <c r="A701" s="412"/>
      <c r="B701" s="415"/>
      <c r="C701" s="394"/>
      <c r="D701" s="412"/>
      <c r="E701" s="414"/>
      <c r="F701" s="414"/>
      <c r="G701" s="414"/>
      <c r="H701" s="414"/>
      <c r="I701" s="397"/>
      <c r="J701" s="392"/>
      <c r="K701" s="361"/>
      <c r="L701" s="361"/>
      <c r="M701" s="361"/>
      <c r="N701" s="361"/>
      <c r="O701" s="361"/>
      <c r="P701" s="361"/>
      <c r="Q701" s="361"/>
      <c r="R701" s="361"/>
      <c r="S701" s="361"/>
      <c r="T701" s="361"/>
      <c r="U701" s="361"/>
      <c r="V701" s="361"/>
      <c r="W701" s="361"/>
      <c r="X701" s="361"/>
      <c r="Y701" s="361"/>
      <c r="Z701" s="361"/>
    </row>
    <row r="702" ht="22.5" customHeight="1" outlineLevel="1">
      <c r="A702" s="412"/>
      <c r="B702" s="415"/>
      <c r="C702" s="394"/>
      <c r="D702" s="412"/>
      <c r="E702" s="414"/>
      <c r="F702" s="414"/>
      <c r="G702" s="414"/>
      <c r="H702" s="414"/>
      <c r="I702" s="397"/>
      <c r="J702" s="392"/>
      <c r="K702" s="361"/>
      <c r="L702" s="361"/>
      <c r="M702" s="361"/>
      <c r="N702" s="361"/>
      <c r="O702" s="361"/>
      <c r="P702" s="361"/>
      <c r="Q702" s="361"/>
      <c r="R702" s="361"/>
      <c r="S702" s="361"/>
      <c r="T702" s="361"/>
      <c r="U702" s="361"/>
      <c r="V702" s="361"/>
      <c r="W702" s="361"/>
      <c r="X702" s="361"/>
      <c r="Y702" s="361"/>
      <c r="Z702" s="361"/>
    </row>
    <row r="703" ht="22.5" customHeight="1" outlineLevel="1">
      <c r="A703" s="412"/>
      <c r="B703" s="415"/>
      <c r="C703" s="394"/>
      <c r="D703" s="412"/>
      <c r="E703" s="414"/>
      <c r="F703" s="414"/>
      <c r="G703" s="414"/>
      <c r="H703" s="414"/>
      <c r="I703" s="397"/>
      <c r="J703" s="392"/>
      <c r="K703" s="361"/>
      <c r="L703" s="361"/>
      <c r="M703" s="361"/>
      <c r="N703" s="361"/>
      <c r="O703" s="361"/>
      <c r="P703" s="361"/>
      <c r="Q703" s="361"/>
      <c r="R703" s="361"/>
      <c r="S703" s="361"/>
      <c r="T703" s="361"/>
      <c r="U703" s="361"/>
      <c r="V703" s="361"/>
      <c r="W703" s="361"/>
      <c r="X703" s="361"/>
      <c r="Y703" s="361"/>
      <c r="Z703" s="361"/>
    </row>
    <row r="704" ht="22.5" customHeight="1" outlineLevel="1">
      <c r="A704" s="412"/>
      <c r="B704" s="415"/>
      <c r="C704" s="394"/>
      <c r="D704" s="412"/>
      <c r="E704" s="414"/>
      <c r="F704" s="414"/>
      <c r="G704" s="414"/>
      <c r="H704" s="414"/>
      <c r="I704" s="397"/>
      <c r="J704" s="392"/>
      <c r="K704" s="361"/>
      <c r="L704" s="361"/>
      <c r="M704" s="361"/>
      <c r="N704" s="361"/>
      <c r="O704" s="361"/>
      <c r="P704" s="361"/>
      <c r="Q704" s="361"/>
      <c r="R704" s="361"/>
      <c r="S704" s="361"/>
      <c r="T704" s="361"/>
      <c r="U704" s="361"/>
      <c r="V704" s="361"/>
      <c r="W704" s="361"/>
      <c r="X704" s="361"/>
      <c r="Y704" s="361"/>
      <c r="Z704" s="361"/>
    </row>
    <row r="705" ht="22.5" customHeight="1" outlineLevel="1">
      <c r="A705" s="412"/>
      <c r="B705" s="415"/>
      <c r="C705" s="394"/>
      <c r="D705" s="412"/>
      <c r="E705" s="414"/>
      <c r="F705" s="414"/>
      <c r="G705" s="414"/>
      <c r="H705" s="414"/>
      <c r="I705" s="397"/>
      <c r="J705" s="392"/>
      <c r="K705" s="361"/>
      <c r="L705" s="361"/>
      <c r="M705" s="361"/>
      <c r="N705" s="361"/>
      <c r="O705" s="361"/>
      <c r="P705" s="361"/>
      <c r="Q705" s="361"/>
      <c r="R705" s="361"/>
      <c r="S705" s="361"/>
      <c r="T705" s="361"/>
      <c r="U705" s="361"/>
      <c r="V705" s="361"/>
      <c r="W705" s="361"/>
      <c r="X705" s="361"/>
      <c r="Y705" s="361"/>
      <c r="Z705" s="361"/>
    </row>
    <row r="706" ht="22.5" customHeight="1" outlineLevel="1">
      <c r="A706" s="412"/>
      <c r="B706" s="415"/>
      <c r="C706" s="394"/>
      <c r="D706" s="412"/>
      <c r="E706" s="414"/>
      <c r="F706" s="414"/>
      <c r="G706" s="414"/>
      <c r="H706" s="414"/>
      <c r="I706" s="397"/>
      <c r="J706" s="392"/>
      <c r="K706" s="361"/>
      <c r="L706" s="361"/>
      <c r="M706" s="361"/>
      <c r="N706" s="361"/>
      <c r="O706" s="361"/>
      <c r="P706" s="361"/>
      <c r="Q706" s="361"/>
      <c r="R706" s="361"/>
      <c r="S706" s="361"/>
      <c r="T706" s="361"/>
      <c r="U706" s="361"/>
      <c r="V706" s="361"/>
      <c r="W706" s="361"/>
      <c r="X706" s="361"/>
      <c r="Y706" s="361"/>
      <c r="Z706" s="361"/>
    </row>
    <row r="707" ht="22.5" customHeight="1" outlineLevel="1">
      <c r="A707" s="412"/>
      <c r="B707" s="415"/>
      <c r="C707" s="394"/>
      <c r="D707" s="412"/>
      <c r="E707" s="414"/>
      <c r="F707" s="414"/>
      <c r="G707" s="414"/>
      <c r="H707" s="414"/>
      <c r="I707" s="397"/>
      <c r="J707" s="392"/>
      <c r="K707" s="361"/>
      <c r="L707" s="361"/>
      <c r="M707" s="361"/>
      <c r="N707" s="361"/>
      <c r="O707" s="361"/>
      <c r="P707" s="361"/>
      <c r="Q707" s="361"/>
      <c r="R707" s="361"/>
      <c r="S707" s="361"/>
      <c r="T707" s="361"/>
      <c r="U707" s="361"/>
      <c r="V707" s="361"/>
      <c r="W707" s="361"/>
      <c r="X707" s="361"/>
      <c r="Y707" s="361"/>
      <c r="Z707" s="361"/>
    </row>
    <row r="708" ht="22.5" customHeight="1" outlineLevel="1">
      <c r="A708" s="412"/>
      <c r="B708" s="415"/>
      <c r="C708" s="394"/>
      <c r="D708" s="412"/>
      <c r="E708" s="414"/>
      <c r="F708" s="414"/>
      <c r="G708" s="414"/>
      <c r="H708" s="414"/>
      <c r="I708" s="397"/>
      <c r="J708" s="392"/>
      <c r="K708" s="361"/>
      <c r="L708" s="361"/>
      <c r="M708" s="361"/>
      <c r="N708" s="361"/>
      <c r="O708" s="361"/>
      <c r="P708" s="361"/>
      <c r="Q708" s="361"/>
      <c r="R708" s="361"/>
      <c r="S708" s="361"/>
      <c r="T708" s="361"/>
      <c r="U708" s="361"/>
      <c r="V708" s="361"/>
      <c r="W708" s="361"/>
      <c r="X708" s="361"/>
      <c r="Y708" s="361"/>
      <c r="Z708" s="361"/>
    </row>
    <row r="709" ht="22.5" customHeight="1" outlineLevel="1">
      <c r="A709" s="412"/>
      <c r="B709" s="415"/>
      <c r="C709" s="394"/>
      <c r="D709" s="412"/>
      <c r="E709" s="414"/>
      <c r="F709" s="414"/>
      <c r="G709" s="414"/>
      <c r="H709" s="414"/>
      <c r="I709" s="397"/>
      <c r="J709" s="392"/>
      <c r="K709" s="361"/>
      <c r="L709" s="361"/>
      <c r="M709" s="361"/>
      <c r="N709" s="361"/>
      <c r="O709" s="361"/>
      <c r="P709" s="361"/>
      <c r="Q709" s="361"/>
      <c r="R709" s="361"/>
      <c r="S709" s="361"/>
      <c r="T709" s="361"/>
      <c r="U709" s="361"/>
      <c r="V709" s="361"/>
      <c r="W709" s="361"/>
      <c r="X709" s="361"/>
      <c r="Y709" s="361"/>
      <c r="Z709" s="361"/>
    </row>
    <row r="710" ht="22.5" customHeight="1" outlineLevel="1">
      <c r="A710" s="412"/>
      <c r="B710" s="415"/>
      <c r="C710" s="394"/>
      <c r="D710" s="412"/>
      <c r="E710" s="414"/>
      <c r="F710" s="414"/>
      <c r="G710" s="414"/>
      <c r="H710" s="414"/>
      <c r="I710" s="397"/>
      <c r="J710" s="392"/>
      <c r="K710" s="361"/>
      <c r="L710" s="361"/>
      <c r="M710" s="361"/>
      <c r="N710" s="361"/>
      <c r="O710" s="361"/>
      <c r="P710" s="361"/>
      <c r="Q710" s="361"/>
      <c r="R710" s="361"/>
      <c r="S710" s="361"/>
      <c r="T710" s="361"/>
      <c r="U710" s="361"/>
      <c r="V710" s="361"/>
      <c r="W710" s="361"/>
      <c r="X710" s="361"/>
      <c r="Y710" s="361"/>
      <c r="Z710" s="361"/>
    </row>
    <row r="711" ht="22.5" customHeight="1" outlineLevel="1">
      <c r="A711" s="412"/>
      <c r="B711" s="415"/>
      <c r="C711" s="394"/>
      <c r="D711" s="412"/>
      <c r="E711" s="414"/>
      <c r="F711" s="414"/>
      <c r="G711" s="414"/>
      <c r="H711" s="414"/>
      <c r="I711" s="397"/>
      <c r="J711" s="392"/>
      <c r="K711" s="361"/>
      <c r="L711" s="361"/>
      <c r="M711" s="361"/>
      <c r="N711" s="361"/>
      <c r="O711" s="361"/>
      <c r="P711" s="361"/>
      <c r="Q711" s="361"/>
      <c r="R711" s="361"/>
      <c r="S711" s="361"/>
      <c r="T711" s="361"/>
      <c r="U711" s="361"/>
      <c r="V711" s="361"/>
      <c r="W711" s="361"/>
      <c r="X711" s="361"/>
      <c r="Y711" s="361"/>
      <c r="Z711" s="361"/>
    </row>
    <row r="712" ht="22.5" customHeight="1" outlineLevel="1">
      <c r="A712" s="412"/>
      <c r="B712" s="415"/>
      <c r="C712" s="394"/>
      <c r="D712" s="412"/>
      <c r="E712" s="414"/>
      <c r="F712" s="414"/>
      <c r="G712" s="414"/>
      <c r="H712" s="414"/>
      <c r="I712" s="397"/>
      <c r="J712" s="392"/>
      <c r="K712" s="361"/>
      <c r="L712" s="361"/>
      <c r="M712" s="361"/>
      <c r="N712" s="361"/>
      <c r="O712" s="361"/>
      <c r="P712" s="361"/>
      <c r="Q712" s="361"/>
      <c r="R712" s="361"/>
      <c r="S712" s="361"/>
      <c r="T712" s="361"/>
      <c r="U712" s="361"/>
      <c r="V712" s="361"/>
      <c r="W712" s="361"/>
      <c r="X712" s="361"/>
      <c r="Y712" s="361"/>
      <c r="Z712" s="361"/>
    </row>
    <row r="713" ht="22.5" customHeight="1" outlineLevel="1">
      <c r="A713" s="412"/>
      <c r="B713" s="415"/>
      <c r="C713" s="394"/>
      <c r="D713" s="412"/>
      <c r="E713" s="414"/>
      <c r="F713" s="414"/>
      <c r="G713" s="414"/>
      <c r="H713" s="414"/>
      <c r="I713" s="397"/>
      <c r="J713" s="392"/>
      <c r="K713" s="361"/>
      <c r="L713" s="361"/>
      <c r="M713" s="361"/>
      <c r="N713" s="361"/>
      <c r="O713" s="361"/>
      <c r="P713" s="361"/>
      <c r="Q713" s="361"/>
      <c r="R713" s="361"/>
      <c r="S713" s="361"/>
      <c r="T713" s="361"/>
      <c r="U713" s="361"/>
      <c r="V713" s="361"/>
      <c r="W713" s="361"/>
      <c r="X713" s="361"/>
      <c r="Y713" s="361"/>
      <c r="Z713" s="361"/>
    </row>
    <row r="714" ht="22.5" customHeight="1" outlineLevel="1">
      <c r="A714" s="412"/>
      <c r="B714" s="415"/>
      <c r="C714" s="394"/>
      <c r="D714" s="412"/>
      <c r="E714" s="414"/>
      <c r="F714" s="414"/>
      <c r="G714" s="414"/>
      <c r="H714" s="414"/>
      <c r="I714" s="397"/>
      <c r="J714" s="392"/>
      <c r="K714" s="361"/>
      <c r="L714" s="361"/>
      <c r="M714" s="361"/>
      <c r="N714" s="361"/>
      <c r="O714" s="361"/>
      <c r="P714" s="361"/>
      <c r="Q714" s="361"/>
      <c r="R714" s="361"/>
      <c r="S714" s="361"/>
      <c r="T714" s="361"/>
      <c r="U714" s="361"/>
      <c r="V714" s="361"/>
      <c r="W714" s="361"/>
      <c r="X714" s="361"/>
      <c r="Y714" s="361"/>
      <c r="Z714" s="361"/>
    </row>
    <row r="715" ht="22.5" customHeight="1" outlineLevel="1">
      <c r="A715" s="412"/>
      <c r="B715" s="415"/>
      <c r="C715" s="394"/>
      <c r="D715" s="412"/>
      <c r="E715" s="414"/>
      <c r="F715" s="414"/>
      <c r="G715" s="414"/>
      <c r="H715" s="414"/>
      <c r="I715" s="397"/>
      <c r="J715" s="392"/>
      <c r="K715" s="361"/>
      <c r="L715" s="361"/>
      <c r="M715" s="361"/>
      <c r="N715" s="361"/>
      <c r="O715" s="361"/>
      <c r="P715" s="361"/>
      <c r="Q715" s="361"/>
      <c r="R715" s="361"/>
      <c r="S715" s="361"/>
      <c r="T715" s="361"/>
      <c r="U715" s="361"/>
      <c r="V715" s="361"/>
      <c r="W715" s="361"/>
      <c r="X715" s="361"/>
      <c r="Y715" s="361"/>
      <c r="Z715" s="361"/>
    </row>
    <row r="716" ht="22.5" customHeight="1" outlineLevel="1">
      <c r="A716" s="412"/>
      <c r="B716" s="415"/>
      <c r="C716" s="394"/>
      <c r="D716" s="412"/>
      <c r="E716" s="414"/>
      <c r="F716" s="414"/>
      <c r="G716" s="414"/>
      <c r="H716" s="414"/>
      <c r="I716" s="397"/>
      <c r="J716" s="392"/>
      <c r="K716" s="361"/>
      <c r="L716" s="361"/>
      <c r="M716" s="361"/>
      <c r="N716" s="361"/>
      <c r="O716" s="361"/>
      <c r="P716" s="361"/>
      <c r="Q716" s="361"/>
      <c r="R716" s="361"/>
      <c r="S716" s="361"/>
      <c r="T716" s="361"/>
      <c r="U716" s="361"/>
      <c r="V716" s="361"/>
      <c r="W716" s="361"/>
      <c r="X716" s="361"/>
      <c r="Y716" s="361"/>
      <c r="Z716" s="361"/>
    </row>
    <row r="717" ht="22.5" customHeight="1" outlineLevel="1">
      <c r="A717" s="412"/>
      <c r="B717" s="415"/>
      <c r="C717" s="394"/>
      <c r="D717" s="412"/>
      <c r="E717" s="414"/>
      <c r="F717" s="414"/>
      <c r="G717" s="414"/>
      <c r="H717" s="414"/>
      <c r="I717" s="397"/>
      <c r="J717" s="392"/>
      <c r="K717" s="361"/>
      <c r="L717" s="361"/>
      <c r="M717" s="361"/>
      <c r="N717" s="361"/>
      <c r="O717" s="361"/>
      <c r="P717" s="361"/>
      <c r="Q717" s="361"/>
      <c r="R717" s="361"/>
      <c r="S717" s="361"/>
      <c r="T717" s="361"/>
      <c r="U717" s="361"/>
      <c r="V717" s="361"/>
      <c r="W717" s="361"/>
      <c r="X717" s="361"/>
      <c r="Y717" s="361"/>
      <c r="Z717" s="361"/>
    </row>
    <row r="718" ht="22.5" customHeight="1" outlineLevel="1">
      <c r="A718" s="412"/>
      <c r="B718" s="415"/>
      <c r="C718" s="394"/>
      <c r="D718" s="412"/>
      <c r="E718" s="414"/>
      <c r="F718" s="414"/>
      <c r="G718" s="414"/>
      <c r="H718" s="414"/>
      <c r="I718" s="397"/>
      <c r="J718" s="392"/>
      <c r="K718" s="361"/>
      <c r="L718" s="361"/>
      <c r="M718" s="361"/>
      <c r="N718" s="361"/>
      <c r="O718" s="361"/>
      <c r="P718" s="361"/>
      <c r="Q718" s="361"/>
      <c r="R718" s="361"/>
      <c r="S718" s="361"/>
      <c r="T718" s="361"/>
      <c r="U718" s="361"/>
      <c r="V718" s="361"/>
      <c r="W718" s="361"/>
      <c r="X718" s="361"/>
      <c r="Y718" s="361"/>
      <c r="Z718" s="361"/>
    </row>
    <row r="719" ht="22.5" customHeight="1" outlineLevel="1">
      <c r="A719" s="412"/>
      <c r="B719" s="415"/>
      <c r="C719" s="394"/>
      <c r="D719" s="412"/>
      <c r="E719" s="414"/>
      <c r="F719" s="414"/>
      <c r="G719" s="414"/>
      <c r="H719" s="414"/>
      <c r="I719" s="397"/>
      <c r="J719" s="392"/>
      <c r="K719" s="361"/>
      <c r="L719" s="361"/>
      <c r="M719" s="361"/>
      <c r="N719" s="361"/>
      <c r="O719" s="361"/>
      <c r="P719" s="361"/>
      <c r="Q719" s="361"/>
      <c r="R719" s="361"/>
      <c r="S719" s="361"/>
      <c r="T719" s="361"/>
      <c r="U719" s="361"/>
      <c r="V719" s="361"/>
      <c r="W719" s="361"/>
      <c r="X719" s="361"/>
      <c r="Y719" s="361"/>
      <c r="Z719" s="361"/>
    </row>
    <row r="720" ht="22.5" customHeight="1" outlineLevel="1">
      <c r="A720" s="412"/>
      <c r="B720" s="415"/>
      <c r="C720" s="394"/>
      <c r="D720" s="412"/>
      <c r="E720" s="414"/>
      <c r="F720" s="414"/>
      <c r="G720" s="414"/>
      <c r="H720" s="414"/>
      <c r="I720" s="397"/>
      <c r="J720" s="392"/>
      <c r="K720" s="361"/>
      <c r="L720" s="361"/>
      <c r="M720" s="361"/>
      <c r="N720" s="361"/>
      <c r="O720" s="361"/>
      <c r="P720" s="361"/>
      <c r="Q720" s="361"/>
      <c r="R720" s="361"/>
      <c r="S720" s="361"/>
      <c r="T720" s="361"/>
      <c r="U720" s="361"/>
      <c r="V720" s="361"/>
      <c r="W720" s="361"/>
      <c r="X720" s="361"/>
      <c r="Y720" s="361"/>
      <c r="Z720" s="361"/>
    </row>
    <row r="721" ht="22.5" customHeight="1" outlineLevel="1">
      <c r="A721" s="412"/>
      <c r="B721" s="415"/>
      <c r="C721" s="394"/>
      <c r="D721" s="412"/>
      <c r="E721" s="414"/>
      <c r="F721" s="414"/>
      <c r="G721" s="414"/>
      <c r="H721" s="414"/>
      <c r="I721" s="397"/>
      <c r="J721" s="392"/>
      <c r="K721" s="361"/>
      <c r="L721" s="361"/>
      <c r="M721" s="361"/>
      <c r="N721" s="361"/>
      <c r="O721" s="361"/>
      <c r="P721" s="361"/>
      <c r="Q721" s="361"/>
      <c r="R721" s="361"/>
      <c r="S721" s="361"/>
      <c r="T721" s="361"/>
      <c r="U721" s="361"/>
      <c r="V721" s="361"/>
      <c r="W721" s="361"/>
      <c r="X721" s="361"/>
      <c r="Y721" s="361"/>
      <c r="Z721" s="361"/>
    </row>
    <row r="722" ht="22.5" customHeight="1" outlineLevel="1">
      <c r="A722" s="412"/>
      <c r="B722" s="415"/>
      <c r="C722" s="394"/>
      <c r="D722" s="412"/>
      <c r="E722" s="414"/>
      <c r="F722" s="414"/>
      <c r="G722" s="414"/>
      <c r="H722" s="414"/>
      <c r="I722" s="397"/>
      <c r="J722" s="392"/>
      <c r="K722" s="361"/>
      <c r="L722" s="361"/>
      <c r="M722" s="361"/>
      <c r="N722" s="361"/>
      <c r="O722" s="361"/>
      <c r="P722" s="361"/>
      <c r="Q722" s="361"/>
      <c r="R722" s="361"/>
      <c r="S722" s="361"/>
      <c r="T722" s="361"/>
      <c r="U722" s="361"/>
      <c r="V722" s="361"/>
      <c r="W722" s="361"/>
      <c r="X722" s="361"/>
      <c r="Y722" s="361"/>
      <c r="Z722" s="361"/>
    </row>
    <row r="723" ht="22.5" customHeight="1" outlineLevel="1">
      <c r="A723" s="412"/>
      <c r="B723" s="415"/>
      <c r="C723" s="394"/>
      <c r="D723" s="412"/>
      <c r="E723" s="414"/>
      <c r="F723" s="414"/>
      <c r="G723" s="414"/>
      <c r="H723" s="414"/>
      <c r="I723" s="397"/>
      <c r="J723" s="392"/>
      <c r="K723" s="361"/>
      <c r="L723" s="361"/>
      <c r="M723" s="361"/>
      <c r="N723" s="361"/>
      <c r="O723" s="361"/>
      <c r="P723" s="361"/>
      <c r="Q723" s="361"/>
      <c r="R723" s="361"/>
      <c r="S723" s="361"/>
      <c r="T723" s="361"/>
      <c r="U723" s="361"/>
      <c r="V723" s="361"/>
      <c r="W723" s="361"/>
      <c r="X723" s="361"/>
      <c r="Y723" s="361"/>
      <c r="Z723" s="361"/>
    </row>
    <row r="724" ht="22.5" customHeight="1" outlineLevel="1">
      <c r="A724" s="412"/>
      <c r="B724" s="415"/>
      <c r="C724" s="394"/>
      <c r="D724" s="412"/>
      <c r="E724" s="414"/>
      <c r="F724" s="414"/>
      <c r="G724" s="414"/>
      <c r="H724" s="414"/>
      <c r="I724" s="397"/>
      <c r="J724" s="392"/>
      <c r="K724" s="361"/>
      <c r="L724" s="361"/>
      <c r="M724" s="361"/>
      <c r="N724" s="361"/>
      <c r="O724" s="361"/>
      <c r="P724" s="361"/>
      <c r="Q724" s="361"/>
      <c r="R724" s="361"/>
      <c r="S724" s="361"/>
      <c r="T724" s="361"/>
      <c r="U724" s="361"/>
      <c r="V724" s="361"/>
      <c r="W724" s="361"/>
      <c r="X724" s="361"/>
      <c r="Y724" s="361"/>
      <c r="Z724" s="361"/>
    </row>
    <row r="725" ht="22.5" customHeight="1" outlineLevel="1">
      <c r="A725" s="412"/>
      <c r="B725" s="415"/>
      <c r="C725" s="394"/>
      <c r="D725" s="412"/>
      <c r="E725" s="414"/>
      <c r="F725" s="414"/>
      <c r="G725" s="414"/>
      <c r="H725" s="414"/>
      <c r="I725" s="397"/>
      <c r="J725" s="392"/>
      <c r="K725" s="361"/>
      <c r="L725" s="361"/>
      <c r="M725" s="361"/>
      <c r="N725" s="361"/>
      <c r="O725" s="361"/>
      <c r="P725" s="361"/>
      <c r="Q725" s="361"/>
      <c r="R725" s="361"/>
      <c r="S725" s="361"/>
      <c r="T725" s="361"/>
      <c r="U725" s="361"/>
      <c r="V725" s="361"/>
      <c r="W725" s="361"/>
      <c r="X725" s="361"/>
      <c r="Y725" s="361"/>
      <c r="Z725" s="361"/>
    </row>
    <row r="726" ht="22.5" customHeight="1" outlineLevel="1">
      <c r="A726" s="412"/>
      <c r="B726" s="415"/>
      <c r="C726" s="394"/>
      <c r="D726" s="412"/>
      <c r="E726" s="414"/>
      <c r="F726" s="414"/>
      <c r="G726" s="414"/>
      <c r="H726" s="414"/>
      <c r="I726" s="397"/>
      <c r="J726" s="392"/>
      <c r="K726" s="361"/>
      <c r="L726" s="361"/>
      <c r="M726" s="361"/>
      <c r="N726" s="361"/>
      <c r="O726" s="361"/>
      <c r="P726" s="361"/>
      <c r="Q726" s="361"/>
      <c r="R726" s="361"/>
      <c r="S726" s="361"/>
      <c r="T726" s="361"/>
      <c r="U726" s="361"/>
      <c r="V726" s="361"/>
      <c r="W726" s="361"/>
      <c r="X726" s="361"/>
      <c r="Y726" s="361"/>
      <c r="Z726" s="361"/>
    </row>
    <row r="727" ht="22.5" customHeight="1" outlineLevel="1">
      <c r="A727" s="412"/>
      <c r="B727" s="415"/>
      <c r="C727" s="394"/>
      <c r="D727" s="412"/>
      <c r="E727" s="414"/>
      <c r="F727" s="414"/>
      <c r="G727" s="414"/>
      <c r="H727" s="414"/>
      <c r="I727" s="397"/>
      <c r="J727" s="392"/>
      <c r="K727" s="361"/>
      <c r="L727" s="361"/>
      <c r="M727" s="361"/>
      <c r="N727" s="361"/>
      <c r="O727" s="361"/>
      <c r="P727" s="361"/>
      <c r="Q727" s="361"/>
      <c r="R727" s="361"/>
      <c r="S727" s="361"/>
      <c r="T727" s="361"/>
      <c r="U727" s="361"/>
      <c r="V727" s="361"/>
      <c r="W727" s="361"/>
      <c r="X727" s="361"/>
      <c r="Y727" s="361"/>
      <c r="Z727" s="361"/>
    </row>
    <row r="728" ht="22.5" customHeight="1" outlineLevel="1">
      <c r="A728" s="412"/>
      <c r="B728" s="415"/>
      <c r="C728" s="394"/>
      <c r="D728" s="412"/>
      <c r="E728" s="414"/>
      <c r="F728" s="414"/>
      <c r="G728" s="414"/>
      <c r="H728" s="414"/>
      <c r="I728" s="397"/>
      <c r="J728" s="392"/>
      <c r="K728" s="361"/>
      <c r="L728" s="361"/>
      <c r="M728" s="361"/>
      <c r="N728" s="361"/>
      <c r="O728" s="361"/>
      <c r="P728" s="361"/>
      <c r="Q728" s="361"/>
      <c r="R728" s="361"/>
      <c r="S728" s="361"/>
      <c r="T728" s="361"/>
      <c r="U728" s="361"/>
      <c r="V728" s="361"/>
      <c r="W728" s="361"/>
      <c r="X728" s="361"/>
      <c r="Y728" s="361"/>
      <c r="Z728" s="361"/>
    </row>
    <row r="729" ht="22.5" customHeight="1" outlineLevel="1">
      <c r="A729" s="412"/>
      <c r="B729" s="415"/>
      <c r="C729" s="394"/>
      <c r="D729" s="412"/>
      <c r="E729" s="414"/>
      <c r="F729" s="414"/>
      <c r="G729" s="414"/>
      <c r="H729" s="414"/>
      <c r="I729" s="397"/>
      <c r="J729" s="392"/>
      <c r="K729" s="361"/>
      <c r="L729" s="361"/>
      <c r="M729" s="361"/>
      <c r="N729" s="361"/>
      <c r="O729" s="361"/>
      <c r="P729" s="361"/>
      <c r="Q729" s="361"/>
      <c r="R729" s="361"/>
      <c r="S729" s="361"/>
      <c r="T729" s="361"/>
      <c r="U729" s="361"/>
      <c r="V729" s="361"/>
      <c r="W729" s="361"/>
      <c r="X729" s="361"/>
      <c r="Y729" s="361"/>
      <c r="Z729" s="361"/>
    </row>
    <row r="730" ht="22.5" customHeight="1" outlineLevel="1">
      <c r="A730" s="412"/>
      <c r="B730" s="415"/>
      <c r="C730" s="394"/>
      <c r="D730" s="412"/>
      <c r="E730" s="414"/>
      <c r="F730" s="414"/>
      <c r="G730" s="414"/>
      <c r="H730" s="414"/>
      <c r="I730" s="397"/>
      <c r="J730" s="392"/>
      <c r="K730" s="361"/>
      <c r="L730" s="361"/>
      <c r="M730" s="361"/>
      <c r="N730" s="361"/>
      <c r="O730" s="361"/>
      <c r="P730" s="361"/>
      <c r="Q730" s="361"/>
      <c r="R730" s="361"/>
      <c r="S730" s="361"/>
      <c r="T730" s="361"/>
      <c r="U730" s="361"/>
      <c r="V730" s="361"/>
      <c r="W730" s="361"/>
      <c r="X730" s="361"/>
      <c r="Y730" s="361"/>
      <c r="Z730" s="361"/>
    </row>
    <row r="731" ht="22.5" customHeight="1" outlineLevel="1">
      <c r="A731" s="412"/>
      <c r="B731" s="415"/>
      <c r="C731" s="394"/>
      <c r="D731" s="412"/>
      <c r="E731" s="414"/>
      <c r="F731" s="414"/>
      <c r="G731" s="414"/>
      <c r="H731" s="414"/>
      <c r="I731" s="397"/>
      <c r="J731" s="392"/>
      <c r="K731" s="361"/>
      <c r="L731" s="361"/>
      <c r="M731" s="361"/>
      <c r="N731" s="361"/>
      <c r="O731" s="361"/>
      <c r="P731" s="361"/>
      <c r="Q731" s="361"/>
      <c r="R731" s="361"/>
      <c r="S731" s="361"/>
      <c r="T731" s="361"/>
      <c r="U731" s="361"/>
      <c r="V731" s="361"/>
      <c r="W731" s="361"/>
      <c r="X731" s="361"/>
      <c r="Y731" s="361"/>
      <c r="Z731" s="361"/>
    </row>
    <row r="732" ht="22.5" customHeight="1" outlineLevel="1">
      <c r="A732" s="412"/>
      <c r="B732" s="415"/>
      <c r="C732" s="394"/>
      <c r="D732" s="412"/>
      <c r="E732" s="414"/>
      <c r="F732" s="414"/>
      <c r="G732" s="414"/>
      <c r="H732" s="414"/>
      <c r="I732" s="397"/>
      <c r="J732" s="392"/>
      <c r="K732" s="361"/>
      <c r="L732" s="361"/>
      <c r="M732" s="361"/>
      <c r="N732" s="361"/>
      <c r="O732" s="361"/>
      <c r="P732" s="361"/>
      <c r="Q732" s="361"/>
      <c r="R732" s="361"/>
      <c r="S732" s="361"/>
      <c r="T732" s="361"/>
      <c r="U732" s="361"/>
      <c r="V732" s="361"/>
      <c r="W732" s="361"/>
      <c r="X732" s="361"/>
      <c r="Y732" s="361"/>
      <c r="Z732" s="361"/>
    </row>
    <row r="733" ht="22.5" customHeight="1" outlineLevel="1">
      <c r="A733" s="412"/>
      <c r="B733" s="415"/>
      <c r="C733" s="394"/>
      <c r="D733" s="412"/>
      <c r="E733" s="414"/>
      <c r="F733" s="414"/>
      <c r="G733" s="414"/>
      <c r="H733" s="414"/>
      <c r="I733" s="397"/>
      <c r="J733" s="392"/>
      <c r="K733" s="361"/>
      <c r="L733" s="361"/>
      <c r="M733" s="361"/>
      <c r="N733" s="361"/>
      <c r="O733" s="361"/>
      <c r="P733" s="361"/>
      <c r="Q733" s="361"/>
      <c r="R733" s="361"/>
      <c r="S733" s="361"/>
      <c r="T733" s="361"/>
      <c r="U733" s="361"/>
      <c r="V733" s="361"/>
      <c r="W733" s="361"/>
      <c r="X733" s="361"/>
      <c r="Y733" s="361"/>
      <c r="Z733" s="361"/>
    </row>
    <row r="734" ht="22.5" customHeight="1" outlineLevel="1">
      <c r="A734" s="412"/>
      <c r="B734" s="415"/>
      <c r="C734" s="394"/>
      <c r="D734" s="412"/>
      <c r="E734" s="414"/>
      <c r="F734" s="414"/>
      <c r="G734" s="414"/>
      <c r="H734" s="414"/>
      <c r="I734" s="397"/>
      <c r="J734" s="392"/>
      <c r="K734" s="361"/>
      <c r="L734" s="361"/>
      <c r="M734" s="361"/>
      <c r="N734" s="361"/>
      <c r="O734" s="361"/>
      <c r="P734" s="361"/>
      <c r="Q734" s="361"/>
      <c r="R734" s="361"/>
      <c r="S734" s="361"/>
      <c r="T734" s="361"/>
      <c r="U734" s="361"/>
      <c r="V734" s="361"/>
      <c r="W734" s="361"/>
      <c r="X734" s="361"/>
      <c r="Y734" s="361"/>
      <c r="Z734" s="361"/>
    </row>
    <row r="735" ht="22.5" customHeight="1" outlineLevel="1">
      <c r="A735" s="412"/>
      <c r="B735" s="415"/>
      <c r="C735" s="394"/>
      <c r="D735" s="412"/>
      <c r="E735" s="414"/>
      <c r="F735" s="414"/>
      <c r="G735" s="414"/>
      <c r="H735" s="414"/>
      <c r="I735" s="397"/>
      <c r="J735" s="392"/>
      <c r="K735" s="361"/>
      <c r="L735" s="361"/>
      <c r="M735" s="361"/>
      <c r="N735" s="361"/>
      <c r="O735" s="361"/>
      <c r="P735" s="361"/>
      <c r="Q735" s="361"/>
      <c r="R735" s="361"/>
      <c r="S735" s="361"/>
      <c r="T735" s="361"/>
      <c r="U735" s="361"/>
      <c r="V735" s="361"/>
      <c r="W735" s="361"/>
      <c r="X735" s="361"/>
      <c r="Y735" s="361"/>
      <c r="Z735" s="361"/>
    </row>
    <row r="736" ht="22.5" customHeight="1" outlineLevel="1">
      <c r="A736" s="412"/>
      <c r="B736" s="415"/>
      <c r="C736" s="394"/>
      <c r="D736" s="412"/>
      <c r="E736" s="414"/>
      <c r="F736" s="414"/>
      <c r="G736" s="414"/>
      <c r="H736" s="414"/>
      <c r="I736" s="397"/>
      <c r="J736" s="392"/>
      <c r="K736" s="361"/>
      <c r="L736" s="361"/>
      <c r="M736" s="361"/>
      <c r="N736" s="361"/>
      <c r="O736" s="361"/>
      <c r="P736" s="361"/>
      <c r="Q736" s="361"/>
      <c r="R736" s="361"/>
      <c r="S736" s="361"/>
      <c r="T736" s="361"/>
      <c r="U736" s="361"/>
      <c r="V736" s="361"/>
      <c r="W736" s="361"/>
      <c r="X736" s="361"/>
      <c r="Y736" s="361"/>
      <c r="Z736" s="361"/>
    </row>
    <row r="737" ht="22.5" customHeight="1" outlineLevel="1">
      <c r="A737" s="412"/>
      <c r="B737" s="415"/>
      <c r="C737" s="394"/>
      <c r="D737" s="412"/>
      <c r="E737" s="414"/>
      <c r="F737" s="414"/>
      <c r="G737" s="414"/>
      <c r="H737" s="414"/>
      <c r="I737" s="397"/>
      <c r="J737" s="392"/>
      <c r="K737" s="361"/>
      <c r="L737" s="361"/>
      <c r="M737" s="361"/>
      <c r="N737" s="361"/>
      <c r="O737" s="361"/>
      <c r="P737" s="361"/>
      <c r="Q737" s="361"/>
      <c r="R737" s="361"/>
      <c r="S737" s="361"/>
      <c r="T737" s="361"/>
      <c r="U737" s="361"/>
      <c r="V737" s="361"/>
      <c r="W737" s="361"/>
      <c r="X737" s="361"/>
      <c r="Y737" s="361"/>
      <c r="Z737" s="361"/>
    </row>
    <row r="738" ht="22.5" customHeight="1" outlineLevel="1">
      <c r="A738" s="412"/>
      <c r="B738" s="415"/>
      <c r="C738" s="394"/>
      <c r="D738" s="412"/>
      <c r="E738" s="414"/>
      <c r="F738" s="414"/>
      <c r="G738" s="414"/>
      <c r="H738" s="414"/>
      <c r="I738" s="397"/>
      <c r="J738" s="392"/>
      <c r="K738" s="361"/>
      <c r="L738" s="361"/>
      <c r="M738" s="361"/>
      <c r="N738" s="361"/>
      <c r="O738" s="361"/>
      <c r="P738" s="361"/>
      <c r="Q738" s="361"/>
      <c r="R738" s="361"/>
      <c r="S738" s="361"/>
      <c r="T738" s="361"/>
      <c r="U738" s="361"/>
      <c r="V738" s="361"/>
      <c r="W738" s="361"/>
      <c r="X738" s="361"/>
      <c r="Y738" s="361"/>
      <c r="Z738" s="361"/>
    </row>
    <row r="739" ht="22.5" customHeight="1" outlineLevel="1">
      <c r="A739" s="412"/>
      <c r="B739" s="415"/>
      <c r="C739" s="394"/>
      <c r="D739" s="412"/>
      <c r="E739" s="414"/>
      <c r="F739" s="414"/>
      <c r="G739" s="414"/>
      <c r="H739" s="414"/>
      <c r="I739" s="397"/>
      <c r="J739" s="392"/>
      <c r="K739" s="361"/>
      <c r="L739" s="361"/>
      <c r="M739" s="361"/>
      <c r="N739" s="361"/>
      <c r="O739" s="361"/>
      <c r="P739" s="361"/>
      <c r="Q739" s="361"/>
      <c r="R739" s="361"/>
      <c r="S739" s="361"/>
      <c r="T739" s="361"/>
      <c r="U739" s="361"/>
      <c r="V739" s="361"/>
      <c r="W739" s="361"/>
      <c r="X739" s="361"/>
      <c r="Y739" s="361"/>
      <c r="Z739" s="361"/>
    </row>
    <row r="740" ht="22.5" customHeight="1" outlineLevel="1">
      <c r="A740" s="412"/>
      <c r="B740" s="415"/>
      <c r="C740" s="394"/>
      <c r="D740" s="412"/>
      <c r="E740" s="414"/>
      <c r="F740" s="414"/>
      <c r="G740" s="414"/>
      <c r="H740" s="414"/>
      <c r="I740" s="397"/>
      <c r="J740" s="392"/>
      <c r="K740" s="361"/>
      <c r="L740" s="361"/>
      <c r="M740" s="361"/>
      <c r="N740" s="361"/>
      <c r="O740" s="361"/>
      <c r="P740" s="361"/>
      <c r="Q740" s="361"/>
      <c r="R740" s="361"/>
      <c r="S740" s="361"/>
      <c r="T740" s="361"/>
      <c r="U740" s="361"/>
      <c r="V740" s="361"/>
      <c r="W740" s="361"/>
      <c r="X740" s="361"/>
      <c r="Y740" s="361"/>
      <c r="Z740" s="361"/>
    </row>
    <row r="741" ht="22.5" customHeight="1" outlineLevel="1">
      <c r="A741" s="412"/>
      <c r="B741" s="415"/>
      <c r="C741" s="394"/>
      <c r="D741" s="412"/>
      <c r="E741" s="414"/>
      <c r="F741" s="414"/>
      <c r="G741" s="414"/>
      <c r="H741" s="414"/>
      <c r="I741" s="397"/>
      <c r="J741" s="392"/>
      <c r="K741" s="361"/>
      <c r="L741" s="361"/>
      <c r="M741" s="361"/>
      <c r="N741" s="361"/>
      <c r="O741" s="361"/>
      <c r="P741" s="361"/>
      <c r="Q741" s="361"/>
      <c r="R741" s="361"/>
      <c r="S741" s="361"/>
      <c r="T741" s="361"/>
      <c r="U741" s="361"/>
      <c r="V741" s="361"/>
      <c r="W741" s="361"/>
      <c r="X741" s="361"/>
      <c r="Y741" s="361"/>
      <c r="Z741" s="361"/>
    </row>
    <row r="742" ht="22.5" customHeight="1" outlineLevel="1">
      <c r="A742" s="412"/>
      <c r="B742" s="415"/>
      <c r="C742" s="394"/>
      <c r="D742" s="412"/>
      <c r="E742" s="414"/>
      <c r="F742" s="414"/>
      <c r="G742" s="414"/>
      <c r="H742" s="414"/>
      <c r="I742" s="397"/>
      <c r="J742" s="392"/>
      <c r="K742" s="361"/>
      <c r="L742" s="361"/>
      <c r="M742" s="361"/>
      <c r="N742" s="361"/>
      <c r="O742" s="361"/>
      <c r="P742" s="361"/>
      <c r="Q742" s="361"/>
      <c r="R742" s="361"/>
      <c r="S742" s="361"/>
      <c r="T742" s="361"/>
      <c r="U742" s="361"/>
      <c r="V742" s="361"/>
      <c r="W742" s="361"/>
      <c r="X742" s="361"/>
      <c r="Y742" s="361"/>
      <c r="Z742" s="361"/>
    </row>
    <row r="743" ht="22.5" customHeight="1" outlineLevel="1">
      <c r="A743" s="412"/>
      <c r="B743" s="415"/>
      <c r="C743" s="394"/>
      <c r="D743" s="412"/>
      <c r="E743" s="414"/>
      <c r="F743" s="414"/>
      <c r="G743" s="414"/>
      <c r="H743" s="414"/>
      <c r="I743" s="397"/>
      <c r="J743" s="392"/>
      <c r="K743" s="361"/>
      <c r="L743" s="361"/>
      <c r="M743" s="361"/>
      <c r="N743" s="361"/>
      <c r="O743" s="361"/>
      <c r="P743" s="361"/>
      <c r="Q743" s="361"/>
      <c r="R743" s="361"/>
      <c r="S743" s="361"/>
      <c r="T743" s="361"/>
      <c r="U743" s="361"/>
      <c r="V743" s="361"/>
      <c r="W743" s="361"/>
      <c r="X743" s="361"/>
      <c r="Y743" s="361"/>
      <c r="Z743" s="361"/>
    </row>
    <row r="744" ht="22.5" customHeight="1" outlineLevel="1">
      <c r="A744" s="412"/>
      <c r="B744" s="415"/>
      <c r="C744" s="394"/>
      <c r="D744" s="412"/>
      <c r="E744" s="414"/>
      <c r="F744" s="414"/>
      <c r="G744" s="414"/>
      <c r="H744" s="414"/>
      <c r="I744" s="397"/>
      <c r="J744" s="392"/>
      <c r="K744" s="361"/>
      <c r="L744" s="361"/>
      <c r="M744" s="361"/>
      <c r="N744" s="361"/>
      <c r="O744" s="361"/>
      <c r="P744" s="361"/>
      <c r="Q744" s="361"/>
      <c r="R744" s="361"/>
      <c r="S744" s="361"/>
      <c r="T744" s="361"/>
      <c r="U744" s="361"/>
      <c r="V744" s="361"/>
      <c r="W744" s="361"/>
      <c r="X744" s="361"/>
      <c r="Y744" s="361"/>
      <c r="Z744" s="361"/>
    </row>
    <row r="745" ht="22.5" customHeight="1" outlineLevel="1">
      <c r="A745" s="412"/>
      <c r="B745" s="415"/>
      <c r="C745" s="394"/>
      <c r="D745" s="412"/>
      <c r="E745" s="414"/>
      <c r="F745" s="414"/>
      <c r="G745" s="414"/>
      <c r="H745" s="414"/>
      <c r="I745" s="397"/>
      <c r="J745" s="392"/>
      <c r="K745" s="361"/>
      <c r="L745" s="361"/>
      <c r="M745" s="361"/>
      <c r="N745" s="361"/>
      <c r="O745" s="361"/>
      <c r="P745" s="361"/>
      <c r="Q745" s="361"/>
      <c r="R745" s="361"/>
      <c r="S745" s="361"/>
      <c r="T745" s="361"/>
      <c r="U745" s="361"/>
      <c r="V745" s="361"/>
      <c r="W745" s="361"/>
      <c r="X745" s="361"/>
      <c r="Y745" s="361"/>
      <c r="Z745" s="361"/>
    </row>
    <row r="746" ht="22.5" customHeight="1" outlineLevel="1">
      <c r="A746" s="412"/>
      <c r="B746" s="415"/>
      <c r="C746" s="394"/>
      <c r="D746" s="412"/>
      <c r="E746" s="414"/>
      <c r="F746" s="414"/>
      <c r="G746" s="414"/>
      <c r="H746" s="414"/>
      <c r="I746" s="397"/>
      <c r="J746" s="392"/>
      <c r="K746" s="361"/>
      <c r="L746" s="361"/>
      <c r="M746" s="361"/>
      <c r="N746" s="361"/>
      <c r="O746" s="361"/>
      <c r="P746" s="361"/>
      <c r="Q746" s="361"/>
      <c r="R746" s="361"/>
      <c r="S746" s="361"/>
      <c r="T746" s="361"/>
      <c r="U746" s="361"/>
      <c r="V746" s="361"/>
      <c r="W746" s="361"/>
      <c r="X746" s="361"/>
      <c r="Y746" s="361"/>
      <c r="Z746" s="361"/>
    </row>
    <row r="747" ht="22.5" customHeight="1" outlineLevel="1">
      <c r="A747" s="412"/>
      <c r="B747" s="415"/>
      <c r="C747" s="394"/>
      <c r="D747" s="412"/>
      <c r="E747" s="414"/>
      <c r="F747" s="414"/>
      <c r="G747" s="414"/>
      <c r="H747" s="414"/>
      <c r="I747" s="397"/>
      <c r="J747" s="392"/>
      <c r="K747" s="361"/>
      <c r="L747" s="361"/>
      <c r="M747" s="361"/>
      <c r="N747" s="361"/>
      <c r="O747" s="361"/>
      <c r="P747" s="361"/>
      <c r="Q747" s="361"/>
      <c r="R747" s="361"/>
      <c r="S747" s="361"/>
      <c r="T747" s="361"/>
      <c r="U747" s="361"/>
      <c r="V747" s="361"/>
      <c r="W747" s="361"/>
      <c r="X747" s="361"/>
      <c r="Y747" s="361"/>
      <c r="Z747" s="361"/>
    </row>
    <row r="748" ht="22.5" customHeight="1" outlineLevel="1">
      <c r="A748" s="412"/>
      <c r="B748" s="415"/>
      <c r="C748" s="394"/>
      <c r="D748" s="412"/>
      <c r="E748" s="414"/>
      <c r="F748" s="414"/>
      <c r="G748" s="414"/>
      <c r="H748" s="414"/>
      <c r="I748" s="397"/>
      <c r="J748" s="392"/>
      <c r="K748" s="361"/>
      <c r="L748" s="361"/>
      <c r="M748" s="361"/>
      <c r="N748" s="361"/>
      <c r="O748" s="361"/>
      <c r="P748" s="361"/>
      <c r="Q748" s="361"/>
      <c r="R748" s="361"/>
      <c r="S748" s="361"/>
      <c r="T748" s="361"/>
      <c r="U748" s="361"/>
      <c r="V748" s="361"/>
      <c r="W748" s="361"/>
      <c r="X748" s="361"/>
      <c r="Y748" s="361"/>
      <c r="Z748" s="361"/>
    </row>
    <row r="749" ht="22.5" customHeight="1" outlineLevel="1">
      <c r="A749" s="412"/>
      <c r="B749" s="415"/>
      <c r="C749" s="394"/>
      <c r="D749" s="412"/>
      <c r="E749" s="414"/>
      <c r="F749" s="414"/>
      <c r="G749" s="414"/>
      <c r="H749" s="414"/>
      <c r="I749" s="397"/>
      <c r="J749" s="392"/>
      <c r="K749" s="361"/>
      <c r="L749" s="361"/>
      <c r="M749" s="361"/>
      <c r="N749" s="361"/>
      <c r="O749" s="361"/>
      <c r="P749" s="361"/>
      <c r="Q749" s="361"/>
      <c r="R749" s="361"/>
      <c r="S749" s="361"/>
      <c r="T749" s="361"/>
      <c r="U749" s="361"/>
      <c r="V749" s="361"/>
      <c r="W749" s="361"/>
      <c r="X749" s="361"/>
      <c r="Y749" s="361"/>
      <c r="Z749" s="361"/>
    </row>
    <row r="750" ht="22.5" customHeight="1" outlineLevel="1">
      <c r="A750" s="412"/>
      <c r="B750" s="415"/>
      <c r="C750" s="394"/>
      <c r="D750" s="412"/>
      <c r="E750" s="414"/>
      <c r="F750" s="414"/>
      <c r="G750" s="414"/>
      <c r="H750" s="414"/>
      <c r="I750" s="397"/>
      <c r="J750" s="392"/>
      <c r="K750" s="361"/>
      <c r="L750" s="361"/>
      <c r="M750" s="361"/>
      <c r="N750" s="361"/>
      <c r="O750" s="361"/>
      <c r="P750" s="361"/>
      <c r="Q750" s="361"/>
      <c r="R750" s="361"/>
      <c r="S750" s="361"/>
      <c r="T750" s="361"/>
      <c r="U750" s="361"/>
      <c r="V750" s="361"/>
      <c r="W750" s="361"/>
      <c r="X750" s="361"/>
      <c r="Y750" s="361"/>
      <c r="Z750" s="361"/>
    </row>
    <row r="751" ht="22.5" customHeight="1" outlineLevel="1">
      <c r="A751" s="412"/>
      <c r="B751" s="415"/>
      <c r="C751" s="394"/>
      <c r="D751" s="412"/>
      <c r="E751" s="414"/>
      <c r="F751" s="414"/>
      <c r="G751" s="414"/>
      <c r="H751" s="414"/>
      <c r="I751" s="397"/>
      <c r="J751" s="392"/>
      <c r="K751" s="361"/>
      <c r="L751" s="361"/>
      <c r="M751" s="361"/>
      <c r="N751" s="361"/>
      <c r="O751" s="361"/>
      <c r="P751" s="361"/>
      <c r="Q751" s="361"/>
      <c r="R751" s="361"/>
      <c r="S751" s="361"/>
      <c r="T751" s="361"/>
      <c r="U751" s="361"/>
      <c r="V751" s="361"/>
      <c r="W751" s="361"/>
      <c r="X751" s="361"/>
      <c r="Y751" s="361"/>
      <c r="Z751" s="361"/>
    </row>
    <row r="752" ht="22.5" customHeight="1" outlineLevel="1">
      <c r="A752" s="412"/>
      <c r="B752" s="415"/>
      <c r="C752" s="394"/>
      <c r="D752" s="412"/>
      <c r="E752" s="414"/>
      <c r="F752" s="414"/>
      <c r="G752" s="414"/>
      <c r="H752" s="414"/>
      <c r="I752" s="397"/>
      <c r="J752" s="392"/>
      <c r="K752" s="361"/>
      <c r="L752" s="361"/>
      <c r="M752" s="361"/>
      <c r="N752" s="361"/>
      <c r="O752" s="361"/>
      <c r="P752" s="361"/>
      <c r="Q752" s="361"/>
      <c r="R752" s="361"/>
      <c r="S752" s="361"/>
      <c r="T752" s="361"/>
      <c r="U752" s="361"/>
      <c r="V752" s="361"/>
      <c r="W752" s="361"/>
      <c r="X752" s="361"/>
      <c r="Y752" s="361"/>
      <c r="Z752" s="361"/>
    </row>
    <row r="753" ht="22.5" customHeight="1" outlineLevel="1">
      <c r="A753" s="412"/>
      <c r="B753" s="415"/>
      <c r="C753" s="394"/>
      <c r="D753" s="412"/>
      <c r="E753" s="414"/>
      <c r="F753" s="414"/>
      <c r="G753" s="414"/>
      <c r="H753" s="414"/>
      <c r="I753" s="397"/>
      <c r="J753" s="392"/>
      <c r="K753" s="361"/>
      <c r="L753" s="361"/>
      <c r="M753" s="361"/>
      <c r="N753" s="361"/>
      <c r="O753" s="361"/>
      <c r="P753" s="361"/>
      <c r="Q753" s="361"/>
      <c r="R753" s="361"/>
      <c r="S753" s="361"/>
      <c r="T753" s="361"/>
      <c r="U753" s="361"/>
      <c r="V753" s="361"/>
      <c r="W753" s="361"/>
      <c r="X753" s="361"/>
      <c r="Y753" s="361"/>
      <c r="Z753" s="361"/>
    </row>
    <row r="754" ht="22.5" customHeight="1" outlineLevel="1">
      <c r="A754" s="412"/>
      <c r="B754" s="415"/>
      <c r="C754" s="394"/>
      <c r="D754" s="412"/>
      <c r="E754" s="414"/>
      <c r="F754" s="414"/>
      <c r="G754" s="414"/>
      <c r="H754" s="414"/>
      <c r="I754" s="397"/>
      <c r="J754" s="392"/>
      <c r="K754" s="361"/>
      <c r="L754" s="361"/>
      <c r="M754" s="361"/>
      <c r="N754" s="361"/>
      <c r="O754" s="361"/>
      <c r="P754" s="361"/>
      <c r="Q754" s="361"/>
      <c r="R754" s="361"/>
      <c r="S754" s="361"/>
      <c r="T754" s="361"/>
      <c r="U754" s="361"/>
      <c r="V754" s="361"/>
      <c r="W754" s="361"/>
      <c r="X754" s="361"/>
      <c r="Y754" s="361"/>
      <c r="Z754" s="361"/>
    </row>
    <row r="755" ht="22.5" customHeight="1" outlineLevel="1">
      <c r="A755" s="412"/>
      <c r="B755" s="415"/>
      <c r="C755" s="394"/>
      <c r="D755" s="412"/>
      <c r="E755" s="414"/>
      <c r="F755" s="414"/>
      <c r="G755" s="414"/>
      <c r="H755" s="414"/>
      <c r="I755" s="397"/>
      <c r="J755" s="392"/>
      <c r="K755" s="361"/>
      <c r="L755" s="361"/>
      <c r="M755" s="361"/>
      <c r="N755" s="361"/>
      <c r="O755" s="361"/>
      <c r="P755" s="361"/>
      <c r="Q755" s="361"/>
      <c r="R755" s="361"/>
      <c r="S755" s="361"/>
      <c r="T755" s="361"/>
      <c r="U755" s="361"/>
      <c r="V755" s="361"/>
      <c r="W755" s="361"/>
      <c r="X755" s="361"/>
      <c r="Y755" s="361"/>
      <c r="Z755" s="361"/>
    </row>
    <row r="756" ht="22.5" customHeight="1" outlineLevel="1">
      <c r="A756" s="412"/>
      <c r="B756" s="415"/>
      <c r="C756" s="394"/>
      <c r="D756" s="412"/>
      <c r="E756" s="414"/>
      <c r="F756" s="414"/>
      <c r="G756" s="414"/>
      <c r="H756" s="414"/>
      <c r="I756" s="397"/>
      <c r="J756" s="392"/>
      <c r="K756" s="361"/>
      <c r="L756" s="361"/>
      <c r="M756" s="361"/>
      <c r="N756" s="361"/>
      <c r="O756" s="361"/>
      <c r="P756" s="361"/>
      <c r="Q756" s="361"/>
      <c r="R756" s="361"/>
      <c r="S756" s="361"/>
      <c r="T756" s="361"/>
      <c r="U756" s="361"/>
      <c r="V756" s="361"/>
      <c r="W756" s="361"/>
      <c r="X756" s="361"/>
      <c r="Y756" s="361"/>
      <c r="Z756" s="361"/>
    </row>
    <row r="757" ht="22.5" customHeight="1" outlineLevel="1">
      <c r="A757" s="412"/>
      <c r="B757" s="415"/>
      <c r="C757" s="394"/>
      <c r="D757" s="412"/>
      <c r="E757" s="414"/>
      <c r="F757" s="414"/>
      <c r="G757" s="414"/>
      <c r="H757" s="414"/>
      <c r="I757" s="397"/>
      <c r="J757" s="392"/>
      <c r="K757" s="361"/>
      <c r="L757" s="361"/>
      <c r="M757" s="361"/>
      <c r="N757" s="361"/>
      <c r="O757" s="361"/>
      <c r="P757" s="361"/>
      <c r="Q757" s="361"/>
      <c r="R757" s="361"/>
      <c r="S757" s="361"/>
      <c r="T757" s="361"/>
      <c r="U757" s="361"/>
      <c r="V757" s="361"/>
      <c r="W757" s="361"/>
      <c r="X757" s="361"/>
      <c r="Y757" s="361"/>
      <c r="Z757" s="361"/>
    </row>
    <row r="758" ht="22.5" customHeight="1" outlineLevel="1">
      <c r="A758" s="412"/>
      <c r="B758" s="415"/>
      <c r="C758" s="394"/>
      <c r="D758" s="412"/>
      <c r="E758" s="414"/>
      <c r="F758" s="414"/>
      <c r="G758" s="414"/>
      <c r="H758" s="414"/>
      <c r="I758" s="397"/>
      <c r="J758" s="392"/>
      <c r="K758" s="361"/>
      <c r="L758" s="361"/>
      <c r="M758" s="361"/>
      <c r="N758" s="361"/>
      <c r="O758" s="361"/>
      <c r="P758" s="361"/>
      <c r="Q758" s="361"/>
      <c r="R758" s="361"/>
      <c r="S758" s="361"/>
      <c r="T758" s="361"/>
      <c r="U758" s="361"/>
      <c r="V758" s="361"/>
      <c r="W758" s="361"/>
      <c r="X758" s="361"/>
      <c r="Y758" s="361"/>
      <c r="Z758" s="361"/>
    </row>
    <row r="759" ht="22.5" customHeight="1" outlineLevel="1">
      <c r="A759" s="412"/>
      <c r="B759" s="415"/>
      <c r="C759" s="394"/>
      <c r="D759" s="412"/>
      <c r="E759" s="414"/>
      <c r="F759" s="414"/>
      <c r="G759" s="414"/>
      <c r="H759" s="414"/>
      <c r="I759" s="397"/>
      <c r="J759" s="392"/>
      <c r="K759" s="361"/>
      <c r="L759" s="361"/>
      <c r="M759" s="361"/>
      <c r="N759" s="361"/>
      <c r="O759" s="361"/>
      <c r="P759" s="361"/>
      <c r="Q759" s="361"/>
      <c r="R759" s="361"/>
      <c r="S759" s="361"/>
      <c r="T759" s="361"/>
      <c r="U759" s="361"/>
      <c r="V759" s="361"/>
      <c r="W759" s="361"/>
      <c r="X759" s="361"/>
      <c r="Y759" s="361"/>
      <c r="Z759" s="361"/>
    </row>
    <row r="760" ht="22.5" customHeight="1" outlineLevel="1">
      <c r="A760" s="412"/>
      <c r="B760" s="415"/>
      <c r="C760" s="394"/>
      <c r="D760" s="412"/>
      <c r="E760" s="414"/>
      <c r="F760" s="414"/>
      <c r="G760" s="414"/>
      <c r="H760" s="414"/>
      <c r="I760" s="397"/>
      <c r="J760" s="392"/>
      <c r="K760" s="361"/>
      <c r="L760" s="361"/>
      <c r="M760" s="361"/>
      <c r="N760" s="361"/>
      <c r="O760" s="361"/>
      <c r="P760" s="361"/>
      <c r="Q760" s="361"/>
      <c r="R760" s="361"/>
      <c r="S760" s="361"/>
      <c r="T760" s="361"/>
      <c r="U760" s="361"/>
      <c r="V760" s="361"/>
      <c r="W760" s="361"/>
      <c r="X760" s="361"/>
      <c r="Y760" s="361"/>
      <c r="Z760" s="361"/>
    </row>
    <row r="761" ht="22.5" customHeight="1" outlineLevel="1">
      <c r="A761" s="412"/>
      <c r="B761" s="415"/>
      <c r="C761" s="394"/>
      <c r="D761" s="412"/>
      <c r="E761" s="414"/>
      <c r="F761" s="414"/>
      <c r="G761" s="414"/>
      <c r="H761" s="414"/>
      <c r="I761" s="397"/>
      <c r="J761" s="392"/>
      <c r="K761" s="361"/>
      <c r="L761" s="361"/>
      <c r="M761" s="361"/>
      <c r="N761" s="361"/>
      <c r="O761" s="361"/>
      <c r="P761" s="361"/>
      <c r="Q761" s="361"/>
      <c r="R761" s="361"/>
      <c r="S761" s="361"/>
      <c r="T761" s="361"/>
      <c r="U761" s="361"/>
      <c r="V761" s="361"/>
      <c r="W761" s="361"/>
      <c r="X761" s="361"/>
      <c r="Y761" s="361"/>
      <c r="Z761" s="361"/>
    </row>
    <row r="762" ht="22.5" customHeight="1" outlineLevel="1">
      <c r="A762" s="412"/>
      <c r="B762" s="415"/>
      <c r="C762" s="394"/>
      <c r="D762" s="412"/>
      <c r="E762" s="414"/>
      <c r="F762" s="414"/>
      <c r="G762" s="414"/>
      <c r="H762" s="414"/>
      <c r="I762" s="397"/>
      <c r="J762" s="392"/>
      <c r="K762" s="361"/>
      <c r="L762" s="361"/>
      <c r="M762" s="361"/>
      <c r="N762" s="361"/>
      <c r="O762" s="361"/>
      <c r="P762" s="361"/>
      <c r="Q762" s="361"/>
      <c r="R762" s="361"/>
      <c r="S762" s="361"/>
      <c r="T762" s="361"/>
      <c r="U762" s="361"/>
      <c r="V762" s="361"/>
      <c r="W762" s="361"/>
      <c r="X762" s="361"/>
      <c r="Y762" s="361"/>
      <c r="Z762" s="361"/>
    </row>
    <row r="763" ht="22.5" customHeight="1" outlineLevel="1">
      <c r="A763" s="412"/>
      <c r="B763" s="415"/>
      <c r="C763" s="394"/>
      <c r="D763" s="412"/>
      <c r="E763" s="414"/>
      <c r="F763" s="414"/>
      <c r="G763" s="414"/>
      <c r="H763" s="414"/>
      <c r="I763" s="397"/>
      <c r="J763" s="392"/>
      <c r="K763" s="361"/>
      <c r="L763" s="361"/>
      <c r="M763" s="361"/>
      <c r="N763" s="361"/>
      <c r="O763" s="361"/>
      <c r="P763" s="361"/>
      <c r="Q763" s="361"/>
      <c r="R763" s="361"/>
      <c r="S763" s="361"/>
      <c r="T763" s="361"/>
      <c r="U763" s="361"/>
      <c r="V763" s="361"/>
      <c r="W763" s="361"/>
      <c r="X763" s="361"/>
      <c r="Y763" s="361"/>
      <c r="Z763" s="361"/>
    </row>
    <row r="764" ht="22.5" customHeight="1" outlineLevel="1">
      <c r="A764" s="412"/>
      <c r="B764" s="415"/>
      <c r="C764" s="394"/>
      <c r="D764" s="412"/>
      <c r="E764" s="414"/>
      <c r="F764" s="414"/>
      <c r="G764" s="414"/>
      <c r="H764" s="414"/>
      <c r="I764" s="397"/>
      <c r="J764" s="392"/>
      <c r="K764" s="361"/>
      <c r="L764" s="361"/>
      <c r="M764" s="361"/>
      <c r="N764" s="361"/>
      <c r="O764" s="361"/>
      <c r="P764" s="361"/>
      <c r="Q764" s="361"/>
      <c r="R764" s="361"/>
      <c r="S764" s="361"/>
      <c r="T764" s="361"/>
      <c r="U764" s="361"/>
      <c r="V764" s="361"/>
      <c r="W764" s="361"/>
      <c r="X764" s="361"/>
      <c r="Y764" s="361"/>
      <c r="Z764" s="361"/>
    </row>
    <row r="765" ht="22.5" customHeight="1" outlineLevel="1">
      <c r="A765" s="412"/>
      <c r="B765" s="415"/>
      <c r="C765" s="394"/>
      <c r="D765" s="412"/>
      <c r="E765" s="414"/>
      <c r="F765" s="414"/>
      <c r="G765" s="414"/>
      <c r="H765" s="414"/>
      <c r="I765" s="397"/>
      <c r="J765" s="392"/>
      <c r="K765" s="361"/>
      <c r="L765" s="361"/>
      <c r="M765" s="361"/>
      <c r="N765" s="361"/>
      <c r="O765" s="361"/>
      <c r="P765" s="361"/>
      <c r="Q765" s="361"/>
      <c r="R765" s="361"/>
      <c r="S765" s="361"/>
      <c r="T765" s="361"/>
      <c r="U765" s="361"/>
      <c r="V765" s="361"/>
      <c r="W765" s="361"/>
      <c r="X765" s="361"/>
      <c r="Y765" s="361"/>
      <c r="Z765" s="361"/>
    </row>
    <row r="766" ht="22.5" customHeight="1" outlineLevel="1">
      <c r="A766" s="412"/>
      <c r="B766" s="415"/>
      <c r="C766" s="394"/>
      <c r="D766" s="412"/>
      <c r="E766" s="414"/>
      <c r="F766" s="414"/>
      <c r="G766" s="414"/>
      <c r="H766" s="414"/>
      <c r="I766" s="397"/>
      <c r="J766" s="392"/>
      <c r="K766" s="361"/>
      <c r="L766" s="361"/>
      <c r="M766" s="361"/>
      <c r="N766" s="361"/>
      <c r="O766" s="361"/>
      <c r="P766" s="361"/>
      <c r="Q766" s="361"/>
      <c r="R766" s="361"/>
      <c r="S766" s="361"/>
      <c r="T766" s="361"/>
      <c r="U766" s="361"/>
      <c r="V766" s="361"/>
      <c r="W766" s="361"/>
      <c r="X766" s="361"/>
      <c r="Y766" s="361"/>
      <c r="Z766" s="361"/>
    </row>
    <row r="767" ht="22.5" customHeight="1" outlineLevel="1">
      <c r="A767" s="412"/>
      <c r="B767" s="415"/>
      <c r="C767" s="394"/>
      <c r="D767" s="412"/>
      <c r="E767" s="414"/>
      <c r="F767" s="414"/>
      <c r="G767" s="414"/>
      <c r="H767" s="414"/>
      <c r="I767" s="397"/>
      <c r="J767" s="392"/>
      <c r="K767" s="361"/>
      <c r="L767" s="361"/>
      <c r="M767" s="361"/>
      <c r="N767" s="361"/>
      <c r="O767" s="361"/>
      <c r="P767" s="361"/>
      <c r="Q767" s="361"/>
      <c r="R767" s="361"/>
      <c r="S767" s="361"/>
      <c r="T767" s="361"/>
      <c r="U767" s="361"/>
      <c r="V767" s="361"/>
      <c r="W767" s="361"/>
      <c r="X767" s="361"/>
      <c r="Y767" s="361"/>
      <c r="Z767" s="361"/>
    </row>
    <row r="768" ht="22.5" customHeight="1" outlineLevel="1">
      <c r="A768" s="412"/>
      <c r="B768" s="415"/>
      <c r="C768" s="394"/>
      <c r="D768" s="412"/>
      <c r="E768" s="414"/>
      <c r="F768" s="414"/>
      <c r="G768" s="414"/>
      <c r="H768" s="414"/>
      <c r="I768" s="397"/>
      <c r="J768" s="392"/>
      <c r="K768" s="361"/>
      <c r="L768" s="361"/>
      <c r="M768" s="361"/>
      <c r="N768" s="361"/>
      <c r="O768" s="361"/>
      <c r="P768" s="361"/>
      <c r="Q768" s="361"/>
      <c r="R768" s="361"/>
      <c r="S768" s="361"/>
      <c r="T768" s="361"/>
      <c r="U768" s="361"/>
      <c r="V768" s="361"/>
      <c r="W768" s="361"/>
      <c r="X768" s="361"/>
      <c r="Y768" s="361"/>
      <c r="Z768" s="361"/>
    </row>
    <row r="769" ht="22.5" customHeight="1" outlineLevel="1">
      <c r="A769" s="412"/>
      <c r="B769" s="415"/>
      <c r="C769" s="394"/>
      <c r="D769" s="412"/>
      <c r="E769" s="414"/>
      <c r="F769" s="414"/>
      <c r="G769" s="414"/>
      <c r="H769" s="414"/>
      <c r="I769" s="397"/>
      <c r="J769" s="392"/>
      <c r="K769" s="361"/>
      <c r="L769" s="361"/>
      <c r="M769" s="361"/>
      <c r="N769" s="361"/>
      <c r="O769" s="361"/>
      <c r="P769" s="361"/>
      <c r="Q769" s="361"/>
      <c r="R769" s="361"/>
      <c r="S769" s="361"/>
      <c r="T769" s="361"/>
      <c r="U769" s="361"/>
      <c r="V769" s="361"/>
      <c r="W769" s="361"/>
      <c r="X769" s="361"/>
      <c r="Y769" s="361"/>
      <c r="Z769" s="361"/>
    </row>
    <row r="770" ht="22.5" customHeight="1" outlineLevel="1">
      <c r="A770" s="412"/>
      <c r="B770" s="415"/>
      <c r="C770" s="394"/>
      <c r="D770" s="412"/>
      <c r="E770" s="414"/>
      <c r="F770" s="414"/>
      <c r="G770" s="414"/>
      <c r="H770" s="414"/>
      <c r="I770" s="397"/>
      <c r="J770" s="392"/>
      <c r="K770" s="361"/>
      <c r="L770" s="361"/>
      <c r="M770" s="361"/>
      <c r="N770" s="361"/>
      <c r="O770" s="361"/>
      <c r="P770" s="361"/>
      <c r="Q770" s="361"/>
      <c r="R770" s="361"/>
      <c r="S770" s="361"/>
      <c r="T770" s="361"/>
      <c r="U770" s="361"/>
      <c r="V770" s="361"/>
      <c r="W770" s="361"/>
      <c r="X770" s="361"/>
      <c r="Y770" s="361"/>
      <c r="Z770" s="361"/>
    </row>
    <row r="771" ht="22.5" customHeight="1" outlineLevel="1">
      <c r="A771" s="412"/>
      <c r="B771" s="415"/>
      <c r="C771" s="394"/>
      <c r="D771" s="412"/>
      <c r="E771" s="414"/>
      <c r="F771" s="414"/>
      <c r="G771" s="414"/>
      <c r="H771" s="414"/>
      <c r="I771" s="397"/>
      <c r="J771" s="392"/>
      <c r="K771" s="361"/>
      <c r="L771" s="361"/>
      <c r="M771" s="361"/>
      <c r="N771" s="361"/>
      <c r="O771" s="361"/>
      <c r="P771" s="361"/>
      <c r="Q771" s="361"/>
      <c r="R771" s="361"/>
      <c r="S771" s="361"/>
      <c r="T771" s="361"/>
      <c r="U771" s="361"/>
      <c r="V771" s="361"/>
      <c r="W771" s="361"/>
      <c r="X771" s="361"/>
      <c r="Y771" s="361"/>
      <c r="Z771" s="361"/>
    </row>
    <row r="772" ht="22.5" customHeight="1" outlineLevel="1">
      <c r="A772" s="412"/>
      <c r="B772" s="415"/>
      <c r="C772" s="394"/>
      <c r="D772" s="412"/>
      <c r="E772" s="414"/>
      <c r="F772" s="414"/>
      <c r="G772" s="414"/>
      <c r="H772" s="414"/>
      <c r="I772" s="397"/>
      <c r="J772" s="392"/>
      <c r="K772" s="361"/>
      <c r="L772" s="361"/>
      <c r="M772" s="361"/>
      <c r="N772" s="361"/>
      <c r="O772" s="361"/>
      <c r="P772" s="361"/>
      <c r="Q772" s="361"/>
      <c r="R772" s="361"/>
      <c r="S772" s="361"/>
      <c r="T772" s="361"/>
      <c r="U772" s="361"/>
      <c r="V772" s="361"/>
      <c r="W772" s="361"/>
      <c r="X772" s="361"/>
      <c r="Y772" s="361"/>
      <c r="Z772" s="361"/>
    </row>
    <row r="773" ht="22.5" customHeight="1" outlineLevel="1">
      <c r="A773" s="412"/>
      <c r="B773" s="415"/>
      <c r="C773" s="394"/>
      <c r="D773" s="412"/>
      <c r="E773" s="414"/>
      <c r="F773" s="414"/>
      <c r="G773" s="414"/>
      <c r="H773" s="414"/>
      <c r="I773" s="397"/>
      <c r="J773" s="392"/>
      <c r="K773" s="361"/>
      <c r="L773" s="361"/>
      <c r="M773" s="361"/>
      <c r="N773" s="361"/>
      <c r="O773" s="361"/>
      <c r="P773" s="361"/>
      <c r="Q773" s="361"/>
      <c r="R773" s="361"/>
      <c r="S773" s="361"/>
      <c r="T773" s="361"/>
      <c r="U773" s="361"/>
      <c r="V773" s="361"/>
      <c r="W773" s="361"/>
      <c r="X773" s="361"/>
      <c r="Y773" s="361"/>
      <c r="Z773" s="361"/>
    </row>
    <row r="774" ht="22.5" customHeight="1" outlineLevel="1">
      <c r="A774" s="412"/>
      <c r="B774" s="415"/>
      <c r="C774" s="394"/>
      <c r="D774" s="412"/>
      <c r="E774" s="414"/>
      <c r="F774" s="414"/>
      <c r="G774" s="414"/>
      <c r="H774" s="414"/>
      <c r="I774" s="397"/>
      <c r="J774" s="392"/>
      <c r="K774" s="361"/>
      <c r="L774" s="361"/>
      <c r="M774" s="361"/>
      <c r="N774" s="361"/>
      <c r="O774" s="361"/>
      <c r="P774" s="361"/>
      <c r="Q774" s="361"/>
      <c r="R774" s="361"/>
      <c r="S774" s="361"/>
      <c r="T774" s="361"/>
      <c r="U774" s="361"/>
      <c r="V774" s="361"/>
      <c r="W774" s="361"/>
      <c r="X774" s="361"/>
      <c r="Y774" s="361"/>
      <c r="Z774" s="361"/>
    </row>
    <row r="775" ht="22.5" customHeight="1" outlineLevel="1">
      <c r="A775" s="412"/>
      <c r="B775" s="415"/>
      <c r="C775" s="394"/>
      <c r="D775" s="412"/>
      <c r="E775" s="414"/>
      <c r="F775" s="414"/>
      <c r="G775" s="414"/>
      <c r="H775" s="414"/>
      <c r="I775" s="397"/>
      <c r="J775" s="392"/>
      <c r="K775" s="361"/>
      <c r="L775" s="361"/>
      <c r="M775" s="361"/>
      <c r="N775" s="361"/>
      <c r="O775" s="361"/>
      <c r="P775" s="361"/>
      <c r="Q775" s="361"/>
      <c r="R775" s="361"/>
      <c r="S775" s="361"/>
      <c r="T775" s="361"/>
      <c r="U775" s="361"/>
      <c r="V775" s="361"/>
      <c r="W775" s="361"/>
      <c r="X775" s="361"/>
      <c r="Y775" s="361"/>
      <c r="Z775" s="361"/>
    </row>
    <row r="776" ht="22.5" customHeight="1" outlineLevel="1">
      <c r="A776" s="412"/>
      <c r="B776" s="415"/>
      <c r="C776" s="394"/>
      <c r="D776" s="412"/>
      <c r="E776" s="414"/>
      <c r="F776" s="414"/>
      <c r="G776" s="414"/>
      <c r="H776" s="414"/>
      <c r="I776" s="397"/>
      <c r="J776" s="392"/>
      <c r="K776" s="361"/>
      <c r="L776" s="361"/>
      <c r="M776" s="361"/>
      <c r="N776" s="361"/>
      <c r="O776" s="361"/>
      <c r="P776" s="361"/>
      <c r="Q776" s="361"/>
      <c r="R776" s="361"/>
      <c r="S776" s="361"/>
      <c r="T776" s="361"/>
      <c r="U776" s="361"/>
      <c r="V776" s="361"/>
      <c r="W776" s="361"/>
      <c r="X776" s="361"/>
      <c r="Y776" s="361"/>
      <c r="Z776" s="361"/>
    </row>
    <row r="777" ht="22.5" customHeight="1" outlineLevel="1">
      <c r="A777" s="412"/>
      <c r="B777" s="415"/>
      <c r="C777" s="394"/>
      <c r="D777" s="412"/>
      <c r="E777" s="414"/>
      <c r="F777" s="414"/>
      <c r="G777" s="414"/>
      <c r="H777" s="414"/>
      <c r="I777" s="397"/>
      <c r="J777" s="392"/>
      <c r="K777" s="361"/>
      <c r="L777" s="361"/>
      <c r="M777" s="361"/>
      <c r="N777" s="361"/>
      <c r="O777" s="361"/>
      <c r="P777" s="361"/>
      <c r="Q777" s="361"/>
      <c r="R777" s="361"/>
      <c r="S777" s="361"/>
      <c r="T777" s="361"/>
      <c r="U777" s="361"/>
      <c r="V777" s="361"/>
      <c r="W777" s="361"/>
      <c r="X777" s="361"/>
      <c r="Y777" s="361"/>
      <c r="Z777" s="361"/>
    </row>
    <row r="778" ht="22.5" customHeight="1" outlineLevel="1">
      <c r="A778" s="412"/>
      <c r="B778" s="415"/>
      <c r="C778" s="394"/>
      <c r="D778" s="412"/>
      <c r="E778" s="414"/>
      <c r="F778" s="414"/>
      <c r="G778" s="414"/>
      <c r="H778" s="414"/>
      <c r="I778" s="397"/>
      <c r="J778" s="392"/>
      <c r="K778" s="361"/>
      <c r="L778" s="361"/>
      <c r="M778" s="361"/>
      <c r="N778" s="361"/>
      <c r="O778" s="361"/>
      <c r="P778" s="361"/>
      <c r="Q778" s="361"/>
      <c r="R778" s="361"/>
      <c r="S778" s="361"/>
      <c r="T778" s="361"/>
      <c r="U778" s="361"/>
      <c r="V778" s="361"/>
      <c r="W778" s="361"/>
      <c r="X778" s="361"/>
      <c r="Y778" s="361"/>
      <c r="Z778" s="361"/>
    </row>
    <row r="779" ht="22.5" customHeight="1" outlineLevel="1">
      <c r="A779" s="412"/>
      <c r="B779" s="415"/>
      <c r="C779" s="394"/>
      <c r="D779" s="412"/>
      <c r="E779" s="414"/>
      <c r="F779" s="414"/>
      <c r="G779" s="414"/>
      <c r="H779" s="414"/>
      <c r="I779" s="397"/>
      <c r="J779" s="392"/>
      <c r="K779" s="361"/>
      <c r="L779" s="361"/>
      <c r="M779" s="361"/>
      <c r="N779" s="361"/>
      <c r="O779" s="361"/>
      <c r="P779" s="361"/>
      <c r="Q779" s="361"/>
      <c r="R779" s="361"/>
      <c r="S779" s="361"/>
      <c r="T779" s="361"/>
      <c r="U779" s="361"/>
      <c r="V779" s="361"/>
      <c r="W779" s="361"/>
      <c r="X779" s="361"/>
      <c r="Y779" s="361"/>
      <c r="Z779" s="361"/>
    </row>
    <row r="780" ht="22.5" customHeight="1" outlineLevel="1">
      <c r="A780" s="412"/>
      <c r="B780" s="415"/>
      <c r="C780" s="394"/>
      <c r="D780" s="412"/>
      <c r="E780" s="414"/>
      <c r="F780" s="414"/>
      <c r="G780" s="414"/>
      <c r="H780" s="414"/>
      <c r="I780" s="397"/>
      <c r="J780" s="392"/>
      <c r="K780" s="361"/>
      <c r="L780" s="361"/>
      <c r="M780" s="361"/>
      <c r="N780" s="361"/>
      <c r="O780" s="361"/>
      <c r="P780" s="361"/>
      <c r="Q780" s="361"/>
      <c r="R780" s="361"/>
      <c r="S780" s="361"/>
      <c r="T780" s="361"/>
      <c r="U780" s="361"/>
      <c r="V780" s="361"/>
      <c r="W780" s="361"/>
      <c r="X780" s="361"/>
      <c r="Y780" s="361"/>
      <c r="Z780" s="361"/>
    </row>
    <row r="781" ht="22.5" customHeight="1" outlineLevel="1">
      <c r="A781" s="412"/>
      <c r="B781" s="415"/>
      <c r="C781" s="394"/>
      <c r="D781" s="412"/>
      <c r="E781" s="414"/>
      <c r="F781" s="414"/>
      <c r="G781" s="414"/>
      <c r="H781" s="414"/>
      <c r="I781" s="397"/>
      <c r="J781" s="392"/>
      <c r="K781" s="361"/>
      <c r="L781" s="361"/>
      <c r="M781" s="361"/>
      <c r="N781" s="361"/>
      <c r="O781" s="361"/>
      <c r="P781" s="361"/>
      <c r="Q781" s="361"/>
      <c r="R781" s="361"/>
      <c r="S781" s="361"/>
      <c r="T781" s="361"/>
      <c r="U781" s="361"/>
      <c r="V781" s="361"/>
      <c r="W781" s="361"/>
      <c r="X781" s="361"/>
      <c r="Y781" s="361"/>
      <c r="Z781" s="361"/>
    </row>
    <row r="782" ht="22.5" customHeight="1" outlineLevel="1">
      <c r="A782" s="412"/>
      <c r="B782" s="415"/>
      <c r="C782" s="394"/>
      <c r="D782" s="412"/>
      <c r="E782" s="414"/>
      <c r="F782" s="414"/>
      <c r="G782" s="414"/>
      <c r="H782" s="414"/>
      <c r="I782" s="397"/>
      <c r="J782" s="392"/>
      <c r="K782" s="361"/>
      <c r="L782" s="361"/>
      <c r="M782" s="361"/>
      <c r="N782" s="361"/>
      <c r="O782" s="361"/>
      <c r="P782" s="361"/>
      <c r="Q782" s="361"/>
      <c r="R782" s="361"/>
      <c r="S782" s="361"/>
      <c r="T782" s="361"/>
      <c r="U782" s="361"/>
      <c r="V782" s="361"/>
      <c r="W782" s="361"/>
      <c r="X782" s="361"/>
      <c r="Y782" s="361"/>
      <c r="Z782" s="361"/>
    </row>
    <row r="783" ht="22.5" customHeight="1" outlineLevel="1">
      <c r="A783" s="412"/>
      <c r="B783" s="415"/>
      <c r="C783" s="394"/>
      <c r="D783" s="412"/>
      <c r="E783" s="414"/>
      <c r="F783" s="414"/>
      <c r="G783" s="414"/>
      <c r="H783" s="414"/>
      <c r="I783" s="397"/>
      <c r="J783" s="392"/>
      <c r="K783" s="361"/>
      <c r="L783" s="361"/>
      <c r="M783" s="361"/>
      <c r="N783" s="361"/>
      <c r="O783" s="361"/>
      <c r="P783" s="361"/>
      <c r="Q783" s="361"/>
      <c r="R783" s="361"/>
      <c r="S783" s="361"/>
      <c r="T783" s="361"/>
      <c r="U783" s="361"/>
      <c r="V783" s="361"/>
      <c r="W783" s="361"/>
      <c r="X783" s="361"/>
      <c r="Y783" s="361"/>
      <c r="Z783" s="361"/>
    </row>
    <row r="784" ht="22.5" customHeight="1" outlineLevel="1">
      <c r="A784" s="412"/>
      <c r="B784" s="415"/>
      <c r="C784" s="394"/>
      <c r="D784" s="412"/>
      <c r="E784" s="414"/>
      <c r="F784" s="414"/>
      <c r="G784" s="414"/>
      <c r="H784" s="414"/>
      <c r="I784" s="397"/>
      <c r="J784" s="392"/>
      <c r="K784" s="361"/>
      <c r="L784" s="361"/>
      <c r="M784" s="361"/>
      <c r="N784" s="361"/>
      <c r="O784" s="361"/>
      <c r="P784" s="361"/>
      <c r="Q784" s="361"/>
      <c r="R784" s="361"/>
      <c r="S784" s="361"/>
      <c r="T784" s="361"/>
      <c r="U784" s="361"/>
      <c r="V784" s="361"/>
      <c r="W784" s="361"/>
      <c r="X784" s="361"/>
      <c r="Y784" s="361"/>
      <c r="Z784" s="361"/>
    </row>
    <row r="785" ht="22.5" customHeight="1" outlineLevel="1">
      <c r="A785" s="412"/>
      <c r="B785" s="415"/>
      <c r="C785" s="394"/>
      <c r="D785" s="412"/>
      <c r="E785" s="414"/>
      <c r="F785" s="414"/>
      <c r="G785" s="414"/>
      <c r="H785" s="414"/>
      <c r="I785" s="397"/>
      <c r="J785" s="392"/>
      <c r="K785" s="361"/>
      <c r="L785" s="361"/>
      <c r="M785" s="361"/>
      <c r="N785" s="361"/>
      <c r="O785" s="361"/>
      <c r="P785" s="361"/>
      <c r="Q785" s="361"/>
      <c r="R785" s="361"/>
      <c r="S785" s="361"/>
      <c r="T785" s="361"/>
      <c r="U785" s="361"/>
      <c r="V785" s="361"/>
      <c r="W785" s="361"/>
      <c r="X785" s="361"/>
      <c r="Y785" s="361"/>
      <c r="Z785" s="361"/>
    </row>
    <row r="786" ht="22.5" customHeight="1" outlineLevel="1">
      <c r="A786" s="412"/>
      <c r="B786" s="415"/>
      <c r="C786" s="394"/>
      <c r="D786" s="412"/>
      <c r="E786" s="414"/>
      <c r="F786" s="414"/>
      <c r="G786" s="414"/>
      <c r="H786" s="414"/>
      <c r="I786" s="397"/>
      <c r="J786" s="392"/>
      <c r="K786" s="361"/>
      <c r="L786" s="361"/>
      <c r="M786" s="361"/>
      <c r="N786" s="361"/>
      <c r="O786" s="361"/>
      <c r="P786" s="361"/>
      <c r="Q786" s="361"/>
      <c r="R786" s="361"/>
      <c r="S786" s="361"/>
      <c r="T786" s="361"/>
      <c r="U786" s="361"/>
      <c r="V786" s="361"/>
      <c r="W786" s="361"/>
      <c r="X786" s="361"/>
      <c r="Y786" s="361"/>
      <c r="Z786" s="361"/>
    </row>
    <row r="787" ht="22.5" customHeight="1" outlineLevel="1">
      <c r="A787" s="412"/>
      <c r="B787" s="415"/>
      <c r="C787" s="394"/>
      <c r="D787" s="412"/>
      <c r="E787" s="414"/>
      <c r="F787" s="414"/>
      <c r="G787" s="414"/>
      <c r="H787" s="414"/>
      <c r="I787" s="397"/>
      <c r="J787" s="392"/>
      <c r="K787" s="361"/>
      <c r="L787" s="361"/>
      <c r="M787" s="361"/>
      <c r="N787" s="361"/>
      <c r="O787" s="361"/>
      <c r="P787" s="361"/>
      <c r="Q787" s="361"/>
      <c r="R787" s="361"/>
      <c r="S787" s="361"/>
      <c r="T787" s="361"/>
      <c r="U787" s="361"/>
      <c r="V787" s="361"/>
      <c r="W787" s="361"/>
      <c r="X787" s="361"/>
      <c r="Y787" s="361"/>
      <c r="Z787" s="361"/>
    </row>
    <row r="788" ht="22.5" customHeight="1" outlineLevel="1">
      <c r="A788" s="412"/>
      <c r="B788" s="415"/>
      <c r="C788" s="394"/>
      <c r="D788" s="412"/>
      <c r="E788" s="414"/>
      <c r="F788" s="414"/>
      <c r="G788" s="414"/>
      <c r="H788" s="414"/>
      <c r="I788" s="397"/>
      <c r="J788" s="392"/>
      <c r="K788" s="361"/>
      <c r="L788" s="361"/>
      <c r="M788" s="361"/>
      <c r="N788" s="361"/>
      <c r="O788" s="361"/>
      <c r="P788" s="361"/>
      <c r="Q788" s="361"/>
      <c r="R788" s="361"/>
      <c r="S788" s="361"/>
      <c r="T788" s="361"/>
      <c r="U788" s="361"/>
      <c r="V788" s="361"/>
      <c r="W788" s="361"/>
      <c r="X788" s="361"/>
      <c r="Y788" s="361"/>
      <c r="Z788" s="361"/>
    </row>
    <row r="789" ht="22.5" customHeight="1" outlineLevel="1">
      <c r="A789" s="412"/>
      <c r="B789" s="415"/>
      <c r="C789" s="394"/>
      <c r="D789" s="412"/>
      <c r="E789" s="414"/>
      <c r="F789" s="414"/>
      <c r="G789" s="414"/>
      <c r="H789" s="414"/>
      <c r="I789" s="397"/>
      <c r="J789" s="392"/>
      <c r="K789" s="361"/>
      <c r="L789" s="361"/>
      <c r="M789" s="361"/>
      <c r="N789" s="361"/>
      <c r="O789" s="361"/>
      <c r="P789" s="361"/>
      <c r="Q789" s="361"/>
      <c r="R789" s="361"/>
      <c r="S789" s="361"/>
      <c r="T789" s="361"/>
      <c r="U789" s="361"/>
      <c r="V789" s="361"/>
      <c r="W789" s="361"/>
      <c r="X789" s="361"/>
      <c r="Y789" s="361"/>
      <c r="Z789" s="361"/>
    </row>
    <row r="790" ht="22.5" customHeight="1" outlineLevel="1">
      <c r="A790" s="412"/>
      <c r="B790" s="415"/>
      <c r="C790" s="394"/>
      <c r="D790" s="412"/>
      <c r="E790" s="414"/>
      <c r="F790" s="414"/>
      <c r="G790" s="414"/>
      <c r="H790" s="414"/>
      <c r="I790" s="397"/>
      <c r="J790" s="392"/>
      <c r="K790" s="361"/>
      <c r="L790" s="361"/>
      <c r="M790" s="361"/>
      <c r="N790" s="361"/>
      <c r="O790" s="361"/>
      <c r="P790" s="361"/>
      <c r="Q790" s="361"/>
      <c r="R790" s="361"/>
      <c r="S790" s="361"/>
      <c r="T790" s="361"/>
      <c r="U790" s="361"/>
      <c r="V790" s="361"/>
      <c r="W790" s="361"/>
      <c r="X790" s="361"/>
      <c r="Y790" s="361"/>
      <c r="Z790" s="361"/>
    </row>
    <row r="791" ht="22.5" customHeight="1" outlineLevel="1">
      <c r="A791" s="412"/>
      <c r="B791" s="415"/>
      <c r="C791" s="394"/>
      <c r="D791" s="412"/>
      <c r="E791" s="414"/>
      <c r="F791" s="414"/>
      <c r="G791" s="414"/>
      <c r="H791" s="414"/>
      <c r="I791" s="397"/>
      <c r="J791" s="392"/>
      <c r="K791" s="361"/>
      <c r="L791" s="361"/>
      <c r="M791" s="361"/>
      <c r="N791" s="361"/>
      <c r="O791" s="361"/>
      <c r="P791" s="361"/>
      <c r="Q791" s="361"/>
      <c r="R791" s="361"/>
      <c r="S791" s="361"/>
      <c r="T791" s="361"/>
      <c r="U791" s="361"/>
      <c r="V791" s="361"/>
      <c r="W791" s="361"/>
      <c r="X791" s="361"/>
      <c r="Y791" s="361"/>
      <c r="Z791" s="361"/>
    </row>
    <row r="792" ht="22.5" customHeight="1" outlineLevel="1">
      <c r="A792" s="412"/>
      <c r="B792" s="415"/>
      <c r="C792" s="394"/>
      <c r="D792" s="412"/>
      <c r="E792" s="414"/>
      <c r="F792" s="414"/>
      <c r="G792" s="414"/>
      <c r="H792" s="414"/>
      <c r="I792" s="397"/>
      <c r="J792" s="392"/>
      <c r="K792" s="361"/>
      <c r="L792" s="361"/>
      <c r="M792" s="361"/>
      <c r="N792" s="361"/>
      <c r="O792" s="361"/>
      <c r="P792" s="361"/>
      <c r="Q792" s="361"/>
      <c r="R792" s="361"/>
      <c r="S792" s="361"/>
      <c r="T792" s="361"/>
      <c r="U792" s="361"/>
      <c r="V792" s="361"/>
      <c r="W792" s="361"/>
      <c r="X792" s="361"/>
      <c r="Y792" s="361"/>
      <c r="Z792" s="361"/>
    </row>
    <row r="793" ht="22.5" customHeight="1" outlineLevel="1">
      <c r="A793" s="412"/>
      <c r="B793" s="415"/>
      <c r="C793" s="394"/>
      <c r="D793" s="412"/>
      <c r="E793" s="414"/>
      <c r="F793" s="414"/>
      <c r="G793" s="414"/>
      <c r="H793" s="414"/>
      <c r="I793" s="397"/>
      <c r="J793" s="392"/>
      <c r="K793" s="361"/>
      <c r="L793" s="361"/>
      <c r="M793" s="361"/>
      <c r="N793" s="361"/>
      <c r="O793" s="361"/>
      <c r="P793" s="361"/>
      <c r="Q793" s="361"/>
      <c r="R793" s="361"/>
      <c r="S793" s="361"/>
      <c r="T793" s="361"/>
      <c r="U793" s="361"/>
      <c r="V793" s="361"/>
      <c r="W793" s="361"/>
      <c r="X793" s="361"/>
      <c r="Y793" s="361"/>
      <c r="Z793" s="361"/>
    </row>
    <row r="794" ht="22.5" customHeight="1" outlineLevel="1">
      <c r="A794" s="412"/>
      <c r="B794" s="415"/>
      <c r="C794" s="394"/>
      <c r="D794" s="412"/>
      <c r="E794" s="414"/>
      <c r="F794" s="414"/>
      <c r="G794" s="414"/>
      <c r="H794" s="414"/>
      <c r="I794" s="397"/>
      <c r="J794" s="392"/>
      <c r="K794" s="361"/>
      <c r="L794" s="361"/>
      <c r="M794" s="361"/>
      <c r="N794" s="361"/>
      <c r="O794" s="361"/>
      <c r="P794" s="361"/>
      <c r="Q794" s="361"/>
      <c r="R794" s="361"/>
      <c r="S794" s="361"/>
      <c r="T794" s="361"/>
      <c r="U794" s="361"/>
      <c r="V794" s="361"/>
      <c r="W794" s="361"/>
      <c r="X794" s="361"/>
      <c r="Y794" s="361"/>
      <c r="Z794" s="361"/>
    </row>
    <row r="795" ht="22.5" customHeight="1" outlineLevel="1">
      <c r="A795" s="412"/>
      <c r="B795" s="415"/>
      <c r="C795" s="394"/>
      <c r="D795" s="412"/>
      <c r="E795" s="414"/>
      <c r="F795" s="414"/>
      <c r="G795" s="414"/>
      <c r="H795" s="414"/>
      <c r="I795" s="397"/>
      <c r="J795" s="392"/>
      <c r="K795" s="361"/>
      <c r="L795" s="361"/>
      <c r="M795" s="361"/>
      <c r="N795" s="361"/>
      <c r="O795" s="361"/>
      <c r="P795" s="361"/>
      <c r="Q795" s="361"/>
      <c r="R795" s="361"/>
      <c r="S795" s="361"/>
      <c r="T795" s="361"/>
      <c r="U795" s="361"/>
      <c r="V795" s="361"/>
      <c r="W795" s="361"/>
      <c r="X795" s="361"/>
      <c r="Y795" s="361"/>
      <c r="Z795" s="361"/>
    </row>
    <row r="796" ht="22.5" customHeight="1" outlineLevel="1">
      <c r="A796" s="412"/>
      <c r="B796" s="415"/>
      <c r="C796" s="394"/>
      <c r="D796" s="412"/>
      <c r="E796" s="414"/>
      <c r="F796" s="414"/>
      <c r="G796" s="414"/>
      <c r="H796" s="414"/>
      <c r="I796" s="397"/>
      <c r="J796" s="392"/>
      <c r="K796" s="361"/>
      <c r="L796" s="361"/>
      <c r="M796" s="361"/>
      <c r="N796" s="361"/>
      <c r="O796" s="361"/>
      <c r="P796" s="361"/>
      <c r="Q796" s="361"/>
      <c r="R796" s="361"/>
      <c r="S796" s="361"/>
      <c r="T796" s="361"/>
      <c r="U796" s="361"/>
      <c r="V796" s="361"/>
      <c r="W796" s="361"/>
      <c r="X796" s="361"/>
      <c r="Y796" s="361"/>
      <c r="Z796" s="361"/>
    </row>
    <row r="797" ht="22.5" customHeight="1" outlineLevel="1">
      <c r="A797" s="412"/>
      <c r="B797" s="415"/>
      <c r="C797" s="394"/>
      <c r="D797" s="412"/>
      <c r="E797" s="414"/>
      <c r="F797" s="414"/>
      <c r="G797" s="414"/>
      <c r="H797" s="414"/>
      <c r="I797" s="397"/>
      <c r="J797" s="392"/>
      <c r="K797" s="361"/>
      <c r="L797" s="361"/>
      <c r="M797" s="361"/>
      <c r="N797" s="361"/>
      <c r="O797" s="361"/>
      <c r="P797" s="361"/>
      <c r="Q797" s="361"/>
      <c r="R797" s="361"/>
      <c r="S797" s="361"/>
      <c r="T797" s="361"/>
      <c r="U797" s="361"/>
      <c r="V797" s="361"/>
      <c r="W797" s="361"/>
      <c r="X797" s="361"/>
      <c r="Y797" s="361"/>
      <c r="Z797" s="361"/>
    </row>
    <row r="798" ht="22.5" customHeight="1" outlineLevel="1">
      <c r="A798" s="412"/>
      <c r="B798" s="415"/>
      <c r="C798" s="394"/>
      <c r="D798" s="412"/>
      <c r="E798" s="414"/>
      <c r="F798" s="414"/>
      <c r="G798" s="414"/>
      <c r="H798" s="414"/>
      <c r="I798" s="397"/>
      <c r="J798" s="392"/>
      <c r="K798" s="361"/>
      <c r="L798" s="361"/>
      <c r="M798" s="361"/>
      <c r="N798" s="361"/>
      <c r="O798" s="361"/>
      <c r="P798" s="361"/>
      <c r="Q798" s="361"/>
      <c r="R798" s="361"/>
      <c r="S798" s="361"/>
      <c r="T798" s="361"/>
      <c r="U798" s="361"/>
      <c r="V798" s="361"/>
      <c r="W798" s="361"/>
      <c r="X798" s="361"/>
      <c r="Y798" s="361"/>
      <c r="Z798" s="361"/>
    </row>
    <row r="799" ht="22.5" customHeight="1" outlineLevel="1">
      <c r="A799" s="412"/>
      <c r="B799" s="415"/>
      <c r="C799" s="394"/>
      <c r="D799" s="412"/>
      <c r="E799" s="414"/>
      <c r="F799" s="414"/>
      <c r="G799" s="414"/>
      <c r="H799" s="414"/>
      <c r="I799" s="397"/>
      <c r="J799" s="392"/>
      <c r="K799" s="361"/>
      <c r="L799" s="361"/>
      <c r="M799" s="361"/>
      <c r="N799" s="361"/>
      <c r="O799" s="361"/>
      <c r="P799" s="361"/>
      <c r="Q799" s="361"/>
      <c r="R799" s="361"/>
      <c r="S799" s="361"/>
      <c r="T799" s="361"/>
      <c r="U799" s="361"/>
      <c r="V799" s="361"/>
      <c r="W799" s="361"/>
      <c r="X799" s="361"/>
      <c r="Y799" s="361"/>
      <c r="Z799" s="361"/>
    </row>
    <row r="800" ht="22.5" customHeight="1" outlineLevel="1">
      <c r="A800" s="412"/>
      <c r="B800" s="415"/>
      <c r="C800" s="394"/>
      <c r="D800" s="412"/>
      <c r="E800" s="414"/>
      <c r="F800" s="414"/>
      <c r="G800" s="414"/>
      <c r="H800" s="414"/>
      <c r="I800" s="397"/>
      <c r="J800" s="392"/>
      <c r="K800" s="361"/>
      <c r="L800" s="361"/>
      <c r="M800" s="361"/>
      <c r="N800" s="361"/>
      <c r="O800" s="361"/>
      <c r="P800" s="361"/>
      <c r="Q800" s="361"/>
      <c r="R800" s="361"/>
      <c r="S800" s="361"/>
      <c r="T800" s="361"/>
      <c r="U800" s="361"/>
      <c r="V800" s="361"/>
      <c r="W800" s="361"/>
      <c r="X800" s="361"/>
      <c r="Y800" s="361"/>
      <c r="Z800" s="361"/>
    </row>
    <row r="801" ht="22.5" customHeight="1" outlineLevel="1">
      <c r="A801" s="412"/>
      <c r="B801" s="415"/>
      <c r="C801" s="394"/>
      <c r="D801" s="412"/>
      <c r="E801" s="414"/>
      <c r="F801" s="414"/>
      <c r="G801" s="414"/>
      <c r="H801" s="414"/>
      <c r="I801" s="397"/>
      <c r="J801" s="392"/>
      <c r="K801" s="361"/>
      <c r="L801" s="361"/>
      <c r="M801" s="361"/>
      <c r="N801" s="361"/>
      <c r="O801" s="361"/>
      <c r="P801" s="361"/>
      <c r="Q801" s="361"/>
      <c r="R801" s="361"/>
      <c r="S801" s="361"/>
      <c r="T801" s="361"/>
      <c r="U801" s="361"/>
      <c r="V801" s="361"/>
      <c r="W801" s="361"/>
      <c r="X801" s="361"/>
      <c r="Y801" s="361"/>
      <c r="Z801" s="361"/>
    </row>
    <row r="802" ht="22.5" customHeight="1" outlineLevel="1">
      <c r="A802" s="412"/>
      <c r="B802" s="415"/>
      <c r="C802" s="394"/>
      <c r="D802" s="412"/>
      <c r="E802" s="414"/>
      <c r="F802" s="414"/>
      <c r="G802" s="414"/>
      <c r="H802" s="414"/>
      <c r="I802" s="397"/>
      <c r="J802" s="392"/>
      <c r="K802" s="361"/>
      <c r="L802" s="361"/>
      <c r="M802" s="361"/>
      <c r="N802" s="361"/>
      <c r="O802" s="361"/>
      <c r="P802" s="361"/>
      <c r="Q802" s="361"/>
      <c r="R802" s="361"/>
      <c r="S802" s="361"/>
      <c r="T802" s="361"/>
      <c r="U802" s="361"/>
      <c r="V802" s="361"/>
      <c r="W802" s="361"/>
      <c r="X802" s="361"/>
      <c r="Y802" s="361"/>
      <c r="Z802" s="361"/>
    </row>
    <row r="803" ht="22.5" customHeight="1" outlineLevel="1">
      <c r="A803" s="412"/>
      <c r="B803" s="415"/>
      <c r="C803" s="394"/>
      <c r="D803" s="412"/>
      <c r="E803" s="414"/>
      <c r="F803" s="414"/>
      <c r="G803" s="414"/>
      <c r="H803" s="414"/>
      <c r="I803" s="397"/>
      <c r="J803" s="392"/>
      <c r="K803" s="361"/>
      <c r="L803" s="361"/>
      <c r="M803" s="361"/>
      <c r="N803" s="361"/>
      <c r="O803" s="361"/>
      <c r="P803" s="361"/>
      <c r="Q803" s="361"/>
      <c r="R803" s="361"/>
      <c r="S803" s="361"/>
      <c r="T803" s="361"/>
      <c r="U803" s="361"/>
      <c r="V803" s="361"/>
      <c r="W803" s="361"/>
      <c r="X803" s="361"/>
      <c r="Y803" s="361"/>
      <c r="Z803" s="361"/>
    </row>
    <row r="804" ht="22.5" customHeight="1" outlineLevel="1">
      <c r="A804" s="412"/>
      <c r="B804" s="415"/>
      <c r="C804" s="394"/>
      <c r="D804" s="412"/>
      <c r="E804" s="414"/>
      <c r="F804" s="414"/>
      <c r="G804" s="414"/>
      <c r="H804" s="414"/>
      <c r="I804" s="397"/>
      <c r="J804" s="392"/>
      <c r="K804" s="361"/>
      <c r="L804" s="361"/>
      <c r="M804" s="361"/>
      <c r="N804" s="361"/>
      <c r="O804" s="361"/>
      <c r="P804" s="361"/>
      <c r="Q804" s="361"/>
      <c r="R804" s="361"/>
      <c r="S804" s="361"/>
      <c r="T804" s="361"/>
      <c r="U804" s="361"/>
      <c r="V804" s="361"/>
      <c r="W804" s="361"/>
      <c r="X804" s="361"/>
      <c r="Y804" s="361"/>
      <c r="Z804" s="361"/>
    </row>
    <row r="805" ht="22.5" customHeight="1" outlineLevel="1">
      <c r="A805" s="412"/>
      <c r="B805" s="415"/>
      <c r="C805" s="394"/>
      <c r="D805" s="412"/>
      <c r="E805" s="414"/>
      <c r="F805" s="414"/>
      <c r="G805" s="414"/>
      <c r="H805" s="414"/>
      <c r="I805" s="397"/>
      <c r="J805" s="392"/>
      <c r="K805" s="361"/>
      <c r="L805" s="361"/>
      <c r="M805" s="361"/>
      <c r="N805" s="361"/>
      <c r="O805" s="361"/>
      <c r="P805" s="361"/>
      <c r="Q805" s="361"/>
      <c r="R805" s="361"/>
      <c r="S805" s="361"/>
      <c r="T805" s="361"/>
      <c r="U805" s="361"/>
      <c r="V805" s="361"/>
      <c r="W805" s="361"/>
      <c r="X805" s="361"/>
      <c r="Y805" s="361"/>
      <c r="Z805" s="361"/>
    </row>
    <row r="806" ht="22.5" customHeight="1" outlineLevel="1">
      <c r="A806" s="412"/>
      <c r="B806" s="415"/>
      <c r="C806" s="394"/>
      <c r="D806" s="412"/>
      <c r="E806" s="414"/>
      <c r="F806" s="414"/>
      <c r="G806" s="414"/>
      <c r="H806" s="414"/>
      <c r="I806" s="397"/>
      <c r="J806" s="392"/>
      <c r="K806" s="361"/>
      <c r="L806" s="361"/>
      <c r="M806" s="361"/>
      <c r="N806" s="361"/>
      <c r="O806" s="361"/>
      <c r="P806" s="361"/>
      <c r="Q806" s="361"/>
      <c r="R806" s="361"/>
      <c r="S806" s="361"/>
      <c r="T806" s="361"/>
      <c r="U806" s="361"/>
      <c r="V806" s="361"/>
      <c r="W806" s="361"/>
      <c r="X806" s="361"/>
      <c r="Y806" s="361"/>
      <c r="Z806" s="361"/>
    </row>
    <row r="807" ht="22.5" customHeight="1" outlineLevel="1">
      <c r="A807" s="412"/>
      <c r="B807" s="415"/>
      <c r="C807" s="394"/>
      <c r="D807" s="412"/>
      <c r="E807" s="414"/>
      <c r="F807" s="414"/>
      <c r="G807" s="414"/>
      <c r="H807" s="414"/>
      <c r="I807" s="397"/>
      <c r="J807" s="392"/>
      <c r="K807" s="361"/>
      <c r="L807" s="361"/>
      <c r="M807" s="361"/>
      <c r="N807" s="361"/>
      <c r="O807" s="361"/>
      <c r="P807" s="361"/>
      <c r="Q807" s="361"/>
      <c r="R807" s="361"/>
      <c r="S807" s="361"/>
      <c r="T807" s="361"/>
      <c r="U807" s="361"/>
      <c r="V807" s="361"/>
      <c r="W807" s="361"/>
      <c r="X807" s="361"/>
      <c r="Y807" s="361"/>
      <c r="Z807" s="361"/>
    </row>
    <row r="808" ht="22.5" customHeight="1" outlineLevel="1">
      <c r="A808" s="412"/>
      <c r="B808" s="415"/>
      <c r="C808" s="394"/>
      <c r="D808" s="412"/>
      <c r="E808" s="414"/>
      <c r="F808" s="414"/>
      <c r="G808" s="414"/>
      <c r="H808" s="414"/>
      <c r="I808" s="397"/>
      <c r="J808" s="392"/>
      <c r="K808" s="361"/>
      <c r="L808" s="361"/>
      <c r="M808" s="361"/>
      <c r="N808" s="361"/>
      <c r="O808" s="361"/>
      <c r="P808" s="361"/>
      <c r="Q808" s="361"/>
      <c r="R808" s="361"/>
      <c r="S808" s="361"/>
      <c r="T808" s="361"/>
      <c r="U808" s="361"/>
      <c r="V808" s="361"/>
      <c r="W808" s="361"/>
      <c r="X808" s="361"/>
      <c r="Y808" s="361"/>
      <c r="Z808" s="361"/>
    </row>
    <row r="809" ht="22.5" customHeight="1" outlineLevel="1">
      <c r="A809" s="412"/>
      <c r="B809" s="415"/>
      <c r="C809" s="394"/>
      <c r="D809" s="412"/>
      <c r="E809" s="414"/>
      <c r="F809" s="414"/>
      <c r="G809" s="414"/>
      <c r="H809" s="414"/>
      <c r="I809" s="397"/>
      <c r="J809" s="392"/>
      <c r="K809" s="361"/>
      <c r="L809" s="361"/>
      <c r="M809" s="361"/>
      <c r="N809" s="361"/>
      <c r="O809" s="361"/>
      <c r="P809" s="361"/>
      <c r="Q809" s="361"/>
      <c r="R809" s="361"/>
      <c r="S809" s="361"/>
      <c r="T809" s="361"/>
      <c r="U809" s="361"/>
      <c r="V809" s="361"/>
      <c r="W809" s="361"/>
      <c r="X809" s="361"/>
      <c r="Y809" s="361"/>
      <c r="Z809" s="361"/>
    </row>
    <row r="810" ht="22.5" customHeight="1" outlineLevel="1">
      <c r="A810" s="412"/>
      <c r="B810" s="415"/>
      <c r="C810" s="394"/>
      <c r="D810" s="412"/>
      <c r="E810" s="414"/>
      <c r="F810" s="414"/>
      <c r="G810" s="414"/>
      <c r="H810" s="414"/>
      <c r="I810" s="397"/>
      <c r="J810" s="392"/>
      <c r="K810" s="361"/>
      <c r="L810" s="361"/>
      <c r="M810" s="361"/>
      <c r="N810" s="361"/>
      <c r="O810" s="361"/>
      <c r="P810" s="361"/>
      <c r="Q810" s="361"/>
      <c r="R810" s="361"/>
      <c r="S810" s="361"/>
      <c r="T810" s="361"/>
      <c r="U810" s="361"/>
      <c r="V810" s="361"/>
      <c r="W810" s="361"/>
      <c r="X810" s="361"/>
      <c r="Y810" s="361"/>
      <c r="Z810" s="361"/>
    </row>
    <row r="811" ht="22.5" customHeight="1" outlineLevel="1">
      <c r="A811" s="412"/>
      <c r="B811" s="415"/>
      <c r="C811" s="394"/>
      <c r="D811" s="412"/>
      <c r="E811" s="414"/>
      <c r="F811" s="414"/>
      <c r="G811" s="414"/>
      <c r="H811" s="414"/>
      <c r="I811" s="397"/>
      <c r="J811" s="392"/>
      <c r="K811" s="361"/>
      <c r="L811" s="361"/>
      <c r="M811" s="361"/>
      <c r="N811" s="361"/>
      <c r="O811" s="361"/>
      <c r="P811" s="361"/>
      <c r="Q811" s="361"/>
      <c r="R811" s="361"/>
      <c r="S811" s="361"/>
      <c r="T811" s="361"/>
      <c r="U811" s="361"/>
      <c r="V811" s="361"/>
      <c r="W811" s="361"/>
      <c r="X811" s="361"/>
      <c r="Y811" s="361"/>
      <c r="Z811" s="361"/>
    </row>
    <row r="812" ht="22.5" customHeight="1" outlineLevel="1">
      <c r="A812" s="412"/>
      <c r="B812" s="415"/>
      <c r="C812" s="394"/>
      <c r="D812" s="412"/>
      <c r="E812" s="414"/>
      <c r="F812" s="414"/>
      <c r="G812" s="414"/>
      <c r="H812" s="414"/>
      <c r="I812" s="397"/>
      <c r="J812" s="392"/>
      <c r="K812" s="361"/>
      <c r="L812" s="361"/>
      <c r="M812" s="361"/>
      <c r="N812" s="361"/>
      <c r="O812" s="361"/>
      <c r="P812" s="361"/>
      <c r="Q812" s="361"/>
      <c r="R812" s="361"/>
      <c r="S812" s="361"/>
      <c r="T812" s="361"/>
      <c r="U812" s="361"/>
      <c r="V812" s="361"/>
      <c r="W812" s="361"/>
      <c r="X812" s="361"/>
      <c r="Y812" s="361"/>
      <c r="Z812" s="361"/>
    </row>
    <row r="813" ht="22.5" customHeight="1" outlineLevel="1">
      <c r="A813" s="412"/>
      <c r="B813" s="415"/>
      <c r="C813" s="394"/>
      <c r="D813" s="412"/>
      <c r="E813" s="414"/>
      <c r="F813" s="414"/>
      <c r="G813" s="414"/>
      <c r="H813" s="414"/>
      <c r="I813" s="397"/>
      <c r="J813" s="392"/>
      <c r="K813" s="361"/>
      <c r="L813" s="361"/>
      <c r="M813" s="361"/>
      <c r="N813" s="361"/>
      <c r="O813" s="361"/>
      <c r="P813" s="361"/>
      <c r="Q813" s="361"/>
      <c r="R813" s="361"/>
      <c r="S813" s="361"/>
      <c r="T813" s="361"/>
      <c r="U813" s="361"/>
      <c r="V813" s="361"/>
      <c r="W813" s="361"/>
      <c r="X813" s="361"/>
      <c r="Y813" s="361"/>
      <c r="Z813" s="361"/>
    </row>
    <row r="814" ht="22.5" customHeight="1" outlineLevel="1">
      <c r="A814" s="412"/>
      <c r="B814" s="415"/>
      <c r="C814" s="394"/>
      <c r="D814" s="412"/>
      <c r="E814" s="414"/>
      <c r="F814" s="414"/>
      <c r="G814" s="414"/>
      <c r="H814" s="414"/>
      <c r="I814" s="397"/>
      <c r="J814" s="392"/>
      <c r="K814" s="361"/>
      <c r="L814" s="361"/>
      <c r="M814" s="361"/>
      <c r="N814" s="361"/>
      <c r="O814" s="361"/>
      <c r="P814" s="361"/>
      <c r="Q814" s="361"/>
      <c r="R814" s="361"/>
      <c r="S814" s="361"/>
      <c r="T814" s="361"/>
      <c r="U814" s="361"/>
      <c r="V814" s="361"/>
      <c r="W814" s="361"/>
      <c r="X814" s="361"/>
      <c r="Y814" s="361"/>
      <c r="Z814" s="361"/>
    </row>
    <row r="815" ht="22.5" customHeight="1" outlineLevel="1">
      <c r="A815" s="412"/>
      <c r="B815" s="415"/>
      <c r="C815" s="394"/>
      <c r="D815" s="412"/>
      <c r="E815" s="414"/>
      <c r="F815" s="414"/>
      <c r="G815" s="414"/>
      <c r="H815" s="414"/>
      <c r="I815" s="397"/>
      <c r="J815" s="392"/>
      <c r="K815" s="361"/>
      <c r="L815" s="361"/>
      <c r="M815" s="361"/>
      <c r="N815" s="361"/>
      <c r="O815" s="361"/>
      <c r="P815" s="361"/>
      <c r="Q815" s="361"/>
      <c r="R815" s="361"/>
      <c r="S815" s="361"/>
      <c r="T815" s="361"/>
      <c r="U815" s="361"/>
      <c r="V815" s="361"/>
      <c r="W815" s="361"/>
      <c r="X815" s="361"/>
      <c r="Y815" s="361"/>
      <c r="Z815" s="361"/>
    </row>
    <row r="816" ht="22.5" customHeight="1" outlineLevel="1">
      <c r="A816" s="412"/>
      <c r="B816" s="415"/>
      <c r="C816" s="394"/>
      <c r="D816" s="412"/>
      <c r="E816" s="414"/>
      <c r="F816" s="414"/>
      <c r="G816" s="414"/>
      <c r="H816" s="414"/>
      <c r="I816" s="397"/>
      <c r="J816" s="392"/>
      <c r="K816" s="361"/>
      <c r="L816" s="361"/>
      <c r="M816" s="361"/>
      <c r="N816" s="361"/>
      <c r="O816" s="361"/>
      <c r="P816" s="361"/>
      <c r="Q816" s="361"/>
      <c r="R816" s="361"/>
      <c r="S816" s="361"/>
      <c r="T816" s="361"/>
      <c r="U816" s="361"/>
      <c r="V816" s="361"/>
      <c r="W816" s="361"/>
      <c r="X816" s="361"/>
      <c r="Y816" s="361"/>
      <c r="Z816" s="361"/>
    </row>
    <row r="817" ht="22.5" customHeight="1" outlineLevel="1">
      <c r="A817" s="412"/>
      <c r="B817" s="415"/>
      <c r="C817" s="394"/>
      <c r="D817" s="412"/>
      <c r="E817" s="414"/>
      <c r="F817" s="414"/>
      <c r="G817" s="414"/>
      <c r="H817" s="414"/>
      <c r="I817" s="397"/>
      <c r="J817" s="392"/>
      <c r="K817" s="361"/>
      <c r="L817" s="361"/>
      <c r="M817" s="361"/>
      <c r="N817" s="361"/>
      <c r="O817" s="361"/>
      <c r="P817" s="361"/>
      <c r="Q817" s="361"/>
      <c r="R817" s="361"/>
      <c r="S817" s="361"/>
      <c r="T817" s="361"/>
      <c r="U817" s="361"/>
      <c r="V817" s="361"/>
      <c r="W817" s="361"/>
      <c r="X817" s="361"/>
      <c r="Y817" s="361"/>
      <c r="Z817" s="361"/>
    </row>
    <row r="818" ht="22.5" customHeight="1" outlineLevel="1">
      <c r="A818" s="412"/>
      <c r="B818" s="415"/>
      <c r="C818" s="394"/>
      <c r="D818" s="412"/>
      <c r="E818" s="414"/>
      <c r="F818" s="414"/>
      <c r="G818" s="414"/>
      <c r="H818" s="414"/>
      <c r="I818" s="397"/>
      <c r="J818" s="392"/>
      <c r="K818" s="361"/>
      <c r="L818" s="361"/>
      <c r="M818" s="361"/>
      <c r="N818" s="361"/>
      <c r="O818" s="361"/>
      <c r="P818" s="361"/>
      <c r="Q818" s="361"/>
      <c r="R818" s="361"/>
      <c r="S818" s="361"/>
      <c r="T818" s="361"/>
      <c r="U818" s="361"/>
      <c r="V818" s="361"/>
      <c r="W818" s="361"/>
      <c r="X818" s="361"/>
      <c r="Y818" s="361"/>
      <c r="Z818" s="361"/>
    </row>
    <row r="819" ht="22.5" customHeight="1" outlineLevel="1">
      <c r="A819" s="412"/>
      <c r="B819" s="415"/>
      <c r="C819" s="394"/>
      <c r="D819" s="412"/>
      <c r="E819" s="414"/>
      <c r="F819" s="414"/>
      <c r="G819" s="414"/>
      <c r="H819" s="414"/>
      <c r="I819" s="397"/>
      <c r="J819" s="392"/>
      <c r="K819" s="361"/>
      <c r="L819" s="361"/>
      <c r="M819" s="361"/>
      <c r="N819" s="361"/>
      <c r="O819" s="361"/>
      <c r="P819" s="361"/>
      <c r="Q819" s="361"/>
      <c r="R819" s="361"/>
      <c r="S819" s="361"/>
      <c r="T819" s="361"/>
      <c r="U819" s="361"/>
      <c r="V819" s="361"/>
      <c r="W819" s="361"/>
      <c r="X819" s="361"/>
      <c r="Y819" s="361"/>
      <c r="Z819" s="361"/>
    </row>
    <row r="820" ht="22.5" customHeight="1" outlineLevel="1">
      <c r="A820" s="412"/>
      <c r="B820" s="415"/>
      <c r="C820" s="394"/>
      <c r="D820" s="412"/>
      <c r="E820" s="414"/>
      <c r="F820" s="414"/>
      <c r="G820" s="414"/>
      <c r="H820" s="414"/>
      <c r="I820" s="397"/>
      <c r="J820" s="392"/>
      <c r="K820" s="361"/>
      <c r="L820" s="361"/>
      <c r="M820" s="361"/>
      <c r="N820" s="361"/>
      <c r="O820" s="361"/>
      <c r="P820" s="361"/>
      <c r="Q820" s="361"/>
      <c r="R820" s="361"/>
      <c r="S820" s="361"/>
      <c r="T820" s="361"/>
      <c r="U820" s="361"/>
      <c r="V820" s="361"/>
      <c r="W820" s="361"/>
      <c r="X820" s="361"/>
      <c r="Y820" s="361"/>
      <c r="Z820" s="361"/>
    </row>
    <row r="821" ht="22.5" customHeight="1" outlineLevel="1">
      <c r="A821" s="412"/>
      <c r="B821" s="415"/>
      <c r="C821" s="394"/>
      <c r="D821" s="412"/>
      <c r="E821" s="414"/>
      <c r="F821" s="414"/>
      <c r="G821" s="414"/>
      <c r="H821" s="414"/>
      <c r="I821" s="397"/>
      <c r="J821" s="392"/>
      <c r="K821" s="361"/>
      <c r="L821" s="361"/>
      <c r="M821" s="361"/>
      <c r="N821" s="361"/>
      <c r="O821" s="361"/>
      <c r="P821" s="361"/>
      <c r="Q821" s="361"/>
      <c r="R821" s="361"/>
      <c r="S821" s="361"/>
      <c r="T821" s="361"/>
      <c r="U821" s="361"/>
      <c r="V821" s="361"/>
      <c r="W821" s="361"/>
      <c r="X821" s="361"/>
      <c r="Y821" s="361"/>
      <c r="Z821" s="361"/>
    </row>
    <row r="822" ht="22.5" customHeight="1" outlineLevel="1">
      <c r="A822" s="412"/>
      <c r="B822" s="415"/>
      <c r="C822" s="394"/>
      <c r="D822" s="412"/>
      <c r="E822" s="414"/>
      <c r="F822" s="414"/>
      <c r="G822" s="414"/>
      <c r="H822" s="414"/>
      <c r="I822" s="397"/>
      <c r="J822" s="392"/>
      <c r="K822" s="361"/>
      <c r="L822" s="361"/>
      <c r="M822" s="361"/>
      <c r="N822" s="361"/>
      <c r="O822" s="361"/>
      <c r="P822" s="361"/>
      <c r="Q822" s="361"/>
      <c r="R822" s="361"/>
      <c r="S822" s="361"/>
      <c r="T822" s="361"/>
      <c r="U822" s="361"/>
      <c r="V822" s="361"/>
      <c r="W822" s="361"/>
      <c r="X822" s="361"/>
      <c r="Y822" s="361"/>
      <c r="Z822" s="361"/>
    </row>
    <row r="823" ht="22.5" customHeight="1" outlineLevel="1">
      <c r="A823" s="412"/>
      <c r="B823" s="415"/>
      <c r="C823" s="394"/>
      <c r="D823" s="412"/>
      <c r="E823" s="414"/>
      <c r="F823" s="414"/>
      <c r="G823" s="414"/>
      <c r="H823" s="414"/>
      <c r="I823" s="397"/>
      <c r="J823" s="392"/>
      <c r="K823" s="361"/>
      <c r="L823" s="361"/>
      <c r="M823" s="361"/>
      <c r="N823" s="361"/>
      <c r="O823" s="361"/>
      <c r="P823" s="361"/>
      <c r="Q823" s="361"/>
      <c r="R823" s="361"/>
      <c r="S823" s="361"/>
      <c r="T823" s="361"/>
      <c r="U823" s="361"/>
      <c r="V823" s="361"/>
      <c r="W823" s="361"/>
      <c r="X823" s="361"/>
      <c r="Y823" s="361"/>
      <c r="Z823" s="361"/>
    </row>
    <row r="824" ht="22.5" customHeight="1" outlineLevel="1">
      <c r="A824" s="412"/>
      <c r="B824" s="415"/>
      <c r="C824" s="394"/>
      <c r="D824" s="412"/>
      <c r="E824" s="414"/>
      <c r="F824" s="414"/>
      <c r="G824" s="414"/>
      <c r="H824" s="414"/>
      <c r="I824" s="397"/>
      <c r="J824" s="392"/>
      <c r="K824" s="361"/>
      <c r="L824" s="361"/>
      <c r="M824" s="361"/>
      <c r="N824" s="361"/>
      <c r="O824" s="361"/>
      <c r="P824" s="361"/>
      <c r="Q824" s="361"/>
      <c r="R824" s="361"/>
      <c r="S824" s="361"/>
      <c r="T824" s="361"/>
      <c r="U824" s="361"/>
      <c r="V824" s="361"/>
      <c r="W824" s="361"/>
      <c r="X824" s="361"/>
      <c r="Y824" s="361"/>
      <c r="Z824" s="361"/>
    </row>
    <row r="825" ht="22.5" customHeight="1" outlineLevel="1">
      <c r="A825" s="412"/>
      <c r="B825" s="415"/>
      <c r="C825" s="394"/>
      <c r="D825" s="412"/>
      <c r="E825" s="414"/>
      <c r="F825" s="414"/>
      <c r="G825" s="414"/>
      <c r="H825" s="414"/>
      <c r="I825" s="397"/>
      <c r="J825" s="392"/>
      <c r="K825" s="361"/>
      <c r="L825" s="361"/>
      <c r="M825" s="361"/>
      <c r="N825" s="361"/>
      <c r="O825" s="361"/>
      <c r="P825" s="361"/>
      <c r="Q825" s="361"/>
      <c r="R825" s="361"/>
      <c r="S825" s="361"/>
      <c r="T825" s="361"/>
      <c r="U825" s="361"/>
      <c r="V825" s="361"/>
      <c r="W825" s="361"/>
      <c r="X825" s="361"/>
      <c r="Y825" s="361"/>
      <c r="Z825" s="361"/>
    </row>
    <row r="826" ht="22.5" customHeight="1" outlineLevel="1">
      <c r="A826" s="412"/>
      <c r="B826" s="415"/>
      <c r="C826" s="394"/>
      <c r="D826" s="412"/>
      <c r="E826" s="414"/>
      <c r="F826" s="414"/>
      <c r="G826" s="414"/>
      <c r="H826" s="414"/>
      <c r="I826" s="397"/>
      <c r="J826" s="392"/>
      <c r="K826" s="361"/>
      <c r="L826" s="361"/>
      <c r="M826" s="361"/>
      <c r="N826" s="361"/>
      <c r="O826" s="361"/>
      <c r="P826" s="361"/>
      <c r="Q826" s="361"/>
      <c r="R826" s="361"/>
      <c r="S826" s="361"/>
      <c r="T826" s="361"/>
      <c r="U826" s="361"/>
      <c r="V826" s="361"/>
      <c r="W826" s="361"/>
      <c r="X826" s="361"/>
      <c r="Y826" s="361"/>
      <c r="Z826" s="361"/>
    </row>
    <row r="827" ht="22.5" customHeight="1" outlineLevel="1">
      <c r="A827" s="412"/>
      <c r="B827" s="415"/>
      <c r="C827" s="394"/>
      <c r="D827" s="412"/>
      <c r="E827" s="414"/>
      <c r="F827" s="414"/>
      <c r="G827" s="414"/>
      <c r="H827" s="414"/>
      <c r="I827" s="397"/>
      <c r="J827" s="392"/>
      <c r="K827" s="361"/>
      <c r="L827" s="361"/>
      <c r="M827" s="361"/>
      <c r="N827" s="361"/>
      <c r="O827" s="361"/>
      <c r="P827" s="361"/>
      <c r="Q827" s="361"/>
      <c r="R827" s="361"/>
      <c r="S827" s="361"/>
      <c r="T827" s="361"/>
      <c r="U827" s="361"/>
      <c r="V827" s="361"/>
      <c r="W827" s="361"/>
      <c r="X827" s="361"/>
      <c r="Y827" s="361"/>
      <c r="Z827" s="361"/>
    </row>
    <row r="828" ht="22.5" customHeight="1" outlineLevel="1">
      <c r="A828" s="412"/>
      <c r="B828" s="415"/>
      <c r="C828" s="394"/>
      <c r="D828" s="412"/>
      <c r="E828" s="414"/>
      <c r="F828" s="414"/>
      <c r="G828" s="414"/>
      <c r="H828" s="414"/>
      <c r="I828" s="397"/>
      <c r="J828" s="392"/>
      <c r="K828" s="361"/>
      <c r="L828" s="361"/>
      <c r="M828" s="361"/>
      <c r="N828" s="361"/>
      <c r="O828" s="361"/>
      <c r="P828" s="361"/>
      <c r="Q828" s="361"/>
      <c r="R828" s="361"/>
      <c r="S828" s="361"/>
      <c r="T828" s="361"/>
      <c r="U828" s="361"/>
      <c r="V828" s="361"/>
      <c r="W828" s="361"/>
      <c r="X828" s="361"/>
      <c r="Y828" s="361"/>
      <c r="Z828" s="361"/>
    </row>
    <row r="829" ht="22.5" customHeight="1" outlineLevel="1">
      <c r="A829" s="412"/>
      <c r="B829" s="415"/>
      <c r="C829" s="394"/>
      <c r="D829" s="412"/>
      <c r="E829" s="414"/>
      <c r="F829" s="414"/>
      <c r="G829" s="414"/>
      <c r="H829" s="414"/>
      <c r="I829" s="397"/>
      <c r="J829" s="392"/>
      <c r="K829" s="361"/>
      <c r="L829" s="361"/>
      <c r="M829" s="361"/>
      <c r="N829" s="361"/>
      <c r="O829" s="361"/>
      <c r="P829" s="361"/>
      <c r="Q829" s="361"/>
      <c r="R829" s="361"/>
      <c r="S829" s="361"/>
      <c r="T829" s="361"/>
      <c r="U829" s="361"/>
      <c r="V829" s="361"/>
      <c r="W829" s="361"/>
      <c r="X829" s="361"/>
      <c r="Y829" s="361"/>
      <c r="Z829" s="361"/>
    </row>
    <row r="830" ht="22.5" customHeight="1" outlineLevel="1">
      <c r="A830" s="412"/>
      <c r="B830" s="415"/>
      <c r="C830" s="394"/>
      <c r="D830" s="412"/>
      <c r="E830" s="414"/>
      <c r="F830" s="414"/>
      <c r="G830" s="414"/>
      <c r="H830" s="414"/>
      <c r="I830" s="397"/>
      <c r="J830" s="392"/>
      <c r="K830" s="361"/>
      <c r="L830" s="361"/>
      <c r="M830" s="361"/>
      <c r="N830" s="361"/>
      <c r="O830" s="361"/>
      <c r="P830" s="361"/>
      <c r="Q830" s="361"/>
      <c r="R830" s="361"/>
      <c r="S830" s="361"/>
      <c r="T830" s="361"/>
      <c r="U830" s="361"/>
      <c r="V830" s="361"/>
      <c r="W830" s="361"/>
      <c r="X830" s="361"/>
      <c r="Y830" s="361"/>
      <c r="Z830" s="361"/>
    </row>
    <row r="831" ht="22.5" customHeight="1" outlineLevel="1">
      <c r="A831" s="412"/>
      <c r="B831" s="415"/>
      <c r="C831" s="394"/>
      <c r="D831" s="412"/>
      <c r="E831" s="414"/>
      <c r="F831" s="414"/>
      <c r="G831" s="414"/>
      <c r="H831" s="414"/>
      <c r="I831" s="397"/>
      <c r="J831" s="392"/>
      <c r="K831" s="361"/>
      <c r="L831" s="361"/>
      <c r="M831" s="361"/>
      <c r="N831" s="361"/>
      <c r="O831" s="361"/>
      <c r="P831" s="361"/>
      <c r="Q831" s="361"/>
      <c r="R831" s="361"/>
      <c r="S831" s="361"/>
      <c r="T831" s="361"/>
      <c r="U831" s="361"/>
      <c r="V831" s="361"/>
      <c r="W831" s="361"/>
      <c r="X831" s="361"/>
      <c r="Y831" s="361"/>
      <c r="Z831" s="361"/>
    </row>
    <row r="832" ht="22.5" customHeight="1" outlineLevel="1">
      <c r="A832" s="412"/>
      <c r="B832" s="415"/>
      <c r="C832" s="394"/>
      <c r="D832" s="412"/>
      <c r="E832" s="414"/>
      <c r="F832" s="414"/>
      <c r="G832" s="414"/>
      <c r="H832" s="414"/>
      <c r="I832" s="397"/>
      <c r="J832" s="392"/>
      <c r="K832" s="361"/>
      <c r="L832" s="361"/>
      <c r="M832" s="361"/>
      <c r="N832" s="361"/>
      <c r="O832" s="361"/>
      <c r="P832" s="361"/>
      <c r="Q832" s="361"/>
      <c r="R832" s="361"/>
      <c r="S832" s="361"/>
      <c r="T832" s="361"/>
      <c r="U832" s="361"/>
      <c r="V832" s="361"/>
      <c r="W832" s="361"/>
      <c r="X832" s="361"/>
      <c r="Y832" s="361"/>
      <c r="Z832" s="361"/>
    </row>
    <row r="833" ht="22.5" customHeight="1" outlineLevel="1">
      <c r="A833" s="412"/>
      <c r="B833" s="415"/>
      <c r="C833" s="394"/>
      <c r="D833" s="412"/>
      <c r="E833" s="414"/>
      <c r="F833" s="414"/>
      <c r="G833" s="414"/>
      <c r="H833" s="414"/>
      <c r="I833" s="397"/>
      <c r="J833" s="392"/>
      <c r="K833" s="361"/>
      <c r="L833" s="361"/>
      <c r="M833" s="361"/>
      <c r="N833" s="361"/>
      <c r="O833" s="361"/>
      <c r="P833" s="361"/>
      <c r="Q833" s="361"/>
      <c r="R833" s="361"/>
      <c r="S833" s="361"/>
      <c r="T833" s="361"/>
      <c r="U833" s="361"/>
      <c r="V833" s="361"/>
      <c r="W833" s="361"/>
      <c r="X833" s="361"/>
      <c r="Y833" s="361"/>
      <c r="Z833" s="361"/>
    </row>
    <row r="834" ht="22.5" customHeight="1" outlineLevel="1">
      <c r="A834" s="412"/>
      <c r="B834" s="415"/>
      <c r="C834" s="394"/>
      <c r="D834" s="412"/>
      <c r="E834" s="414"/>
      <c r="F834" s="414"/>
      <c r="G834" s="414"/>
      <c r="H834" s="414"/>
      <c r="I834" s="397"/>
      <c r="J834" s="392"/>
      <c r="K834" s="361"/>
      <c r="L834" s="361"/>
      <c r="M834" s="361"/>
      <c r="N834" s="361"/>
      <c r="O834" s="361"/>
      <c r="P834" s="361"/>
      <c r="Q834" s="361"/>
      <c r="R834" s="361"/>
      <c r="S834" s="361"/>
      <c r="T834" s="361"/>
      <c r="U834" s="361"/>
      <c r="V834" s="361"/>
      <c r="W834" s="361"/>
      <c r="X834" s="361"/>
      <c r="Y834" s="361"/>
      <c r="Z834" s="361"/>
    </row>
    <row r="835" ht="22.5" customHeight="1" outlineLevel="1">
      <c r="A835" s="412"/>
      <c r="B835" s="415"/>
      <c r="C835" s="394"/>
      <c r="D835" s="412"/>
      <c r="E835" s="414"/>
      <c r="F835" s="414"/>
      <c r="G835" s="414"/>
      <c r="H835" s="414"/>
      <c r="I835" s="397"/>
      <c r="J835" s="392"/>
      <c r="K835" s="361"/>
      <c r="L835" s="361"/>
      <c r="M835" s="361"/>
      <c r="N835" s="361"/>
      <c r="O835" s="361"/>
      <c r="P835" s="361"/>
      <c r="Q835" s="361"/>
      <c r="R835" s="361"/>
      <c r="S835" s="361"/>
      <c r="T835" s="361"/>
      <c r="U835" s="361"/>
      <c r="V835" s="361"/>
      <c r="W835" s="361"/>
      <c r="X835" s="361"/>
      <c r="Y835" s="361"/>
      <c r="Z835" s="361"/>
    </row>
    <row r="836" ht="22.5" customHeight="1" outlineLevel="1">
      <c r="A836" s="412"/>
      <c r="B836" s="415"/>
      <c r="C836" s="394"/>
      <c r="D836" s="412"/>
      <c r="E836" s="414"/>
      <c r="F836" s="414"/>
      <c r="G836" s="414"/>
      <c r="H836" s="414"/>
      <c r="I836" s="397"/>
      <c r="J836" s="392"/>
      <c r="K836" s="361"/>
      <c r="L836" s="361"/>
      <c r="M836" s="361"/>
      <c r="N836" s="361"/>
      <c r="O836" s="361"/>
      <c r="P836" s="361"/>
      <c r="Q836" s="361"/>
      <c r="R836" s="361"/>
      <c r="S836" s="361"/>
      <c r="T836" s="361"/>
      <c r="U836" s="361"/>
      <c r="V836" s="361"/>
      <c r="W836" s="361"/>
      <c r="X836" s="361"/>
      <c r="Y836" s="361"/>
      <c r="Z836" s="361"/>
    </row>
    <row r="837" ht="22.5" customHeight="1" outlineLevel="1">
      <c r="A837" s="412"/>
      <c r="B837" s="415"/>
      <c r="C837" s="394"/>
      <c r="D837" s="412"/>
      <c r="E837" s="414"/>
      <c r="F837" s="414"/>
      <c r="G837" s="414"/>
      <c r="H837" s="414"/>
      <c r="I837" s="397"/>
      <c r="J837" s="392"/>
      <c r="K837" s="361"/>
      <c r="L837" s="361"/>
      <c r="M837" s="361"/>
      <c r="N837" s="361"/>
      <c r="O837" s="361"/>
      <c r="P837" s="361"/>
      <c r="Q837" s="361"/>
      <c r="R837" s="361"/>
      <c r="S837" s="361"/>
      <c r="T837" s="361"/>
      <c r="U837" s="361"/>
      <c r="V837" s="361"/>
      <c r="W837" s="361"/>
      <c r="X837" s="361"/>
      <c r="Y837" s="361"/>
      <c r="Z837" s="361"/>
    </row>
    <row r="838" ht="22.5" customHeight="1" outlineLevel="1">
      <c r="A838" s="412"/>
      <c r="B838" s="415"/>
      <c r="C838" s="394"/>
      <c r="D838" s="412"/>
      <c r="E838" s="414"/>
      <c r="F838" s="414"/>
      <c r="G838" s="414"/>
      <c r="H838" s="414"/>
      <c r="I838" s="397"/>
      <c r="J838" s="392"/>
      <c r="K838" s="361"/>
      <c r="L838" s="361"/>
      <c r="M838" s="361"/>
      <c r="N838" s="361"/>
      <c r="O838" s="361"/>
      <c r="P838" s="361"/>
      <c r="Q838" s="361"/>
      <c r="R838" s="361"/>
      <c r="S838" s="361"/>
      <c r="T838" s="361"/>
      <c r="U838" s="361"/>
      <c r="V838" s="361"/>
      <c r="W838" s="361"/>
      <c r="X838" s="361"/>
      <c r="Y838" s="361"/>
      <c r="Z838" s="361"/>
    </row>
    <row r="839" ht="22.5" customHeight="1" outlineLevel="1">
      <c r="A839" s="412"/>
      <c r="B839" s="415"/>
      <c r="C839" s="394"/>
      <c r="D839" s="412"/>
      <c r="E839" s="414"/>
      <c r="F839" s="414"/>
      <c r="G839" s="414"/>
      <c r="H839" s="414"/>
      <c r="I839" s="397"/>
      <c r="J839" s="392"/>
      <c r="K839" s="361"/>
      <c r="L839" s="361"/>
      <c r="M839" s="361"/>
      <c r="N839" s="361"/>
      <c r="O839" s="361"/>
      <c r="P839" s="361"/>
      <c r="Q839" s="361"/>
      <c r="R839" s="361"/>
      <c r="S839" s="361"/>
      <c r="T839" s="361"/>
      <c r="U839" s="361"/>
      <c r="V839" s="361"/>
      <c r="W839" s="361"/>
      <c r="X839" s="361"/>
      <c r="Y839" s="361"/>
      <c r="Z839" s="361"/>
    </row>
    <row r="840" ht="22.5" customHeight="1" outlineLevel="1">
      <c r="A840" s="412"/>
      <c r="B840" s="415"/>
      <c r="C840" s="394"/>
      <c r="D840" s="412"/>
      <c r="E840" s="414"/>
      <c r="F840" s="414"/>
      <c r="G840" s="414"/>
      <c r="H840" s="414"/>
      <c r="I840" s="397"/>
      <c r="J840" s="392"/>
      <c r="K840" s="361"/>
      <c r="L840" s="361"/>
      <c r="M840" s="361"/>
      <c r="N840" s="361"/>
      <c r="O840" s="361"/>
      <c r="P840" s="361"/>
      <c r="Q840" s="361"/>
      <c r="R840" s="361"/>
      <c r="S840" s="361"/>
      <c r="T840" s="361"/>
      <c r="U840" s="361"/>
      <c r="V840" s="361"/>
      <c r="W840" s="361"/>
      <c r="X840" s="361"/>
      <c r="Y840" s="361"/>
      <c r="Z840" s="361"/>
    </row>
    <row r="841" ht="22.5" customHeight="1" outlineLevel="1">
      <c r="A841" s="412"/>
      <c r="B841" s="415"/>
      <c r="C841" s="394"/>
      <c r="D841" s="412"/>
      <c r="E841" s="414"/>
      <c r="F841" s="414"/>
      <c r="G841" s="414"/>
      <c r="H841" s="414"/>
      <c r="I841" s="397"/>
      <c r="J841" s="392"/>
      <c r="K841" s="361"/>
      <c r="L841" s="361"/>
      <c r="M841" s="361"/>
      <c r="N841" s="361"/>
      <c r="O841" s="361"/>
      <c r="P841" s="361"/>
      <c r="Q841" s="361"/>
      <c r="R841" s="361"/>
      <c r="S841" s="361"/>
      <c r="T841" s="361"/>
      <c r="U841" s="361"/>
      <c r="V841" s="361"/>
      <c r="W841" s="361"/>
      <c r="X841" s="361"/>
      <c r="Y841" s="361"/>
      <c r="Z841" s="361"/>
    </row>
    <row r="842" ht="22.5" customHeight="1" outlineLevel="1">
      <c r="A842" s="412"/>
      <c r="B842" s="415"/>
      <c r="C842" s="394"/>
      <c r="D842" s="412"/>
      <c r="E842" s="414"/>
      <c r="F842" s="414"/>
      <c r="G842" s="414"/>
      <c r="H842" s="414"/>
      <c r="I842" s="397"/>
      <c r="J842" s="392"/>
      <c r="K842" s="361"/>
      <c r="L842" s="361"/>
      <c r="M842" s="361"/>
      <c r="N842" s="361"/>
      <c r="O842" s="361"/>
      <c r="P842" s="361"/>
      <c r="Q842" s="361"/>
      <c r="R842" s="361"/>
      <c r="S842" s="361"/>
      <c r="T842" s="361"/>
      <c r="U842" s="361"/>
      <c r="V842" s="361"/>
      <c r="W842" s="361"/>
      <c r="X842" s="361"/>
      <c r="Y842" s="361"/>
      <c r="Z842" s="361"/>
    </row>
    <row r="843" ht="22.5" customHeight="1" outlineLevel="1">
      <c r="A843" s="412"/>
      <c r="B843" s="415"/>
      <c r="C843" s="394"/>
      <c r="D843" s="412"/>
      <c r="E843" s="414"/>
      <c r="F843" s="414"/>
      <c r="G843" s="414"/>
      <c r="H843" s="414"/>
      <c r="I843" s="397"/>
      <c r="J843" s="392"/>
      <c r="K843" s="361"/>
      <c r="L843" s="361"/>
      <c r="M843" s="361"/>
      <c r="N843" s="361"/>
      <c r="O843" s="361"/>
      <c r="P843" s="361"/>
      <c r="Q843" s="361"/>
      <c r="R843" s="361"/>
      <c r="S843" s="361"/>
      <c r="T843" s="361"/>
      <c r="U843" s="361"/>
      <c r="V843" s="361"/>
      <c r="W843" s="361"/>
      <c r="X843" s="361"/>
      <c r="Y843" s="361"/>
      <c r="Z843" s="361"/>
    </row>
    <row r="844" ht="22.5" customHeight="1" outlineLevel="1">
      <c r="A844" s="412"/>
      <c r="B844" s="415"/>
      <c r="C844" s="394"/>
      <c r="D844" s="412"/>
      <c r="E844" s="414"/>
      <c r="F844" s="414"/>
      <c r="G844" s="414"/>
      <c r="H844" s="414"/>
      <c r="I844" s="397"/>
      <c r="J844" s="392"/>
      <c r="K844" s="361"/>
      <c r="L844" s="361"/>
      <c r="M844" s="361"/>
      <c r="N844" s="361"/>
      <c r="O844" s="361"/>
      <c r="P844" s="361"/>
      <c r="Q844" s="361"/>
      <c r="R844" s="361"/>
      <c r="S844" s="361"/>
      <c r="T844" s="361"/>
      <c r="U844" s="361"/>
      <c r="V844" s="361"/>
      <c r="W844" s="361"/>
      <c r="X844" s="361"/>
      <c r="Y844" s="361"/>
      <c r="Z844" s="361"/>
    </row>
    <row r="845" ht="22.5" customHeight="1" outlineLevel="1">
      <c r="A845" s="412"/>
      <c r="B845" s="415"/>
      <c r="C845" s="394"/>
      <c r="D845" s="412"/>
      <c r="E845" s="414"/>
      <c r="F845" s="414"/>
      <c r="G845" s="414"/>
      <c r="H845" s="414"/>
      <c r="I845" s="397"/>
      <c r="J845" s="392"/>
      <c r="K845" s="361"/>
      <c r="L845" s="361"/>
      <c r="M845" s="361"/>
      <c r="N845" s="361"/>
      <c r="O845" s="361"/>
      <c r="P845" s="361"/>
      <c r="Q845" s="361"/>
      <c r="R845" s="361"/>
      <c r="S845" s="361"/>
      <c r="T845" s="361"/>
      <c r="U845" s="361"/>
      <c r="V845" s="361"/>
      <c r="W845" s="361"/>
      <c r="X845" s="361"/>
      <c r="Y845" s="361"/>
      <c r="Z845" s="361"/>
    </row>
    <row r="846" ht="22.5" customHeight="1" outlineLevel="1">
      <c r="A846" s="412"/>
      <c r="B846" s="415"/>
      <c r="C846" s="394"/>
      <c r="D846" s="412"/>
      <c r="E846" s="414"/>
      <c r="F846" s="414"/>
      <c r="G846" s="414"/>
      <c r="H846" s="414"/>
      <c r="I846" s="397"/>
      <c r="J846" s="392"/>
      <c r="K846" s="361"/>
      <c r="L846" s="361"/>
      <c r="M846" s="361"/>
      <c r="N846" s="361"/>
      <c r="O846" s="361"/>
      <c r="P846" s="361"/>
      <c r="Q846" s="361"/>
      <c r="R846" s="361"/>
      <c r="S846" s="361"/>
      <c r="T846" s="361"/>
      <c r="U846" s="361"/>
      <c r="V846" s="361"/>
      <c r="W846" s="361"/>
      <c r="X846" s="361"/>
      <c r="Y846" s="361"/>
      <c r="Z846" s="361"/>
    </row>
    <row r="847" ht="22.5" customHeight="1" outlineLevel="1">
      <c r="A847" s="412"/>
      <c r="B847" s="415"/>
      <c r="C847" s="394"/>
      <c r="D847" s="412"/>
      <c r="E847" s="414"/>
      <c r="F847" s="414"/>
      <c r="G847" s="414"/>
      <c r="H847" s="414"/>
      <c r="I847" s="397"/>
      <c r="J847" s="392"/>
      <c r="K847" s="361"/>
      <c r="L847" s="361"/>
      <c r="M847" s="361"/>
      <c r="N847" s="361"/>
      <c r="O847" s="361"/>
      <c r="P847" s="361"/>
      <c r="Q847" s="361"/>
      <c r="R847" s="361"/>
      <c r="S847" s="361"/>
      <c r="T847" s="361"/>
      <c r="U847" s="361"/>
      <c r="V847" s="361"/>
      <c r="W847" s="361"/>
      <c r="X847" s="361"/>
      <c r="Y847" s="361"/>
      <c r="Z847" s="361"/>
    </row>
    <row r="848" ht="22.5" customHeight="1" outlineLevel="1">
      <c r="A848" s="412"/>
      <c r="B848" s="415"/>
      <c r="C848" s="394"/>
      <c r="D848" s="412"/>
      <c r="E848" s="414"/>
      <c r="F848" s="414"/>
      <c r="G848" s="414"/>
      <c r="H848" s="414"/>
      <c r="I848" s="397"/>
      <c r="J848" s="392"/>
      <c r="K848" s="361"/>
      <c r="L848" s="361"/>
      <c r="M848" s="361"/>
      <c r="N848" s="361"/>
      <c r="O848" s="361"/>
      <c r="P848" s="361"/>
      <c r="Q848" s="361"/>
      <c r="R848" s="361"/>
      <c r="S848" s="361"/>
      <c r="T848" s="361"/>
      <c r="U848" s="361"/>
      <c r="V848" s="361"/>
      <c r="W848" s="361"/>
      <c r="X848" s="361"/>
      <c r="Y848" s="361"/>
      <c r="Z848" s="361"/>
    </row>
    <row r="849" ht="22.5" customHeight="1" outlineLevel="1">
      <c r="A849" s="412"/>
      <c r="B849" s="415"/>
      <c r="C849" s="394"/>
      <c r="D849" s="412"/>
      <c r="E849" s="414"/>
      <c r="F849" s="414"/>
      <c r="G849" s="414"/>
      <c r="H849" s="414"/>
      <c r="I849" s="397"/>
      <c r="J849" s="392"/>
      <c r="K849" s="361"/>
      <c r="L849" s="361"/>
      <c r="M849" s="361"/>
      <c r="N849" s="361"/>
      <c r="O849" s="361"/>
      <c r="P849" s="361"/>
      <c r="Q849" s="361"/>
      <c r="R849" s="361"/>
      <c r="S849" s="361"/>
      <c r="T849" s="361"/>
      <c r="U849" s="361"/>
      <c r="V849" s="361"/>
      <c r="W849" s="361"/>
      <c r="X849" s="361"/>
      <c r="Y849" s="361"/>
      <c r="Z849" s="361"/>
    </row>
    <row r="850" ht="22.5" customHeight="1" outlineLevel="1">
      <c r="A850" s="412"/>
      <c r="B850" s="415"/>
      <c r="C850" s="394"/>
      <c r="D850" s="412"/>
      <c r="E850" s="414"/>
      <c r="F850" s="414"/>
      <c r="G850" s="414"/>
      <c r="H850" s="414"/>
      <c r="I850" s="397"/>
      <c r="J850" s="392"/>
      <c r="K850" s="361"/>
      <c r="L850" s="361"/>
      <c r="M850" s="361"/>
      <c r="N850" s="361"/>
      <c r="O850" s="361"/>
      <c r="P850" s="361"/>
      <c r="Q850" s="361"/>
      <c r="R850" s="361"/>
      <c r="S850" s="361"/>
      <c r="T850" s="361"/>
      <c r="U850" s="361"/>
      <c r="V850" s="361"/>
      <c r="W850" s="361"/>
      <c r="X850" s="361"/>
      <c r="Y850" s="361"/>
      <c r="Z850" s="361"/>
    </row>
    <row r="851" ht="22.5" customHeight="1" outlineLevel="1">
      <c r="A851" s="412"/>
      <c r="B851" s="415"/>
      <c r="C851" s="394"/>
      <c r="D851" s="412"/>
      <c r="E851" s="414"/>
      <c r="F851" s="414"/>
      <c r="G851" s="414"/>
      <c r="H851" s="414"/>
      <c r="I851" s="397"/>
      <c r="J851" s="392"/>
      <c r="K851" s="361"/>
      <c r="L851" s="361"/>
      <c r="M851" s="361"/>
      <c r="N851" s="361"/>
      <c r="O851" s="361"/>
      <c r="P851" s="361"/>
      <c r="Q851" s="361"/>
      <c r="R851" s="361"/>
      <c r="S851" s="361"/>
      <c r="T851" s="361"/>
      <c r="U851" s="361"/>
      <c r="V851" s="361"/>
      <c r="W851" s="361"/>
      <c r="X851" s="361"/>
      <c r="Y851" s="361"/>
      <c r="Z851" s="361"/>
    </row>
    <row r="852" ht="22.5" customHeight="1" outlineLevel="1">
      <c r="A852" s="412"/>
      <c r="B852" s="415"/>
      <c r="C852" s="394"/>
      <c r="D852" s="412"/>
      <c r="E852" s="414"/>
      <c r="F852" s="414"/>
      <c r="G852" s="414"/>
      <c r="H852" s="414"/>
      <c r="I852" s="397"/>
      <c r="J852" s="392"/>
      <c r="K852" s="361"/>
      <c r="L852" s="361"/>
      <c r="M852" s="361"/>
      <c r="N852" s="361"/>
      <c r="O852" s="361"/>
      <c r="P852" s="361"/>
      <c r="Q852" s="361"/>
      <c r="R852" s="361"/>
      <c r="S852" s="361"/>
      <c r="T852" s="361"/>
      <c r="U852" s="361"/>
      <c r="V852" s="361"/>
      <c r="W852" s="361"/>
      <c r="X852" s="361"/>
      <c r="Y852" s="361"/>
      <c r="Z852" s="361"/>
    </row>
    <row r="853" ht="22.5" customHeight="1" outlineLevel="1">
      <c r="A853" s="412"/>
      <c r="B853" s="415"/>
      <c r="C853" s="394"/>
      <c r="D853" s="412"/>
      <c r="E853" s="414"/>
      <c r="F853" s="414"/>
      <c r="G853" s="414"/>
      <c r="H853" s="414"/>
      <c r="I853" s="397"/>
      <c r="J853" s="392"/>
      <c r="K853" s="361"/>
      <c r="L853" s="361"/>
      <c r="M853" s="361"/>
      <c r="N853" s="361"/>
      <c r="O853" s="361"/>
      <c r="P853" s="361"/>
      <c r="Q853" s="361"/>
      <c r="R853" s="361"/>
      <c r="S853" s="361"/>
      <c r="T853" s="361"/>
      <c r="U853" s="361"/>
      <c r="V853" s="361"/>
      <c r="W853" s="361"/>
      <c r="X853" s="361"/>
      <c r="Y853" s="361"/>
      <c r="Z853" s="361"/>
    </row>
    <row r="854" ht="22.5" customHeight="1" outlineLevel="1">
      <c r="A854" s="412"/>
      <c r="B854" s="415"/>
      <c r="C854" s="394"/>
      <c r="D854" s="412"/>
      <c r="E854" s="414"/>
      <c r="F854" s="414"/>
      <c r="G854" s="414"/>
      <c r="H854" s="414"/>
      <c r="I854" s="397"/>
      <c r="J854" s="392"/>
      <c r="K854" s="361"/>
      <c r="L854" s="361"/>
      <c r="M854" s="361"/>
      <c r="N854" s="361"/>
      <c r="O854" s="361"/>
      <c r="P854" s="361"/>
      <c r="Q854" s="361"/>
      <c r="R854" s="361"/>
      <c r="S854" s="361"/>
      <c r="T854" s="361"/>
      <c r="U854" s="361"/>
      <c r="V854" s="361"/>
      <c r="W854" s="361"/>
      <c r="X854" s="361"/>
      <c r="Y854" s="361"/>
      <c r="Z854" s="361"/>
    </row>
    <row r="855" ht="22.5" customHeight="1" outlineLevel="1">
      <c r="A855" s="412"/>
      <c r="B855" s="415"/>
      <c r="C855" s="394"/>
      <c r="D855" s="412"/>
      <c r="E855" s="414"/>
      <c r="F855" s="414"/>
      <c r="G855" s="414"/>
      <c r="H855" s="414"/>
      <c r="I855" s="397"/>
      <c r="J855" s="392"/>
      <c r="K855" s="361"/>
      <c r="L855" s="361"/>
      <c r="M855" s="361"/>
      <c r="N855" s="361"/>
      <c r="O855" s="361"/>
      <c r="P855" s="361"/>
      <c r="Q855" s="361"/>
      <c r="R855" s="361"/>
      <c r="S855" s="361"/>
      <c r="T855" s="361"/>
      <c r="U855" s="361"/>
      <c r="V855" s="361"/>
      <c r="W855" s="361"/>
      <c r="X855" s="361"/>
      <c r="Y855" s="361"/>
      <c r="Z855" s="361"/>
    </row>
    <row r="856" ht="22.5" customHeight="1" outlineLevel="1">
      <c r="A856" s="412"/>
      <c r="B856" s="415"/>
      <c r="C856" s="394"/>
      <c r="D856" s="412"/>
      <c r="E856" s="414"/>
      <c r="F856" s="414"/>
      <c r="G856" s="414"/>
      <c r="H856" s="414"/>
      <c r="I856" s="397"/>
      <c r="J856" s="392"/>
      <c r="K856" s="361"/>
      <c r="L856" s="361"/>
      <c r="M856" s="361"/>
      <c r="N856" s="361"/>
      <c r="O856" s="361"/>
      <c r="P856" s="361"/>
      <c r="Q856" s="361"/>
      <c r="R856" s="361"/>
      <c r="S856" s="361"/>
      <c r="T856" s="361"/>
      <c r="U856" s="361"/>
      <c r="V856" s="361"/>
      <c r="W856" s="361"/>
      <c r="X856" s="361"/>
      <c r="Y856" s="361"/>
      <c r="Z856" s="361"/>
    </row>
    <row r="857" ht="22.5" customHeight="1" outlineLevel="1">
      <c r="A857" s="412"/>
      <c r="B857" s="415"/>
      <c r="C857" s="394"/>
      <c r="D857" s="412"/>
      <c r="E857" s="414"/>
      <c r="F857" s="414"/>
      <c r="G857" s="414"/>
      <c r="H857" s="414"/>
      <c r="I857" s="397"/>
      <c r="J857" s="392"/>
      <c r="K857" s="361"/>
      <c r="L857" s="361"/>
      <c r="M857" s="361"/>
      <c r="N857" s="361"/>
      <c r="O857" s="361"/>
      <c r="P857" s="361"/>
      <c r="Q857" s="361"/>
      <c r="R857" s="361"/>
      <c r="S857" s="361"/>
      <c r="T857" s="361"/>
      <c r="U857" s="361"/>
      <c r="V857" s="361"/>
      <c r="W857" s="361"/>
      <c r="X857" s="361"/>
      <c r="Y857" s="361"/>
      <c r="Z857" s="361"/>
    </row>
    <row r="858" ht="22.5" customHeight="1" outlineLevel="1">
      <c r="A858" s="412"/>
      <c r="B858" s="415"/>
      <c r="C858" s="394"/>
      <c r="D858" s="412"/>
      <c r="E858" s="414"/>
      <c r="F858" s="414"/>
      <c r="G858" s="414"/>
      <c r="H858" s="414"/>
      <c r="I858" s="397"/>
      <c r="J858" s="392"/>
      <c r="K858" s="361"/>
      <c r="L858" s="361"/>
      <c r="M858" s="361"/>
      <c r="N858" s="361"/>
      <c r="O858" s="361"/>
      <c r="P858" s="361"/>
      <c r="Q858" s="361"/>
      <c r="R858" s="361"/>
      <c r="S858" s="361"/>
      <c r="T858" s="361"/>
      <c r="U858" s="361"/>
      <c r="V858" s="361"/>
      <c r="W858" s="361"/>
      <c r="X858" s="361"/>
      <c r="Y858" s="361"/>
      <c r="Z858" s="361"/>
    </row>
    <row r="859" ht="22.5" customHeight="1" outlineLevel="1">
      <c r="A859" s="412"/>
      <c r="B859" s="415"/>
      <c r="C859" s="394"/>
      <c r="D859" s="412"/>
      <c r="E859" s="414"/>
      <c r="F859" s="414"/>
      <c r="G859" s="414"/>
      <c r="H859" s="414"/>
      <c r="I859" s="397"/>
      <c r="J859" s="392"/>
      <c r="K859" s="361"/>
      <c r="L859" s="361"/>
      <c r="M859" s="361"/>
      <c r="N859" s="361"/>
      <c r="O859" s="361"/>
      <c r="P859" s="361"/>
      <c r="Q859" s="361"/>
      <c r="R859" s="361"/>
      <c r="S859" s="361"/>
      <c r="T859" s="361"/>
      <c r="U859" s="361"/>
      <c r="V859" s="361"/>
      <c r="W859" s="361"/>
      <c r="X859" s="361"/>
      <c r="Y859" s="361"/>
      <c r="Z859" s="361"/>
    </row>
    <row r="860" ht="22.5" customHeight="1" outlineLevel="1">
      <c r="A860" s="412"/>
      <c r="B860" s="415"/>
      <c r="C860" s="394"/>
      <c r="D860" s="412"/>
      <c r="E860" s="414"/>
      <c r="F860" s="414"/>
      <c r="G860" s="414"/>
      <c r="H860" s="414"/>
      <c r="I860" s="397"/>
      <c r="J860" s="392"/>
      <c r="K860" s="361"/>
      <c r="L860" s="361"/>
      <c r="M860" s="361"/>
      <c r="N860" s="361"/>
      <c r="O860" s="361"/>
      <c r="P860" s="361"/>
      <c r="Q860" s="361"/>
      <c r="R860" s="361"/>
      <c r="S860" s="361"/>
      <c r="T860" s="361"/>
      <c r="U860" s="361"/>
      <c r="V860" s="361"/>
      <c r="W860" s="361"/>
      <c r="X860" s="361"/>
      <c r="Y860" s="361"/>
      <c r="Z860" s="361"/>
    </row>
    <row r="861" ht="22.5" customHeight="1" outlineLevel="1">
      <c r="A861" s="412"/>
      <c r="B861" s="415"/>
      <c r="C861" s="394"/>
      <c r="D861" s="412"/>
      <c r="E861" s="414"/>
      <c r="F861" s="414"/>
      <c r="G861" s="414"/>
      <c r="H861" s="414"/>
      <c r="I861" s="397"/>
      <c r="J861" s="392"/>
      <c r="K861" s="361"/>
      <c r="L861" s="361"/>
      <c r="M861" s="361"/>
      <c r="N861" s="361"/>
      <c r="O861" s="361"/>
      <c r="P861" s="361"/>
      <c r="Q861" s="361"/>
      <c r="R861" s="361"/>
      <c r="S861" s="361"/>
      <c r="T861" s="361"/>
      <c r="U861" s="361"/>
      <c r="V861" s="361"/>
      <c r="W861" s="361"/>
      <c r="X861" s="361"/>
      <c r="Y861" s="361"/>
      <c r="Z861" s="361"/>
    </row>
    <row r="862" ht="22.5" customHeight="1" outlineLevel="1">
      <c r="A862" s="412"/>
      <c r="B862" s="415"/>
      <c r="C862" s="394"/>
      <c r="D862" s="412"/>
      <c r="E862" s="414"/>
      <c r="F862" s="414"/>
      <c r="G862" s="414"/>
      <c r="H862" s="414"/>
      <c r="I862" s="397"/>
      <c r="J862" s="392"/>
      <c r="K862" s="361"/>
      <c r="L862" s="361"/>
      <c r="M862" s="361"/>
      <c r="N862" s="361"/>
      <c r="O862" s="361"/>
      <c r="P862" s="361"/>
      <c r="Q862" s="361"/>
      <c r="R862" s="361"/>
      <c r="S862" s="361"/>
      <c r="T862" s="361"/>
      <c r="U862" s="361"/>
      <c r="V862" s="361"/>
      <c r="W862" s="361"/>
      <c r="X862" s="361"/>
      <c r="Y862" s="361"/>
      <c r="Z862" s="361"/>
    </row>
    <row r="863" ht="22.5" customHeight="1" outlineLevel="1">
      <c r="A863" s="412"/>
      <c r="B863" s="415"/>
      <c r="C863" s="394"/>
      <c r="D863" s="412"/>
      <c r="E863" s="414"/>
      <c r="F863" s="414"/>
      <c r="G863" s="414"/>
      <c r="H863" s="414"/>
      <c r="I863" s="397"/>
      <c r="J863" s="392"/>
      <c r="K863" s="361"/>
      <c r="L863" s="361"/>
      <c r="M863" s="361"/>
      <c r="N863" s="361"/>
      <c r="O863" s="361"/>
      <c r="P863" s="361"/>
      <c r="Q863" s="361"/>
      <c r="R863" s="361"/>
      <c r="S863" s="361"/>
      <c r="T863" s="361"/>
      <c r="U863" s="361"/>
      <c r="V863" s="361"/>
      <c r="W863" s="361"/>
      <c r="X863" s="361"/>
      <c r="Y863" s="361"/>
      <c r="Z863" s="361"/>
    </row>
    <row r="864" ht="22.5" customHeight="1" outlineLevel="1">
      <c r="A864" s="412"/>
      <c r="B864" s="415"/>
      <c r="C864" s="394"/>
      <c r="D864" s="412"/>
      <c r="E864" s="414"/>
      <c r="F864" s="414"/>
      <c r="G864" s="414"/>
      <c r="H864" s="414"/>
      <c r="I864" s="397"/>
      <c r="J864" s="392"/>
      <c r="K864" s="361"/>
      <c r="L864" s="361"/>
      <c r="M864" s="361"/>
      <c r="N864" s="361"/>
      <c r="O864" s="361"/>
      <c r="P864" s="361"/>
      <c r="Q864" s="361"/>
      <c r="R864" s="361"/>
      <c r="S864" s="361"/>
      <c r="T864" s="361"/>
      <c r="U864" s="361"/>
      <c r="V864" s="361"/>
      <c r="W864" s="361"/>
      <c r="X864" s="361"/>
      <c r="Y864" s="361"/>
      <c r="Z864" s="361"/>
    </row>
    <row r="865" ht="22.5" customHeight="1" outlineLevel="1">
      <c r="A865" s="412"/>
      <c r="B865" s="415"/>
      <c r="C865" s="394"/>
      <c r="D865" s="412"/>
      <c r="E865" s="414"/>
      <c r="F865" s="414"/>
      <c r="G865" s="414"/>
      <c r="H865" s="414"/>
      <c r="I865" s="397"/>
      <c r="J865" s="392"/>
      <c r="K865" s="361"/>
      <c r="L865" s="361"/>
      <c r="M865" s="361"/>
      <c r="N865" s="361"/>
      <c r="O865" s="361"/>
      <c r="P865" s="361"/>
      <c r="Q865" s="361"/>
      <c r="R865" s="361"/>
      <c r="S865" s="361"/>
      <c r="T865" s="361"/>
      <c r="U865" s="361"/>
      <c r="V865" s="361"/>
      <c r="W865" s="361"/>
      <c r="X865" s="361"/>
      <c r="Y865" s="361"/>
      <c r="Z865" s="361"/>
    </row>
    <row r="866" ht="22.5" customHeight="1" outlineLevel="1">
      <c r="A866" s="412"/>
      <c r="B866" s="415"/>
      <c r="C866" s="394"/>
      <c r="D866" s="412"/>
      <c r="E866" s="414"/>
      <c r="F866" s="414"/>
      <c r="G866" s="414"/>
      <c r="H866" s="414"/>
      <c r="I866" s="397"/>
      <c r="J866" s="392"/>
      <c r="K866" s="361"/>
      <c r="L866" s="361"/>
      <c r="M866" s="361"/>
      <c r="N866" s="361"/>
      <c r="O866" s="361"/>
      <c r="P866" s="361"/>
      <c r="Q866" s="361"/>
      <c r="R866" s="361"/>
      <c r="S866" s="361"/>
      <c r="T866" s="361"/>
      <c r="U866" s="361"/>
      <c r="V866" s="361"/>
      <c r="W866" s="361"/>
      <c r="X866" s="361"/>
      <c r="Y866" s="361"/>
      <c r="Z866" s="361"/>
    </row>
    <row r="867" ht="22.5" customHeight="1" outlineLevel="1">
      <c r="A867" s="412"/>
      <c r="B867" s="415"/>
      <c r="C867" s="394"/>
      <c r="D867" s="412"/>
      <c r="E867" s="414"/>
      <c r="F867" s="414"/>
      <c r="G867" s="414"/>
      <c r="H867" s="414"/>
      <c r="I867" s="397"/>
      <c r="J867" s="392"/>
      <c r="K867" s="361"/>
      <c r="L867" s="361"/>
      <c r="M867" s="361"/>
      <c r="N867" s="361"/>
      <c r="O867" s="361"/>
      <c r="P867" s="361"/>
      <c r="Q867" s="361"/>
      <c r="R867" s="361"/>
      <c r="S867" s="361"/>
      <c r="T867" s="361"/>
      <c r="U867" s="361"/>
      <c r="V867" s="361"/>
      <c r="W867" s="361"/>
      <c r="X867" s="361"/>
      <c r="Y867" s="361"/>
      <c r="Z867" s="361"/>
    </row>
    <row r="868" ht="22.5" customHeight="1" outlineLevel="1">
      <c r="A868" s="412"/>
      <c r="B868" s="415"/>
      <c r="C868" s="394"/>
      <c r="D868" s="412"/>
      <c r="E868" s="414"/>
      <c r="F868" s="414"/>
      <c r="G868" s="414"/>
      <c r="H868" s="414"/>
      <c r="I868" s="397"/>
      <c r="J868" s="392"/>
      <c r="K868" s="361"/>
      <c r="L868" s="361"/>
      <c r="M868" s="361"/>
      <c r="N868" s="361"/>
      <c r="O868" s="361"/>
      <c r="P868" s="361"/>
      <c r="Q868" s="361"/>
      <c r="R868" s="361"/>
      <c r="S868" s="361"/>
      <c r="T868" s="361"/>
      <c r="U868" s="361"/>
      <c r="V868" s="361"/>
      <c r="W868" s="361"/>
      <c r="X868" s="361"/>
      <c r="Y868" s="361"/>
      <c r="Z868" s="361"/>
    </row>
    <row r="869" ht="22.5" customHeight="1" outlineLevel="1">
      <c r="A869" s="412"/>
      <c r="B869" s="415"/>
      <c r="C869" s="394"/>
      <c r="D869" s="412"/>
      <c r="E869" s="414"/>
      <c r="F869" s="414"/>
      <c r="G869" s="414"/>
      <c r="H869" s="414"/>
      <c r="I869" s="397"/>
      <c r="J869" s="392"/>
      <c r="K869" s="361"/>
      <c r="L869" s="361"/>
      <c r="M869" s="361"/>
      <c r="N869" s="361"/>
      <c r="O869" s="361"/>
      <c r="P869" s="361"/>
      <c r="Q869" s="361"/>
      <c r="R869" s="361"/>
      <c r="S869" s="361"/>
      <c r="T869" s="361"/>
      <c r="U869" s="361"/>
      <c r="V869" s="361"/>
      <c r="W869" s="361"/>
      <c r="X869" s="361"/>
      <c r="Y869" s="361"/>
      <c r="Z869" s="361"/>
    </row>
    <row r="870" ht="22.5" customHeight="1" outlineLevel="1">
      <c r="A870" s="412"/>
      <c r="B870" s="415"/>
      <c r="C870" s="394"/>
      <c r="D870" s="412"/>
      <c r="E870" s="414"/>
      <c r="F870" s="414"/>
      <c r="G870" s="414"/>
      <c r="H870" s="414"/>
      <c r="I870" s="397"/>
      <c r="J870" s="392"/>
      <c r="K870" s="361"/>
      <c r="L870" s="361"/>
      <c r="M870" s="361"/>
      <c r="N870" s="361"/>
      <c r="O870" s="361"/>
      <c r="P870" s="361"/>
      <c r="Q870" s="361"/>
      <c r="R870" s="361"/>
      <c r="S870" s="361"/>
      <c r="T870" s="361"/>
      <c r="U870" s="361"/>
      <c r="V870" s="361"/>
      <c r="W870" s="361"/>
      <c r="X870" s="361"/>
      <c r="Y870" s="361"/>
      <c r="Z870" s="361"/>
    </row>
    <row r="871" ht="22.5" customHeight="1" outlineLevel="1">
      <c r="A871" s="412"/>
      <c r="B871" s="415"/>
      <c r="C871" s="394"/>
      <c r="D871" s="412"/>
      <c r="E871" s="414"/>
      <c r="F871" s="414"/>
      <c r="G871" s="414"/>
      <c r="H871" s="414"/>
      <c r="I871" s="397"/>
      <c r="J871" s="392"/>
      <c r="K871" s="361"/>
      <c r="L871" s="361"/>
      <c r="M871" s="361"/>
      <c r="N871" s="361"/>
      <c r="O871" s="361"/>
      <c r="P871" s="361"/>
      <c r="Q871" s="361"/>
      <c r="R871" s="361"/>
      <c r="S871" s="361"/>
      <c r="T871" s="361"/>
      <c r="U871" s="361"/>
      <c r="V871" s="361"/>
      <c r="W871" s="361"/>
      <c r="X871" s="361"/>
      <c r="Y871" s="361"/>
      <c r="Z871" s="361"/>
    </row>
    <row r="872" ht="22.5" customHeight="1" outlineLevel="1">
      <c r="A872" s="412"/>
      <c r="B872" s="415"/>
      <c r="C872" s="394"/>
      <c r="D872" s="412"/>
      <c r="E872" s="414"/>
      <c r="F872" s="414"/>
      <c r="G872" s="414"/>
      <c r="H872" s="414"/>
      <c r="I872" s="397"/>
      <c r="J872" s="392"/>
      <c r="K872" s="361"/>
      <c r="L872" s="361"/>
      <c r="M872" s="361"/>
      <c r="N872" s="361"/>
      <c r="O872" s="361"/>
      <c r="P872" s="361"/>
      <c r="Q872" s="361"/>
      <c r="R872" s="361"/>
      <c r="S872" s="361"/>
      <c r="T872" s="361"/>
      <c r="U872" s="361"/>
      <c r="V872" s="361"/>
      <c r="W872" s="361"/>
      <c r="X872" s="361"/>
      <c r="Y872" s="361"/>
      <c r="Z872" s="361"/>
    </row>
    <row r="873" ht="22.5" customHeight="1" outlineLevel="1">
      <c r="A873" s="412"/>
      <c r="B873" s="415"/>
      <c r="C873" s="394"/>
      <c r="D873" s="412"/>
      <c r="E873" s="414"/>
      <c r="F873" s="414"/>
      <c r="G873" s="414"/>
      <c r="H873" s="414"/>
      <c r="I873" s="397"/>
      <c r="J873" s="392"/>
      <c r="K873" s="361"/>
      <c r="L873" s="361"/>
      <c r="M873" s="361"/>
      <c r="N873" s="361"/>
      <c r="O873" s="361"/>
      <c r="P873" s="361"/>
      <c r="Q873" s="361"/>
      <c r="R873" s="361"/>
      <c r="S873" s="361"/>
      <c r="T873" s="361"/>
      <c r="U873" s="361"/>
      <c r="V873" s="361"/>
      <c r="W873" s="361"/>
      <c r="X873" s="361"/>
      <c r="Y873" s="361"/>
      <c r="Z873" s="361"/>
    </row>
    <row r="874" ht="22.5" customHeight="1" outlineLevel="1">
      <c r="A874" s="412"/>
      <c r="B874" s="415"/>
      <c r="C874" s="394"/>
      <c r="D874" s="412"/>
      <c r="E874" s="414"/>
      <c r="F874" s="414"/>
      <c r="G874" s="414"/>
      <c r="H874" s="414"/>
      <c r="I874" s="397"/>
      <c r="J874" s="392"/>
      <c r="K874" s="361"/>
      <c r="L874" s="361"/>
      <c r="M874" s="361"/>
      <c r="N874" s="361"/>
      <c r="O874" s="361"/>
      <c r="P874" s="361"/>
      <c r="Q874" s="361"/>
      <c r="R874" s="361"/>
      <c r="S874" s="361"/>
      <c r="T874" s="361"/>
      <c r="U874" s="361"/>
      <c r="V874" s="361"/>
      <c r="W874" s="361"/>
      <c r="X874" s="361"/>
      <c r="Y874" s="361"/>
      <c r="Z874" s="361"/>
    </row>
    <row r="875" ht="22.5" customHeight="1" outlineLevel="1">
      <c r="A875" s="412"/>
      <c r="B875" s="415"/>
      <c r="C875" s="394"/>
      <c r="D875" s="412"/>
      <c r="E875" s="414"/>
      <c r="F875" s="414"/>
      <c r="G875" s="414"/>
      <c r="H875" s="414"/>
      <c r="I875" s="397"/>
      <c r="J875" s="392"/>
      <c r="K875" s="361"/>
      <c r="L875" s="361"/>
      <c r="M875" s="361"/>
      <c r="N875" s="361"/>
      <c r="O875" s="361"/>
      <c r="P875" s="361"/>
      <c r="Q875" s="361"/>
      <c r="R875" s="361"/>
      <c r="S875" s="361"/>
      <c r="T875" s="361"/>
      <c r="U875" s="361"/>
      <c r="V875" s="361"/>
      <c r="W875" s="361"/>
      <c r="X875" s="361"/>
      <c r="Y875" s="361"/>
      <c r="Z875" s="361"/>
    </row>
    <row r="876" ht="22.5" customHeight="1" outlineLevel="1">
      <c r="A876" s="412"/>
      <c r="B876" s="415"/>
      <c r="C876" s="394"/>
      <c r="D876" s="412"/>
      <c r="E876" s="414"/>
      <c r="F876" s="414"/>
      <c r="G876" s="414"/>
      <c r="H876" s="414"/>
      <c r="I876" s="397"/>
      <c r="J876" s="392"/>
      <c r="K876" s="361"/>
      <c r="L876" s="361"/>
      <c r="M876" s="361"/>
      <c r="N876" s="361"/>
      <c r="O876" s="361"/>
      <c r="P876" s="361"/>
      <c r="Q876" s="361"/>
      <c r="R876" s="361"/>
      <c r="S876" s="361"/>
      <c r="T876" s="361"/>
      <c r="U876" s="361"/>
      <c r="V876" s="361"/>
      <c r="W876" s="361"/>
      <c r="X876" s="361"/>
      <c r="Y876" s="361"/>
      <c r="Z876" s="361"/>
    </row>
    <row r="877" ht="22.5" customHeight="1" outlineLevel="1">
      <c r="A877" s="412"/>
      <c r="B877" s="415"/>
      <c r="C877" s="394"/>
      <c r="D877" s="412"/>
      <c r="E877" s="414"/>
      <c r="F877" s="414"/>
      <c r="G877" s="414"/>
      <c r="H877" s="414"/>
      <c r="I877" s="397"/>
      <c r="J877" s="392"/>
      <c r="K877" s="361"/>
      <c r="L877" s="361"/>
      <c r="M877" s="361"/>
      <c r="N877" s="361"/>
      <c r="O877" s="361"/>
      <c r="P877" s="361"/>
      <c r="Q877" s="361"/>
      <c r="R877" s="361"/>
      <c r="S877" s="361"/>
      <c r="T877" s="361"/>
      <c r="U877" s="361"/>
      <c r="V877" s="361"/>
      <c r="W877" s="361"/>
      <c r="X877" s="361"/>
      <c r="Y877" s="361"/>
      <c r="Z877" s="361"/>
    </row>
    <row r="878" ht="22.5" customHeight="1" outlineLevel="1">
      <c r="A878" s="412"/>
      <c r="B878" s="415"/>
      <c r="C878" s="394"/>
      <c r="D878" s="412"/>
      <c r="E878" s="414"/>
      <c r="F878" s="414"/>
      <c r="G878" s="414"/>
      <c r="H878" s="414"/>
      <c r="I878" s="397"/>
      <c r="J878" s="392"/>
      <c r="K878" s="361"/>
      <c r="L878" s="361"/>
      <c r="M878" s="361"/>
      <c r="N878" s="361"/>
      <c r="O878" s="361"/>
      <c r="P878" s="361"/>
      <c r="Q878" s="361"/>
      <c r="R878" s="361"/>
      <c r="S878" s="361"/>
      <c r="T878" s="361"/>
      <c r="U878" s="361"/>
      <c r="V878" s="361"/>
      <c r="W878" s="361"/>
      <c r="X878" s="361"/>
      <c r="Y878" s="361"/>
      <c r="Z878" s="361"/>
    </row>
    <row r="879" ht="22.5" customHeight="1" outlineLevel="1">
      <c r="A879" s="412"/>
      <c r="B879" s="415"/>
      <c r="C879" s="394"/>
      <c r="D879" s="412"/>
      <c r="E879" s="414"/>
      <c r="F879" s="414"/>
      <c r="G879" s="414"/>
      <c r="H879" s="414"/>
      <c r="I879" s="397"/>
      <c r="J879" s="392"/>
      <c r="K879" s="361"/>
      <c r="L879" s="361"/>
      <c r="M879" s="361"/>
      <c r="N879" s="361"/>
      <c r="O879" s="361"/>
      <c r="P879" s="361"/>
      <c r="Q879" s="361"/>
      <c r="R879" s="361"/>
      <c r="S879" s="361"/>
      <c r="T879" s="361"/>
      <c r="U879" s="361"/>
      <c r="V879" s="361"/>
      <c r="W879" s="361"/>
      <c r="X879" s="361"/>
      <c r="Y879" s="361"/>
      <c r="Z879" s="361"/>
    </row>
    <row r="880" ht="22.5" customHeight="1" outlineLevel="1">
      <c r="A880" s="412"/>
      <c r="B880" s="415"/>
      <c r="C880" s="394"/>
      <c r="D880" s="412"/>
      <c r="E880" s="414"/>
      <c r="F880" s="414"/>
      <c r="G880" s="414"/>
      <c r="H880" s="414"/>
      <c r="I880" s="397"/>
      <c r="J880" s="392"/>
      <c r="K880" s="361"/>
      <c r="L880" s="361"/>
      <c r="M880" s="361"/>
      <c r="N880" s="361"/>
      <c r="O880" s="361"/>
      <c r="P880" s="361"/>
      <c r="Q880" s="361"/>
      <c r="R880" s="361"/>
      <c r="S880" s="361"/>
      <c r="T880" s="361"/>
      <c r="U880" s="361"/>
      <c r="V880" s="361"/>
      <c r="W880" s="361"/>
      <c r="X880" s="361"/>
      <c r="Y880" s="361"/>
      <c r="Z880" s="361"/>
    </row>
    <row r="881" ht="22.5" customHeight="1" outlineLevel="1">
      <c r="A881" s="412"/>
      <c r="B881" s="415"/>
      <c r="C881" s="394"/>
      <c r="D881" s="412"/>
      <c r="E881" s="414"/>
      <c r="F881" s="414"/>
      <c r="G881" s="414"/>
      <c r="H881" s="414"/>
      <c r="I881" s="397"/>
      <c r="J881" s="392"/>
      <c r="K881" s="361"/>
      <c r="L881" s="361"/>
      <c r="M881" s="361"/>
      <c r="N881" s="361"/>
      <c r="O881" s="361"/>
      <c r="P881" s="361"/>
      <c r="Q881" s="361"/>
      <c r="R881" s="361"/>
      <c r="S881" s="361"/>
      <c r="T881" s="361"/>
      <c r="U881" s="361"/>
      <c r="V881" s="361"/>
      <c r="W881" s="361"/>
      <c r="X881" s="361"/>
      <c r="Y881" s="361"/>
      <c r="Z881" s="361"/>
    </row>
    <row r="882" ht="22.5" customHeight="1" outlineLevel="1">
      <c r="A882" s="412"/>
      <c r="B882" s="415"/>
      <c r="C882" s="394"/>
      <c r="D882" s="412"/>
      <c r="E882" s="414"/>
      <c r="F882" s="414"/>
      <c r="G882" s="414"/>
      <c r="H882" s="414"/>
      <c r="I882" s="397"/>
      <c r="J882" s="392"/>
      <c r="K882" s="361"/>
      <c r="L882" s="361"/>
      <c r="M882" s="361"/>
      <c r="N882" s="361"/>
      <c r="O882" s="361"/>
      <c r="P882" s="361"/>
      <c r="Q882" s="361"/>
      <c r="R882" s="361"/>
      <c r="S882" s="361"/>
      <c r="T882" s="361"/>
      <c r="U882" s="361"/>
      <c r="V882" s="361"/>
      <c r="W882" s="361"/>
      <c r="X882" s="361"/>
      <c r="Y882" s="361"/>
      <c r="Z882" s="361"/>
    </row>
    <row r="883" ht="22.5" customHeight="1" outlineLevel="1">
      <c r="A883" s="412"/>
      <c r="B883" s="415"/>
      <c r="C883" s="394"/>
      <c r="D883" s="412"/>
      <c r="E883" s="414"/>
      <c r="F883" s="414"/>
      <c r="G883" s="414"/>
      <c r="H883" s="414"/>
      <c r="I883" s="397"/>
      <c r="J883" s="392"/>
      <c r="K883" s="361"/>
      <c r="L883" s="361"/>
      <c r="M883" s="361"/>
      <c r="N883" s="361"/>
      <c r="O883" s="361"/>
      <c r="P883" s="361"/>
      <c r="Q883" s="361"/>
      <c r="R883" s="361"/>
      <c r="S883" s="361"/>
      <c r="T883" s="361"/>
      <c r="U883" s="361"/>
      <c r="V883" s="361"/>
      <c r="W883" s="361"/>
      <c r="X883" s="361"/>
      <c r="Y883" s="361"/>
      <c r="Z883" s="361"/>
    </row>
    <row r="884" ht="22.5" customHeight="1" outlineLevel="1">
      <c r="A884" s="412"/>
      <c r="B884" s="415"/>
      <c r="C884" s="394"/>
      <c r="D884" s="412"/>
      <c r="E884" s="414"/>
      <c r="F884" s="414"/>
      <c r="G884" s="414"/>
      <c r="H884" s="414"/>
      <c r="I884" s="397"/>
      <c r="J884" s="392"/>
      <c r="K884" s="361"/>
      <c r="L884" s="361"/>
      <c r="M884" s="361"/>
      <c r="N884" s="361"/>
      <c r="O884" s="361"/>
      <c r="P884" s="361"/>
      <c r="Q884" s="361"/>
      <c r="R884" s="361"/>
      <c r="S884" s="361"/>
      <c r="T884" s="361"/>
      <c r="U884" s="361"/>
      <c r="V884" s="361"/>
      <c r="W884" s="361"/>
      <c r="X884" s="361"/>
      <c r="Y884" s="361"/>
      <c r="Z884" s="361"/>
    </row>
    <row r="885" ht="22.5" customHeight="1" outlineLevel="1">
      <c r="A885" s="412"/>
      <c r="B885" s="415"/>
      <c r="C885" s="394"/>
      <c r="D885" s="412"/>
      <c r="E885" s="414"/>
      <c r="F885" s="414"/>
      <c r="G885" s="414"/>
      <c r="H885" s="414"/>
      <c r="I885" s="397"/>
      <c r="J885" s="392"/>
      <c r="K885" s="361"/>
      <c r="L885" s="361"/>
      <c r="M885" s="361"/>
      <c r="N885" s="361"/>
      <c r="O885" s="361"/>
      <c r="P885" s="361"/>
      <c r="Q885" s="361"/>
      <c r="R885" s="361"/>
      <c r="S885" s="361"/>
      <c r="T885" s="361"/>
      <c r="U885" s="361"/>
      <c r="V885" s="361"/>
      <c r="W885" s="361"/>
      <c r="X885" s="361"/>
      <c r="Y885" s="361"/>
      <c r="Z885" s="361"/>
    </row>
    <row r="886" ht="22.5" customHeight="1" outlineLevel="1">
      <c r="A886" s="412"/>
      <c r="B886" s="415"/>
      <c r="C886" s="394"/>
      <c r="D886" s="412"/>
      <c r="E886" s="414"/>
      <c r="F886" s="414"/>
      <c r="G886" s="414"/>
      <c r="H886" s="414"/>
      <c r="I886" s="397"/>
      <c r="J886" s="392"/>
      <c r="K886" s="361"/>
      <c r="L886" s="361"/>
      <c r="M886" s="361"/>
      <c r="N886" s="361"/>
      <c r="O886" s="361"/>
      <c r="P886" s="361"/>
      <c r="Q886" s="361"/>
      <c r="R886" s="361"/>
      <c r="S886" s="361"/>
      <c r="T886" s="361"/>
      <c r="U886" s="361"/>
      <c r="V886" s="361"/>
      <c r="W886" s="361"/>
      <c r="X886" s="361"/>
      <c r="Y886" s="361"/>
      <c r="Z886" s="361"/>
    </row>
    <row r="887" ht="22.5" customHeight="1" outlineLevel="1">
      <c r="A887" s="412"/>
      <c r="B887" s="415"/>
      <c r="C887" s="394"/>
      <c r="D887" s="412"/>
      <c r="E887" s="414"/>
      <c r="F887" s="414"/>
      <c r="G887" s="414"/>
      <c r="H887" s="414"/>
      <c r="I887" s="397"/>
      <c r="J887" s="392"/>
      <c r="K887" s="361"/>
      <c r="L887" s="361"/>
      <c r="M887" s="361"/>
      <c r="N887" s="361"/>
      <c r="O887" s="361"/>
      <c r="P887" s="361"/>
      <c r="Q887" s="361"/>
      <c r="R887" s="361"/>
      <c r="S887" s="361"/>
      <c r="T887" s="361"/>
      <c r="U887" s="361"/>
      <c r="V887" s="361"/>
      <c r="W887" s="361"/>
      <c r="X887" s="361"/>
      <c r="Y887" s="361"/>
      <c r="Z887" s="361"/>
    </row>
    <row r="888" ht="22.5" customHeight="1" outlineLevel="1">
      <c r="A888" s="412"/>
      <c r="B888" s="415"/>
      <c r="C888" s="394"/>
      <c r="D888" s="412"/>
      <c r="E888" s="414"/>
      <c r="F888" s="414"/>
      <c r="G888" s="414"/>
      <c r="H888" s="414"/>
      <c r="I888" s="397"/>
      <c r="J888" s="392"/>
      <c r="K888" s="361"/>
      <c r="L888" s="361"/>
      <c r="M888" s="361"/>
      <c r="N888" s="361"/>
      <c r="O888" s="361"/>
      <c r="P888" s="361"/>
      <c r="Q888" s="361"/>
      <c r="R888" s="361"/>
      <c r="S888" s="361"/>
      <c r="T888" s="361"/>
      <c r="U888" s="361"/>
      <c r="V888" s="361"/>
      <c r="W888" s="361"/>
      <c r="X888" s="361"/>
      <c r="Y888" s="361"/>
      <c r="Z888" s="361"/>
    </row>
    <row r="889" ht="22.5" customHeight="1" outlineLevel="1">
      <c r="A889" s="412"/>
      <c r="B889" s="415"/>
      <c r="C889" s="394"/>
      <c r="D889" s="412"/>
      <c r="E889" s="414"/>
      <c r="F889" s="414"/>
      <c r="G889" s="414"/>
      <c r="H889" s="414"/>
      <c r="I889" s="397"/>
      <c r="J889" s="392"/>
      <c r="K889" s="361"/>
      <c r="L889" s="361"/>
      <c r="M889" s="361"/>
      <c r="N889" s="361"/>
      <c r="O889" s="361"/>
      <c r="P889" s="361"/>
      <c r="Q889" s="361"/>
      <c r="R889" s="361"/>
      <c r="S889" s="361"/>
      <c r="T889" s="361"/>
      <c r="U889" s="361"/>
      <c r="V889" s="361"/>
      <c r="W889" s="361"/>
      <c r="X889" s="361"/>
      <c r="Y889" s="361"/>
      <c r="Z889" s="361"/>
    </row>
    <row r="890" ht="22.5" customHeight="1" outlineLevel="1">
      <c r="A890" s="412"/>
      <c r="B890" s="415"/>
      <c r="C890" s="394"/>
      <c r="D890" s="412"/>
      <c r="E890" s="414"/>
      <c r="F890" s="414"/>
      <c r="G890" s="414"/>
      <c r="H890" s="414"/>
      <c r="I890" s="397"/>
      <c r="J890" s="392"/>
      <c r="K890" s="361"/>
      <c r="L890" s="361"/>
      <c r="M890" s="361"/>
      <c r="N890" s="361"/>
      <c r="O890" s="361"/>
      <c r="P890" s="361"/>
      <c r="Q890" s="361"/>
      <c r="R890" s="361"/>
      <c r="S890" s="361"/>
      <c r="T890" s="361"/>
      <c r="U890" s="361"/>
      <c r="V890" s="361"/>
      <c r="W890" s="361"/>
      <c r="X890" s="361"/>
      <c r="Y890" s="361"/>
      <c r="Z890" s="361"/>
    </row>
    <row r="891" ht="22.5" customHeight="1" outlineLevel="1">
      <c r="A891" s="412"/>
      <c r="B891" s="415"/>
      <c r="C891" s="394"/>
      <c r="D891" s="412"/>
      <c r="E891" s="414"/>
      <c r="F891" s="414"/>
      <c r="G891" s="414"/>
      <c r="H891" s="414"/>
      <c r="I891" s="397"/>
      <c r="J891" s="392"/>
      <c r="K891" s="361"/>
      <c r="L891" s="361"/>
      <c r="M891" s="361"/>
      <c r="N891" s="361"/>
      <c r="O891" s="361"/>
      <c r="P891" s="361"/>
      <c r="Q891" s="361"/>
      <c r="R891" s="361"/>
      <c r="S891" s="361"/>
      <c r="T891" s="361"/>
      <c r="U891" s="361"/>
      <c r="V891" s="361"/>
      <c r="W891" s="361"/>
      <c r="X891" s="361"/>
      <c r="Y891" s="361"/>
      <c r="Z891" s="361"/>
    </row>
    <row r="892" ht="22.5" customHeight="1" outlineLevel="1">
      <c r="A892" s="412"/>
      <c r="B892" s="415"/>
      <c r="C892" s="394"/>
      <c r="D892" s="412"/>
      <c r="E892" s="414"/>
      <c r="F892" s="414"/>
      <c r="G892" s="414"/>
      <c r="H892" s="414"/>
      <c r="I892" s="397"/>
      <c r="J892" s="392"/>
      <c r="K892" s="361"/>
      <c r="L892" s="361"/>
      <c r="M892" s="361"/>
      <c r="N892" s="361"/>
      <c r="O892" s="361"/>
      <c r="P892" s="361"/>
      <c r="Q892" s="361"/>
      <c r="R892" s="361"/>
      <c r="S892" s="361"/>
      <c r="T892" s="361"/>
      <c r="U892" s="361"/>
      <c r="V892" s="361"/>
      <c r="W892" s="361"/>
      <c r="X892" s="361"/>
      <c r="Y892" s="361"/>
      <c r="Z892" s="361"/>
    </row>
    <row r="893" ht="22.5" customHeight="1" outlineLevel="1">
      <c r="A893" s="412"/>
      <c r="B893" s="415"/>
      <c r="C893" s="394"/>
      <c r="D893" s="412"/>
      <c r="E893" s="414"/>
      <c r="F893" s="414"/>
      <c r="G893" s="414"/>
      <c r="H893" s="414"/>
      <c r="I893" s="397"/>
      <c r="J893" s="392"/>
      <c r="K893" s="361"/>
      <c r="L893" s="361"/>
      <c r="M893" s="361"/>
      <c r="N893" s="361"/>
      <c r="O893" s="361"/>
      <c r="P893" s="361"/>
      <c r="Q893" s="361"/>
      <c r="R893" s="361"/>
      <c r="S893" s="361"/>
      <c r="T893" s="361"/>
      <c r="U893" s="361"/>
      <c r="V893" s="361"/>
      <c r="W893" s="361"/>
      <c r="X893" s="361"/>
      <c r="Y893" s="361"/>
      <c r="Z893" s="361"/>
    </row>
    <row r="894" ht="22.5" customHeight="1" outlineLevel="1">
      <c r="A894" s="412"/>
      <c r="B894" s="415"/>
      <c r="C894" s="394"/>
      <c r="D894" s="412"/>
      <c r="E894" s="414"/>
      <c r="F894" s="414"/>
      <c r="G894" s="414"/>
      <c r="H894" s="414"/>
      <c r="I894" s="397"/>
      <c r="J894" s="392"/>
      <c r="K894" s="361"/>
      <c r="L894" s="361"/>
      <c r="M894" s="361"/>
      <c r="N894" s="361"/>
      <c r="O894" s="361"/>
      <c r="P894" s="361"/>
      <c r="Q894" s="361"/>
      <c r="R894" s="361"/>
      <c r="S894" s="361"/>
      <c r="T894" s="361"/>
      <c r="U894" s="361"/>
      <c r="V894" s="361"/>
      <c r="W894" s="361"/>
      <c r="X894" s="361"/>
      <c r="Y894" s="361"/>
      <c r="Z894" s="361"/>
    </row>
    <row r="895" ht="22.5" customHeight="1" outlineLevel="1">
      <c r="A895" s="412"/>
      <c r="B895" s="415"/>
      <c r="C895" s="394"/>
      <c r="D895" s="412"/>
      <c r="E895" s="414"/>
      <c r="F895" s="414"/>
      <c r="G895" s="414"/>
      <c r="H895" s="414"/>
      <c r="I895" s="397"/>
      <c r="J895" s="392"/>
      <c r="K895" s="361"/>
      <c r="L895" s="361"/>
      <c r="M895" s="361"/>
      <c r="N895" s="361"/>
      <c r="O895" s="361"/>
      <c r="P895" s="361"/>
      <c r="Q895" s="361"/>
      <c r="R895" s="361"/>
      <c r="S895" s="361"/>
      <c r="T895" s="361"/>
      <c r="U895" s="361"/>
      <c r="V895" s="361"/>
      <c r="W895" s="361"/>
      <c r="X895" s="361"/>
      <c r="Y895" s="361"/>
      <c r="Z895" s="361"/>
    </row>
    <row r="896" ht="22.5" customHeight="1" outlineLevel="1">
      <c r="A896" s="412"/>
      <c r="B896" s="415"/>
      <c r="C896" s="394"/>
      <c r="D896" s="412"/>
      <c r="E896" s="414"/>
      <c r="F896" s="414"/>
      <c r="G896" s="414"/>
      <c r="H896" s="414"/>
      <c r="I896" s="397"/>
      <c r="J896" s="392"/>
      <c r="K896" s="361"/>
      <c r="L896" s="361"/>
      <c r="M896" s="361"/>
      <c r="N896" s="361"/>
      <c r="O896" s="361"/>
      <c r="P896" s="361"/>
      <c r="Q896" s="361"/>
      <c r="R896" s="361"/>
      <c r="S896" s="361"/>
      <c r="T896" s="361"/>
      <c r="U896" s="361"/>
      <c r="V896" s="361"/>
      <c r="W896" s="361"/>
      <c r="X896" s="361"/>
      <c r="Y896" s="361"/>
      <c r="Z896" s="361"/>
    </row>
    <row r="897" ht="22.5" customHeight="1" outlineLevel="1">
      <c r="A897" s="412"/>
      <c r="B897" s="415"/>
      <c r="C897" s="394"/>
      <c r="D897" s="412"/>
      <c r="E897" s="414"/>
      <c r="F897" s="414"/>
      <c r="G897" s="414"/>
      <c r="H897" s="414"/>
      <c r="I897" s="397"/>
      <c r="J897" s="392"/>
      <c r="K897" s="361"/>
      <c r="L897" s="361"/>
      <c r="M897" s="361"/>
      <c r="N897" s="361"/>
      <c r="O897" s="361"/>
      <c r="P897" s="361"/>
      <c r="Q897" s="361"/>
      <c r="R897" s="361"/>
      <c r="S897" s="361"/>
      <c r="T897" s="361"/>
      <c r="U897" s="361"/>
      <c r="V897" s="361"/>
      <c r="W897" s="361"/>
      <c r="X897" s="361"/>
      <c r="Y897" s="361"/>
      <c r="Z897" s="361"/>
    </row>
    <row r="898" ht="22.5" customHeight="1" outlineLevel="1">
      <c r="A898" s="412"/>
      <c r="B898" s="415"/>
      <c r="C898" s="394"/>
      <c r="D898" s="412"/>
      <c r="E898" s="414"/>
      <c r="F898" s="414"/>
      <c r="G898" s="414"/>
      <c r="H898" s="414"/>
      <c r="I898" s="397"/>
      <c r="J898" s="392"/>
      <c r="K898" s="361"/>
      <c r="L898" s="361"/>
      <c r="M898" s="361"/>
      <c r="N898" s="361"/>
      <c r="O898" s="361"/>
      <c r="P898" s="361"/>
      <c r="Q898" s="361"/>
      <c r="R898" s="361"/>
      <c r="S898" s="361"/>
      <c r="T898" s="361"/>
      <c r="U898" s="361"/>
      <c r="V898" s="361"/>
      <c r="W898" s="361"/>
      <c r="X898" s="361"/>
      <c r="Y898" s="361"/>
      <c r="Z898" s="361"/>
    </row>
    <row r="899" ht="22.5" customHeight="1" outlineLevel="1">
      <c r="A899" s="412"/>
      <c r="B899" s="415"/>
      <c r="C899" s="394"/>
      <c r="D899" s="412"/>
      <c r="E899" s="414"/>
      <c r="F899" s="414"/>
      <c r="G899" s="414"/>
      <c r="H899" s="414"/>
      <c r="I899" s="397"/>
      <c r="J899" s="392"/>
      <c r="K899" s="361"/>
      <c r="L899" s="361"/>
      <c r="M899" s="361"/>
      <c r="N899" s="361"/>
      <c r="O899" s="361"/>
      <c r="P899" s="361"/>
      <c r="Q899" s="361"/>
      <c r="R899" s="361"/>
      <c r="S899" s="361"/>
      <c r="T899" s="361"/>
      <c r="U899" s="361"/>
      <c r="V899" s="361"/>
      <c r="W899" s="361"/>
      <c r="X899" s="361"/>
      <c r="Y899" s="361"/>
      <c r="Z899" s="361"/>
    </row>
    <row r="900" ht="22.5" customHeight="1" outlineLevel="1">
      <c r="A900" s="412"/>
      <c r="B900" s="415"/>
      <c r="C900" s="394"/>
      <c r="D900" s="412"/>
      <c r="E900" s="414"/>
      <c r="F900" s="414"/>
      <c r="G900" s="414"/>
      <c r="H900" s="414"/>
      <c r="I900" s="397"/>
      <c r="J900" s="392"/>
      <c r="K900" s="361"/>
      <c r="L900" s="361"/>
      <c r="M900" s="361"/>
      <c r="N900" s="361"/>
      <c r="O900" s="361"/>
      <c r="P900" s="361"/>
      <c r="Q900" s="361"/>
      <c r="R900" s="361"/>
      <c r="S900" s="361"/>
      <c r="T900" s="361"/>
      <c r="U900" s="361"/>
      <c r="V900" s="361"/>
      <c r="W900" s="361"/>
      <c r="X900" s="361"/>
      <c r="Y900" s="361"/>
      <c r="Z900" s="361"/>
    </row>
    <row r="901" ht="22.5" customHeight="1" outlineLevel="1">
      <c r="A901" s="412"/>
      <c r="B901" s="415"/>
      <c r="C901" s="394"/>
      <c r="D901" s="412"/>
      <c r="E901" s="414"/>
      <c r="F901" s="414"/>
      <c r="G901" s="414"/>
      <c r="H901" s="414"/>
      <c r="I901" s="397"/>
      <c r="J901" s="392"/>
      <c r="K901" s="361"/>
      <c r="L901" s="361"/>
      <c r="M901" s="361"/>
      <c r="N901" s="361"/>
      <c r="O901" s="361"/>
      <c r="P901" s="361"/>
      <c r="Q901" s="361"/>
      <c r="R901" s="361"/>
      <c r="S901" s="361"/>
      <c r="T901" s="361"/>
      <c r="U901" s="361"/>
      <c r="V901" s="361"/>
      <c r="W901" s="361"/>
      <c r="X901" s="361"/>
      <c r="Y901" s="361"/>
      <c r="Z901" s="361"/>
    </row>
    <row r="902" ht="22.5" customHeight="1" outlineLevel="1">
      <c r="A902" s="412"/>
      <c r="B902" s="415"/>
      <c r="C902" s="394"/>
      <c r="D902" s="412"/>
      <c r="E902" s="414"/>
      <c r="F902" s="414"/>
      <c r="G902" s="414"/>
      <c r="H902" s="414"/>
      <c r="I902" s="397"/>
      <c r="J902" s="392"/>
      <c r="K902" s="361"/>
      <c r="L902" s="361"/>
      <c r="M902" s="361"/>
      <c r="N902" s="361"/>
      <c r="O902" s="361"/>
      <c r="P902" s="361"/>
      <c r="Q902" s="361"/>
      <c r="R902" s="361"/>
      <c r="S902" s="361"/>
      <c r="T902" s="361"/>
      <c r="U902" s="361"/>
      <c r="V902" s="361"/>
      <c r="W902" s="361"/>
      <c r="X902" s="361"/>
      <c r="Y902" s="361"/>
      <c r="Z902" s="361"/>
    </row>
    <row r="903" ht="22.5" customHeight="1" outlineLevel="1">
      <c r="A903" s="412"/>
      <c r="B903" s="415"/>
      <c r="C903" s="394"/>
      <c r="D903" s="412"/>
      <c r="E903" s="414"/>
      <c r="F903" s="414"/>
      <c r="G903" s="414"/>
      <c r="H903" s="414"/>
      <c r="I903" s="397"/>
      <c r="J903" s="392"/>
      <c r="K903" s="361"/>
      <c r="L903" s="361"/>
      <c r="M903" s="361"/>
      <c r="N903" s="361"/>
      <c r="O903" s="361"/>
      <c r="P903" s="361"/>
      <c r="Q903" s="361"/>
      <c r="R903" s="361"/>
      <c r="S903" s="361"/>
      <c r="T903" s="361"/>
      <c r="U903" s="361"/>
      <c r="V903" s="361"/>
      <c r="W903" s="361"/>
      <c r="X903" s="361"/>
      <c r="Y903" s="361"/>
      <c r="Z903" s="361"/>
    </row>
    <row r="904" ht="22.5" customHeight="1" outlineLevel="1">
      <c r="A904" s="412"/>
      <c r="B904" s="415"/>
      <c r="C904" s="394"/>
      <c r="D904" s="412"/>
      <c r="E904" s="414"/>
      <c r="F904" s="414"/>
      <c r="G904" s="414"/>
      <c r="H904" s="414"/>
      <c r="I904" s="397"/>
      <c r="J904" s="392"/>
      <c r="K904" s="361"/>
      <c r="L904" s="361"/>
      <c r="M904" s="361"/>
      <c r="N904" s="361"/>
      <c r="O904" s="361"/>
      <c r="P904" s="361"/>
      <c r="Q904" s="361"/>
      <c r="R904" s="361"/>
      <c r="S904" s="361"/>
      <c r="T904" s="361"/>
      <c r="U904" s="361"/>
      <c r="V904" s="361"/>
      <c r="W904" s="361"/>
      <c r="X904" s="361"/>
      <c r="Y904" s="361"/>
      <c r="Z904" s="361"/>
    </row>
    <row r="905" ht="22.5" customHeight="1" outlineLevel="1">
      <c r="A905" s="412"/>
      <c r="B905" s="415"/>
      <c r="C905" s="394"/>
      <c r="D905" s="412"/>
      <c r="E905" s="414"/>
      <c r="F905" s="414"/>
      <c r="G905" s="414"/>
      <c r="H905" s="414"/>
      <c r="I905" s="397"/>
      <c r="J905" s="392"/>
      <c r="K905" s="361"/>
      <c r="L905" s="361"/>
      <c r="M905" s="361"/>
      <c r="N905" s="361"/>
      <c r="O905" s="361"/>
      <c r="P905" s="361"/>
      <c r="Q905" s="361"/>
      <c r="R905" s="361"/>
      <c r="S905" s="361"/>
      <c r="T905" s="361"/>
      <c r="U905" s="361"/>
      <c r="V905" s="361"/>
      <c r="W905" s="361"/>
      <c r="X905" s="361"/>
      <c r="Y905" s="361"/>
      <c r="Z905" s="361"/>
    </row>
    <row r="906" ht="22.5" customHeight="1" outlineLevel="1">
      <c r="A906" s="412"/>
      <c r="B906" s="415"/>
      <c r="C906" s="394"/>
      <c r="D906" s="412"/>
      <c r="E906" s="414"/>
      <c r="F906" s="414"/>
      <c r="G906" s="414"/>
      <c r="H906" s="414"/>
      <c r="I906" s="397"/>
      <c r="J906" s="392"/>
      <c r="K906" s="361"/>
      <c r="L906" s="361"/>
      <c r="M906" s="361"/>
      <c r="N906" s="361"/>
      <c r="O906" s="361"/>
      <c r="P906" s="361"/>
      <c r="Q906" s="361"/>
      <c r="R906" s="361"/>
      <c r="S906" s="361"/>
      <c r="T906" s="361"/>
      <c r="U906" s="361"/>
      <c r="V906" s="361"/>
      <c r="W906" s="361"/>
      <c r="X906" s="361"/>
      <c r="Y906" s="361"/>
      <c r="Z906" s="361"/>
    </row>
    <row r="907" ht="22.5" customHeight="1" outlineLevel="1">
      <c r="A907" s="412"/>
      <c r="B907" s="415"/>
      <c r="C907" s="394"/>
      <c r="D907" s="412"/>
      <c r="E907" s="414"/>
      <c r="F907" s="414"/>
      <c r="G907" s="414"/>
      <c r="H907" s="414"/>
      <c r="I907" s="397"/>
      <c r="J907" s="392"/>
      <c r="K907" s="361"/>
      <c r="L907" s="361"/>
      <c r="M907" s="361"/>
      <c r="N907" s="361"/>
      <c r="O907" s="361"/>
      <c r="P907" s="361"/>
      <c r="Q907" s="361"/>
      <c r="R907" s="361"/>
      <c r="S907" s="361"/>
      <c r="T907" s="361"/>
      <c r="U907" s="361"/>
      <c r="V907" s="361"/>
      <c r="W907" s="361"/>
      <c r="X907" s="361"/>
      <c r="Y907" s="361"/>
      <c r="Z907" s="361"/>
    </row>
    <row r="908" ht="22.5" customHeight="1" outlineLevel="1">
      <c r="A908" s="412"/>
      <c r="B908" s="415"/>
      <c r="C908" s="394"/>
      <c r="D908" s="412"/>
      <c r="E908" s="414"/>
      <c r="F908" s="414"/>
      <c r="G908" s="414"/>
      <c r="H908" s="414"/>
      <c r="I908" s="397"/>
      <c r="J908" s="392"/>
      <c r="K908" s="361"/>
      <c r="L908" s="361"/>
      <c r="M908" s="361"/>
      <c r="N908" s="361"/>
      <c r="O908" s="361"/>
      <c r="P908" s="361"/>
      <c r="Q908" s="361"/>
      <c r="R908" s="361"/>
      <c r="S908" s="361"/>
      <c r="T908" s="361"/>
      <c r="U908" s="361"/>
      <c r="V908" s="361"/>
      <c r="W908" s="361"/>
      <c r="X908" s="361"/>
      <c r="Y908" s="361"/>
      <c r="Z908" s="361"/>
    </row>
    <row r="909" ht="22.5" customHeight="1" outlineLevel="1">
      <c r="A909" s="412"/>
      <c r="B909" s="415"/>
      <c r="C909" s="394"/>
      <c r="D909" s="412"/>
      <c r="E909" s="414"/>
      <c r="F909" s="414"/>
      <c r="G909" s="414"/>
      <c r="H909" s="414"/>
      <c r="I909" s="397"/>
      <c r="J909" s="392"/>
      <c r="K909" s="361"/>
      <c r="L909" s="361"/>
      <c r="M909" s="361"/>
      <c r="N909" s="361"/>
      <c r="O909" s="361"/>
      <c r="P909" s="361"/>
      <c r="Q909" s="361"/>
      <c r="R909" s="361"/>
      <c r="S909" s="361"/>
      <c r="T909" s="361"/>
      <c r="U909" s="361"/>
      <c r="V909" s="361"/>
      <c r="W909" s="361"/>
      <c r="X909" s="361"/>
      <c r="Y909" s="361"/>
      <c r="Z909" s="361"/>
    </row>
    <row r="910" ht="22.5" customHeight="1" outlineLevel="1">
      <c r="A910" s="412"/>
      <c r="B910" s="415"/>
      <c r="C910" s="394"/>
      <c r="D910" s="412"/>
      <c r="E910" s="414"/>
      <c r="F910" s="414"/>
      <c r="G910" s="414"/>
      <c r="H910" s="414"/>
      <c r="I910" s="397"/>
      <c r="J910" s="392"/>
      <c r="K910" s="361"/>
      <c r="L910" s="361"/>
      <c r="M910" s="361"/>
      <c r="N910" s="361"/>
      <c r="O910" s="361"/>
      <c r="P910" s="361"/>
      <c r="Q910" s="361"/>
      <c r="R910" s="361"/>
      <c r="S910" s="361"/>
      <c r="T910" s="361"/>
      <c r="U910" s="361"/>
      <c r="V910" s="361"/>
      <c r="W910" s="361"/>
      <c r="X910" s="361"/>
      <c r="Y910" s="361"/>
      <c r="Z910" s="361"/>
    </row>
    <row r="911" ht="22.5" customHeight="1" outlineLevel="1">
      <c r="A911" s="412"/>
      <c r="B911" s="415"/>
      <c r="C911" s="394"/>
      <c r="D911" s="412"/>
      <c r="E911" s="414"/>
      <c r="F911" s="414"/>
      <c r="G911" s="414"/>
      <c r="H911" s="414"/>
      <c r="I911" s="397"/>
      <c r="J911" s="392"/>
      <c r="K911" s="361"/>
      <c r="L911" s="361"/>
      <c r="M911" s="361"/>
      <c r="N911" s="361"/>
      <c r="O911" s="361"/>
      <c r="P911" s="361"/>
      <c r="Q911" s="361"/>
      <c r="R911" s="361"/>
      <c r="S911" s="361"/>
      <c r="T911" s="361"/>
      <c r="U911" s="361"/>
      <c r="V911" s="361"/>
      <c r="W911" s="361"/>
      <c r="X911" s="361"/>
      <c r="Y911" s="361"/>
      <c r="Z911" s="361"/>
    </row>
    <row r="912" ht="22.5" customHeight="1" outlineLevel="1">
      <c r="A912" s="412"/>
      <c r="B912" s="415"/>
      <c r="C912" s="394"/>
      <c r="D912" s="412"/>
      <c r="E912" s="414"/>
      <c r="F912" s="414"/>
      <c r="G912" s="414"/>
      <c r="H912" s="414"/>
      <c r="I912" s="397"/>
      <c r="J912" s="392"/>
      <c r="K912" s="361"/>
      <c r="L912" s="361"/>
      <c r="M912" s="361"/>
      <c r="N912" s="361"/>
      <c r="O912" s="361"/>
      <c r="P912" s="361"/>
      <c r="Q912" s="361"/>
      <c r="R912" s="361"/>
      <c r="S912" s="361"/>
      <c r="T912" s="361"/>
      <c r="U912" s="361"/>
      <c r="V912" s="361"/>
      <c r="W912" s="361"/>
      <c r="X912" s="361"/>
      <c r="Y912" s="361"/>
      <c r="Z912" s="361"/>
    </row>
    <row r="913" ht="22.5" customHeight="1" outlineLevel="1">
      <c r="A913" s="412"/>
      <c r="B913" s="415"/>
      <c r="C913" s="394"/>
      <c r="D913" s="412"/>
      <c r="E913" s="414"/>
      <c r="F913" s="414"/>
      <c r="G913" s="414"/>
      <c r="H913" s="414"/>
      <c r="I913" s="397"/>
      <c r="J913" s="392"/>
      <c r="K913" s="361"/>
      <c r="L913" s="361"/>
      <c r="M913" s="361"/>
      <c r="N913" s="361"/>
      <c r="O913" s="361"/>
      <c r="P913" s="361"/>
      <c r="Q913" s="361"/>
      <c r="R913" s="361"/>
      <c r="S913" s="361"/>
      <c r="T913" s="361"/>
      <c r="U913" s="361"/>
      <c r="V913" s="361"/>
      <c r="W913" s="361"/>
      <c r="X913" s="361"/>
      <c r="Y913" s="361"/>
      <c r="Z913" s="361"/>
    </row>
    <row r="914" ht="22.5" customHeight="1" outlineLevel="1">
      <c r="A914" s="412"/>
      <c r="B914" s="415"/>
      <c r="C914" s="394"/>
      <c r="D914" s="412"/>
      <c r="E914" s="414"/>
      <c r="F914" s="414"/>
      <c r="G914" s="414"/>
      <c r="H914" s="414"/>
      <c r="I914" s="397"/>
      <c r="J914" s="392"/>
      <c r="K914" s="361"/>
      <c r="L914" s="361"/>
      <c r="M914" s="361"/>
      <c r="N914" s="361"/>
      <c r="O914" s="361"/>
      <c r="P914" s="361"/>
      <c r="Q914" s="361"/>
      <c r="R914" s="361"/>
      <c r="S914" s="361"/>
      <c r="T914" s="361"/>
      <c r="U914" s="361"/>
      <c r="V914" s="361"/>
      <c r="W914" s="361"/>
      <c r="X914" s="361"/>
      <c r="Y914" s="361"/>
      <c r="Z914" s="361"/>
    </row>
    <row r="915" ht="22.5" customHeight="1" outlineLevel="1">
      <c r="A915" s="412"/>
      <c r="B915" s="415"/>
      <c r="C915" s="394"/>
      <c r="D915" s="412"/>
      <c r="E915" s="414"/>
      <c r="F915" s="414"/>
      <c r="G915" s="414"/>
      <c r="H915" s="414"/>
      <c r="I915" s="397"/>
      <c r="J915" s="392"/>
      <c r="K915" s="361"/>
      <c r="L915" s="361"/>
      <c r="M915" s="361"/>
      <c r="N915" s="361"/>
      <c r="O915" s="361"/>
      <c r="P915" s="361"/>
      <c r="Q915" s="361"/>
      <c r="R915" s="361"/>
      <c r="S915" s="361"/>
      <c r="T915" s="361"/>
      <c r="U915" s="361"/>
      <c r="V915" s="361"/>
      <c r="W915" s="361"/>
      <c r="X915" s="361"/>
      <c r="Y915" s="361"/>
      <c r="Z915" s="361"/>
    </row>
    <row r="916" ht="22.5" customHeight="1" outlineLevel="1">
      <c r="A916" s="412"/>
      <c r="B916" s="415"/>
      <c r="C916" s="394"/>
      <c r="D916" s="412"/>
      <c r="E916" s="414"/>
      <c r="F916" s="414"/>
      <c r="G916" s="414"/>
      <c r="H916" s="414"/>
      <c r="I916" s="397"/>
      <c r="J916" s="392"/>
      <c r="K916" s="361"/>
      <c r="L916" s="361"/>
      <c r="M916" s="361"/>
      <c r="N916" s="361"/>
      <c r="O916" s="361"/>
      <c r="P916" s="361"/>
      <c r="Q916" s="361"/>
      <c r="R916" s="361"/>
      <c r="S916" s="361"/>
      <c r="T916" s="361"/>
      <c r="U916" s="361"/>
      <c r="V916" s="361"/>
      <c r="W916" s="361"/>
      <c r="X916" s="361"/>
      <c r="Y916" s="361"/>
      <c r="Z916" s="361"/>
    </row>
    <row r="917" ht="22.5" customHeight="1" outlineLevel="1">
      <c r="A917" s="412"/>
      <c r="B917" s="415"/>
      <c r="C917" s="394"/>
      <c r="D917" s="412"/>
      <c r="E917" s="414"/>
      <c r="F917" s="414"/>
      <c r="G917" s="414"/>
      <c r="H917" s="414"/>
      <c r="I917" s="397"/>
      <c r="J917" s="392"/>
      <c r="K917" s="361"/>
      <c r="L917" s="361"/>
      <c r="M917" s="361"/>
      <c r="N917" s="361"/>
      <c r="O917" s="361"/>
      <c r="P917" s="361"/>
      <c r="Q917" s="361"/>
      <c r="R917" s="361"/>
      <c r="S917" s="361"/>
      <c r="T917" s="361"/>
      <c r="U917" s="361"/>
      <c r="V917" s="361"/>
      <c r="W917" s="361"/>
      <c r="X917" s="361"/>
      <c r="Y917" s="361"/>
      <c r="Z917" s="361"/>
    </row>
    <row r="918" ht="22.5" customHeight="1" outlineLevel="1">
      <c r="A918" s="412"/>
      <c r="B918" s="415"/>
      <c r="C918" s="394"/>
      <c r="D918" s="412"/>
      <c r="E918" s="414"/>
      <c r="F918" s="414"/>
      <c r="G918" s="414"/>
      <c r="H918" s="414"/>
      <c r="I918" s="397"/>
      <c r="J918" s="392"/>
      <c r="K918" s="361"/>
      <c r="L918" s="361"/>
      <c r="M918" s="361"/>
      <c r="N918" s="361"/>
      <c r="O918" s="361"/>
      <c r="P918" s="361"/>
      <c r="Q918" s="361"/>
      <c r="R918" s="361"/>
      <c r="S918" s="361"/>
      <c r="T918" s="361"/>
      <c r="U918" s="361"/>
      <c r="V918" s="361"/>
      <c r="W918" s="361"/>
      <c r="X918" s="361"/>
      <c r="Y918" s="361"/>
      <c r="Z918" s="361"/>
    </row>
    <row r="919" ht="22.5" customHeight="1" outlineLevel="1">
      <c r="A919" s="412"/>
      <c r="B919" s="415"/>
      <c r="C919" s="394"/>
      <c r="D919" s="412"/>
      <c r="E919" s="414"/>
      <c r="F919" s="414"/>
      <c r="G919" s="414"/>
      <c r="H919" s="414"/>
      <c r="I919" s="397"/>
      <c r="J919" s="392"/>
      <c r="K919" s="361"/>
      <c r="L919" s="361"/>
      <c r="M919" s="361"/>
      <c r="N919" s="361"/>
      <c r="O919" s="361"/>
      <c r="P919" s="361"/>
      <c r="Q919" s="361"/>
      <c r="R919" s="361"/>
      <c r="S919" s="361"/>
      <c r="T919" s="361"/>
      <c r="U919" s="361"/>
      <c r="V919" s="361"/>
      <c r="W919" s="361"/>
      <c r="X919" s="361"/>
      <c r="Y919" s="361"/>
      <c r="Z919" s="361"/>
    </row>
    <row r="920" ht="22.5" customHeight="1" outlineLevel="1">
      <c r="A920" s="412"/>
      <c r="B920" s="415"/>
      <c r="C920" s="394"/>
      <c r="D920" s="412"/>
      <c r="E920" s="414"/>
      <c r="F920" s="414"/>
      <c r="G920" s="414"/>
      <c r="H920" s="414"/>
      <c r="I920" s="397"/>
      <c r="J920" s="392"/>
      <c r="K920" s="361"/>
      <c r="L920" s="361"/>
      <c r="M920" s="361"/>
      <c r="N920" s="361"/>
      <c r="O920" s="361"/>
      <c r="P920" s="361"/>
      <c r="Q920" s="361"/>
      <c r="R920" s="361"/>
      <c r="S920" s="361"/>
      <c r="T920" s="361"/>
      <c r="U920" s="361"/>
      <c r="V920" s="361"/>
      <c r="W920" s="361"/>
      <c r="X920" s="361"/>
      <c r="Y920" s="361"/>
      <c r="Z920" s="361"/>
    </row>
    <row r="921" ht="22.5" customHeight="1" outlineLevel="1">
      <c r="A921" s="412"/>
      <c r="B921" s="415"/>
      <c r="C921" s="394"/>
      <c r="D921" s="412"/>
      <c r="E921" s="414"/>
      <c r="F921" s="414"/>
      <c r="G921" s="414"/>
      <c r="H921" s="414"/>
      <c r="I921" s="397"/>
      <c r="J921" s="392"/>
      <c r="K921" s="361"/>
      <c r="L921" s="361"/>
      <c r="M921" s="361"/>
      <c r="N921" s="361"/>
      <c r="O921" s="361"/>
      <c r="P921" s="361"/>
      <c r="Q921" s="361"/>
      <c r="R921" s="361"/>
      <c r="S921" s="361"/>
      <c r="T921" s="361"/>
      <c r="U921" s="361"/>
      <c r="V921" s="361"/>
      <c r="W921" s="361"/>
      <c r="X921" s="361"/>
      <c r="Y921" s="361"/>
      <c r="Z921" s="361"/>
    </row>
    <row r="922" ht="22.5" customHeight="1" outlineLevel="1">
      <c r="A922" s="412"/>
      <c r="B922" s="415"/>
      <c r="C922" s="394"/>
      <c r="D922" s="412"/>
      <c r="E922" s="414"/>
      <c r="F922" s="414"/>
      <c r="G922" s="414"/>
      <c r="H922" s="414"/>
      <c r="I922" s="397"/>
      <c r="J922" s="392"/>
      <c r="K922" s="361"/>
      <c r="L922" s="361"/>
      <c r="M922" s="361"/>
      <c r="N922" s="361"/>
      <c r="O922" s="361"/>
      <c r="P922" s="361"/>
      <c r="Q922" s="361"/>
      <c r="R922" s="361"/>
      <c r="S922" s="361"/>
      <c r="T922" s="361"/>
      <c r="U922" s="361"/>
      <c r="V922" s="361"/>
      <c r="W922" s="361"/>
      <c r="X922" s="361"/>
      <c r="Y922" s="361"/>
      <c r="Z922" s="361"/>
    </row>
    <row r="923" ht="22.5" customHeight="1" outlineLevel="1">
      <c r="A923" s="412"/>
      <c r="B923" s="415"/>
      <c r="C923" s="394"/>
      <c r="D923" s="412"/>
      <c r="E923" s="414"/>
      <c r="F923" s="414"/>
      <c r="G923" s="414"/>
      <c r="H923" s="414"/>
      <c r="I923" s="397"/>
      <c r="J923" s="392"/>
      <c r="K923" s="361"/>
      <c r="L923" s="361"/>
      <c r="M923" s="361"/>
      <c r="N923" s="361"/>
      <c r="O923" s="361"/>
      <c r="P923" s="361"/>
      <c r="Q923" s="361"/>
      <c r="R923" s="361"/>
      <c r="S923" s="361"/>
      <c r="T923" s="361"/>
      <c r="U923" s="361"/>
      <c r="V923" s="361"/>
      <c r="W923" s="361"/>
      <c r="X923" s="361"/>
      <c r="Y923" s="361"/>
      <c r="Z923" s="361"/>
    </row>
    <row r="924" ht="22.5" customHeight="1" outlineLevel="1">
      <c r="A924" s="412"/>
      <c r="B924" s="415"/>
      <c r="C924" s="394"/>
      <c r="D924" s="412"/>
      <c r="E924" s="414"/>
      <c r="F924" s="414"/>
      <c r="G924" s="414"/>
      <c r="H924" s="414"/>
      <c r="I924" s="397"/>
      <c r="J924" s="392"/>
      <c r="K924" s="361"/>
      <c r="L924" s="361"/>
      <c r="M924" s="361"/>
      <c r="N924" s="361"/>
      <c r="O924" s="361"/>
      <c r="P924" s="361"/>
      <c r="Q924" s="361"/>
      <c r="R924" s="361"/>
      <c r="S924" s="361"/>
      <c r="T924" s="361"/>
      <c r="U924" s="361"/>
      <c r="V924" s="361"/>
      <c r="W924" s="361"/>
      <c r="X924" s="361"/>
      <c r="Y924" s="361"/>
      <c r="Z924" s="361"/>
    </row>
    <row r="925" ht="22.5" customHeight="1" outlineLevel="1">
      <c r="A925" s="412"/>
      <c r="B925" s="415"/>
      <c r="C925" s="394"/>
      <c r="D925" s="412"/>
      <c r="E925" s="414"/>
      <c r="F925" s="414"/>
      <c r="G925" s="414"/>
      <c r="H925" s="414"/>
      <c r="I925" s="397"/>
      <c r="J925" s="392"/>
      <c r="K925" s="361"/>
      <c r="L925" s="361"/>
      <c r="M925" s="361"/>
      <c r="N925" s="361"/>
      <c r="O925" s="361"/>
      <c r="P925" s="361"/>
      <c r="Q925" s="361"/>
      <c r="R925" s="361"/>
      <c r="S925" s="361"/>
      <c r="T925" s="361"/>
      <c r="U925" s="361"/>
      <c r="V925" s="361"/>
      <c r="W925" s="361"/>
      <c r="X925" s="361"/>
      <c r="Y925" s="361"/>
      <c r="Z925" s="361"/>
    </row>
    <row r="926" ht="22.5" customHeight="1" outlineLevel="1">
      <c r="A926" s="412"/>
      <c r="B926" s="415"/>
      <c r="C926" s="394"/>
      <c r="D926" s="412"/>
      <c r="E926" s="414"/>
      <c r="F926" s="414"/>
      <c r="G926" s="414"/>
      <c r="H926" s="414"/>
      <c r="I926" s="397"/>
      <c r="J926" s="392"/>
      <c r="K926" s="361"/>
      <c r="L926" s="361"/>
      <c r="M926" s="361"/>
      <c r="N926" s="361"/>
      <c r="O926" s="361"/>
      <c r="P926" s="361"/>
      <c r="Q926" s="361"/>
      <c r="R926" s="361"/>
      <c r="S926" s="361"/>
      <c r="T926" s="361"/>
      <c r="U926" s="361"/>
      <c r="V926" s="361"/>
      <c r="W926" s="361"/>
      <c r="X926" s="361"/>
      <c r="Y926" s="361"/>
      <c r="Z926" s="361"/>
    </row>
    <row r="927" ht="22.5" customHeight="1" outlineLevel="1">
      <c r="A927" s="412"/>
      <c r="B927" s="415"/>
      <c r="C927" s="394"/>
      <c r="D927" s="412"/>
      <c r="E927" s="414"/>
      <c r="F927" s="414"/>
      <c r="G927" s="414"/>
      <c r="H927" s="414"/>
      <c r="I927" s="397"/>
      <c r="J927" s="392"/>
      <c r="K927" s="361"/>
      <c r="L927" s="361"/>
      <c r="M927" s="361"/>
      <c r="N927" s="361"/>
      <c r="O927" s="361"/>
      <c r="P927" s="361"/>
      <c r="Q927" s="361"/>
      <c r="R927" s="361"/>
      <c r="S927" s="361"/>
      <c r="T927" s="361"/>
      <c r="U927" s="361"/>
      <c r="V927" s="361"/>
      <c r="W927" s="361"/>
      <c r="X927" s="361"/>
      <c r="Y927" s="361"/>
      <c r="Z927" s="361"/>
    </row>
    <row r="928" ht="22.5" customHeight="1" outlineLevel="1">
      <c r="A928" s="412"/>
      <c r="B928" s="415"/>
      <c r="C928" s="394"/>
      <c r="D928" s="412"/>
      <c r="E928" s="414"/>
      <c r="F928" s="414"/>
      <c r="G928" s="414"/>
      <c r="H928" s="414"/>
      <c r="I928" s="397"/>
      <c r="J928" s="392"/>
      <c r="K928" s="361"/>
      <c r="L928" s="361"/>
      <c r="M928" s="361"/>
      <c r="N928" s="361"/>
      <c r="O928" s="361"/>
      <c r="P928" s="361"/>
      <c r="Q928" s="361"/>
      <c r="R928" s="361"/>
      <c r="S928" s="361"/>
      <c r="T928" s="361"/>
      <c r="U928" s="361"/>
      <c r="V928" s="361"/>
      <c r="W928" s="361"/>
      <c r="X928" s="361"/>
      <c r="Y928" s="361"/>
      <c r="Z928" s="361"/>
    </row>
    <row r="929" ht="22.5" customHeight="1" outlineLevel="1">
      <c r="A929" s="412"/>
      <c r="B929" s="415"/>
      <c r="C929" s="394"/>
      <c r="D929" s="412"/>
      <c r="E929" s="414"/>
      <c r="F929" s="414"/>
      <c r="G929" s="414"/>
      <c r="H929" s="414"/>
      <c r="I929" s="397"/>
      <c r="J929" s="392"/>
      <c r="K929" s="361"/>
      <c r="L929" s="361"/>
      <c r="M929" s="361"/>
      <c r="N929" s="361"/>
      <c r="O929" s="361"/>
      <c r="P929" s="361"/>
      <c r="Q929" s="361"/>
      <c r="R929" s="361"/>
      <c r="S929" s="361"/>
      <c r="T929" s="361"/>
      <c r="U929" s="361"/>
      <c r="V929" s="361"/>
      <c r="W929" s="361"/>
      <c r="X929" s="361"/>
      <c r="Y929" s="361"/>
      <c r="Z929" s="361"/>
    </row>
    <row r="930" ht="22.5" customHeight="1" outlineLevel="1">
      <c r="A930" s="412"/>
      <c r="B930" s="415"/>
      <c r="C930" s="394"/>
      <c r="D930" s="412"/>
      <c r="E930" s="414"/>
      <c r="F930" s="414"/>
      <c r="G930" s="414"/>
      <c r="H930" s="414"/>
      <c r="I930" s="397"/>
      <c r="J930" s="392"/>
      <c r="K930" s="361"/>
      <c r="L930" s="361"/>
      <c r="M930" s="361"/>
      <c r="N930" s="361"/>
      <c r="O930" s="361"/>
      <c r="P930" s="361"/>
      <c r="Q930" s="361"/>
      <c r="R930" s="361"/>
      <c r="S930" s="361"/>
      <c r="T930" s="361"/>
      <c r="U930" s="361"/>
      <c r="V930" s="361"/>
      <c r="W930" s="361"/>
      <c r="X930" s="361"/>
      <c r="Y930" s="361"/>
      <c r="Z930" s="361"/>
    </row>
    <row r="931" ht="22.5" customHeight="1" outlineLevel="1">
      <c r="A931" s="412"/>
      <c r="B931" s="415"/>
      <c r="C931" s="394"/>
      <c r="D931" s="412"/>
      <c r="E931" s="414"/>
      <c r="F931" s="414"/>
      <c r="G931" s="414"/>
      <c r="H931" s="414"/>
      <c r="I931" s="397"/>
      <c r="J931" s="392"/>
      <c r="K931" s="361"/>
      <c r="L931" s="361"/>
      <c r="M931" s="361"/>
      <c r="N931" s="361"/>
      <c r="O931" s="361"/>
      <c r="P931" s="361"/>
      <c r="Q931" s="361"/>
      <c r="R931" s="361"/>
      <c r="S931" s="361"/>
      <c r="T931" s="361"/>
      <c r="U931" s="361"/>
      <c r="V931" s="361"/>
      <c r="W931" s="361"/>
      <c r="X931" s="361"/>
      <c r="Y931" s="361"/>
      <c r="Z931" s="361"/>
    </row>
    <row r="932" ht="22.5" customHeight="1" outlineLevel="1">
      <c r="A932" s="412"/>
      <c r="B932" s="415"/>
      <c r="C932" s="394"/>
      <c r="D932" s="412"/>
      <c r="E932" s="414"/>
      <c r="F932" s="414"/>
      <c r="G932" s="414"/>
      <c r="H932" s="414"/>
      <c r="I932" s="397"/>
      <c r="J932" s="392"/>
      <c r="K932" s="361"/>
      <c r="L932" s="361"/>
      <c r="M932" s="361"/>
      <c r="N932" s="361"/>
      <c r="O932" s="361"/>
      <c r="P932" s="361"/>
      <c r="Q932" s="361"/>
      <c r="R932" s="361"/>
      <c r="S932" s="361"/>
      <c r="T932" s="361"/>
      <c r="U932" s="361"/>
      <c r="V932" s="361"/>
      <c r="W932" s="361"/>
      <c r="X932" s="361"/>
      <c r="Y932" s="361"/>
      <c r="Z932" s="361"/>
    </row>
    <row r="933" ht="22.5" customHeight="1" outlineLevel="1">
      <c r="A933" s="412"/>
      <c r="B933" s="415"/>
      <c r="C933" s="394"/>
      <c r="D933" s="412"/>
      <c r="E933" s="414"/>
      <c r="F933" s="414"/>
      <c r="G933" s="414"/>
      <c r="H933" s="414"/>
      <c r="I933" s="397"/>
      <c r="J933" s="392"/>
      <c r="K933" s="361"/>
      <c r="L933" s="361"/>
      <c r="M933" s="361"/>
      <c r="N933" s="361"/>
      <c r="O933" s="361"/>
      <c r="P933" s="361"/>
      <c r="Q933" s="361"/>
      <c r="R933" s="361"/>
      <c r="S933" s="361"/>
      <c r="T933" s="361"/>
      <c r="U933" s="361"/>
      <c r="V933" s="361"/>
      <c r="W933" s="361"/>
      <c r="X933" s="361"/>
      <c r="Y933" s="361"/>
      <c r="Z933" s="361"/>
    </row>
    <row r="934" ht="22.5" customHeight="1" outlineLevel="1">
      <c r="A934" s="412"/>
      <c r="B934" s="415"/>
      <c r="C934" s="394"/>
      <c r="D934" s="412"/>
      <c r="E934" s="414"/>
      <c r="F934" s="414"/>
      <c r="G934" s="414"/>
      <c r="H934" s="414"/>
      <c r="I934" s="397"/>
      <c r="J934" s="392"/>
      <c r="K934" s="361"/>
      <c r="L934" s="361"/>
      <c r="M934" s="361"/>
      <c r="N934" s="361"/>
      <c r="O934" s="361"/>
      <c r="P934" s="361"/>
      <c r="Q934" s="361"/>
      <c r="R934" s="361"/>
      <c r="S934" s="361"/>
      <c r="T934" s="361"/>
      <c r="U934" s="361"/>
      <c r="V934" s="361"/>
      <c r="W934" s="361"/>
      <c r="X934" s="361"/>
      <c r="Y934" s="361"/>
      <c r="Z934" s="361"/>
    </row>
    <row r="935" ht="22.5" customHeight="1" outlineLevel="1">
      <c r="A935" s="412"/>
      <c r="B935" s="415"/>
      <c r="C935" s="394"/>
      <c r="D935" s="412"/>
      <c r="E935" s="414"/>
      <c r="F935" s="414"/>
      <c r="G935" s="414"/>
      <c r="H935" s="414"/>
      <c r="I935" s="397"/>
      <c r="J935" s="392"/>
      <c r="K935" s="361"/>
      <c r="L935" s="361"/>
      <c r="M935" s="361"/>
      <c r="N935" s="361"/>
      <c r="O935" s="361"/>
      <c r="P935" s="361"/>
      <c r="Q935" s="361"/>
      <c r="R935" s="361"/>
      <c r="S935" s="361"/>
      <c r="T935" s="361"/>
      <c r="U935" s="361"/>
      <c r="V935" s="361"/>
      <c r="W935" s="361"/>
      <c r="X935" s="361"/>
      <c r="Y935" s="361"/>
      <c r="Z935" s="361"/>
    </row>
    <row r="936" ht="22.5" customHeight="1" outlineLevel="1">
      <c r="A936" s="412"/>
      <c r="B936" s="415"/>
      <c r="C936" s="394"/>
      <c r="D936" s="412"/>
      <c r="E936" s="414"/>
      <c r="F936" s="414"/>
      <c r="G936" s="414"/>
      <c r="H936" s="414"/>
      <c r="I936" s="397"/>
      <c r="J936" s="392"/>
      <c r="K936" s="361"/>
      <c r="L936" s="361"/>
      <c r="M936" s="361"/>
      <c r="N936" s="361"/>
      <c r="O936" s="361"/>
      <c r="P936" s="361"/>
      <c r="Q936" s="361"/>
      <c r="R936" s="361"/>
      <c r="S936" s="361"/>
      <c r="T936" s="361"/>
      <c r="U936" s="361"/>
      <c r="V936" s="361"/>
      <c r="W936" s="361"/>
      <c r="X936" s="361"/>
      <c r="Y936" s="361"/>
      <c r="Z936" s="361"/>
    </row>
    <row r="937" ht="22.5" customHeight="1" outlineLevel="1">
      <c r="A937" s="412"/>
      <c r="B937" s="415"/>
      <c r="C937" s="394"/>
      <c r="D937" s="412"/>
      <c r="E937" s="414"/>
      <c r="F937" s="414"/>
      <c r="G937" s="414"/>
      <c r="H937" s="414"/>
      <c r="I937" s="397"/>
      <c r="J937" s="392"/>
      <c r="K937" s="361"/>
      <c r="L937" s="361"/>
      <c r="M937" s="361"/>
      <c r="N937" s="361"/>
      <c r="O937" s="361"/>
      <c r="P937" s="361"/>
      <c r="Q937" s="361"/>
      <c r="R937" s="361"/>
      <c r="S937" s="361"/>
      <c r="T937" s="361"/>
      <c r="U937" s="361"/>
      <c r="V937" s="361"/>
      <c r="W937" s="361"/>
      <c r="X937" s="361"/>
      <c r="Y937" s="361"/>
      <c r="Z937" s="361"/>
    </row>
    <row r="938" ht="22.5" customHeight="1" outlineLevel="1">
      <c r="A938" s="412"/>
      <c r="B938" s="415"/>
      <c r="C938" s="394"/>
      <c r="D938" s="412"/>
      <c r="E938" s="414"/>
      <c r="F938" s="414"/>
      <c r="G938" s="414"/>
      <c r="H938" s="414"/>
      <c r="I938" s="397"/>
      <c r="J938" s="392"/>
      <c r="K938" s="361"/>
      <c r="L938" s="361"/>
      <c r="M938" s="361"/>
      <c r="N938" s="361"/>
      <c r="O938" s="361"/>
      <c r="P938" s="361"/>
      <c r="Q938" s="361"/>
      <c r="R938" s="361"/>
      <c r="S938" s="361"/>
      <c r="T938" s="361"/>
      <c r="U938" s="361"/>
      <c r="V938" s="361"/>
      <c r="W938" s="361"/>
      <c r="X938" s="361"/>
      <c r="Y938" s="361"/>
      <c r="Z938" s="361"/>
    </row>
    <row r="939" ht="22.5" customHeight="1" outlineLevel="1">
      <c r="A939" s="412"/>
      <c r="B939" s="415"/>
      <c r="C939" s="394"/>
      <c r="D939" s="412"/>
      <c r="E939" s="414"/>
      <c r="F939" s="414"/>
      <c r="G939" s="414"/>
      <c r="H939" s="414"/>
      <c r="I939" s="397"/>
      <c r="J939" s="392"/>
      <c r="K939" s="361"/>
      <c r="L939" s="361"/>
      <c r="M939" s="361"/>
      <c r="N939" s="361"/>
      <c r="O939" s="361"/>
      <c r="P939" s="361"/>
      <c r="Q939" s="361"/>
      <c r="R939" s="361"/>
      <c r="S939" s="361"/>
      <c r="T939" s="361"/>
      <c r="U939" s="361"/>
      <c r="V939" s="361"/>
      <c r="W939" s="361"/>
      <c r="X939" s="361"/>
      <c r="Y939" s="361"/>
      <c r="Z939" s="361"/>
    </row>
    <row r="940" ht="22.5" customHeight="1" outlineLevel="1">
      <c r="A940" s="412"/>
      <c r="B940" s="415"/>
      <c r="C940" s="394"/>
      <c r="D940" s="412"/>
      <c r="E940" s="414"/>
      <c r="F940" s="414"/>
      <c r="G940" s="414"/>
      <c r="H940" s="414"/>
      <c r="I940" s="397"/>
      <c r="J940" s="392"/>
      <c r="K940" s="361"/>
      <c r="L940" s="361"/>
      <c r="M940" s="361"/>
      <c r="N940" s="361"/>
      <c r="O940" s="361"/>
      <c r="P940" s="361"/>
      <c r="Q940" s="361"/>
      <c r="R940" s="361"/>
      <c r="S940" s="361"/>
      <c r="T940" s="361"/>
      <c r="U940" s="361"/>
      <c r="V940" s="361"/>
      <c r="W940" s="361"/>
      <c r="X940" s="361"/>
      <c r="Y940" s="361"/>
      <c r="Z940" s="361"/>
    </row>
    <row r="941" ht="22.5" customHeight="1" outlineLevel="1">
      <c r="A941" s="412"/>
      <c r="B941" s="415"/>
      <c r="C941" s="394"/>
      <c r="D941" s="412"/>
      <c r="E941" s="414"/>
      <c r="F941" s="414"/>
      <c r="G941" s="414"/>
      <c r="H941" s="414"/>
      <c r="I941" s="397"/>
      <c r="J941" s="392"/>
      <c r="K941" s="361"/>
      <c r="L941" s="361"/>
      <c r="M941" s="361"/>
      <c r="N941" s="361"/>
      <c r="O941" s="361"/>
      <c r="P941" s="361"/>
      <c r="Q941" s="361"/>
      <c r="R941" s="361"/>
      <c r="S941" s="361"/>
      <c r="T941" s="361"/>
      <c r="U941" s="361"/>
      <c r="V941" s="361"/>
      <c r="W941" s="361"/>
      <c r="X941" s="361"/>
      <c r="Y941" s="361"/>
      <c r="Z941" s="361"/>
    </row>
    <row r="942" ht="22.5" customHeight="1" outlineLevel="1">
      <c r="A942" s="412"/>
      <c r="B942" s="415"/>
      <c r="C942" s="394"/>
      <c r="D942" s="412"/>
      <c r="E942" s="414"/>
      <c r="F942" s="414"/>
      <c r="G942" s="414"/>
      <c r="H942" s="414"/>
      <c r="I942" s="397"/>
      <c r="J942" s="392"/>
      <c r="K942" s="361"/>
      <c r="L942" s="361"/>
      <c r="M942" s="361"/>
      <c r="N942" s="361"/>
      <c r="O942" s="361"/>
      <c r="P942" s="361"/>
      <c r="Q942" s="361"/>
      <c r="R942" s="361"/>
      <c r="S942" s="361"/>
      <c r="T942" s="361"/>
      <c r="U942" s="361"/>
      <c r="V942" s="361"/>
      <c r="W942" s="361"/>
      <c r="X942" s="361"/>
      <c r="Y942" s="361"/>
      <c r="Z942" s="361"/>
    </row>
    <row r="943" ht="22.5" customHeight="1" outlineLevel="1">
      <c r="A943" s="412"/>
      <c r="B943" s="415"/>
      <c r="C943" s="394"/>
      <c r="D943" s="412"/>
      <c r="E943" s="414"/>
      <c r="F943" s="414"/>
      <c r="G943" s="414"/>
      <c r="H943" s="414"/>
      <c r="I943" s="397"/>
      <c r="J943" s="392"/>
      <c r="K943" s="361"/>
      <c r="L943" s="361"/>
      <c r="M943" s="361"/>
      <c r="N943" s="361"/>
      <c r="O943" s="361"/>
      <c r="P943" s="361"/>
      <c r="Q943" s="361"/>
      <c r="R943" s="361"/>
      <c r="S943" s="361"/>
      <c r="T943" s="361"/>
      <c r="U943" s="361"/>
      <c r="V943" s="361"/>
      <c r="W943" s="361"/>
      <c r="X943" s="361"/>
      <c r="Y943" s="361"/>
      <c r="Z943" s="361"/>
    </row>
    <row r="944" ht="22.5" customHeight="1" outlineLevel="1">
      <c r="A944" s="412"/>
      <c r="B944" s="415"/>
      <c r="C944" s="394"/>
      <c r="D944" s="412"/>
      <c r="E944" s="414"/>
      <c r="F944" s="414"/>
      <c r="G944" s="414"/>
      <c r="H944" s="414"/>
      <c r="I944" s="397"/>
      <c r="J944" s="392"/>
      <c r="K944" s="361"/>
      <c r="L944" s="361"/>
      <c r="M944" s="361"/>
      <c r="N944" s="361"/>
      <c r="O944" s="361"/>
      <c r="P944" s="361"/>
      <c r="Q944" s="361"/>
      <c r="R944" s="361"/>
      <c r="S944" s="361"/>
      <c r="T944" s="361"/>
      <c r="U944" s="361"/>
      <c r="V944" s="361"/>
      <c r="W944" s="361"/>
      <c r="X944" s="361"/>
      <c r="Y944" s="361"/>
      <c r="Z944" s="361"/>
    </row>
    <row r="945" ht="22.5" customHeight="1" outlineLevel="1">
      <c r="A945" s="412"/>
      <c r="B945" s="415"/>
      <c r="C945" s="394"/>
      <c r="D945" s="412"/>
      <c r="E945" s="414"/>
      <c r="F945" s="414"/>
      <c r="G945" s="414"/>
      <c r="H945" s="414"/>
      <c r="I945" s="397"/>
      <c r="J945" s="392"/>
      <c r="K945" s="361"/>
      <c r="L945" s="361"/>
      <c r="M945" s="361"/>
      <c r="N945" s="361"/>
      <c r="O945" s="361"/>
      <c r="P945" s="361"/>
      <c r="Q945" s="361"/>
      <c r="R945" s="361"/>
      <c r="S945" s="361"/>
      <c r="T945" s="361"/>
      <c r="U945" s="361"/>
      <c r="V945" s="361"/>
      <c r="W945" s="361"/>
      <c r="X945" s="361"/>
      <c r="Y945" s="361"/>
      <c r="Z945" s="361"/>
    </row>
    <row r="946" ht="22.5" customHeight="1" outlineLevel="1">
      <c r="A946" s="412"/>
      <c r="B946" s="415"/>
      <c r="C946" s="394"/>
      <c r="D946" s="412"/>
      <c r="E946" s="414"/>
      <c r="F946" s="414"/>
      <c r="G946" s="414"/>
      <c r="H946" s="414"/>
      <c r="I946" s="397"/>
      <c r="J946" s="392"/>
      <c r="K946" s="361"/>
      <c r="L946" s="361"/>
      <c r="M946" s="361"/>
      <c r="N946" s="361"/>
      <c r="O946" s="361"/>
      <c r="P946" s="361"/>
      <c r="Q946" s="361"/>
      <c r="R946" s="361"/>
      <c r="S946" s="361"/>
      <c r="T946" s="361"/>
      <c r="U946" s="361"/>
      <c r="V946" s="361"/>
      <c r="W946" s="361"/>
      <c r="X946" s="361"/>
      <c r="Y946" s="361"/>
      <c r="Z946" s="361"/>
    </row>
    <row r="947" ht="22.5" customHeight="1" outlineLevel="1">
      <c r="A947" s="412"/>
      <c r="B947" s="415"/>
      <c r="C947" s="394"/>
      <c r="D947" s="412"/>
      <c r="E947" s="414"/>
      <c r="F947" s="414"/>
      <c r="G947" s="414"/>
      <c r="H947" s="414"/>
      <c r="I947" s="397"/>
      <c r="J947" s="392"/>
      <c r="K947" s="361"/>
      <c r="L947" s="361"/>
      <c r="M947" s="361"/>
      <c r="N947" s="361"/>
      <c r="O947" s="361"/>
      <c r="P947" s="361"/>
      <c r="Q947" s="361"/>
      <c r="R947" s="361"/>
      <c r="S947" s="361"/>
      <c r="T947" s="361"/>
      <c r="U947" s="361"/>
      <c r="V947" s="361"/>
      <c r="W947" s="361"/>
      <c r="X947" s="361"/>
      <c r="Y947" s="361"/>
      <c r="Z947" s="361"/>
    </row>
    <row r="948" ht="22.5" customHeight="1" outlineLevel="1">
      <c r="A948" s="412"/>
      <c r="B948" s="415"/>
      <c r="C948" s="394"/>
      <c r="D948" s="412"/>
      <c r="E948" s="414"/>
      <c r="F948" s="414"/>
      <c r="G948" s="414"/>
      <c r="H948" s="414"/>
      <c r="I948" s="397"/>
      <c r="J948" s="392"/>
      <c r="K948" s="361"/>
      <c r="L948" s="361"/>
      <c r="M948" s="361"/>
      <c r="N948" s="361"/>
      <c r="O948" s="361"/>
      <c r="P948" s="361"/>
      <c r="Q948" s="361"/>
      <c r="R948" s="361"/>
      <c r="S948" s="361"/>
      <c r="T948" s="361"/>
      <c r="U948" s="361"/>
      <c r="V948" s="361"/>
      <c r="W948" s="361"/>
      <c r="X948" s="361"/>
      <c r="Y948" s="361"/>
      <c r="Z948" s="361"/>
    </row>
    <row r="949" ht="22.5" customHeight="1" outlineLevel="1">
      <c r="A949" s="412"/>
      <c r="B949" s="415"/>
      <c r="C949" s="394"/>
      <c r="D949" s="412"/>
      <c r="E949" s="414"/>
      <c r="F949" s="414"/>
      <c r="G949" s="414"/>
      <c r="H949" s="414"/>
      <c r="I949" s="397"/>
      <c r="J949" s="392"/>
      <c r="K949" s="361"/>
      <c r="L949" s="361"/>
      <c r="M949" s="361"/>
      <c r="N949" s="361"/>
      <c r="O949" s="361"/>
      <c r="P949" s="361"/>
      <c r="Q949" s="361"/>
      <c r="R949" s="361"/>
      <c r="S949" s="361"/>
      <c r="T949" s="361"/>
      <c r="U949" s="361"/>
      <c r="V949" s="361"/>
      <c r="W949" s="361"/>
      <c r="X949" s="361"/>
      <c r="Y949" s="361"/>
      <c r="Z949" s="361"/>
    </row>
    <row r="950" ht="22.5" customHeight="1" outlineLevel="1">
      <c r="A950" s="412"/>
      <c r="B950" s="415"/>
      <c r="C950" s="394"/>
      <c r="D950" s="412"/>
      <c r="E950" s="414"/>
      <c r="F950" s="414"/>
      <c r="G950" s="414"/>
      <c r="H950" s="414"/>
      <c r="I950" s="397"/>
      <c r="J950" s="392"/>
      <c r="K950" s="361"/>
      <c r="L950" s="361"/>
      <c r="M950" s="361"/>
      <c r="N950" s="361"/>
      <c r="O950" s="361"/>
      <c r="P950" s="361"/>
      <c r="Q950" s="361"/>
      <c r="R950" s="361"/>
      <c r="S950" s="361"/>
      <c r="T950" s="361"/>
      <c r="U950" s="361"/>
      <c r="V950" s="361"/>
      <c r="W950" s="361"/>
      <c r="X950" s="361"/>
      <c r="Y950" s="361"/>
      <c r="Z950" s="361"/>
    </row>
    <row r="951" ht="22.5" customHeight="1" outlineLevel="1">
      <c r="A951" s="412"/>
      <c r="B951" s="415"/>
      <c r="C951" s="394"/>
      <c r="D951" s="412"/>
      <c r="E951" s="414"/>
      <c r="F951" s="414"/>
      <c r="G951" s="414"/>
      <c r="H951" s="414"/>
      <c r="I951" s="397"/>
      <c r="J951" s="392"/>
      <c r="K951" s="361"/>
      <c r="L951" s="361"/>
      <c r="M951" s="361"/>
      <c r="N951" s="361"/>
      <c r="O951" s="361"/>
      <c r="P951" s="361"/>
      <c r="Q951" s="361"/>
      <c r="R951" s="361"/>
      <c r="S951" s="361"/>
      <c r="T951" s="361"/>
      <c r="U951" s="361"/>
      <c r="V951" s="361"/>
      <c r="W951" s="361"/>
      <c r="X951" s="361"/>
      <c r="Y951" s="361"/>
      <c r="Z951" s="361"/>
    </row>
    <row r="952" ht="22.5" customHeight="1" outlineLevel="1">
      <c r="A952" s="412"/>
      <c r="B952" s="415"/>
      <c r="C952" s="394"/>
      <c r="D952" s="412"/>
      <c r="E952" s="414"/>
      <c r="F952" s="414"/>
      <c r="G952" s="414"/>
      <c r="H952" s="414"/>
      <c r="I952" s="397"/>
      <c r="J952" s="392"/>
      <c r="K952" s="361"/>
      <c r="L952" s="361"/>
      <c r="M952" s="361"/>
      <c r="N952" s="361"/>
      <c r="O952" s="361"/>
      <c r="P952" s="361"/>
      <c r="Q952" s="361"/>
      <c r="R952" s="361"/>
      <c r="S952" s="361"/>
      <c r="T952" s="361"/>
      <c r="U952" s="361"/>
      <c r="V952" s="361"/>
      <c r="W952" s="361"/>
      <c r="X952" s="361"/>
      <c r="Y952" s="361"/>
      <c r="Z952" s="361"/>
    </row>
    <row r="953" ht="22.5" customHeight="1" outlineLevel="1">
      <c r="A953" s="412"/>
      <c r="B953" s="415"/>
      <c r="C953" s="394"/>
      <c r="D953" s="412"/>
      <c r="E953" s="414"/>
      <c r="F953" s="414"/>
      <c r="G953" s="414"/>
      <c r="H953" s="414"/>
      <c r="I953" s="397"/>
      <c r="J953" s="392"/>
      <c r="K953" s="361"/>
      <c r="L953" s="361"/>
      <c r="M953" s="361"/>
      <c r="N953" s="361"/>
      <c r="O953" s="361"/>
      <c r="P953" s="361"/>
      <c r="Q953" s="361"/>
      <c r="R953" s="361"/>
      <c r="S953" s="361"/>
      <c r="T953" s="361"/>
      <c r="U953" s="361"/>
      <c r="V953" s="361"/>
      <c r="W953" s="361"/>
      <c r="X953" s="361"/>
      <c r="Y953" s="361"/>
      <c r="Z953" s="361"/>
    </row>
    <row r="954" ht="22.5" customHeight="1" outlineLevel="1">
      <c r="A954" s="412"/>
      <c r="B954" s="415"/>
      <c r="C954" s="394"/>
      <c r="D954" s="412"/>
      <c r="E954" s="414"/>
      <c r="F954" s="414"/>
      <c r="G954" s="414"/>
      <c r="H954" s="414"/>
      <c r="I954" s="397"/>
      <c r="J954" s="392"/>
      <c r="K954" s="361"/>
      <c r="L954" s="361"/>
      <c r="M954" s="361"/>
      <c r="N954" s="361"/>
      <c r="O954" s="361"/>
      <c r="P954" s="361"/>
      <c r="Q954" s="361"/>
      <c r="R954" s="361"/>
      <c r="S954" s="361"/>
      <c r="T954" s="361"/>
      <c r="U954" s="361"/>
      <c r="V954" s="361"/>
      <c r="W954" s="361"/>
      <c r="X954" s="361"/>
      <c r="Y954" s="361"/>
      <c r="Z954" s="361"/>
    </row>
    <row r="955" ht="22.5" customHeight="1" outlineLevel="1">
      <c r="A955" s="412"/>
      <c r="B955" s="415"/>
      <c r="C955" s="394"/>
      <c r="D955" s="412"/>
      <c r="E955" s="414"/>
      <c r="F955" s="414"/>
      <c r="G955" s="414"/>
      <c r="H955" s="414"/>
      <c r="I955" s="397"/>
      <c r="J955" s="392"/>
      <c r="K955" s="361"/>
      <c r="L955" s="361"/>
      <c r="M955" s="361"/>
      <c r="N955" s="361"/>
      <c r="O955" s="361"/>
      <c r="P955" s="361"/>
      <c r="Q955" s="361"/>
      <c r="R955" s="361"/>
      <c r="S955" s="361"/>
      <c r="T955" s="361"/>
      <c r="U955" s="361"/>
      <c r="V955" s="361"/>
      <c r="W955" s="361"/>
      <c r="X955" s="361"/>
      <c r="Y955" s="361"/>
      <c r="Z955" s="361"/>
    </row>
    <row r="956" ht="22.5" customHeight="1" outlineLevel="1">
      <c r="A956" s="412"/>
      <c r="B956" s="415"/>
      <c r="C956" s="394"/>
      <c r="D956" s="412"/>
      <c r="E956" s="414"/>
      <c r="F956" s="414"/>
      <c r="G956" s="414"/>
      <c r="H956" s="414"/>
      <c r="I956" s="397"/>
      <c r="J956" s="392"/>
      <c r="K956" s="361"/>
      <c r="L956" s="361"/>
      <c r="M956" s="361"/>
      <c r="N956" s="361"/>
      <c r="O956" s="361"/>
      <c r="P956" s="361"/>
      <c r="Q956" s="361"/>
      <c r="R956" s="361"/>
      <c r="S956" s="361"/>
      <c r="T956" s="361"/>
      <c r="U956" s="361"/>
      <c r="V956" s="361"/>
      <c r="W956" s="361"/>
      <c r="X956" s="361"/>
      <c r="Y956" s="361"/>
      <c r="Z956" s="361"/>
    </row>
    <row r="957" ht="22.5" customHeight="1" outlineLevel="1">
      <c r="A957" s="412"/>
      <c r="B957" s="415"/>
      <c r="C957" s="394"/>
      <c r="D957" s="412"/>
      <c r="E957" s="414"/>
      <c r="F957" s="414"/>
      <c r="G957" s="414"/>
      <c r="H957" s="414"/>
      <c r="I957" s="397"/>
      <c r="J957" s="392"/>
      <c r="K957" s="361"/>
      <c r="L957" s="361"/>
      <c r="M957" s="361"/>
      <c r="N957" s="361"/>
      <c r="O957" s="361"/>
      <c r="P957" s="361"/>
      <c r="Q957" s="361"/>
      <c r="R957" s="361"/>
      <c r="S957" s="361"/>
      <c r="T957" s="361"/>
      <c r="U957" s="361"/>
      <c r="V957" s="361"/>
      <c r="W957" s="361"/>
      <c r="X957" s="361"/>
      <c r="Y957" s="361"/>
      <c r="Z957" s="361"/>
    </row>
    <row r="958" ht="22.5" customHeight="1" outlineLevel="1">
      <c r="A958" s="412"/>
      <c r="B958" s="415"/>
      <c r="C958" s="394"/>
      <c r="D958" s="412"/>
      <c r="E958" s="414"/>
      <c r="F958" s="414"/>
      <c r="G958" s="414"/>
      <c r="H958" s="414"/>
      <c r="I958" s="397"/>
      <c r="J958" s="392"/>
      <c r="K958" s="361"/>
      <c r="L958" s="361"/>
      <c r="M958" s="361"/>
      <c r="N958" s="361"/>
      <c r="O958" s="361"/>
      <c r="P958" s="361"/>
      <c r="Q958" s="361"/>
      <c r="R958" s="361"/>
      <c r="S958" s="361"/>
      <c r="T958" s="361"/>
      <c r="U958" s="361"/>
      <c r="V958" s="361"/>
      <c r="W958" s="361"/>
      <c r="X958" s="361"/>
      <c r="Y958" s="361"/>
      <c r="Z958" s="361"/>
    </row>
    <row r="959" ht="22.5" customHeight="1" outlineLevel="1">
      <c r="A959" s="412"/>
      <c r="B959" s="415"/>
      <c r="C959" s="394"/>
      <c r="D959" s="412"/>
      <c r="E959" s="414"/>
      <c r="F959" s="414"/>
      <c r="G959" s="414"/>
      <c r="H959" s="414"/>
      <c r="I959" s="397"/>
      <c r="J959" s="392"/>
      <c r="K959" s="361"/>
      <c r="L959" s="361"/>
      <c r="M959" s="361"/>
      <c r="N959" s="361"/>
      <c r="O959" s="361"/>
      <c r="P959" s="361"/>
      <c r="Q959" s="361"/>
      <c r="R959" s="361"/>
      <c r="S959" s="361"/>
      <c r="T959" s="361"/>
      <c r="U959" s="361"/>
      <c r="V959" s="361"/>
      <c r="W959" s="361"/>
      <c r="X959" s="361"/>
      <c r="Y959" s="361"/>
      <c r="Z959" s="361"/>
    </row>
    <row r="960" ht="22.5" customHeight="1" outlineLevel="1">
      <c r="A960" s="412"/>
      <c r="B960" s="415"/>
      <c r="C960" s="394"/>
      <c r="D960" s="412"/>
      <c r="E960" s="414"/>
      <c r="F960" s="414"/>
      <c r="G960" s="414"/>
      <c r="H960" s="414"/>
      <c r="I960" s="397"/>
      <c r="J960" s="392"/>
      <c r="K960" s="361"/>
      <c r="L960" s="361"/>
      <c r="M960" s="361"/>
      <c r="N960" s="361"/>
      <c r="O960" s="361"/>
      <c r="P960" s="361"/>
      <c r="Q960" s="361"/>
      <c r="R960" s="361"/>
      <c r="S960" s="361"/>
      <c r="T960" s="361"/>
      <c r="U960" s="361"/>
      <c r="V960" s="361"/>
      <c r="W960" s="361"/>
      <c r="X960" s="361"/>
      <c r="Y960" s="361"/>
      <c r="Z960" s="361"/>
    </row>
    <row r="961" ht="22.5" customHeight="1" outlineLevel="1">
      <c r="A961" s="412"/>
      <c r="B961" s="415"/>
      <c r="C961" s="394"/>
      <c r="D961" s="412"/>
      <c r="E961" s="414"/>
      <c r="F961" s="414"/>
      <c r="G961" s="414"/>
      <c r="H961" s="414"/>
      <c r="I961" s="397"/>
      <c r="J961" s="392"/>
      <c r="K961" s="361"/>
      <c r="L961" s="361"/>
      <c r="M961" s="361"/>
      <c r="N961" s="361"/>
      <c r="O961" s="361"/>
      <c r="P961" s="361"/>
      <c r="Q961" s="361"/>
      <c r="R961" s="361"/>
      <c r="S961" s="361"/>
      <c r="T961" s="361"/>
      <c r="U961" s="361"/>
      <c r="V961" s="361"/>
      <c r="W961" s="361"/>
      <c r="X961" s="361"/>
      <c r="Y961" s="361"/>
      <c r="Z961" s="361"/>
    </row>
    <row r="962" ht="22.5" customHeight="1" outlineLevel="1">
      <c r="A962" s="412"/>
      <c r="B962" s="415"/>
      <c r="C962" s="394"/>
      <c r="D962" s="412"/>
      <c r="E962" s="414"/>
      <c r="F962" s="414"/>
      <c r="G962" s="414"/>
      <c r="H962" s="414"/>
      <c r="I962" s="397"/>
      <c r="J962" s="392"/>
      <c r="K962" s="361"/>
      <c r="L962" s="361"/>
      <c r="M962" s="361"/>
      <c r="N962" s="361"/>
      <c r="O962" s="361"/>
      <c r="P962" s="361"/>
      <c r="Q962" s="361"/>
      <c r="R962" s="361"/>
      <c r="S962" s="361"/>
      <c r="T962" s="361"/>
      <c r="U962" s="361"/>
      <c r="V962" s="361"/>
      <c r="W962" s="361"/>
      <c r="X962" s="361"/>
      <c r="Y962" s="361"/>
      <c r="Z962" s="361"/>
    </row>
    <row r="963" ht="22.5" customHeight="1" outlineLevel="1">
      <c r="A963" s="412"/>
      <c r="B963" s="415"/>
      <c r="C963" s="394"/>
      <c r="D963" s="412"/>
      <c r="E963" s="414"/>
      <c r="F963" s="414"/>
      <c r="G963" s="414"/>
      <c r="H963" s="414"/>
      <c r="I963" s="397"/>
      <c r="J963" s="392"/>
      <c r="K963" s="361"/>
      <c r="L963" s="361"/>
      <c r="M963" s="361"/>
      <c r="N963" s="361"/>
      <c r="O963" s="361"/>
      <c r="P963" s="361"/>
      <c r="Q963" s="361"/>
      <c r="R963" s="361"/>
      <c r="S963" s="361"/>
      <c r="T963" s="361"/>
      <c r="U963" s="361"/>
      <c r="V963" s="361"/>
      <c r="W963" s="361"/>
      <c r="X963" s="361"/>
      <c r="Y963" s="361"/>
      <c r="Z963" s="361"/>
    </row>
    <row r="964" ht="22.5" customHeight="1" outlineLevel="1">
      <c r="A964" s="412"/>
      <c r="B964" s="415"/>
      <c r="C964" s="394"/>
      <c r="D964" s="412"/>
      <c r="E964" s="414"/>
      <c r="F964" s="414"/>
      <c r="G964" s="414"/>
      <c r="H964" s="414"/>
      <c r="I964" s="397"/>
      <c r="J964" s="392"/>
      <c r="K964" s="361"/>
      <c r="L964" s="361"/>
      <c r="M964" s="361"/>
      <c r="N964" s="361"/>
      <c r="O964" s="361"/>
      <c r="P964" s="361"/>
      <c r="Q964" s="361"/>
      <c r="R964" s="361"/>
      <c r="S964" s="361"/>
      <c r="T964" s="361"/>
      <c r="U964" s="361"/>
      <c r="V964" s="361"/>
      <c r="W964" s="361"/>
      <c r="X964" s="361"/>
      <c r="Y964" s="361"/>
      <c r="Z964" s="361"/>
    </row>
    <row r="965" ht="22.5" customHeight="1" outlineLevel="1">
      <c r="A965" s="412"/>
      <c r="B965" s="415"/>
      <c r="C965" s="394"/>
      <c r="D965" s="412"/>
      <c r="E965" s="414"/>
      <c r="F965" s="414"/>
      <c r="G965" s="414"/>
      <c r="H965" s="414"/>
      <c r="I965" s="397"/>
      <c r="J965" s="392"/>
      <c r="K965" s="361"/>
      <c r="L965" s="361"/>
      <c r="M965" s="361"/>
      <c r="N965" s="361"/>
      <c r="O965" s="361"/>
      <c r="P965" s="361"/>
      <c r="Q965" s="361"/>
      <c r="R965" s="361"/>
      <c r="S965" s="361"/>
      <c r="T965" s="361"/>
      <c r="U965" s="361"/>
      <c r="V965" s="361"/>
      <c r="W965" s="361"/>
      <c r="X965" s="361"/>
      <c r="Y965" s="361"/>
      <c r="Z965" s="361"/>
    </row>
    <row r="966" ht="22.5" customHeight="1" outlineLevel="1">
      <c r="A966" s="412"/>
      <c r="B966" s="415"/>
      <c r="C966" s="394"/>
      <c r="D966" s="412"/>
      <c r="E966" s="414"/>
      <c r="F966" s="414"/>
      <c r="G966" s="414"/>
      <c r="H966" s="414"/>
      <c r="I966" s="397"/>
      <c r="J966" s="392"/>
      <c r="K966" s="361"/>
      <c r="L966" s="361"/>
      <c r="M966" s="361"/>
      <c r="N966" s="361"/>
      <c r="O966" s="361"/>
      <c r="P966" s="361"/>
      <c r="Q966" s="361"/>
      <c r="R966" s="361"/>
      <c r="S966" s="361"/>
      <c r="T966" s="361"/>
      <c r="U966" s="361"/>
      <c r="V966" s="361"/>
      <c r="W966" s="361"/>
      <c r="X966" s="361"/>
      <c r="Y966" s="361"/>
      <c r="Z966" s="361"/>
    </row>
    <row r="967" ht="22.5" customHeight="1" outlineLevel="1">
      <c r="A967" s="412"/>
      <c r="B967" s="415"/>
      <c r="C967" s="394"/>
      <c r="D967" s="412"/>
      <c r="E967" s="414"/>
      <c r="F967" s="414"/>
      <c r="G967" s="414"/>
      <c r="H967" s="414"/>
      <c r="I967" s="397"/>
      <c r="J967" s="392"/>
      <c r="K967" s="361"/>
      <c r="L967" s="361"/>
      <c r="M967" s="361"/>
      <c r="N967" s="361"/>
      <c r="O967" s="361"/>
      <c r="P967" s="361"/>
      <c r="Q967" s="361"/>
      <c r="R967" s="361"/>
      <c r="S967" s="361"/>
      <c r="T967" s="361"/>
      <c r="U967" s="361"/>
      <c r="V967" s="361"/>
      <c r="W967" s="361"/>
      <c r="X967" s="361"/>
      <c r="Y967" s="361"/>
      <c r="Z967" s="361"/>
    </row>
    <row r="968" ht="22.5" customHeight="1" outlineLevel="1">
      <c r="A968" s="412"/>
      <c r="B968" s="415"/>
      <c r="C968" s="394"/>
      <c r="D968" s="412"/>
      <c r="E968" s="414"/>
      <c r="F968" s="414"/>
      <c r="G968" s="414"/>
      <c r="H968" s="414"/>
      <c r="I968" s="397"/>
      <c r="J968" s="392"/>
      <c r="K968" s="361"/>
      <c r="L968" s="361"/>
      <c r="M968" s="361"/>
      <c r="N968" s="361"/>
      <c r="O968" s="361"/>
      <c r="P968" s="361"/>
      <c r="Q968" s="361"/>
      <c r="R968" s="361"/>
      <c r="S968" s="361"/>
      <c r="T968" s="361"/>
      <c r="U968" s="361"/>
      <c r="V968" s="361"/>
      <c r="W968" s="361"/>
      <c r="X968" s="361"/>
      <c r="Y968" s="361"/>
      <c r="Z968" s="361"/>
    </row>
    <row r="969" ht="22.5" customHeight="1" outlineLevel="1">
      <c r="A969" s="412"/>
      <c r="B969" s="415"/>
      <c r="C969" s="394"/>
      <c r="D969" s="412"/>
      <c r="E969" s="414"/>
      <c r="F969" s="414"/>
      <c r="G969" s="414"/>
      <c r="H969" s="414"/>
      <c r="I969" s="397"/>
      <c r="J969" s="392"/>
      <c r="K969" s="361"/>
      <c r="L969" s="361"/>
      <c r="M969" s="361"/>
      <c r="N969" s="361"/>
      <c r="O969" s="361"/>
      <c r="P969" s="361"/>
      <c r="Q969" s="361"/>
      <c r="R969" s="361"/>
      <c r="S969" s="361"/>
      <c r="T969" s="361"/>
      <c r="U969" s="361"/>
      <c r="V969" s="361"/>
      <c r="W969" s="361"/>
      <c r="X969" s="361"/>
      <c r="Y969" s="361"/>
      <c r="Z969" s="361"/>
    </row>
    <row r="970" ht="22.5" customHeight="1" outlineLevel="1">
      <c r="A970" s="412"/>
      <c r="B970" s="415"/>
      <c r="C970" s="394"/>
      <c r="D970" s="412"/>
      <c r="E970" s="414"/>
      <c r="F970" s="414"/>
      <c r="G970" s="414"/>
      <c r="H970" s="414"/>
      <c r="I970" s="397"/>
      <c r="J970" s="392"/>
      <c r="K970" s="361"/>
      <c r="L970" s="361"/>
      <c r="M970" s="361"/>
      <c r="N970" s="361"/>
      <c r="O970" s="361"/>
      <c r="P970" s="361"/>
      <c r="Q970" s="361"/>
      <c r="R970" s="361"/>
      <c r="S970" s="361"/>
      <c r="T970" s="361"/>
      <c r="U970" s="361"/>
      <c r="V970" s="361"/>
      <c r="W970" s="361"/>
      <c r="X970" s="361"/>
      <c r="Y970" s="361"/>
      <c r="Z970" s="361"/>
    </row>
    <row r="971" ht="22.5" customHeight="1" outlineLevel="1">
      <c r="A971" s="412"/>
      <c r="B971" s="415"/>
      <c r="C971" s="394"/>
      <c r="D971" s="412"/>
      <c r="E971" s="414"/>
      <c r="F971" s="414"/>
      <c r="G971" s="414"/>
      <c r="H971" s="414"/>
      <c r="I971" s="397"/>
      <c r="J971" s="392"/>
      <c r="K971" s="361"/>
      <c r="L971" s="361"/>
      <c r="M971" s="361"/>
      <c r="N971" s="361"/>
      <c r="O971" s="361"/>
      <c r="P971" s="361"/>
      <c r="Q971" s="361"/>
      <c r="R971" s="361"/>
      <c r="S971" s="361"/>
      <c r="T971" s="361"/>
      <c r="U971" s="361"/>
      <c r="V971" s="361"/>
      <c r="W971" s="361"/>
      <c r="X971" s="361"/>
      <c r="Y971" s="361"/>
      <c r="Z971" s="361"/>
    </row>
    <row r="972" ht="22.5" customHeight="1" outlineLevel="1">
      <c r="A972" s="412"/>
      <c r="B972" s="415"/>
      <c r="C972" s="394"/>
      <c r="D972" s="412"/>
      <c r="E972" s="414"/>
      <c r="F972" s="414"/>
      <c r="G972" s="414"/>
      <c r="H972" s="414"/>
      <c r="I972" s="397"/>
      <c r="J972" s="392"/>
      <c r="K972" s="361"/>
      <c r="L972" s="361"/>
      <c r="M972" s="361"/>
      <c r="N972" s="361"/>
      <c r="O972" s="361"/>
      <c r="P972" s="361"/>
      <c r="Q972" s="361"/>
      <c r="R972" s="361"/>
      <c r="S972" s="361"/>
      <c r="T972" s="361"/>
      <c r="U972" s="361"/>
      <c r="V972" s="361"/>
      <c r="W972" s="361"/>
      <c r="X972" s="361"/>
      <c r="Y972" s="361"/>
      <c r="Z972" s="361"/>
    </row>
    <row r="973" ht="22.5" customHeight="1" outlineLevel="1">
      <c r="A973" s="412"/>
      <c r="B973" s="415"/>
      <c r="C973" s="394"/>
      <c r="D973" s="412"/>
      <c r="E973" s="414"/>
      <c r="F973" s="414"/>
      <c r="G973" s="414"/>
      <c r="H973" s="414"/>
      <c r="I973" s="397"/>
      <c r="J973" s="392"/>
      <c r="K973" s="361"/>
      <c r="L973" s="361"/>
      <c r="M973" s="361"/>
      <c r="N973" s="361"/>
      <c r="O973" s="361"/>
      <c r="P973" s="361"/>
      <c r="Q973" s="361"/>
      <c r="R973" s="361"/>
      <c r="S973" s="361"/>
      <c r="T973" s="361"/>
      <c r="U973" s="361"/>
      <c r="V973" s="361"/>
      <c r="W973" s="361"/>
      <c r="X973" s="361"/>
      <c r="Y973" s="361"/>
      <c r="Z973" s="361"/>
    </row>
    <row r="974" ht="22.5" customHeight="1" outlineLevel="1">
      <c r="A974" s="412"/>
      <c r="B974" s="415"/>
      <c r="C974" s="394"/>
      <c r="D974" s="412"/>
      <c r="E974" s="414"/>
      <c r="F974" s="414"/>
      <c r="G974" s="414"/>
      <c r="H974" s="414"/>
      <c r="I974" s="397"/>
      <c r="J974" s="392"/>
      <c r="K974" s="361"/>
      <c r="L974" s="361"/>
      <c r="M974" s="361"/>
      <c r="N974" s="361"/>
      <c r="O974" s="361"/>
      <c r="P974" s="361"/>
      <c r="Q974" s="361"/>
      <c r="R974" s="361"/>
      <c r="S974" s="361"/>
      <c r="T974" s="361"/>
      <c r="U974" s="361"/>
      <c r="V974" s="361"/>
      <c r="W974" s="361"/>
      <c r="X974" s="361"/>
      <c r="Y974" s="361"/>
      <c r="Z974" s="361"/>
    </row>
    <row r="975" ht="22.5" customHeight="1" outlineLevel="1">
      <c r="A975" s="412"/>
      <c r="B975" s="415"/>
      <c r="C975" s="394"/>
      <c r="D975" s="412"/>
      <c r="E975" s="414"/>
      <c r="F975" s="414"/>
      <c r="G975" s="414"/>
      <c r="H975" s="414"/>
      <c r="I975" s="397"/>
      <c r="J975" s="392"/>
      <c r="K975" s="361"/>
      <c r="L975" s="361"/>
      <c r="M975" s="361"/>
      <c r="N975" s="361"/>
      <c r="O975" s="361"/>
      <c r="P975" s="361"/>
      <c r="Q975" s="361"/>
      <c r="R975" s="361"/>
      <c r="S975" s="361"/>
      <c r="T975" s="361"/>
      <c r="U975" s="361"/>
      <c r="V975" s="361"/>
      <c r="W975" s="361"/>
      <c r="X975" s="361"/>
      <c r="Y975" s="361"/>
      <c r="Z975" s="361"/>
    </row>
    <row r="976" ht="22.5" customHeight="1" outlineLevel="1">
      <c r="A976" s="412"/>
      <c r="B976" s="415"/>
      <c r="C976" s="394"/>
      <c r="D976" s="412"/>
      <c r="E976" s="414"/>
      <c r="F976" s="414"/>
      <c r="G976" s="414"/>
      <c r="H976" s="414"/>
      <c r="I976" s="397"/>
      <c r="J976" s="392"/>
      <c r="K976" s="361"/>
      <c r="L976" s="361"/>
      <c r="M976" s="361"/>
      <c r="N976" s="361"/>
      <c r="O976" s="361"/>
      <c r="P976" s="361"/>
      <c r="Q976" s="361"/>
      <c r="R976" s="361"/>
      <c r="S976" s="361"/>
      <c r="T976" s="361"/>
      <c r="U976" s="361"/>
      <c r="V976" s="361"/>
      <c r="W976" s="361"/>
      <c r="X976" s="361"/>
      <c r="Y976" s="361"/>
      <c r="Z976" s="361"/>
    </row>
    <row r="977" ht="22.5" customHeight="1" outlineLevel="1">
      <c r="A977" s="412"/>
      <c r="B977" s="415"/>
      <c r="C977" s="394"/>
      <c r="D977" s="412"/>
      <c r="E977" s="414"/>
      <c r="F977" s="414"/>
      <c r="G977" s="414"/>
      <c r="H977" s="414"/>
      <c r="I977" s="397"/>
      <c r="J977" s="392"/>
      <c r="K977" s="361"/>
      <c r="L977" s="361"/>
      <c r="M977" s="361"/>
      <c r="N977" s="361"/>
      <c r="O977" s="361"/>
      <c r="P977" s="361"/>
      <c r="Q977" s="361"/>
      <c r="R977" s="361"/>
      <c r="S977" s="361"/>
      <c r="T977" s="361"/>
      <c r="U977" s="361"/>
      <c r="V977" s="361"/>
      <c r="W977" s="361"/>
      <c r="X977" s="361"/>
      <c r="Y977" s="361"/>
      <c r="Z977" s="361"/>
    </row>
    <row r="978" ht="22.5" customHeight="1" outlineLevel="1">
      <c r="A978" s="412"/>
      <c r="B978" s="415"/>
      <c r="C978" s="394"/>
      <c r="D978" s="412"/>
      <c r="E978" s="414"/>
      <c r="F978" s="414"/>
      <c r="G978" s="414"/>
      <c r="H978" s="414"/>
      <c r="I978" s="397"/>
      <c r="J978" s="392"/>
      <c r="K978" s="361"/>
      <c r="L978" s="361"/>
      <c r="M978" s="361"/>
      <c r="N978" s="361"/>
      <c r="O978" s="361"/>
      <c r="P978" s="361"/>
      <c r="Q978" s="361"/>
      <c r="R978" s="361"/>
      <c r="S978" s="361"/>
      <c r="T978" s="361"/>
      <c r="U978" s="361"/>
      <c r="V978" s="361"/>
      <c r="W978" s="361"/>
      <c r="X978" s="361"/>
      <c r="Y978" s="361"/>
      <c r="Z978" s="361"/>
    </row>
    <row r="979" ht="22.5" customHeight="1" outlineLevel="1">
      <c r="A979" s="412"/>
      <c r="B979" s="415"/>
      <c r="C979" s="394"/>
      <c r="D979" s="412"/>
      <c r="E979" s="414"/>
      <c r="F979" s="414"/>
      <c r="G979" s="414"/>
      <c r="H979" s="414"/>
      <c r="I979" s="397"/>
      <c r="J979" s="392"/>
      <c r="K979" s="361"/>
      <c r="L979" s="361"/>
      <c r="M979" s="361"/>
      <c r="N979" s="361"/>
      <c r="O979" s="361"/>
      <c r="P979" s="361"/>
      <c r="Q979" s="361"/>
      <c r="R979" s="361"/>
      <c r="S979" s="361"/>
      <c r="T979" s="361"/>
      <c r="U979" s="361"/>
      <c r="V979" s="361"/>
      <c r="W979" s="361"/>
      <c r="X979" s="361"/>
      <c r="Y979" s="361"/>
      <c r="Z979" s="361"/>
    </row>
    <row r="980" ht="22.5" customHeight="1" outlineLevel="1">
      <c r="A980" s="412"/>
      <c r="B980" s="415"/>
      <c r="C980" s="394"/>
      <c r="D980" s="412"/>
      <c r="E980" s="414"/>
      <c r="F980" s="414"/>
      <c r="G980" s="414"/>
      <c r="H980" s="414"/>
      <c r="I980" s="397"/>
      <c r="J980" s="392"/>
      <c r="K980" s="361"/>
      <c r="L980" s="361"/>
      <c r="M980" s="361"/>
      <c r="N980" s="361"/>
      <c r="O980" s="361"/>
      <c r="P980" s="361"/>
      <c r="Q980" s="361"/>
      <c r="R980" s="361"/>
      <c r="S980" s="361"/>
      <c r="T980" s="361"/>
      <c r="U980" s="361"/>
      <c r="V980" s="361"/>
      <c r="W980" s="361"/>
      <c r="X980" s="361"/>
      <c r="Y980" s="361"/>
      <c r="Z980" s="361"/>
    </row>
    <row r="981" ht="22.5" customHeight="1" outlineLevel="1">
      <c r="A981" s="412"/>
      <c r="B981" s="415"/>
      <c r="C981" s="394"/>
      <c r="D981" s="412"/>
      <c r="E981" s="414"/>
      <c r="F981" s="414"/>
      <c r="G981" s="414"/>
      <c r="H981" s="414"/>
      <c r="I981" s="397"/>
      <c r="J981" s="392"/>
      <c r="K981" s="361"/>
      <c r="L981" s="361"/>
      <c r="M981" s="361"/>
      <c r="N981" s="361"/>
      <c r="O981" s="361"/>
      <c r="P981" s="361"/>
      <c r="Q981" s="361"/>
      <c r="R981" s="361"/>
      <c r="S981" s="361"/>
      <c r="T981" s="361"/>
      <c r="U981" s="361"/>
      <c r="V981" s="361"/>
      <c r="W981" s="361"/>
      <c r="X981" s="361"/>
      <c r="Y981" s="361"/>
      <c r="Z981" s="361"/>
    </row>
    <row r="982" ht="22.5" customHeight="1" outlineLevel="1">
      <c r="A982" s="412"/>
      <c r="B982" s="415"/>
      <c r="C982" s="394"/>
      <c r="D982" s="412"/>
      <c r="E982" s="414"/>
      <c r="F982" s="414"/>
      <c r="G982" s="414"/>
      <c r="H982" s="414"/>
      <c r="I982" s="397"/>
      <c r="J982" s="392"/>
      <c r="K982" s="361"/>
      <c r="L982" s="361"/>
      <c r="M982" s="361"/>
      <c r="N982" s="361"/>
      <c r="O982" s="361"/>
      <c r="P982" s="361"/>
      <c r="Q982" s="361"/>
      <c r="R982" s="361"/>
      <c r="S982" s="361"/>
      <c r="T982" s="361"/>
      <c r="U982" s="361"/>
      <c r="V982" s="361"/>
      <c r="W982" s="361"/>
      <c r="X982" s="361"/>
      <c r="Y982" s="361"/>
      <c r="Z982" s="361"/>
    </row>
    <row r="983" ht="22.5" customHeight="1" outlineLevel="1">
      <c r="A983" s="412"/>
      <c r="B983" s="415"/>
      <c r="C983" s="394"/>
      <c r="D983" s="412"/>
      <c r="E983" s="414"/>
      <c r="F983" s="414"/>
      <c r="G983" s="414"/>
      <c r="H983" s="414"/>
      <c r="I983" s="397"/>
      <c r="J983" s="392"/>
      <c r="K983" s="361"/>
      <c r="L983" s="361"/>
      <c r="M983" s="361"/>
      <c r="N983" s="361"/>
      <c r="O983" s="361"/>
      <c r="P983" s="361"/>
      <c r="Q983" s="361"/>
      <c r="R983" s="361"/>
      <c r="S983" s="361"/>
      <c r="T983" s="361"/>
      <c r="U983" s="361"/>
      <c r="V983" s="361"/>
      <c r="W983" s="361"/>
      <c r="X983" s="361"/>
      <c r="Y983" s="361"/>
      <c r="Z983" s="361"/>
    </row>
    <row r="984" ht="22.5" customHeight="1" outlineLevel="1">
      <c r="A984" s="412"/>
      <c r="B984" s="415"/>
      <c r="C984" s="394"/>
      <c r="D984" s="412"/>
      <c r="E984" s="414"/>
      <c r="F984" s="414"/>
      <c r="G984" s="414"/>
      <c r="H984" s="414"/>
      <c r="I984" s="397"/>
      <c r="J984" s="392"/>
      <c r="K984" s="361"/>
      <c r="L984" s="361"/>
      <c r="M984" s="361"/>
      <c r="N984" s="361"/>
      <c r="O984" s="361"/>
      <c r="P984" s="361"/>
      <c r="Q984" s="361"/>
      <c r="R984" s="361"/>
      <c r="S984" s="361"/>
      <c r="T984" s="361"/>
      <c r="U984" s="361"/>
      <c r="V984" s="361"/>
      <c r="W984" s="361"/>
      <c r="X984" s="361"/>
      <c r="Y984" s="361"/>
      <c r="Z984" s="361"/>
    </row>
    <row r="985" ht="22.5" customHeight="1" outlineLevel="1">
      <c r="A985" s="412"/>
      <c r="B985" s="415"/>
      <c r="C985" s="394"/>
      <c r="D985" s="412"/>
      <c r="E985" s="414"/>
      <c r="F985" s="414"/>
      <c r="G985" s="414"/>
      <c r="H985" s="414"/>
      <c r="I985" s="397"/>
      <c r="J985" s="392"/>
      <c r="K985" s="361"/>
      <c r="L985" s="361"/>
      <c r="M985" s="361"/>
      <c r="N985" s="361"/>
      <c r="O985" s="361"/>
      <c r="P985" s="361"/>
      <c r="Q985" s="361"/>
      <c r="R985" s="361"/>
      <c r="S985" s="361"/>
      <c r="T985" s="361"/>
      <c r="U985" s="361"/>
      <c r="V985" s="361"/>
      <c r="W985" s="361"/>
      <c r="X985" s="361"/>
      <c r="Y985" s="361"/>
      <c r="Z985" s="361"/>
    </row>
    <row r="986" ht="22.5" customHeight="1" outlineLevel="1">
      <c r="A986" s="412"/>
      <c r="B986" s="415"/>
      <c r="C986" s="394"/>
      <c r="D986" s="412"/>
      <c r="E986" s="414"/>
      <c r="F986" s="414"/>
      <c r="G986" s="414"/>
      <c r="H986" s="414"/>
      <c r="I986" s="397"/>
      <c r="J986" s="392"/>
      <c r="K986" s="361"/>
      <c r="L986" s="361"/>
      <c r="M986" s="361"/>
      <c r="N986" s="361"/>
      <c r="O986" s="361"/>
      <c r="P986" s="361"/>
      <c r="Q986" s="361"/>
      <c r="R986" s="361"/>
      <c r="S986" s="361"/>
      <c r="T986" s="361"/>
      <c r="U986" s="361"/>
      <c r="V986" s="361"/>
      <c r="W986" s="361"/>
      <c r="X986" s="361"/>
      <c r="Y986" s="361"/>
      <c r="Z986" s="361"/>
    </row>
    <row r="987" ht="22.5" customHeight="1" outlineLevel="1">
      <c r="A987" s="412"/>
      <c r="B987" s="415"/>
      <c r="C987" s="394"/>
      <c r="D987" s="412"/>
      <c r="E987" s="414"/>
      <c r="F987" s="414"/>
      <c r="G987" s="414"/>
      <c r="H987" s="414"/>
      <c r="I987" s="397"/>
      <c r="J987" s="392"/>
      <c r="K987" s="361"/>
      <c r="L987" s="361"/>
      <c r="M987" s="361"/>
      <c r="N987" s="361"/>
      <c r="O987" s="361"/>
      <c r="P987" s="361"/>
      <c r="Q987" s="361"/>
      <c r="R987" s="361"/>
      <c r="S987" s="361"/>
      <c r="T987" s="361"/>
      <c r="U987" s="361"/>
      <c r="V987" s="361"/>
      <c r="W987" s="361"/>
      <c r="X987" s="361"/>
      <c r="Y987" s="361"/>
      <c r="Z987" s="361"/>
    </row>
    <row r="988" ht="22.5" customHeight="1" outlineLevel="1">
      <c r="A988" s="412"/>
      <c r="B988" s="415"/>
      <c r="C988" s="394"/>
      <c r="D988" s="412"/>
      <c r="E988" s="414"/>
      <c r="F988" s="414"/>
      <c r="G988" s="414"/>
      <c r="H988" s="414"/>
      <c r="I988" s="397"/>
      <c r="J988" s="392"/>
      <c r="K988" s="361"/>
      <c r="L988" s="361"/>
      <c r="M988" s="361"/>
      <c r="N988" s="361"/>
      <c r="O988" s="361"/>
      <c r="P988" s="361"/>
      <c r="Q988" s="361"/>
      <c r="R988" s="361"/>
      <c r="S988" s="361"/>
      <c r="T988" s="361"/>
      <c r="U988" s="361"/>
      <c r="V988" s="361"/>
      <c r="W988" s="361"/>
      <c r="X988" s="361"/>
      <c r="Y988" s="361"/>
      <c r="Z988" s="361"/>
    </row>
    <row r="989" ht="22.5" customHeight="1" outlineLevel="1">
      <c r="A989" s="412"/>
      <c r="B989" s="415"/>
      <c r="C989" s="394"/>
      <c r="D989" s="412"/>
      <c r="E989" s="414"/>
      <c r="F989" s="414"/>
      <c r="G989" s="414"/>
      <c r="H989" s="414"/>
      <c r="I989" s="397"/>
      <c r="J989" s="392"/>
      <c r="K989" s="361"/>
      <c r="L989" s="361"/>
      <c r="M989" s="361"/>
      <c r="N989" s="361"/>
      <c r="O989" s="361"/>
      <c r="P989" s="361"/>
      <c r="Q989" s="361"/>
      <c r="R989" s="361"/>
      <c r="S989" s="361"/>
      <c r="T989" s="361"/>
      <c r="U989" s="361"/>
      <c r="V989" s="361"/>
      <c r="W989" s="361"/>
      <c r="X989" s="361"/>
      <c r="Y989" s="361"/>
      <c r="Z989" s="361"/>
    </row>
    <row r="990" ht="22.5" customHeight="1" outlineLevel="1">
      <c r="A990" s="412"/>
      <c r="B990" s="415"/>
      <c r="C990" s="394"/>
      <c r="D990" s="412"/>
      <c r="E990" s="414"/>
      <c r="F990" s="414"/>
      <c r="G990" s="414"/>
      <c r="H990" s="414"/>
      <c r="I990" s="397"/>
      <c r="J990" s="392"/>
      <c r="K990" s="361"/>
      <c r="L990" s="361"/>
      <c r="M990" s="361"/>
      <c r="N990" s="361"/>
      <c r="O990" s="361"/>
      <c r="P990" s="361"/>
      <c r="Q990" s="361"/>
      <c r="R990" s="361"/>
      <c r="S990" s="361"/>
      <c r="T990" s="361"/>
      <c r="U990" s="361"/>
      <c r="V990" s="361"/>
      <c r="W990" s="361"/>
      <c r="X990" s="361"/>
      <c r="Y990" s="361"/>
      <c r="Z990" s="361"/>
    </row>
    <row r="991" ht="22.5" customHeight="1" outlineLevel="1">
      <c r="A991" s="412"/>
      <c r="B991" s="415"/>
      <c r="C991" s="394"/>
      <c r="D991" s="412"/>
      <c r="E991" s="414"/>
      <c r="F991" s="414"/>
      <c r="G991" s="414"/>
      <c r="H991" s="414"/>
      <c r="I991" s="397"/>
      <c r="J991" s="392"/>
      <c r="K991" s="361"/>
      <c r="L991" s="361"/>
      <c r="M991" s="361"/>
      <c r="N991" s="361"/>
      <c r="O991" s="361"/>
      <c r="P991" s="361"/>
      <c r="Q991" s="361"/>
      <c r="R991" s="361"/>
      <c r="S991" s="361"/>
      <c r="T991" s="361"/>
      <c r="U991" s="361"/>
      <c r="V991" s="361"/>
      <c r="W991" s="361"/>
      <c r="X991" s="361"/>
      <c r="Y991" s="361"/>
      <c r="Z991" s="361"/>
    </row>
    <row r="992" ht="22.5" customHeight="1" outlineLevel="1">
      <c r="A992" s="412"/>
      <c r="B992" s="415"/>
      <c r="C992" s="394"/>
      <c r="D992" s="412"/>
      <c r="E992" s="414"/>
      <c r="F992" s="414"/>
      <c r="G992" s="414"/>
      <c r="H992" s="414"/>
      <c r="I992" s="397"/>
      <c r="J992" s="392"/>
      <c r="K992" s="361"/>
      <c r="L992" s="361"/>
      <c r="M992" s="361"/>
      <c r="N992" s="361"/>
      <c r="O992" s="361"/>
      <c r="P992" s="361"/>
      <c r="Q992" s="361"/>
      <c r="R992" s="361"/>
      <c r="S992" s="361"/>
      <c r="T992" s="361"/>
      <c r="U992" s="361"/>
      <c r="V992" s="361"/>
      <c r="W992" s="361"/>
      <c r="X992" s="361"/>
      <c r="Y992" s="361"/>
      <c r="Z992" s="361"/>
    </row>
    <row r="993" ht="22.5" customHeight="1" outlineLevel="1">
      <c r="A993" s="412"/>
      <c r="B993" s="415"/>
      <c r="C993" s="394"/>
      <c r="D993" s="412"/>
      <c r="E993" s="414"/>
      <c r="F993" s="414"/>
      <c r="G993" s="414"/>
      <c r="H993" s="414"/>
      <c r="I993" s="397"/>
      <c r="J993" s="392"/>
      <c r="K993" s="361"/>
      <c r="L993" s="361"/>
      <c r="M993" s="361"/>
      <c r="N993" s="361"/>
      <c r="O993" s="361"/>
      <c r="P993" s="361"/>
      <c r="Q993" s="361"/>
      <c r="R993" s="361"/>
      <c r="S993" s="361"/>
      <c r="T993" s="361"/>
      <c r="U993" s="361"/>
      <c r="V993" s="361"/>
      <c r="W993" s="361"/>
      <c r="X993" s="361"/>
      <c r="Y993" s="361"/>
      <c r="Z993" s="361"/>
    </row>
    <row r="994" ht="22.5" customHeight="1" outlineLevel="1">
      <c r="A994" s="412"/>
      <c r="B994" s="415"/>
      <c r="C994" s="394"/>
      <c r="D994" s="412"/>
      <c r="E994" s="414"/>
      <c r="F994" s="414"/>
      <c r="G994" s="414"/>
      <c r="H994" s="414"/>
      <c r="I994" s="397"/>
      <c r="J994" s="392"/>
      <c r="K994" s="361"/>
      <c r="L994" s="361"/>
      <c r="M994" s="361"/>
      <c r="N994" s="361"/>
      <c r="O994" s="361"/>
      <c r="P994" s="361"/>
      <c r="Q994" s="361"/>
      <c r="R994" s="361"/>
      <c r="S994" s="361"/>
      <c r="T994" s="361"/>
      <c r="U994" s="361"/>
      <c r="V994" s="361"/>
      <c r="W994" s="361"/>
      <c r="X994" s="361"/>
      <c r="Y994" s="361"/>
      <c r="Z994" s="361"/>
    </row>
    <row r="995" ht="22.5" customHeight="1" outlineLevel="1">
      <c r="A995" s="412"/>
      <c r="B995" s="415"/>
      <c r="C995" s="394"/>
      <c r="D995" s="412"/>
      <c r="E995" s="414"/>
      <c r="F995" s="414"/>
      <c r="G995" s="414"/>
      <c r="H995" s="414"/>
      <c r="I995" s="397"/>
      <c r="J995" s="392"/>
      <c r="K995" s="361"/>
      <c r="L995" s="361"/>
      <c r="M995" s="361"/>
      <c r="N995" s="361"/>
      <c r="O995" s="361"/>
      <c r="P995" s="361"/>
      <c r="Q995" s="361"/>
      <c r="R995" s="361"/>
      <c r="S995" s="361"/>
      <c r="T995" s="361"/>
      <c r="U995" s="361"/>
      <c r="V995" s="361"/>
      <c r="W995" s="361"/>
      <c r="X995" s="361"/>
      <c r="Y995" s="361"/>
      <c r="Z995" s="361"/>
    </row>
    <row r="996" ht="22.5" customHeight="1" outlineLevel="1">
      <c r="A996" s="412"/>
      <c r="B996" s="415"/>
      <c r="C996" s="394"/>
      <c r="D996" s="412"/>
      <c r="E996" s="414"/>
      <c r="F996" s="414"/>
      <c r="G996" s="414"/>
      <c r="H996" s="414"/>
      <c r="I996" s="397"/>
      <c r="J996" s="392"/>
      <c r="K996" s="361"/>
      <c r="L996" s="361"/>
      <c r="M996" s="361"/>
      <c r="N996" s="361"/>
      <c r="O996" s="361"/>
      <c r="P996" s="361"/>
      <c r="Q996" s="361"/>
      <c r="R996" s="361"/>
      <c r="S996" s="361"/>
      <c r="T996" s="361"/>
      <c r="U996" s="361"/>
      <c r="V996" s="361"/>
      <c r="W996" s="361"/>
      <c r="X996" s="361"/>
      <c r="Y996" s="361"/>
      <c r="Z996" s="361"/>
    </row>
    <row r="997" ht="22.5" customHeight="1" outlineLevel="1">
      <c r="A997" s="412"/>
      <c r="B997" s="415"/>
      <c r="C997" s="394"/>
      <c r="D997" s="412"/>
      <c r="E997" s="414"/>
      <c r="F997" s="414"/>
      <c r="G997" s="414"/>
      <c r="H997" s="414"/>
      <c r="I997" s="397"/>
      <c r="J997" s="392"/>
      <c r="K997" s="361"/>
      <c r="L997" s="361"/>
      <c r="M997" s="361"/>
      <c r="N997" s="361"/>
      <c r="O997" s="361"/>
      <c r="P997" s="361"/>
      <c r="Q997" s="361"/>
      <c r="R997" s="361"/>
      <c r="S997" s="361"/>
      <c r="T997" s="361"/>
      <c r="U997" s="361"/>
      <c r="V997" s="361"/>
      <c r="W997" s="361"/>
      <c r="X997" s="361"/>
      <c r="Y997" s="361"/>
      <c r="Z997" s="361"/>
    </row>
    <row r="998" ht="22.5" customHeight="1" outlineLevel="1">
      <c r="A998" s="412"/>
      <c r="B998" s="415"/>
      <c r="C998" s="394"/>
      <c r="D998" s="412"/>
      <c r="E998" s="414"/>
      <c r="F998" s="414"/>
      <c r="G998" s="414"/>
      <c r="H998" s="414"/>
      <c r="I998" s="397"/>
      <c r="J998" s="392"/>
      <c r="K998" s="361"/>
      <c r="L998" s="361"/>
      <c r="M998" s="361"/>
      <c r="N998" s="361"/>
      <c r="O998" s="361"/>
      <c r="P998" s="361"/>
      <c r="Q998" s="361"/>
      <c r="R998" s="361"/>
      <c r="S998" s="361"/>
      <c r="T998" s="361"/>
      <c r="U998" s="361"/>
      <c r="V998" s="361"/>
      <c r="W998" s="361"/>
      <c r="X998" s="361"/>
      <c r="Y998" s="361"/>
      <c r="Z998" s="361"/>
    </row>
    <row r="999" ht="22.5" customHeight="1" outlineLevel="1">
      <c r="A999" s="412"/>
      <c r="B999" s="415"/>
      <c r="C999" s="394"/>
      <c r="D999" s="412"/>
      <c r="E999" s="414"/>
      <c r="F999" s="414"/>
      <c r="G999" s="414"/>
      <c r="H999" s="414"/>
      <c r="I999" s="397"/>
      <c r="J999" s="392"/>
      <c r="K999" s="361"/>
      <c r="L999" s="361"/>
      <c r="M999" s="361"/>
      <c r="N999" s="361"/>
      <c r="O999" s="361"/>
      <c r="P999" s="361"/>
      <c r="Q999" s="361"/>
      <c r="R999" s="361"/>
      <c r="S999" s="361"/>
      <c r="T999" s="361"/>
      <c r="U999" s="361"/>
      <c r="V999" s="361"/>
      <c r="W999" s="361"/>
      <c r="X999" s="361"/>
      <c r="Y999" s="361"/>
      <c r="Z999" s="361"/>
    </row>
    <row r="1000" ht="22.5" customHeight="1" outlineLevel="1">
      <c r="A1000" s="412"/>
      <c r="B1000" s="415"/>
      <c r="C1000" s="394"/>
      <c r="D1000" s="412"/>
      <c r="E1000" s="414"/>
      <c r="F1000" s="414"/>
      <c r="G1000" s="414"/>
      <c r="H1000" s="414"/>
      <c r="I1000" s="397"/>
      <c r="J1000" s="392"/>
      <c r="K1000" s="361"/>
      <c r="L1000" s="361"/>
      <c r="M1000" s="361"/>
      <c r="N1000" s="361"/>
      <c r="O1000" s="361"/>
      <c r="P1000" s="361"/>
      <c r="Q1000" s="361"/>
      <c r="R1000" s="361"/>
      <c r="S1000" s="361"/>
      <c r="T1000" s="361"/>
      <c r="U1000" s="361"/>
      <c r="V1000" s="361"/>
      <c r="W1000" s="361"/>
      <c r="X1000" s="361"/>
      <c r="Y1000" s="361"/>
      <c r="Z1000" s="361"/>
    </row>
    <row r="1001" ht="22.5" customHeight="1" outlineLevel="1">
      <c r="A1001" s="412"/>
      <c r="B1001" s="415"/>
      <c r="C1001" s="394"/>
      <c r="D1001" s="412"/>
      <c r="E1001" s="414"/>
      <c r="F1001" s="414"/>
      <c r="G1001" s="414"/>
      <c r="H1001" s="414"/>
      <c r="I1001" s="397"/>
      <c r="J1001" s="392"/>
      <c r="K1001" s="361"/>
      <c r="L1001" s="361"/>
      <c r="M1001" s="361"/>
      <c r="N1001" s="361"/>
      <c r="O1001" s="361"/>
      <c r="P1001" s="361"/>
      <c r="Q1001" s="361"/>
      <c r="R1001" s="361"/>
      <c r="S1001" s="361"/>
      <c r="T1001" s="361"/>
      <c r="U1001" s="361"/>
      <c r="V1001" s="361"/>
      <c r="W1001" s="361"/>
      <c r="X1001" s="361"/>
      <c r="Y1001" s="361"/>
      <c r="Z1001" s="361"/>
    </row>
    <row r="1002" ht="22.5" customHeight="1" outlineLevel="1">
      <c r="A1002" s="412"/>
      <c r="B1002" s="415"/>
      <c r="C1002" s="394"/>
      <c r="D1002" s="412"/>
      <c r="E1002" s="414"/>
      <c r="F1002" s="414"/>
      <c r="G1002" s="414"/>
      <c r="H1002" s="414"/>
      <c r="I1002" s="397"/>
      <c r="J1002" s="392"/>
      <c r="K1002" s="361"/>
      <c r="L1002" s="361"/>
      <c r="M1002" s="361"/>
      <c r="N1002" s="361"/>
      <c r="O1002" s="361"/>
      <c r="P1002" s="361"/>
      <c r="Q1002" s="361"/>
      <c r="R1002" s="361"/>
      <c r="S1002" s="361"/>
      <c r="T1002" s="361"/>
      <c r="U1002" s="361"/>
      <c r="V1002" s="361"/>
      <c r="W1002" s="361"/>
      <c r="X1002" s="361"/>
      <c r="Y1002" s="361"/>
      <c r="Z1002" s="361"/>
    </row>
    <row r="1003" ht="22.5" customHeight="1" outlineLevel="1">
      <c r="A1003" s="412"/>
      <c r="B1003" s="415"/>
      <c r="C1003" s="394"/>
      <c r="D1003" s="412"/>
      <c r="E1003" s="414"/>
      <c r="F1003" s="414"/>
      <c r="G1003" s="414"/>
      <c r="H1003" s="414"/>
      <c r="I1003" s="397"/>
      <c r="J1003" s="392"/>
      <c r="K1003" s="361"/>
      <c r="L1003" s="361"/>
      <c r="M1003" s="361"/>
      <c r="N1003" s="361"/>
      <c r="O1003" s="361"/>
      <c r="P1003" s="361"/>
      <c r="Q1003" s="361"/>
      <c r="R1003" s="361"/>
      <c r="S1003" s="361"/>
      <c r="T1003" s="361"/>
      <c r="U1003" s="361"/>
      <c r="V1003" s="361"/>
      <c r="W1003" s="361"/>
      <c r="X1003" s="361"/>
      <c r="Y1003" s="361"/>
      <c r="Z1003" s="361"/>
    </row>
    <row r="1004" ht="22.5" customHeight="1" outlineLevel="1">
      <c r="A1004" s="412"/>
      <c r="B1004" s="415"/>
      <c r="C1004" s="394"/>
      <c r="D1004" s="412"/>
      <c r="E1004" s="414"/>
      <c r="F1004" s="414"/>
      <c r="G1004" s="414"/>
      <c r="H1004" s="414"/>
      <c r="I1004" s="397"/>
      <c r="J1004" s="392"/>
      <c r="K1004" s="361"/>
      <c r="L1004" s="361"/>
      <c r="M1004" s="361"/>
      <c r="N1004" s="361"/>
      <c r="O1004" s="361"/>
      <c r="P1004" s="361"/>
      <c r="Q1004" s="361"/>
      <c r="R1004" s="361"/>
      <c r="S1004" s="361"/>
      <c r="T1004" s="361"/>
      <c r="U1004" s="361"/>
      <c r="V1004" s="361"/>
      <c r="W1004" s="361"/>
      <c r="X1004" s="361"/>
      <c r="Y1004" s="361"/>
      <c r="Z1004" s="361"/>
    </row>
    <row r="1005" ht="22.5" customHeight="1" outlineLevel="1">
      <c r="A1005" s="412"/>
      <c r="B1005" s="415"/>
      <c r="C1005" s="394"/>
      <c r="D1005" s="412"/>
      <c r="E1005" s="414"/>
      <c r="F1005" s="414"/>
      <c r="G1005" s="414"/>
      <c r="H1005" s="414"/>
      <c r="I1005" s="397"/>
      <c r="J1005" s="392"/>
      <c r="K1005" s="361"/>
      <c r="L1005" s="361"/>
      <c r="M1005" s="361"/>
      <c r="N1005" s="361"/>
      <c r="O1005" s="361"/>
      <c r="P1005" s="361"/>
      <c r="Q1005" s="361"/>
      <c r="R1005" s="361"/>
      <c r="S1005" s="361"/>
      <c r="T1005" s="361"/>
      <c r="U1005" s="361"/>
      <c r="V1005" s="361"/>
      <c r="W1005" s="361"/>
      <c r="X1005" s="361"/>
      <c r="Y1005" s="361"/>
      <c r="Z1005" s="361"/>
    </row>
    <row r="1006" ht="22.5" customHeight="1" outlineLevel="1">
      <c r="A1006" s="412"/>
      <c r="B1006" s="415"/>
      <c r="C1006" s="394"/>
      <c r="D1006" s="412"/>
      <c r="E1006" s="414"/>
      <c r="F1006" s="414"/>
      <c r="G1006" s="414"/>
      <c r="H1006" s="414"/>
      <c r="I1006" s="397"/>
      <c r="J1006" s="392"/>
      <c r="K1006" s="361"/>
      <c r="L1006" s="361"/>
      <c r="M1006" s="361"/>
      <c r="N1006" s="361"/>
      <c r="O1006" s="361"/>
      <c r="P1006" s="361"/>
      <c r="Q1006" s="361"/>
      <c r="R1006" s="361"/>
      <c r="S1006" s="361"/>
      <c r="T1006" s="361"/>
      <c r="U1006" s="361"/>
      <c r="V1006" s="361"/>
      <c r="W1006" s="361"/>
      <c r="X1006" s="361"/>
      <c r="Y1006" s="361"/>
      <c r="Z1006" s="361"/>
    </row>
    <row r="1007" ht="22.5" customHeight="1" outlineLevel="1">
      <c r="A1007" s="412"/>
      <c r="B1007" s="415"/>
      <c r="C1007" s="394"/>
      <c r="D1007" s="412"/>
      <c r="E1007" s="414"/>
      <c r="F1007" s="414"/>
      <c r="G1007" s="414"/>
      <c r="H1007" s="414"/>
      <c r="I1007" s="397"/>
      <c r="J1007" s="392"/>
      <c r="K1007" s="361"/>
      <c r="L1007" s="361"/>
      <c r="M1007" s="361"/>
      <c r="N1007" s="361"/>
      <c r="O1007" s="361"/>
      <c r="P1007" s="361"/>
      <c r="Q1007" s="361"/>
      <c r="R1007" s="361"/>
      <c r="S1007" s="361"/>
      <c r="T1007" s="361"/>
      <c r="U1007" s="361"/>
      <c r="V1007" s="361"/>
      <c r="W1007" s="361"/>
      <c r="X1007" s="361"/>
      <c r="Y1007" s="361"/>
      <c r="Z1007" s="361"/>
    </row>
    <row r="1008" ht="22.5" customHeight="1" outlineLevel="1">
      <c r="A1008" s="412"/>
      <c r="B1008" s="415"/>
      <c r="C1008" s="394"/>
      <c r="D1008" s="412"/>
      <c r="E1008" s="414"/>
      <c r="F1008" s="414"/>
      <c r="G1008" s="414"/>
      <c r="H1008" s="414"/>
      <c r="I1008" s="397"/>
      <c r="J1008" s="392"/>
      <c r="K1008" s="361"/>
      <c r="L1008" s="361"/>
      <c r="M1008" s="361"/>
      <c r="N1008" s="361"/>
      <c r="O1008" s="361"/>
      <c r="P1008" s="361"/>
      <c r="Q1008" s="361"/>
      <c r="R1008" s="361"/>
      <c r="S1008" s="361"/>
      <c r="T1008" s="361"/>
      <c r="U1008" s="361"/>
      <c r="V1008" s="361"/>
      <c r="W1008" s="361"/>
      <c r="X1008" s="361"/>
      <c r="Y1008" s="361"/>
      <c r="Z1008" s="361"/>
    </row>
    <row r="1009" ht="22.5" customHeight="1" outlineLevel="1">
      <c r="A1009" s="412"/>
      <c r="B1009" s="415"/>
      <c r="C1009" s="394"/>
      <c r="D1009" s="412"/>
      <c r="E1009" s="414"/>
      <c r="F1009" s="414"/>
      <c r="G1009" s="414"/>
      <c r="H1009" s="414"/>
      <c r="I1009" s="397"/>
      <c r="J1009" s="392"/>
      <c r="K1009" s="361"/>
      <c r="L1009" s="361"/>
      <c r="M1009" s="361"/>
      <c r="N1009" s="361"/>
      <c r="O1009" s="361"/>
      <c r="P1009" s="361"/>
      <c r="Q1009" s="361"/>
      <c r="R1009" s="361"/>
      <c r="S1009" s="361"/>
      <c r="T1009" s="361"/>
      <c r="U1009" s="361"/>
      <c r="V1009" s="361"/>
      <c r="W1009" s="361"/>
      <c r="X1009" s="361"/>
      <c r="Y1009" s="361"/>
      <c r="Z1009" s="361"/>
    </row>
    <row r="1010" ht="22.5" customHeight="1" outlineLevel="1">
      <c r="A1010" s="412"/>
      <c r="B1010" s="415"/>
      <c r="C1010" s="394"/>
      <c r="D1010" s="412"/>
      <c r="E1010" s="414"/>
      <c r="F1010" s="414"/>
      <c r="G1010" s="414"/>
      <c r="H1010" s="414"/>
      <c r="I1010" s="397"/>
      <c r="J1010" s="392"/>
      <c r="K1010" s="361"/>
      <c r="L1010" s="361"/>
      <c r="M1010" s="361"/>
      <c r="N1010" s="361"/>
      <c r="O1010" s="361"/>
      <c r="P1010" s="361"/>
      <c r="Q1010" s="361"/>
      <c r="R1010" s="361"/>
      <c r="S1010" s="361"/>
      <c r="T1010" s="361"/>
      <c r="U1010" s="361"/>
      <c r="V1010" s="361"/>
      <c r="W1010" s="361"/>
      <c r="X1010" s="361"/>
      <c r="Y1010" s="361"/>
      <c r="Z1010" s="361"/>
    </row>
    <row r="1011" ht="22.5" customHeight="1" outlineLevel="1">
      <c r="A1011" s="412"/>
      <c r="B1011" s="415"/>
      <c r="C1011" s="394"/>
      <c r="D1011" s="412"/>
      <c r="E1011" s="414"/>
      <c r="F1011" s="414"/>
      <c r="G1011" s="414"/>
      <c r="H1011" s="414"/>
      <c r="I1011" s="397"/>
      <c r="J1011" s="392"/>
      <c r="K1011" s="361"/>
      <c r="L1011" s="361"/>
      <c r="M1011" s="361"/>
      <c r="N1011" s="361"/>
      <c r="O1011" s="361"/>
      <c r="P1011" s="361"/>
      <c r="Q1011" s="361"/>
      <c r="R1011" s="361"/>
      <c r="S1011" s="361"/>
      <c r="T1011" s="361"/>
      <c r="U1011" s="361"/>
      <c r="V1011" s="361"/>
      <c r="W1011" s="361"/>
      <c r="X1011" s="361"/>
      <c r="Y1011" s="361"/>
      <c r="Z1011" s="361"/>
    </row>
    <row r="1012" ht="22.5" customHeight="1" outlineLevel="1">
      <c r="A1012" s="412"/>
      <c r="B1012" s="415"/>
      <c r="C1012" s="394"/>
      <c r="D1012" s="412"/>
      <c r="E1012" s="414"/>
      <c r="F1012" s="414"/>
      <c r="G1012" s="414"/>
      <c r="H1012" s="414"/>
      <c r="I1012" s="397"/>
      <c r="J1012" s="392"/>
      <c r="K1012" s="361"/>
      <c r="L1012" s="361"/>
      <c r="M1012" s="361"/>
      <c r="N1012" s="361"/>
      <c r="O1012" s="361"/>
      <c r="P1012" s="361"/>
      <c r="Q1012" s="361"/>
      <c r="R1012" s="361"/>
      <c r="S1012" s="361"/>
      <c r="T1012" s="361"/>
      <c r="U1012" s="361"/>
      <c r="V1012" s="361"/>
      <c r="W1012" s="361"/>
      <c r="X1012" s="361"/>
      <c r="Y1012" s="361"/>
      <c r="Z1012" s="361"/>
    </row>
    <row r="1013" ht="22.5" customHeight="1" outlineLevel="1">
      <c r="A1013" s="412"/>
      <c r="B1013" s="415"/>
      <c r="C1013" s="394"/>
      <c r="D1013" s="412"/>
      <c r="E1013" s="414"/>
      <c r="F1013" s="414"/>
      <c r="G1013" s="414"/>
      <c r="H1013" s="414"/>
      <c r="I1013" s="397"/>
      <c r="J1013" s="392"/>
      <c r="K1013" s="361"/>
      <c r="L1013" s="361"/>
      <c r="M1013" s="361"/>
      <c r="N1013" s="361"/>
      <c r="O1013" s="361"/>
      <c r="P1013" s="361"/>
      <c r="Q1013" s="361"/>
      <c r="R1013" s="361"/>
      <c r="S1013" s="361"/>
      <c r="T1013" s="361"/>
      <c r="U1013" s="361"/>
      <c r="V1013" s="361"/>
      <c r="W1013" s="361"/>
      <c r="X1013" s="361"/>
      <c r="Y1013" s="361"/>
      <c r="Z1013" s="361"/>
    </row>
    <row r="1014" ht="22.5" customHeight="1" outlineLevel="1">
      <c r="A1014" s="412"/>
      <c r="B1014" s="415"/>
      <c r="C1014" s="394"/>
      <c r="D1014" s="412"/>
      <c r="E1014" s="414"/>
      <c r="F1014" s="414"/>
      <c r="G1014" s="414"/>
      <c r="H1014" s="414"/>
      <c r="I1014" s="397"/>
      <c r="J1014" s="392"/>
      <c r="K1014" s="361"/>
      <c r="L1014" s="361"/>
      <c r="M1014" s="361"/>
      <c r="N1014" s="361"/>
      <c r="O1014" s="361"/>
      <c r="P1014" s="361"/>
      <c r="Q1014" s="361"/>
      <c r="R1014" s="361"/>
      <c r="S1014" s="361"/>
      <c r="T1014" s="361"/>
      <c r="U1014" s="361"/>
      <c r="V1014" s="361"/>
      <c r="W1014" s="361"/>
      <c r="X1014" s="361"/>
      <c r="Y1014" s="361"/>
      <c r="Z1014" s="361"/>
    </row>
    <row r="1015" ht="22.5" customHeight="1" outlineLevel="1">
      <c r="A1015" s="412"/>
      <c r="B1015" s="415"/>
      <c r="C1015" s="394"/>
      <c r="D1015" s="412"/>
      <c r="E1015" s="414"/>
      <c r="F1015" s="414"/>
      <c r="G1015" s="414"/>
      <c r="H1015" s="414"/>
      <c r="I1015" s="397"/>
      <c r="J1015" s="392"/>
      <c r="K1015" s="361"/>
      <c r="L1015" s="361"/>
      <c r="M1015" s="361"/>
      <c r="N1015" s="361"/>
      <c r="O1015" s="361"/>
      <c r="P1015" s="361"/>
      <c r="Q1015" s="361"/>
      <c r="R1015" s="361"/>
      <c r="S1015" s="361"/>
      <c r="T1015" s="361"/>
      <c r="U1015" s="361"/>
      <c r="V1015" s="361"/>
      <c r="W1015" s="361"/>
      <c r="X1015" s="361"/>
      <c r="Y1015" s="361"/>
      <c r="Z1015" s="361"/>
    </row>
    <row r="1016" ht="22.5" customHeight="1" outlineLevel="1">
      <c r="A1016" s="412"/>
      <c r="B1016" s="415"/>
      <c r="C1016" s="394"/>
      <c r="D1016" s="412"/>
      <c r="E1016" s="414"/>
      <c r="F1016" s="414"/>
      <c r="G1016" s="414"/>
      <c r="H1016" s="414"/>
      <c r="I1016" s="397"/>
      <c r="J1016" s="392"/>
      <c r="K1016" s="361"/>
      <c r="L1016" s="361"/>
      <c r="M1016" s="361"/>
      <c r="N1016" s="361"/>
      <c r="O1016" s="361"/>
      <c r="P1016" s="361"/>
      <c r="Q1016" s="361"/>
      <c r="R1016" s="361"/>
      <c r="S1016" s="361"/>
      <c r="T1016" s="361"/>
      <c r="U1016" s="361"/>
      <c r="V1016" s="361"/>
      <c r="W1016" s="361"/>
      <c r="X1016" s="361"/>
      <c r="Y1016" s="361"/>
      <c r="Z1016" s="361"/>
    </row>
    <row r="1017" ht="22.5" customHeight="1" outlineLevel="1">
      <c r="A1017" s="412"/>
      <c r="B1017" s="415"/>
      <c r="C1017" s="394"/>
      <c r="D1017" s="412"/>
      <c r="E1017" s="414"/>
      <c r="F1017" s="414"/>
      <c r="G1017" s="414"/>
      <c r="H1017" s="414"/>
      <c r="I1017" s="397"/>
      <c r="J1017" s="392"/>
      <c r="K1017" s="361"/>
      <c r="L1017" s="361"/>
      <c r="M1017" s="361"/>
      <c r="N1017" s="361"/>
      <c r="O1017" s="361"/>
      <c r="P1017" s="361"/>
      <c r="Q1017" s="361"/>
      <c r="R1017" s="361"/>
      <c r="S1017" s="361"/>
      <c r="T1017" s="361"/>
      <c r="U1017" s="361"/>
      <c r="V1017" s="361"/>
      <c r="W1017" s="361"/>
      <c r="X1017" s="361"/>
      <c r="Y1017" s="361"/>
      <c r="Z1017" s="361"/>
    </row>
    <row r="1018" ht="22.5" customHeight="1" outlineLevel="1">
      <c r="A1018" s="412"/>
      <c r="B1018" s="415"/>
      <c r="C1018" s="394"/>
      <c r="D1018" s="412"/>
      <c r="E1018" s="414"/>
      <c r="F1018" s="414"/>
      <c r="G1018" s="414"/>
      <c r="H1018" s="414"/>
      <c r="I1018" s="397"/>
      <c r="J1018" s="392"/>
      <c r="K1018" s="361"/>
      <c r="L1018" s="361"/>
      <c r="M1018" s="361"/>
      <c r="N1018" s="361"/>
      <c r="O1018" s="361"/>
      <c r="P1018" s="361"/>
      <c r="Q1018" s="361"/>
      <c r="R1018" s="361"/>
      <c r="S1018" s="361"/>
      <c r="T1018" s="361"/>
      <c r="U1018" s="361"/>
      <c r="V1018" s="361"/>
      <c r="W1018" s="361"/>
      <c r="X1018" s="361"/>
      <c r="Y1018" s="361"/>
      <c r="Z1018" s="361"/>
    </row>
    <row r="1019" ht="22.5" customHeight="1" outlineLevel="1">
      <c r="A1019" s="412"/>
      <c r="B1019" s="415"/>
      <c r="C1019" s="394"/>
      <c r="D1019" s="412"/>
      <c r="E1019" s="414"/>
      <c r="F1019" s="414"/>
      <c r="G1019" s="414"/>
      <c r="H1019" s="414"/>
      <c r="I1019" s="397"/>
      <c r="J1019" s="392"/>
      <c r="K1019" s="361"/>
      <c r="L1019" s="361"/>
      <c r="M1019" s="361"/>
      <c r="N1019" s="361"/>
      <c r="O1019" s="361"/>
      <c r="P1019" s="361"/>
      <c r="Q1019" s="361"/>
      <c r="R1019" s="361"/>
      <c r="S1019" s="361"/>
      <c r="T1019" s="361"/>
      <c r="U1019" s="361"/>
      <c r="V1019" s="361"/>
      <c r="W1019" s="361"/>
      <c r="X1019" s="361"/>
      <c r="Y1019" s="361"/>
      <c r="Z1019" s="361"/>
    </row>
    <row r="1020" ht="22.5" customHeight="1" outlineLevel="1">
      <c r="A1020" s="412"/>
      <c r="B1020" s="415"/>
      <c r="C1020" s="394"/>
      <c r="D1020" s="412"/>
      <c r="E1020" s="414"/>
      <c r="F1020" s="414"/>
      <c r="G1020" s="414"/>
      <c r="H1020" s="414"/>
      <c r="I1020" s="397"/>
      <c r="J1020" s="392"/>
      <c r="K1020" s="361"/>
      <c r="L1020" s="361"/>
      <c r="M1020" s="361"/>
      <c r="N1020" s="361"/>
      <c r="O1020" s="361"/>
      <c r="P1020" s="361"/>
      <c r="Q1020" s="361"/>
      <c r="R1020" s="361"/>
      <c r="S1020" s="361"/>
      <c r="T1020" s="361"/>
      <c r="U1020" s="361"/>
      <c r="V1020" s="361"/>
      <c r="W1020" s="361"/>
      <c r="X1020" s="361"/>
      <c r="Y1020" s="361"/>
      <c r="Z1020" s="361"/>
    </row>
    <row r="1021" ht="22.5" customHeight="1" outlineLevel="1">
      <c r="A1021" s="412"/>
      <c r="B1021" s="415"/>
      <c r="C1021" s="394"/>
      <c r="D1021" s="412"/>
      <c r="E1021" s="414"/>
      <c r="F1021" s="414"/>
      <c r="G1021" s="414"/>
      <c r="H1021" s="414"/>
      <c r="I1021" s="397"/>
      <c r="J1021" s="392"/>
      <c r="K1021" s="361"/>
      <c r="L1021" s="361"/>
      <c r="M1021" s="361"/>
      <c r="N1021" s="361"/>
      <c r="O1021" s="361"/>
      <c r="P1021" s="361"/>
      <c r="Q1021" s="361"/>
      <c r="R1021" s="361"/>
      <c r="S1021" s="361"/>
      <c r="T1021" s="361"/>
      <c r="U1021" s="361"/>
      <c r="V1021" s="361"/>
      <c r="W1021" s="361"/>
      <c r="X1021" s="361"/>
      <c r="Y1021" s="361"/>
      <c r="Z1021" s="361"/>
    </row>
    <row r="1022" ht="22.5" customHeight="1" outlineLevel="1">
      <c r="A1022" s="412"/>
      <c r="B1022" s="415"/>
      <c r="C1022" s="394"/>
      <c r="D1022" s="412"/>
      <c r="E1022" s="414"/>
      <c r="F1022" s="414"/>
      <c r="G1022" s="414"/>
      <c r="H1022" s="414"/>
      <c r="I1022" s="397"/>
      <c r="J1022" s="392"/>
      <c r="K1022" s="361"/>
      <c r="L1022" s="361"/>
      <c r="M1022" s="361"/>
      <c r="N1022" s="361"/>
      <c r="O1022" s="361"/>
      <c r="P1022" s="361"/>
      <c r="Q1022" s="361"/>
      <c r="R1022" s="361"/>
      <c r="S1022" s="361"/>
      <c r="T1022" s="361"/>
      <c r="U1022" s="361"/>
      <c r="V1022" s="361"/>
      <c r="W1022" s="361"/>
      <c r="X1022" s="361"/>
      <c r="Y1022" s="361"/>
      <c r="Z1022" s="361"/>
    </row>
    <row r="1023" ht="22.5" customHeight="1" outlineLevel="1">
      <c r="A1023" s="412"/>
      <c r="B1023" s="415"/>
      <c r="C1023" s="394"/>
      <c r="D1023" s="412"/>
      <c r="E1023" s="414"/>
      <c r="F1023" s="414"/>
      <c r="G1023" s="414"/>
      <c r="H1023" s="414"/>
      <c r="I1023" s="397"/>
      <c r="J1023" s="392"/>
      <c r="K1023" s="361"/>
      <c r="L1023" s="361"/>
      <c r="M1023" s="361"/>
      <c r="N1023" s="361"/>
      <c r="O1023" s="361"/>
      <c r="P1023" s="361"/>
      <c r="Q1023" s="361"/>
      <c r="R1023" s="361"/>
      <c r="S1023" s="361"/>
      <c r="T1023" s="361"/>
      <c r="U1023" s="361"/>
      <c r="V1023" s="361"/>
      <c r="W1023" s="361"/>
      <c r="X1023" s="361"/>
      <c r="Y1023" s="361"/>
      <c r="Z1023" s="361"/>
    </row>
    <row r="1024" ht="22.5" customHeight="1" outlineLevel="1">
      <c r="A1024" s="412"/>
      <c r="B1024" s="415"/>
      <c r="C1024" s="394"/>
      <c r="D1024" s="412"/>
      <c r="E1024" s="414"/>
      <c r="F1024" s="414"/>
      <c r="G1024" s="414"/>
      <c r="H1024" s="414"/>
      <c r="I1024" s="397"/>
      <c r="J1024" s="392"/>
      <c r="K1024" s="361"/>
      <c r="L1024" s="361"/>
      <c r="M1024" s="361"/>
      <c r="N1024" s="361"/>
      <c r="O1024" s="361"/>
      <c r="P1024" s="361"/>
      <c r="Q1024" s="361"/>
      <c r="R1024" s="361"/>
      <c r="S1024" s="361"/>
      <c r="T1024" s="361"/>
      <c r="U1024" s="361"/>
      <c r="V1024" s="361"/>
      <c r="W1024" s="361"/>
      <c r="X1024" s="361"/>
      <c r="Y1024" s="361"/>
      <c r="Z1024" s="361"/>
    </row>
    <row r="1025" ht="22.5" customHeight="1" outlineLevel="1">
      <c r="A1025" s="412"/>
      <c r="B1025" s="415"/>
      <c r="C1025" s="394"/>
      <c r="D1025" s="412"/>
      <c r="E1025" s="414"/>
      <c r="F1025" s="414"/>
      <c r="G1025" s="414"/>
      <c r="H1025" s="414"/>
      <c r="I1025" s="397"/>
      <c r="J1025" s="392"/>
      <c r="K1025" s="361"/>
      <c r="L1025" s="361"/>
      <c r="M1025" s="361"/>
      <c r="N1025" s="361"/>
      <c r="O1025" s="361"/>
      <c r="P1025" s="361"/>
      <c r="Q1025" s="361"/>
      <c r="R1025" s="361"/>
      <c r="S1025" s="361"/>
      <c r="T1025" s="361"/>
      <c r="U1025" s="361"/>
      <c r="V1025" s="361"/>
      <c r="W1025" s="361"/>
      <c r="X1025" s="361"/>
      <c r="Y1025" s="361"/>
      <c r="Z1025" s="361"/>
    </row>
    <row r="1026" ht="22.5" customHeight="1" outlineLevel="1">
      <c r="A1026" s="412"/>
      <c r="B1026" s="415"/>
      <c r="C1026" s="394"/>
      <c r="D1026" s="412"/>
      <c r="E1026" s="414"/>
      <c r="F1026" s="414"/>
      <c r="G1026" s="414"/>
      <c r="H1026" s="414"/>
      <c r="I1026" s="397"/>
      <c r="J1026" s="392"/>
      <c r="K1026" s="361"/>
      <c r="L1026" s="361"/>
      <c r="M1026" s="361"/>
      <c r="N1026" s="361"/>
      <c r="O1026" s="361"/>
      <c r="P1026" s="361"/>
      <c r="Q1026" s="361"/>
      <c r="R1026" s="361"/>
      <c r="S1026" s="361"/>
      <c r="T1026" s="361"/>
      <c r="U1026" s="361"/>
      <c r="V1026" s="361"/>
      <c r="W1026" s="361"/>
      <c r="X1026" s="361"/>
      <c r="Y1026" s="361"/>
      <c r="Z1026" s="361"/>
    </row>
    <row r="1027" ht="22.5" customHeight="1" outlineLevel="1">
      <c r="A1027" s="412"/>
      <c r="B1027" s="415"/>
      <c r="C1027" s="394"/>
      <c r="D1027" s="412"/>
      <c r="E1027" s="414"/>
      <c r="F1027" s="414"/>
      <c r="G1027" s="414"/>
      <c r="H1027" s="414"/>
      <c r="I1027" s="397"/>
      <c r="J1027" s="392"/>
      <c r="K1027" s="361"/>
      <c r="L1027" s="361"/>
      <c r="M1027" s="361"/>
      <c r="N1027" s="361"/>
      <c r="O1027" s="361"/>
      <c r="P1027" s="361"/>
      <c r="Q1027" s="361"/>
      <c r="R1027" s="361"/>
      <c r="S1027" s="361"/>
      <c r="T1027" s="361"/>
      <c r="U1027" s="361"/>
      <c r="V1027" s="361"/>
      <c r="W1027" s="361"/>
      <c r="X1027" s="361"/>
      <c r="Y1027" s="361"/>
      <c r="Z1027" s="361"/>
    </row>
    <row r="1028" ht="22.5" customHeight="1" outlineLevel="1">
      <c r="A1028" s="412"/>
      <c r="B1028" s="415"/>
      <c r="C1028" s="394"/>
      <c r="D1028" s="412"/>
      <c r="E1028" s="414"/>
      <c r="F1028" s="414"/>
      <c r="G1028" s="414"/>
      <c r="H1028" s="414"/>
      <c r="I1028" s="397"/>
      <c r="J1028" s="392"/>
      <c r="K1028" s="361"/>
      <c r="L1028" s="361"/>
      <c r="M1028" s="361"/>
      <c r="N1028" s="361"/>
      <c r="O1028" s="361"/>
      <c r="P1028" s="361"/>
      <c r="Q1028" s="361"/>
      <c r="R1028" s="361"/>
      <c r="S1028" s="361"/>
      <c r="T1028" s="361"/>
      <c r="U1028" s="361"/>
      <c r="V1028" s="361"/>
      <c r="W1028" s="361"/>
      <c r="X1028" s="361"/>
      <c r="Y1028" s="361"/>
      <c r="Z1028" s="361"/>
    </row>
    <row r="1029" ht="22.5" customHeight="1" outlineLevel="1">
      <c r="A1029" s="412"/>
      <c r="B1029" s="415"/>
      <c r="C1029" s="394"/>
      <c r="D1029" s="412"/>
      <c r="E1029" s="414"/>
      <c r="F1029" s="414"/>
      <c r="G1029" s="414"/>
      <c r="H1029" s="414"/>
      <c r="I1029" s="397"/>
      <c r="J1029" s="392"/>
      <c r="K1029" s="361"/>
      <c r="L1029" s="361"/>
      <c r="M1029" s="361"/>
      <c r="N1029" s="361"/>
      <c r="O1029" s="361"/>
      <c r="P1029" s="361"/>
      <c r="Q1029" s="361"/>
      <c r="R1029" s="361"/>
      <c r="S1029" s="361"/>
      <c r="T1029" s="361"/>
      <c r="U1029" s="361"/>
      <c r="V1029" s="361"/>
      <c r="W1029" s="361"/>
      <c r="X1029" s="361"/>
      <c r="Y1029" s="361"/>
      <c r="Z1029" s="361"/>
    </row>
    <row r="1030" ht="22.5" customHeight="1" outlineLevel="1">
      <c r="A1030" s="412"/>
      <c r="B1030" s="415"/>
      <c r="C1030" s="394"/>
      <c r="D1030" s="412"/>
      <c r="E1030" s="414"/>
      <c r="F1030" s="414"/>
      <c r="G1030" s="414"/>
      <c r="H1030" s="414"/>
      <c r="I1030" s="397"/>
      <c r="J1030" s="392"/>
      <c r="K1030" s="361"/>
      <c r="L1030" s="361"/>
      <c r="M1030" s="361"/>
      <c r="N1030" s="361"/>
      <c r="O1030" s="361"/>
      <c r="P1030" s="361"/>
      <c r="Q1030" s="361"/>
      <c r="R1030" s="361"/>
      <c r="S1030" s="361"/>
      <c r="T1030" s="361"/>
      <c r="U1030" s="361"/>
      <c r="V1030" s="361"/>
      <c r="W1030" s="361"/>
      <c r="X1030" s="361"/>
      <c r="Y1030" s="361"/>
      <c r="Z1030" s="361"/>
    </row>
    <row r="1031" ht="22.5" customHeight="1" outlineLevel="1">
      <c r="A1031" s="412"/>
      <c r="B1031" s="415"/>
      <c r="C1031" s="394"/>
      <c r="D1031" s="412"/>
      <c r="E1031" s="414"/>
      <c r="F1031" s="414"/>
      <c r="G1031" s="414"/>
      <c r="H1031" s="414"/>
      <c r="I1031" s="397"/>
      <c r="J1031" s="392"/>
      <c r="K1031" s="361"/>
      <c r="L1031" s="361"/>
      <c r="M1031" s="361"/>
      <c r="N1031" s="361"/>
      <c r="O1031" s="361"/>
      <c r="P1031" s="361"/>
      <c r="Q1031" s="361"/>
      <c r="R1031" s="361"/>
      <c r="S1031" s="361"/>
      <c r="T1031" s="361"/>
      <c r="U1031" s="361"/>
      <c r="V1031" s="361"/>
      <c r="W1031" s="361"/>
      <c r="X1031" s="361"/>
      <c r="Y1031" s="361"/>
      <c r="Z1031" s="361"/>
    </row>
    <row r="1032" ht="22.5" customHeight="1" outlineLevel="1">
      <c r="A1032" s="412"/>
      <c r="B1032" s="415"/>
      <c r="C1032" s="394"/>
      <c r="D1032" s="412"/>
      <c r="E1032" s="414"/>
      <c r="F1032" s="414"/>
      <c r="G1032" s="414"/>
      <c r="H1032" s="414"/>
      <c r="I1032" s="397"/>
      <c r="J1032" s="392"/>
      <c r="K1032" s="361"/>
      <c r="L1032" s="361"/>
      <c r="M1032" s="361"/>
      <c r="N1032" s="361"/>
      <c r="O1032" s="361"/>
      <c r="P1032" s="361"/>
      <c r="Q1032" s="361"/>
      <c r="R1032" s="361"/>
      <c r="S1032" s="361"/>
      <c r="T1032" s="361"/>
      <c r="U1032" s="361"/>
      <c r="V1032" s="361"/>
      <c r="W1032" s="361"/>
      <c r="X1032" s="361"/>
      <c r="Y1032" s="361"/>
      <c r="Z1032" s="361"/>
    </row>
    <row r="1033" ht="22.5" customHeight="1" outlineLevel="1">
      <c r="A1033" s="412"/>
      <c r="B1033" s="415"/>
      <c r="C1033" s="394"/>
      <c r="D1033" s="412"/>
      <c r="E1033" s="414"/>
      <c r="F1033" s="414"/>
      <c r="G1033" s="414"/>
      <c r="H1033" s="414"/>
      <c r="I1033" s="397"/>
      <c r="J1033" s="392"/>
      <c r="K1033" s="361"/>
      <c r="L1033" s="361"/>
      <c r="M1033" s="361"/>
      <c r="N1033" s="361"/>
      <c r="O1033" s="361"/>
      <c r="P1033" s="361"/>
      <c r="Q1033" s="361"/>
      <c r="R1033" s="361"/>
      <c r="S1033" s="361"/>
      <c r="T1033" s="361"/>
      <c r="U1033" s="361"/>
      <c r="V1033" s="361"/>
      <c r="W1033" s="361"/>
      <c r="X1033" s="361"/>
      <c r="Y1033" s="361"/>
      <c r="Z1033" s="361"/>
    </row>
    <row r="1034" ht="22.5" customHeight="1" outlineLevel="1">
      <c r="A1034" s="412"/>
      <c r="B1034" s="415"/>
      <c r="C1034" s="394"/>
      <c r="D1034" s="412"/>
      <c r="E1034" s="414"/>
      <c r="F1034" s="414"/>
      <c r="G1034" s="414"/>
      <c r="H1034" s="414"/>
      <c r="I1034" s="397"/>
      <c r="J1034" s="392"/>
      <c r="K1034" s="361"/>
      <c r="L1034" s="361"/>
      <c r="M1034" s="361"/>
      <c r="N1034" s="361"/>
      <c r="O1034" s="361"/>
      <c r="P1034" s="361"/>
      <c r="Q1034" s="361"/>
      <c r="R1034" s="361"/>
      <c r="S1034" s="361"/>
      <c r="T1034" s="361"/>
      <c r="U1034" s="361"/>
      <c r="V1034" s="361"/>
      <c r="W1034" s="361"/>
      <c r="X1034" s="361"/>
      <c r="Y1034" s="361"/>
      <c r="Z1034" s="361"/>
    </row>
    <row r="1035" ht="22.5" customHeight="1" outlineLevel="1">
      <c r="A1035" s="412"/>
      <c r="B1035" s="415"/>
      <c r="C1035" s="394"/>
      <c r="D1035" s="412"/>
      <c r="E1035" s="414"/>
      <c r="F1035" s="414"/>
      <c r="G1035" s="414"/>
      <c r="H1035" s="414"/>
      <c r="I1035" s="397"/>
      <c r="J1035" s="392"/>
      <c r="K1035" s="361"/>
      <c r="L1035" s="361"/>
      <c r="M1035" s="361"/>
      <c r="N1035" s="361"/>
      <c r="O1035" s="361"/>
      <c r="P1035" s="361"/>
      <c r="Q1035" s="361"/>
      <c r="R1035" s="361"/>
      <c r="S1035" s="361"/>
      <c r="T1035" s="361"/>
      <c r="U1035" s="361"/>
      <c r="V1035" s="361"/>
      <c r="W1035" s="361"/>
      <c r="X1035" s="361"/>
      <c r="Y1035" s="361"/>
      <c r="Z1035" s="361"/>
    </row>
    <row r="1036" ht="22.5" customHeight="1" outlineLevel="1">
      <c r="A1036" s="412"/>
      <c r="B1036" s="415"/>
      <c r="C1036" s="394"/>
      <c r="D1036" s="412"/>
      <c r="E1036" s="414"/>
      <c r="F1036" s="414"/>
      <c r="G1036" s="414"/>
      <c r="H1036" s="414"/>
      <c r="I1036" s="397"/>
      <c r="J1036" s="392"/>
      <c r="K1036" s="361"/>
      <c r="L1036" s="361"/>
      <c r="M1036" s="361"/>
      <c r="N1036" s="361"/>
      <c r="O1036" s="361"/>
      <c r="P1036" s="361"/>
      <c r="Q1036" s="361"/>
      <c r="R1036" s="361"/>
      <c r="S1036" s="361"/>
      <c r="T1036" s="361"/>
      <c r="U1036" s="361"/>
      <c r="V1036" s="361"/>
      <c r="W1036" s="361"/>
      <c r="X1036" s="361"/>
      <c r="Y1036" s="361"/>
      <c r="Z1036" s="361"/>
    </row>
    <row r="1037" ht="22.5" customHeight="1" outlineLevel="1">
      <c r="A1037" s="412"/>
      <c r="B1037" s="415"/>
      <c r="C1037" s="394"/>
      <c r="D1037" s="412"/>
      <c r="E1037" s="414"/>
      <c r="F1037" s="414"/>
      <c r="G1037" s="414"/>
      <c r="H1037" s="414"/>
      <c r="I1037" s="397"/>
      <c r="J1037" s="392"/>
      <c r="K1037" s="361"/>
      <c r="L1037" s="361"/>
      <c r="M1037" s="361"/>
      <c r="N1037" s="361"/>
      <c r="O1037" s="361"/>
      <c r="P1037" s="361"/>
      <c r="Q1037" s="361"/>
      <c r="R1037" s="361"/>
      <c r="S1037" s="361"/>
      <c r="T1037" s="361"/>
      <c r="U1037" s="361"/>
      <c r="V1037" s="361"/>
      <c r="W1037" s="361"/>
      <c r="X1037" s="361"/>
      <c r="Y1037" s="361"/>
      <c r="Z1037" s="361"/>
    </row>
    <row r="1038" ht="22.5" customHeight="1" outlineLevel="1">
      <c r="A1038" s="412"/>
      <c r="B1038" s="415"/>
      <c r="C1038" s="394"/>
      <c r="D1038" s="412"/>
      <c r="E1038" s="414"/>
      <c r="F1038" s="414"/>
      <c r="G1038" s="414"/>
      <c r="H1038" s="414"/>
      <c r="I1038" s="397"/>
      <c r="J1038" s="392"/>
      <c r="K1038" s="361"/>
      <c r="L1038" s="361"/>
      <c r="M1038" s="361"/>
      <c r="N1038" s="361"/>
      <c r="O1038" s="361"/>
      <c r="P1038" s="361"/>
      <c r="Q1038" s="361"/>
      <c r="R1038" s="361"/>
      <c r="S1038" s="361"/>
      <c r="T1038" s="361"/>
      <c r="U1038" s="361"/>
      <c r="V1038" s="361"/>
      <c r="W1038" s="361"/>
      <c r="X1038" s="361"/>
      <c r="Y1038" s="361"/>
      <c r="Z1038" s="361"/>
    </row>
    <row r="1039" ht="22.5" customHeight="1" outlineLevel="1">
      <c r="A1039" s="412"/>
      <c r="B1039" s="415"/>
      <c r="C1039" s="394"/>
      <c r="D1039" s="412"/>
      <c r="E1039" s="414"/>
      <c r="F1039" s="414"/>
      <c r="G1039" s="414"/>
      <c r="H1039" s="414"/>
      <c r="I1039" s="397"/>
      <c r="J1039" s="392"/>
      <c r="K1039" s="361"/>
      <c r="L1039" s="361"/>
      <c r="M1039" s="361"/>
      <c r="N1039" s="361"/>
      <c r="O1039" s="361"/>
      <c r="P1039" s="361"/>
      <c r="Q1039" s="361"/>
      <c r="R1039" s="361"/>
      <c r="S1039" s="361"/>
      <c r="T1039" s="361"/>
      <c r="U1039" s="361"/>
      <c r="V1039" s="361"/>
      <c r="W1039" s="361"/>
      <c r="X1039" s="361"/>
      <c r="Y1039" s="361"/>
      <c r="Z1039" s="361"/>
    </row>
    <row r="1040" ht="22.5" customHeight="1" outlineLevel="1">
      <c r="A1040" s="412"/>
      <c r="B1040" s="415"/>
      <c r="C1040" s="394"/>
      <c r="D1040" s="412"/>
      <c r="E1040" s="414"/>
      <c r="F1040" s="414"/>
      <c r="G1040" s="414"/>
      <c r="H1040" s="414"/>
      <c r="I1040" s="397"/>
      <c r="J1040" s="392"/>
      <c r="K1040" s="361"/>
      <c r="L1040" s="361"/>
      <c r="M1040" s="361"/>
      <c r="N1040" s="361"/>
      <c r="O1040" s="361"/>
      <c r="P1040" s="361"/>
      <c r="Q1040" s="361"/>
      <c r="R1040" s="361"/>
      <c r="S1040" s="361"/>
      <c r="T1040" s="361"/>
      <c r="U1040" s="361"/>
      <c r="V1040" s="361"/>
      <c r="W1040" s="361"/>
      <c r="X1040" s="361"/>
      <c r="Y1040" s="361"/>
      <c r="Z1040" s="361"/>
    </row>
    <row r="1041" ht="22.5" customHeight="1" outlineLevel="1">
      <c r="A1041" s="412"/>
      <c r="B1041" s="415"/>
      <c r="C1041" s="394"/>
      <c r="D1041" s="412"/>
      <c r="E1041" s="414"/>
      <c r="F1041" s="414"/>
      <c r="G1041" s="414"/>
      <c r="H1041" s="414"/>
      <c r="I1041" s="397"/>
      <c r="J1041" s="392"/>
      <c r="K1041" s="361"/>
      <c r="L1041" s="361"/>
      <c r="M1041" s="361"/>
      <c r="N1041" s="361"/>
      <c r="O1041" s="361"/>
      <c r="P1041" s="361"/>
      <c r="Q1041" s="361"/>
      <c r="R1041" s="361"/>
      <c r="S1041" s="361"/>
      <c r="T1041" s="361"/>
      <c r="U1041" s="361"/>
      <c r="V1041" s="361"/>
      <c r="W1041" s="361"/>
      <c r="X1041" s="361"/>
      <c r="Y1041" s="361"/>
      <c r="Z1041" s="361"/>
    </row>
    <row r="1042" ht="22.5" customHeight="1" outlineLevel="1">
      <c r="A1042" s="412"/>
      <c r="B1042" s="415"/>
      <c r="C1042" s="394"/>
      <c r="D1042" s="412"/>
      <c r="E1042" s="414"/>
      <c r="F1042" s="414"/>
      <c r="G1042" s="414"/>
      <c r="H1042" s="414"/>
      <c r="I1042" s="397"/>
      <c r="J1042" s="392"/>
      <c r="K1042" s="361"/>
      <c r="L1042" s="361"/>
      <c r="M1042" s="361"/>
      <c r="N1042" s="361"/>
      <c r="O1042" s="361"/>
      <c r="P1042" s="361"/>
      <c r="Q1042" s="361"/>
      <c r="R1042" s="361"/>
      <c r="S1042" s="361"/>
      <c r="T1042" s="361"/>
      <c r="U1042" s="361"/>
      <c r="V1042" s="361"/>
      <c r="W1042" s="361"/>
      <c r="X1042" s="361"/>
      <c r="Y1042" s="361"/>
      <c r="Z1042" s="361"/>
    </row>
    <row r="1043" ht="22.5" customHeight="1" outlineLevel="1">
      <c r="A1043" s="412"/>
      <c r="B1043" s="415"/>
      <c r="C1043" s="394"/>
      <c r="D1043" s="412"/>
      <c r="E1043" s="414"/>
      <c r="F1043" s="414"/>
      <c r="G1043" s="414"/>
      <c r="H1043" s="414"/>
      <c r="I1043" s="397"/>
      <c r="J1043" s="392"/>
      <c r="K1043" s="361"/>
      <c r="L1043" s="361"/>
      <c r="M1043" s="361"/>
      <c r="N1043" s="361"/>
      <c r="O1043" s="361"/>
      <c r="P1043" s="361"/>
      <c r="Q1043" s="361"/>
      <c r="R1043" s="361"/>
      <c r="S1043" s="361"/>
      <c r="T1043" s="361"/>
      <c r="U1043" s="361"/>
      <c r="V1043" s="361"/>
      <c r="W1043" s="361"/>
      <c r="X1043" s="361"/>
      <c r="Y1043" s="361"/>
      <c r="Z1043" s="361"/>
    </row>
    <row r="1044" ht="22.5" customHeight="1" outlineLevel="1">
      <c r="A1044" s="412"/>
      <c r="B1044" s="415"/>
      <c r="C1044" s="394"/>
      <c r="D1044" s="412"/>
      <c r="E1044" s="414"/>
      <c r="F1044" s="414"/>
      <c r="G1044" s="414"/>
      <c r="H1044" s="414"/>
      <c r="I1044" s="397"/>
      <c r="J1044" s="392"/>
      <c r="K1044" s="361"/>
      <c r="L1044" s="361"/>
      <c r="M1044" s="361"/>
      <c r="N1044" s="361"/>
      <c r="O1044" s="361"/>
      <c r="P1044" s="361"/>
      <c r="Q1044" s="361"/>
      <c r="R1044" s="361"/>
      <c r="S1044" s="361"/>
      <c r="T1044" s="361"/>
      <c r="U1044" s="361"/>
      <c r="V1044" s="361"/>
      <c r="W1044" s="361"/>
      <c r="X1044" s="361"/>
      <c r="Y1044" s="361"/>
      <c r="Z1044" s="361"/>
    </row>
    <row r="1045" ht="22.5" customHeight="1" outlineLevel="1">
      <c r="A1045" s="412"/>
      <c r="B1045" s="415"/>
      <c r="C1045" s="394"/>
      <c r="D1045" s="412"/>
      <c r="E1045" s="414"/>
      <c r="F1045" s="414"/>
      <c r="G1045" s="414"/>
      <c r="H1045" s="414"/>
      <c r="I1045" s="397"/>
      <c r="J1045" s="392"/>
      <c r="K1045" s="361"/>
      <c r="L1045" s="361"/>
      <c r="M1045" s="361"/>
      <c r="N1045" s="361"/>
      <c r="O1045" s="361"/>
      <c r="P1045" s="361"/>
      <c r="Q1045" s="361"/>
      <c r="R1045" s="361"/>
      <c r="S1045" s="361"/>
      <c r="T1045" s="361"/>
      <c r="U1045" s="361"/>
      <c r="V1045" s="361"/>
      <c r="W1045" s="361"/>
      <c r="X1045" s="361"/>
      <c r="Y1045" s="361"/>
      <c r="Z1045" s="361"/>
    </row>
    <row r="1046" ht="22.5" customHeight="1" outlineLevel="1">
      <c r="A1046" s="412"/>
      <c r="B1046" s="415"/>
      <c r="C1046" s="394"/>
      <c r="D1046" s="412"/>
      <c r="E1046" s="414"/>
      <c r="F1046" s="414"/>
      <c r="G1046" s="414"/>
      <c r="H1046" s="414"/>
      <c r="I1046" s="397"/>
      <c r="J1046" s="392"/>
      <c r="K1046" s="361"/>
      <c r="L1046" s="361"/>
      <c r="M1046" s="361"/>
      <c r="N1046" s="361"/>
      <c r="O1046" s="361"/>
      <c r="P1046" s="361"/>
      <c r="Q1046" s="361"/>
      <c r="R1046" s="361"/>
      <c r="S1046" s="361"/>
      <c r="T1046" s="361"/>
      <c r="U1046" s="361"/>
      <c r="V1046" s="361"/>
      <c r="W1046" s="361"/>
      <c r="X1046" s="361"/>
      <c r="Y1046" s="361"/>
      <c r="Z1046" s="361"/>
    </row>
    <row r="1047" ht="22.5" customHeight="1" outlineLevel="1">
      <c r="A1047" s="412"/>
      <c r="B1047" s="415"/>
      <c r="C1047" s="394"/>
      <c r="D1047" s="412"/>
      <c r="E1047" s="414"/>
      <c r="F1047" s="414"/>
      <c r="G1047" s="414"/>
      <c r="H1047" s="414"/>
      <c r="I1047" s="397"/>
      <c r="J1047" s="392"/>
      <c r="K1047" s="361"/>
      <c r="L1047" s="361"/>
      <c r="M1047" s="361"/>
      <c r="N1047" s="361"/>
      <c r="O1047" s="361"/>
      <c r="P1047" s="361"/>
      <c r="Q1047" s="361"/>
      <c r="R1047" s="361"/>
      <c r="S1047" s="361"/>
      <c r="T1047" s="361"/>
      <c r="U1047" s="361"/>
      <c r="V1047" s="361"/>
      <c r="W1047" s="361"/>
      <c r="X1047" s="361"/>
      <c r="Y1047" s="361"/>
      <c r="Z1047" s="361"/>
    </row>
    <row r="1048" ht="22.5" customHeight="1" outlineLevel="1">
      <c r="A1048" s="412"/>
      <c r="B1048" s="415"/>
      <c r="C1048" s="394"/>
      <c r="D1048" s="412"/>
      <c r="E1048" s="414"/>
      <c r="F1048" s="414"/>
      <c r="G1048" s="414"/>
      <c r="H1048" s="414"/>
      <c r="I1048" s="397"/>
      <c r="J1048" s="392"/>
      <c r="K1048" s="361"/>
      <c r="L1048" s="361"/>
      <c r="M1048" s="361"/>
      <c r="N1048" s="361"/>
      <c r="O1048" s="361"/>
      <c r="P1048" s="361"/>
      <c r="Q1048" s="361"/>
      <c r="R1048" s="361"/>
      <c r="S1048" s="361"/>
      <c r="T1048" s="361"/>
      <c r="U1048" s="361"/>
      <c r="V1048" s="361"/>
      <c r="W1048" s="361"/>
      <c r="X1048" s="361"/>
      <c r="Y1048" s="361"/>
      <c r="Z1048" s="361"/>
    </row>
    <row r="1049" ht="22.5" customHeight="1" outlineLevel="1">
      <c r="A1049" s="412"/>
      <c r="B1049" s="415"/>
      <c r="C1049" s="394"/>
      <c r="D1049" s="412"/>
      <c r="E1049" s="414"/>
      <c r="F1049" s="414"/>
      <c r="G1049" s="414"/>
      <c r="H1049" s="414"/>
      <c r="I1049" s="397"/>
      <c r="J1049" s="392"/>
      <c r="K1049" s="361"/>
      <c r="L1049" s="361"/>
      <c r="M1049" s="361"/>
      <c r="N1049" s="361"/>
      <c r="O1049" s="361"/>
      <c r="P1049" s="361"/>
      <c r="Q1049" s="361"/>
      <c r="R1049" s="361"/>
      <c r="S1049" s="361"/>
      <c r="T1049" s="361"/>
      <c r="U1049" s="361"/>
      <c r="V1049" s="361"/>
      <c r="W1049" s="361"/>
      <c r="X1049" s="361"/>
      <c r="Y1049" s="361"/>
      <c r="Z1049" s="361"/>
    </row>
    <row r="1050" ht="22.5" customHeight="1" outlineLevel="1">
      <c r="A1050" s="412"/>
      <c r="B1050" s="415"/>
      <c r="C1050" s="394"/>
      <c r="D1050" s="412"/>
      <c r="E1050" s="414"/>
      <c r="F1050" s="414"/>
      <c r="G1050" s="414"/>
      <c r="H1050" s="414"/>
      <c r="I1050" s="397"/>
      <c r="J1050" s="392"/>
      <c r="K1050" s="361"/>
      <c r="L1050" s="361"/>
      <c r="M1050" s="361"/>
      <c r="N1050" s="361"/>
      <c r="O1050" s="361"/>
      <c r="P1050" s="361"/>
      <c r="Q1050" s="361"/>
      <c r="R1050" s="361"/>
      <c r="S1050" s="361"/>
      <c r="T1050" s="361"/>
      <c r="U1050" s="361"/>
      <c r="V1050" s="361"/>
      <c r="W1050" s="361"/>
      <c r="X1050" s="361"/>
      <c r="Y1050" s="361"/>
      <c r="Z1050" s="361"/>
    </row>
    <row r="1051" ht="22.5" customHeight="1" outlineLevel="1">
      <c r="A1051" s="412"/>
      <c r="B1051" s="415"/>
      <c r="C1051" s="394"/>
      <c r="D1051" s="412"/>
      <c r="E1051" s="414"/>
      <c r="F1051" s="414"/>
      <c r="G1051" s="414"/>
      <c r="H1051" s="414"/>
      <c r="I1051" s="397"/>
      <c r="J1051" s="392"/>
      <c r="K1051" s="361"/>
      <c r="L1051" s="361"/>
      <c r="M1051" s="361"/>
      <c r="N1051" s="361"/>
      <c r="O1051" s="361"/>
      <c r="P1051" s="361"/>
      <c r="Q1051" s="361"/>
      <c r="R1051" s="361"/>
      <c r="S1051" s="361"/>
      <c r="T1051" s="361"/>
      <c r="U1051" s="361"/>
      <c r="V1051" s="361"/>
      <c r="W1051" s="361"/>
      <c r="X1051" s="361"/>
      <c r="Y1051" s="361"/>
      <c r="Z1051" s="361"/>
    </row>
    <row r="1052" ht="22.5" customHeight="1" outlineLevel="1">
      <c r="A1052" s="412"/>
      <c r="B1052" s="415"/>
      <c r="C1052" s="394"/>
      <c r="D1052" s="412"/>
      <c r="E1052" s="414"/>
      <c r="F1052" s="414"/>
      <c r="G1052" s="414"/>
      <c r="H1052" s="414"/>
      <c r="I1052" s="397"/>
      <c r="J1052" s="392"/>
      <c r="K1052" s="361"/>
      <c r="L1052" s="361"/>
      <c r="M1052" s="361"/>
      <c r="N1052" s="361"/>
      <c r="O1052" s="361"/>
      <c r="P1052" s="361"/>
      <c r="Q1052" s="361"/>
      <c r="R1052" s="361"/>
      <c r="S1052" s="361"/>
      <c r="T1052" s="361"/>
      <c r="U1052" s="361"/>
      <c r="V1052" s="361"/>
      <c r="W1052" s="361"/>
      <c r="X1052" s="361"/>
      <c r="Y1052" s="361"/>
      <c r="Z1052" s="361"/>
    </row>
    <row r="1053" ht="22.5" customHeight="1" outlineLevel="1">
      <c r="A1053" s="412"/>
      <c r="B1053" s="415"/>
      <c r="C1053" s="394"/>
      <c r="D1053" s="412"/>
      <c r="E1053" s="414"/>
      <c r="F1053" s="414"/>
      <c r="G1053" s="414"/>
      <c r="H1053" s="414"/>
      <c r="I1053" s="397"/>
      <c r="J1053" s="392"/>
      <c r="K1053" s="361"/>
      <c r="L1053" s="361"/>
      <c r="M1053" s="361"/>
      <c r="N1053" s="361"/>
      <c r="O1053" s="361"/>
      <c r="P1053" s="361"/>
      <c r="Q1053" s="361"/>
      <c r="R1053" s="361"/>
      <c r="S1053" s="361"/>
      <c r="T1053" s="361"/>
      <c r="U1053" s="361"/>
      <c r="V1053" s="361"/>
      <c r="W1053" s="361"/>
      <c r="X1053" s="361"/>
      <c r="Y1053" s="361"/>
      <c r="Z1053" s="361"/>
    </row>
    <row r="1054" ht="22.5" customHeight="1" outlineLevel="1">
      <c r="A1054" s="412"/>
      <c r="B1054" s="415"/>
      <c r="C1054" s="394"/>
      <c r="D1054" s="412"/>
      <c r="E1054" s="414"/>
      <c r="F1054" s="414"/>
      <c r="G1054" s="414"/>
      <c r="H1054" s="414"/>
      <c r="I1054" s="397"/>
      <c r="J1054" s="392"/>
      <c r="K1054" s="361"/>
      <c r="L1054" s="361"/>
      <c r="M1054" s="361"/>
      <c r="N1054" s="361"/>
      <c r="O1054" s="361"/>
      <c r="P1054" s="361"/>
      <c r="Q1054" s="361"/>
      <c r="R1054" s="361"/>
      <c r="S1054" s="361"/>
      <c r="T1054" s="361"/>
      <c r="U1054" s="361"/>
      <c r="V1054" s="361"/>
      <c r="W1054" s="361"/>
      <c r="X1054" s="361"/>
      <c r="Y1054" s="361"/>
      <c r="Z1054" s="361"/>
    </row>
    <row r="1055" ht="22.5" customHeight="1" outlineLevel="1">
      <c r="A1055" s="412"/>
      <c r="B1055" s="415"/>
      <c r="C1055" s="394"/>
      <c r="D1055" s="412"/>
      <c r="E1055" s="414"/>
      <c r="F1055" s="414"/>
      <c r="G1055" s="414"/>
      <c r="H1055" s="414"/>
      <c r="I1055" s="397"/>
      <c r="J1055" s="392"/>
      <c r="K1055" s="361"/>
      <c r="L1055" s="361"/>
      <c r="M1055" s="361"/>
      <c r="N1055" s="361"/>
      <c r="O1055" s="361"/>
      <c r="P1055" s="361"/>
      <c r="Q1055" s="361"/>
      <c r="R1055" s="361"/>
      <c r="S1055" s="361"/>
      <c r="T1055" s="361"/>
      <c r="U1055" s="361"/>
      <c r="V1055" s="361"/>
      <c r="W1055" s="361"/>
      <c r="X1055" s="361"/>
      <c r="Y1055" s="361"/>
      <c r="Z1055" s="361"/>
    </row>
    <row r="1056" ht="22.5" customHeight="1" outlineLevel="1">
      <c r="A1056" s="412"/>
      <c r="B1056" s="415"/>
      <c r="C1056" s="394"/>
      <c r="D1056" s="412"/>
      <c r="E1056" s="414"/>
      <c r="F1056" s="414"/>
      <c r="G1056" s="414"/>
      <c r="H1056" s="414"/>
      <c r="I1056" s="397"/>
      <c r="J1056" s="392"/>
      <c r="K1056" s="361"/>
      <c r="L1056" s="361"/>
      <c r="M1056" s="361"/>
      <c r="N1056" s="361"/>
      <c r="O1056" s="361"/>
      <c r="P1056" s="361"/>
      <c r="Q1056" s="361"/>
      <c r="R1056" s="361"/>
      <c r="S1056" s="361"/>
      <c r="T1056" s="361"/>
      <c r="U1056" s="361"/>
      <c r="V1056" s="361"/>
      <c r="W1056" s="361"/>
      <c r="X1056" s="361"/>
      <c r="Y1056" s="361"/>
      <c r="Z1056" s="361"/>
    </row>
    <row r="1057" ht="22.5" customHeight="1" outlineLevel="1">
      <c r="A1057" s="412"/>
      <c r="B1057" s="415"/>
      <c r="C1057" s="394"/>
      <c r="D1057" s="412"/>
      <c r="E1057" s="414"/>
      <c r="F1057" s="414"/>
      <c r="G1057" s="414"/>
      <c r="H1057" s="414"/>
      <c r="I1057" s="397"/>
      <c r="J1057" s="392"/>
      <c r="K1057" s="361"/>
      <c r="L1057" s="361"/>
      <c r="M1057" s="361"/>
      <c r="N1057" s="361"/>
      <c r="O1057" s="361"/>
      <c r="P1057" s="361"/>
      <c r="Q1057" s="361"/>
      <c r="R1057" s="361"/>
      <c r="S1057" s="361"/>
      <c r="T1057" s="361"/>
      <c r="U1057" s="361"/>
      <c r="V1057" s="361"/>
      <c r="W1057" s="361"/>
      <c r="X1057" s="361"/>
      <c r="Y1057" s="361"/>
      <c r="Z1057" s="361"/>
    </row>
    <row r="1058" ht="22.5" customHeight="1" outlineLevel="1">
      <c r="A1058" s="412"/>
      <c r="B1058" s="415"/>
      <c r="C1058" s="394"/>
      <c r="D1058" s="412"/>
      <c r="E1058" s="414"/>
      <c r="F1058" s="414"/>
      <c r="G1058" s="414"/>
      <c r="H1058" s="414"/>
      <c r="I1058" s="397"/>
      <c r="J1058" s="392"/>
      <c r="K1058" s="361"/>
      <c r="L1058" s="361"/>
      <c r="M1058" s="361"/>
      <c r="N1058" s="361"/>
      <c r="O1058" s="361"/>
      <c r="P1058" s="361"/>
      <c r="Q1058" s="361"/>
      <c r="R1058" s="361"/>
      <c r="S1058" s="361"/>
      <c r="T1058" s="361"/>
      <c r="U1058" s="361"/>
      <c r="V1058" s="361"/>
      <c r="W1058" s="361"/>
      <c r="X1058" s="361"/>
      <c r="Y1058" s="361"/>
      <c r="Z1058" s="361"/>
    </row>
    <row r="1059" ht="22.5" customHeight="1" outlineLevel="1">
      <c r="A1059" s="412"/>
      <c r="B1059" s="415"/>
      <c r="C1059" s="394"/>
      <c r="D1059" s="412"/>
      <c r="E1059" s="414"/>
      <c r="F1059" s="414"/>
      <c r="G1059" s="414"/>
      <c r="H1059" s="414"/>
      <c r="I1059" s="397"/>
      <c r="J1059" s="392"/>
      <c r="K1059" s="361"/>
      <c r="L1059" s="361"/>
      <c r="M1059" s="361"/>
      <c r="N1059" s="361"/>
      <c r="O1059" s="361"/>
      <c r="P1059" s="361"/>
      <c r="Q1059" s="361"/>
      <c r="R1059" s="361"/>
      <c r="S1059" s="361"/>
      <c r="T1059" s="361"/>
      <c r="U1059" s="361"/>
      <c r="V1059" s="361"/>
      <c r="W1059" s="361"/>
      <c r="X1059" s="361"/>
      <c r="Y1059" s="361"/>
      <c r="Z1059" s="361"/>
    </row>
    <row r="1060" ht="22.5" customHeight="1" outlineLevel="1">
      <c r="A1060" s="412"/>
      <c r="B1060" s="415"/>
      <c r="C1060" s="394"/>
      <c r="D1060" s="412"/>
      <c r="E1060" s="414"/>
      <c r="F1060" s="414"/>
      <c r="G1060" s="414"/>
      <c r="H1060" s="414"/>
      <c r="I1060" s="397"/>
      <c r="J1060" s="392"/>
      <c r="K1060" s="361"/>
      <c r="L1060" s="361"/>
      <c r="M1060" s="361"/>
      <c r="N1060" s="361"/>
      <c r="O1060" s="361"/>
      <c r="P1060" s="361"/>
      <c r="Q1060" s="361"/>
      <c r="R1060" s="361"/>
      <c r="S1060" s="361"/>
      <c r="T1060" s="361"/>
      <c r="U1060" s="361"/>
      <c r="V1060" s="361"/>
      <c r="W1060" s="361"/>
      <c r="X1060" s="361"/>
      <c r="Y1060" s="361"/>
      <c r="Z1060" s="361"/>
    </row>
    <row r="1061" ht="22.5" customHeight="1" outlineLevel="1">
      <c r="A1061" s="412"/>
      <c r="B1061" s="415"/>
      <c r="C1061" s="394"/>
      <c r="D1061" s="412"/>
      <c r="E1061" s="414"/>
      <c r="F1061" s="414"/>
      <c r="G1061" s="414"/>
      <c r="H1061" s="414"/>
      <c r="I1061" s="397"/>
      <c r="J1061" s="392"/>
      <c r="K1061" s="361"/>
      <c r="L1061" s="361"/>
      <c r="M1061" s="361"/>
      <c r="N1061" s="361"/>
      <c r="O1061" s="361"/>
      <c r="P1061" s="361"/>
      <c r="Q1061" s="361"/>
      <c r="R1061" s="361"/>
      <c r="S1061" s="361"/>
      <c r="T1061" s="361"/>
      <c r="U1061" s="361"/>
      <c r="V1061" s="361"/>
      <c r="W1061" s="361"/>
      <c r="X1061" s="361"/>
      <c r="Y1061" s="361"/>
      <c r="Z1061" s="361"/>
    </row>
    <row r="1062" ht="22.5" customHeight="1" outlineLevel="1">
      <c r="A1062" s="412"/>
      <c r="B1062" s="415"/>
      <c r="C1062" s="394"/>
      <c r="D1062" s="412"/>
      <c r="E1062" s="414"/>
      <c r="F1062" s="414"/>
      <c r="G1062" s="414"/>
      <c r="H1062" s="414"/>
      <c r="I1062" s="397"/>
      <c r="J1062" s="392"/>
      <c r="K1062" s="361"/>
      <c r="L1062" s="361"/>
      <c r="M1062" s="361"/>
      <c r="N1062" s="361"/>
      <c r="O1062" s="361"/>
      <c r="P1062" s="361"/>
      <c r="Q1062" s="361"/>
      <c r="R1062" s="361"/>
      <c r="S1062" s="361"/>
      <c r="T1062" s="361"/>
      <c r="U1062" s="361"/>
      <c r="V1062" s="361"/>
      <c r="W1062" s="361"/>
      <c r="X1062" s="361"/>
      <c r="Y1062" s="361"/>
      <c r="Z1062" s="361"/>
    </row>
    <row r="1063" ht="22.5" customHeight="1" outlineLevel="1">
      <c r="A1063" s="412"/>
      <c r="B1063" s="415"/>
      <c r="C1063" s="394"/>
      <c r="D1063" s="412"/>
      <c r="E1063" s="414"/>
      <c r="F1063" s="414"/>
      <c r="G1063" s="414"/>
      <c r="H1063" s="414"/>
      <c r="I1063" s="397"/>
      <c r="J1063" s="392"/>
      <c r="K1063" s="361"/>
      <c r="L1063" s="361"/>
      <c r="M1063" s="361"/>
      <c r="N1063" s="361"/>
      <c r="O1063" s="361"/>
      <c r="P1063" s="361"/>
      <c r="Q1063" s="361"/>
      <c r="R1063" s="361"/>
      <c r="S1063" s="361"/>
      <c r="T1063" s="361"/>
      <c r="U1063" s="361"/>
      <c r="V1063" s="361"/>
      <c r="W1063" s="361"/>
      <c r="X1063" s="361"/>
      <c r="Y1063" s="361"/>
      <c r="Z1063" s="361"/>
    </row>
    <row r="1064" ht="22.5" customHeight="1" outlineLevel="1">
      <c r="A1064" s="412"/>
      <c r="B1064" s="415"/>
      <c r="C1064" s="394"/>
      <c r="D1064" s="412"/>
      <c r="E1064" s="414"/>
      <c r="F1064" s="414"/>
      <c r="G1064" s="414"/>
      <c r="H1064" s="414"/>
      <c r="I1064" s="397"/>
      <c r="J1064" s="392"/>
      <c r="K1064" s="361"/>
      <c r="L1064" s="361"/>
      <c r="M1064" s="361"/>
      <c r="N1064" s="361"/>
      <c r="O1064" s="361"/>
      <c r="P1064" s="361"/>
      <c r="Q1064" s="361"/>
      <c r="R1064" s="361"/>
      <c r="S1064" s="361"/>
      <c r="T1064" s="361"/>
      <c r="U1064" s="361"/>
      <c r="V1064" s="361"/>
      <c r="W1064" s="361"/>
      <c r="X1064" s="361"/>
      <c r="Y1064" s="361"/>
      <c r="Z1064" s="361"/>
    </row>
    <row r="1065" ht="22.5" customHeight="1" outlineLevel="1">
      <c r="A1065" s="412"/>
      <c r="B1065" s="415"/>
      <c r="C1065" s="394"/>
      <c r="D1065" s="412"/>
      <c r="E1065" s="414"/>
      <c r="F1065" s="414"/>
      <c r="G1065" s="414"/>
      <c r="H1065" s="414"/>
      <c r="I1065" s="397"/>
      <c r="J1065" s="392"/>
      <c r="K1065" s="361"/>
      <c r="L1065" s="361"/>
      <c r="M1065" s="361"/>
      <c r="N1065" s="361"/>
      <c r="O1065" s="361"/>
      <c r="P1065" s="361"/>
      <c r="Q1065" s="361"/>
      <c r="R1065" s="361"/>
      <c r="S1065" s="361"/>
      <c r="T1065" s="361"/>
      <c r="U1065" s="361"/>
      <c r="V1065" s="361"/>
      <c r="W1065" s="361"/>
      <c r="X1065" s="361"/>
      <c r="Y1065" s="361"/>
      <c r="Z1065" s="361"/>
    </row>
    <row r="1066" ht="22.5" customHeight="1" outlineLevel="1">
      <c r="A1066" s="412"/>
      <c r="B1066" s="415"/>
      <c r="C1066" s="394"/>
      <c r="D1066" s="412"/>
      <c r="E1066" s="414"/>
      <c r="F1066" s="414"/>
      <c r="G1066" s="414"/>
      <c r="H1066" s="414"/>
      <c r="I1066" s="397"/>
      <c r="J1066" s="392"/>
      <c r="K1066" s="361"/>
      <c r="L1066" s="361"/>
      <c r="M1066" s="361"/>
      <c r="N1066" s="361"/>
      <c r="O1066" s="361"/>
      <c r="P1066" s="361"/>
      <c r="Q1066" s="361"/>
      <c r="R1066" s="361"/>
      <c r="S1066" s="361"/>
      <c r="T1066" s="361"/>
      <c r="U1066" s="361"/>
      <c r="V1066" s="361"/>
      <c r="W1066" s="361"/>
      <c r="X1066" s="361"/>
      <c r="Y1066" s="361"/>
      <c r="Z1066" s="361"/>
    </row>
    <row r="1067" ht="22.5" customHeight="1" outlineLevel="1">
      <c r="A1067" s="412"/>
      <c r="B1067" s="415"/>
      <c r="C1067" s="394"/>
      <c r="D1067" s="412"/>
      <c r="E1067" s="414"/>
      <c r="F1067" s="414"/>
      <c r="G1067" s="414"/>
      <c r="H1067" s="414"/>
      <c r="I1067" s="397"/>
      <c r="J1067" s="392"/>
      <c r="K1067" s="361"/>
      <c r="L1067" s="361"/>
      <c r="M1067" s="361"/>
      <c r="N1067" s="361"/>
      <c r="O1067" s="361"/>
      <c r="P1067" s="361"/>
      <c r="Q1067" s="361"/>
      <c r="R1067" s="361"/>
      <c r="S1067" s="361"/>
      <c r="T1067" s="361"/>
      <c r="U1067" s="361"/>
      <c r="V1067" s="361"/>
      <c r="W1067" s="361"/>
      <c r="X1067" s="361"/>
      <c r="Y1067" s="361"/>
      <c r="Z1067" s="361"/>
    </row>
    <row r="1068" ht="22.5" customHeight="1" outlineLevel="1">
      <c r="A1068" s="412"/>
      <c r="B1068" s="415"/>
      <c r="C1068" s="394"/>
      <c r="D1068" s="412"/>
      <c r="E1068" s="414"/>
      <c r="F1068" s="414"/>
      <c r="G1068" s="414"/>
      <c r="H1068" s="414"/>
      <c r="I1068" s="397"/>
      <c r="J1068" s="392"/>
      <c r="K1068" s="361"/>
      <c r="L1068" s="361"/>
      <c r="M1068" s="361"/>
      <c r="N1068" s="361"/>
      <c r="O1068" s="361"/>
      <c r="P1068" s="361"/>
      <c r="Q1068" s="361"/>
      <c r="R1068" s="361"/>
      <c r="S1068" s="361"/>
      <c r="T1068" s="361"/>
      <c r="U1068" s="361"/>
      <c r="V1068" s="361"/>
      <c r="W1068" s="361"/>
      <c r="X1068" s="361"/>
      <c r="Y1068" s="361"/>
      <c r="Z1068" s="361"/>
    </row>
    <row r="1069" ht="22.5" customHeight="1" outlineLevel="1">
      <c r="A1069" s="412"/>
      <c r="B1069" s="415"/>
      <c r="C1069" s="394"/>
      <c r="D1069" s="412"/>
      <c r="E1069" s="414"/>
      <c r="F1069" s="414"/>
      <c r="G1069" s="414"/>
      <c r="H1069" s="414"/>
      <c r="I1069" s="397"/>
      <c r="J1069" s="392"/>
      <c r="K1069" s="361"/>
      <c r="L1069" s="361"/>
      <c r="M1069" s="361"/>
      <c r="N1069" s="361"/>
      <c r="O1069" s="361"/>
      <c r="P1069" s="361"/>
      <c r="Q1069" s="361"/>
      <c r="R1069" s="361"/>
      <c r="S1069" s="361"/>
      <c r="T1069" s="361"/>
      <c r="U1069" s="361"/>
      <c r="V1069" s="361"/>
      <c r="W1069" s="361"/>
      <c r="X1069" s="361"/>
      <c r="Y1069" s="361"/>
      <c r="Z1069" s="361"/>
    </row>
    <row r="1070" ht="22.5" customHeight="1" outlineLevel="1">
      <c r="A1070" s="412"/>
      <c r="B1070" s="415"/>
      <c r="C1070" s="394"/>
      <c r="D1070" s="412"/>
      <c r="E1070" s="414"/>
      <c r="F1070" s="414"/>
      <c r="G1070" s="414"/>
      <c r="H1070" s="414"/>
      <c r="I1070" s="397"/>
      <c r="J1070" s="392"/>
      <c r="K1070" s="361"/>
      <c r="L1070" s="361"/>
      <c r="M1070" s="361"/>
      <c r="N1070" s="361"/>
      <c r="O1070" s="361"/>
      <c r="P1070" s="361"/>
      <c r="Q1070" s="361"/>
      <c r="R1070" s="361"/>
      <c r="S1070" s="361"/>
      <c r="T1070" s="361"/>
      <c r="U1070" s="361"/>
      <c r="V1070" s="361"/>
      <c r="W1070" s="361"/>
      <c r="X1070" s="361"/>
      <c r="Y1070" s="361"/>
      <c r="Z1070" s="361"/>
    </row>
    <row r="1071" ht="22.5" customHeight="1" outlineLevel="1">
      <c r="A1071" s="412"/>
      <c r="B1071" s="415"/>
      <c r="C1071" s="394"/>
      <c r="D1071" s="412"/>
      <c r="E1071" s="414"/>
      <c r="F1071" s="414"/>
      <c r="G1071" s="414"/>
      <c r="H1071" s="414"/>
      <c r="I1071" s="397"/>
      <c r="J1071" s="392"/>
      <c r="K1071" s="361"/>
      <c r="L1071" s="361"/>
      <c r="M1071" s="361"/>
      <c r="N1071" s="361"/>
      <c r="O1071" s="361"/>
      <c r="P1071" s="361"/>
      <c r="Q1071" s="361"/>
      <c r="R1071" s="361"/>
      <c r="S1071" s="361"/>
      <c r="T1071" s="361"/>
      <c r="U1071" s="361"/>
      <c r="V1071" s="361"/>
      <c r="W1071" s="361"/>
      <c r="X1071" s="361"/>
      <c r="Y1071" s="361"/>
      <c r="Z1071" s="361"/>
    </row>
    <row r="1072" ht="22.5" customHeight="1" outlineLevel="1">
      <c r="A1072" s="412"/>
      <c r="B1072" s="415"/>
      <c r="C1072" s="394"/>
      <c r="D1072" s="412"/>
      <c r="E1072" s="414"/>
      <c r="F1072" s="414"/>
      <c r="G1072" s="414"/>
      <c r="H1072" s="414"/>
      <c r="I1072" s="397"/>
      <c r="J1072" s="392"/>
      <c r="K1072" s="361"/>
      <c r="L1072" s="361"/>
      <c r="M1072" s="361"/>
      <c r="N1072" s="361"/>
      <c r="O1072" s="361"/>
      <c r="P1072" s="361"/>
      <c r="Q1072" s="361"/>
      <c r="R1072" s="361"/>
      <c r="S1072" s="361"/>
      <c r="T1072" s="361"/>
      <c r="U1072" s="361"/>
      <c r="V1072" s="361"/>
      <c r="W1072" s="361"/>
      <c r="X1072" s="361"/>
      <c r="Y1072" s="361"/>
      <c r="Z1072" s="361"/>
    </row>
    <row r="1073" ht="22.5" customHeight="1" outlineLevel="1">
      <c r="A1073" s="412"/>
      <c r="B1073" s="415"/>
      <c r="C1073" s="394"/>
      <c r="D1073" s="412"/>
      <c r="E1073" s="414"/>
      <c r="F1073" s="414"/>
      <c r="G1073" s="414"/>
      <c r="H1073" s="414"/>
      <c r="I1073" s="397"/>
      <c r="J1073" s="392"/>
      <c r="K1073" s="361"/>
      <c r="L1073" s="361"/>
      <c r="M1073" s="361"/>
      <c r="N1073" s="361"/>
      <c r="O1073" s="361"/>
      <c r="P1073" s="361"/>
      <c r="Q1073" s="361"/>
      <c r="R1073" s="361"/>
      <c r="S1073" s="361"/>
      <c r="T1073" s="361"/>
      <c r="U1073" s="361"/>
      <c r="V1073" s="361"/>
      <c r="W1073" s="361"/>
      <c r="X1073" s="361"/>
      <c r="Y1073" s="361"/>
      <c r="Z1073" s="361"/>
    </row>
    <row r="1074" ht="22.5" customHeight="1" outlineLevel="1">
      <c r="A1074" s="412"/>
      <c r="B1074" s="415"/>
      <c r="C1074" s="394"/>
      <c r="D1074" s="412"/>
      <c r="E1074" s="414"/>
      <c r="F1074" s="414"/>
      <c r="G1074" s="414"/>
      <c r="H1074" s="414"/>
      <c r="I1074" s="397"/>
      <c r="J1074" s="392"/>
      <c r="K1074" s="361"/>
      <c r="L1074" s="361"/>
      <c r="M1074" s="361"/>
      <c r="N1074" s="361"/>
      <c r="O1074" s="361"/>
      <c r="P1074" s="361"/>
      <c r="Q1074" s="361"/>
      <c r="R1074" s="361"/>
      <c r="S1074" s="361"/>
      <c r="T1074" s="361"/>
      <c r="U1074" s="361"/>
      <c r="V1074" s="361"/>
      <c r="W1074" s="361"/>
      <c r="X1074" s="361"/>
      <c r="Y1074" s="361"/>
      <c r="Z1074" s="361"/>
    </row>
    <row r="1075" ht="22.5" customHeight="1" outlineLevel="1">
      <c r="A1075" s="412"/>
      <c r="B1075" s="415"/>
      <c r="C1075" s="394"/>
      <c r="D1075" s="412"/>
      <c r="E1075" s="414"/>
      <c r="F1075" s="414"/>
      <c r="G1075" s="414"/>
      <c r="H1075" s="414"/>
      <c r="I1075" s="397"/>
      <c r="J1075" s="392"/>
      <c r="K1075" s="361"/>
      <c r="L1075" s="361"/>
      <c r="M1075" s="361"/>
      <c r="N1075" s="361"/>
      <c r="O1075" s="361"/>
      <c r="P1075" s="361"/>
      <c r="Q1075" s="361"/>
      <c r="R1075" s="361"/>
      <c r="S1075" s="361"/>
      <c r="T1075" s="361"/>
      <c r="U1075" s="361"/>
      <c r="V1075" s="361"/>
      <c r="W1075" s="361"/>
      <c r="X1075" s="361"/>
      <c r="Y1075" s="361"/>
      <c r="Z1075" s="361"/>
    </row>
    <row r="1076" ht="22.5" customHeight="1" outlineLevel="1">
      <c r="A1076" s="412"/>
      <c r="B1076" s="415"/>
      <c r="C1076" s="394"/>
      <c r="D1076" s="412"/>
      <c r="E1076" s="414"/>
      <c r="F1076" s="414"/>
      <c r="G1076" s="414"/>
      <c r="H1076" s="414"/>
      <c r="I1076" s="397"/>
      <c r="J1076" s="392"/>
      <c r="K1076" s="361"/>
      <c r="L1076" s="361"/>
      <c r="M1076" s="361"/>
      <c r="N1076" s="361"/>
      <c r="O1076" s="361"/>
      <c r="P1076" s="361"/>
      <c r="Q1076" s="361"/>
      <c r="R1076" s="361"/>
      <c r="S1076" s="361"/>
      <c r="T1076" s="361"/>
      <c r="U1076" s="361"/>
      <c r="V1076" s="361"/>
      <c r="W1076" s="361"/>
      <c r="X1076" s="361"/>
      <c r="Y1076" s="361"/>
      <c r="Z1076" s="361"/>
    </row>
    <row r="1077" ht="22.5" customHeight="1" outlineLevel="1">
      <c r="A1077" s="412"/>
      <c r="B1077" s="415"/>
      <c r="C1077" s="394"/>
      <c r="D1077" s="412"/>
      <c r="E1077" s="414"/>
      <c r="F1077" s="414"/>
      <c r="G1077" s="414"/>
      <c r="H1077" s="414"/>
      <c r="I1077" s="397"/>
      <c r="J1077" s="392"/>
      <c r="K1077" s="361"/>
      <c r="L1077" s="361"/>
      <c r="M1077" s="361"/>
      <c r="N1077" s="361"/>
      <c r="O1077" s="361"/>
      <c r="P1077" s="361"/>
      <c r="Q1077" s="361"/>
      <c r="R1077" s="361"/>
      <c r="S1077" s="361"/>
      <c r="T1077" s="361"/>
      <c r="U1077" s="361"/>
      <c r="V1077" s="361"/>
      <c r="W1077" s="361"/>
      <c r="X1077" s="361"/>
      <c r="Y1077" s="361"/>
      <c r="Z1077" s="361"/>
    </row>
    <row r="1078" ht="22.5" customHeight="1" outlineLevel="1">
      <c r="A1078" s="412"/>
      <c r="B1078" s="415"/>
      <c r="C1078" s="394"/>
      <c r="D1078" s="412"/>
      <c r="E1078" s="414"/>
      <c r="F1078" s="414"/>
      <c r="G1078" s="414"/>
      <c r="H1078" s="414"/>
      <c r="I1078" s="397"/>
      <c r="J1078" s="392"/>
      <c r="K1078" s="361"/>
      <c r="L1078" s="361"/>
      <c r="M1078" s="361"/>
      <c r="N1078" s="361"/>
      <c r="O1078" s="361"/>
      <c r="P1078" s="361"/>
      <c r="Q1078" s="361"/>
      <c r="R1078" s="361"/>
      <c r="S1078" s="361"/>
      <c r="T1078" s="361"/>
      <c r="U1078" s="361"/>
      <c r="V1078" s="361"/>
      <c r="W1078" s="361"/>
      <c r="X1078" s="361"/>
      <c r="Y1078" s="361"/>
      <c r="Z1078" s="361"/>
    </row>
    <row r="1079" ht="22.5" customHeight="1" outlineLevel="1">
      <c r="A1079" s="412"/>
      <c r="B1079" s="415"/>
      <c r="C1079" s="394"/>
      <c r="D1079" s="412"/>
      <c r="E1079" s="414"/>
      <c r="F1079" s="414"/>
      <c r="G1079" s="414"/>
      <c r="H1079" s="414"/>
      <c r="I1079" s="397"/>
      <c r="J1079" s="392"/>
      <c r="K1079" s="361"/>
      <c r="L1079" s="361"/>
      <c r="M1079" s="361"/>
      <c r="N1079" s="361"/>
      <c r="O1079" s="361"/>
      <c r="P1079" s="361"/>
      <c r="Q1079" s="361"/>
      <c r="R1079" s="361"/>
      <c r="S1079" s="361"/>
      <c r="T1079" s="361"/>
      <c r="U1079" s="361"/>
      <c r="V1079" s="361"/>
      <c r="W1079" s="361"/>
      <c r="X1079" s="361"/>
      <c r="Y1079" s="361"/>
      <c r="Z1079" s="361"/>
    </row>
    <row r="1080" ht="22.5" customHeight="1" outlineLevel="1">
      <c r="A1080" s="412"/>
      <c r="B1080" s="415"/>
      <c r="C1080" s="394"/>
      <c r="D1080" s="412"/>
      <c r="E1080" s="414"/>
      <c r="F1080" s="414"/>
      <c r="G1080" s="414"/>
      <c r="H1080" s="414"/>
      <c r="I1080" s="397"/>
      <c r="J1080" s="392"/>
      <c r="K1080" s="361"/>
      <c r="L1080" s="361"/>
      <c r="M1080" s="361"/>
      <c r="N1080" s="361"/>
      <c r="O1080" s="361"/>
      <c r="P1080" s="361"/>
      <c r="Q1080" s="361"/>
      <c r="R1080" s="361"/>
      <c r="S1080" s="361"/>
      <c r="T1080" s="361"/>
      <c r="U1080" s="361"/>
      <c r="V1080" s="361"/>
      <c r="W1080" s="361"/>
      <c r="X1080" s="361"/>
      <c r="Y1080" s="361"/>
      <c r="Z1080" s="361"/>
    </row>
    <row r="1081" ht="22.5" customHeight="1" outlineLevel="1">
      <c r="A1081" s="412"/>
      <c r="B1081" s="415"/>
      <c r="C1081" s="394"/>
      <c r="D1081" s="412"/>
      <c r="E1081" s="414"/>
      <c r="F1081" s="414"/>
      <c r="G1081" s="414"/>
      <c r="H1081" s="414"/>
      <c r="I1081" s="397"/>
      <c r="J1081" s="392"/>
      <c r="K1081" s="361"/>
      <c r="L1081" s="361"/>
      <c r="M1081" s="361"/>
      <c r="N1081" s="361"/>
      <c r="O1081" s="361"/>
      <c r="P1081" s="361"/>
      <c r="Q1081" s="361"/>
      <c r="R1081" s="361"/>
      <c r="S1081" s="361"/>
      <c r="T1081" s="361"/>
      <c r="U1081" s="361"/>
      <c r="V1081" s="361"/>
      <c r="W1081" s="361"/>
      <c r="X1081" s="361"/>
      <c r="Y1081" s="361"/>
      <c r="Z1081" s="361"/>
    </row>
    <row r="1082" ht="22.5" customHeight="1" outlineLevel="1">
      <c r="A1082" s="412"/>
      <c r="B1082" s="415"/>
      <c r="C1082" s="394"/>
      <c r="D1082" s="412"/>
      <c r="E1082" s="414"/>
      <c r="F1082" s="414"/>
      <c r="G1082" s="414"/>
      <c r="H1082" s="414"/>
      <c r="I1082" s="397"/>
      <c r="J1082" s="392"/>
      <c r="K1082" s="361"/>
      <c r="L1082" s="361"/>
      <c r="M1082" s="361"/>
      <c r="N1082" s="361"/>
      <c r="O1082" s="361"/>
      <c r="P1082" s="361"/>
      <c r="Q1082" s="361"/>
      <c r="R1082" s="361"/>
      <c r="S1082" s="361"/>
      <c r="T1082" s="361"/>
      <c r="U1082" s="361"/>
      <c r="V1082" s="361"/>
      <c r="W1082" s="361"/>
      <c r="X1082" s="361"/>
      <c r="Y1082" s="361"/>
      <c r="Z1082" s="361"/>
    </row>
    <row r="1083" ht="22.5" customHeight="1" outlineLevel="1">
      <c r="A1083" s="412"/>
      <c r="B1083" s="415"/>
      <c r="C1083" s="394"/>
      <c r="D1083" s="412"/>
      <c r="E1083" s="414"/>
      <c r="F1083" s="414"/>
      <c r="G1083" s="414"/>
      <c r="H1083" s="414"/>
      <c r="I1083" s="397"/>
      <c r="J1083" s="392"/>
      <c r="K1083" s="361"/>
      <c r="L1083" s="361"/>
      <c r="M1083" s="361"/>
      <c r="N1083" s="361"/>
      <c r="O1083" s="361"/>
      <c r="P1083" s="361"/>
      <c r="Q1083" s="361"/>
      <c r="R1083" s="361"/>
      <c r="S1083" s="361"/>
      <c r="T1083" s="361"/>
      <c r="U1083" s="361"/>
      <c r="V1083" s="361"/>
      <c r="W1083" s="361"/>
      <c r="X1083" s="361"/>
      <c r="Y1083" s="361"/>
      <c r="Z1083" s="361"/>
    </row>
    <row r="1084" ht="22.5" customHeight="1" outlineLevel="1">
      <c r="A1084" s="412"/>
      <c r="B1084" s="415"/>
      <c r="C1084" s="394"/>
      <c r="D1084" s="412"/>
      <c r="E1084" s="414"/>
      <c r="F1084" s="414"/>
      <c r="G1084" s="414"/>
      <c r="H1084" s="414"/>
      <c r="I1084" s="397"/>
      <c r="J1084" s="392"/>
      <c r="K1084" s="361"/>
      <c r="L1084" s="361"/>
      <c r="M1084" s="361"/>
      <c r="N1084" s="361"/>
      <c r="O1084" s="361"/>
      <c r="P1084" s="361"/>
      <c r="Q1084" s="361"/>
      <c r="R1084" s="361"/>
      <c r="S1084" s="361"/>
      <c r="T1084" s="361"/>
      <c r="U1084" s="361"/>
      <c r="V1084" s="361"/>
      <c r="W1084" s="361"/>
      <c r="X1084" s="361"/>
      <c r="Y1084" s="361"/>
      <c r="Z1084" s="361"/>
    </row>
    <row r="1085" ht="22.5" customHeight="1" outlineLevel="1">
      <c r="A1085" s="412"/>
      <c r="B1085" s="415"/>
      <c r="C1085" s="394"/>
      <c r="D1085" s="412"/>
      <c r="E1085" s="414"/>
      <c r="F1085" s="414"/>
      <c r="G1085" s="414"/>
      <c r="H1085" s="414"/>
      <c r="I1085" s="397"/>
      <c r="J1085" s="392"/>
      <c r="K1085" s="361"/>
      <c r="L1085" s="361"/>
      <c r="M1085" s="361"/>
      <c r="N1085" s="361"/>
      <c r="O1085" s="361"/>
      <c r="P1085" s="361"/>
      <c r="Q1085" s="361"/>
      <c r="R1085" s="361"/>
      <c r="S1085" s="361"/>
      <c r="T1085" s="361"/>
      <c r="U1085" s="361"/>
      <c r="V1085" s="361"/>
      <c r="W1085" s="361"/>
      <c r="X1085" s="361"/>
      <c r="Y1085" s="361"/>
      <c r="Z1085" s="361"/>
    </row>
    <row r="1086" ht="22.5" customHeight="1" outlineLevel="1">
      <c r="A1086" s="412"/>
      <c r="B1086" s="415"/>
      <c r="C1086" s="394"/>
      <c r="D1086" s="412"/>
      <c r="E1086" s="414"/>
      <c r="F1086" s="414"/>
      <c r="G1086" s="414"/>
      <c r="H1086" s="414"/>
      <c r="I1086" s="397"/>
      <c r="J1086" s="392"/>
      <c r="K1086" s="361"/>
      <c r="L1086" s="361"/>
      <c r="M1086" s="361"/>
      <c r="N1086" s="361"/>
      <c r="O1086" s="361"/>
      <c r="P1086" s="361"/>
      <c r="Q1086" s="361"/>
      <c r="R1086" s="361"/>
      <c r="S1086" s="361"/>
      <c r="T1086" s="361"/>
      <c r="U1086" s="361"/>
      <c r="V1086" s="361"/>
      <c r="W1086" s="361"/>
      <c r="X1086" s="361"/>
      <c r="Y1086" s="361"/>
      <c r="Z1086" s="361"/>
    </row>
    <row r="1087" ht="22.5" customHeight="1" outlineLevel="1">
      <c r="A1087" s="412"/>
      <c r="B1087" s="415"/>
      <c r="C1087" s="394"/>
      <c r="D1087" s="412"/>
      <c r="E1087" s="414"/>
      <c r="F1087" s="414"/>
      <c r="G1087" s="414"/>
      <c r="H1087" s="414"/>
      <c r="I1087" s="397"/>
      <c r="J1087" s="392"/>
      <c r="K1087" s="361"/>
      <c r="L1087" s="361"/>
      <c r="M1087" s="361"/>
      <c r="N1087" s="361"/>
      <c r="O1087" s="361"/>
      <c r="P1087" s="361"/>
      <c r="Q1087" s="361"/>
      <c r="R1087" s="361"/>
      <c r="S1087" s="361"/>
      <c r="T1087" s="361"/>
      <c r="U1087" s="361"/>
      <c r="V1087" s="361"/>
      <c r="W1087" s="361"/>
      <c r="X1087" s="361"/>
      <c r="Y1087" s="361"/>
      <c r="Z1087" s="361"/>
    </row>
    <row r="1088" ht="22.5" customHeight="1" outlineLevel="1">
      <c r="A1088" s="412"/>
      <c r="B1088" s="415"/>
      <c r="C1088" s="394"/>
      <c r="D1088" s="412"/>
      <c r="E1088" s="414"/>
      <c r="F1088" s="414"/>
      <c r="G1088" s="414"/>
      <c r="H1088" s="414"/>
      <c r="I1088" s="397"/>
      <c r="J1088" s="392"/>
      <c r="K1088" s="361"/>
      <c r="L1088" s="361"/>
      <c r="M1088" s="361"/>
      <c r="N1088" s="361"/>
      <c r="O1088" s="361"/>
      <c r="P1088" s="361"/>
      <c r="Q1088" s="361"/>
      <c r="R1088" s="361"/>
      <c r="S1088" s="361"/>
      <c r="T1088" s="361"/>
      <c r="U1088" s="361"/>
      <c r="V1088" s="361"/>
      <c r="W1088" s="361"/>
      <c r="X1088" s="361"/>
      <c r="Y1088" s="361"/>
      <c r="Z1088" s="361"/>
    </row>
    <row r="1089" ht="22.5" customHeight="1" outlineLevel="1">
      <c r="A1089" s="412"/>
      <c r="B1089" s="415"/>
      <c r="C1089" s="394"/>
      <c r="D1089" s="412"/>
      <c r="E1089" s="414"/>
      <c r="F1089" s="414"/>
      <c r="G1089" s="414"/>
      <c r="H1089" s="414"/>
      <c r="I1089" s="397"/>
      <c r="J1089" s="392"/>
      <c r="K1089" s="361"/>
      <c r="L1089" s="361"/>
      <c r="M1089" s="361"/>
      <c r="N1089" s="361"/>
      <c r="O1089" s="361"/>
      <c r="P1089" s="361"/>
      <c r="Q1089" s="361"/>
      <c r="R1089" s="361"/>
      <c r="S1089" s="361"/>
      <c r="T1089" s="361"/>
      <c r="U1089" s="361"/>
      <c r="V1089" s="361"/>
      <c r="W1089" s="361"/>
      <c r="X1089" s="361"/>
      <c r="Y1089" s="361"/>
      <c r="Z1089" s="361"/>
    </row>
    <row r="1090" ht="22.5" customHeight="1" outlineLevel="1">
      <c r="A1090" s="412"/>
      <c r="B1090" s="415"/>
      <c r="C1090" s="394"/>
      <c r="D1090" s="412"/>
      <c r="E1090" s="414"/>
      <c r="F1090" s="414"/>
      <c r="G1090" s="414"/>
      <c r="H1090" s="414"/>
      <c r="I1090" s="397"/>
      <c r="J1090" s="392"/>
      <c r="K1090" s="361"/>
      <c r="L1090" s="361"/>
      <c r="M1090" s="361"/>
      <c r="N1090" s="361"/>
      <c r="O1090" s="361"/>
      <c r="P1090" s="361"/>
      <c r="Q1090" s="361"/>
      <c r="R1090" s="361"/>
      <c r="S1090" s="361"/>
      <c r="T1090" s="361"/>
      <c r="U1090" s="361"/>
      <c r="V1090" s="361"/>
      <c r="W1090" s="361"/>
      <c r="X1090" s="361"/>
      <c r="Y1090" s="361"/>
      <c r="Z1090" s="361"/>
    </row>
    <row r="1091" ht="22.5" customHeight="1" outlineLevel="1">
      <c r="A1091" s="412"/>
      <c r="B1091" s="415"/>
      <c r="C1091" s="394"/>
      <c r="D1091" s="412"/>
      <c r="E1091" s="414"/>
      <c r="F1091" s="414"/>
      <c r="G1091" s="414"/>
      <c r="H1091" s="414"/>
      <c r="I1091" s="397"/>
      <c r="J1091" s="392"/>
      <c r="K1091" s="361"/>
      <c r="L1091" s="361"/>
      <c r="M1091" s="361"/>
      <c r="N1091" s="361"/>
      <c r="O1091" s="361"/>
      <c r="P1091" s="361"/>
      <c r="Q1091" s="361"/>
      <c r="R1091" s="361"/>
      <c r="S1091" s="361"/>
      <c r="T1091" s="361"/>
      <c r="U1091" s="361"/>
      <c r="V1091" s="361"/>
      <c r="W1091" s="361"/>
      <c r="X1091" s="361"/>
      <c r="Y1091" s="361"/>
      <c r="Z1091" s="361"/>
    </row>
    <row r="1092" ht="22.5" customHeight="1" outlineLevel="1">
      <c r="A1092" s="412"/>
      <c r="B1092" s="415"/>
      <c r="C1092" s="394"/>
      <c r="D1092" s="412"/>
      <c r="E1092" s="414"/>
      <c r="F1092" s="414"/>
      <c r="G1092" s="414"/>
      <c r="H1092" s="414"/>
      <c r="I1092" s="397"/>
      <c r="J1092" s="392"/>
      <c r="K1092" s="361"/>
      <c r="L1092" s="361"/>
      <c r="M1092" s="361"/>
      <c r="N1092" s="361"/>
      <c r="O1092" s="361"/>
      <c r="P1092" s="361"/>
      <c r="Q1092" s="361"/>
      <c r="R1092" s="361"/>
      <c r="S1092" s="361"/>
      <c r="T1092" s="361"/>
      <c r="U1092" s="361"/>
      <c r="V1092" s="361"/>
      <c r="W1092" s="361"/>
      <c r="X1092" s="361"/>
      <c r="Y1092" s="361"/>
      <c r="Z1092" s="361"/>
    </row>
    <row r="1093" ht="22.5" customHeight="1" outlineLevel="1">
      <c r="A1093" s="412"/>
      <c r="B1093" s="415"/>
      <c r="C1093" s="394"/>
      <c r="D1093" s="412"/>
      <c r="E1093" s="414"/>
      <c r="F1093" s="414"/>
      <c r="G1093" s="414"/>
      <c r="H1093" s="414"/>
      <c r="I1093" s="397"/>
      <c r="J1093" s="392"/>
      <c r="K1093" s="361"/>
      <c r="L1093" s="361"/>
      <c r="M1093" s="361"/>
      <c r="N1093" s="361"/>
      <c r="O1093" s="361"/>
      <c r="P1093" s="361"/>
      <c r="Q1093" s="361"/>
      <c r="R1093" s="361"/>
      <c r="S1093" s="361"/>
      <c r="T1093" s="361"/>
      <c r="U1093" s="361"/>
      <c r="V1093" s="361"/>
      <c r="W1093" s="361"/>
      <c r="X1093" s="361"/>
      <c r="Y1093" s="361"/>
      <c r="Z1093" s="361"/>
    </row>
    <row r="1094" ht="22.5" customHeight="1" outlineLevel="1">
      <c r="A1094" s="412"/>
      <c r="B1094" s="415"/>
      <c r="C1094" s="394"/>
      <c r="D1094" s="412"/>
      <c r="E1094" s="414"/>
      <c r="F1094" s="414"/>
      <c r="G1094" s="414"/>
      <c r="H1094" s="414"/>
      <c r="I1094" s="397"/>
      <c r="J1094" s="392"/>
      <c r="K1094" s="361"/>
      <c r="L1094" s="361"/>
      <c r="M1094" s="361"/>
      <c r="N1094" s="361"/>
      <c r="O1094" s="361"/>
      <c r="P1094" s="361"/>
      <c r="Q1094" s="361"/>
      <c r="R1094" s="361"/>
      <c r="S1094" s="361"/>
      <c r="T1094" s="361"/>
      <c r="U1094" s="361"/>
      <c r="V1094" s="361"/>
      <c r="W1094" s="361"/>
      <c r="X1094" s="361"/>
      <c r="Y1094" s="361"/>
      <c r="Z1094" s="361"/>
    </row>
    <row r="1095" ht="22.5" customHeight="1" outlineLevel="1">
      <c r="A1095" s="412"/>
      <c r="B1095" s="415"/>
      <c r="C1095" s="394"/>
      <c r="D1095" s="412"/>
      <c r="E1095" s="414"/>
      <c r="F1095" s="414"/>
      <c r="G1095" s="414"/>
      <c r="H1095" s="414"/>
      <c r="I1095" s="397"/>
      <c r="J1095" s="392"/>
      <c r="K1095" s="361"/>
      <c r="L1095" s="361"/>
      <c r="M1095" s="361"/>
      <c r="N1095" s="361"/>
      <c r="O1095" s="361"/>
      <c r="P1095" s="361"/>
      <c r="Q1095" s="361"/>
      <c r="R1095" s="361"/>
      <c r="S1095" s="361"/>
      <c r="T1095" s="361"/>
      <c r="U1095" s="361"/>
      <c r="V1095" s="361"/>
      <c r="W1095" s="361"/>
      <c r="X1095" s="361"/>
      <c r="Y1095" s="361"/>
      <c r="Z1095" s="361"/>
    </row>
    <row r="1096" ht="22.5" customHeight="1" outlineLevel="1">
      <c r="A1096" s="412"/>
      <c r="B1096" s="415"/>
      <c r="C1096" s="394"/>
      <c r="D1096" s="412"/>
      <c r="E1096" s="414"/>
      <c r="F1096" s="414"/>
      <c r="G1096" s="414"/>
      <c r="H1096" s="414"/>
      <c r="I1096" s="397"/>
      <c r="J1096" s="392"/>
      <c r="K1096" s="361"/>
      <c r="L1096" s="361"/>
      <c r="M1096" s="361"/>
      <c r="N1096" s="361"/>
      <c r="O1096" s="361"/>
      <c r="P1096" s="361"/>
      <c r="Q1096" s="361"/>
      <c r="R1096" s="361"/>
      <c r="S1096" s="361"/>
      <c r="T1096" s="361"/>
      <c r="U1096" s="361"/>
      <c r="V1096" s="361"/>
      <c r="W1096" s="361"/>
      <c r="X1096" s="361"/>
      <c r="Y1096" s="361"/>
      <c r="Z1096" s="361"/>
    </row>
    <row r="1097" ht="22.5" customHeight="1" outlineLevel="1">
      <c r="A1097" s="412"/>
      <c r="B1097" s="415"/>
      <c r="C1097" s="394"/>
      <c r="D1097" s="412"/>
      <c r="E1097" s="414"/>
      <c r="F1097" s="414"/>
      <c r="G1097" s="414"/>
      <c r="H1097" s="414"/>
      <c r="I1097" s="397"/>
      <c r="J1097" s="392"/>
      <c r="K1097" s="361"/>
      <c r="L1097" s="361"/>
      <c r="M1097" s="361"/>
      <c r="N1097" s="361"/>
      <c r="O1097" s="361"/>
      <c r="P1097" s="361"/>
      <c r="Q1097" s="361"/>
      <c r="R1097" s="361"/>
      <c r="S1097" s="361"/>
      <c r="T1097" s="361"/>
      <c r="U1097" s="361"/>
      <c r="V1097" s="361"/>
      <c r="W1097" s="361"/>
      <c r="X1097" s="361"/>
      <c r="Y1097" s="361"/>
      <c r="Z1097" s="361"/>
    </row>
    <row r="1098" ht="22.5" customHeight="1" outlineLevel="1">
      <c r="A1098" s="412"/>
      <c r="B1098" s="415"/>
      <c r="C1098" s="394"/>
      <c r="D1098" s="412"/>
      <c r="E1098" s="414"/>
      <c r="F1098" s="414"/>
      <c r="G1098" s="414"/>
      <c r="H1098" s="414"/>
      <c r="I1098" s="397"/>
      <c r="J1098" s="392"/>
      <c r="K1098" s="361"/>
      <c r="L1098" s="361"/>
      <c r="M1098" s="361"/>
      <c r="N1098" s="361"/>
      <c r="O1098" s="361"/>
      <c r="P1098" s="361"/>
      <c r="Q1098" s="361"/>
      <c r="R1098" s="361"/>
      <c r="S1098" s="361"/>
      <c r="T1098" s="361"/>
      <c r="U1098" s="361"/>
      <c r="V1098" s="361"/>
      <c r="W1098" s="361"/>
      <c r="X1098" s="361"/>
      <c r="Y1098" s="361"/>
      <c r="Z1098" s="361"/>
    </row>
    <row r="1099" ht="22.5" customHeight="1" outlineLevel="1">
      <c r="A1099" s="412"/>
      <c r="B1099" s="415"/>
      <c r="C1099" s="394"/>
      <c r="D1099" s="412"/>
      <c r="E1099" s="414"/>
      <c r="F1099" s="414"/>
      <c r="G1099" s="414"/>
      <c r="H1099" s="414"/>
      <c r="I1099" s="397"/>
      <c r="J1099" s="392"/>
      <c r="K1099" s="361"/>
      <c r="L1099" s="361"/>
      <c r="M1099" s="361"/>
      <c r="N1099" s="361"/>
      <c r="O1099" s="361"/>
      <c r="P1099" s="361"/>
      <c r="Q1099" s="361"/>
      <c r="R1099" s="361"/>
      <c r="S1099" s="361"/>
      <c r="T1099" s="361"/>
      <c r="U1099" s="361"/>
      <c r="V1099" s="361"/>
      <c r="W1099" s="361"/>
      <c r="X1099" s="361"/>
      <c r="Y1099" s="361"/>
      <c r="Z1099" s="361"/>
    </row>
    <row r="1100" ht="22.5" customHeight="1" outlineLevel="1">
      <c r="A1100" s="412"/>
      <c r="B1100" s="415"/>
      <c r="C1100" s="394"/>
      <c r="D1100" s="412"/>
      <c r="E1100" s="414"/>
      <c r="F1100" s="414"/>
      <c r="G1100" s="414"/>
      <c r="H1100" s="414"/>
      <c r="I1100" s="397"/>
      <c r="J1100" s="392"/>
      <c r="K1100" s="361"/>
      <c r="L1100" s="361"/>
      <c r="M1100" s="361"/>
      <c r="N1100" s="361"/>
      <c r="O1100" s="361"/>
      <c r="P1100" s="361"/>
      <c r="Q1100" s="361"/>
      <c r="R1100" s="361"/>
      <c r="S1100" s="361"/>
      <c r="T1100" s="361"/>
      <c r="U1100" s="361"/>
      <c r="V1100" s="361"/>
      <c r="W1100" s="361"/>
      <c r="X1100" s="361"/>
      <c r="Y1100" s="361"/>
      <c r="Z1100" s="361"/>
    </row>
    <row r="1101" ht="22.5" customHeight="1" outlineLevel="1">
      <c r="A1101" s="412"/>
      <c r="B1101" s="415"/>
      <c r="C1101" s="394"/>
      <c r="D1101" s="412"/>
      <c r="E1101" s="414"/>
      <c r="F1101" s="414"/>
      <c r="G1101" s="414"/>
      <c r="H1101" s="414"/>
      <c r="I1101" s="397"/>
      <c r="J1101" s="392"/>
      <c r="K1101" s="361"/>
      <c r="L1101" s="361"/>
      <c r="M1101" s="361"/>
      <c r="N1101" s="361"/>
      <c r="O1101" s="361"/>
      <c r="P1101" s="361"/>
      <c r="Q1101" s="361"/>
      <c r="R1101" s="361"/>
      <c r="S1101" s="361"/>
      <c r="T1101" s="361"/>
      <c r="U1101" s="361"/>
      <c r="V1101" s="361"/>
      <c r="W1101" s="361"/>
      <c r="X1101" s="361"/>
      <c r="Y1101" s="361"/>
      <c r="Z1101" s="361"/>
    </row>
    <row r="1102" ht="22.5" customHeight="1" outlineLevel="1">
      <c r="A1102" s="412"/>
      <c r="B1102" s="415"/>
      <c r="C1102" s="394"/>
      <c r="D1102" s="412"/>
      <c r="E1102" s="414"/>
      <c r="F1102" s="414"/>
      <c r="G1102" s="414"/>
      <c r="H1102" s="414"/>
      <c r="I1102" s="397"/>
      <c r="J1102" s="392"/>
      <c r="K1102" s="361"/>
      <c r="L1102" s="361"/>
      <c r="M1102" s="361"/>
      <c r="N1102" s="361"/>
      <c r="O1102" s="361"/>
      <c r="P1102" s="361"/>
      <c r="Q1102" s="361"/>
      <c r="R1102" s="361"/>
      <c r="S1102" s="361"/>
      <c r="T1102" s="361"/>
      <c r="U1102" s="361"/>
      <c r="V1102" s="361"/>
      <c r="W1102" s="361"/>
      <c r="X1102" s="361"/>
      <c r="Y1102" s="361"/>
      <c r="Z1102" s="361"/>
    </row>
    <row r="1103" ht="22.5" customHeight="1" outlineLevel="1">
      <c r="A1103" s="412"/>
      <c r="B1103" s="415"/>
      <c r="C1103" s="394"/>
      <c r="D1103" s="412"/>
      <c r="E1103" s="414"/>
      <c r="F1103" s="414"/>
      <c r="G1103" s="414"/>
      <c r="H1103" s="414"/>
      <c r="I1103" s="397"/>
      <c r="J1103" s="392"/>
      <c r="K1103" s="361"/>
      <c r="L1103" s="361"/>
      <c r="M1103" s="361"/>
      <c r="N1103" s="361"/>
      <c r="O1103" s="361"/>
      <c r="P1103" s="361"/>
      <c r="Q1103" s="361"/>
      <c r="R1103" s="361"/>
      <c r="S1103" s="361"/>
      <c r="T1103" s="361"/>
      <c r="U1103" s="361"/>
      <c r="V1103" s="361"/>
      <c r="W1103" s="361"/>
      <c r="X1103" s="361"/>
      <c r="Y1103" s="361"/>
      <c r="Z1103" s="361"/>
    </row>
    <row r="1104" ht="22.5" customHeight="1" outlineLevel="1">
      <c r="A1104" s="412"/>
      <c r="B1104" s="415"/>
      <c r="C1104" s="394"/>
      <c r="D1104" s="412"/>
      <c r="E1104" s="414"/>
      <c r="F1104" s="414"/>
      <c r="G1104" s="414"/>
      <c r="H1104" s="414"/>
      <c r="I1104" s="397"/>
      <c r="J1104" s="392"/>
      <c r="K1104" s="361"/>
      <c r="L1104" s="361"/>
      <c r="M1104" s="361"/>
      <c r="N1104" s="361"/>
      <c r="O1104" s="361"/>
      <c r="P1104" s="361"/>
      <c r="Q1104" s="361"/>
      <c r="R1104" s="361"/>
      <c r="S1104" s="361"/>
      <c r="T1104" s="361"/>
      <c r="U1104" s="361"/>
      <c r="V1104" s="361"/>
      <c r="W1104" s="361"/>
      <c r="X1104" s="361"/>
      <c r="Y1104" s="361"/>
      <c r="Z1104" s="361"/>
    </row>
    <row r="1105" ht="22.5" customHeight="1" outlineLevel="1">
      <c r="A1105" s="412"/>
      <c r="B1105" s="415"/>
      <c r="C1105" s="394"/>
      <c r="D1105" s="412"/>
      <c r="E1105" s="414"/>
      <c r="F1105" s="414"/>
      <c r="G1105" s="414"/>
      <c r="H1105" s="414"/>
      <c r="I1105" s="397"/>
      <c r="J1105" s="392"/>
      <c r="K1105" s="361"/>
      <c r="L1105" s="361"/>
      <c r="M1105" s="361"/>
      <c r="N1105" s="361"/>
      <c r="O1105" s="361"/>
      <c r="P1105" s="361"/>
      <c r="Q1105" s="361"/>
      <c r="R1105" s="361"/>
      <c r="S1105" s="361"/>
      <c r="T1105" s="361"/>
      <c r="U1105" s="361"/>
      <c r="V1105" s="361"/>
      <c r="W1105" s="361"/>
      <c r="X1105" s="361"/>
      <c r="Y1105" s="361"/>
      <c r="Z1105" s="361"/>
    </row>
    <row r="1106" ht="22.5" customHeight="1" outlineLevel="1">
      <c r="A1106" s="412"/>
      <c r="B1106" s="415"/>
      <c r="C1106" s="394"/>
      <c r="D1106" s="412"/>
      <c r="E1106" s="414"/>
      <c r="F1106" s="414"/>
      <c r="G1106" s="414"/>
      <c r="H1106" s="414"/>
      <c r="I1106" s="397"/>
      <c r="J1106" s="392"/>
      <c r="K1106" s="361"/>
      <c r="L1106" s="361"/>
      <c r="M1106" s="361"/>
      <c r="N1106" s="361"/>
      <c r="O1106" s="361"/>
      <c r="P1106" s="361"/>
      <c r="Q1106" s="361"/>
      <c r="R1106" s="361"/>
      <c r="S1106" s="361"/>
      <c r="T1106" s="361"/>
      <c r="U1106" s="361"/>
      <c r="V1106" s="361"/>
      <c r="W1106" s="361"/>
      <c r="X1106" s="361"/>
      <c r="Y1106" s="361"/>
      <c r="Z1106" s="361"/>
    </row>
    <row r="1107" ht="22.5" customHeight="1" outlineLevel="1">
      <c r="A1107" s="412"/>
      <c r="B1107" s="415"/>
      <c r="C1107" s="394"/>
      <c r="D1107" s="412"/>
      <c r="E1107" s="414"/>
      <c r="F1107" s="414"/>
      <c r="G1107" s="414"/>
      <c r="H1107" s="414"/>
      <c r="I1107" s="397"/>
      <c r="J1107" s="392"/>
      <c r="K1107" s="361"/>
      <c r="L1107" s="361"/>
      <c r="M1107" s="361"/>
      <c r="N1107" s="361"/>
      <c r="O1107" s="361"/>
      <c r="P1107" s="361"/>
      <c r="Q1107" s="361"/>
      <c r="R1107" s="361"/>
      <c r="S1107" s="361"/>
      <c r="T1107" s="361"/>
      <c r="U1107" s="361"/>
      <c r="V1107" s="361"/>
      <c r="W1107" s="361"/>
      <c r="X1107" s="361"/>
      <c r="Y1107" s="361"/>
      <c r="Z1107" s="361"/>
    </row>
    <row r="1108" ht="22.5" customHeight="1" outlineLevel="1">
      <c r="A1108" s="412"/>
      <c r="B1108" s="415"/>
      <c r="C1108" s="394"/>
      <c r="D1108" s="412"/>
      <c r="E1108" s="414"/>
      <c r="F1108" s="414"/>
      <c r="G1108" s="414"/>
      <c r="H1108" s="414"/>
      <c r="I1108" s="397"/>
      <c r="J1108" s="392"/>
      <c r="K1108" s="361"/>
      <c r="L1108" s="361"/>
      <c r="M1108" s="361"/>
      <c r="N1108" s="361"/>
      <c r="O1108" s="361"/>
      <c r="P1108" s="361"/>
      <c r="Q1108" s="361"/>
      <c r="R1108" s="361"/>
      <c r="S1108" s="361"/>
      <c r="T1108" s="361"/>
      <c r="U1108" s="361"/>
      <c r="V1108" s="361"/>
      <c r="W1108" s="361"/>
      <c r="X1108" s="361"/>
      <c r="Y1108" s="361"/>
      <c r="Z1108" s="361"/>
    </row>
    <row r="1109" ht="22.5" customHeight="1" outlineLevel="1">
      <c r="A1109" s="412"/>
      <c r="B1109" s="415"/>
      <c r="C1109" s="394"/>
      <c r="D1109" s="412"/>
      <c r="E1109" s="414"/>
      <c r="F1109" s="414"/>
      <c r="G1109" s="414"/>
      <c r="H1109" s="414"/>
      <c r="I1109" s="397"/>
      <c r="J1109" s="392"/>
      <c r="K1109" s="361"/>
      <c r="L1109" s="361"/>
      <c r="M1109" s="361"/>
      <c r="N1109" s="361"/>
      <c r="O1109" s="361"/>
      <c r="P1109" s="361"/>
      <c r="Q1109" s="361"/>
      <c r="R1109" s="361"/>
      <c r="S1109" s="361"/>
      <c r="T1109" s="361"/>
      <c r="U1109" s="361"/>
      <c r="V1109" s="361"/>
      <c r="W1109" s="361"/>
      <c r="X1109" s="361"/>
      <c r="Y1109" s="361"/>
      <c r="Z1109" s="361"/>
    </row>
    <row r="1110" ht="22.5" customHeight="1" outlineLevel="1">
      <c r="A1110" s="412"/>
      <c r="B1110" s="415"/>
      <c r="C1110" s="394"/>
      <c r="D1110" s="412"/>
      <c r="E1110" s="414"/>
      <c r="F1110" s="414"/>
      <c r="G1110" s="414"/>
      <c r="H1110" s="414"/>
      <c r="I1110" s="397"/>
      <c r="J1110" s="392"/>
      <c r="K1110" s="361"/>
      <c r="L1110" s="361"/>
      <c r="M1110" s="361"/>
      <c r="N1110" s="361"/>
      <c r="O1110" s="361"/>
      <c r="P1110" s="361"/>
      <c r="Q1110" s="361"/>
      <c r="R1110" s="361"/>
      <c r="S1110" s="361"/>
      <c r="T1110" s="361"/>
      <c r="U1110" s="361"/>
      <c r="V1110" s="361"/>
      <c r="W1110" s="361"/>
      <c r="X1110" s="361"/>
      <c r="Y1110" s="361"/>
      <c r="Z1110" s="361"/>
    </row>
    <row r="1111" ht="22.5" customHeight="1" outlineLevel="1">
      <c r="A1111" s="412"/>
      <c r="B1111" s="415"/>
      <c r="C1111" s="394"/>
      <c r="D1111" s="412"/>
      <c r="E1111" s="414"/>
      <c r="F1111" s="414"/>
      <c r="G1111" s="414"/>
      <c r="H1111" s="414"/>
      <c r="I1111" s="397"/>
      <c r="J1111" s="392"/>
      <c r="K1111" s="361"/>
      <c r="L1111" s="361"/>
      <c r="M1111" s="361"/>
      <c r="N1111" s="361"/>
      <c r="O1111" s="361"/>
      <c r="P1111" s="361"/>
      <c r="Q1111" s="361"/>
      <c r="R1111" s="361"/>
      <c r="S1111" s="361"/>
      <c r="T1111" s="361"/>
      <c r="U1111" s="361"/>
      <c r="V1111" s="361"/>
      <c r="W1111" s="361"/>
      <c r="X1111" s="361"/>
      <c r="Y1111" s="361"/>
      <c r="Z1111" s="361"/>
    </row>
    <row r="1112" ht="22.5" customHeight="1" outlineLevel="1">
      <c r="A1112" s="412"/>
      <c r="B1112" s="415"/>
      <c r="C1112" s="394"/>
      <c r="D1112" s="412"/>
      <c r="E1112" s="414"/>
      <c r="F1112" s="414"/>
      <c r="G1112" s="414"/>
      <c r="H1112" s="414"/>
      <c r="I1112" s="397"/>
      <c r="J1112" s="392"/>
      <c r="K1112" s="361"/>
      <c r="L1112" s="361"/>
      <c r="M1112" s="361"/>
      <c r="N1112" s="361"/>
      <c r="O1112" s="361"/>
      <c r="P1112" s="361"/>
      <c r="Q1112" s="361"/>
      <c r="R1112" s="361"/>
      <c r="S1112" s="361"/>
      <c r="T1112" s="361"/>
      <c r="U1112" s="361"/>
      <c r="V1112" s="361"/>
      <c r="W1112" s="361"/>
      <c r="X1112" s="361"/>
      <c r="Y1112" s="361"/>
      <c r="Z1112" s="361"/>
    </row>
    <row r="1113" ht="22.5" customHeight="1" outlineLevel="1">
      <c r="A1113" s="412"/>
      <c r="B1113" s="415"/>
      <c r="C1113" s="394"/>
      <c r="D1113" s="412"/>
      <c r="E1113" s="414"/>
      <c r="F1113" s="414"/>
      <c r="G1113" s="414"/>
      <c r="H1113" s="414"/>
      <c r="I1113" s="397"/>
      <c r="J1113" s="392"/>
      <c r="K1113" s="361"/>
      <c r="L1113" s="361"/>
      <c r="M1113" s="361"/>
      <c r="N1113" s="361"/>
      <c r="O1113" s="361"/>
      <c r="P1113" s="361"/>
      <c r="Q1113" s="361"/>
      <c r="R1113" s="361"/>
      <c r="S1113" s="361"/>
      <c r="T1113" s="361"/>
      <c r="U1113" s="361"/>
      <c r="V1113" s="361"/>
      <c r="W1113" s="361"/>
      <c r="X1113" s="361"/>
      <c r="Y1113" s="361"/>
      <c r="Z1113" s="361"/>
    </row>
    <row r="1114" ht="22.5" customHeight="1" outlineLevel="1">
      <c r="A1114" s="412"/>
      <c r="B1114" s="415"/>
      <c r="C1114" s="394"/>
      <c r="D1114" s="412"/>
      <c r="E1114" s="414"/>
      <c r="F1114" s="414"/>
      <c r="G1114" s="414"/>
      <c r="H1114" s="414"/>
      <c r="I1114" s="397"/>
      <c r="J1114" s="392"/>
      <c r="K1114" s="361"/>
      <c r="L1114" s="361"/>
      <c r="M1114" s="361"/>
      <c r="N1114" s="361"/>
      <c r="O1114" s="361"/>
      <c r="P1114" s="361"/>
      <c r="Q1114" s="361"/>
      <c r="R1114" s="361"/>
      <c r="S1114" s="361"/>
      <c r="T1114" s="361"/>
      <c r="U1114" s="361"/>
      <c r="V1114" s="361"/>
      <c r="W1114" s="361"/>
      <c r="X1114" s="361"/>
      <c r="Y1114" s="361"/>
      <c r="Z1114" s="361"/>
    </row>
    <row r="1115" ht="22.5" customHeight="1" outlineLevel="1">
      <c r="A1115" s="412"/>
      <c r="B1115" s="415"/>
      <c r="C1115" s="394"/>
      <c r="D1115" s="412"/>
      <c r="E1115" s="414"/>
      <c r="F1115" s="414"/>
      <c r="G1115" s="414"/>
      <c r="H1115" s="414"/>
      <c r="I1115" s="397"/>
      <c r="J1115" s="392"/>
      <c r="K1115" s="361"/>
      <c r="L1115" s="361"/>
      <c r="M1115" s="361"/>
      <c r="N1115" s="361"/>
      <c r="O1115" s="361"/>
      <c r="P1115" s="361"/>
      <c r="Q1115" s="361"/>
      <c r="R1115" s="361"/>
      <c r="S1115" s="361"/>
      <c r="T1115" s="361"/>
      <c r="U1115" s="361"/>
      <c r="V1115" s="361"/>
      <c r="W1115" s="361"/>
      <c r="X1115" s="361"/>
      <c r="Y1115" s="361"/>
      <c r="Z1115" s="361"/>
    </row>
    <row r="1116" ht="22.5" customHeight="1" outlineLevel="1">
      <c r="A1116" s="412"/>
      <c r="B1116" s="415"/>
      <c r="C1116" s="394"/>
      <c r="D1116" s="412"/>
      <c r="E1116" s="414"/>
      <c r="F1116" s="414"/>
      <c r="G1116" s="414"/>
      <c r="H1116" s="414"/>
      <c r="I1116" s="397"/>
      <c r="J1116" s="392"/>
      <c r="K1116" s="361"/>
      <c r="L1116" s="361"/>
      <c r="M1116" s="361"/>
      <c r="N1116" s="361"/>
      <c r="O1116" s="361"/>
      <c r="P1116" s="361"/>
      <c r="Q1116" s="361"/>
      <c r="R1116" s="361"/>
      <c r="S1116" s="361"/>
      <c r="T1116" s="361"/>
      <c r="U1116" s="361"/>
      <c r="V1116" s="361"/>
      <c r="W1116" s="361"/>
      <c r="X1116" s="361"/>
      <c r="Y1116" s="361"/>
      <c r="Z1116" s="361"/>
    </row>
    <row r="1117" ht="22.5" customHeight="1" outlineLevel="1">
      <c r="A1117" s="412"/>
      <c r="B1117" s="415"/>
      <c r="C1117" s="394"/>
      <c r="D1117" s="412"/>
      <c r="E1117" s="414"/>
      <c r="F1117" s="414"/>
      <c r="G1117" s="414"/>
      <c r="H1117" s="414"/>
      <c r="I1117" s="397"/>
      <c r="J1117" s="392"/>
      <c r="K1117" s="361"/>
      <c r="L1117" s="361"/>
      <c r="M1117" s="361"/>
      <c r="N1117" s="361"/>
      <c r="O1117" s="361"/>
      <c r="P1117" s="361"/>
      <c r="Q1117" s="361"/>
      <c r="R1117" s="361"/>
      <c r="S1117" s="361"/>
      <c r="T1117" s="361"/>
      <c r="U1117" s="361"/>
      <c r="V1117" s="361"/>
      <c r="W1117" s="361"/>
      <c r="X1117" s="361"/>
      <c r="Y1117" s="361"/>
      <c r="Z1117" s="361"/>
    </row>
    <row r="1118" ht="22.5" customHeight="1" outlineLevel="1">
      <c r="A1118" s="412"/>
      <c r="B1118" s="415"/>
      <c r="C1118" s="394"/>
      <c r="D1118" s="412"/>
      <c r="E1118" s="414"/>
      <c r="F1118" s="414"/>
      <c r="G1118" s="414"/>
      <c r="H1118" s="414"/>
      <c r="I1118" s="397"/>
      <c r="J1118" s="392"/>
      <c r="K1118" s="361"/>
      <c r="L1118" s="361"/>
      <c r="M1118" s="361"/>
      <c r="N1118" s="361"/>
      <c r="O1118" s="361"/>
      <c r="P1118" s="361"/>
      <c r="Q1118" s="361"/>
      <c r="R1118" s="361"/>
      <c r="S1118" s="361"/>
      <c r="T1118" s="361"/>
      <c r="U1118" s="361"/>
      <c r="V1118" s="361"/>
      <c r="W1118" s="361"/>
      <c r="X1118" s="361"/>
      <c r="Y1118" s="361"/>
      <c r="Z1118" s="361"/>
    </row>
    <row r="1119" ht="22.5" customHeight="1" outlineLevel="1">
      <c r="A1119" s="412"/>
      <c r="B1119" s="415"/>
      <c r="C1119" s="394"/>
      <c r="D1119" s="412"/>
      <c r="E1119" s="414"/>
      <c r="F1119" s="414"/>
      <c r="G1119" s="414"/>
      <c r="H1119" s="414"/>
      <c r="I1119" s="397"/>
      <c r="J1119" s="392"/>
      <c r="K1119" s="361"/>
      <c r="L1119" s="361"/>
      <c r="M1119" s="361"/>
      <c r="N1119" s="361"/>
      <c r="O1119" s="361"/>
      <c r="P1119" s="361"/>
      <c r="Q1119" s="361"/>
      <c r="R1119" s="361"/>
      <c r="S1119" s="361"/>
      <c r="T1119" s="361"/>
      <c r="U1119" s="361"/>
      <c r="V1119" s="361"/>
      <c r="W1119" s="361"/>
      <c r="X1119" s="361"/>
      <c r="Y1119" s="361"/>
      <c r="Z1119" s="361"/>
    </row>
    <row r="1120" ht="22.5" customHeight="1" outlineLevel="1">
      <c r="A1120" s="412"/>
      <c r="B1120" s="415"/>
      <c r="C1120" s="394"/>
      <c r="D1120" s="412"/>
      <c r="E1120" s="414"/>
      <c r="F1120" s="414"/>
      <c r="G1120" s="414"/>
      <c r="H1120" s="414"/>
      <c r="I1120" s="397"/>
      <c r="J1120" s="392"/>
      <c r="K1120" s="361"/>
      <c r="L1120" s="361"/>
      <c r="M1120" s="361"/>
      <c r="N1120" s="361"/>
      <c r="O1120" s="361"/>
      <c r="P1120" s="361"/>
      <c r="Q1120" s="361"/>
      <c r="R1120" s="361"/>
      <c r="S1120" s="361"/>
      <c r="T1120" s="361"/>
      <c r="U1120" s="361"/>
      <c r="V1120" s="361"/>
      <c r="W1120" s="361"/>
      <c r="X1120" s="361"/>
      <c r="Y1120" s="361"/>
      <c r="Z1120" s="361"/>
    </row>
    <row r="1121" ht="22.5" customHeight="1" outlineLevel="1">
      <c r="A1121" s="412"/>
      <c r="B1121" s="415"/>
      <c r="C1121" s="394"/>
      <c r="D1121" s="412"/>
      <c r="E1121" s="414"/>
      <c r="F1121" s="414"/>
      <c r="G1121" s="414"/>
      <c r="H1121" s="414"/>
      <c r="I1121" s="397"/>
      <c r="J1121" s="392"/>
      <c r="K1121" s="361"/>
      <c r="L1121" s="361"/>
      <c r="M1121" s="361"/>
      <c r="N1121" s="361"/>
      <c r="O1121" s="361"/>
      <c r="P1121" s="361"/>
      <c r="Q1121" s="361"/>
      <c r="R1121" s="361"/>
      <c r="S1121" s="361"/>
      <c r="T1121" s="361"/>
      <c r="U1121" s="361"/>
      <c r="V1121" s="361"/>
      <c r="W1121" s="361"/>
      <c r="X1121" s="361"/>
      <c r="Y1121" s="361"/>
      <c r="Z1121" s="361"/>
    </row>
    <row r="1122" ht="22.5" customHeight="1" outlineLevel="1">
      <c r="A1122" s="412"/>
      <c r="B1122" s="415"/>
      <c r="C1122" s="394"/>
      <c r="D1122" s="412"/>
      <c r="E1122" s="414"/>
      <c r="F1122" s="414"/>
      <c r="G1122" s="414"/>
      <c r="H1122" s="414"/>
      <c r="I1122" s="397"/>
      <c r="J1122" s="392"/>
      <c r="K1122" s="361"/>
      <c r="L1122" s="361"/>
      <c r="M1122" s="361"/>
      <c r="N1122" s="361"/>
      <c r="O1122" s="361"/>
      <c r="P1122" s="361"/>
      <c r="Q1122" s="361"/>
      <c r="R1122" s="361"/>
      <c r="S1122" s="361"/>
      <c r="T1122" s="361"/>
      <c r="U1122" s="361"/>
      <c r="V1122" s="361"/>
      <c r="W1122" s="361"/>
      <c r="X1122" s="361"/>
      <c r="Y1122" s="361"/>
      <c r="Z1122" s="361"/>
    </row>
    <row r="1123" ht="22.5" customHeight="1" outlineLevel="1">
      <c r="A1123" s="412"/>
      <c r="B1123" s="415"/>
      <c r="C1123" s="394"/>
      <c r="D1123" s="412"/>
      <c r="E1123" s="414"/>
      <c r="F1123" s="414"/>
      <c r="G1123" s="414"/>
      <c r="H1123" s="414"/>
      <c r="I1123" s="397"/>
      <c r="J1123" s="392"/>
      <c r="K1123" s="361"/>
      <c r="L1123" s="361"/>
      <c r="M1123" s="361"/>
      <c r="N1123" s="361"/>
      <c r="O1123" s="361"/>
      <c r="P1123" s="361"/>
      <c r="Q1123" s="361"/>
      <c r="R1123" s="361"/>
      <c r="S1123" s="361"/>
      <c r="T1123" s="361"/>
      <c r="U1123" s="361"/>
      <c r="V1123" s="361"/>
      <c r="W1123" s="361"/>
      <c r="X1123" s="361"/>
      <c r="Y1123" s="361"/>
      <c r="Z1123" s="361"/>
    </row>
    <row r="1124" ht="22.5" customHeight="1" outlineLevel="1">
      <c r="A1124" s="412"/>
      <c r="B1124" s="415"/>
      <c r="C1124" s="394"/>
      <c r="D1124" s="412"/>
      <c r="E1124" s="414"/>
      <c r="F1124" s="414"/>
      <c r="G1124" s="414"/>
      <c r="H1124" s="414"/>
      <c r="I1124" s="397"/>
      <c r="J1124" s="392"/>
      <c r="K1124" s="361"/>
      <c r="L1124" s="361"/>
      <c r="M1124" s="361"/>
      <c r="N1124" s="361"/>
      <c r="O1124" s="361"/>
      <c r="P1124" s="361"/>
      <c r="Q1124" s="361"/>
      <c r="R1124" s="361"/>
      <c r="S1124" s="361"/>
      <c r="T1124" s="361"/>
      <c r="U1124" s="361"/>
      <c r="V1124" s="361"/>
      <c r="W1124" s="361"/>
      <c r="X1124" s="361"/>
      <c r="Y1124" s="361"/>
      <c r="Z1124" s="361"/>
    </row>
    <row r="1125" ht="22.5" customHeight="1" outlineLevel="1">
      <c r="A1125" s="412"/>
      <c r="B1125" s="415"/>
      <c r="C1125" s="394"/>
      <c r="D1125" s="412"/>
      <c r="E1125" s="414"/>
      <c r="F1125" s="414"/>
      <c r="G1125" s="414"/>
      <c r="H1125" s="414"/>
      <c r="I1125" s="397"/>
      <c r="J1125" s="392"/>
      <c r="K1125" s="361"/>
      <c r="L1125" s="361"/>
      <c r="M1125" s="361"/>
      <c r="N1125" s="361"/>
      <c r="O1125" s="361"/>
      <c r="P1125" s="361"/>
      <c r="Q1125" s="361"/>
      <c r="R1125" s="361"/>
      <c r="S1125" s="361"/>
      <c r="T1125" s="361"/>
      <c r="U1125" s="361"/>
      <c r="V1125" s="361"/>
      <c r="W1125" s="361"/>
      <c r="X1125" s="361"/>
      <c r="Y1125" s="361"/>
      <c r="Z1125" s="361"/>
    </row>
    <row r="1126" ht="22.5" customHeight="1" outlineLevel="1">
      <c r="A1126" s="412"/>
      <c r="B1126" s="415"/>
      <c r="C1126" s="394"/>
      <c r="D1126" s="412"/>
      <c r="E1126" s="414"/>
      <c r="F1126" s="414"/>
      <c r="G1126" s="414"/>
      <c r="H1126" s="414"/>
      <c r="I1126" s="397"/>
      <c r="J1126" s="392"/>
      <c r="K1126" s="361"/>
      <c r="L1126" s="361"/>
      <c r="M1126" s="361"/>
      <c r="N1126" s="361"/>
      <c r="O1126" s="361"/>
      <c r="P1126" s="361"/>
      <c r="Q1126" s="361"/>
      <c r="R1126" s="361"/>
      <c r="S1126" s="361"/>
      <c r="T1126" s="361"/>
      <c r="U1126" s="361"/>
      <c r="V1126" s="361"/>
      <c r="W1126" s="361"/>
      <c r="X1126" s="361"/>
      <c r="Y1126" s="361"/>
      <c r="Z1126" s="361"/>
    </row>
    <row r="1127" ht="22.5" customHeight="1" outlineLevel="1">
      <c r="A1127" s="412"/>
      <c r="B1127" s="415"/>
      <c r="C1127" s="394"/>
      <c r="D1127" s="412"/>
      <c r="E1127" s="414"/>
      <c r="F1127" s="414"/>
      <c r="G1127" s="414"/>
      <c r="H1127" s="414"/>
      <c r="I1127" s="397"/>
      <c r="J1127" s="392"/>
      <c r="K1127" s="361"/>
      <c r="L1127" s="361"/>
      <c r="M1127" s="361"/>
      <c r="N1127" s="361"/>
      <c r="O1127" s="361"/>
      <c r="P1127" s="361"/>
      <c r="Q1127" s="361"/>
      <c r="R1127" s="361"/>
      <c r="S1127" s="361"/>
      <c r="T1127" s="361"/>
      <c r="U1127" s="361"/>
      <c r="V1127" s="361"/>
      <c r="W1127" s="361"/>
      <c r="X1127" s="361"/>
      <c r="Y1127" s="361"/>
      <c r="Z1127" s="361"/>
    </row>
    <row r="1128" ht="22.5" customHeight="1" outlineLevel="1">
      <c r="A1128" s="412"/>
      <c r="B1128" s="415"/>
      <c r="C1128" s="394"/>
      <c r="D1128" s="412"/>
      <c r="E1128" s="414"/>
      <c r="F1128" s="414"/>
      <c r="G1128" s="414"/>
      <c r="H1128" s="414"/>
      <c r="I1128" s="397"/>
      <c r="J1128" s="392"/>
      <c r="K1128" s="361"/>
      <c r="L1128" s="361"/>
      <c r="M1128" s="361"/>
      <c r="N1128" s="361"/>
      <c r="O1128" s="361"/>
      <c r="P1128" s="361"/>
      <c r="Q1128" s="361"/>
      <c r="R1128" s="361"/>
      <c r="S1128" s="361"/>
      <c r="T1128" s="361"/>
      <c r="U1128" s="361"/>
      <c r="V1128" s="361"/>
      <c r="W1128" s="361"/>
      <c r="X1128" s="361"/>
      <c r="Y1128" s="361"/>
      <c r="Z1128" s="361"/>
    </row>
    <row r="1129" ht="22.5" customHeight="1" outlineLevel="1">
      <c r="A1129" s="412"/>
      <c r="B1129" s="415"/>
      <c r="C1129" s="394"/>
      <c r="D1129" s="412"/>
      <c r="E1129" s="414"/>
      <c r="F1129" s="414"/>
      <c r="G1129" s="414"/>
      <c r="H1129" s="414"/>
      <c r="I1129" s="397"/>
      <c r="J1129" s="392"/>
      <c r="K1129" s="361"/>
      <c r="L1129" s="361"/>
      <c r="M1129" s="361"/>
      <c r="N1129" s="361"/>
      <c r="O1129" s="361"/>
      <c r="P1129" s="361"/>
      <c r="Q1129" s="361"/>
      <c r="R1129" s="361"/>
      <c r="S1129" s="361"/>
      <c r="T1129" s="361"/>
      <c r="U1129" s="361"/>
      <c r="V1129" s="361"/>
      <c r="W1129" s="361"/>
      <c r="X1129" s="361"/>
      <c r="Y1129" s="361"/>
      <c r="Z1129" s="361"/>
    </row>
    <row r="1130" ht="22.5" customHeight="1" outlineLevel="1">
      <c r="A1130" s="412"/>
      <c r="B1130" s="415"/>
      <c r="C1130" s="394"/>
      <c r="D1130" s="412"/>
      <c r="E1130" s="414"/>
      <c r="F1130" s="414"/>
      <c r="G1130" s="414"/>
      <c r="H1130" s="414"/>
      <c r="I1130" s="397"/>
      <c r="J1130" s="392"/>
      <c r="K1130" s="361"/>
      <c r="L1130" s="361"/>
      <c r="M1130" s="361"/>
      <c r="N1130" s="361"/>
      <c r="O1130" s="361"/>
      <c r="P1130" s="361"/>
      <c r="Q1130" s="361"/>
      <c r="R1130" s="361"/>
      <c r="S1130" s="361"/>
      <c r="T1130" s="361"/>
      <c r="U1130" s="361"/>
      <c r="V1130" s="361"/>
      <c r="W1130" s="361"/>
      <c r="X1130" s="361"/>
      <c r="Y1130" s="361"/>
      <c r="Z1130" s="361"/>
    </row>
    <row r="1131" ht="22.5" customHeight="1" outlineLevel="1">
      <c r="A1131" s="412"/>
      <c r="B1131" s="415"/>
      <c r="C1131" s="394"/>
      <c r="D1131" s="412"/>
      <c r="E1131" s="414"/>
      <c r="F1131" s="414"/>
      <c r="G1131" s="414"/>
      <c r="H1131" s="414"/>
      <c r="I1131" s="397"/>
      <c r="J1131" s="392"/>
      <c r="K1131" s="361"/>
      <c r="L1131" s="361"/>
      <c r="M1131" s="361"/>
      <c r="N1131" s="361"/>
      <c r="O1131" s="361"/>
      <c r="P1131" s="361"/>
      <c r="Q1131" s="361"/>
      <c r="R1131" s="361"/>
      <c r="S1131" s="361"/>
      <c r="T1131" s="361"/>
      <c r="U1131" s="361"/>
      <c r="V1131" s="361"/>
      <c r="W1131" s="361"/>
      <c r="X1131" s="361"/>
      <c r="Y1131" s="361"/>
      <c r="Z1131" s="361"/>
    </row>
    <row r="1132" ht="22.5" customHeight="1" outlineLevel="1">
      <c r="A1132" s="412"/>
      <c r="B1132" s="415"/>
      <c r="C1132" s="394"/>
      <c r="D1132" s="412"/>
      <c r="E1132" s="414"/>
      <c r="F1132" s="414"/>
      <c r="G1132" s="414"/>
      <c r="H1132" s="414"/>
      <c r="I1132" s="397"/>
      <c r="J1132" s="392"/>
      <c r="K1132" s="361"/>
      <c r="L1132" s="361"/>
      <c r="M1132" s="361"/>
      <c r="N1132" s="361"/>
      <c r="O1132" s="361"/>
      <c r="P1132" s="361"/>
      <c r="Q1132" s="361"/>
      <c r="R1132" s="361"/>
      <c r="S1132" s="361"/>
      <c r="T1132" s="361"/>
      <c r="U1132" s="361"/>
      <c r="V1132" s="361"/>
      <c r="W1132" s="361"/>
      <c r="X1132" s="361"/>
      <c r="Y1132" s="361"/>
      <c r="Z1132" s="361"/>
    </row>
    <row r="1133" ht="22.5" customHeight="1" outlineLevel="1">
      <c r="A1133" s="412"/>
      <c r="B1133" s="415"/>
      <c r="C1133" s="394"/>
      <c r="D1133" s="412"/>
      <c r="E1133" s="414"/>
      <c r="F1133" s="414"/>
      <c r="G1133" s="414"/>
      <c r="H1133" s="414"/>
      <c r="I1133" s="397"/>
      <c r="J1133" s="392"/>
      <c r="K1133" s="361"/>
      <c r="L1133" s="361"/>
      <c r="M1133" s="361"/>
      <c r="N1133" s="361"/>
      <c r="O1133" s="361"/>
      <c r="P1133" s="361"/>
      <c r="Q1133" s="361"/>
      <c r="R1133" s="361"/>
      <c r="S1133" s="361"/>
      <c r="T1133" s="361"/>
      <c r="U1133" s="361"/>
      <c r="V1133" s="361"/>
      <c r="W1133" s="361"/>
      <c r="X1133" s="361"/>
      <c r="Y1133" s="361"/>
      <c r="Z1133" s="361"/>
    </row>
    <row r="1134" ht="22.5" customHeight="1" outlineLevel="1">
      <c r="A1134" s="412"/>
      <c r="B1134" s="415"/>
      <c r="C1134" s="394"/>
      <c r="D1134" s="412"/>
      <c r="E1134" s="414"/>
      <c r="F1134" s="414"/>
      <c r="G1134" s="414"/>
      <c r="H1134" s="414"/>
      <c r="I1134" s="397"/>
      <c r="J1134" s="392"/>
      <c r="K1134" s="361"/>
      <c r="L1134" s="361"/>
      <c r="M1134" s="361"/>
      <c r="N1134" s="361"/>
      <c r="O1134" s="361"/>
      <c r="P1134" s="361"/>
      <c r="Q1134" s="361"/>
      <c r="R1134" s="361"/>
      <c r="S1134" s="361"/>
      <c r="T1134" s="361"/>
      <c r="U1134" s="361"/>
      <c r="V1134" s="361"/>
      <c r="W1134" s="361"/>
      <c r="X1134" s="361"/>
      <c r="Y1134" s="361"/>
      <c r="Z1134" s="361"/>
    </row>
    <row r="1135" ht="22.5" customHeight="1" outlineLevel="1">
      <c r="A1135" s="412"/>
      <c r="B1135" s="415"/>
      <c r="C1135" s="394"/>
      <c r="D1135" s="412"/>
      <c r="E1135" s="414"/>
      <c r="F1135" s="414"/>
      <c r="G1135" s="414"/>
      <c r="H1135" s="414"/>
      <c r="I1135" s="397"/>
      <c r="J1135" s="392"/>
      <c r="K1135" s="361"/>
      <c r="L1135" s="361"/>
      <c r="M1135" s="361"/>
      <c r="N1135" s="361"/>
      <c r="O1135" s="361"/>
      <c r="P1135" s="361"/>
      <c r="Q1135" s="361"/>
      <c r="R1135" s="361"/>
      <c r="S1135" s="361"/>
      <c r="T1135" s="361"/>
      <c r="U1135" s="361"/>
      <c r="V1135" s="361"/>
      <c r="W1135" s="361"/>
      <c r="X1135" s="361"/>
      <c r="Y1135" s="361"/>
      <c r="Z1135" s="361"/>
    </row>
    <row r="1136" ht="22.5" customHeight="1" outlineLevel="1">
      <c r="A1136" s="412"/>
      <c r="B1136" s="415"/>
      <c r="C1136" s="394"/>
      <c r="D1136" s="412"/>
      <c r="E1136" s="414"/>
      <c r="F1136" s="414"/>
      <c r="G1136" s="414"/>
      <c r="H1136" s="414"/>
      <c r="I1136" s="397"/>
      <c r="J1136" s="392"/>
      <c r="K1136" s="361"/>
      <c r="L1136" s="361"/>
      <c r="M1136" s="361"/>
      <c r="N1136" s="361"/>
      <c r="O1136" s="361"/>
      <c r="P1136" s="361"/>
      <c r="Q1136" s="361"/>
      <c r="R1136" s="361"/>
      <c r="S1136" s="361"/>
      <c r="T1136" s="361"/>
      <c r="U1136" s="361"/>
      <c r="V1136" s="361"/>
      <c r="W1136" s="361"/>
      <c r="X1136" s="361"/>
      <c r="Y1136" s="361"/>
      <c r="Z1136" s="361"/>
    </row>
    <row r="1137" ht="22.5" customHeight="1" outlineLevel="1">
      <c r="A1137" s="412"/>
      <c r="B1137" s="415"/>
      <c r="C1137" s="394"/>
      <c r="D1137" s="412"/>
      <c r="E1137" s="414"/>
      <c r="F1137" s="414"/>
      <c r="G1137" s="414"/>
      <c r="H1137" s="414"/>
      <c r="I1137" s="397"/>
      <c r="J1137" s="392"/>
      <c r="K1137" s="361"/>
      <c r="L1137" s="361"/>
      <c r="M1137" s="361"/>
      <c r="N1137" s="361"/>
      <c r="O1137" s="361"/>
      <c r="P1137" s="361"/>
      <c r="Q1137" s="361"/>
      <c r="R1137" s="361"/>
      <c r="S1137" s="361"/>
      <c r="T1137" s="361"/>
      <c r="U1137" s="361"/>
      <c r="V1137" s="361"/>
      <c r="W1137" s="361"/>
      <c r="X1137" s="361"/>
      <c r="Y1137" s="361"/>
      <c r="Z1137" s="361"/>
    </row>
    <row r="1138" ht="22.5" customHeight="1" outlineLevel="1">
      <c r="A1138" s="412"/>
      <c r="B1138" s="415"/>
      <c r="C1138" s="394"/>
      <c r="D1138" s="412"/>
      <c r="E1138" s="414"/>
      <c r="F1138" s="414"/>
      <c r="G1138" s="414"/>
      <c r="H1138" s="414"/>
      <c r="I1138" s="397"/>
      <c r="J1138" s="392"/>
      <c r="K1138" s="361"/>
      <c r="L1138" s="361"/>
      <c r="M1138" s="361"/>
      <c r="N1138" s="361"/>
      <c r="O1138" s="361"/>
      <c r="P1138" s="361"/>
      <c r="Q1138" s="361"/>
      <c r="R1138" s="361"/>
      <c r="S1138" s="361"/>
      <c r="T1138" s="361"/>
      <c r="U1138" s="361"/>
      <c r="V1138" s="361"/>
      <c r="W1138" s="361"/>
      <c r="X1138" s="361"/>
      <c r="Y1138" s="361"/>
      <c r="Z1138" s="361"/>
    </row>
    <row r="1139" ht="22.5" customHeight="1" outlineLevel="1">
      <c r="A1139" s="412"/>
      <c r="B1139" s="415"/>
      <c r="C1139" s="394"/>
      <c r="D1139" s="412"/>
      <c r="E1139" s="414"/>
      <c r="F1139" s="414"/>
      <c r="G1139" s="414"/>
      <c r="H1139" s="414"/>
      <c r="I1139" s="397"/>
      <c r="J1139" s="392"/>
      <c r="K1139" s="361"/>
      <c r="L1139" s="361"/>
      <c r="M1139" s="361"/>
      <c r="N1139" s="361"/>
      <c r="O1139" s="361"/>
      <c r="P1139" s="361"/>
      <c r="Q1139" s="361"/>
      <c r="R1139" s="361"/>
      <c r="S1139" s="361"/>
      <c r="T1139" s="361"/>
      <c r="U1139" s="361"/>
      <c r="V1139" s="361"/>
      <c r="W1139" s="361"/>
      <c r="X1139" s="361"/>
      <c r="Y1139" s="361"/>
      <c r="Z1139" s="361"/>
    </row>
    <row r="1140" ht="22.5" customHeight="1" outlineLevel="1">
      <c r="A1140" s="412"/>
      <c r="B1140" s="415"/>
      <c r="C1140" s="394"/>
      <c r="D1140" s="412"/>
      <c r="E1140" s="414"/>
      <c r="F1140" s="414"/>
      <c r="G1140" s="414"/>
      <c r="H1140" s="414"/>
      <c r="I1140" s="397"/>
      <c r="J1140" s="392"/>
      <c r="K1140" s="361"/>
      <c r="L1140" s="361"/>
      <c r="M1140" s="361"/>
      <c r="N1140" s="361"/>
      <c r="O1140" s="361"/>
      <c r="P1140" s="361"/>
      <c r="Q1140" s="361"/>
      <c r="R1140" s="361"/>
      <c r="S1140" s="361"/>
      <c r="T1140" s="361"/>
      <c r="U1140" s="361"/>
      <c r="V1140" s="361"/>
      <c r="W1140" s="361"/>
      <c r="X1140" s="361"/>
      <c r="Y1140" s="361"/>
      <c r="Z1140" s="361"/>
    </row>
    <row r="1141" ht="22.5" customHeight="1" outlineLevel="1">
      <c r="A1141" s="412"/>
      <c r="B1141" s="415"/>
      <c r="C1141" s="394"/>
      <c r="D1141" s="412"/>
      <c r="E1141" s="414"/>
      <c r="F1141" s="414"/>
      <c r="G1141" s="414"/>
      <c r="H1141" s="414"/>
      <c r="I1141" s="397"/>
      <c r="J1141" s="392"/>
      <c r="K1141" s="361"/>
      <c r="L1141" s="361"/>
      <c r="M1141" s="361"/>
      <c r="N1141" s="361"/>
      <c r="O1141" s="361"/>
      <c r="P1141" s="361"/>
      <c r="Q1141" s="361"/>
      <c r="R1141" s="361"/>
      <c r="S1141" s="361"/>
      <c r="T1141" s="361"/>
      <c r="U1141" s="361"/>
      <c r="V1141" s="361"/>
      <c r="W1141" s="361"/>
      <c r="X1141" s="361"/>
      <c r="Y1141" s="361"/>
      <c r="Z1141" s="361"/>
    </row>
    <row r="1142" ht="22.5" customHeight="1" outlineLevel="1">
      <c r="A1142" s="412"/>
      <c r="B1142" s="415"/>
      <c r="C1142" s="394"/>
      <c r="D1142" s="412"/>
      <c r="E1142" s="414"/>
      <c r="F1142" s="414"/>
      <c r="G1142" s="414"/>
      <c r="H1142" s="414"/>
      <c r="I1142" s="397"/>
      <c r="J1142" s="392"/>
      <c r="K1142" s="361"/>
      <c r="L1142" s="361"/>
      <c r="M1142" s="361"/>
      <c r="N1142" s="361"/>
      <c r="O1142" s="361"/>
      <c r="P1142" s="361"/>
      <c r="Q1142" s="361"/>
      <c r="R1142" s="361"/>
      <c r="S1142" s="361"/>
      <c r="T1142" s="361"/>
      <c r="U1142" s="361"/>
      <c r="V1142" s="361"/>
      <c r="W1142" s="361"/>
      <c r="X1142" s="361"/>
      <c r="Y1142" s="361"/>
      <c r="Z1142" s="361"/>
    </row>
    <row r="1143" ht="22.5" customHeight="1" outlineLevel="1">
      <c r="A1143" s="412"/>
      <c r="B1143" s="415"/>
      <c r="C1143" s="394"/>
      <c r="D1143" s="412"/>
      <c r="E1143" s="414"/>
      <c r="F1143" s="414"/>
      <c r="G1143" s="414"/>
      <c r="H1143" s="414"/>
      <c r="I1143" s="397"/>
      <c r="J1143" s="392"/>
      <c r="K1143" s="361"/>
      <c r="L1143" s="361"/>
      <c r="M1143" s="361"/>
      <c r="N1143" s="361"/>
      <c r="O1143" s="361"/>
      <c r="P1143" s="361"/>
      <c r="Q1143" s="361"/>
      <c r="R1143" s="361"/>
      <c r="S1143" s="361"/>
      <c r="T1143" s="361"/>
      <c r="U1143" s="361"/>
      <c r="V1143" s="361"/>
      <c r="W1143" s="361"/>
      <c r="X1143" s="361"/>
      <c r="Y1143" s="361"/>
      <c r="Z1143" s="361"/>
    </row>
    <row r="1144" ht="22.5" customHeight="1" outlineLevel="1">
      <c r="A1144" s="412"/>
      <c r="B1144" s="415"/>
      <c r="C1144" s="394"/>
      <c r="D1144" s="412"/>
      <c r="E1144" s="414"/>
      <c r="F1144" s="414"/>
      <c r="G1144" s="414"/>
      <c r="H1144" s="414"/>
      <c r="I1144" s="397"/>
      <c r="J1144" s="392"/>
      <c r="K1144" s="361"/>
      <c r="L1144" s="361"/>
      <c r="M1144" s="361"/>
      <c r="N1144" s="361"/>
      <c r="O1144" s="361"/>
      <c r="P1144" s="361"/>
      <c r="Q1144" s="361"/>
      <c r="R1144" s="361"/>
      <c r="S1144" s="361"/>
      <c r="T1144" s="361"/>
      <c r="U1144" s="361"/>
      <c r="V1144" s="361"/>
      <c r="W1144" s="361"/>
      <c r="X1144" s="361"/>
      <c r="Y1144" s="361"/>
      <c r="Z1144" s="361"/>
    </row>
    <row r="1145" ht="22.5" customHeight="1" outlineLevel="1">
      <c r="A1145" s="412"/>
      <c r="B1145" s="415"/>
      <c r="C1145" s="394"/>
      <c r="D1145" s="412"/>
      <c r="E1145" s="414"/>
      <c r="F1145" s="414"/>
      <c r="G1145" s="414"/>
      <c r="H1145" s="414"/>
      <c r="I1145" s="397"/>
      <c r="J1145" s="392"/>
      <c r="K1145" s="361"/>
      <c r="L1145" s="361"/>
      <c r="M1145" s="361"/>
      <c r="N1145" s="361"/>
      <c r="O1145" s="361"/>
      <c r="P1145" s="361"/>
      <c r="Q1145" s="361"/>
      <c r="R1145" s="361"/>
      <c r="S1145" s="361"/>
      <c r="T1145" s="361"/>
      <c r="U1145" s="361"/>
      <c r="V1145" s="361"/>
      <c r="W1145" s="361"/>
      <c r="X1145" s="361"/>
      <c r="Y1145" s="361"/>
      <c r="Z1145" s="361"/>
    </row>
    <row r="1146" ht="22.5" customHeight="1" outlineLevel="1">
      <c r="A1146" s="412"/>
      <c r="B1146" s="415"/>
      <c r="C1146" s="394"/>
      <c r="D1146" s="412"/>
      <c r="E1146" s="414"/>
      <c r="F1146" s="414"/>
      <c r="G1146" s="414"/>
      <c r="H1146" s="414"/>
      <c r="I1146" s="397"/>
      <c r="J1146" s="392"/>
      <c r="K1146" s="361"/>
      <c r="L1146" s="361"/>
      <c r="M1146" s="361"/>
      <c r="N1146" s="361"/>
      <c r="O1146" s="361"/>
      <c r="P1146" s="361"/>
      <c r="Q1146" s="361"/>
      <c r="R1146" s="361"/>
      <c r="S1146" s="361"/>
      <c r="T1146" s="361"/>
      <c r="U1146" s="361"/>
      <c r="V1146" s="361"/>
      <c r="W1146" s="361"/>
      <c r="X1146" s="361"/>
      <c r="Y1146" s="361"/>
      <c r="Z1146" s="361"/>
    </row>
    <row r="1147" ht="22.5" customHeight="1" outlineLevel="1">
      <c r="A1147" s="412"/>
      <c r="B1147" s="415"/>
      <c r="C1147" s="394"/>
      <c r="D1147" s="412"/>
      <c r="E1147" s="414"/>
      <c r="F1147" s="414"/>
      <c r="G1147" s="414"/>
      <c r="H1147" s="414"/>
      <c r="I1147" s="397"/>
      <c r="J1147" s="392"/>
      <c r="K1147" s="361"/>
      <c r="L1147" s="361"/>
      <c r="M1147" s="361"/>
      <c r="N1147" s="361"/>
      <c r="O1147" s="361"/>
      <c r="P1147" s="361"/>
      <c r="Q1147" s="361"/>
      <c r="R1147" s="361"/>
      <c r="S1147" s="361"/>
      <c r="T1147" s="361"/>
      <c r="U1147" s="361"/>
      <c r="V1147" s="361"/>
      <c r="W1147" s="361"/>
      <c r="X1147" s="361"/>
      <c r="Y1147" s="361"/>
      <c r="Z1147" s="361"/>
    </row>
    <row r="1148" ht="22.5" customHeight="1" outlineLevel="1">
      <c r="A1148" s="412"/>
      <c r="B1148" s="415"/>
      <c r="C1148" s="394"/>
      <c r="D1148" s="412"/>
      <c r="E1148" s="414"/>
      <c r="F1148" s="414"/>
      <c r="G1148" s="414"/>
      <c r="H1148" s="414"/>
      <c r="I1148" s="397"/>
      <c r="J1148" s="392"/>
      <c r="K1148" s="361"/>
      <c r="L1148" s="361"/>
      <c r="M1148" s="361"/>
      <c r="N1148" s="361"/>
      <c r="O1148" s="361"/>
      <c r="P1148" s="361"/>
      <c r="Q1148" s="361"/>
      <c r="R1148" s="361"/>
      <c r="S1148" s="361"/>
      <c r="T1148" s="361"/>
      <c r="U1148" s="361"/>
      <c r="V1148" s="361"/>
      <c r="W1148" s="361"/>
      <c r="X1148" s="361"/>
      <c r="Y1148" s="361"/>
      <c r="Z1148" s="361"/>
    </row>
    <row r="1149" ht="22.5" customHeight="1" outlineLevel="1">
      <c r="A1149" s="412"/>
      <c r="B1149" s="415"/>
      <c r="C1149" s="394"/>
      <c r="D1149" s="412"/>
      <c r="E1149" s="414"/>
      <c r="F1149" s="414"/>
      <c r="G1149" s="414"/>
      <c r="H1149" s="414"/>
      <c r="I1149" s="397"/>
      <c r="J1149" s="392"/>
      <c r="K1149" s="361"/>
      <c r="L1149" s="361"/>
      <c r="M1149" s="361"/>
      <c r="N1149" s="361"/>
      <c r="O1149" s="361"/>
      <c r="P1149" s="361"/>
      <c r="Q1149" s="361"/>
      <c r="R1149" s="361"/>
      <c r="S1149" s="361"/>
      <c r="T1149" s="361"/>
      <c r="U1149" s="361"/>
      <c r="V1149" s="361"/>
      <c r="W1149" s="361"/>
      <c r="X1149" s="361"/>
      <c r="Y1149" s="361"/>
      <c r="Z1149" s="361"/>
    </row>
    <row r="1150" ht="22.5" customHeight="1" outlineLevel="1">
      <c r="A1150" s="412"/>
      <c r="B1150" s="415"/>
      <c r="C1150" s="394"/>
      <c r="D1150" s="412"/>
      <c r="E1150" s="414"/>
      <c r="F1150" s="414"/>
      <c r="G1150" s="414"/>
      <c r="H1150" s="414"/>
      <c r="I1150" s="397"/>
      <c r="J1150" s="392"/>
      <c r="K1150" s="361"/>
      <c r="L1150" s="361"/>
      <c r="M1150" s="361"/>
      <c r="N1150" s="361"/>
      <c r="O1150" s="361"/>
      <c r="P1150" s="361"/>
      <c r="Q1150" s="361"/>
      <c r="R1150" s="361"/>
      <c r="S1150" s="361"/>
      <c r="T1150" s="361"/>
      <c r="U1150" s="361"/>
      <c r="V1150" s="361"/>
      <c r="W1150" s="361"/>
      <c r="X1150" s="361"/>
      <c r="Y1150" s="361"/>
      <c r="Z1150" s="361"/>
    </row>
    <row r="1151" ht="22.5" customHeight="1" outlineLevel="1">
      <c r="A1151" s="412"/>
      <c r="B1151" s="415"/>
      <c r="C1151" s="394"/>
      <c r="D1151" s="412"/>
      <c r="E1151" s="414"/>
      <c r="F1151" s="414"/>
      <c r="G1151" s="414"/>
      <c r="H1151" s="414"/>
      <c r="I1151" s="397"/>
      <c r="J1151" s="392"/>
      <c r="K1151" s="361"/>
      <c r="L1151" s="361"/>
      <c r="M1151" s="361"/>
      <c r="N1151" s="361"/>
      <c r="O1151" s="361"/>
      <c r="P1151" s="361"/>
      <c r="Q1151" s="361"/>
      <c r="R1151" s="361"/>
      <c r="S1151" s="361"/>
      <c r="T1151" s="361"/>
      <c r="U1151" s="361"/>
      <c r="V1151" s="361"/>
      <c r="W1151" s="361"/>
      <c r="X1151" s="361"/>
      <c r="Y1151" s="361"/>
      <c r="Z1151" s="361"/>
    </row>
    <row r="1152" ht="22.5" customHeight="1" outlineLevel="1">
      <c r="A1152" s="412"/>
      <c r="B1152" s="415"/>
      <c r="C1152" s="394"/>
      <c r="D1152" s="412"/>
      <c r="E1152" s="414"/>
      <c r="F1152" s="414"/>
      <c r="G1152" s="414"/>
      <c r="H1152" s="414"/>
      <c r="I1152" s="397"/>
      <c r="J1152" s="392"/>
      <c r="K1152" s="361"/>
      <c r="L1152" s="361"/>
      <c r="M1152" s="361"/>
      <c r="N1152" s="361"/>
      <c r="O1152" s="361"/>
      <c r="P1152" s="361"/>
      <c r="Q1152" s="361"/>
      <c r="R1152" s="361"/>
      <c r="S1152" s="361"/>
      <c r="T1152" s="361"/>
      <c r="U1152" s="361"/>
      <c r="V1152" s="361"/>
      <c r="W1152" s="361"/>
      <c r="X1152" s="361"/>
      <c r="Y1152" s="361"/>
      <c r="Z1152" s="361"/>
    </row>
    <row r="1153" ht="22.5" customHeight="1" outlineLevel="1">
      <c r="A1153" s="412"/>
      <c r="B1153" s="415"/>
      <c r="C1153" s="394"/>
      <c r="D1153" s="412"/>
      <c r="E1153" s="414"/>
      <c r="F1153" s="414"/>
      <c r="G1153" s="414"/>
      <c r="H1153" s="414"/>
      <c r="I1153" s="397"/>
      <c r="J1153" s="392"/>
      <c r="K1153" s="361"/>
      <c r="L1153" s="361"/>
      <c r="M1153" s="361"/>
      <c r="N1153" s="361"/>
      <c r="O1153" s="361"/>
      <c r="P1153" s="361"/>
      <c r="Q1153" s="361"/>
      <c r="R1153" s="361"/>
      <c r="S1153" s="361"/>
      <c r="T1153" s="361"/>
      <c r="U1153" s="361"/>
      <c r="V1153" s="361"/>
      <c r="W1153" s="361"/>
      <c r="X1153" s="361"/>
      <c r="Y1153" s="361"/>
      <c r="Z1153" s="361"/>
    </row>
    <row r="1154" ht="22.5" customHeight="1" outlineLevel="1">
      <c r="A1154" s="412"/>
      <c r="B1154" s="415"/>
      <c r="C1154" s="394"/>
      <c r="D1154" s="412"/>
      <c r="E1154" s="414"/>
      <c r="F1154" s="414"/>
      <c r="G1154" s="414"/>
      <c r="H1154" s="414"/>
      <c r="I1154" s="397"/>
      <c r="J1154" s="392"/>
      <c r="K1154" s="361"/>
      <c r="L1154" s="361"/>
      <c r="M1154" s="361"/>
      <c r="N1154" s="361"/>
      <c r="O1154" s="361"/>
      <c r="P1154" s="361"/>
      <c r="Q1154" s="361"/>
      <c r="R1154" s="361"/>
      <c r="S1154" s="361"/>
      <c r="T1154" s="361"/>
      <c r="U1154" s="361"/>
      <c r="V1154" s="361"/>
      <c r="W1154" s="361"/>
      <c r="X1154" s="361"/>
      <c r="Y1154" s="361"/>
      <c r="Z1154" s="361"/>
    </row>
    <row r="1155" ht="22.5" customHeight="1" outlineLevel="1">
      <c r="A1155" s="412"/>
      <c r="B1155" s="415"/>
      <c r="C1155" s="394"/>
      <c r="D1155" s="412"/>
      <c r="E1155" s="414"/>
      <c r="F1155" s="414"/>
      <c r="G1155" s="414"/>
      <c r="H1155" s="414"/>
      <c r="I1155" s="397"/>
      <c r="J1155" s="392"/>
      <c r="K1155" s="361"/>
      <c r="L1155" s="361"/>
      <c r="M1155" s="361"/>
      <c r="N1155" s="361"/>
      <c r="O1155" s="361"/>
      <c r="P1155" s="361"/>
      <c r="Q1155" s="361"/>
      <c r="R1155" s="361"/>
      <c r="S1155" s="361"/>
      <c r="T1155" s="361"/>
      <c r="U1155" s="361"/>
      <c r="V1155" s="361"/>
      <c r="W1155" s="361"/>
      <c r="X1155" s="361"/>
      <c r="Y1155" s="361"/>
      <c r="Z1155" s="361"/>
    </row>
    <row r="1156" ht="22.5" customHeight="1" outlineLevel="1">
      <c r="A1156" s="412"/>
      <c r="B1156" s="415"/>
      <c r="C1156" s="394"/>
      <c r="D1156" s="412"/>
      <c r="E1156" s="414"/>
      <c r="F1156" s="414"/>
      <c r="G1156" s="414"/>
      <c r="H1156" s="414"/>
      <c r="I1156" s="397"/>
      <c r="J1156" s="392"/>
      <c r="K1156" s="361"/>
      <c r="L1156" s="361"/>
      <c r="M1156" s="361"/>
      <c r="N1156" s="361"/>
      <c r="O1156" s="361"/>
      <c r="P1156" s="361"/>
      <c r="Q1156" s="361"/>
      <c r="R1156" s="361"/>
      <c r="S1156" s="361"/>
      <c r="T1156" s="361"/>
      <c r="U1156" s="361"/>
      <c r="V1156" s="361"/>
      <c r="W1156" s="361"/>
      <c r="X1156" s="361"/>
      <c r="Y1156" s="361"/>
      <c r="Z1156" s="361"/>
    </row>
    <row r="1157" ht="22.5" customHeight="1" outlineLevel="1">
      <c r="A1157" s="412"/>
      <c r="B1157" s="415"/>
      <c r="C1157" s="394"/>
      <c r="D1157" s="412"/>
      <c r="E1157" s="414"/>
      <c r="F1157" s="414"/>
      <c r="G1157" s="414"/>
      <c r="H1157" s="414"/>
      <c r="I1157" s="397"/>
      <c r="J1157" s="392"/>
      <c r="K1157" s="361"/>
      <c r="L1157" s="361"/>
      <c r="M1157" s="361"/>
      <c r="N1157" s="361"/>
      <c r="O1157" s="361"/>
      <c r="P1157" s="361"/>
      <c r="Q1157" s="361"/>
      <c r="R1157" s="361"/>
      <c r="S1157" s="361"/>
      <c r="T1157" s="361"/>
      <c r="U1157" s="361"/>
      <c r="V1157" s="361"/>
      <c r="W1157" s="361"/>
      <c r="X1157" s="361"/>
      <c r="Y1157" s="361"/>
      <c r="Z1157" s="361"/>
    </row>
    <row r="1158" ht="22.5" customHeight="1" outlineLevel="1">
      <c r="A1158" s="412"/>
      <c r="B1158" s="415"/>
      <c r="C1158" s="394"/>
      <c r="D1158" s="412"/>
      <c r="E1158" s="414"/>
      <c r="F1158" s="414"/>
      <c r="G1158" s="414"/>
      <c r="H1158" s="414"/>
      <c r="I1158" s="397"/>
      <c r="J1158" s="392"/>
      <c r="K1158" s="361"/>
      <c r="L1158" s="361"/>
      <c r="M1158" s="361"/>
      <c r="N1158" s="361"/>
      <c r="O1158" s="361"/>
      <c r="P1158" s="361"/>
      <c r="Q1158" s="361"/>
      <c r="R1158" s="361"/>
      <c r="S1158" s="361"/>
      <c r="T1158" s="361"/>
      <c r="U1158" s="361"/>
      <c r="V1158" s="361"/>
      <c r="W1158" s="361"/>
      <c r="X1158" s="361"/>
      <c r="Y1158" s="361"/>
      <c r="Z1158" s="361"/>
    </row>
    <row r="1159" ht="22.5" customHeight="1" outlineLevel="1">
      <c r="A1159" s="412"/>
      <c r="B1159" s="415"/>
      <c r="C1159" s="394"/>
      <c r="D1159" s="412"/>
      <c r="E1159" s="414"/>
      <c r="F1159" s="414"/>
      <c r="G1159" s="414"/>
      <c r="H1159" s="414"/>
      <c r="I1159" s="397"/>
      <c r="J1159" s="392"/>
      <c r="K1159" s="361"/>
      <c r="L1159" s="361"/>
      <c r="M1159" s="361"/>
      <c r="N1159" s="361"/>
      <c r="O1159" s="361"/>
      <c r="P1159" s="361"/>
      <c r="Q1159" s="361"/>
      <c r="R1159" s="361"/>
      <c r="S1159" s="361"/>
      <c r="T1159" s="361"/>
      <c r="U1159" s="361"/>
      <c r="V1159" s="361"/>
      <c r="W1159" s="361"/>
      <c r="X1159" s="361"/>
      <c r="Y1159" s="361"/>
      <c r="Z1159" s="361"/>
    </row>
    <row r="1160" ht="22.5" customHeight="1" outlineLevel="1">
      <c r="A1160" s="412"/>
      <c r="B1160" s="415"/>
      <c r="C1160" s="394"/>
      <c r="D1160" s="412"/>
      <c r="E1160" s="414"/>
      <c r="F1160" s="414"/>
      <c r="G1160" s="414"/>
      <c r="H1160" s="414"/>
      <c r="I1160" s="397"/>
      <c r="J1160" s="392"/>
      <c r="K1160" s="361"/>
      <c r="L1160" s="361"/>
      <c r="M1160" s="361"/>
      <c r="N1160" s="361"/>
      <c r="O1160" s="361"/>
      <c r="P1160" s="361"/>
      <c r="Q1160" s="361"/>
      <c r="R1160" s="361"/>
      <c r="S1160" s="361"/>
      <c r="T1160" s="361"/>
      <c r="U1160" s="361"/>
      <c r="V1160" s="361"/>
      <c r="W1160" s="361"/>
      <c r="X1160" s="361"/>
      <c r="Y1160" s="361"/>
      <c r="Z1160" s="361"/>
    </row>
    <row r="1161" ht="22.5" customHeight="1" outlineLevel="1">
      <c r="A1161" s="412"/>
      <c r="B1161" s="415"/>
      <c r="C1161" s="394"/>
      <c r="D1161" s="412"/>
      <c r="E1161" s="414"/>
      <c r="F1161" s="414"/>
      <c r="G1161" s="414"/>
      <c r="H1161" s="414"/>
      <c r="I1161" s="397"/>
      <c r="J1161" s="392"/>
      <c r="K1161" s="361"/>
      <c r="L1161" s="361"/>
      <c r="M1161" s="361"/>
      <c r="N1161" s="361"/>
      <c r="O1161" s="361"/>
      <c r="P1161" s="361"/>
      <c r="Q1161" s="361"/>
      <c r="R1161" s="361"/>
      <c r="S1161" s="361"/>
      <c r="T1161" s="361"/>
      <c r="U1161" s="361"/>
      <c r="V1161" s="361"/>
      <c r="W1161" s="361"/>
      <c r="X1161" s="361"/>
      <c r="Y1161" s="361"/>
      <c r="Z1161" s="361"/>
    </row>
    <row r="1162" ht="22.5" customHeight="1" outlineLevel="1">
      <c r="A1162" s="412"/>
      <c r="B1162" s="415"/>
      <c r="C1162" s="394"/>
      <c r="D1162" s="412"/>
      <c r="E1162" s="414"/>
      <c r="F1162" s="414"/>
      <c r="G1162" s="414"/>
      <c r="H1162" s="414"/>
      <c r="I1162" s="397"/>
      <c r="J1162" s="392"/>
      <c r="K1162" s="361"/>
      <c r="L1162" s="361"/>
      <c r="M1162" s="361"/>
      <c r="N1162" s="361"/>
      <c r="O1162" s="361"/>
      <c r="P1162" s="361"/>
      <c r="Q1162" s="361"/>
      <c r="R1162" s="361"/>
      <c r="S1162" s="361"/>
      <c r="T1162" s="361"/>
      <c r="U1162" s="361"/>
      <c r="V1162" s="361"/>
      <c r="W1162" s="361"/>
      <c r="X1162" s="361"/>
      <c r="Y1162" s="361"/>
      <c r="Z1162" s="361"/>
    </row>
    <row r="1163" ht="22.5" customHeight="1" outlineLevel="1">
      <c r="A1163" s="412"/>
      <c r="B1163" s="415"/>
      <c r="C1163" s="394"/>
      <c r="D1163" s="412"/>
      <c r="E1163" s="414"/>
      <c r="F1163" s="414"/>
      <c r="G1163" s="414"/>
      <c r="H1163" s="414"/>
      <c r="I1163" s="397"/>
      <c r="J1163" s="392"/>
      <c r="K1163" s="361"/>
      <c r="L1163" s="361"/>
      <c r="M1163" s="361"/>
      <c r="N1163" s="361"/>
      <c r="O1163" s="361"/>
      <c r="P1163" s="361"/>
      <c r="Q1163" s="361"/>
      <c r="R1163" s="361"/>
      <c r="S1163" s="361"/>
      <c r="T1163" s="361"/>
      <c r="U1163" s="361"/>
      <c r="V1163" s="361"/>
      <c r="W1163" s="361"/>
      <c r="X1163" s="361"/>
      <c r="Y1163" s="361"/>
      <c r="Z1163" s="361"/>
    </row>
    <row r="1164" ht="22.5" customHeight="1" outlineLevel="1">
      <c r="A1164" s="412"/>
      <c r="B1164" s="415"/>
      <c r="C1164" s="394"/>
      <c r="D1164" s="412"/>
      <c r="E1164" s="414"/>
      <c r="F1164" s="414"/>
      <c r="G1164" s="414"/>
      <c r="H1164" s="414"/>
      <c r="I1164" s="397"/>
      <c r="J1164" s="392"/>
      <c r="K1164" s="361"/>
      <c r="L1164" s="361"/>
      <c r="M1164" s="361"/>
      <c r="N1164" s="361"/>
      <c r="O1164" s="361"/>
      <c r="P1164" s="361"/>
      <c r="Q1164" s="361"/>
      <c r="R1164" s="361"/>
      <c r="S1164" s="361"/>
      <c r="T1164" s="361"/>
      <c r="U1164" s="361"/>
      <c r="V1164" s="361"/>
      <c r="W1164" s="361"/>
      <c r="X1164" s="361"/>
      <c r="Y1164" s="361"/>
      <c r="Z1164" s="361"/>
    </row>
    <row r="1165" ht="22.5" customHeight="1" outlineLevel="1">
      <c r="A1165" s="412"/>
      <c r="B1165" s="415"/>
      <c r="C1165" s="394"/>
      <c r="D1165" s="412"/>
      <c r="E1165" s="414"/>
      <c r="F1165" s="414"/>
      <c r="G1165" s="414"/>
      <c r="H1165" s="414"/>
      <c r="I1165" s="397"/>
      <c r="J1165" s="392"/>
      <c r="K1165" s="361"/>
      <c r="L1165" s="361"/>
      <c r="M1165" s="361"/>
      <c r="N1165" s="361"/>
      <c r="O1165" s="361"/>
      <c r="P1165" s="361"/>
      <c r="Q1165" s="361"/>
      <c r="R1165" s="361"/>
      <c r="S1165" s="361"/>
      <c r="T1165" s="361"/>
      <c r="U1165" s="361"/>
      <c r="V1165" s="361"/>
      <c r="W1165" s="361"/>
      <c r="X1165" s="361"/>
      <c r="Y1165" s="361"/>
      <c r="Z1165" s="361"/>
    </row>
    <row r="1166" ht="22.5" customHeight="1" outlineLevel="1">
      <c r="A1166" s="412"/>
      <c r="B1166" s="415"/>
      <c r="C1166" s="394"/>
      <c r="D1166" s="412"/>
      <c r="E1166" s="414"/>
      <c r="F1166" s="414"/>
      <c r="G1166" s="414"/>
      <c r="H1166" s="414"/>
      <c r="I1166" s="397"/>
      <c r="J1166" s="392"/>
      <c r="K1166" s="361"/>
      <c r="L1166" s="361"/>
      <c r="M1166" s="361"/>
      <c r="N1166" s="361"/>
      <c r="O1166" s="361"/>
      <c r="P1166" s="361"/>
      <c r="Q1166" s="361"/>
      <c r="R1166" s="361"/>
      <c r="S1166" s="361"/>
      <c r="T1166" s="361"/>
      <c r="U1166" s="361"/>
      <c r="V1166" s="361"/>
      <c r="W1166" s="361"/>
      <c r="X1166" s="361"/>
      <c r="Y1166" s="361"/>
      <c r="Z1166" s="361"/>
    </row>
    <row r="1167" ht="22.5" customHeight="1" outlineLevel="1">
      <c r="A1167" s="412"/>
      <c r="B1167" s="415"/>
      <c r="C1167" s="394"/>
      <c r="D1167" s="412"/>
      <c r="E1167" s="414"/>
      <c r="F1167" s="414"/>
      <c r="G1167" s="414"/>
      <c r="H1167" s="414"/>
      <c r="I1167" s="397"/>
      <c r="J1167" s="392"/>
      <c r="K1167" s="361"/>
      <c r="L1167" s="361"/>
      <c r="M1167" s="361"/>
      <c r="N1167" s="361"/>
      <c r="O1167" s="361"/>
      <c r="P1167" s="361"/>
      <c r="Q1167" s="361"/>
      <c r="R1167" s="361"/>
      <c r="S1167" s="361"/>
      <c r="T1167" s="361"/>
      <c r="U1167" s="361"/>
      <c r="V1167" s="361"/>
      <c r="W1167" s="361"/>
      <c r="X1167" s="361"/>
      <c r="Y1167" s="361"/>
      <c r="Z1167" s="361"/>
    </row>
    <row r="1168" ht="22.5" customHeight="1" outlineLevel="1">
      <c r="A1168" s="412"/>
      <c r="B1168" s="415"/>
      <c r="C1168" s="394"/>
      <c r="D1168" s="412"/>
      <c r="E1168" s="414"/>
      <c r="F1168" s="414"/>
      <c r="G1168" s="414"/>
      <c r="H1168" s="414"/>
      <c r="I1168" s="397"/>
      <c r="J1168" s="392"/>
      <c r="K1168" s="361"/>
      <c r="L1168" s="361"/>
      <c r="M1168" s="361"/>
      <c r="N1168" s="361"/>
      <c r="O1168" s="361"/>
      <c r="P1168" s="361"/>
      <c r="Q1168" s="361"/>
      <c r="R1168" s="361"/>
      <c r="S1168" s="361"/>
      <c r="T1168" s="361"/>
      <c r="U1168" s="361"/>
      <c r="V1168" s="361"/>
      <c r="W1168" s="361"/>
      <c r="X1168" s="361"/>
      <c r="Y1168" s="361"/>
      <c r="Z1168" s="361"/>
    </row>
    <row r="1169" ht="22.5" customHeight="1" outlineLevel="1">
      <c r="A1169" s="412"/>
      <c r="B1169" s="415"/>
      <c r="C1169" s="394"/>
      <c r="D1169" s="412"/>
      <c r="E1169" s="414"/>
      <c r="F1169" s="414"/>
      <c r="G1169" s="414"/>
      <c r="H1169" s="414"/>
      <c r="I1169" s="397"/>
      <c r="J1169" s="392"/>
      <c r="K1169" s="361"/>
      <c r="L1169" s="361"/>
      <c r="M1169" s="361"/>
      <c r="N1169" s="361"/>
      <c r="O1169" s="361"/>
      <c r="P1169" s="361"/>
      <c r="Q1169" s="361"/>
      <c r="R1169" s="361"/>
      <c r="S1169" s="361"/>
      <c r="T1169" s="361"/>
      <c r="U1169" s="361"/>
      <c r="V1169" s="361"/>
      <c r="W1169" s="361"/>
      <c r="X1169" s="361"/>
      <c r="Y1169" s="361"/>
      <c r="Z1169" s="361"/>
    </row>
    <row r="1170" ht="22.5" customHeight="1" outlineLevel="1">
      <c r="A1170" s="412"/>
      <c r="B1170" s="415"/>
      <c r="C1170" s="394"/>
      <c r="D1170" s="412"/>
      <c r="E1170" s="414"/>
      <c r="F1170" s="414"/>
      <c r="G1170" s="414"/>
      <c r="H1170" s="414"/>
      <c r="I1170" s="397"/>
      <c r="J1170" s="392"/>
      <c r="K1170" s="361"/>
      <c r="L1170" s="361"/>
      <c r="M1170" s="361"/>
      <c r="N1170" s="361"/>
      <c r="O1170" s="361"/>
      <c r="P1170" s="361"/>
      <c r="Q1170" s="361"/>
      <c r="R1170" s="361"/>
      <c r="S1170" s="361"/>
      <c r="T1170" s="361"/>
      <c r="U1170" s="361"/>
      <c r="V1170" s="361"/>
      <c r="W1170" s="361"/>
      <c r="X1170" s="361"/>
      <c r="Y1170" s="361"/>
      <c r="Z1170" s="361"/>
    </row>
    <row r="1171" ht="22.5" customHeight="1" outlineLevel="1">
      <c r="A1171" s="412"/>
      <c r="B1171" s="415"/>
      <c r="C1171" s="394"/>
      <c r="D1171" s="412"/>
      <c r="E1171" s="414"/>
      <c r="F1171" s="414"/>
      <c r="G1171" s="414"/>
      <c r="H1171" s="414"/>
      <c r="I1171" s="397"/>
      <c r="J1171" s="392"/>
      <c r="K1171" s="361"/>
      <c r="L1171" s="361"/>
      <c r="M1171" s="361"/>
      <c r="N1171" s="361"/>
      <c r="O1171" s="361"/>
      <c r="P1171" s="361"/>
      <c r="Q1171" s="361"/>
      <c r="R1171" s="361"/>
      <c r="S1171" s="361"/>
      <c r="T1171" s="361"/>
      <c r="U1171" s="361"/>
      <c r="V1171" s="361"/>
      <c r="W1171" s="361"/>
      <c r="X1171" s="361"/>
      <c r="Y1171" s="361"/>
      <c r="Z1171" s="361"/>
    </row>
    <row r="1172" ht="22.5" customHeight="1" outlineLevel="1">
      <c r="A1172" s="412"/>
      <c r="B1172" s="415"/>
      <c r="C1172" s="394"/>
      <c r="D1172" s="412"/>
      <c r="E1172" s="414"/>
      <c r="F1172" s="414"/>
      <c r="G1172" s="414"/>
      <c r="H1172" s="414"/>
      <c r="I1172" s="397"/>
      <c r="J1172" s="392"/>
      <c r="K1172" s="361"/>
      <c r="L1172" s="361"/>
      <c r="M1172" s="361"/>
      <c r="N1172" s="361"/>
      <c r="O1172" s="361"/>
      <c r="P1172" s="361"/>
      <c r="Q1172" s="361"/>
      <c r="R1172" s="361"/>
      <c r="S1172" s="361"/>
      <c r="T1172" s="361"/>
      <c r="U1172" s="361"/>
      <c r="V1172" s="361"/>
      <c r="W1172" s="361"/>
      <c r="X1172" s="361"/>
      <c r="Y1172" s="361"/>
      <c r="Z1172" s="361"/>
    </row>
    <row r="1173" ht="22.5" customHeight="1" outlineLevel="1">
      <c r="A1173" s="412"/>
      <c r="B1173" s="415"/>
      <c r="C1173" s="394"/>
      <c r="D1173" s="412"/>
      <c r="E1173" s="414"/>
      <c r="F1173" s="414"/>
      <c r="G1173" s="414"/>
      <c r="H1173" s="414"/>
      <c r="I1173" s="397"/>
      <c r="J1173" s="392"/>
      <c r="K1173" s="361"/>
      <c r="L1173" s="361"/>
      <c r="M1173" s="361"/>
      <c r="N1173" s="361"/>
      <c r="O1173" s="361"/>
      <c r="P1173" s="361"/>
      <c r="Q1173" s="361"/>
      <c r="R1173" s="361"/>
      <c r="S1173" s="361"/>
      <c r="T1173" s="361"/>
      <c r="U1173" s="361"/>
      <c r="V1173" s="361"/>
      <c r="W1173" s="361"/>
      <c r="X1173" s="361"/>
      <c r="Y1173" s="361"/>
      <c r="Z1173" s="361"/>
    </row>
    <row r="1174" ht="22.5" customHeight="1" outlineLevel="1">
      <c r="A1174" s="412"/>
      <c r="B1174" s="415"/>
      <c r="C1174" s="394"/>
      <c r="D1174" s="412"/>
      <c r="E1174" s="414"/>
      <c r="F1174" s="414"/>
      <c r="G1174" s="414"/>
      <c r="H1174" s="414"/>
      <c r="I1174" s="397"/>
      <c r="J1174" s="392"/>
      <c r="K1174" s="361"/>
      <c r="L1174" s="361"/>
      <c r="M1174" s="361"/>
      <c r="N1174" s="361"/>
      <c r="O1174" s="361"/>
      <c r="P1174" s="361"/>
      <c r="Q1174" s="361"/>
      <c r="R1174" s="361"/>
      <c r="S1174" s="361"/>
      <c r="T1174" s="361"/>
      <c r="U1174" s="361"/>
      <c r="V1174" s="361"/>
      <c r="W1174" s="361"/>
      <c r="X1174" s="361"/>
      <c r="Y1174" s="361"/>
      <c r="Z1174" s="361"/>
    </row>
    <row r="1175" ht="22.5" customHeight="1" outlineLevel="1">
      <c r="A1175" s="412"/>
      <c r="B1175" s="415"/>
      <c r="C1175" s="394"/>
      <c r="D1175" s="412"/>
      <c r="E1175" s="414"/>
      <c r="F1175" s="414"/>
      <c r="G1175" s="414"/>
      <c r="H1175" s="414"/>
      <c r="I1175" s="397"/>
      <c r="J1175" s="392"/>
      <c r="K1175" s="361"/>
      <c r="L1175" s="361"/>
      <c r="M1175" s="361"/>
      <c r="N1175" s="361"/>
      <c r="O1175" s="361"/>
      <c r="P1175" s="361"/>
      <c r="Q1175" s="361"/>
      <c r="R1175" s="361"/>
      <c r="S1175" s="361"/>
      <c r="T1175" s="361"/>
      <c r="U1175" s="361"/>
      <c r="V1175" s="361"/>
      <c r="W1175" s="361"/>
      <c r="X1175" s="361"/>
      <c r="Y1175" s="361"/>
      <c r="Z1175" s="361"/>
    </row>
    <row r="1176" ht="22.5" customHeight="1" outlineLevel="1">
      <c r="A1176" s="412"/>
      <c r="B1176" s="415"/>
      <c r="C1176" s="394"/>
      <c r="D1176" s="412"/>
      <c r="E1176" s="414"/>
      <c r="F1176" s="414"/>
      <c r="G1176" s="414"/>
      <c r="H1176" s="414"/>
      <c r="I1176" s="397"/>
      <c r="J1176" s="392"/>
      <c r="K1176" s="361"/>
      <c r="L1176" s="361"/>
      <c r="M1176" s="361"/>
      <c r="N1176" s="361"/>
      <c r="O1176" s="361"/>
      <c r="P1176" s="361"/>
      <c r="Q1176" s="361"/>
      <c r="R1176" s="361"/>
      <c r="S1176" s="361"/>
      <c r="T1176" s="361"/>
      <c r="U1176" s="361"/>
      <c r="V1176" s="361"/>
      <c r="W1176" s="361"/>
      <c r="X1176" s="361"/>
      <c r="Y1176" s="361"/>
      <c r="Z1176" s="361"/>
    </row>
    <row r="1177" ht="22.5" customHeight="1" outlineLevel="1">
      <c r="A1177" s="412"/>
      <c r="B1177" s="415"/>
      <c r="C1177" s="394"/>
      <c r="D1177" s="412"/>
      <c r="E1177" s="414"/>
      <c r="F1177" s="414"/>
      <c r="G1177" s="414"/>
      <c r="H1177" s="414"/>
      <c r="I1177" s="397"/>
      <c r="J1177" s="392"/>
      <c r="K1177" s="361"/>
      <c r="L1177" s="361"/>
      <c r="M1177" s="361"/>
      <c r="N1177" s="361"/>
      <c r="O1177" s="361"/>
      <c r="P1177" s="361"/>
      <c r="Q1177" s="361"/>
      <c r="R1177" s="361"/>
      <c r="S1177" s="361"/>
      <c r="T1177" s="361"/>
      <c r="U1177" s="361"/>
      <c r="V1177" s="361"/>
      <c r="W1177" s="361"/>
      <c r="X1177" s="361"/>
      <c r="Y1177" s="361"/>
      <c r="Z1177" s="361"/>
    </row>
    <row r="1178" ht="22.5" customHeight="1" outlineLevel="1">
      <c r="A1178" s="412"/>
      <c r="B1178" s="415"/>
      <c r="C1178" s="394"/>
      <c r="D1178" s="412"/>
      <c r="E1178" s="414"/>
      <c r="F1178" s="414"/>
      <c r="G1178" s="414"/>
      <c r="H1178" s="414"/>
      <c r="I1178" s="397"/>
      <c r="J1178" s="392"/>
      <c r="K1178" s="361"/>
      <c r="L1178" s="361"/>
      <c r="M1178" s="361"/>
      <c r="N1178" s="361"/>
      <c r="O1178" s="361"/>
      <c r="P1178" s="361"/>
      <c r="Q1178" s="361"/>
      <c r="R1178" s="361"/>
      <c r="S1178" s="361"/>
      <c r="T1178" s="361"/>
      <c r="U1178" s="361"/>
      <c r="V1178" s="361"/>
      <c r="W1178" s="361"/>
      <c r="X1178" s="361"/>
      <c r="Y1178" s="361"/>
      <c r="Z1178" s="361"/>
    </row>
    <row r="1179" ht="22.5" customHeight="1" outlineLevel="1">
      <c r="A1179" s="412"/>
      <c r="B1179" s="415"/>
      <c r="C1179" s="394"/>
      <c r="D1179" s="412"/>
      <c r="E1179" s="414"/>
      <c r="F1179" s="414"/>
      <c r="G1179" s="414"/>
      <c r="H1179" s="414"/>
      <c r="I1179" s="397"/>
      <c r="J1179" s="392"/>
      <c r="K1179" s="361"/>
      <c r="L1179" s="361"/>
      <c r="M1179" s="361"/>
      <c r="N1179" s="361"/>
      <c r="O1179" s="361"/>
      <c r="P1179" s="361"/>
      <c r="Q1179" s="361"/>
      <c r="R1179" s="361"/>
      <c r="S1179" s="361"/>
      <c r="T1179" s="361"/>
      <c r="U1179" s="361"/>
      <c r="V1179" s="361"/>
      <c r="W1179" s="361"/>
      <c r="X1179" s="361"/>
      <c r="Y1179" s="361"/>
      <c r="Z1179" s="361"/>
    </row>
    <row r="1180" ht="22.5" customHeight="1" outlineLevel="1">
      <c r="A1180" s="412"/>
      <c r="B1180" s="415"/>
      <c r="C1180" s="394"/>
      <c r="D1180" s="412"/>
      <c r="E1180" s="414"/>
      <c r="F1180" s="414"/>
      <c r="G1180" s="414"/>
      <c r="H1180" s="414"/>
      <c r="I1180" s="397"/>
      <c r="J1180" s="392"/>
      <c r="K1180" s="361"/>
      <c r="L1180" s="361"/>
      <c r="M1180" s="361"/>
      <c r="N1180" s="361"/>
      <c r="O1180" s="361"/>
      <c r="P1180" s="361"/>
      <c r="Q1180" s="361"/>
      <c r="R1180" s="361"/>
      <c r="S1180" s="361"/>
      <c r="T1180" s="361"/>
      <c r="U1180" s="361"/>
      <c r="V1180" s="361"/>
      <c r="W1180" s="361"/>
      <c r="X1180" s="361"/>
      <c r="Y1180" s="361"/>
      <c r="Z1180" s="361"/>
    </row>
    <row r="1181" ht="22.5" customHeight="1" outlineLevel="1">
      <c r="A1181" s="412"/>
      <c r="B1181" s="415"/>
      <c r="C1181" s="394"/>
      <c r="D1181" s="412"/>
      <c r="E1181" s="414"/>
      <c r="F1181" s="414"/>
      <c r="G1181" s="414"/>
      <c r="H1181" s="414"/>
      <c r="I1181" s="397"/>
      <c r="J1181" s="392"/>
      <c r="K1181" s="361"/>
      <c r="L1181" s="361"/>
      <c r="M1181" s="361"/>
      <c r="N1181" s="361"/>
      <c r="O1181" s="361"/>
      <c r="P1181" s="361"/>
      <c r="Q1181" s="361"/>
      <c r="R1181" s="361"/>
      <c r="S1181" s="361"/>
      <c r="T1181" s="361"/>
      <c r="U1181" s="361"/>
      <c r="V1181" s="361"/>
      <c r="W1181" s="361"/>
      <c r="X1181" s="361"/>
      <c r="Y1181" s="361"/>
      <c r="Z1181" s="361"/>
    </row>
    <row r="1182" ht="22.5" customHeight="1" outlineLevel="1">
      <c r="A1182" s="412"/>
      <c r="B1182" s="415"/>
      <c r="C1182" s="394"/>
      <c r="D1182" s="412"/>
      <c r="E1182" s="414"/>
      <c r="F1182" s="414"/>
      <c r="G1182" s="414"/>
      <c r="H1182" s="414"/>
      <c r="I1182" s="397"/>
      <c r="J1182" s="392"/>
      <c r="K1182" s="361"/>
      <c r="L1182" s="361"/>
      <c r="M1182" s="361"/>
      <c r="N1182" s="361"/>
      <c r="O1182" s="361"/>
      <c r="P1182" s="361"/>
      <c r="Q1182" s="361"/>
      <c r="R1182" s="361"/>
      <c r="S1182" s="361"/>
      <c r="T1182" s="361"/>
      <c r="U1182" s="361"/>
      <c r="V1182" s="361"/>
      <c r="W1182" s="361"/>
      <c r="X1182" s="361"/>
      <c r="Y1182" s="361"/>
      <c r="Z1182" s="361"/>
    </row>
    <row r="1183" ht="22.5" customHeight="1" outlineLevel="1">
      <c r="A1183" s="412"/>
      <c r="B1183" s="415"/>
      <c r="C1183" s="394"/>
      <c r="D1183" s="412"/>
      <c r="E1183" s="414"/>
      <c r="F1183" s="414"/>
      <c r="G1183" s="414"/>
      <c r="H1183" s="414"/>
      <c r="I1183" s="397"/>
      <c r="J1183" s="392"/>
      <c r="K1183" s="361"/>
      <c r="L1183" s="361"/>
      <c r="M1183" s="361"/>
      <c r="N1183" s="361"/>
      <c r="O1183" s="361"/>
      <c r="P1183" s="361"/>
      <c r="Q1183" s="361"/>
      <c r="R1183" s="361"/>
      <c r="S1183" s="361"/>
      <c r="T1183" s="361"/>
      <c r="U1183" s="361"/>
      <c r="V1183" s="361"/>
      <c r="W1183" s="361"/>
      <c r="X1183" s="361"/>
      <c r="Y1183" s="361"/>
      <c r="Z1183" s="361"/>
    </row>
    <row r="1184" ht="22.5" customHeight="1" outlineLevel="1">
      <c r="A1184" s="412"/>
      <c r="B1184" s="415"/>
      <c r="C1184" s="394"/>
      <c r="D1184" s="412"/>
      <c r="E1184" s="414"/>
      <c r="F1184" s="414"/>
      <c r="G1184" s="414"/>
      <c r="H1184" s="414"/>
      <c r="I1184" s="397"/>
      <c r="J1184" s="392"/>
      <c r="K1184" s="361"/>
      <c r="L1184" s="361"/>
      <c r="M1184" s="361"/>
      <c r="N1184" s="361"/>
      <c r="O1184" s="361"/>
      <c r="P1184" s="361"/>
      <c r="Q1184" s="361"/>
      <c r="R1184" s="361"/>
      <c r="S1184" s="361"/>
      <c r="T1184" s="361"/>
      <c r="U1184" s="361"/>
      <c r="V1184" s="361"/>
      <c r="W1184" s="361"/>
      <c r="X1184" s="361"/>
      <c r="Y1184" s="361"/>
      <c r="Z1184" s="361"/>
    </row>
    <row r="1185" ht="22.5" customHeight="1" outlineLevel="1">
      <c r="A1185" s="412"/>
      <c r="B1185" s="415"/>
      <c r="C1185" s="394"/>
      <c r="D1185" s="412"/>
      <c r="E1185" s="414"/>
      <c r="F1185" s="414"/>
      <c r="G1185" s="414"/>
      <c r="H1185" s="414"/>
      <c r="I1185" s="397"/>
      <c r="J1185" s="392"/>
      <c r="K1185" s="361"/>
      <c r="L1185" s="361"/>
      <c r="M1185" s="361"/>
      <c r="N1185" s="361"/>
      <c r="O1185" s="361"/>
      <c r="P1185" s="361"/>
      <c r="Q1185" s="361"/>
      <c r="R1185" s="361"/>
      <c r="S1185" s="361"/>
      <c r="T1185" s="361"/>
      <c r="U1185" s="361"/>
      <c r="V1185" s="361"/>
      <c r="W1185" s="361"/>
      <c r="X1185" s="361"/>
      <c r="Y1185" s="361"/>
      <c r="Z1185" s="361"/>
    </row>
    <row r="1186" ht="22.5" customHeight="1" outlineLevel="1">
      <c r="A1186" s="412"/>
      <c r="B1186" s="415"/>
      <c r="C1186" s="394"/>
      <c r="D1186" s="412"/>
      <c r="E1186" s="414"/>
      <c r="F1186" s="414"/>
      <c r="G1186" s="414"/>
      <c r="H1186" s="414"/>
      <c r="I1186" s="397"/>
      <c r="J1186" s="392"/>
      <c r="K1186" s="361"/>
      <c r="L1186" s="361"/>
      <c r="M1186" s="361"/>
      <c r="N1186" s="361"/>
      <c r="O1186" s="361"/>
      <c r="P1186" s="361"/>
      <c r="Q1186" s="361"/>
      <c r="R1186" s="361"/>
      <c r="S1186" s="361"/>
      <c r="T1186" s="361"/>
      <c r="U1186" s="361"/>
      <c r="V1186" s="361"/>
      <c r="W1186" s="361"/>
      <c r="X1186" s="361"/>
      <c r="Y1186" s="361"/>
      <c r="Z1186" s="361"/>
    </row>
    <row r="1187" ht="22.5" customHeight="1" outlineLevel="1">
      <c r="A1187" s="412"/>
      <c r="B1187" s="415"/>
      <c r="C1187" s="394"/>
      <c r="D1187" s="412"/>
      <c r="E1187" s="414"/>
      <c r="F1187" s="414"/>
      <c r="G1187" s="414"/>
      <c r="H1187" s="414"/>
      <c r="I1187" s="397"/>
      <c r="J1187" s="392"/>
      <c r="K1187" s="361"/>
      <c r="L1187" s="361"/>
      <c r="M1187" s="361"/>
      <c r="N1187" s="361"/>
      <c r="O1187" s="361"/>
      <c r="P1187" s="361"/>
      <c r="Q1187" s="361"/>
      <c r="R1187" s="361"/>
      <c r="S1187" s="361"/>
      <c r="T1187" s="361"/>
      <c r="U1187" s="361"/>
      <c r="V1187" s="361"/>
      <c r="W1187" s="361"/>
      <c r="X1187" s="361"/>
      <c r="Y1187" s="361"/>
      <c r="Z1187" s="361"/>
    </row>
    <row r="1188" ht="22.5" customHeight="1" outlineLevel="1">
      <c r="A1188" s="412"/>
      <c r="B1188" s="415"/>
      <c r="C1188" s="394"/>
      <c r="D1188" s="412"/>
      <c r="E1188" s="414"/>
      <c r="F1188" s="414"/>
      <c r="G1188" s="414"/>
      <c r="H1188" s="414"/>
      <c r="I1188" s="397"/>
      <c r="J1188" s="392"/>
      <c r="K1188" s="361"/>
      <c r="L1188" s="361"/>
      <c r="M1188" s="361"/>
      <c r="N1188" s="361"/>
      <c r="O1188" s="361"/>
      <c r="P1188" s="361"/>
      <c r="Q1188" s="361"/>
      <c r="R1188" s="361"/>
      <c r="S1188" s="361"/>
      <c r="T1188" s="361"/>
      <c r="U1188" s="361"/>
      <c r="V1188" s="361"/>
      <c r="W1188" s="361"/>
      <c r="X1188" s="361"/>
      <c r="Y1188" s="361"/>
      <c r="Z1188" s="361"/>
    </row>
    <row r="1189" ht="22.5" customHeight="1" outlineLevel="1">
      <c r="A1189" s="412"/>
      <c r="B1189" s="415"/>
      <c r="C1189" s="394"/>
      <c r="D1189" s="412"/>
      <c r="E1189" s="414"/>
      <c r="F1189" s="414"/>
      <c r="G1189" s="414"/>
      <c r="H1189" s="414"/>
      <c r="I1189" s="397"/>
      <c r="J1189" s="392"/>
      <c r="K1189" s="361"/>
      <c r="L1189" s="361"/>
      <c r="M1189" s="361"/>
      <c r="N1189" s="361"/>
      <c r="O1189" s="361"/>
      <c r="P1189" s="361"/>
      <c r="Q1189" s="361"/>
      <c r="R1189" s="361"/>
      <c r="S1189" s="361"/>
      <c r="T1189" s="361"/>
      <c r="U1189" s="361"/>
      <c r="V1189" s="361"/>
      <c r="W1189" s="361"/>
      <c r="X1189" s="361"/>
      <c r="Y1189" s="361"/>
      <c r="Z1189" s="361"/>
    </row>
    <row r="1190" ht="22.5" customHeight="1" outlineLevel="1">
      <c r="A1190" s="412"/>
      <c r="B1190" s="415"/>
      <c r="C1190" s="394"/>
      <c r="D1190" s="412"/>
      <c r="E1190" s="414"/>
      <c r="F1190" s="414"/>
      <c r="G1190" s="414"/>
      <c r="H1190" s="414"/>
      <c r="I1190" s="397"/>
      <c r="J1190" s="392"/>
      <c r="K1190" s="361"/>
      <c r="L1190" s="361"/>
      <c r="M1190" s="361"/>
      <c r="N1190" s="361"/>
      <c r="O1190" s="361"/>
      <c r="P1190" s="361"/>
      <c r="Q1190" s="361"/>
      <c r="R1190" s="361"/>
      <c r="S1190" s="361"/>
      <c r="T1190" s="361"/>
      <c r="U1190" s="361"/>
      <c r="V1190" s="361"/>
      <c r="W1190" s="361"/>
      <c r="X1190" s="361"/>
      <c r="Y1190" s="361"/>
      <c r="Z1190" s="361"/>
    </row>
    <row r="1191" ht="22.5" customHeight="1" outlineLevel="1">
      <c r="A1191" s="412"/>
      <c r="B1191" s="415"/>
      <c r="C1191" s="394"/>
      <c r="D1191" s="412"/>
      <c r="E1191" s="414"/>
      <c r="F1191" s="414"/>
      <c r="G1191" s="414"/>
      <c r="H1191" s="414"/>
      <c r="I1191" s="397"/>
      <c r="J1191" s="392"/>
      <c r="K1191" s="361"/>
      <c r="L1191" s="361"/>
      <c r="M1191" s="361"/>
      <c r="N1191" s="361"/>
      <c r="O1191" s="361"/>
      <c r="P1191" s="361"/>
      <c r="Q1191" s="361"/>
      <c r="R1191" s="361"/>
      <c r="S1191" s="361"/>
      <c r="T1191" s="361"/>
      <c r="U1191" s="361"/>
      <c r="V1191" s="361"/>
      <c r="W1191" s="361"/>
      <c r="X1191" s="361"/>
      <c r="Y1191" s="361"/>
      <c r="Z1191" s="361"/>
    </row>
    <row r="1192" ht="22.5" customHeight="1" outlineLevel="1">
      <c r="A1192" s="412"/>
      <c r="B1192" s="415"/>
      <c r="C1192" s="394"/>
      <c r="D1192" s="412"/>
      <c r="E1192" s="414"/>
      <c r="F1192" s="414"/>
      <c r="G1192" s="414"/>
      <c r="H1192" s="414"/>
      <c r="I1192" s="397"/>
      <c r="J1192" s="392"/>
      <c r="K1192" s="361"/>
      <c r="L1192" s="361"/>
      <c r="M1192" s="361"/>
      <c r="N1192" s="361"/>
      <c r="O1192" s="361"/>
      <c r="P1192" s="361"/>
      <c r="Q1192" s="361"/>
      <c r="R1192" s="361"/>
      <c r="S1192" s="361"/>
      <c r="T1192" s="361"/>
      <c r="U1192" s="361"/>
      <c r="V1192" s="361"/>
      <c r="W1192" s="361"/>
      <c r="X1192" s="361"/>
      <c r="Y1192" s="361"/>
      <c r="Z1192" s="361"/>
    </row>
    <row r="1193" ht="22.5" customHeight="1" outlineLevel="1">
      <c r="A1193" s="412"/>
      <c r="B1193" s="415"/>
      <c r="C1193" s="394"/>
      <c r="D1193" s="412"/>
      <c r="E1193" s="414"/>
      <c r="F1193" s="414"/>
      <c r="G1193" s="414"/>
      <c r="H1193" s="414"/>
      <c r="I1193" s="397"/>
      <c r="J1193" s="392"/>
      <c r="K1193" s="361"/>
      <c r="L1193" s="361"/>
      <c r="M1193" s="361"/>
      <c r="N1193" s="361"/>
      <c r="O1193" s="361"/>
      <c r="P1193" s="361"/>
      <c r="Q1193" s="361"/>
      <c r="R1193" s="361"/>
      <c r="S1193" s="361"/>
      <c r="T1193" s="361"/>
      <c r="U1193" s="361"/>
      <c r="V1193" s="361"/>
      <c r="W1193" s="361"/>
      <c r="X1193" s="361"/>
      <c r="Y1193" s="361"/>
      <c r="Z1193" s="361"/>
    </row>
    <row r="1194" ht="22.5" customHeight="1" outlineLevel="1">
      <c r="A1194" s="412"/>
      <c r="B1194" s="415"/>
      <c r="C1194" s="394"/>
      <c r="D1194" s="412"/>
      <c r="E1194" s="414"/>
      <c r="F1194" s="414"/>
      <c r="G1194" s="414"/>
      <c r="H1194" s="414"/>
      <c r="I1194" s="397"/>
      <c r="J1194" s="392"/>
      <c r="K1194" s="361"/>
      <c r="L1194" s="361"/>
      <c r="M1194" s="361"/>
      <c r="N1194" s="361"/>
      <c r="O1194" s="361"/>
      <c r="P1194" s="361"/>
      <c r="Q1194" s="361"/>
      <c r="R1194" s="361"/>
      <c r="S1194" s="361"/>
      <c r="T1194" s="361"/>
      <c r="U1194" s="361"/>
      <c r="V1194" s="361"/>
      <c r="W1194" s="361"/>
      <c r="X1194" s="361"/>
      <c r="Y1194" s="361"/>
      <c r="Z1194" s="361"/>
    </row>
    <row r="1195" ht="22.5" customHeight="1" outlineLevel="1">
      <c r="A1195" s="412"/>
      <c r="B1195" s="415"/>
      <c r="C1195" s="394"/>
      <c r="D1195" s="412"/>
      <c r="E1195" s="414"/>
      <c r="F1195" s="414"/>
      <c r="G1195" s="414"/>
      <c r="H1195" s="414"/>
      <c r="I1195" s="397"/>
      <c r="J1195" s="392"/>
      <c r="K1195" s="361"/>
      <c r="L1195" s="361"/>
      <c r="M1195" s="361"/>
      <c r="N1195" s="361"/>
      <c r="O1195" s="361"/>
      <c r="P1195" s="361"/>
      <c r="Q1195" s="361"/>
      <c r="R1195" s="361"/>
      <c r="S1195" s="361"/>
      <c r="T1195" s="361"/>
      <c r="U1195" s="361"/>
      <c r="V1195" s="361"/>
      <c r="W1195" s="361"/>
      <c r="X1195" s="361"/>
      <c r="Y1195" s="361"/>
      <c r="Z1195" s="361"/>
    </row>
    <row r="1196" ht="22.5" customHeight="1" outlineLevel="1">
      <c r="A1196" s="412"/>
      <c r="B1196" s="415"/>
      <c r="C1196" s="394"/>
      <c r="D1196" s="412"/>
      <c r="E1196" s="414"/>
      <c r="F1196" s="414"/>
      <c r="G1196" s="414"/>
      <c r="H1196" s="414"/>
      <c r="I1196" s="397"/>
      <c r="J1196" s="392"/>
      <c r="K1196" s="361"/>
      <c r="L1196" s="361"/>
      <c r="M1196" s="361"/>
      <c r="N1196" s="361"/>
      <c r="O1196" s="361"/>
      <c r="P1196" s="361"/>
      <c r="Q1196" s="361"/>
      <c r="R1196" s="361"/>
      <c r="S1196" s="361"/>
      <c r="T1196" s="361"/>
      <c r="U1196" s="361"/>
      <c r="V1196" s="361"/>
      <c r="W1196" s="361"/>
      <c r="X1196" s="361"/>
      <c r="Y1196" s="361"/>
      <c r="Z1196" s="361"/>
    </row>
    <row r="1197" ht="22.5" customHeight="1" outlineLevel="1">
      <c r="A1197" s="412"/>
      <c r="B1197" s="415"/>
      <c r="C1197" s="394"/>
      <c r="D1197" s="412"/>
      <c r="E1197" s="414"/>
      <c r="F1197" s="414"/>
      <c r="G1197" s="414"/>
      <c r="H1197" s="414"/>
      <c r="I1197" s="397"/>
      <c r="J1197" s="392"/>
      <c r="K1197" s="361"/>
      <c r="L1197" s="361"/>
      <c r="M1197" s="361"/>
      <c r="N1197" s="361"/>
      <c r="O1197" s="361"/>
      <c r="P1197" s="361"/>
      <c r="Q1197" s="361"/>
      <c r="R1197" s="361"/>
      <c r="S1197" s="361"/>
      <c r="T1197" s="361"/>
      <c r="U1197" s="361"/>
      <c r="V1197" s="361"/>
      <c r="W1197" s="361"/>
      <c r="X1197" s="361"/>
      <c r="Y1197" s="361"/>
      <c r="Z1197" s="361"/>
    </row>
    <row r="1198" ht="22.5" customHeight="1" outlineLevel="1">
      <c r="A1198" s="412"/>
      <c r="B1198" s="415"/>
      <c r="C1198" s="394"/>
      <c r="D1198" s="412"/>
      <c r="E1198" s="414"/>
      <c r="F1198" s="414"/>
      <c r="G1198" s="414"/>
      <c r="H1198" s="414"/>
      <c r="I1198" s="397"/>
      <c r="J1198" s="392"/>
      <c r="K1198" s="361"/>
      <c r="L1198" s="361"/>
      <c r="M1198" s="361"/>
      <c r="N1198" s="361"/>
      <c r="O1198" s="361"/>
      <c r="P1198" s="361"/>
      <c r="Q1198" s="361"/>
      <c r="R1198" s="361"/>
      <c r="S1198" s="361"/>
      <c r="T1198" s="361"/>
      <c r="U1198" s="361"/>
      <c r="V1198" s="361"/>
      <c r="W1198" s="361"/>
      <c r="X1198" s="361"/>
      <c r="Y1198" s="361"/>
      <c r="Z1198" s="361"/>
    </row>
    <row r="1199" ht="22.5" customHeight="1" outlineLevel="1">
      <c r="A1199" s="412"/>
      <c r="B1199" s="415"/>
      <c r="C1199" s="394"/>
      <c r="D1199" s="412"/>
      <c r="E1199" s="414"/>
      <c r="F1199" s="414"/>
      <c r="G1199" s="414"/>
      <c r="H1199" s="414"/>
      <c r="I1199" s="397"/>
      <c r="J1199" s="392"/>
      <c r="K1199" s="361"/>
      <c r="L1199" s="361"/>
      <c r="M1199" s="361"/>
      <c r="N1199" s="361"/>
      <c r="O1199" s="361"/>
      <c r="P1199" s="361"/>
      <c r="Q1199" s="361"/>
      <c r="R1199" s="361"/>
      <c r="S1199" s="361"/>
      <c r="T1199" s="361"/>
      <c r="U1199" s="361"/>
      <c r="V1199" s="361"/>
      <c r="W1199" s="361"/>
      <c r="X1199" s="361"/>
      <c r="Y1199" s="361"/>
      <c r="Z1199" s="361"/>
    </row>
    <row r="1200" ht="22.5" customHeight="1" outlineLevel="1">
      <c r="A1200" s="412"/>
      <c r="B1200" s="415"/>
      <c r="C1200" s="394"/>
      <c r="D1200" s="412"/>
      <c r="E1200" s="414"/>
      <c r="F1200" s="414"/>
      <c r="G1200" s="414"/>
      <c r="H1200" s="414"/>
      <c r="I1200" s="397"/>
      <c r="J1200" s="392"/>
      <c r="K1200" s="361"/>
      <c r="L1200" s="361"/>
      <c r="M1200" s="361"/>
      <c r="N1200" s="361"/>
      <c r="O1200" s="361"/>
      <c r="P1200" s="361"/>
      <c r="Q1200" s="361"/>
      <c r="R1200" s="361"/>
      <c r="S1200" s="361"/>
      <c r="T1200" s="361"/>
      <c r="U1200" s="361"/>
      <c r="V1200" s="361"/>
      <c r="W1200" s="361"/>
      <c r="X1200" s="361"/>
      <c r="Y1200" s="361"/>
      <c r="Z1200" s="361"/>
    </row>
    <row r="1201" ht="22.5" customHeight="1" outlineLevel="1">
      <c r="A1201" s="412"/>
      <c r="B1201" s="415"/>
      <c r="C1201" s="394"/>
      <c r="D1201" s="412"/>
      <c r="E1201" s="414"/>
      <c r="F1201" s="414"/>
      <c r="G1201" s="414"/>
      <c r="H1201" s="414"/>
      <c r="I1201" s="397"/>
      <c r="J1201" s="392"/>
      <c r="K1201" s="361"/>
      <c r="L1201" s="361"/>
      <c r="M1201" s="361"/>
      <c r="N1201" s="361"/>
      <c r="O1201" s="361"/>
      <c r="P1201" s="361"/>
      <c r="Q1201" s="361"/>
      <c r="R1201" s="361"/>
      <c r="S1201" s="361"/>
      <c r="T1201" s="361"/>
      <c r="U1201" s="361"/>
      <c r="V1201" s="361"/>
      <c r="W1201" s="361"/>
      <c r="X1201" s="361"/>
      <c r="Y1201" s="361"/>
      <c r="Z1201" s="361"/>
    </row>
    <row r="1202" ht="22.5" customHeight="1" outlineLevel="1">
      <c r="A1202" s="412"/>
      <c r="B1202" s="415"/>
      <c r="C1202" s="394"/>
      <c r="D1202" s="412"/>
      <c r="E1202" s="414"/>
      <c r="F1202" s="414"/>
      <c r="G1202" s="414"/>
      <c r="H1202" s="414"/>
      <c r="I1202" s="397"/>
      <c r="J1202" s="392"/>
      <c r="K1202" s="361"/>
      <c r="L1202" s="361"/>
      <c r="M1202" s="361"/>
      <c r="N1202" s="361"/>
      <c r="O1202" s="361"/>
      <c r="P1202" s="361"/>
      <c r="Q1202" s="361"/>
      <c r="R1202" s="361"/>
      <c r="S1202" s="361"/>
      <c r="T1202" s="361"/>
      <c r="U1202" s="361"/>
      <c r="V1202" s="361"/>
      <c r="W1202" s="361"/>
      <c r="X1202" s="361"/>
      <c r="Y1202" s="361"/>
      <c r="Z1202" s="361"/>
    </row>
    <row r="1203" ht="22.5" customHeight="1" outlineLevel="1">
      <c r="A1203" s="412"/>
      <c r="B1203" s="415"/>
      <c r="C1203" s="394"/>
      <c r="D1203" s="412"/>
      <c r="E1203" s="414"/>
      <c r="F1203" s="414"/>
      <c r="G1203" s="414"/>
      <c r="H1203" s="414"/>
      <c r="I1203" s="397"/>
      <c r="J1203" s="392"/>
      <c r="K1203" s="361"/>
      <c r="L1203" s="361"/>
      <c r="M1203" s="361"/>
      <c r="N1203" s="361"/>
      <c r="O1203" s="361"/>
      <c r="P1203" s="361"/>
      <c r="Q1203" s="361"/>
      <c r="R1203" s="361"/>
      <c r="S1203" s="361"/>
      <c r="T1203" s="361"/>
      <c r="U1203" s="361"/>
      <c r="V1203" s="361"/>
      <c r="W1203" s="361"/>
      <c r="X1203" s="361"/>
      <c r="Y1203" s="361"/>
      <c r="Z1203" s="361"/>
    </row>
    <row r="1204" ht="22.5" customHeight="1" outlineLevel="1">
      <c r="A1204" s="412"/>
      <c r="B1204" s="415"/>
      <c r="C1204" s="394"/>
      <c r="D1204" s="412"/>
      <c r="E1204" s="414"/>
      <c r="F1204" s="414"/>
      <c r="G1204" s="414"/>
      <c r="H1204" s="414"/>
      <c r="I1204" s="397"/>
      <c r="J1204" s="392"/>
      <c r="K1204" s="361"/>
      <c r="L1204" s="361"/>
      <c r="M1204" s="361"/>
      <c r="N1204" s="361"/>
      <c r="O1204" s="361"/>
      <c r="P1204" s="361"/>
      <c r="Q1204" s="361"/>
      <c r="R1204" s="361"/>
      <c r="S1204" s="361"/>
      <c r="T1204" s="361"/>
      <c r="U1204" s="361"/>
      <c r="V1204" s="361"/>
      <c r="W1204" s="361"/>
      <c r="X1204" s="361"/>
      <c r="Y1204" s="361"/>
      <c r="Z1204" s="361"/>
    </row>
    <row r="1205" ht="22.5" customHeight="1" outlineLevel="1">
      <c r="A1205" s="412"/>
      <c r="B1205" s="415"/>
      <c r="C1205" s="394"/>
      <c r="D1205" s="412"/>
      <c r="E1205" s="414"/>
      <c r="F1205" s="414"/>
      <c r="G1205" s="414"/>
      <c r="H1205" s="414"/>
      <c r="I1205" s="397"/>
      <c r="J1205" s="392"/>
      <c r="K1205" s="361"/>
      <c r="L1205" s="361"/>
      <c r="M1205" s="361"/>
      <c r="N1205" s="361"/>
      <c r="O1205" s="361"/>
      <c r="P1205" s="361"/>
      <c r="Q1205" s="361"/>
      <c r="R1205" s="361"/>
      <c r="S1205" s="361"/>
      <c r="T1205" s="361"/>
      <c r="U1205" s="361"/>
      <c r="V1205" s="361"/>
      <c r="W1205" s="361"/>
      <c r="X1205" s="361"/>
      <c r="Y1205" s="361"/>
      <c r="Z1205" s="361"/>
    </row>
    <row r="1206" ht="22.5" customHeight="1" outlineLevel="1">
      <c r="A1206" s="412"/>
      <c r="B1206" s="415"/>
      <c r="C1206" s="394"/>
      <c r="D1206" s="412"/>
      <c r="E1206" s="414"/>
      <c r="F1206" s="414"/>
      <c r="G1206" s="414"/>
      <c r="H1206" s="414"/>
      <c r="I1206" s="397"/>
      <c r="J1206" s="392"/>
      <c r="K1206" s="361"/>
      <c r="L1206" s="361"/>
      <c r="M1206" s="361"/>
      <c r="N1206" s="361"/>
      <c r="O1206" s="361"/>
      <c r="P1206" s="361"/>
      <c r="Q1206" s="361"/>
      <c r="R1206" s="361"/>
      <c r="S1206" s="361"/>
      <c r="T1206" s="361"/>
      <c r="U1206" s="361"/>
      <c r="V1206" s="361"/>
      <c r="W1206" s="361"/>
      <c r="X1206" s="361"/>
      <c r="Y1206" s="361"/>
      <c r="Z1206" s="361"/>
    </row>
    <row r="1207" ht="22.5" customHeight="1" outlineLevel="1">
      <c r="A1207" s="412"/>
      <c r="B1207" s="415"/>
      <c r="C1207" s="394"/>
      <c r="D1207" s="412"/>
      <c r="E1207" s="414"/>
      <c r="F1207" s="414"/>
      <c r="G1207" s="414"/>
      <c r="H1207" s="414"/>
      <c r="I1207" s="397"/>
      <c r="J1207" s="392"/>
      <c r="K1207" s="361"/>
      <c r="L1207" s="361"/>
      <c r="M1207" s="361"/>
      <c r="N1207" s="361"/>
      <c r="O1207" s="361"/>
      <c r="P1207" s="361"/>
      <c r="Q1207" s="361"/>
      <c r="R1207" s="361"/>
      <c r="S1207" s="361"/>
      <c r="T1207" s="361"/>
      <c r="U1207" s="361"/>
      <c r="V1207" s="361"/>
      <c r="W1207" s="361"/>
      <c r="X1207" s="361"/>
      <c r="Y1207" s="361"/>
      <c r="Z1207" s="361"/>
    </row>
    <row r="1208" ht="22.5" customHeight="1" outlineLevel="1">
      <c r="A1208" s="412"/>
      <c r="B1208" s="415"/>
      <c r="C1208" s="394"/>
      <c r="D1208" s="412"/>
      <c r="E1208" s="414"/>
      <c r="F1208" s="414"/>
      <c r="G1208" s="414"/>
      <c r="H1208" s="414"/>
      <c r="I1208" s="397"/>
      <c r="J1208" s="392"/>
      <c r="K1208" s="361"/>
      <c r="L1208" s="361"/>
      <c r="M1208" s="361"/>
      <c r="N1208" s="361"/>
      <c r="O1208" s="361"/>
      <c r="P1208" s="361"/>
      <c r="Q1208" s="361"/>
      <c r="R1208" s="361"/>
      <c r="S1208" s="361"/>
      <c r="T1208" s="361"/>
      <c r="U1208" s="361"/>
      <c r="V1208" s="361"/>
      <c r="W1208" s="361"/>
      <c r="X1208" s="361"/>
      <c r="Y1208" s="361"/>
      <c r="Z1208" s="361"/>
    </row>
    <row r="1209" ht="22.5" customHeight="1" outlineLevel="1">
      <c r="A1209" s="412"/>
      <c r="B1209" s="415"/>
      <c r="C1209" s="394"/>
      <c r="D1209" s="412"/>
      <c r="E1209" s="414"/>
      <c r="F1209" s="414"/>
      <c r="G1209" s="414"/>
      <c r="H1209" s="414"/>
      <c r="I1209" s="397"/>
      <c r="J1209" s="392"/>
      <c r="K1209" s="361"/>
      <c r="L1209" s="361"/>
      <c r="M1209" s="361"/>
      <c r="N1209" s="361"/>
      <c r="O1209" s="361"/>
      <c r="P1209" s="361"/>
      <c r="Q1209" s="361"/>
      <c r="R1209" s="361"/>
      <c r="S1209" s="361"/>
      <c r="T1209" s="361"/>
      <c r="U1209" s="361"/>
      <c r="V1209" s="361"/>
      <c r="W1209" s="361"/>
      <c r="X1209" s="361"/>
      <c r="Y1209" s="361"/>
      <c r="Z1209" s="361"/>
    </row>
    <row r="1210" ht="22.5" customHeight="1" outlineLevel="1">
      <c r="A1210" s="412"/>
      <c r="B1210" s="415"/>
      <c r="C1210" s="394"/>
      <c r="D1210" s="412"/>
      <c r="E1210" s="414"/>
      <c r="F1210" s="414"/>
      <c r="G1210" s="414"/>
      <c r="H1210" s="414"/>
      <c r="I1210" s="397"/>
      <c r="J1210" s="392"/>
      <c r="K1210" s="361"/>
      <c r="L1210" s="361"/>
      <c r="M1210" s="361"/>
      <c r="N1210" s="361"/>
      <c r="O1210" s="361"/>
      <c r="P1210" s="361"/>
      <c r="Q1210" s="361"/>
      <c r="R1210" s="361"/>
      <c r="S1210" s="361"/>
      <c r="T1210" s="361"/>
      <c r="U1210" s="361"/>
      <c r="V1210" s="361"/>
      <c r="W1210" s="361"/>
      <c r="X1210" s="361"/>
      <c r="Y1210" s="361"/>
      <c r="Z1210" s="361"/>
    </row>
    <row r="1211" ht="22.5" customHeight="1" outlineLevel="1">
      <c r="A1211" s="412"/>
      <c r="B1211" s="415"/>
      <c r="C1211" s="394"/>
      <c r="D1211" s="412"/>
      <c r="E1211" s="414"/>
      <c r="F1211" s="414"/>
      <c r="G1211" s="414"/>
      <c r="H1211" s="414"/>
      <c r="I1211" s="397"/>
      <c r="J1211" s="392"/>
      <c r="K1211" s="361"/>
      <c r="L1211" s="361"/>
      <c r="M1211" s="361"/>
      <c r="N1211" s="361"/>
      <c r="O1211" s="361"/>
      <c r="P1211" s="361"/>
      <c r="Q1211" s="361"/>
      <c r="R1211" s="361"/>
      <c r="S1211" s="361"/>
      <c r="T1211" s="361"/>
      <c r="U1211" s="361"/>
      <c r="V1211" s="361"/>
      <c r="W1211" s="361"/>
      <c r="X1211" s="361"/>
      <c r="Y1211" s="361"/>
      <c r="Z1211" s="361"/>
    </row>
    <row r="1212" ht="22.5" customHeight="1" outlineLevel="1">
      <c r="A1212" s="412"/>
      <c r="B1212" s="415"/>
      <c r="C1212" s="394"/>
      <c r="D1212" s="412"/>
      <c r="E1212" s="414"/>
      <c r="F1212" s="414"/>
      <c r="G1212" s="414"/>
      <c r="H1212" s="414"/>
      <c r="I1212" s="397"/>
      <c r="J1212" s="392"/>
      <c r="K1212" s="361"/>
      <c r="L1212" s="361"/>
      <c r="M1212" s="361"/>
      <c r="N1212" s="361"/>
      <c r="O1212" s="361"/>
      <c r="P1212" s="361"/>
      <c r="Q1212" s="361"/>
      <c r="R1212" s="361"/>
      <c r="S1212" s="361"/>
      <c r="T1212" s="361"/>
      <c r="U1212" s="361"/>
      <c r="V1212" s="361"/>
      <c r="W1212" s="361"/>
      <c r="X1212" s="361"/>
      <c r="Y1212" s="361"/>
      <c r="Z1212" s="361"/>
    </row>
    <row r="1213" ht="22.5" customHeight="1" outlineLevel="1">
      <c r="A1213" s="412"/>
      <c r="B1213" s="415"/>
      <c r="C1213" s="394"/>
      <c r="D1213" s="412"/>
      <c r="E1213" s="414"/>
      <c r="F1213" s="414"/>
      <c r="G1213" s="414"/>
      <c r="H1213" s="414"/>
      <c r="I1213" s="397"/>
      <c r="J1213" s="392"/>
      <c r="K1213" s="361"/>
      <c r="L1213" s="361"/>
      <c r="M1213" s="361"/>
      <c r="N1213" s="361"/>
      <c r="O1213" s="361"/>
      <c r="P1213" s="361"/>
      <c r="Q1213" s="361"/>
      <c r="R1213" s="361"/>
      <c r="S1213" s="361"/>
      <c r="T1213" s="361"/>
      <c r="U1213" s="361"/>
      <c r="V1213" s="361"/>
      <c r="W1213" s="361"/>
      <c r="X1213" s="361"/>
      <c r="Y1213" s="361"/>
      <c r="Z1213" s="361"/>
    </row>
    <row r="1214" ht="22.5" customHeight="1" outlineLevel="1">
      <c r="A1214" s="412"/>
      <c r="B1214" s="415"/>
      <c r="C1214" s="394"/>
      <c r="D1214" s="412"/>
      <c r="E1214" s="414"/>
      <c r="F1214" s="414"/>
      <c r="G1214" s="414"/>
      <c r="H1214" s="414"/>
      <c r="I1214" s="397"/>
      <c r="J1214" s="392"/>
      <c r="K1214" s="361"/>
      <c r="L1214" s="361"/>
      <c r="M1214" s="361"/>
      <c r="N1214" s="361"/>
      <c r="O1214" s="361"/>
      <c r="P1214" s="361"/>
      <c r="Q1214" s="361"/>
      <c r="R1214" s="361"/>
      <c r="S1214" s="361"/>
      <c r="T1214" s="361"/>
      <c r="U1214" s="361"/>
      <c r="V1214" s="361"/>
      <c r="W1214" s="361"/>
      <c r="X1214" s="361"/>
      <c r="Y1214" s="361"/>
      <c r="Z1214" s="361"/>
    </row>
    <row r="1215" ht="22.5" customHeight="1" outlineLevel="1">
      <c r="A1215" s="412"/>
      <c r="B1215" s="415"/>
      <c r="C1215" s="394"/>
      <c r="D1215" s="412"/>
      <c r="E1215" s="414"/>
      <c r="F1215" s="414"/>
      <c r="G1215" s="414"/>
      <c r="H1215" s="414"/>
      <c r="I1215" s="397"/>
      <c r="J1215" s="392"/>
      <c r="K1215" s="361"/>
      <c r="L1215" s="361"/>
      <c r="M1215" s="361"/>
      <c r="N1215" s="361"/>
      <c r="O1215" s="361"/>
      <c r="P1215" s="361"/>
      <c r="Q1215" s="361"/>
      <c r="R1215" s="361"/>
      <c r="S1215" s="361"/>
      <c r="T1215" s="361"/>
      <c r="U1215" s="361"/>
      <c r="V1215" s="361"/>
      <c r="W1215" s="361"/>
      <c r="X1215" s="361"/>
      <c r="Y1215" s="361"/>
      <c r="Z1215" s="361"/>
    </row>
    <row r="1216" ht="22.5" customHeight="1" outlineLevel="1">
      <c r="A1216" s="412"/>
      <c r="B1216" s="415"/>
      <c r="C1216" s="394"/>
      <c r="D1216" s="412"/>
      <c r="E1216" s="414"/>
      <c r="F1216" s="414"/>
      <c r="G1216" s="414"/>
      <c r="H1216" s="414"/>
      <c r="I1216" s="397"/>
      <c r="J1216" s="392"/>
      <c r="K1216" s="361"/>
      <c r="L1216" s="361"/>
      <c r="M1216" s="361"/>
      <c r="N1216" s="361"/>
      <c r="O1216" s="361"/>
      <c r="P1216" s="361"/>
      <c r="Q1216" s="361"/>
      <c r="R1216" s="361"/>
      <c r="S1216" s="361"/>
      <c r="T1216" s="361"/>
      <c r="U1216" s="361"/>
      <c r="V1216" s="361"/>
      <c r="W1216" s="361"/>
      <c r="X1216" s="361"/>
      <c r="Y1216" s="361"/>
      <c r="Z1216" s="361"/>
    </row>
    <row r="1217" ht="22.5" customHeight="1" outlineLevel="1">
      <c r="A1217" s="412"/>
      <c r="B1217" s="415"/>
      <c r="C1217" s="394"/>
      <c r="D1217" s="412"/>
      <c r="E1217" s="414"/>
      <c r="F1217" s="414"/>
      <c r="G1217" s="414"/>
      <c r="H1217" s="414"/>
      <c r="I1217" s="397"/>
      <c r="J1217" s="392"/>
      <c r="K1217" s="361"/>
      <c r="L1217" s="361"/>
      <c r="M1217" s="361"/>
      <c r="N1217" s="361"/>
      <c r="O1217" s="361"/>
      <c r="P1217" s="361"/>
      <c r="Q1217" s="361"/>
      <c r="R1217" s="361"/>
      <c r="S1217" s="361"/>
      <c r="T1217" s="361"/>
      <c r="U1217" s="361"/>
      <c r="V1217" s="361"/>
      <c r="W1217" s="361"/>
      <c r="X1217" s="361"/>
      <c r="Y1217" s="361"/>
      <c r="Z1217" s="361"/>
    </row>
    <row r="1218" ht="22.5" customHeight="1" outlineLevel="1">
      <c r="A1218" s="412"/>
      <c r="B1218" s="415"/>
      <c r="C1218" s="394"/>
      <c r="D1218" s="412"/>
      <c r="E1218" s="414"/>
      <c r="F1218" s="414"/>
      <c r="G1218" s="414"/>
      <c r="H1218" s="414"/>
      <c r="I1218" s="397"/>
      <c r="J1218" s="392"/>
      <c r="K1218" s="361"/>
      <c r="L1218" s="361"/>
      <c r="M1218" s="361"/>
      <c r="N1218" s="361"/>
      <c r="O1218" s="361"/>
      <c r="P1218" s="361"/>
      <c r="Q1218" s="361"/>
      <c r="R1218" s="361"/>
      <c r="S1218" s="361"/>
      <c r="T1218" s="361"/>
      <c r="U1218" s="361"/>
      <c r="V1218" s="361"/>
      <c r="W1218" s="361"/>
      <c r="X1218" s="361"/>
      <c r="Y1218" s="361"/>
      <c r="Z1218" s="361"/>
    </row>
    <row r="1219" ht="22.5" customHeight="1" outlineLevel="1">
      <c r="A1219" s="412"/>
      <c r="B1219" s="415"/>
      <c r="C1219" s="394"/>
      <c r="D1219" s="412"/>
      <c r="E1219" s="414"/>
      <c r="F1219" s="414"/>
      <c r="G1219" s="414"/>
      <c r="H1219" s="414"/>
      <c r="I1219" s="397"/>
      <c r="J1219" s="392"/>
      <c r="K1219" s="361"/>
      <c r="L1219" s="361"/>
      <c r="M1219" s="361"/>
      <c r="N1219" s="361"/>
      <c r="O1219" s="361"/>
      <c r="P1219" s="361"/>
      <c r="Q1219" s="361"/>
      <c r="R1219" s="361"/>
      <c r="S1219" s="361"/>
      <c r="T1219" s="361"/>
      <c r="U1219" s="361"/>
      <c r="V1219" s="361"/>
      <c r="W1219" s="361"/>
      <c r="X1219" s="361"/>
      <c r="Y1219" s="361"/>
      <c r="Z1219" s="361"/>
    </row>
    <row r="1220" ht="22.5" customHeight="1" outlineLevel="1">
      <c r="A1220" s="412"/>
      <c r="B1220" s="415"/>
      <c r="C1220" s="394"/>
      <c r="D1220" s="412"/>
      <c r="E1220" s="414"/>
      <c r="F1220" s="414"/>
      <c r="G1220" s="414"/>
      <c r="H1220" s="414"/>
      <c r="I1220" s="397"/>
      <c r="J1220" s="392"/>
      <c r="K1220" s="361"/>
      <c r="L1220" s="361"/>
      <c r="M1220" s="361"/>
      <c r="N1220" s="361"/>
      <c r="O1220" s="361"/>
      <c r="P1220" s="361"/>
      <c r="Q1220" s="361"/>
      <c r="R1220" s="361"/>
      <c r="S1220" s="361"/>
      <c r="T1220" s="361"/>
      <c r="U1220" s="361"/>
      <c r="V1220" s="361"/>
      <c r="W1220" s="361"/>
      <c r="X1220" s="361"/>
      <c r="Y1220" s="361"/>
      <c r="Z1220" s="361"/>
    </row>
    <row r="1221" ht="22.5" customHeight="1" outlineLevel="1">
      <c r="A1221" s="412"/>
      <c r="B1221" s="415"/>
      <c r="C1221" s="394"/>
      <c r="D1221" s="412"/>
      <c r="E1221" s="414"/>
      <c r="F1221" s="414"/>
      <c r="G1221" s="414"/>
      <c r="H1221" s="414"/>
      <c r="I1221" s="397"/>
      <c r="J1221" s="392"/>
      <c r="K1221" s="361"/>
      <c r="L1221" s="361"/>
      <c r="M1221" s="361"/>
      <c r="N1221" s="361"/>
      <c r="O1221" s="361"/>
      <c r="P1221" s="361"/>
      <c r="Q1221" s="361"/>
      <c r="R1221" s="361"/>
      <c r="S1221" s="361"/>
      <c r="T1221" s="361"/>
      <c r="U1221" s="361"/>
      <c r="V1221" s="361"/>
      <c r="W1221" s="361"/>
      <c r="X1221" s="361"/>
      <c r="Y1221" s="361"/>
      <c r="Z1221" s="361"/>
    </row>
    <row r="1222" ht="22.5" customHeight="1" outlineLevel="1">
      <c r="A1222" s="412"/>
      <c r="B1222" s="415"/>
      <c r="C1222" s="394"/>
      <c r="D1222" s="412"/>
      <c r="E1222" s="414"/>
      <c r="F1222" s="414"/>
      <c r="G1222" s="414"/>
      <c r="H1222" s="414"/>
      <c r="I1222" s="397"/>
      <c r="J1222" s="392"/>
      <c r="K1222" s="361"/>
      <c r="L1222" s="361"/>
      <c r="M1222" s="361"/>
      <c r="N1222" s="361"/>
      <c r="O1222" s="361"/>
      <c r="P1222" s="361"/>
      <c r="Q1222" s="361"/>
      <c r="R1222" s="361"/>
      <c r="S1222" s="361"/>
      <c r="T1222" s="361"/>
      <c r="U1222" s="361"/>
      <c r="V1222" s="361"/>
      <c r="W1222" s="361"/>
      <c r="X1222" s="361"/>
      <c r="Y1222" s="361"/>
      <c r="Z1222" s="361"/>
    </row>
    <row r="1223" ht="22.5" customHeight="1" outlineLevel="1">
      <c r="A1223" s="412"/>
      <c r="B1223" s="415"/>
      <c r="C1223" s="394"/>
      <c r="D1223" s="412"/>
      <c r="E1223" s="414"/>
      <c r="F1223" s="414"/>
      <c r="G1223" s="414"/>
      <c r="H1223" s="414"/>
      <c r="I1223" s="397"/>
      <c r="J1223" s="392"/>
      <c r="K1223" s="361"/>
      <c r="L1223" s="361"/>
      <c r="M1223" s="361"/>
      <c r="N1223" s="361"/>
      <c r="O1223" s="361"/>
      <c r="P1223" s="361"/>
      <c r="Q1223" s="361"/>
      <c r="R1223" s="361"/>
      <c r="S1223" s="361"/>
      <c r="T1223" s="361"/>
      <c r="U1223" s="361"/>
      <c r="V1223" s="361"/>
      <c r="W1223" s="361"/>
      <c r="X1223" s="361"/>
      <c r="Y1223" s="361"/>
      <c r="Z1223" s="361"/>
    </row>
    <row r="1224" ht="22.5" customHeight="1" outlineLevel="1">
      <c r="A1224" s="412"/>
      <c r="B1224" s="415"/>
      <c r="C1224" s="394"/>
      <c r="D1224" s="412"/>
      <c r="E1224" s="414"/>
      <c r="F1224" s="414"/>
      <c r="G1224" s="414"/>
      <c r="H1224" s="414"/>
      <c r="I1224" s="397"/>
      <c r="J1224" s="392"/>
      <c r="K1224" s="361"/>
      <c r="L1224" s="361"/>
      <c r="M1224" s="361"/>
      <c r="N1224" s="361"/>
      <c r="O1224" s="361"/>
      <c r="P1224" s="361"/>
      <c r="Q1224" s="361"/>
      <c r="R1224" s="361"/>
      <c r="S1224" s="361"/>
      <c r="T1224" s="361"/>
      <c r="U1224" s="361"/>
      <c r="V1224" s="361"/>
      <c r="W1224" s="361"/>
      <c r="X1224" s="361"/>
      <c r="Y1224" s="361"/>
      <c r="Z1224" s="361"/>
    </row>
    <row r="1225" ht="22.5" customHeight="1" outlineLevel="1">
      <c r="A1225" s="412"/>
      <c r="B1225" s="415"/>
      <c r="C1225" s="394"/>
      <c r="D1225" s="412"/>
      <c r="E1225" s="414"/>
      <c r="F1225" s="414"/>
      <c r="G1225" s="414"/>
      <c r="H1225" s="414"/>
      <c r="I1225" s="397"/>
      <c r="J1225" s="392"/>
      <c r="K1225" s="361"/>
      <c r="L1225" s="361"/>
      <c r="M1225" s="361"/>
      <c r="N1225" s="361"/>
      <c r="O1225" s="361"/>
      <c r="P1225" s="361"/>
      <c r="Q1225" s="361"/>
      <c r="R1225" s="361"/>
      <c r="S1225" s="361"/>
      <c r="T1225" s="361"/>
      <c r="U1225" s="361"/>
      <c r="V1225" s="361"/>
      <c r="W1225" s="361"/>
      <c r="X1225" s="361"/>
      <c r="Y1225" s="361"/>
      <c r="Z1225" s="361"/>
    </row>
    <row r="1226" ht="22.5" customHeight="1" outlineLevel="1">
      <c r="A1226" s="412"/>
      <c r="B1226" s="415"/>
      <c r="C1226" s="394"/>
      <c r="D1226" s="412"/>
      <c r="E1226" s="414"/>
      <c r="F1226" s="414"/>
      <c r="G1226" s="414"/>
      <c r="H1226" s="414"/>
      <c r="I1226" s="397"/>
      <c r="J1226" s="392"/>
      <c r="K1226" s="361"/>
      <c r="L1226" s="361"/>
      <c r="M1226" s="361"/>
      <c r="N1226" s="361"/>
      <c r="O1226" s="361"/>
      <c r="P1226" s="361"/>
      <c r="Q1226" s="361"/>
      <c r="R1226" s="361"/>
      <c r="S1226" s="361"/>
      <c r="T1226" s="361"/>
      <c r="U1226" s="361"/>
      <c r="V1226" s="361"/>
      <c r="W1226" s="361"/>
      <c r="X1226" s="361"/>
      <c r="Y1226" s="361"/>
      <c r="Z1226" s="361"/>
    </row>
    <row r="1227" ht="22.5" customHeight="1" outlineLevel="1">
      <c r="A1227" s="412"/>
      <c r="B1227" s="415"/>
      <c r="C1227" s="394"/>
      <c r="D1227" s="412"/>
      <c r="E1227" s="414"/>
      <c r="F1227" s="414"/>
      <c r="G1227" s="414"/>
      <c r="H1227" s="414"/>
      <c r="I1227" s="397"/>
      <c r="J1227" s="392"/>
      <c r="K1227" s="361"/>
      <c r="L1227" s="361"/>
      <c r="M1227" s="361"/>
      <c r="N1227" s="361"/>
      <c r="O1227" s="361"/>
      <c r="P1227" s="361"/>
      <c r="Q1227" s="361"/>
      <c r="R1227" s="361"/>
      <c r="S1227" s="361"/>
      <c r="T1227" s="361"/>
      <c r="U1227" s="361"/>
      <c r="V1227" s="361"/>
      <c r="W1227" s="361"/>
      <c r="X1227" s="361"/>
      <c r="Y1227" s="361"/>
      <c r="Z1227" s="361"/>
    </row>
    <row r="1228" ht="22.5" customHeight="1" outlineLevel="1">
      <c r="A1228" s="412"/>
      <c r="B1228" s="415"/>
      <c r="C1228" s="394"/>
      <c r="D1228" s="412"/>
      <c r="E1228" s="414"/>
      <c r="F1228" s="414"/>
      <c r="G1228" s="414"/>
      <c r="H1228" s="414"/>
      <c r="I1228" s="397"/>
      <c r="J1228" s="392"/>
      <c r="K1228" s="361"/>
      <c r="L1228" s="361"/>
      <c r="M1228" s="361"/>
      <c r="N1228" s="361"/>
      <c r="O1228" s="361"/>
      <c r="P1228" s="361"/>
      <c r="Q1228" s="361"/>
      <c r="R1228" s="361"/>
      <c r="S1228" s="361"/>
      <c r="T1228" s="361"/>
      <c r="U1228" s="361"/>
      <c r="V1228" s="361"/>
      <c r="W1228" s="361"/>
      <c r="X1228" s="361"/>
      <c r="Y1228" s="361"/>
      <c r="Z1228" s="361"/>
    </row>
    <row r="1229" ht="22.5" customHeight="1" outlineLevel="1">
      <c r="A1229" s="412"/>
      <c r="B1229" s="415"/>
      <c r="C1229" s="394"/>
      <c r="D1229" s="412"/>
      <c r="E1229" s="414"/>
      <c r="F1229" s="414"/>
      <c r="G1229" s="414"/>
      <c r="H1229" s="414"/>
      <c r="I1229" s="397"/>
      <c r="J1229" s="392"/>
      <c r="K1229" s="361"/>
      <c r="L1229" s="361"/>
      <c r="M1229" s="361"/>
      <c r="N1229" s="361"/>
      <c r="O1229" s="361"/>
      <c r="P1229" s="361"/>
      <c r="Q1229" s="361"/>
      <c r="R1229" s="361"/>
      <c r="S1229" s="361"/>
      <c r="T1229" s="361"/>
      <c r="U1229" s="361"/>
      <c r="V1229" s="361"/>
      <c r="W1229" s="361"/>
      <c r="X1229" s="361"/>
      <c r="Y1229" s="361"/>
      <c r="Z1229" s="361"/>
    </row>
    <row r="1230" ht="22.5" customHeight="1" outlineLevel="1">
      <c r="A1230" s="412"/>
      <c r="B1230" s="415"/>
      <c r="C1230" s="394"/>
      <c r="D1230" s="412"/>
      <c r="E1230" s="414"/>
      <c r="F1230" s="414"/>
      <c r="G1230" s="414"/>
      <c r="H1230" s="414"/>
      <c r="I1230" s="397"/>
      <c r="J1230" s="392"/>
      <c r="K1230" s="361"/>
      <c r="L1230" s="361"/>
      <c r="M1230" s="361"/>
      <c r="N1230" s="361"/>
      <c r="O1230" s="361"/>
      <c r="P1230" s="361"/>
      <c r="Q1230" s="361"/>
      <c r="R1230" s="361"/>
      <c r="S1230" s="361"/>
      <c r="T1230" s="361"/>
      <c r="U1230" s="361"/>
      <c r="V1230" s="361"/>
      <c r="W1230" s="361"/>
      <c r="X1230" s="361"/>
      <c r="Y1230" s="361"/>
      <c r="Z1230" s="361"/>
    </row>
    <row r="1231" ht="22.5" customHeight="1" outlineLevel="1">
      <c r="A1231" s="412"/>
      <c r="B1231" s="415"/>
      <c r="C1231" s="394"/>
      <c r="D1231" s="412"/>
      <c r="E1231" s="414"/>
      <c r="F1231" s="414"/>
      <c r="G1231" s="414"/>
      <c r="H1231" s="414"/>
      <c r="I1231" s="397"/>
      <c r="J1231" s="392"/>
      <c r="K1231" s="361"/>
      <c r="L1231" s="361"/>
      <c r="M1231" s="361"/>
      <c r="N1231" s="361"/>
      <c r="O1231" s="361"/>
      <c r="P1231" s="361"/>
      <c r="Q1231" s="361"/>
      <c r="R1231" s="361"/>
      <c r="S1231" s="361"/>
      <c r="T1231" s="361"/>
      <c r="U1231" s="361"/>
      <c r="V1231" s="361"/>
      <c r="W1231" s="361"/>
      <c r="X1231" s="361"/>
      <c r="Y1231" s="361"/>
      <c r="Z1231" s="361"/>
    </row>
    <row r="1232" ht="22.5" customHeight="1" outlineLevel="1">
      <c r="A1232" s="412"/>
      <c r="B1232" s="415"/>
      <c r="C1232" s="394"/>
      <c r="D1232" s="412"/>
      <c r="E1232" s="414"/>
      <c r="F1232" s="414"/>
      <c r="G1232" s="414"/>
      <c r="H1232" s="414"/>
      <c r="I1232" s="397"/>
      <c r="J1232" s="392"/>
      <c r="K1232" s="361"/>
      <c r="L1232" s="361"/>
      <c r="M1232" s="361"/>
      <c r="N1232" s="361"/>
      <c r="O1232" s="361"/>
      <c r="P1232" s="361"/>
      <c r="Q1232" s="361"/>
      <c r="R1232" s="361"/>
      <c r="S1232" s="361"/>
      <c r="T1232" s="361"/>
      <c r="U1232" s="361"/>
      <c r="V1232" s="361"/>
      <c r="W1232" s="361"/>
      <c r="X1232" s="361"/>
      <c r="Y1232" s="361"/>
      <c r="Z1232" s="361"/>
    </row>
    <row r="1233" ht="22.5" customHeight="1" outlineLevel="1">
      <c r="A1233" s="412"/>
      <c r="B1233" s="415"/>
      <c r="C1233" s="394"/>
      <c r="D1233" s="412"/>
      <c r="E1233" s="414"/>
      <c r="F1233" s="414"/>
      <c r="G1233" s="414"/>
      <c r="H1233" s="414"/>
      <c r="I1233" s="397"/>
      <c r="J1233" s="392"/>
      <c r="K1233" s="361"/>
      <c r="L1233" s="361"/>
      <c r="M1233" s="361"/>
      <c r="N1233" s="361"/>
      <c r="O1233" s="361"/>
      <c r="P1233" s="361"/>
      <c r="Q1233" s="361"/>
      <c r="R1233" s="361"/>
      <c r="S1233" s="361"/>
      <c r="T1233" s="361"/>
      <c r="U1233" s="361"/>
      <c r="V1233" s="361"/>
      <c r="W1233" s="361"/>
      <c r="X1233" s="361"/>
      <c r="Y1233" s="361"/>
      <c r="Z1233" s="361"/>
    </row>
    <row r="1234" ht="22.5" customHeight="1" outlineLevel="1">
      <c r="A1234" s="412"/>
      <c r="B1234" s="415"/>
      <c r="C1234" s="394"/>
      <c r="D1234" s="412"/>
      <c r="E1234" s="414"/>
      <c r="F1234" s="414"/>
      <c r="G1234" s="414"/>
      <c r="H1234" s="414"/>
      <c r="I1234" s="397"/>
      <c r="J1234" s="392"/>
      <c r="K1234" s="361"/>
      <c r="L1234" s="361"/>
      <c r="M1234" s="361"/>
      <c r="N1234" s="361"/>
      <c r="O1234" s="361"/>
      <c r="P1234" s="361"/>
      <c r="Q1234" s="361"/>
      <c r="R1234" s="361"/>
      <c r="S1234" s="361"/>
      <c r="T1234" s="361"/>
      <c r="U1234" s="361"/>
      <c r="V1234" s="361"/>
      <c r="W1234" s="361"/>
      <c r="X1234" s="361"/>
      <c r="Y1234" s="361"/>
      <c r="Z1234" s="361"/>
    </row>
    <row r="1235" ht="22.5" customHeight="1" outlineLevel="1">
      <c r="A1235" s="412"/>
      <c r="B1235" s="415"/>
      <c r="C1235" s="394"/>
      <c r="D1235" s="412"/>
      <c r="E1235" s="414"/>
      <c r="F1235" s="414"/>
      <c r="G1235" s="414"/>
      <c r="H1235" s="414"/>
      <c r="I1235" s="397"/>
      <c r="J1235" s="392"/>
      <c r="K1235" s="361"/>
      <c r="L1235" s="361"/>
      <c r="M1235" s="361"/>
      <c r="N1235" s="361"/>
      <c r="O1235" s="361"/>
      <c r="P1235" s="361"/>
      <c r="Q1235" s="361"/>
      <c r="R1235" s="361"/>
      <c r="S1235" s="361"/>
      <c r="T1235" s="361"/>
      <c r="U1235" s="361"/>
      <c r="V1235" s="361"/>
      <c r="W1235" s="361"/>
      <c r="X1235" s="361"/>
      <c r="Y1235" s="361"/>
      <c r="Z1235" s="361"/>
    </row>
    <row r="1236" ht="22.5" customHeight="1" outlineLevel="1">
      <c r="A1236" s="412"/>
      <c r="B1236" s="415"/>
      <c r="C1236" s="394"/>
      <c r="D1236" s="412"/>
      <c r="E1236" s="414"/>
      <c r="F1236" s="414"/>
      <c r="G1236" s="414"/>
      <c r="H1236" s="414"/>
      <c r="I1236" s="397"/>
      <c r="J1236" s="392"/>
      <c r="K1236" s="361"/>
      <c r="L1236" s="361"/>
      <c r="M1236" s="361"/>
      <c r="N1236" s="361"/>
      <c r="O1236" s="361"/>
      <c r="P1236" s="361"/>
      <c r="Q1236" s="361"/>
      <c r="R1236" s="361"/>
      <c r="S1236" s="361"/>
      <c r="T1236" s="361"/>
      <c r="U1236" s="361"/>
      <c r="V1236" s="361"/>
      <c r="W1236" s="361"/>
      <c r="X1236" s="361"/>
      <c r="Y1236" s="361"/>
      <c r="Z1236" s="361"/>
    </row>
    <row r="1237" ht="22.5" customHeight="1" outlineLevel="1">
      <c r="A1237" s="412"/>
      <c r="B1237" s="415"/>
      <c r="C1237" s="394"/>
      <c r="D1237" s="412"/>
      <c r="E1237" s="414"/>
      <c r="F1237" s="414"/>
      <c r="G1237" s="414"/>
      <c r="H1237" s="414"/>
      <c r="I1237" s="397"/>
      <c r="J1237" s="392"/>
      <c r="K1237" s="361"/>
      <c r="L1237" s="361"/>
      <c r="M1237" s="361"/>
      <c r="N1237" s="361"/>
      <c r="O1237" s="361"/>
      <c r="P1237" s="361"/>
      <c r="Q1237" s="361"/>
      <c r="R1237" s="361"/>
      <c r="S1237" s="361"/>
      <c r="T1237" s="361"/>
      <c r="U1237" s="361"/>
      <c r="V1237" s="361"/>
      <c r="W1237" s="361"/>
      <c r="X1237" s="361"/>
      <c r="Y1237" s="361"/>
      <c r="Z1237" s="361"/>
    </row>
    <row r="1238" ht="22.5" customHeight="1" outlineLevel="1">
      <c r="A1238" s="412"/>
      <c r="B1238" s="415"/>
      <c r="C1238" s="394"/>
      <c r="D1238" s="412"/>
      <c r="E1238" s="414"/>
      <c r="F1238" s="414"/>
      <c r="G1238" s="414"/>
      <c r="H1238" s="414"/>
      <c r="I1238" s="397"/>
      <c r="J1238" s="392"/>
      <c r="K1238" s="361"/>
      <c r="L1238" s="361"/>
      <c r="M1238" s="361"/>
      <c r="N1238" s="361"/>
      <c r="O1238" s="361"/>
      <c r="P1238" s="361"/>
      <c r="Q1238" s="361"/>
      <c r="R1238" s="361"/>
      <c r="S1238" s="361"/>
      <c r="T1238" s="361"/>
      <c r="U1238" s="361"/>
      <c r="V1238" s="361"/>
      <c r="W1238" s="361"/>
      <c r="X1238" s="361"/>
      <c r="Y1238" s="361"/>
      <c r="Z1238" s="361"/>
    </row>
    <row r="1239" ht="22.5" customHeight="1" outlineLevel="1">
      <c r="A1239" s="412"/>
      <c r="B1239" s="415"/>
      <c r="C1239" s="394"/>
      <c r="D1239" s="412"/>
      <c r="E1239" s="414"/>
      <c r="F1239" s="414"/>
      <c r="G1239" s="414"/>
      <c r="H1239" s="414"/>
      <c r="I1239" s="397"/>
      <c r="J1239" s="392"/>
      <c r="K1239" s="361"/>
      <c r="L1239" s="361"/>
      <c r="M1239" s="361"/>
      <c r="N1239" s="361"/>
      <c r="O1239" s="361"/>
      <c r="P1239" s="361"/>
      <c r="Q1239" s="361"/>
      <c r="R1239" s="361"/>
      <c r="S1239" s="361"/>
      <c r="T1239" s="361"/>
      <c r="U1239" s="361"/>
      <c r="V1239" s="361"/>
      <c r="W1239" s="361"/>
      <c r="X1239" s="361"/>
      <c r="Y1239" s="361"/>
      <c r="Z1239" s="361"/>
    </row>
    <row r="1240" ht="22.5" customHeight="1" outlineLevel="1">
      <c r="A1240" s="412"/>
      <c r="B1240" s="415"/>
      <c r="C1240" s="394"/>
      <c r="D1240" s="412"/>
      <c r="E1240" s="414"/>
      <c r="F1240" s="414"/>
      <c r="G1240" s="414"/>
      <c r="H1240" s="414"/>
      <c r="I1240" s="397"/>
      <c r="J1240" s="392"/>
      <c r="K1240" s="361"/>
      <c r="L1240" s="361"/>
      <c r="M1240" s="361"/>
      <c r="N1240" s="361"/>
      <c r="O1240" s="361"/>
      <c r="P1240" s="361"/>
      <c r="Q1240" s="361"/>
      <c r="R1240" s="361"/>
      <c r="S1240" s="361"/>
      <c r="T1240" s="361"/>
      <c r="U1240" s="361"/>
      <c r="V1240" s="361"/>
      <c r="W1240" s="361"/>
      <c r="X1240" s="361"/>
      <c r="Y1240" s="361"/>
      <c r="Z1240" s="361"/>
    </row>
    <row r="1241" ht="22.5" customHeight="1" outlineLevel="1">
      <c r="A1241" s="412"/>
      <c r="B1241" s="415"/>
      <c r="C1241" s="394"/>
      <c r="D1241" s="412"/>
      <c r="E1241" s="414"/>
      <c r="F1241" s="414"/>
      <c r="G1241" s="414"/>
      <c r="H1241" s="414"/>
      <c r="I1241" s="397"/>
      <c r="J1241" s="392"/>
      <c r="K1241" s="361"/>
      <c r="L1241" s="361"/>
      <c r="M1241" s="361"/>
      <c r="N1241" s="361"/>
      <c r="O1241" s="361"/>
      <c r="P1241" s="361"/>
      <c r="Q1241" s="361"/>
      <c r="R1241" s="361"/>
      <c r="S1241" s="361"/>
      <c r="T1241" s="361"/>
      <c r="U1241" s="361"/>
      <c r="V1241" s="361"/>
      <c r="W1241" s="361"/>
      <c r="X1241" s="361"/>
      <c r="Y1241" s="361"/>
      <c r="Z1241" s="361"/>
    </row>
    <row r="1242" ht="22.5" customHeight="1" outlineLevel="1">
      <c r="A1242" s="412"/>
      <c r="B1242" s="415"/>
      <c r="C1242" s="394"/>
      <c r="D1242" s="412"/>
      <c r="E1242" s="414"/>
      <c r="F1242" s="414"/>
      <c r="G1242" s="414"/>
      <c r="H1242" s="414"/>
      <c r="I1242" s="397"/>
      <c r="J1242" s="392"/>
      <c r="K1242" s="361"/>
      <c r="L1242" s="361"/>
      <c r="M1242" s="361"/>
      <c r="N1242" s="361"/>
      <c r="O1242" s="361"/>
      <c r="P1242" s="361"/>
      <c r="Q1242" s="361"/>
      <c r="R1242" s="361"/>
      <c r="S1242" s="361"/>
      <c r="T1242" s="361"/>
      <c r="U1242" s="361"/>
      <c r="V1242" s="361"/>
      <c r="W1242" s="361"/>
      <c r="X1242" s="361"/>
      <c r="Y1242" s="361"/>
      <c r="Z1242" s="361"/>
    </row>
    <row r="1243" ht="22.5" customHeight="1" outlineLevel="1">
      <c r="A1243" s="412"/>
      <c r="B1243" s="415"/>
      <c r="C1243" s="394"/>
      <c r="D1243" s="412"/>
      <c r="E1243" s="414"/>
      <c r="F1243" s="414"/>
      <c r="G1243" s="414"/>
      <c r="H1243" s="414"/>
      <c r="I1243" s="397"/>
      <c r="J1243" s="392"/>
      <c r="K1243" s="361"/>
      <c r="L1243" s="361"/>
      <c r="M1243" s="361"/>
      <c r="N1243" s="361"/>
      <c r="O1243" s="361"/>
      <c r="P1243" s="361"/>
      <c r="Q1243" s="361"/>
      <c r="R1243" s="361"/>
      <c r="S1243" s="361"/>
      <c r="T1243" s="361"/>
      <c r="U1243" s="361"/>
      <c r="V1243" s="361"/>
      <c r="W1243" s="361"/>
      <c r="X1243" s="361"/>
      <c r="Y1243" s="361"/>
      <c r="Z1243" s="361"/>
    </row>
    <row r="1244" ht="22.5" customHeight="1" outlineLevel="1">
      <c r="A1244" s="412"/>
      <c r="B1244" s="415"/>
      <c r="C1244" s="394"/>
      <c r="D1244" s="412"/>
      <c r="E1244" s="414"/>
      <c r="F1244" s="414"/>
      <c r="G1244" s="414"/>
      <c r="H1244" s="414"/>
      <c r="I1244" s="397"/>
      <c r="J1244" s="392"/>
      <c r="K1244" s="361"/>
      <c r="L1244" s="361"/>
      <c r="M1244" s="361"/>
      <c r="N1244" s="361"/>
      <c r="O1244" s="361"/>
      <c r="P1244" s="361"/>
      <c r="Q1244" s="361"/>
      <c r="R1244" s="361"/>
      <c r="S1244" s="361"/>
      <c r="T1244" s="361"/>
      <c r="U1244" s="361"/>
      <c r="V1244" s="361"/>
      <c r="W1244" s="361"/>
      <c r="X1244" s="361"/>
      <c r="Y1244" s="361"/>
      <c r="Z1244" s="361"/>
    </row>
    <row r="1245" ht="22.5" customHeight="1" outlineLevel="1">
      <c r="A1245" s="412"/>
      <c r="B1245" s="415"/>
      <c r="C1245" s="394"/>
      <c r="D1245" s="412"/>
      <c r="E1245" s="414"/>
      <c r="F1245" s="414"/>
      <c r="G1245" s="414"/>
      <c r="H1245" s="414"/>
      <c r="I1245" s="397"/>
      <c r="J1245" s="392"/>
      <c r="K1245" s="361"/>
      <c r="L1245" s="361"/>
      <c r="M1245" s="361"/>
      <c r="N1245" s="361"/>
      <c r="O1245" s="361"/>
      <c r="P1245" s="361"/>
      <c r="Q1245" s="361"/>
      <c r="R1245" s="361"/>
      <c r="S1245" s="361"/>
      <c r="T1245" s="361"/>
      <c r="U1245" s="361"/>
      <c r="V1245" s="361"/>
      <c r="W1245" s="361"/>
      <c r="X1245" s="361"/>
      <c r="Y1245" s="361"/>
      <c r="Z1245" s="361"/>
    </row>
    <row r="1246" ht="22.5" customHeight="1" outlineLevel="1">
      <c r="A1246" s="412"/>
      <c r="B1246" s="415"/>
      <c r="C1246" s="394"/>
      <c r="D1246" s="412"/>
      <c r="E1246" s="414"/>
      <c r="F1246" s="414"/>
      <c r="G1246" s="414"/>
      <c r="H1246" s="414"/>
      <c r="I1246" s="397"/>
      <c r="J1246" s="392"/>
      <c r="K1246" s="361"/>
      <c r="L1246" s="361"/>
      <c r="M1246" s="361"/>
      <c r="N1246" s="361"/>
      <c r="O1246" s="361"/>
      <c r="P1246" s="361"/>
      <c r="Q1246" s="361"/>
      <c r="R1246" s="361"/>
      <c r="S1246" s="361"/>
      <c r="T1246" s="361"/>
      <c r="U1246" s="361"/>
      <c r="V1246" s="361"/>
      <c r="W1246" s="361"/>
      <c r="X1246" s="361"/>
      <c r="Y1246" s="361"/>
      <c r="Z1246" s="361"/>
    </row>
    <row r="1247" ht="22.5" customHeight="1" outlineLevel="1">
      <c r="A1247" s="412"/>
      <c r="B1247" s="415"/>
      <c r="C1247" s="394"/>
      <c r="D1247" s="412"/>
      <c r="E1247" s="414"/>
      <c r="F1247" s="414"/>
      <c r="G1247" s="414"/>
      <c r="H1247" s="414"/>
      <c r="I1247" s="397"/>
      <c r="J1247" s="392"/>
      <c r="K1247" s="361"/>
      <c r="L1247" s="361"/>
      <c r="M1247" s="361"/>
      <c r="N1247" s="361"/>
      <c r="O1247" s="361"/>
      <c r="P1247" s="361"/>
      <c r="Q1247" s="361"/>
      <c r="R1247" s="361"/>
      <c r="S1247" s="361"/>
      <c r="T1247" s="361"/>
      <c r="U1247" s="361"/>
      <c r="V1247" s="361"/>
      <c r="W1247" s="361"/>
      <c r="X1247" s="361"/>
      <c r="Y1247" s="361"/>
      <c r="Z1247" s="361"/>
    </row>
    <row r="1248" ht="22.5" customHeight="1" outlineLevel="1">
      <c r="A1248" s="412"/>
      <c r="B1248" s="415"/>
      <c r="C1248" s="394"/>
      <c r="D1248" s="412"/>
      <c r="E1248" s="414"/>
      <c r="F1248" s="414"/>
      <c r="G1248" s="414"/>
      <c r="H1248" s="414"/>
      <c r="I1248" s="397"/>
      <c r="J1248" s="392"/>
      <c r="K1248" s="361"/>
      <c r="L1248" s="361"/>
      <c r="M1248" s="361"/>
      <c r="N1248" s="361"/>
      <c r="O1248" s="361"/>
      <c r="P1248" s="361"/>
      <c r="Q1248" s="361"/>
      <c r="R1248" s="361"/>
      <c r="S1248" s="361"/>
      <c r="T1248" s="361"/>
      <c r="U1248" s="361"/>
      <c r="V1248" s="361"/>
      <c r="W1248" s="361"/>
      <c r="X1248" s="361"/>
      <c r="Y1248" s="361"/>
      <c r="Z1248" s="361"/>
    </row>
    <row r="1249" ht="22.5" customHeight="1" outlineLevel="1">
      <c r="A1249" s="412"/>
      <c r="B1249" s="415"/>
      <c r="C1249" s="394"/>
      <c r="D1249" s="412"/>
      <c r="E1249" s="414"/>
      <c r="F1249" s="414"/>
      <c r="G1249" s="414"/>
      <c r="H1249" s="414"/>
      <c r="I1249" s="397"/>
      <c r="J1249" s="392"/>
      <c r="K1249" s="361"/>
      <c r="L1249" s="361"/>
      <c r="M1249" s="361"/>
      <c r="N1249" s="361"/>
      <c r="O1249" s="361"/>
      <c r="P1249" s="361"/>
      <c r="Q1249" s="361"/>
      <c r="R1249" s="361"/>
      <c r="S1249" s="361"/>
      <c r="T1249" s="361"/>
      <c r="U1249" s="361"/>
      <c r="V1249" s="361"/>
      <c r="W1249" s="361"/>
      <c r="X1249" s="361"/>
      <c r="Y1249" s="361"/>
      <c r="Z1249" s="361"/>
    </row>
    <row r="1250" ht="22.5" customHeight="1" outlineLevel="1">
      <c r="A1250" s="412"/>
      <c r="B1250" s="415"/>
      <c r="C1250" s="394"/>
      <c r="D1250" s="412"/>
      <c r="E1250" s="414"/>
      <c r="F1250" s="414"/>
      <c r="G1250" s="414"/>
      <c r="H1250" s="414"/>
      <c r="I1250" s="397"/>
      <c r="J1250" s="392"/>
      <c r="K1250" s="361"/>
      <c r="L1250" s="361"/>
      <c r="M1250" s="361"/>
      <c r="N1250" s="361"/>
      <c r="O1250" s="361"/>
      <c r="P1250" s="361"/>
      <c r="Q1250" s="361"/>
      <c r="R1250" s="361"/>
      <c r="S1250" s="361"/>
      <c r="T1250" s="361"/>
      <c r="U1250" s="361"/>
      <c r="V1250" s="361"/>
      <c r="W1250" s="361"/>
      <c r="X1250" s="361"/>
      <c r="Y1250" s="361"/>
      <c r="Z1250" s="361"/>
    </row>
    <row r="1251" ht="22.5" customHeight="1" outlineLevel="1">
      <c r="A1251" s="412"/>
      <c r="B1251" s="415"/>
      <c r="C1251" s="394"/>
      <c r="D1251" s="412"/>
      <c r="E1251" s="414"/>
      <c r="F1251" s="414"/>
      <c r="G1251" s="414"/>
      <c r="H1251" s="414"/>
      <c r="I1251" s="397"/>
      <c r="J1251" s="392"/>
      <c r="K1251" s="361"/>
      <c r="L1251" s="361"/>
      <c r="M1251" s="361"/>
      <c r="N1251" s="361"/>
      <c r="O1251" s="361"/>
      <c r="P1251" s="361"/>
      <c r="Q1251" s="361"/>
      <c r="R1251" s="361"/>
      <c r="S1251" s="361"/>
      <c r="T1251" s="361"/>
      <c r="U1251" s="361"/>
      <c r="V1251" s="361"/>
      <c r="W1251" s="361"/>
      <c r="X1251" s="361"/>
      <c r="Y1251" s="361"/>
      <c r="Z1251" s="361"/>
    </row>
    <row r="1252" ht="22.5" customHeight="1" outlineLevel="1">
      <c r="A1252" s="412"/>
      <c r="B1252" s="415"/>
      <c r="C1252" s="394"/>
      <c r="D1252" s="412"/>
      <c r="E1252" s="414"/>
      <c r="F1252" s="414"/>
      <c r="G1252" s="414"/>
      <c r="H1252" s="414"/>
      <c r="I1252" s="397"/>
      <c r="J1252" s="392"/>
      <c r="K1252" s="361"/>
      <c r="L1252" s="361"/>
      <c r="M1252" s="361"/>
      <c r="N1252" s="361"/>
      <c r="O1252" s="361"/>
      <c r="P1252" s="361"/>
      <c r="Q1252" s="361"/>
      <c r="R1252" s="361"/>
      <c r="S1252" s="361"/>
      <c r="T1252" s="361"/>
      <c r="U1252" s="361"/>
      <c r="V1252" s="361"/>
      <c r="W1252" s="361"/>
      <c r="X1252" s="361"/>
      <c r="Y1252" s="361"/>
      <c r="Z1252" s="361"/>
    </row>
    <row r="1253" ht="22.5" customHeight="1" outlineLevel="1">
      <c r="A1253" s="412"/>
      <c r="B1253" s="415"/>
      <c r="C1253" s="394"/>
      <c r="D1253" s="412"/>
      <c r="E1253" s="414"/>
      <c r="F1253" s="414"/>
      <c r="G1253" s="414"/>
      <c r="H1253" s="414"/>
      <c r="I1253" s="397"/>
      <c r="J1253" s="392"/>
      <c r="K1253" s="361"/>
      <c r="L1253" s="361"/>
      <c r="M1253" s="361"/>
      <c r="N1253" s="361"/>
      <c r="O1253" s="361"/>
      <c r="P1253" s="361"/>
      <c r="Q1253" s="361"/>
      <c r="R1253" s="361"/>
      <c r="S1253" s="361"/>
      <c r="T1253" s="361"/>
      <c r="U1253" s="361"/>
      <c r="V1253" s="361"/>
      <c r="W1253" s="361"/>
      <c r="X1253" s="361"/>
      <c r="Y1253" s="361"/>
      <c r="Z1253" s="361"/>
    </row>
    <row r="1254" ht="22.5" customHeight="1" outlineLevel="1">
      <c r="A1254" s="412"/>
      <c r="B1254" s="415"/>
      <c r="C1254" s="394"/>
      <c r="D1254" s="412"/>
      <c r="E1254" s="414"/>
      <c r="F1254" s="414"/>
      <c r="G1254" s="414"/>
      <c r="H1254" s="414"/>
      <c r="I1254" s="397"/>
      <c r="J1254" s="392"/>
      <c r="K1254" s="361"/>
      <c r="L1254" s="361"/>
      <c r="M1254" s="361"/>
      <c r="N1254" s="361"/>
      <c r="O1254" s="361"/>
      <c r="P1254" s="361"/>
      <c r="Q1254" s="361"/>
      <c r="R1254" s="361"/>
      <c r="S1254" s="361"/>
      <c r="T1254" s="361"/>
      <c r="U1254" s="361"/>
      <c r="V1254" s="361"/>
      <c r="W1254" s="361"/>
      <c r="X1254" s="361"/>
      <c r="Y1254" s="361"/>
      <c r="Z1254" s="361"/>
    </row>
    <row r="1255" ht="22.5" customHeight="1" outlineLevel="1">
      <c r="A1255" s="412"/>
      <c r="B1255" s="415"/>
      <c r="C1255" s="394"/>
      <c r="D1255" s="412"/>
      <c r="E1255" s="414"/>
      <c r="F1255" s="414"/>
      <c r="G1255" s="414"/>
      <c r="H1255" s="414"/>
      <c r="I1255" s="397"/>
      <c r="J1255" s="392"/>
      <c r="K1255" s="361"/>
      <c r="L1255" s="361"/>
      <c r="M1255" s="361"/>
      <c r="N1255" s="361"/>
      <c r="O1255" s="361"/>
      <c r="P1255" s="361"/>
      <c r="Q1255" s="361"/>
      <c r="R1255" s="361"/>
      <c r="S1255" s="361"/>
      <c r="T1255" s="361"/>
      <c r="U1255" s="361"/>
      <c r="V1255" s="361"/>
      <c r="W1255" s="361"/>
      <c r="X1255" s="361"/>
      <c r="Y1255" s="361"/>
      <c r="Z1255" s="361"/>
    </row>
    <row r="1256" ht="22.5" customHeight="1" outlineLevel="1">
      <c r="A1256" s="412"/>
      <c r="B1256" s="415"/>
      <c r="C1256" s="394"/>
      <c r="D1256" s="412"/>
      <c r="E1256" s="414"/>
      <c r="F1256" s="414"/>
      <c r="G1256" s="414"/>
      <c r="H1256" s="414"/>
      <c r="I1256" s="397"/>
      <c r="J1256" s="392"/>
      <c r="K1256" s="361"/>
      <c r="L1256" s="361"/>
      <c r="M1256" s="361"/>
      <c r="N1256" s="361"/>
      <c r="O1256" s="361"/>
      <c r="P1256" s="361"/>
      <c r="Q1256" s="361"/>
      <c r="R1256" s="361"/>
      <c r="S1256" s="361"/>
      <c r="T1256" s="361"/>
      <c r="U1256" s="361"/>
      <c r="V1256" s="361"/>
      <c r="W1256" s="361"/>
      <c r="X1256" s="361"/>
      <c r="Y1256" s="361"/>
      <c r="Z1256" s="361"/>
    </row>
    <row r="1257" ht="22.5" customHeight="1" outlineLevel="1">
      <c r="A1257" s="412"/>
      <c r="B1257" s="415"/>
      <c r="C1257" s="394"/>
      <c r="D1257" s="412"/>
      <c r="E1257" s="414"/>
      <c r="F1257" s="414"/>
      <c r="G1257" s="414"/>
      <c r="H1257" s="414"/>
      <c r="I1257" s="397"/>
      <c r="J1257" s="392"/>
      <c r="K1257" s="361"/>
      <c r="L1257" s="361"/>
      <c r="M1257" s="361"/>
      <c r="N1257" s="361"/>
      <c r="O1257" s="361"/>
      <c r="P1257" s="361"/>
      <c r="Q1257" s="361"/>
      <c r="R1257" s="361"/>
      <c r="S1257" s="361"/>
      <c r="T1257" s="361"/>
      <c r="U1257" s="361"/>
      <c r="V1257" s="361"/>
      <c r="W1257" s="361"/>
      <c r="X1257" s="361"/>
      <c r="Y1257" s="361"/>
      <c r="Z1257" s="361"/>
    </row>
    <row r="1258" ht="22.5" customHeight="1" outlineLevel="1">
      <c r="A1258" s="412"/>
      <c r="B1258" s="415"/>
      <c r="C1258" s="394"/>
      <c r="D1258" s="412"/>
      <c r="E1258" s="414"/>
      <c r="F1258" s="414"/>
      <c r="G1258" s="414"/>
      <c r="H1258" s="414"/>
      <c r="I1258" s="397"/>
      <c r="J1258" s="392"/>
      <c r="K1258" s="361"/>
      <c r="L1258" s="361"/>
      <c r="M1258" s="361"/>
      <c r="N1258" s="361"/>
      <c r="O1258" s="361"/>
      <c r="P1258" s="361"/>
      <c r="Q1258" s="361"/>
      <c r="R1258" s="361"/>
      <c r="S1258" s="361"/>
      <c r="T1258" s="361"/>
      <c r="U1258" s="361"/>
      <c r="V1258" s="361"/>
      <c r="W1258" s="361"/>
      <c r="X1258" s="361"/>
      <c r="Y1258" s="361"/>
      <c r="Z1258" s="361"/>
    </row>
    <row r="1259" ht="22.5" customHeight="1" outlineLevel="1">
      <c r="A1259" s="412"/>
      <c r="B1259" s="415"/>
      <c r="C1259" s="394"/>
      <c r="D1259" s="412"/>
      <c r="E1259" s="414"/>
      <c r="F1259" s="414"/>
      <c r="G1259" s="414"/>
      <c r="H1259" s="414"/>
      <c r="I1259" s="397"/>
      <c r="J1259" s="392"/>
      <c r="K1259" s="361"/>
      <c r="L1259" s="361"/>
      <c r="M1259" s="361"/>
      <c r="N1259" s="361"/>
      <c r="O1259" s="361"/>
      <c r="P1259" s="361"/>
      <c r="Q1259" s="361"/>
      <c r="R1259" s="361"/>
      <c r="S1259" s="361"/>
      <c r="T1259" s="361"/>
      <c r="U1259" s="361"/>
      <c r="V1259" s="361"/>
      <c r="W1259" s="361"/>
      <c r="X1259" s="361"/>
      <c r="Y1259" s="361"/>
      <c r="Z1259" s="361"/>
    </row>
    <row r="1260" ht="22.5" customHeight="1" outlineLevel="1">
      <c r="A1260" s="412"/>
      <c r="B1260" s="415"/>
      <c r="C1260" s="394"/>
      <c r="D1260" s="412"/>
      <c r="E1260" s="414"/>
      <c r="F1260" s="414"/>
      <c r="G1260" s="414"/>
      <c r="H1260" s="414"/>
      <c r="I1260" s="397"/>
      <c r="J1260" s="392"/>
      <c r="K1260" s="361"/>
      <c r="L1260" s="361"/>
      <c r="M1260" s="361"/>
      <c r="N1260" s="361"/>
      <c r="O1260" s="361"/>
      <c r="P1260" s="361"/>
      <c r="Q1260" s="361"/>
      <c r="R1260" s="361"/>
      <c r="S1260" s="361"/>
      <c r="T1260" s="361"/>
      <c r="U1260" s="361"/>
      <c r="V1260" s="361"/>
      <c r="W1260" s="361"/>
      <c r="X1260" s="361"/>
      <c r="Y1260" s="361"/>
      <c r="Z1260" s="361"/>
    </row>
    <row r="1261" ht="22.5" customHeight="1" outlineLevel="1">
      <c r="A1261" s="412"/>
      <c r="B1261" s="415"/>
      <c r="C1261" s="394"/>
      <c r="D1261" s="412"/>
      <c r="E1261" s="414"/>
      <c r="F1261" s="414"/>
      <c r="G1261" s="414"/>
      <c r="H1261" s="414"/>
      <c r="I1261" s="397"/>
      <c r="J1261" s="392"/>
      <c r="K1261" s="361"/>
      <c r="L1261" s="361"/>
      <c r="M1261" s="361"/>
      <c r="N1261" s="361"/>
      <c r="O1261" s="361"/>
      <c r="P1261" s="361"/>
      <c r="Q1261" s="361"/>
      <c r="R1261" s="361"/>
      <c r="S1261" s="361"/>
      <c r="T1261" s="361"/>
      <c r="U1261" s="361"/>
      <c r="V1261" s="361"/>
      <c r="W1261" s="361"/>
      <c r="X1261" s="361"/>
      <c r="Y1261" s="361"/>
      <c r="Z1261" s="361"/>
    </row>
    <row r="1262" ht="22.5" customHeight="1" outlineLevel="1">
      <c r="A1262" s="412"/>
      <c r="B1262" s="415"/>
      <c r="C1262" s="394"/>
      <c r="D1262" s="412"/>
      <c r="E1262" s="414"/>
      <c r="F1262" s="414"/>
      <c r="G1262" s="414"/>
      <c r="H1262" s="414"/>
      <c r="I1262" s="397"/>
      <c r="J1262" s="392"/>
      <c r="K1262" s="361"/>
      <c r="L1262" s="361"/>
      <c r="M1262" s="361"/>
      <c r="N1262" s="361"/>
      <c r="O1262" s="361"/>
      <c r="P1262" s="361"/>
      <c r="Q1262" s="361"/>
      <c r="R1262" s="361"/>
      <c r="S1262" s="361"/>
      <c r="T1262" s="361"/>
      <c r="U1262" s="361"/>
      <c r="V1262" s="361"/>
      <c r="W1262" s="361"/>
      <c r="X1262" s="361"/>
      <c r="Y1262" s="361"/>
      <c r="Z1262" s="361"/>
    </row>
    <row r="1263" ht="22.5" customHeight="1" outlineLevel="1">
      <c r="A1263" s="412"/>
      <c r="B1263" s="415"/>
      <c r="C1263" s="394"/>
      <c r="D1263" s="412"/>
      <c r="E1263" s="414"/>
      <c r="F1263" s="414"/>
      <c r="G1263" s="414"/>
      <c r="H1263" s="414"/>
      <c r="I1263" s="397"/>
      <c r="J1263" s="392"/>
      <c r="K1263" s="361"/>
      <c r="L1263" s="361"/>
      <c r="M1263" s="361"/>
      <c r="N1263" s="361"/>
      <c r="O1263" s="361"/>
      <c r="P1263" s="361"/>
      <c r="Q1263" s="361"/>
      <c r="R1263" s="361"/>
      <c r="S1263" s="361"/>
      <c r="T1263" s="361"/>
      <c r="U1263" s="361"/>
      <c r="V1263" s="361"/>
      <c r="W1263" s="361"/>
      <c r="X1263" s="361"/>
      <c r="Y1263" s="361"/>
      <c r="Z1263" s="361"/>
    </row>
    <row r="1264" ht="22.5" customHeight="1" outlineLevel="1">
      <c r="A1264" s="412"/>
      <c r="B1264" s="415"/>
      <c r="C1264" s="394"/>
      <c r="D1264" s="412"/>
      <c r="E1264" s="414"/>
      <c r="F1264" s="414"/>
      <c r="G1264" s="414"/>
      <c r="H1264" s="414"/>
      <c r="I1264" s="397"/>
      <c r="J1264" s="392"/>
      <c r="K1264" s="361"/>
      <c r="L1264" s="361"/>
      <c r="M1264" s="361"/>
      <c r="N1264" s="361"/>
      <c r="O1264" s="361"/>
      <c r="P1264" s="361"/>
      <c r="Q1264" s="361"/>
      <c r="R1264" s="361"/>
      <c r="S1264" s="361"/>
      <c r="T1264" s="361"/>
      <c r="U1264" s="361"/>
      <c r="V1264" s="361"/>
      <c r="W1264" s="361"/>
      <c r="X1264" s="361"/>
      <c r="Y1264" s="361"/>
      <c r="Z1264" s="361"/>
    </row>
    <row r="1265" ht="22.5" customHeight="1" outlineLevel="1">
      <c r="A1265" s="412"/>
      <c r="B1265" s="415"/>
      <c r="C1265" s="394"/>
      <c r="D1265" s="412"/>
      <c r="E1265" s="414"/>
      <c r="F1265" s="414"/>
      <c r="G1265" s="414"/>
      <c r="H1265" s="414"/>
      <c r="I1265" s="397"/>
      <c r="J1265" s="392"/>
      <c r="K1265" s="361"/>
      <c r="L1265" s="361"/>
      <c r="M1265" s="361"/>
      <c r="N1265" s="361"/>
      <c r="O1265" s="361"/>
      <c r="P1265" s="361"/>
      <c r="Q1265" s="361"/>
      <c r="R1265" s="361"/>
      <c r="S1265" s="361"/>
      <c r="T1265" s="361"/>
      <c r="U1265" s="361"/>
      <c r="V1265" s="361"/>
      <c r="W1265" s="361"/>
      <c r="X1265" s="361"/>
      <c r="Y1265" s="361"/>
      <c r="Z1265" s="361"/>
    </row>
    <row r="1266" ht="22.5" customHeight="1" outlineLevel="1">
      <c r="A1266" s="412"/>
      <c r="B1266" s="415"/>
      <c r="C1266" s="394"/>
      <c r="D1266" s="412"/>
      <c r="E1266" s="414"/>
      <c r="F1266" s="414"/>
      <c r="G1266" s="414"/>
      <c r="H1266" s="414"/>
      <c r="I1266" s="397"/>
      <c r="J1266" s="392"/>
      <c r="K1266" s="361"/>
      <c r="L1266" s="361"/>
      <c r="M1266" s="361"/>
      <c r="N1266" s="361"/>
      <c r="O1266" s="361"/>
      <c r="P1266" s="361"/>
      <c r="Q1266" s="361"/>
      <c r="R1266" s="361"/>
      <c r="S1266" s="361"/>
      <c r="T1266" s="361"/>
      <c r="U1266" s="361"/>
      <c r="V1266" s="361"/>
      <c r="W1266" s="361"/>
      <c r="X1266" s="361"/>
      <c r="Y1266" s="361"/>
      <c r="Z1266" s="361"/>
    </row>
    <row r="1267" ht="22.5" customHeight="1" outlineLevel="1">
      <c r="A1267" s="412"/>
      <c r="B1267" s="415"/>
      <c r="C1267" s="394"/>
      <c r="D1267" s="412"/>
      <c r="E1267" s="414"/>
      <c r="F1267" s="414"/>
      <c r="G1267" s="414"/>
      <c r="H1267" s="414"/>
      <c r="I1267" s="397"/>
      <c r="J1267" s="392"/>
      <c r="K1267" s="361"/>
      <c r="L1267" s="361"/>
      <c r="M1267" s="361"/>
      <c r="N1267" s="361"/>
      <c r="O1267" s="361"/>
      <c r="P1267" s="361"/>
      <c r="Q1267" s="361"/>
      <c r="R1267" s="361"/>
      <c r="S1267" s="361"/>
      <c r="T1267" s="361"/>
      <c r="U1267" s="361"/>
      <c r="V1267" s="361"/>
      <c r="W1267" s="361"/>
      <c r="X1267" s="361"/>
      <c r="Y1267" s="361"/>
      <c r="Z1267" s="361"/>
    </row>
    <row r="1268" ht="22.5" customHeight="1" outlineLevel="1">
      <c r="A1268" s="412"/>
      <c r="B1268" s="415"/>
      <c r="C1268" s="394"/>
      <c r="D1268" s="412"/>
      <c r="E1268" s="414"/>
      <c r="F1268" s="414"/>
      <c r="G1268" s="414"/>
      <c r="H1268" s="414"/>
      <c r="I1268" s="397"/>
      <c r="J1268" s="392"/>
      <c r="K1268" s="361"/>
      <c r="L1268" s="361"/>
      <c r="M1268" s="361"/>
      <c r="N1268" s="361"/>
      <c r="O1268" s="361"/>
      <c r="P1268" s="361"/>
      <c r="Q1268" s="361"/>
      <c r="R1268" s="361"/>
      <c r="S1268" s="361"/>
      <c r="T1268" s="361"/>
      <c r="U1268" s="361"/>
      <c r="V1268" s="361"/>
      <c r="W1268" s="361"/>
      <c r="X1268" s="361"/>
      <c r="Y1268" s="361"/>
      <c r="Z1268" s="361"/>
    </row>
    <row r="1269" ht="22.5" customHeight="1" outlineLevel="1">
      <c r="A1269" s="412"/>
      <c r="B1269" s="415"/>
      <c r="C1269" s="394"/>
      <c r="D1269" s="412"/>
      <c r="E1269" s="414"/>
      <c r="F1269" s="414"/>
      <c r="G1269" s="414"/>
      <c r="H1269" s="414"/>
      <c r="I1269" s="397"/>
      <c r="J1269" s="392"/>
      <c r="K1269" s="361"/>
      <c r="L1269" s="361"/>
      <c r="M1269" s="361"/>
      <c r="N1269" s="361"/>
      <c r="O1269" s="361"/>
      <c r="P1269" s="361"/>
      <c r="Q1269" s="361"/>
      <c r="R1269" s="361"/>
      <c r="S1269" s="361"/>
      <c r="T1269" s="361"/>
      <c r="U1269" s="361"/>
      <c r="V1269" s="361"/>
      <c r="W1269" s="361"/>
      <c r="X1269" s="361"/>
      <c r="Y1269" s="361"/>
      <c r="Z1269" s="361"/>
    </row>
    <row r="1270" ht="22.5" customHeight="1" outlineLevel="1">
      <c r="A1270" s="412"/>
      <c r="B1270" s="415"/>
      <c r="C1270" s="394"/>
      <c r="D1270" s="412"/>
      <c r="E1270" s="414"/>
      <c r="F1270" s="414"/>
      <c r="G1270" s="414"/>
      <c r="H1270" s="414"/>
      <c r="I1270" s="397"/>
      <c r="J1270" s="392"/>
      <c r="K1270" s="361"/>
      <c r="L1270" s="361"/>
      <c r="M1270" s="361"/>
      <c r="N1270" s="361"/>
      <c r="O1270" s="361"/>
      <c r="P1270" s="361"/>
      <c r="Q1270" s="361"/>
      <c r="R1270" s="361"/>
      <c r="S1270" s="361"/>
      <c r="T1270" s="361"/>
      <c r="U1270" s="361"/>
      <c r="V1270" s="361"/>
      <c r="W1270" s="361"/>
      <c r="X1270" s="361"/>
      <c r="Y1270" s="361"/>
      <c r="Z1270" s="361"/>
    </row>
    <row r="1271" ht="22.5" customHeight="1" outlineLevel="1">
      <c r="A1271" s="412"/>
      <c r="B1271" s="415"/>
      <c r="C1271" s="394"/>
      <c r="D1271" s="412"/>
      <c r="E1271" s="414"/>
      <c r="F1271" s="414"/>
      <c r="G1271" s="414"/>
      <c r="H1271" s="414"/>
      <c r="I1271" s="397"/>
      <c r="J1271" s="392"/>
      <c r="K1271" s="361"/>
      <c r="L1271" s="361"/>
      <c r="M1271" s="361"/>
      <c r="N1271" s="361"/>
      <c r="O1271" s="361"/>
      <c r="P1271" s="361"/>
      <c r="Q1271" s="361"/>
      <c r="R1271" s="361"/>
      <c r="S1271" s="361"/>
      <c r="T1271" s="361"/>
      <c r="U1271" s="361"/>
      <c r="V1271" s="361"/>
      <c r="W1271" s="361"/>
      <c r="X1271" s="361"/>
      <c r="Y1271" s="361"/>
      <c r="Z1271" s="361"/>
    </row>
    <row r="1272" ht="22.5" customHeight="1" outlineLevel="1">
      <c r="A1272" s="412"/>
      <c r="B1272" s="415"/>
      <c r="C1272" s="394"/>
      <c r="D1272" s="412"/>
      <c r="E1272" s="414"/>
      <c r="F1272" s="414"/>
      <c r="G1272" s="414"/>
      <c r="H1272" s="414"/>
      <c r="I1272" s="397"/>
      <c r="J1272" s="392"/>
      <c r="K1272" s="361"/>
      <c r="L1272" s="361"/>
      <c r="M1272" s="361"/>
      <c r="N1272" s="361"/>
      <c r="O1272" s="361"/>
      <c r="P1272" s="361"/>
      <c r="Q1272" s="361"/>
      <c r="R1272" s="361"/>
      <c r="S1272" s="361"/>
      <c r="T1272" s="361"/>
      <c r="U1272" s="361"/>
      <c r="V1272" s="361"/>
      <c r="W1272" s="361"/>
      <c r="X1272" s="361"/>
      <c r="Y1272" s="361"/>
      <c r="Z1272" s="361"/>
    </row>
    <row r="1273" ht="22.5" customHeight="1" outlineLevel="1">
      <c r="A1273" s="412"/>
      <c r="B1273" s="415"/>
      <c r="C1273" s="394"/>
      <c r="D1273" s="412"/>
      <c r="E1273" s="414"/>
      <c r="F1273" s="414"/>
      <c r="G1273" s="414"/>
      <c r="H1273" s="414"/>
      <c r="I1273" s="397"/>
      <c r="J1273" s="392"/>
      <c r="K1273" s="361"/>
      <c r="L1273" s="361"/>
      <c r="M1273" s="361"/>
      <c r="N1273" s="361"/>
      <c r="O1273" s="361"/>
      <c r="P1273" s="361"/>
      <c r="Q1273" s="361"/>
      <c r="R1273" s="361"/>
      <c r="S1273" s="361"/>
      <c r="T1273" s="361"/>
      <c r="U1273" s="361"/>
      <c r="V1273" s="361"/>
      <c r="W1273" s="361"/>
      <c r="X1273" s="361"/>
      <c r="Y1273" s="361"/>
      <c r="Z1273" s="361"/>
    </row>
    <row r="1274" ht="22.5" customHeight="1" outlineLevel="1">
      <c r="A1274" s="412"/>
      <c r="B1274" s="415"/>
      <c r="C1274" s="394"/>
      <c r="D1274" s="412"/>
      <c r="E1274" s="414"/>
      <c r="F1274" s="414"/>
      <c r="G1274" s="414"/>
      <c r="H1274" s="414"/>
      <c r="I1274" s="397"/>
      <c r="J1274" s="392"/>
      <c r="K1274" s="361"/>
      <c r="L1274" s="361"/>
      <c r="M1274" s="361"/>
      <c r="N1274" s="361"/>
      <c r="O1274" s="361"/>
      <c r="P1274" s="361"/>
      <c r="Q1274" s="361"/>
      <c r="R1274" s="361"/>
      <c r="S1274" s="361"/>
      <c r="T1274" s="361"/>
      <c r="U1274" s="361"/>
      <c r="V1274" s="361"/>
      <c r="W1274" s="361"/>
      <c r="X1274" s="361"/>
      <c r="Y1274" s="361"/>
      <c r="Z1274" s="361"/>
    </row>
    <row r="1275" ht="22.5" customHeight="1" outlineLevel="1">
      <c r="A1275" s="412"/>
      <c r="B1275" s="415"/>
      <c r="C1275" s="394"/>
      <c r="D1275" s="412"/>
      <c r="E1275" s="414"/>
      <c r="F1275" s="414"/>
      <c r="G1275" s="414"/>
      <c r="H1275" s="414"/>
      <c r="I1275" s="397"/>
      <c r="J1275" s="392"/>
      <c r="K1275" s="361"/>
      <c r="L1275" s="361"/>
      <c r="M1275" s="361"/>
      <c r="N1275" s="361"/>
      <c r="O1275" s="361"/>
      <c r="P1275" s="361"/>
      <c r="Q1275" s="361"/>
      <c r="R1275" s="361"/>
      <c r="S1275" s="361"/>
      <c r="T1275" s="361"/>
      <c r="U1275" s="361"/>
      <c r="V1275" s="361"/>
      <c r="W1275" s="361"/>
      <c r="X1275" s="361"/>
      <c r="Y1275" s="361"/>
      <c r="Z1275" s="361"/>
    </row>
    <row r="1276" ht="22.5" customHeight="1" outlineLevel="1">
      <c r="A1276" s="412"/>
      <c r="B1276" s="415"/>
      <c r="C1276" s="394"/>
      <c r="D1276" s="412"/>
      <c r="E1276" s="414"/>
      <c r="F1276" s="414"/>
      <c r="G1276" s="414"/>
      <c r="H1276" s="414"/>
      <c r="I1276" s="397"/>
      <c r="J1276" s="392"/>
      <c r="K1276" s="361"/>
      <c r="L1276" s="361"/>
      <c r="M1276" s="361"/>
      <c r="N1276" s="361"/>
      <c r="O1276" s="361"/>
      <c r="P1276" s="361"/>
      <c r="Q1276" s="361"/>
      <c r="R1276" s="361"/>
      <c r="S1276" s="361"/>
      <c r="T1276" s="361"/>
      <c r="U1276" s="361"/>
      <c r="V1276" s="361"/>
      <c r="W1276" s="361"/>
      <c r="X1276" s="361"/>
      <c r="Y1276" s="361"/>
      <c r="Z1276" s="361"/>
    </row>
    <row r="1277" ht="22.5" customHeight="1" outlineLevel="1">
      <c r="A1277" s="412"/>
      <c r="B1277" s="415"/>
      <c r="C1277" s="394"/>
      <c r="D1277" s="412"/>
      <c r="E1277" s="414"/>
      <c r="F1277" s="414"/>
      <c r="G1277" s="414"/>
      <c r="H1277" s="414"/>
      <c r="I1277" s="397"/>
      <c r="J1277" s="392"/>
      <c r="K1277" s="361"/>
      <c r="L1277" s="361"/>
      <c r="M1277" s="361"/>
      <c r="N1277" s="361"/>
      <c r="O1277" s="361"/>
      <c r="P1277" s="361"/>
      <c r="Q1277" s="361"/>
      <c r="R1277" s="361"/>
      <c r="S1277" s="361"/>
      <c r="T1277" s="361"/>
      <c r="U1277" s="361"/>
      <c r="V1277" s="361"/>
      <c r="W1277" s="361"/>
      <c r="X1277" s="361"/>
      <c r="Y1277" s="361"/>
      <c r="Z1277" s="361"/>
    </row>
    <row r="1278" ht="22.5" customHeight="1" outlineLevel="1">
      <c r="A1278" s="412"/>
      <c r="B1278" s="415"/>
      <c r="C1278" s="394"/>
      <c r="D1278" s="412"/>
      <c r="E1278" s="414"/>
      <c r="F1278" s="414"/>
      <c r="G1278" s="414"/>
      <c r="H1278" s="414"/>
      <c r="I1278" s="397"/>
      <c r="J1278" s="392"/>
      <c r="K1278" s="361"/>
      <c r="L1278" s="361"/>
      <c r="M1278" s="361"/>
      <c r="N1278" s="361"/>
      <c r="O1278" s="361"/>
      <c r="P1278" s="361"/>
      <c r="Q1278" s="361"/>
      <c r="R1278" s="361"/>
      <c r="S1278" s="361"/>
      <c r="T1278" s="361"/>
      <c r="U1278" s="361"/>
      <c r="V1278" s="361"/>
      <c r="W1278" s="361"/>
      <c r="X1278" s="361"/>
      <c r="Y1278" s="361"/>
      <c r="Z1278" s="361"/>
    </row>
    <row r="1279" ht="22.5" customHeight="1" outlineLevel="1">
      <c r="A1279" s="412"/>
      <c r="B1279" s="415"/>
      <c r="C1279" s="394"/>
      <c r="D1279" s="412"/>
      <c r="E1279" s="414"/>
      <c r="F1279" s="414"/>
      <c r="G1279" s="414"/>
      <c r="H1279" s="414"/>
      <c r="I1279" s="397"/>
      <c r="J1279" s="392"/>
      <c r="K1279" s="361"/>
      <c r="L1279" s="361"/>
      <c r="M1279" s="361"/>
      <c r="N1279" s="361"/>
      <c r="O1279" s="361"/>
      <c r="P1279" s="361"/>
      <c r="Q1279" s="361"/>
      <c r="R1279" s="361"/>
      <c r="S1279" s="361"/>
      <c r="T1279" s="361"/>
      <c r="U1279" s="361"/>
      <c r="V1279" s="361"/>
      <c r="W1279" s="361"/>
      <c r="X1279" s="361"/>
      <c r="Y1279" s="361"/>
      <c r="Z1279" s="361"/>
    </row>
    <row r="1280" ht="22.5" customHeight="1" outlineLevel="1">
      <c r="A1280" s="412"/>
      <c r="B1280" s="415"/>
      <c r="C1280" s="394"/>
      <c r="D1280" s="412"/>
      <c r="E1280" s="414"/>
      <c r="F1280" s="414"/>
      <c r="G1280" s="414"/>
      <c r="H1280" s="414"/>
      <c r="I1280" s="397"/>
      <c r="J1280" s="392"/>
      <c r="K1280" s="361"/>
      <c r="L1280" s="361"/>
      <c r="M1280" s="361"/>
      <c r="N1280" s="361"/>
      <c r="O1280" s="361"/>
      <c r="P1280" s="361"/>
      <c r="Q1280" s="361"/>
      <c r="R1280" s="361"/>
      <c r="S1280" s="361"/>
      <c r="T1280" s="361"/>
      <c r="U1280" s="361"/>
      <c r="V1280" s="361"/>
      <c r="W1280" s="361"/>
      <c r="X1280" s="361"/>
      <c r="Y1280" s="361"/>
      <c r="Z1280" s="361"/>
    </row>
    <row r="1281" ht="22.5" customHeight="1" outlineLevel="1">
      <c r="A1281" s="412"/>
      <c r="B1281" s="415"/>
      <c r="C1281" s="394"/>
      <c r="D1281" s="412"/>
      <c r="E1281" s="414"/>
      <c r="F1281" s="414"/>
      <c r="G1281" s="414"/>
      <c r="H1281" s="414"/>
      <c r="I1281" s="397"/>
      <c r="J1281" s="392"/>
      <c r="K1281" s="361"/>
      <c r="L1281" s="361"/>
      <c r="M1281" s="361"/>
      <c r="N1281" s="361"/>
      <c r="O1281" s="361"/>
      <c r="P1281" s="361"/>
      <c r="Q1281" s="361"/>
      <c r="R1281" s="361"/>
      <c r="S1281" s="361"/>
      <c r="T1281" s="361"/>
      <c r="U1281" s="361"/>
      <c r="V1281" s="361"/>
      <c r="W1281" s="361"/>
      <c r="X1281" s="361"/>
      <c r="Y1281" s="361"/>
      <c r="Z1281" s="361"/>
    </row>
    <row r="1282" ht="22.5" customHeight="1" outlineLevel="1">
      <c r="A1282" s="412"/>
      <c r="B1282" s="415"/>
      <c r="C1282" s="394"/>
      <c r="D1282" s="412"/>
      <c r="E1282" s="414"/>
      <c r="F1282" s="414"/>
      <c r="G1282" s="414"/>
      <c r="H1282" s="414"/>
      <c r="I1282" s="397"/>
      <c r="J1282" s="392"/>
      <c r="K1282" s="361"/>
      <c r="L1282" s="361"/>
      <c r="M1282" s="361"/>
      <c r="N1282" s="361"/>
      <c r="O1282" s="361"/>
      <c r="P1282" s="361"/>
      <c r="Q1282" s="361"/>
      <c r="R1282" s="361"/>
      <c r="S1282" s="361"/>
      <c r="T1282" s="361"/>
      <c r="U1282" s="361"/>
      <c r="V1282" s="361"/>
      <c r="W1282" s="361"/>
      <c r="X1282" s="361"/>
      <c r="Y1282" s="361"/>
      <c r="Z1282" s="361"/>
    </row>
    <row r="1283" ht="22.5" customHeight="1" outlineLevel="1">
      <c r="A1283" s="412"/>
      <c r="B1283" s="415"/>
      <c r="C1283" s="394"/>
      <c r="D1283" s="412"/>
      <c r="E1283" s="414"/>
      <c r="F1283" s="414"/>
      <c r="G1283" s="414"/>
      <c r="H1283" s="414"/>
      <c r="I1283" s="397"/>
      <c r="J1283" s="392"/>
      <c r="K1283" s="361"/>
      <c r="L1283" s="361"/>
      <c r="M1283" s="361"/>
      <c r="N1283" s="361"/>
      <c r="O1283" s="361"/>
      <c r="P1283" s="361"/>
      <c r="Q1283" s="361"/>
      <c r="R1283" s="361"/>
      <c r="S1283" s="361"/>
      <c r="T1283" s="361"/>
      <c r="U1283" s="361"/>
      <c r="V1283" s="361"/>
      <c r="W1283" s="361"/>
      <c r="X1283" s="361"/>
      <c r="Y1283" s="361"/>
      <c r="Z1283" s="361"/>
    </row>
    <row r="1284" ht="22.5" customHeight="1" outlineLevel="1">
      <c r="A1284" s="412"/>
      <c r="B1284" s="415"/>
      <c r="C1284" s="394"/>
      <c r="D1284" s="412"/>
      <c r="E1284" s="414"/>
      <c r="F1284" s="414"/>
      <c r="G1284" s="414"/>
      <c r="H1284" s="414"/>
      <c r="I1284" s="397"/>
      <c r="J1284" s="392"/>
      <c r="K1284" s="361"/>
      <c r="L1284" s="361"/>
      <c r="M1284" s="361"/>
      <c r="N1284" s="361"/>
      <c r="O1284" s="361"/>
      <c r="P1284" s="361"/>
      <c r="Q1284" s="361"/>
      <c r="R1284" s="361"/>
      <c r="S1284" s="361"/>
      <c r="T1284" s="361"/>
      <c r="U1284" s="361"/>
      <c r="V1284" s="361"/>
      <c r="W1284" s="361"/>
      <c r="X1284" s="361"/>
      <c r="Y1284" s="361"/>
      <c r="Z1284" s="361"/>
    </row>
    <row r="1285" ht="22.5" customHeight="1" outlineLevel="1">
      <c r="A1285" s="412"/>
      <c r="B1285" s="415"/>
      <c r="C1285" s="394"/>
      <c r="D1285" s="412"/>
      <c r="E1285" s="414"/>
      <c r="F1285" s="414"/>
      <c r="G1285" s="414"/>
      <c r="H1285" s="414"/>
      <c r="I1285" s="397"/>
      <c r="J1285" s="392"/>
      <c r="K1285" s="361"/>
      <c r="L1285" s="361"/>
      <c r="M1285" s="361"/>
      <c r="N1285" s="361"/>
      <c r="O1285" s="361"/>
      <c r="P1285" s="361"/>
      <c r="Q1285" s="361"/>
      <c r="R1285" s="361"/>
      <c r="S1285" s="361"/>
      <c r="T1285" s="361"/>
      <c r="U1285" s="361"/>
      <c r="V1285" s="361"/>
      <c r="W1285" s="361"/>
      <c r="X1285" s="361"/>
      <c r="Y1285" s="361"/>
      <c r="Z1285" s="361"/>
    </row>
    <row r="1286" ht="22.5" customHeight="1" outlineLevel="1">
      <c r="A1286" s="412"/>
      <c r="B1286" s="415"/>
      <c r="C1286" s="394"/>
      <c r="D1286" s="412"/>
      <c r="E1286" s="414"/>
      <c r="F1286" s="414"/>
      <c r="G1286" s="414"/>
      <c r="H1286" s="414"/>
      <c r="I1286" s="397"/>
      <c r="J1286" s="392"/>
      <c r="K1286" s="361"/>
      <c r="L1286" s="361"/>
      <c r="M1286" s="361"/>
      <c r="N1286" s="361"/>
      <c r="O1286" s="361"/>
      <c r="P1286" s="361"/>
      <c r="Q1286" s="361"/>
      <c r="R1286" s="361"/>
      <c r="S1286" s="361"/>
      <c r="T1286" s="361"/>
      <c r="U1286" s="361"/>
      <c r="V1286" s="361"/>
      <c r="W1286" s="361"/>
      <c r="X1286" s="361"/>
      <c r="Y1286" s="361"/>
      <c r="Z1286" s="361"/>
    </row>
    <row r="1287" ht="22.5" customHeight="1" outlineLevel="1">
      <c r="A1287" s="412"/>
      <c r="B1287" s="415"/>
      <c r="C1287" s="394"/>
      <c r="D1287" s="412"/>
      <c r="E1287" s="414"/>
      <c r="F1287" s="414"/>
      <c r="G1287" s="414"/>
      <c r="H1287" s="414"/>
      <c r="I1287" s="397"/>
      <c r="J1287" s="392"/>
      <c r="K1287" s="361"/>
      <c r="L1287" s="361"/>
      <c r="M1287" s="361"/>
      <c r="N1287" s="361"/>
      <c r="O1287" s="361"/>
      <c r="P1287" s="361"/>
      <c r="Q1287" s="361"/>
      <c r="R1287" s="361"/>
      <c r="S1287" s="361"/>
      <c r="T1287" s="361"/>
      <c r="U1287" s="361"/>
      <c r="V1287" s="361"/>
      <c r="W1287" s="361"/>
      <c r="X1287" s="361"/>
      <c r="Y1287" s="361"/>
      <c r="Z1287" s="361"/>
    </row>
    <row r="1288" ht="22.5" customHeight="1" outlineLevel="1">
      <c r="A1288" s="412"/>
      <c r="B1288" s="415"/>
      <c r="C1288" s="394"/>
      <c r="D1288" s="412"/>
      <c r="E1288" s="414"/>
      <c r="F1288" s="414"/>
      <c r="G1288" s="414"/>
      <c r="H1288" s="414"/>
      <c r="I1288" s="397"/>
      <c r="J1288" s="392"/>
      <c r="K1288" s="361"/>
      <c r="L1288" s="361"/>
      <c r="M1288" s="361"/>
      <c r="N1288" s="361"/>
      <c r="O1288" s="361"/>
      <c r="P1288" s="361"/>
      <c r="Q1288" s="361"/>
      <c r="R1288" s="361"/>
      <c r="S1288" s="361"/>
      <c r="T1288" s="361"/>
      <c r="U1288" s="361"/>
      <c r="V1288" s="361"/>
      <c r="W1288" s="361"/>
      <c r="X1288" s="361"/>
      <c r="Y1288" s="361"/>
      <c r="Z1288" s="361"/>
    </row>
    <row r="1289" ht="22.5" customHeight="1" outlineLevel="1">
      <c r="A1289" s="412"/>
      <c r="B1289" s="415"/>
      <c r="C1289" s="394"/>
      <c r="D1289" s="412"/>
      <c r="E1289" s="414"/>
      <c r="F1289" s="414"/>
      <c r="G1289" s="414"/>
      <c r="H1289" s="414"/>
      <c r="I1289" s="397"/>
      <c r="J1289" s="392"/>
      <c r="K1289" s="361"/>
      <c r="L1289" s="361"/>
      <c r="M1289" s="361"/>
      <c r="N1289" s="361"/>
      <c r="O1289" s="361"/>
      <c r="P1289" s="361"/>
      <c r="Q1289" s="361"/>
      <c r="R1289" s="361"/>
      <c r="S1289" s="361"/>
      <c r="T1289" s="361"/>
      <c r="U1289" s="361"/>
      <c r="V1289" s="361"/>
      <c r="W1289" s="361"/>
      <c r="X1289" s="361"/>
      <c r="Y1289" s="361"/>
      <c r="Z1289" s="361"/>
    </row>
    <row r="1290" ht="22.5" customHeight="1" outlineLevel="1">
      <c r="A1290" s="412"/>
      <c r="B1290" s="415"/>
      <c r="C1290" s="394"/>
      <c r="D1290" s="412"/>
      <c r="E1290" s="414"/>
      <c r="F1290" s="414"/>
      <c r="G1290" s="414"/>
      <c r="H1290" s="414"/>
      <c r="I1290" s="397"/>
      <c r="J1290" s="392"/>
      <c r="K1290" s="361"/>
      <c r="L1290" s="361"/>
      <c r="M1290" s="361"/>
      <c r="N1290" s="361"/>
      <c r="O1290" s="361"/>
      <c r="P1290" s="361"/>
      <c r="Q1290" s="361"/>
      <c r="R1290" s="361"/>
      <c r="S1290" s="361"/>
      <c r="T1290" s="361"/>
      <c r="U1290" s="361"/>
      <c r="V1290" s="361"/>
      <c r="W1290" s="361"/>
      <c r="X1290" s="361"/>
      <c r="Y1290" s="361"/>
      <c r="Z1290" s="361"/>
    </row>
    <row r="1291" ht="22.5" customHeight="1" outlineLevel="1">
      <c r="A1291" s="412"/>
      <c r="B1291" s="415"/>
      <c r="C1291" s="394"/>
      <c r="D1291" s="412"/>
      <c r="E1291" s="414"/>
      <c r="F1291" s="414"/>
      <c r="G1291" s="414"/>
      <c r="H1291" s="414"/>
      <c r="I1291" s="397"/>
      <c r="J1291" s="392"/>
      <c r="K1291" s="361"/>
      <c r="L1291" s="361"/>
      <c r="M1291" s="361"/>
      <c r="N1291" s="361"/>
      <c r="O1291" s="361"/>
      <c r="P1291" s="361"/>
      <c r="Q1291" s="361"/>
      <c r="R1291" s="361"/>
      <c r="S1291" s="361"/>
      <c r="T1291" s="361"/>
      <c r="U1291" s="361"/>
      <c r="V1291" s="361"/>
      <c r="W1291" s="361"/>
      <c r="X1291" s="361"/>
      <c r="Y1291" s="361"/>
      <c r="Z1291" s="361"/>
    </row>
    <row r="1292" ht="22.5" customHeight="1" outlineLevel="1">
      <c r="A1292" s="412"/>
      <c r="B1292" s="415"/>
      <c r="C1292" s="394"/>
      <c r="D1292" s="412"/>
      <c r="E1292" s="414"/>
      <c r="F1292" s="414"/>
      <c r="G1292" s="414"/>
      <c r="H1292" s="414"/>
      <c r="I1292" s="397"/>
      <c r="J1292" s="392"/>
      <c r="K1292" s="361"/>
      <c r="L1292" s="361"/>
      <c r="M1292" s="361"/>
      <c r="N1292" s="361"/>
      <c r="O1292" s="361"/>
      <c r="P1292" s="361"/>
      <c r="Q1292" s="361"/>
      <c r="R1292" s="361"/>
      <c r="S1292" s="361"/>
      <c r="T1292" s="361"/>
      <c r="U1292" s="361"/>
      <c r="V1292" s="361"/>
      <c r="W1292" s="361"/>
      <c r="X1292" s="361"/>
      <c r="Y1292" s="361"/>
      <c r="Z1292" s="361"/>
    </row>
    <row r="1293" ht="22.5" customHeight="1" outlineLevel="1">
      <c r="A1293" s="412"/>
      <c r="B1293" s="415"/>
      <c r="C1293" s="394"/>
      <c r="D1293" s="412"/>
      <c r="E1293" s="414"/>
      <c r="F1293" s="414"/>
      <c r="G1293" s="414"/>
      <c r="H1293" s="414"/>
      <c r="I1293" s="397"/>
      <c r="J1293" s="392"/>
      <c r="K1293" s="361"/>
      <c r="L1293" s="361"/>
      <c r="M1293" s="361"/>
      <c r="N1293" s="361"/>
      <c r="O1293" s="361"/>
      <c r="P1293" s="361"/>
      <c r="Q1293" s="361"/>
      <c r="R1293" s="361"/>
      <c r="S1293" s="361"/>
      <c r="T1293" s="361"/>
      <c r="U1293" s="361"/>
      <c r="V1293" s="361"/>
      <c r="W1293" s="361"/>
      <c r="X1293" s="361"/>
      <c r="Y1293" s="361"/>
      <c r="Z1293" s="361"/>
    </row>
    <row r="1294" ht="22.5" customHeight="1" outlineLevel="1">
      <c r="A1294" s="412"/>
      <c r="B1294" s="415"/>
      <c r="C1294" s="394"/>
      <c r="D1294" s="412"/>
      <c r="E1294" s="414"/>
      <c r="F1294" s="414"/>
      <c r="G1294" s="414"/>
      <c r="H1294" s="414"/>
      <c r="I1294" s="397"/>
      <c r="J1294" s="392"/>
      <c r="K1294" s="361"/>
      <c r="L1294" s="361"/>
      <c r="M1294" s="361"/>
      <c r="N1294" s="361"/>
      <c r="O1294" s="361"/>
      <c r="P1294" s="361"/>
      <c r="Q1294" s="361"/>
      <c r="R1294" s="361"/>
      <c r="S1294" s="361"/>
      <c r="T1294" s="361"/>
      <c r="U1294" s="361"/>
      <c r="V1294" s="361"/>
      <c r="W1294" s="361"/>
      <c r="X1294" s="361"/>
      <c r="Y1294" s="361"/>
      <c r="Z1294" s="361"/>
    </row>
    <row r="1295" ht="22.5" customHeight="1" outlineLevel="1">
      <c r="A1295" s="412"/>
      <c r="B1295" s="415"/>
      <c r="C1295" s="394"/>
      <c r="D1295" s="412"/>
      <c r="E1295" s="414"/>
      <c r="F1295" s="414"/>
      <c r="G1295" s="414"/>
      <c r="H1295" s="414"/>
      <c r="I1295" s="397"/>
      <c r="J1295" s="392"/>
      <c r="K1295" s="361"/>
      <c r="L1295" s="361"/>
      <c r="M1295" s="361"/>
      <c r="N1295" s="361"/>
      <c r="O1295" s="361"/>
      <c r="P1295" s="361"/>
      <c r="Q1295" s="361"/>
      <c r="R1295" s="361"/>
      <c r="S1295" s="361"/>
      <c r="T1295" s="361"/>
      <c r="U1295" s="361"/>
      <c r="V1295" s="361"/>
      <c r="W1295" s="361"/>
      <c r="X1295" s="361"/>
      <c r="Y1295" s="361"/>
      <c r="Z1295" s="361"/>
    </row>
    <row r="1296" ht="22.5" customHeight="1" outlineLevel="1">
      <c r="A1296" s="412"/>
      <c r="B1296" s="415"/>
      <c r="C1296" s="394"/>
      <c r="D1296" s="412"/>
      <c r="E1296" s="414"/>
      <c r="F1296" s="414"/>
      <c r="G1296" s="414"/>
      <c r="H1296" s="414"/>
      <c r="I1296" s="397"/>
      <c r="J1296" s="392"/>
      <c r="K1296" s="361"/>
      <c r="L1296" s="361"/>
      <c r="M1296" s="361"/>
      <c r="N1296" s="361"/>
      <c r="O1296" s="361"/>
      <c r="P1296" s="361"/>
      <c r="Q1296" s="361"/>
      <c r="R1296" s="361"/>
      <c r="S1296" s="361"/>
      <c r="T1296" s="361"/>
      <c r="U1296" s="361"/>
      <c r="V1296" s="361"/>
      <c r="W1296" s="361"/>
      <c r="X1296" s="361"/>
      <c r="Y1296" s="361"/>
      <c r="Z1296" s="361"/>
    </row>
    <row r="1297" ht="22.5" customHeight="1" outlineLevel="1">
      <c r="A1297" s="412"/>
      <c r="B1297" s="415"/>
      <c r="C1297" s="394"/>
      <c r="D1297" s="412"/>
      <c r="E1297" s="414"/>
      <c r="F1297" s="414"/>
      <c r="G1297" s="414"/>
      <c r="H1297" s="414"/>
      <c r="I1297" s="397"/>
      <c r="J1297" s="392"/>
      <c r="K1297" s="361"/>
      <c r="L1297" s="361"/>
      <c r="M1297" s="361"/>
      <c r="N1297" s="361"/>
      <c r="O1297" s="361"/>
      <c r="P1297" s="361"/>
      <c r="Q1297" s="361"/>
      <c r="R1297" s="361"/>
      <c r="S1297" s="361"/>
      <c r="T1297" s="361"/>
      <c r="U1297" s="361"/>
      <c r="V1297" s="361"/>
      <c r="W1297" s="361"/>
      <c r="X1297" s="361"/>
      <c r="Y1297" s="361"/>
      <c r="Z1297" s="361"/>
    </row>
    <row r="1298" ht="22.5" customHeight="1" outlineLevel="1">
      <c r="A1298" s="412"/>
      <c r="B1298" s="415"/>
      <c r="C1298" s="394"/>
      <c r="D1298" s="412"/>
      <c r="E1298" s="414"/>
      <c r="F1298" s="414"/>
      <c r="G1298" s="414"/>
      <c r="H1298" s="414"/>
      <c r="I1298" s="397"/>
      <c r="J1298" s="392"/>
      <c r="K1298" s="361"/>
      <c r="L1298" s="361"/>
      <c r="M1298" s="361"/>
      <c r="N1298" s="361"/>
      <c r="O1298" s="361"/>
      <c r="P1298" s="361"/>
      <c r="Q1298" s="361"/>
      <c r="R1298" s="361"/>
      <c r="S1298" s="361"/>
      <c r="T1298" s="361"/>
      <c r="U1298" s="361"/>
      <c r="V1298" s="361"/>
      <c r="W1298" s="361"/>
      <c r="X1298" s="361"/>
      <c r="Y1298" s="361"/>
      <c r="Z1298" s="361"/>
    </row>
    <row r="1299" ht="22.5" customHeight="1" outlineLevel="1">
      <c r="A1299" s="412"/>
      <c r="B1299" s="415"/>
      <c r="C1299" s="394"/>
      <c r="D1299" s="412"/>
      <c r="E1299" s="414"/>
      <c r="F1299" s="414"/>
      <c r="G1299" s="414"/>
      <c r="H1299" s="414"/>
      <c r="I1299" s="397"/>
      <c r="J1299" s="392"/>
      <c r="K1299" s="361"/>
      <c r="L1299" s="361"/>
      <c r="M1299" s="361"/>
      <c r="N1299" s="361"/>
      <c r="O1299" s="361"/>
      <c r="P1299" s="361"/>
      <c r="Q1299" s="361"/>
      <c r="R1299" s="361"/>
      <c r="S1299" s="361"/>
      <c r="T1299" s="361"/>
      <c r="U1299" s="361"/>
      <c r="V1299" s="361"/>
      <c r="W1299" s="361"/>
      <c r="X1299" s="361"/>
      <c r="Y1299" s="361"/>
      <c r="Z1299" s="361"/>
    </row>
    <row r="1300" ht="22.5" customHeight="1" outlineLevel="1">
      <c r="A1300" s="412"/>
      <c r="B1300" s="415"/>
      <c r="C1300" s="394"/>
      <c r="D1300" s="412"/>
      <c r="E1300" s="414"/>
      <c r="F1300" s="414"/>
      <c r="G1300" s="414"/>
      <c r="H1300" s="414"/>
      <c r="I1300" s="397"/>
      <c r="J1300" s="392"/>
      <c r="K1300" s="361"/>
      <c r="L1300" s="361"/>
      <c r="M1300" s="361"/>
      <c r="N1300" s="361"/>
      <c r="O1300" s="361"/>
      <c r="P1300" s="361"/>
      <c r="Q1300" s="361"/>
      <c r="R1300" s="361"/>
      <c r="S1300" s="361"/>
      <c r="T1300" s="361"/>
      <c r="U1300" s="361"/>
      <c r="V1300" s="361"/>
      <c r="W1300" s="361"/>
      <c r="X1300" s="361"/>
      <c r="Y1300" s="361"/>
      <c r="Z1300" s="361"/>
    </row>
    <row r="1301" ht="22.5" customHeight="1" outlineLevel="1">
      <c r="A1301" s="412"/>
      <c r="B1301" s="415"/>
      <c r="C1301" s="394"/>
      <c r="D1301" s="412"/>
      <c r="E1301" s="414"/>
      <c r="F1301" s="414"/>
      <c r="G1301" s="414"/>
      <c r="H1301" s="414"/>
      <c r="I1301" s="397"/>
      <c r="J1301" s="392"/>
      <c r="K1301" s="361"/>
      <c r="L1301" s="361"/>
      <c r="M1301" s="361"/>
      <c r="N1301" s="361"/>
      <c r="O1301" s="361"/>
      <c r="P1301" s="361"/>
      <c r="Q1301" s="361"/>
      <c r="R1301" s="361"/>
      <c r="S1301" s="361"/>
      <c r="T1301" s="361"/>
      <c r="U1301" s="361"/>
      <c r="V1301" s="361"/>
      <c r="W1301" s="361"/>
      <c r="X1301" s="361"/>
      <c r="Y1301" s="361"/>
      <c r="Z1301" s="361"/>
    </row>
    <row r="1302" ht="22.5" customHeight="1" outlineLevel="1">
      <c r="A1302" s="412"/>
      <c r="B1302" s="415"/>
      <c r="C1302" s="394"/>
      <c r="D1302" s="412"/>
      <c r="E1302" s="414"/>
      <c r="F1302" s="414"/>
      <c r="G1302" s="414"/>
      <c r="H1302" s="414"/>
      <c r="I1302" s="397"/>
      <c r="J1302" s="392"/>
      <c r="K1302" s="361"/>
      <c r="L1302" s="361"/>
      <c r="M1302" s="361"/>
      <c r="N1302" s="361"/>
      <c r="O1302" s="361"/>
      <c r="P1302" s="361"/>
      <c r="Q1302" s="361"/>
      <c r="R1302" s="361"/>
      <c r="S1302" s="361"/>
      <c r="T1302" s="361"/>
      <c r="U1302" s="361"/>
      <c r="V1302" s="361"/>
      <c r="W1302" s="361"/>
      <c r="X1302" s="361"/>
      <c r="Y1302" s="361"/>
      <c r="Z1302" s="361"/>
    </row>
    <row r="1303" ht="22.5" customHeight="1" outlineLevel="1">
      <c r="A1303" s="412"/>
      <c r="B1303" s="415"/>
      <c r="C1303" s="394"/>
      <c r="D1303" s="412"/>
      <c r="E1303" s="414"/>
      <c r="F1303" s="414"/>
      <c r="G1303" s="414"/>
      <c r="H1303" s="414"/>
      <c r="I1303" s="397"/>
      <c r="J1303" s="392"/>
      <c r="K1303" s="361"/>
      <c r="L1303" s="361"/>
      <c r="M1303" s="361"/>
      <c r="N1303" s="361"/>
      <c r="O1303" s="361"/>
      <c r="P1303" s="361"/>
      <c r="Q1303" s="361"/>
      <c r="R1303" s="361"/>
      <c r="S1303" s="361"/>
      <c r="T1303" s="361"/>
      <c r="U1303" s="361"/>
      <c r="V1303" s="361"/>
      <c r="W1303" s="361"/>
      <c r="X1303" s="361"/>
      <c r="Y1303" s="361"/>
      <c r="Z1303" s="361"/>
    </row>
    <row r="1304" ht="22.5" customHeight="1" outlineLevel="1">
      <c r="A1304" s="412"/>
      <c r="B1304" s="415"/>
      <c r="C1304" s="394"/>
      <c r="D1304" s="412"/>
      <c r="E1304" s="414"/>
      <c r="F1304" s="414"/>
      <c r="G1304" s="414"/>
      <c r="H1304" s="414"/>
      <c r="I1304" s="397"/>
      <c r="J1304" s="392"/>
      <c r="K1304" s="361"/>
      <c r="L1304" s="361"/>
      <c r="M1304" s="361"/>
      <c r="N1304" s="361"/>
      <c r="O1304" s="361"/>
      <c r="P1304" s="361"/>
      <c r="Q1304" s="361"/>
      <c r="R1304" s="361"/>
      <c r="S1304" s="361"/>
      <c r="T1304" s="361"/>
      <c r="U1304" s="361"/>
      <c r="V1304" s="361"/>
      <c r="W1304" s="361"/>
      <c r="X1304" s="361"/>
      <c r="Y1304" s="361"/>
      <c r="Z1304" s="361"/>
    </row>
    <row r="1305" ht="22.5" customHeight="1" outlineLevel="1">
      <c r="A1305" s="412"/>
      <c r="B1305" s="415"/>
      <c r="C1305" s="394"/>
      <c r="D1305" s="412"/>
      <c r="E1305" s="414"/>
      <c r="F1305" s="414"/>
      <c r="G1305" s="414"/>
      <c r="H1305" s="414"/>
      <c r="I1305" s="397"/>
      <c r="J1305" s="392"/>
      <c r="K1305" s="361"/>
      <c r="L1305" s="361"/>
      <c r="M1305" s="361"/>
      <c r="N1305" s="361"/>
      <c r="O1305" s="361"/>
      <c r="P1305" s="361"/>
      <c r="Q1305" s="361"/>
      <c r="R1305" s="361"/>
      <c r="S1305" s="361"/>
      <c r="T1305" s="361"/>
      <c r="U1305" s="361"/>
      <c r="V1305" s="361"/>
      <c r="W1305" s="361"/>
      <c r="X1305" s="361"/>
      <c r="Y1305" s="361"/>
      <c r="Z1305" s="361"/>
    </row>
    <row r="1306" ht="22.5" customHeight="1" outlineLevel="1">
      <c r="A1306" s="412"/>
      <c r="B1306" s="415"/>
      <c r="C1306" s="394"/>
      <c r="D1306" s="412"/>
      <c r="E1306" s="414"/>
      <c r="F1306" s="414"/>
      <c r="G1306" s="414"/>
      <c r="H1306" s="414"/>
      <c r="I1306" s="397"/>
      <c r="J1306" s="392"/>
      <c r="K1306" s="361"/>
      <c r="L1306" s="361"/>
      <c r="M1306" s="361"/>
      <c r="N1306" s="361"/>
      <c r="O1306" s="361"/>
      <c r="P1306" s="361"/>
      <c r="Q1306" s="361"/>
      <c r="R1306" s="361"/>
      <c r="S1306" s="361"/>
      <c r="T1306" s="361"/>
      <c r="U1306" s="361"/>
      <c r="V1306" s="361"/>
      <c r="W1306" s="361"/>
      <c r="X1306" s="361"/>
      <c r="Y1306" s="361"/>
      <c r="Z1306" s="361"/>
    </row>
    <row r="1307" ht="22.5" customHeight="1" outlineLevel="1">
      <c r="A1307" s="412"/>
      <c r="B1307" s="415"/>
      <c r="C1307" s="394"/>
      <c r="D1307" s="412"/>
      <c r="E1307" s="414"/>
      <c r="F1307" s="414"/>
      <c r="G1307" s="414"/>
      <c r="H1307" s="414"/>
      <c r="I1307" s="397"/>
      <c r="J1307" s="392"/>
      <c r="K1307" s="361"/>
      <c r="L1307" s="361"/>
      <c r="M1307" s="361"/>
      <c r="N1307" s="361"/>
      <c r="O1307" s="361"/>
      <c r="P1307" s="361"/>
      <c r="Q1307" s="361"/>
      <c r="R1307" s="361"/>
      <c r="S1307" s="361"/>
      <c r="T1307" s="361"/>
      <c r="U1307" s="361"/>
      <c r="V1307" s="361"/>
      <c r="W1307" s="361"/>
      <c r="X1307" s="361"/>
      <c r="Y1307" s="361"/>
      <c r="Z1307" s="361"/>
    </row>
    <row r="1308" ht="22.5" customHeight="1" outlineLevel="1">
      <c r="A1308" s="412"/>
      <c r="B1308" s="415"/>
      <c r="C1308" s="394"/>
      <c r="D1308" s="412"/>
      <c r="E1308" s="414"/>
      <c r="F1308" s="414"/>
      <c r="G1308" s="414"/>
      <c r="H1308" s="414"/>
      <c r="I1308" s="397"/>
      <c r="J1308" s="392"/>
      <c r="K1308" s="361"/>
      <c r="L1308" s="361"/>
      <c r="M1308" s="361"/>
      <c r="N1308" s="361"/>
      <c r="O1308" s="361"/>
      <c r="P1308" s="361"/>
      <c r="Q1308" s="361"/>
      <c r="R1308" s="361"/>
      <c r="S1308" s="361"/>
      <c r="T1308" s="361"/>
      <c r="U1308" s="361"/>
      <c r="V1308" s="361"/>
      <c r="W1308" s="361"/>
      <c r="X1308" s="361"/>
      <c r="Y1308" s="361"/>
      <c r="Z1308" s="361"/>
    </row>
    <row r="1309" ht="22.5" customHeight="1" outlineLevel="1">
      <c r="A1309" s="412"/>
      <c r="B1309" s="415"/>
      <c r="C1309" s="394"/>
      <c r="D1309" s="412"/>
      <c r="E1309" s="414"/>
      <c r="F1309" s="414"/>
      <c r="G1309" s="414"/>
      <c r="H1309" s="414"/>
      <c r="I1309" s="397"/>
      <c r="J1309" s="392"/>
      <c r="K1309" s="361"/>
      <c r="L1309" s="361"/>
      <c r="M1309" s="361"/>
      <c r="N1309" s="361"/>
      <c r="O1309" s="361"/>
      <c r="P1309" s="361"/>
      <c r="Q1309" s="361"/>
      <c r="R1309" s="361"/>
      <c r="S1309" s="361"/>
      <c r="T1309" s="361"/>
      <c r="U1309" s="361"/>
      <c r="V1309" s="361"/>
      <c r="W1309" s="361"/>
      <c r="X1309" s="361"/>
      <c r="Y1309" s="361"/>
      <c r="Z1309" s="361"/>
    </row>
    <row r="1310" ht="22.5" customHeight="1" outlineLevel="1">
      <c r="A1310" s="412"/>
      <c r="B1310" s="415"/>
      <c r="C1310" s="394"/>
      <c r="D1310" s="412"/>
      <c r="E1310" s="414"/>
      <c r="F1310" s="414"/>
      <c r="G1310" s="414"/>
      <c r="H1310" s="414"/>
      <c r="I1310" s="397"/>
      <c r="J1310" s="392"/>
      <c r="K1310" s="361"/>
      <c r="L1310" s="361"/>
      <c r="M1310" s="361"/>
      <c r="N1310" s="361"/>
      <c r="O1310" s="361"/>
      <c r="P1310" s="361"/>
      <c r="Q1310" s="361"/>
      <c r="R1310" s="361"/>
      <c r="S1310" s="361"/>
      <c r="T1310" s="361"/>
      <c r="U1310" s="361"/>
      <c r="V1310" s="361"/>
      <c r="W1310" s="361"/>
      <c r="X1310" s="361"/>
      <c r="Y1310" s="361"/>
      <c r="Z1310" s="361"/>
    </row>
    <row r="1311" ht="22.5" customHeight="1" outlineLevel="1">
      <c r="A1311" s="412"/>
      <c r="B1311" s="415"/>
      <c r="C1311" s="394"/>
      <c r="D1311" s="412"/>
      <c r="E1311" s="414"/>
      <c r="F1311" s="414"/>
      <c r="G1311" s="414"/>
      <c r="H1311" s="414"/>
      <c r="I1311" s="397"/>
      <c r="J1311" s="392"/>
      <c r="K1311" s="361"/>
      <c r="L1311" s="361"/>
      <c r="M1311" s="361"/>
      <c r="N1311" s="361"/>
      <c r="O1311" s="361"/>
      <c r="P1311" s="361"/>
      <c r="Q1311" s="361"/>
      <c r="R1311" s="361"/>
      <c r="S1311" s="361"/>
      <c r="T1311" s="361"/>
      <c r="U1311" s="361"/>
      <c r="V1311" s="361"/>
      <c r="W1311" s="361"/>
      <c r="X1311" s="361"/>
      <c r="Y1311" s="361"/>
      <c r="Z1311" s="361"/>
    </row>
    <row r="1312" ht="22.5" customHeight="1" outlineLevel="1">
      <c r="A1312" s="412"/>
      <c r="B1312" s="415"/>
      <c r="C1312" s="394"/>
      <c r="D1312" s="412"/>
      <c r="E1312" s="414"/>
      <c r="F1312" s="414"/>
      <c r="G1312" s="414"/>
      <c r="H1312" s="414"/>
      <c r="I1312" s="397"/>
      <c r="J1312" s="392"/>
      <c r="K1312" s="361"/>
      <c r="L1312" s="361"/>
      <c r="M1312" s="361"/>
      <c r="N1312" s="361"/>
      <c r="O1312" s="361"/>
      <c r="P1312" s="361"/>
      <c r="Q1312" s="361"/>
      <c r="R1312" s="361"/>
      <c r="S1312" s="361"/>
      <c r="T1312" s="361"/>
      <c r="U1312" s="361"/>
      <c r="V1312" s="361"/>
      <c r="W1312" s="361"/>
      <c r="X1312" s="361"/>
      <c r="Y1312" s="361"/>
      <c r="Z1312" s="361"/>
    </row>
    <row r="1313" ht="22.5" customHeight="1" outlineLevel="1">
      <c r="A1313" s="412"/>
      <c r="B1313" s="415"/>
      <c r="C1313" s="394"/>
      <c r="D1313" s="412"/>
      <c r="E1313" s="414"/>
      <c r="F1313" s="414"/>
      <c r="G1313" s="414"/>
      <c r="H1313" s="414"/>
      <c r="I1313" s="397"/>
      <c r="J1313" s="392"/>
      <c r="K1313" s="361"/>
      <c r="L1313" s="361"/>
      <c r="M1313" s="361"/>
      <c r="N1313" s="361"/>
      <c r="O1313" s="361"/>
      <c r="P1313" s="361"/>
      <c r="Q1313" s="361"/>
      <c r="R1313" s="361"/>
      <c r="S1313" s="361"/>
      <c r="T1313" s="361"/>
      <c r="U1313" s="361"/>
      <c r="V1313" s="361"/>
      <c r="W1313" s="361"/>
      <c r="X1313" s="361"/>
      <c r="Y1313" s="361"/>
      <c r="Z1313" s="361"/>
    </row>
    <row r="1314" ht="22.5" customHeight="1" outlineLevel="1">
      <c r="A1314" s="412"/>
      <c r="B1314" s="415"/>
      <c r="C1314" s="394"/>
      <c r="D1314" s="412"/>
      <c r="E1314" s="414"/>
      <c r="F1314" s="414"/>
      <c r="G1314" s="414"/>
      <c r="H1314" s="414"/>
      <c r="I1314" s="397"/>
      <c r="J1314" s="392"/>
      <c r="K1314" s="361"/>
      <c r="L1314" s="361"/>
      <c r="M1314" s="361"/>
      <c r="N1314" s="361"/>
      <c r="O1314" s="361"/>
      <c r="P1314" s="361"/>
      <c r="Q1314" s="361"/>
      <c r="R1314" s="361"/>
      <c r="S1314" s="361"/>
      <c r="T1314" s="361"/>
      <c r="U1314" s="361"/>
      <c r="V1314" s="361"/>
      <c r="W1314" s="361"/>
      <c r="X1314" s="361"/>
      <c r="Y1314" s="361"/>
      <c r="Z1314" s="361"/>
    </row>
    <row r="1315" ht="22.5" customHeight="1" outlineLevel="1">
      <c r="A1315" s="412"/>
      <c r="B1315" s="415"/>
      <c r="C1315" s="394"/>
      <c r="D1315" s="412"/>
      <c r="E1315" s="414"/>
      <c r="F1315" s="414"/>
      <c r="G1315" s="414"/>
      <c r="H1315" s="414"/>
      <c r="I1315" s="397"/>
      <c r="J1315" s="392"/>
      <c r="K1315" s="361"/>
      <c r="L1315" s="361"/>
      <c r="M1315" s="361"/>
      <c r="N1315" s="361"/>
      <c r="O1315" s="361"/>
      <c r="P1315" s="361"/>
      <c r="Q1315" s="361"/>
      <c r="R1315" s="361"/>
      <c r="S1315" s="361"/>
      <c r="T1315" s="361"/>
      <c r="U1315" s="361"/>
      <c r="V1315" s="361"/>
      <c r="W1315" s="361"/>
      <c r="X1315" s="361"/>
      <c r="Y1315" s="361"/>
      <c r="Z1315" s="361"/>
    </row>
    <row r="1316" ht="22.5" customHeight="1" outlineLevel="1">
      <c r="A1316" s="412"/>
      <c r="B1316" s="415"/>
      <c r="C1316" s="394"/>
      <c r="D1316" s="412"/>
      <c r="E1316" s="414"/>
      <c r="F1316" s="414"/>
      <c r="G1316" s="414"/>
      <c r="H1316" s="414"/>
      <c r="I1316" s="397"/>
      <c r="J1316" s="392"/>
      <c r="K1316" s="361"/>
      <c r="L1316" s="361"/>
      <c r="M1316" s="361"/>
      <c r="N1316" s="361"/>
      <c r="O1316" s="361"/>
      <c r="P1316" s="361"/>
      <c r="Q1316" s="361"/>
      <c r="R1316" s="361"/>
      <c r="S1316" s="361"/>
      <c r="T1316" s="361"/>
      <c r="U1316" s="361"/>
      <c r="V1316" s="361"/>
      <c r="W1316" s="361"/>
      <c r="X1316" s="361"/>
      <c r="Y1316" s="361"/>
      <c r="Z1316" s="361"/>
    </row>
    <row r="1317" ht="22.5" customHeight="1" outlineLevel="1">
      <c r="A1317" s="412"/>
      <c r="B1317" s="415"/>
      <c r="C1317" s="394"/>
      <c r="D1317" s="412"/>
      <c r="E1317" s="414"/>
      <c r="F1317" s="414"/>
      <c r="G1317" s="414"/>
      <c r="H1317" s="414"/>
      <c r="I1317" s="397"/>
      <c r="J1317" s="392"/>
      <c r="K1317" s="361"/>
      <c r="L1317" s="361"/>
      <c r="M1317" s="361"/>
      <c r="N1317" s="361"/>
      <c r="O1317" s="361"/>
      <c r="P1317" s="361"/>
      <c r="Q1317" s="361"/>
      <c r="R1317" s="361"/>
      <c r="S1317" s="361"/>
      <c r="T1317" s="361"/>
      <c r="U1317" s="361"/>
      <c r="V1317" s="361"/>
      <c r="W1317" s="361"/>
      <c r="X1317" s="361"/>
      <c r="Y1317" s="361"/>
      <c r="Z1317" s="361"/>
    </row>
    <row r="1318" ht="22.5" customHeight="1" outlineLevel="1">
      <c r="A1318" s="412"/>
      <c r="B1318" s="415"/>
      <c r="C1318" s="394"/>
      <c r="D1318" s="412"/>
      <c r="E1318" s="414"/>
      <c r="F1318" s="414"/>
      <c r="G1318" s="414"/>
      <c r="H1318" s="414"/>
      <c r="I1318" s="397"/>
      <c r="J1318" s="392"/>
      <c r="K1318" s="361"/>
      <c r="L1318" s="361"/>
      <c r="M1318" s="361"/>
      <c r="N1318" s="361"/>
      <c r="O1318" s="361"/>
      <c r="P1318" s="361"/>
      <c r="Q1318" s="361"/>
      <c r="R1318" s="361"/>
      <c r="S1318" s="361"/>
      <c r="T1318" s="361"/>
      <c r="U1318" s="361"/>
      <c r="V1318" s="361"/>
      <c r="W1318" s="361"/>
      <c r="X1318" s="361"/>
      <c r="Y1318" s="361"/>
      <c r="Z1318" s="361"/>
    </row>
    <row r="1319" ht="22.5" customHeight="1" outlineLevel="1">
      <c r="A1319" s="412"/>
      <c r="B1319" s="415"/>
      <c r="C1319" s="394"/>
      <c r="D1319" s="412"/>
      <c r="E1319" s="414"/>
      <c r="F1319" s="414"/>
      <c r="G1319" s="414"/>
      <c r="H1319" s="414"/>
      <c r="I1319" s="397"/>
      <c r="J1319" s="392"/>
      <c r="K1319" s="361"/>
      <c r="L1319" s="361"/>
      <c r="M1319" s="361"/>
      <c r="N1319" s="361"/>
      <c r="O1319" s="361"/>
      <c r="P1319" s="361"/>
      <c r="Q1319" s="361"/>
      <c r="R1319" s="361"/>
      <c r="S1319" s="361"/>
      <c r="T1319" s="361"/>
      <c r="U1319" s="361"/>
      <c r="V1319" s="361"/>
      <c r="W1319" s="361"/>
      <c r="X1319" s="361"/>
      <c r="Y1319" s="361"/>
      <c r="Z1319" s="361"/>
    </row>
    <row r="1320" ht="22.5" customHeight="1" outlineLevel="1">
      <c r="A1320" s="412"/>
      <c r="B1320" s="415"/>
      <c r="C1320" s="394"/>
      <c r="D1320" s="412"/>
      <c r="E1320" s="414"/>
      <c r="F1320" s="414"/>
      <c r="G1320" s="414"/>
      <c r="H1320" s="414"/>
      <c r="I1320" s="397"/>
      <c r="J1320" s="392"/>
      <c r="K1320" s="361"/>
      <c r="L1320" s="361"/>
      <c r="M1320" s="361"/>
      <c r="N1320" s="361"/>
      <c r="O1320" s="361"/>
      <c r="P1320" s="361"/>
      <c r="Q1320" s="361"/>
      <c r="R1320" s="361"/>
      <c r="S1320" s="361"/>
      <c r="T1320" s="361"/>
      <c r="U1320" s="361"/>
      <c r="V1320" s="361"/>
      <c r="W1320" s="361"/>
      <c r="X1320" s="361"/>
      <c r="Y1320" s="361"/>
      <c r="Z1320" s="361"/>
    </row>
    <row r="1321" ht="22.5" customHeight="1" outlineLevel="1">
      <c r="A1321" s="412"/>
      <c r="B1321" s="415"/>
      <c r="C1321" s="394"/>
      <c r="D1321" s="412"/>
      <c r="E1321" s="414"/>
      <c r="F1321" s="414"/>
      <c r="G1321" s="414"/>
      <c r="H1321" s="414"/>
      <c r="I1321" s="397"/>
      <c r="J1321" s="392"/>
      <c r="K1321" s="361"/>
      <c r="L1321" s="361"/>
      <c r="M1321" s="361"/>
      <c r="N1321" s="361"/>
      <c r="O1321" s="361"/>
      <c r="P1321" s="361"/>
      <c r="Q1321" s="361"/>
      <c r="R1321" s="361"/>
      <c r="S1321" s="361"/>
      <c r="T1321" s="361"/>
      <c r="U1321" s="361"/>
      <c r="V1321" s="361"/>
      <c r="W1321" s="361"/>
      <c r="X1321" s="361"/>
      <c r="Y1321" s="361"/>
      <c r="Z1321" s="361"/>
    </row>
    <row r="1322" ht="22.5" customHeight="1" outlineLevel="1">
      <c r="A1322" s="412"/>
      <c r="B1322" s="415"/>
      <c r="C1322" s="394"/>
      <c r="D1322" s="412"/>
      <c r="E1322" s="414"/>
      <c r="F1322" s="414"/>
      <c r="G1322" s="414"/>
      <c r="H1322" s="414"/>
      <c r="I1322" s="397"/>
      <c r="J1322" s="392"/>
      <c r="K1322" s="361"/>
      <c r="L1322" s="361"/>
      <c r="M1322" s="361"/>
      <c r="N1322" s="361"/>
      <c r="O1322" s="361"/>
      <c r="P1322" s="361"/>
      <c r="Q1322" s="361"/>
      <c r="R1322" s="361"/>
      <c r="S1322" s="361"/>
      <c r="T1322" s="361"/>
      <c r="U1322" s="361"/>
      <c r="V1322" s="361"/>
      <c r="W1322" s="361"/>
      <c r="X1322" s="361"/>
      <c r="Y1322" s="361"/>
      <c r="Z1322" s="361"/>
    </row>
    <row r="1323" ht="22.5" customHeight="1" outlineLevel="1">
      <c r="A1323" s="412"/>
      <c r="B1323" s="415"/>
      <c r="C1323" s="394"/>
      <c r="D1323" s="412"/>
      <c r="E1323" s="414"/>
      <c r="F1323" s="414"/>
      <c r="G1323" s="414"/>
      <c r="H1323" s="414"/>
      <c r="I1323" s="397"/>
      <c r="J1323" s="392"/>
      <c r="K1323" s="361"/>
      <c r="L1323" s="361"/>
      <c r="M1323" s="361"/>
      <c r="N1323" s="361"/>
      <c r="O1323" s="361"/>
      <c r="P1323" s="361"/>
      <c r="Q1323" s="361"/>
      <c r="R1323" s="361"/>
      <c r="S1323" s="361"/>
      <c r="T1323" s="361"/>
      <c r="U1323" s="361"/>
      <c r="V1323" s="361"/>
      <c r="W1323" s="361"/>
      <c r="X1323" s="361"/>
      <c r="Y1323" s="361"/>
      <c r="Z1323" s="361"/>
    </row>
    <row r="1324" ht="22.5" customHeight="1" outlineLevel="1">
      <c r="A1324" s="412"/>
      <c r="B1324" s="415"/>
      <c r="C1324" s="394"/>
      <c r="D1324" s="412"/>
      <c r="E1324" s="414"/>
      <c r="F1324" s="414"/>
      <c r="G1324" s="414"/>
      <c r="H1324" s="414"/>
      <c r="I1324" s="397"/>
      <c r="J1324" s="392"/>
      <c r="K1324" s="361"/>
      <c r="L1324" s="361"/>
      <c r="M1324" s="361"/>
      <c r="N1324" s="361"/>
      <c r="O1324" s="361"/>
      <c r="P1324" s="361"/>
      <c r="Q1324" s="361"/>
      <c r="R1324" s="361"/>
      <c r="S1324" s="361"/>
      <c r="T1324" s="361"/>
      <c r="U1324" s="361"/>
      <c r="V1324" s="361"/>
      <c r="W1324" s="361"/>
      <c r="X1324" s="361"/>
      <c r="Y1324" s="361"/>
      <c r="Z1324" s="361"/>
    </row>
    <row r="1325" ht="22.5" customHeight="1" outlineLevel="1">
      <c r="A1325" s="412"/>
      <c r="B1325" s="415"/>
      <c r="C1325" s="394"/>
      <c r="D1325" s="412"/>
      <c r="E1325" s="414"/>
      <c r="F1325" s="414"/>
      <c r="G1325" s="414"/>
      <c r="H1325" s="414"/>
      <c r="I1325" s="397"/>
      <c r="J1325" s="392"/>
      <c r="K1325" s="361"/>
      <c r="L1325" s="361"/>
      <c r="M1325" s="361"/>
      <c r="N1325" s="361"/>
      <c r="O1325" s="361"/>
      <c r="P1325" s="361"/>
      <c r="Q1325" s="361"/>
      <c r="R1325" s="361"/>
      <c r="S1325" s="361"/>
      <c r="T1325" s="361"/>
      <c r="U1325" s="361"/>
      <c r="V1325" s="361"/>
      <c r="W1325" s="361"/>
      <c r="X1325" s="361"/>
      <c r="Y1325" s="361"/>
      <c r="Z1325" s="361"/>
    </row>
    <row r="1326" ht="22.5" customHeight="1" outlineLevel="1">
      <c r="A1326" s="412"/>
      <c r="B1326" s="415"/>
      <c r="C1326" s="394"/>
      <c r="D1326" s="412"/>
      <c r="E1326" s="414"/>
      <c r="F1326" s="414"/>
      <c r="G1326" s="414"/>
      <c r="H1326" s="414"/>
      <c r="I1326" s="397"/>
      <c r="J1326" s="392"/>
      <c r="K1326" s="361"/>
      <c r="L1326" s="361"/>
      <c r="M1326" s="361"/>
      <c r="N1326" s="361"/>
      <c r="O1326" s="361"/>
      <c r="P1326" s="361"/>
      <c r="Q1326" s="361"/>
      <c r="R1326" s="361"/>
      <c r="S1326" s="361"/>
      <c r="T1326" s="361"/>
      <c r="U1326" s="361"/>
      <c r="V1326" s="361"/>
      <c r="W1326" s="361"/>
      <c r="X1326" s="361"/>
      <c r="Y1326" s="361"/>
      <c r="Z1326" s="361"/>
    </row>
    <row r="1327" ht="22.5" customHeight="1" outlineLevel="1">
      <c r="A1327" s="412"/>
      <c r="B1327" s="415"/>
      <c r="C1327" s="394"/>
      <c r="D1327" s="412"/>
      <c r="E1327" s="414"/>
      <c r="F1327" s="414"/>
      <c r="G1327" s="414"/>
      <c r="H1327" s="414"/>
      <c r="I1327" s="397"/>
      <c r="J1327" s="392"/>
      <c r="K1327" s="361"/>
      <c r="L1327" s="361"/>
      <c r="M1327" s="361"/>
      <c r="N1327" s="361"/>
      <c r="O1327" s="361"/>
      <c r="P1327" s="361"/>
      <c r="Q1327" s="361"/>
      <c r="R1327" s="361"/>
      <c r="S1327" s="361"/>
      <c r="T1327" s="361"/>
      <c r="U1327" s="361"/>
      <c r="V1327" s="361"/>
      <c r="W1327" s="361"/>
      <c r="X1327" s="361"/>
      <c r="Y1327" s="361"/>
      <c r="Z1327" s="361"/>
    </row>
    <row r="1328" ht="22.5" customHeight="1" outlineLevel="1">
      <c r="A1328" s="412"/>
      <c r="B1328" s="415"/>
      <c r="C1328" s="394"/>
      <c r="D1328" s="412"/>
      <c r="E1328" s="414"/>
      <c r="F1328" s="414"/>
      <c r="G1328" s="414"/>
      <c r="H1328" s="414"/>
      <c r="I1328" s="397"/>
      <c r="J1328" s="392"/>
      <c r="K1328" s="361"/>
      <c r="L1328" s="361"/>
      <c r="M1328" s="361"/>
      <c r="N1328" s="361"/>
      <c r="O1328" s="361"/>
      <c r="P1328" s="361"/>
      <c r="Q1328" s="361"/>
      <c r="R1328" s="361"/>
      <c r="S1328" s="361"/>
      <c r="T1328" s="361"/>
      <c r="U1328" s="361"/>
      <c r="V1328" s="361"/>
      <c r="W1328" s="361"/>
      <c r="X1328" s="361"/>
      <c r="Y1328" s="361"/>
      <c r="Z1328" s="361"/>
    </row>
    <row r="1329" ht="22.5" customHeight="1" outlineLevel="1">
      <c r="A1329" s="412"/>
      <c r="B1329" s="415"/>
      <c r="C1329" s="394"/>
      <c r="D1329" s="412"/>
      <c r="E1329" s="414"/>
      <c r="F1329" s="414"/>
      <c r="G1329" s="414"/>
      <c r="H1329" s="414"/>
      <c r="I1329" s="397"/>
      <c r="J1329" s="392"/>
      <c r="K1329" s="361"/>
      <c r="L1329" s="361"/>
      <c r="M1329" s="361"/>
      <c r="N1329" s="361"/>
      <c r="O1329" s="361"/>
      <c r="P1329" s="361"/>
      <c r="Q1329" s="361"/>
      <c r="R1329" s="361"/>
      <c r="S1329" s="361"/>
      <c r="T1329" s="361"/>
      <c r="U1329" s="361"/>
      <c r="V1329" s="361"/>
      <c r="W1329" s="361"/>
      <c r="X1329" s="361"/>
      <c r="Y1329" s="361"/>
      <c r="Z1329" s="361"/>
    </row>
    <row r="1330" ht="22.5" customHeight="1" outlineLevel="1">
      <c r="A1330" s="412"/>
      <c r="B1330" s="415"/>
      <c r="C1330" s="394"/>
      <c r="D1330" s="412"/>
      <c r="E1330" s="414"/>
      <c r="F1330" s="414"/>
      <c r="G1330" s="414"/>
      <c r="H1330" s="414"/>
      <c r="I1330" s="397"/>
      <c r="J1330" s="392"/>
      <c r="K1330" s="361"/>
      <c r="L1330" s="361"/>
      <c r="M1330" s="361"/>
      <c r="N1330" s="361"/>
      <c r="O1330" s="361"/>
      <c r="P1330" s="361"/>
      <c r="Q1330" s="361"/>
      <c r="R1330" s="361"/>
      <c r="S1330" s="361"/>
      <c r="T1330" s="361"/>
      <c r="U1330" s="361"/>
      <c r="V1330" s="361"/>
      <c r="W1330" s="361"/>
      <c r="X1330" s="361"/>
      <c r="Y1330" s="361"/>
      <c r="Z1330" s="361"/>
    </row>
    <row r="1331" ht="22.5" customHeight="1" outlineLevel="1">
      <c r="A1331" s="412"/>
      <c r="B1331" s="415"/>
      <c r="C1331" s="394"/>
      <c r="D1331" s="412"/>
      <c r="E1331" s="414"/>
      <c r="F1331" s="414"/>
      <c r="G1331" s="414"/>
      <c r="H1331" s="414"/>
      <c r="I1331" s="397"/>
      <c r="J1331" s="392"/>
      <c r="K1331" s="361"/>
      <c r="L1331" s="361"/>
      <c r="M1331" s="361"/>
      <c r="N1331" s="361"/>
      <c r="O1331" s="361"/>
      <c r="P1331" s="361"/>
      <c r="Q1331" s="361"/>
      <c r="R1331" s="361"/>
      <c r="S1331" s="361"/>
      <c r="T1331" s="361"/>
      <c r="U1331" s="361"/>
      <c r="V1331" s="361"/>
      <c r="W1331" s="361"/>
      <c r="X1331" s="361"/>
      <c r="Y1331" s="361"/>
      <c r="Z1331" s="361"/>
    </row>
    <row r="1332" ht="22.5" customHeight="1" outlineLevel="1">
      <c r="A1332" s="412"/>
      <c r="B1332" s="415"/>
      <c r="C1332" s="394"/>
      <c r="D1332" s="412"/>
      <c r="E1332" s="414"/>
      <c r="F1332" s="414"/>
      <c r="G1332" s="414"/>
      <c r="H1332" s="414"/>
      <c r="I1332" s="397"/>
      <c r="J1332" s="392"/>
      <c r="K1332" s="361"/>
      <c r="L1332" s="361"/>
      <c r="M1332" s="361"/>
      <c r="N1332" s="361"/>
      <c r="O1332" s="361"/>
      <c r="P1332" s="361"/>
      <c r="Q1332" s="361"/>
      <c r="R1332" s="361"/>
      <c r="S1332" s="361"/>
      <c r="T1332" s="361"/>
      <c r="U1332" s="361"/>
      <c r="V1332" s="361"/>
      <c r="W1332" s="361"/>
      <c r="X1332" s="361"/>
      <c r="Y1332" s="361"/>
      <c r="Z1332" s="361"/>
    </row>
    <row r="1333" ht="22.5" customHeight="1" outlineLevel="1">
      <c r="A1333" s="412"/>
      <c r="B1333" s="415"/>
      <c r="C1333" s="394"/>
      <c r="D1333" s="412"/>
      <c r="E1333" s="414"/>
      <c r="F1333" s="414"/>
      <c r="G1333" s="414"/>
      <c r="H1333" s="414"/>
      <c r="I1333" s="397"/>
      <c r="J1333" s="392"/>
      <c r="K1333" s="361"/>
      <c r="L1333" s="361"/>
      <c r="M1333" s="361"/>
      <c r="N1333" s="361"/>
      <c r="O1333" s="361"/>
      <c r="P1333" s="361"/>
      <c r="Q1333" s="361"/>
      <c r="R1333" s="361"/>
      <c r="S1333" s="361"/>
      <c r="T1333" s="361"/>
      <c r="U1333" s="361"/>
      <c r="V1333" s="361"/>
      <c r="W1333" s="361"/>
      <c r="X1333" s="361"/>
      <c r="Y1333" s="361"/>
      <c r="Z1333" s="361"/>
    </row>
    <row r="1334" ht="22.5" customHeight="1" outlineLevel="1">
      <c r="A1334" s="412"/>
      <c r="B1334" s="415"/>
      <c r="C1334" s="394"/>
      <c r="D1334" s="412"/>
      <c r="E1334" s="414"/>
      <c r="F1334" s="414"/>
      <c r="G1334" s="414"/>
      <c r="H1334" s="414"/>
      <c r="I1334" s="397"/>
      <c r="J1334" s="392"/>
      <c r="K1334" s="361"/>
      <c r="L1334" s="361"/>
      <c r="M1334" s="361"/>
      <c r="N1334" s="361"/>
      <c r="O1334" s="361"/>
      <c r="P1334" s="361"/>
      <c r="Q1334" s="361"/>
      <c r="R1334" s="361"/>
      <c r="S1334" s="361"/>
      <c r="T1334" s="361"/>
      <c r="U1334" s="361"/>
      <c r="V1334" s="361"/>
      <c r="W1334" s="361"/>
      <c r="X1334" s="361"/>
      <c r="Y1334" s="361"/>
      <c r="Z1334" s="361"/>
    </row>
    <row r="1335" ht="22.5" customHeight="1" outlineLevel="1">
      <c r="A1335" s="412"/>
      <c r="B1335" s="415"/>
      <c r="C1335" s="394"/>
      <c r="D1335" s="412"/>
      <c r="E1335" s="414"/>
      <c r="F1335" s="414"/>
      <c r="G1335" s="414"/>
      <c r="H1335" s="414"/>
      <c r="I1335" s="397"/>
      <c r="J1335" s="392"/>
      <c r="K1335" s="361"/>
      <c r="L1335" s="361"/>
      <c r="M1335" s="361"/>
      <c r="N1335" s="361"/>
      <c r="O1335" s="361"/>
      <c r="P1335" s="361"/>
      <c r="Q1335" s="361"/>
      <c r="R1335" s="361"/>
      <c r="S1335" s="361"/>
      <c r="T1335" s="361"/>
      <c r="U1335" s="361"/>
      <c r="V1335" s="361"/>
      <c r="W1335" s="361"/>
      <c r="X1335" s="361"/>
      <c r="Y1335" s="361"/>
      <c r="Z1335" s="361"/>
    </row>
    <row r="1336" ht="22.5" customHeight="1" outlineLevel="1">
      <c r="A1336" s="412"/>
      <c r="B1336" s="415"/>
      <c r="C1336" s="394"/>
      <c r="D1336" s="412"/>
      <c r="E1336" s="414"/>
      <c r="F1336" s="414"/>
      <c r="G1336" s="414"/>
      <c r="H1336" s="414"/>
      <c r="I1336" s="397"/>
      <c r="J1336" s="392"/>
      <c r="K1336" s="361"/>
      <c r="L1336" s="361"/>
      <c r="M1336" s="361"/>
      <c r="N1336" s="361"/>
      <c r="O1336" s="361"/>
      <c r="P1336" s="361"/>
      <c r="Q1336" s="361"/>
      <c r="R1336" s="361"/>
      <c r="S1336" s="361"/>
      <c r="T1336" s="361"/>
      <c r="U1336" s="361"/>
      <c r="V1336" s="361"/>
      <c r="W1336" s="361"/>
      <c r="X1336" s="361"/>
      <c r="Y1336" s="361"/>
      <c r="Z1336" s="361"/>
    </row>
    <row r="1337" ht="22.5" customHeight="1" outlineLevel="1">
      <c r="A1337" s="412"/>
      <c r="B1337" s="415"/>
      <c r="C1337" s="394"/>
      <c r="D1337" s="412"/>
      <c r="E1337" s="414"/>
      <c r="F1337" s="414"/>
      <c r="G1337" s="414"/>
      <c r="H1337" s="414"/>
      <c r="I1337" s="397"/>
      <c r="J1337" s="392"/>
      <c r="K1337" s="361"/>
      <c r="L1337" s="361"/>
      <c r="M1337" s="361"/>
      <c r="N1337" s="361"/>
      <c r="O1337" s="361"/>
      <c r="P1337" s="361"/>
      <c r="Q1337" s="361"/>
      <c r="R1337" s="361"/>
      <c r="S1337" s="361"/>
      <c r="T1337" s="361"/>
      <c r="U1337" s="361"/>
      <c r="V1337" s="361"/>
      <c r="W1337" s="361"/>
      <c r="X1337" s="361"/>
      <c r="Y1337" s="361"/>
      <c r="Z1337" s="361"/>
    </row>
    <row r="1338" ht="22.5" customHeight="1" outlineLevel="1">
      <c r="A1338" s="412"/>
      <c r="B1338" s="415"/>
      <c r="C1338" s="394"/>
      <c r="D1338" s="412"/>
      <c r="E1338" s="414"/>
      <c r="F1338" s="414"/>
      <c r="G1338" s="414"/>
      <c r="H1338" s="414"/>
      <c r="I1338" s="397"/>
      <c r="J1338" s="392"/>
      <c r="K1338" s="361"/>
      <c r="L1338" s="361"/>
      <c r="M1338" s="361"/>
      <c r="N1338" s="361"/>
      <c r="O1338" s="361"/>
      <c r="P1338" s="361"/>
      <c r="Q1338" s="361"/>
      <c r="R1338" s="361"/>
      <c r="S1338" s="361"/>
      <c r="T1338" s="361"/>
      <c r="U1338" s="361"/>
      <c r="V1338" s="361"/>
      <c r="W1338" s="361"/>
      <c r="X1338" s="361"/>
      <c r="Y1338" s="361"/>
      <c r="Z1338" s="361"/>
    </row>
    <row r="1339" ht="22.5" customHeight="1" outlineLevel="1">
      <c r="A1339" s="412"/>
      <c r="B1339" s="415"/>
      <c r="C1339" s="394"/>
      <c r="D1339" s="412"/>
      <c r="E1339" s="414"/>
      <c r="F1339" s="414"/>
      <c r="G1339" s="414"/>
      <c r="H1339" s="414"/>
      <c r="I1339" s="397"/>
      <c r="J1339" s="392"/>
      <c r="K1339" s="361"/>
      <c r="L1339" s="361"/>
      <c r="M1339" s="361"/>
      <c r="N1339" s="361"/>
      <c r="O1339" s="361"/>
      <c r="P1339" s="361"/>
      <c r="Q1339" s="361"/>
      <c r="R1339" s="361"/>
      <c r="S1339" s="361"/>
      <c r="T1339" s="361"/>
      <c r="U1339" s="361"/>
      <c r="V1339" s="361"/>
      <c r="W1339" s="361"/>
      <c r="X1339" s="361"/>
      <c r="Y1339" s="361"/>
      <c r="Z1339" s="361"/>
    </row>
    <row r="1340" ht="22.5" customHeight="1" outlineLevel="1">
      <c r="A1340" s="412"/>
      <c r="B1340" s="415"/>
      <c r="C1340" s="394"/>
      <c r="D1340" s="412"/>
      <c r="E1340" s="414"/>
      <c r="F1340" s="414"/>
      <c r="G1340" s="414"/>
      <c r="H1340" s="414"/>
      <c r="I1340" s="397"/>
      <c r="J1340" s="392"/>
      <c r="K1340" s="361"/>
      <c r="L1340" s="361"/>
      <c r="M1340" s="361"/>
      <c r="N1340" s="361"/>
      <c r="O1340" s="361"/>
      <c r="P1340" s="361"/>
      <c r="Q1340" s="361"/>
      <c r="R1340" s="361"/>
      <c r="S1340" s="361"/>
      <c r="T1340" s="361"/>
      <c r="U1340" s="361"/>
      <c r="V1340" s="361"/>
      <c r="W1340" s="361"/>
      <c r="X1340" s="361"/>
      <c r="Y1340" s="361"/>
      <c r="Z1340" s="361"/>
    </row>
    <row r="1341" ht="22.5" customHeight="1" outlineLevel="1">
      <c r="A1341" s="412"/>
      <c r="B1341" s="415"/>
      <c r="C1341" s="394"/>
      <c r="D1341" s="412"/>
      <c r="E1341" s="414"/>
      <c r="F1341" s="414"/>
      <c r="G1341" s="414"/>
      <c r="H1341" s="414"/>
      <c r="I1341" s="397"/>
      <c r="J1341" s="392"/>
      <c r="K1341" s="361"/>
      <c r="L1341" s="361"/>
      <c r="M1341" s="361"/>
      <c r="N1341" s="361"/>
      <c r="O1341" s="361"/>
      <c r="P1341" s="361"/>
      <c r="Q1341" s="361"/>
      <c r="R1341" s="361"/>
      <c r="S1341" s="361"/>
      <c r="T1341" s="361"/>
      <c r="U1341" s="361"/>
      <c r="V1341" s="361"/>
      <c r="W1341" s="361"/>
      <c r="X1341" s="361"/>
      <c r="Y1341" s="361"/>
      <c r="Z1341" s="361"/>
    </row>
    <row r="1342" ht="22.5" customHeight="1" outlineLevel="1">
      <c r="A1342" s="412"/>
      <c r="B1342" s="415"/>
      <c r="C1342" s="394"/>
      <c r="D1342" s="412"/>
      <c r="E1342" s="414"/>
      <c r="F1342" s="414"/>
      <c r="G1342" s="414"/>
      <c r="H1342" s="414"/>
      <c r="I1342" s="397"/>
      <c r="J1342" s="392"/>
      <c r="K1342" s="361"/>
      <c r="L1342" s="361"/>
      <c r="M1342" s="361"/>
      <c r="N1342" s="361"/>
      <c r="O1342" s="361"/>
      <c r="P1342" s="361"/>
      <c r="Q1342" s="361"/>
      <c r="R1342" s="361"/>
      <c r="S1342" s="361"/>
      <c r="T1342" s="361"/>
      <c r="U1342" s="361"/>
      <c r="V1342" s="361"/>
      <c r="W1342" s="361"/>
      <c r="X1342" s="361"/>
      <c r="Y1342" s="361"/>
      <c r="Z1342" s="361"/>
    </row>
    <row r="1343" ht="22.5" customHeight="1" outlineLevel="1">
      <c r="A1343" s="412"/>
      <c r="B1343" s="415"/>
      <c r="C1343" s="394"/>
      <c r="D1343" s="412"/>
      <c r="E1343" s="414"/>
      <c r="F1343" s="414"/>
      <c r="G1343" s="414"/>
      <c r="H1343" s="414"/>
      <c r="I1343" s="397"/>
      <c r="J1343" s="392"/>
      <c r="K1343" s="361"/>
      <c r="L1343" s="361"/>
      <c r="M1343" s="361"/>
      <c r="N1343" s="361"/>
      <c r="O1343" s="361"/>
      <c r="P1343" s="361"/>
      <c r="Q1343" s="361"/>
      <c r="R1343" s="361"/>
      <c r="S1343" s="361"/>
      <c r="T1343" s="361"/>
      <c r="U1343" s="361"/>
      <c r="V1343" s="361"/>
      <c r="W1343" s="361"/>
      <c r="X1343" s="361"/>
      <c r="Y1343" s="361"/>
      <c r="Z1343" s="361"/>
    </row>
    <row r="1344" ht="22.5" customHeight="1" outlineLevel="1">
      <c r="A1344" s="412"/>
      <c r="B1344" s="415"/>
      <c r="C1344" s="394"/>
      <c r="D1344" s="412"/>
      <c r="E1344" s="414"/>
      <c r="F1344" s="414"/>
      <c r="G1344" s="414"/>
      <c r="H1344" s="414"/>
      <c r="I1344" s="397"/>
      <c r="J1344" s="392"/>
      <c r="K1344" s="361"/>
      <c r="L1344" s="361"/>
      <c r="M1344" s="361"/>
      <c r="N1344" s="361"/>
      <c r="O1344" s="361"/>
      <c r="P1344" s="361"/>
      <c r="Q1344" s="361"/>
      <c r="R1344" s="361"/>
      <c r="S1344" s="361"/>
      <c r="T1344" s="361"/>
      <c r="U1344" s="361"/>
      <c r="V1344" s="361"/>
      <c r="W1344" s="361"/>
      <c r="X1344" s="361"/>
      <c r="Y1344" s="361"/>
      <c r="Z1344" s="361"/>
    </row>
    <row r="1345" ht="22.5" customHeight="1" outlineLevel="1">
      <c r="A1345" s="412"/>
      <c r="B1345" s="415"/>
      <c r="C1345" s="394"/>
      <c r="D1345" s="412"/>
      <c r="E1345" s="414"/>
      <c r="F1345" s="414"/>
      <c r="G1345" s="414"/>
      <c r="H1345" s="414"/>
      <c r="I1345" s="397"/>
      <c r="J1345" s="392"/>
      <c r="K1345" s="361"/>
      <c r="L1345" s="361"/>
      <c r="M1345" s="361"/>
      <c r="N1345" s="361"/>
      <c r="O1345" s="361"/>
      <c r="P1345" s="361"/>
      <c r="Q1345" s="361"/>
      <c r="R1345" s="361"/>
      <c r="S1345" s="361"/>
      <c r="T1345" s="361"/>
      <c r="U1345" s="361"/>
      <c r="V1345" s="361"/>
      <c r="W1345" s="361"/>
      <c r="X1345" s="361"/>
      <c r="Y1345" s="361"/>
      <c r="Z1345" s="361"/>
    </row>
    <row r="1346" ht="22.5" customHeight="1" outlineLevel="1">
      <c r="A1346" s="412"/>
      <c r="B1346" s="415"/>
      <c r="C1346" s="394"/>
      <c r="D1346" s="412"/>
      <c r="E1346" s="414"/>
      <c r="F1346" s="414"/>
      <c r="G1346" s="414"/>
      <c r="H1346" s="414"/>
      <c r="I1346" s="397"/>
      <c r="J1346" s="392"/>
      <c r="K1346" s="361"/>
      <c r="L1346" s="361"/>
      <c r="M1346" s="361"/>
      <c r="N1346" s="361"/>
      <c r="O1346" s="361"/>
      <c r="P1346" s="361"/>
      <c r="Q1346" s="361"/>
      <c r="R1346" s="361"/>
      <c r="S1346" s="361"/>
      <c r="T1346" s="361"/>
      <c r="U1346" s="361"/>
      <c r="V1346" s="361"/>
      <c r="W1346" s="361"/>
      <c r="X1346" s="361"/>
      <c r="Y1346" s="361"/>
      <c r="Z1346" s="361"/>
    </row>
  </sheetData>
  <autoFilter ref="$A$4:$Z$339"/>
  <mergeCells count="74">
    <mergeCell ref="A169:B169"/>
    <mergeCell ref="A176:B176"/>
    <mergeCell ref="A189:B189"/>
    <mergeCell ref="A195:B195"/>
    <mergeCell ref="A202:B202"/>
    <mergeCell ref="A209:B209"/>
    <mergeCell ref="A212:B212"/>
    <mergeCell ref="A220:B220"/>
    <mergeCell ref="A228:B228"/>
    <mergeCell ref="A240:B240"/>
    <mergeCell ref="A249:B249"/>
    <mergeCell ref="A257:B257"/>
    <mergeCell ref="A265:B265"/>
    <mergeCell ref="A271:B271"/>
    <mergeCell ref="A340:B340"/>
    <mergeCell ref="A348:B348"/>
    <mergeCell ref="A364:B364"/>
    <mergeCell ref="A369:B369"/>
    <mergeCell ref="A280:B280"/>
    <mergeCell ref="A287:B287"/>
    <mergeCell ref="A296:B296"/>
    <mergeCell ref="A306:B306"/>
    <mergeCell ref="A316:B316"/>
    <mergeCell ref="A327:B327"/>
    <mergeCell ref="A335:B335"/>
    <mergeCell ref="A1:A3"/>
    <mergeCell ref="C1:C3"/>
    <mergeCell ref="D1:H1"/>
    <mergeCell ref="I1:I2"/>
    <mergeCell ref="J1:J2"/>
    <mergeCell ref="D2:D3"/>
    <mergeCell ref="E2:H2"/>
    <mergeCell ref="B1:B3"/>
    <mergeCell ref="A5:B5"/>
    <mergeCell ref="A14:B14"/>
    <mergeCell ref="E17:H17"/>
    <mergeCell ref="E19:H19"/>
    <mergeCell ref="E21:H21"/>
    <mergeCell ref="A25:B25"/>
    <mergeCell ref="E24:H24"/>
    <mergeCell ref="E28:H28"/>
    <mergeCell ref="E30:H30"/>
    <mergeCell ref="E31:H31"/>
    <mergeCell ref="A35:B35"/>
    <mergeCell ref="E38:H38"/>
    <mergeCell ref="A39:B39"/>
    <mergeCell ref="A47:B47"/>
    <mergeCell ref="A54:B54"/>
    <mergeCell ref="E55:H55"/>
    <mergeCell ref="E59:H59"/>
    <mergeCell ref="A63:B63"/>
    <mergeCell ref="A73:B73"/>
    <mergeCell ref="A77:B77"/>
    <mergeCell ref="E81:H81"/>
    <mergeCell ref="E82:H82"/>
    <mergeCell ref="A85:B85"/>
    <mergeCell ref="A94:B94"/>
    <mergeCell ref="E101:H101"/>
    <mergeCell ref="E104:H104"/>
    <mergeCell ref="A105:B105"/>
    <mergeCell ref="A113:B113"/>
    <mergeCell ref="A121:B121"/>
    <mergeCell ref="A132:B132"/>
    <mergeCell ref="E133:H133"/>
    <mergeCell ref="E135:H135"/>
    <mergeCell ref="A137:B137"/>
    <mergeCell ref="A141:B141"/>
    <mergeCell ref="E145:H145"/>
    <mergeCell ref="E151:H151"/>
    <mergeCell ref="A152:B152"/>
    <mergeCell ref="E153:H153"/>
    <mergeCell ref="A161:B161"/>
    <mergeCell ref="A167:B167"/>
    <mergeCell ref="E168:H168"/>
  </mergeCells>
  <conditionalFormatting sqref="A370:B375">
    <cfRule type="expression" dxfId="3" priority="1" stopIfTrue="1">
      <formula>$E370="Inactive"</formula>
    </cfRule>
  </conditionalFormatting>
  <conditionalFormatting sqref="A370:A375">
    <cfRule type="expression" dxfId="5" priority="2">
      <formula>COUNTIF(A:A, A370)&gt;1</formula>
    </cfRule>
  </conditionalFormatting>
  <dataValidations>
    <dataValidation type="list" allowBlank="1" showErrorMessage="1" sqref="D6:D13 D15:D24 D26:D34 D36:D38 D40:D46 D48:D53 D55:D62 D64:D72 D74:D76 D78:D84 D86:D93 D95:D104 D106:D112 D114:D120 D122:D131 D133:D136 D138:D140 D142:D151 D153:D160 D162:D166 D168 D170:D175 D177:D188 D190:D194 D196:D201 D203:D208 D210:D211 D213:D219 D221:D227 D229:D239 D241:D248 D250:D256 D258:D264 D266:D270 D272:D279 D281:D286 D288:D295 D297:D305 D307:D315 D317:D326 D328:D334 D336:D339 D341:D347 D349:D363 D365:D368 D370:D1346">
      <formula1>"Foundation,Beginner,Pre-Intermediate,Intermediate,Advanced,not placement"</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86"/>
    <col customWidth="1" min="5" max="5" width="19.86"/>
    <col customWidth="1" min="6" max="6" width="20.71"/>
  </cols>
  <sheetData>
    <row r="1">
      <c r="A1" s="426" t="s">
        <v>141</v>
      </c>
      <c r="B1" s="427" t="s">
        <v>138</v>
      </c>
      <c r="C1" s="427" t="s">
        <v>137</v>
      </c>
      <c r="D1" s="427" t="s">
        <v>136</v>
      </c>
      <c r="E1" s="427" t="s">
        <v>1993</v>
      </c>
      <c r="F1" s="427" t="s">
        <v>1994</v>
      </c>
      <c r="G1" s="427" t="s">
        <v>1995</v>
      </c>
      <c r="H1" s="427" t="s">
        <v>1996</v>
      </c>
      <c r="I1" s="427" t="s">
        <v>1997</v>
      </c>
      <c r="J1" s="428" t="s">
        <v>1998</v>
      </c>
      <c r="K1" s="428" t="s">
        <v>1999</v>
      </c>
      <c r="L1" s="428" t="s">
        <v>2000</v>
      </c>
    </row>
    <row r="2">
      <c r="A2" s="429" t="s">
        <v>149</v>
      </c>
      <c r="B2" s="430">
        <f>COUNTIFS(sheet2!$M:$M, A2, sheet2!$S:$S, 1, sheet2!$R:$R, "Not tested yet")</f>
        <v>24</v>
      </c>
      <c r="C2" s="430">
        <f>COUNTIFS(sheet2!$M:$M, A2, sheet2!$S:$S, 1, sheet2!$R:$R, "Regressed")</f>
        <v>1</v>
      </c>
      <c r="D2" s="430">
        <f>COUNTIFS(sheet2!$M:$M, A2, sheet2!$S:$S, 1, sheet2!$R:$R, "No Progress")</f>
        <v>9</v>
      </c>
      <c r="E2" s="430">
        <f>COUNTIFS(sheet2!$M:$M, A2, sheet2!$S:$S, 1, sheet2!$R:$R, "Progress within level")</f>
        <v>5</v>
      </c>
      <c r="F2" s="430">
        <f>COUNTIFS(sheet2!$M:$M, A2, sheet2!$S:$S, 1, sheet2!$R:$R, "Lv1 → Lv2")</f>
        <v>16</v>
      </c>
      <c r="G2" s="430">
        <f>COUNTIFS(sheet2!$M:$M, A2, sheet2!$S:$S, 1, sheet2!$R:$R, "Lv2 → Lv3")</f>
        <v>3</v>
      </c>
      <c r="H2" s="430">
        <f>COUNTIFS(sheet2!$M:$M, A2, sheet2!$S:$S, 1, sheet2!$R:$R, "Lv3 → Lv4")</f>
        <v>2</v>
      </c>
      <c r="I2" s="431">
        <f>COUNTIFS(sheet2!$M:$M, A2, sheet2!$S:$S, 1, sheet2!$R:$R, "Lv1 → Lv3 (multi)")
+COUNTIFS(sheet2!$M:$M, A2, sheet2!$S:$S, 1, sheet2!$R:$R, "Lv1 → Lv4 (multi)")
+COUNTIFS(sheet2!$M:$M, A2, sheet2!$S:$S, 1, sheet2!$R:$R, "Lv2 → Lv4 (multi)")</f>
        <v>1</v>
      </c>
      <c r="J2" s="432">
        <f t="shared" ref="J2:J8" si="1">IFERROR(L2/SUM($L$2:$L$8), 0)</f>
        <v>0.2026578073</v>
      </c>
      <c r="K2" s="433">
        <f t="shared" ref="K2:K8" si="2">L2-SUM(C2:I2)</f>
        <v>24</v>
      </c>
      <c r="L2" s="434">
        <f>COUNTIFS(sheet2!$M:$M, A2, sheet2!$S:$S, 1)</f>
        <v>61</v>
      </c>
      <c r="M2" s="433"/>
      <c r="N2" s="433"/>
      <c r="O2" s="433"/>
      <c r="P2" s="433"/>
      <c r="Q2" s="433"/>
      <c r="R2" s="433"/>
      <c r="S2" s="433"/>
      <c r="T2" s="433"/>
      <c r="U2" s="433"/>
      <c r="V2" s="433"/>
      <c r="W2" s="433"/>
      <c r="X2" s="433"/>
      <c r="Y2" s="433"/>
      <c r="Z2" s="433"/>
      <c r="AA2" s="433"/>
      <c r="AB2" s="433"/>
    </row>
    <row r="3">
      <c r="A3" s="16" t="s">
        <v>150</v>
      </c>
      <c r="B3" s="435">
        <f>COUNTIFS(sheet2!$M:$M, A3, sheet2!$S:$S, 1, sheet2!$R:$R, "Not tested yet")</f>
        <v>14</v>
      </c>
      <c r="C3" s="435">
        <f>COUNTIFS(sheet2!$M:$M, A3, sheet2!$S:$S, 1, sheet2!$R:$R, "Regressed")</f>
        <v>0</v>
      </c>
      <c r="D3" s="435">
        <f>COUNTIFS(sheet2!$M:$M, A3, sheet2!$S:$S, 1, sheet2!$R:$R, "No Progress")</f>
        <v>6</v>
      </c>
      <c r="E3" s="435">
        <f>COUNTIFS(sheet2!$M:$M, A3, sheet2!$S:$S, 1, sheet2!$R:$R, "Progress within level")</f>
        <v>10</v>
      </c>
      <c r="F3" s="435">
        <f>COUNTIFS(sheet2!$M:$M, A3, sheet2!$S:$S, 1, sheet2!$R:$R, "Lv1 → Lv2")</f>
        <v>20</v>
      </c>
      <c r="G3" s="435">
        <f>COUNTIFS(sheet2!$M:$M, A3, sheet2!$S:$S, 1, sheet2!$R:$R, "Lv2 → Lv3")</f>
        <v>4</v>
      </c>
      <c r="H3" s="435">
        <f>COUNTIFS(sheet2!$M:$M, A3, sheet2!$S:$S, 1, sheet2!$R:$R, "Lv3 → Lv4")</f>
        <v>4</v>
      </c>
      <c r="I3" s="171">
        <f>COUNTIFS(sheet2!$M:$M, A3, sheet2!$S:$S, 1, sheet2!$R:$R, "Lv1 → Lv3 (multi)")
+COUNTIFS(sheet2!$M:$M, A3, sheet2!$S:$S, 1, sheet2!$R:$R, "Lv1 → Lv4 (multi)")
+COUNTIFS(sheet2!$M:$M, A3, sheet2!$S:$S, 1, sheet2!$R:$R, "Lv2 → Lv4 (multi)")</f>
        <v>4</v>
      </c>
      <c r="J3" s="436">
        <f t="shared" si="1"/>
        <v>0.2059800664</v>
      </c>
      <c r="K3" s="11">
        <f t="shared" si="2"/>
        <v>14</v>
      </c>
      <c r="L3" s="437">
        <f>COUNTIFS(sheet2!$M:$M, A3, sheet2!$S:$S, 1)</f>
        <v>62</v>
      </c>
    </row>
    <row r="4">
      <c r="A4" s="16" t="s">
        <v>151</v>
      </c>
      <c r="B4" s="435">
        <f>COUNTIFS(sheet2!$M:$M, A4, sheet2!$S:$S, 1, sheet2!$R:$R, "Not tested yet")</f>
        <v>1</v>
      </c>
      <c r="C4" s="435">
        <f>COUNTIFS(sheet2!$M:$M, A4, sheet2!$S:$S, 1, sheet2!$R:$R, "Regressed")</f>
        <v>0</v>
      </c>
      <c r="D4" s="435">
        <f>COUNTIFS(sheet2!$M:$M, A4, sheet2!$S:$S, 1, sheet2!$R:$R, "No Progress")</f>
        <v>6</v>
      </c>
      <c r="E4" s="435">
        <f>COUNTIFS(sheet2!$M:$M, A4, sheet2!$S:$S, 1, sheet2!$R:$R, "Progress within level")</f>
        <v>4</v>
      </c>
      <c r="F4" s="435">
        <f>COUNTIFS(sheet2!$M:$M, A4, sheet2!$S:$S, 1, sheet2!$R:$R, "Lv1 → Lv2")</f>
        <v>28</v>
      </c>
      <c r="G4" s="435">
        <f>COUNTIFS(sheet2!$M:$M, A4, sheet2!$S:$S, 1, sheet2!$R:$R, "Lv2 → Lv3")</f>
        <v>1</v>
      </c>
      <c r="H4" s="435">
        <f>COUNTIFS(sheet2!$M:$M, A4, sheet2!$S:$S, 1, sheet2!$R:$R, "Lv3 → Lv4")</f>
        <v>0</v>
      </c>
      <c r="I4" s="171">
        <f>COUNTIFS(sheet2!$M:$M, A4, sheet2!$S:$S, 1, sheet2!$R:$R, "Lv1 → Lv3 (multi)")
+COUNTIFS(sheet2!$M:$M, A4, sheet2!$S:$S, 1, sheet2!$R:$R, "Lv1 → Lv4 (multi)")
+COUNTIFS(sheet2!$M:$M, A4, sheet2!$S:$S, 1, sheet2!$R:$R, "Lv2 → Lv4 (multi)")</f>
        <v>17</v>
      </c>
      <c r="J4" s="436">
        <f t="shared" si="1"/>
        <v>0.1893687708</v>
      </c>
      <c r="K4" s="11">
        <f t="shared" si="2"/>
        <v>1</v>
      </c>
      <c r="L4" s="437">
        <f>COUNTIFS(sheet2!$M:$M, A4, sheet2!$S:$S, 1)</f>
        <v>57</v>
      </c>
    </row>
    <row r="5">
      <c r="A5" s="16" t="s">
        <v>152</v>
      </c>
      <c r="B5" s="435">
        <f>COUNTIFS(sheet2!$M:$M, A5, sheet2!$S:$S, 1, sheet2!$R:$R, "Not tested yet")</f>
        <v>25</v>
      </c>
      <c r="C5" s="435">
        <f>COUNTIFS(sheet2!$M:$M, A5, sheet2!$S:$S, 1, sheet2!$R:$R, "Regressed")</f>
        <v>1</v>
      </c>
      <c r="D5" s="435">
        <f>COUNTIFS(sheet2!$M:$M, A5, sheet2!$S:$S, 1, sheet2!$R:$R, "No Progress")</f>
        <v>5</v>
      </c>
      <c r="E5" s="435">
        <f>COUNTIFS(sheet2!$M:$M, A5, sheet2!$S:$S, 1, sheet2!$R:$R, "Progress within level")</f>
        <v>5</v>
      </c>
      <c r="F5" s="435">
        <f>COUNTIFS(sheet2!$M:$M, A5, sheet2!$S:$S, 1, sheet2!$R:$R, "Lv1 → Lv2")</f>
        <v>14</v>
      </c>
      <c r="G5" s="435">
        <f>COUNTIFS(sheet2!$M:$M, A5, sheet2!$S:$S, 1, sheet2!$R:$R, "Lv2 → Lv3")</f>
        <v>3</v>
      </c>
      <c r="H5" s="435">
        <f>COUNTIFS(sheet2!$M:$M, A5, sheet2!$S:$S, 1, sheet2!$R:$R, "Lv3 → Lv4")</f>
        <v>0</v>
      </c>
      <c r="I5" s="171">
        <f>COUNTIFS(sheet2!$M:$M, A5, sheet2!$S:$S, 1, sheet2!$R:$R, "Lv1 → Lv3 (multi)")
+COUNTIFS(sheet2!$M:$M, A5, sheet2!$S:$S, 1, sheet2!$R:$R, "Lv1 → Lv4 (multi)")
+COUNTIFS(sheet2!$M:$M, A5, sheet2!$S:$S, 1, sheet2!$R:$R, "Lv2 → Lv4 (multi)")</f>
        <v>2</v>
      </c>
      <c r="J5" s="436">
        <f t="shared" si="1"/>
        <v>0.1827242525</v>
      </c>
      <c r="K5" s="11">
        <f t="shared" si="2"/>
        <v>25</v>
      </c>
      <c r="L5" s="437">
        <f>COUNTIFS(sheet2!$M:$M, A5, sheet2!$S:$S, 1)</f>
        <v>55</v>
      </c>
    </row>
    <row r="6">
      <c r="A6" s="16" t="s">
        <v>153</v>
      </c>
      <c r="B6" s="435">
        <f>COUNTIFS(sheet2!$M:$M, A6, sheet2!$S:$S, 1, sheet2!$R:$R, "Not tested yet")</f>
        <v>5</v>
      </c>
      <c r="C6" s="435">
        <f>COUNTIFS(sheet2!$M:$M, A6, sheet2!$S:$S, 1, sheet2!$R:$R, "Regressed")</f>
        <v>0</v>
      </c>
      <c r="D6" s="435">
        <f>COUNTIFS(sheet2!$M:$M, A6, sheet2!$S:$S, 1, sheet2!$R:$R, "No Progress")</f>
        <v>5</v>
      </c>
      <c r="E6" s="435">
        <f>COUNTIFS(sheet2!$M:$M, A6, sheet2!$S:$S, 1, sheet2!$R:$R, "Progress within level")</f>
        <v>4</v>
      </c>
      <c r="F6" s="435">
        <f>COUNTIFS(sheet2!$M:$M, A6, sheet2!$S:$S, 1, sheet2!$R:$R, "Lv1 → Lv2")</f>
        <v>11</v>
      </c>
      <c r="G6" s="435">
        <f>COUNTIFS(sheet2!$M:$M, A6, sheet2!$S:$S, 1, sheet2!$R:$R, "Lv2 → Lv3")</f>
        <v>0</v>
      </c>
      <c r="H6" s="435">
        <f>COUNTIFS(sheet2!$M:$M, A6, sheet2!$S:$S, 1, sheet2!$R:$R, "Lv3 → Lv4")</f>
        <v>0</v>
      </c>
      <c r="I6" s="171">
        <f>COUNTIFS(sheet2!$M:$M, A6, sheet2!$S:$S, 1, sheet2!$R:$R, "Lv1 → Lv3 (multi)")
+COUNTIFS(sheet2!$M:$M, A6, sheet2!$S:$S, 1, sheet2!$R:$R, "Lv1 → Lv4 (multi)")
+COUNTIFS(sheet2!$M:$M, A6, sheet2!$S:$S, 1, sheet2!$R:$R, "Lv2 → Lv4 (multi)")</f>
        <v>1</v>
      </c>
      <c r="J6" s="436">
        <f t="shared" si="1"/>
        <v>0.08637873754</v>
      </c>
      <c r="K6" s="11">
        <f t="shared" si="2"/>
        <v>5</v>
      </c>
      <c r="L6" s="437">
        <f>COUNTIFS(sheet2!$M:$M, A6, sheet2!$S:$S, 1)</f>
        <v>26</v>
      </c>
    </row>
    <row r="7">
      <c r="A7" s="16" t="s">
        <v>154</v>
      </c>
      <c r="B7" s="435">
        <f>COUNTIFS(sheet2!$M:$M, A7, sheet2!$S:$S, 1, sheet2!$R:$R, "Not tested yet")</f>
        <v>11</v>
      </c>
      <c r="C7" s="435">
        <f>COUNTIFS(sheet2!$M:$M, A7, sheet2!$S:$S, 1, sheet2!$R:$R, "Regressed")</f>
        <v>0</v>
      </c>
      <c r="D7" s="435">
        <f>COUNTIFS(sheet2!$M:$M, A7, sheet2!$S:$S, 1, sheet2!$R:$R, "No Progress")</f>
        <v>6</v>
      </c>
      <c r="E7" s="435">
        <f>COUNTIFS(sheet2!$M:$M, A7, sheet2!$S:$S, 1, sheet2!$R:$R, "Progress within level")</f>
        <v>4</v>
      </c>
      <c r="F7" s="435">
        <f>COUNTIFS(sheet2!$M:$M, A7, sheet2!$S:$S, 1, sheet2!$R:$R, "Lv1 → Lv2")</f>
        <v>6</v>
      </c>
      <c r="G7" s="435">
        <f>COUNTIFS(sheet2!$M:$M, A7, sheet2!$S:$S, 1, sheet2!$R:$R, "Lv2 → Lv3")</f>
        <v>1</v>
      </c>
      <c r="H7" s="435">
        <f>COUNTIFS(sheet2!$M:$M, A7, sheet2!$S:$S, 1, sheet2!$R:$R, "Lv3 → Lv4")</f>
        <v>0</v>
      </c>
      <c r="I7" s="171">
        <f>COUNTIFS(sheet2!$M:$M, A7, sheet2!$S:$S, 1, sheet2!$R:$R, "Lv1 → Lv3 (multi)")
+COUNTIFS(sheet2!$M:$M, A7, sheet2!$S:$S, 1, sheet2!$R:$R, "Lv1 → Lv4 (multi)")
+COUNTIFS(sheet2!$M:$M, A7, sheet2!$S:$S, 1, sheet2!$R:$R, "Lv2 → Lv4 (multi)")</f>
        <v>5</v>
      </c>
      <c r="J7" s="436">
        <f t="shared" si="1"/>
        <v>0.1096345515</v>
      </c>
      <c r="K7" s="11">
        <f t="shared" si="2"/>
        <v>11</v>
      </c>
      <c r="L7" s="437">
        <f>COUNTIFS(sheet2!$M:$M, A7, sheet2!$S:$S, 1)</f>
        <v>33</v>
      </c>
    </row>
    <row r="8">
      <c r="A8" s="191" t="s">
        <v>148</v>
      </c>
      <c r="B8" s="438">
        <f>COUNTIFS(sheet2!$M:$M, A8, sheet2!$S:$S, 1, sheet2!$R:$R, "Not tested yet")</f>
        <v>2</v>
      </c>
      <c r="C8" s="438">
        <f>COUNTIFS(sheet2!$M:$M, A8, sheet2!$S:$S, 1, sheet2!$R:$R, "Regressed")</f>
        <v>0</v>
      </c>
      <c r="D8" s="438">
        <f>COUNTIFS(sheet2!$M:$M, A8, sheet2!$S:$S, 1, sheet2!$R:$R, "No Progress")</f>
        <v>3</v>
      </c>
      <c r="E8" s="438">
        <f>COUNTIFS(sheet2!$M:$M, A8, sheet2!$S:$S, 1, sheet2!$R:$R, "Progress within level")</f>
        <v>0</v>
      </c>
      <c r="F8" s="438">
        <f>COUNTIFS(sheet2!$M:$M, A8, sheet2!$S:$S, 1, sheet2!$R:$R, "Lv1 → Lv2")</f>
        <v>1</v>
      </c>
      <c r="G8" s="438">
        <f>COUNTIFS(sheet2!$M:$M, A8, sheet2!$S:$S, 1, sheet2!$R:$R, "Lv2 → Lv3")</f>
        <v>1</v>
      </c>
      <c r="H8" s="438">
        <f>COUNTIFS(sheet2!$M:$M, A8, sheet2!$S:$S, 1, sheet2!$R:$R, "Lv3 → Lv4")</f>
        <v>0</v>
      </c>
      <c r="I8" s="193">
        <f>COUNTIFS(sheet2!$M:$M, A8, sheet2!$S:$S, 1, sheet2!$R:$R, "Lv1 → Lv3 (multi)")
+COUNTIFS(sheet2!$M:$M, A8, sheet2!$S:$S, 1, sheet2!$R:$R, "Lv1 → Lv4 (multi)")
+COUNTIFS(sheet2!$M:$M, A8, sheet2!$S:$S, 1, sheet2!$R:$R, "Lv2 → Lv4 (multi)")</f>
        <v>0</v>
      </c>
      <c r="J8" s="439">
        <f t="shared" si="1"/>
        <v>0.02325581395</v>
      </c>
      <c r="K8" s="189">
        <f t="shared" si="2"/>
        <v>2</v>
      </c>
      <c r="L8" s="440">
        <f>COUNTIFS(sheet2!$M:$M, A8, sheet2!$S:$S, 1)</f>
        <v>7</v>
      </c>
    </row>
    <row r="9">
      <c r="A9" s="437" t="s">
        <v>19</v>
      </c>
      <c r="B9" s="435">
        <f t="shared" ref="B9:J9" si="3">sum(B2:B8)</f>
        <v>82</v>
      </c>
      <c r="C9" s="435">
        <f t="shared" si="3"/>
        <v>2</v>
      </c>
      <c r="D9" s="435">
        <f t="shared" si="3"/>
        <v>40</v>
      </c>
      <c r="E9" s="435">
        <f t="shared" si="3"/>
        <v>32</v>
      </c>
      <c r="F9" s="435">
        <f t="shared" si="3"/>
        <v>96</v>
      </c>
      <c r="G9" s="435">
        <f t="shared" si="3"/>
        <v>13</v>
      </c>
      <c r="H9" s="435">
        <f t="shared" si="3"/>
        <v>6</v>
      </c>
      <c r="I9" s="435">
        <f t="shared" si="3"/>
        <v>30</v>
      </c>
      <c r="J9" s="441">
        <f t="shared" si="3"/>
        <v>1</v>
      </c>
      <c r="K9" s="437">
        <f>sum(K2:K7)</f>
        <v>80</v>
      </c>
      <c r="L9" s="437">
        <f>sum(L2:L8)</f>
        <v>301</v>
      </c>
    </row>
    <row r="10">
      <c r="A10" s="437"/>
      <c r="B10" s="435"/>
      <c r="C10" s="435"/>
      <c r="D10" s="435"/>
      <c r="E10" s="435"/>
      <c r="F10" s="435"/>
      <c r="G10" s="435"/>
      <c r="H10" s="435"/>
      <c r="I10" s="171"/>
      <c r="L10" s="437"/>
    </row>
    <row r="11">
      <c r="A11" s="437"/>
      <c r="B11" s="435"/>
      <c r="C11" s="435"/>
      <c r="D11" s="435"/>
      <c r="E11" s="435"/>
      <c r="F11" s="435"/>
      <c r="G11" s="435"/>
      <c r="H11" s="435"/>
      <c r="I11" s="171"/>
      <c r="L11" s="437"/>
    </row>
    <row r="12">
      <c r="A12" s="437"/>
      <c r="B12" s="435"/>
      <c r="C12" s="435"/>
      <c r="D12" s="435"/>
      <c r="E12" s="435"/>
      <c r="F12" s="435"/>
      <c r="G12" s="435"/>
      <c r="H12" s="435"/>
      <c r="I12" s="171"/>
      <c r="L12" s="437"/>
    </row>
    <row r="13">
      <c r="A13" s="437"/>
      <c r="B13" s="435"/>
      <c r="C13" s="435"/>
      <c r="D13" s="435"/>
      <c r="E13" s="435"/>
      <c r="F13" s="435"/>
      <c r="G13" s="435"/>
      <c r="H13" s="435"/>
      <c r="I13" s="171"/>
      <c r="L13" s="437"/>
    </row>
    <row r="14">
      <c r="A14" s="437"/>
      <c r="B14" s="435"/>
      <c r="C14" s="435"/>
      <c r="D14" s="435"/>
      <c r="E14" s="435"/>
      <c r="F14" s="435"/>
      <c r="G14" s="435"/>
      <c r="H14" s="435"/>
      <c r="I14" s="171"/>
      <c r="L14" s="437"/>
    </row>
    <row r="15">
      <c r="B15" s="171"/>
      <c r="C15" s="171"/>
      <c r="D15" s="171"/>
      <c r="E15" s="171"/>
      <c r="F15" s="171"/>
      <c r="G15" s="171"/>
      <c r="H15" s="171"/>
      <c r="I15" s="171"/>
    </row>
    <row r="16">
      <c r="B16" s="171"/>
      <c r="C16" s="171"/>
      <c r="D16" s="171"/>
      <c r="E16" s="171"/>
      <c r="F16" s="171"/>
      <c r="G16" s="171"/>
      <c r="H16" s="171"/>
      <c r="I16" s="171"/>
    </row>
    <row r="17">
      <c r="B17" s="171"/>
      <c r="C17" s="171"/>
      <c r="D17" s="171"/>
      <c r="E17" s="171"/>
      <c r="F17" s="171"/>
      <c r="G17" s="171"/>
      <c r="H17" s="171"/>
      <c r="I17" s="171"/>
    </row>
    <row r="18">
      <c r="B18" s="171"/>
      <c r="C18" s="171"/>
      <c r="D18" s="171"/>
      <c r="E18" s="171"/>
      <c r="F18" s="171"/>
      <c r="G18" s="171"/>
      <c r="H18" s="171"/>
      <c r="I18" s="171"/>
    </row>
    <row r="19">
      <c r="B19" s="171"/>
      <c r="C19" s="171"/>
      <c r="D19" s="171"/>
      <c r="E19" s="171"/>
      <c r="F19" s="171"/>
      <c r="G19" s="171"/>
      <c r="H19" s="171"/>
      <c r="I19" s="171"/>
    </row>
    <row r="20">
      <c r="B20" s="171"/>
      <c r="C20" s="171"/>
      <c r="D20" s="171"/>
      <c r="E20" s="171"/>
      <c r="F20" s="171"/>
      <c r="G20" s="171"/>
      <c r="H20" s="171"/>
      <c r="I20" s="171"/>
    </row>
    <row r="21">
      <c r="B21" s="171"/>
      <c r="C21" s="171"/>
      <c r="D21" s="171"/>
      <c r="E21" s="171"/>
      <c r="F21" s="171"/>
      <c r="G21" s="171"/>
      <c r="H21" s="171"/>
      <c r="I21" s="171"/>
    </row>
    <row r="22">
      <c r="B22" s="171"/>
      <c r="C22" s="171"/>
      <c r="D22" s="171"/>
      <c r="E22" s="171"/>
      <c r="F22" s="171"/>
      <c r="G22" s="171"/>
      <c r="H22" s="171"/>
      <c r="I22" s="171"/>
    </row>
    <row r="23">
      <c r="B23" s="171"/>
      <c r="C23" s="171"/>
      <c r="D23" s="171"/>
      <c r="E23" s="171"/>
      <c r="F23" s="171"/>
      <c r="G23" s="171"/>
      <c r="H23" s="171"/>
      <c r="I23" s="171"/>
    </row>
    <row r="24">
      <c r="B24" s="171"/>
      <c r="C24" s="171"/>
      <c r="D24" s="171"/>
      <c r="E24" s="171"/>
      <c r="F24" s="171"/>
      <c r="G24" s="171"/>
      <c r="H24" s="171"/>
      <c r="I24" s="171"/>
    </row>
    <row r="25">
      <c r="B25" s="171"/>
      <c r="C25" s="171"/>
      <c r="D25" s="171"/>
      <c r="E25" s="171"/>
      <c r="F25" s="171"/>
      <c r="G25" s="171"/>
      <c r="H25" s="171"/>
      <c r="I25" s="171"/>
    </row>
    <row r="26">
      <c r="B26" s="171"/>
      <c r="C26" s="171"/>
      <c r="D26" s="171"/>
      <c r="E26" s="171"/>
      <c r="F26" s="171"/>
      <c r="G26" s="171"/>
      <c r="H26" s="171"/>
      <c r="I26" s="171"/>
    </row>
    <row r="27">
      <c r="B27" s="171"/>
      <c r="C27" s="171"/>
      <c r="D27" s="171"/>
      <c r="E27" s="171"/>
      <c r="F27" s="171"/>
      <c r="G27" s="171"/>
      <c r="H27" s="171"/>
      <c r="I27" s="171"/>
    </row>
    <row r="28">
      <c r="B28" s="171"/>
      <c r="C28" s="171"/>
      <c r="D28" s="171"/>
      <c r="E28" s="171"/>
      <c r="F28" s="171"/>
      <c r="G28" s="171"/>
      <c r="H28" s="171"/>
      <c r="I28" s="171"/>
    </row>
    <row r="29">
      <c r="B29" s="171"/>
      <c r="C29" s="171"/>
      <c r="D29" s="171"/>
      <c r="E29" s="171"/>
      <c r="F29" s="171"/>
      <c r="G29" s="171"/>
      <c r="H29" s="171"/>
      <c r="I29" s="171"/>
    </row>
    <row r="30">
      <c r="B30" s="171"/>
      <c r="C30" s="171"/>
      <c r="D30" s="171"/>
      <c r="E30" s="171"/>
      <c r="F30" s="171"/>
      <c r="G30" s="171"/>
      <c r="H30" s="171"/>
      <c r="I30" s="171"/>
    </row>
    <row r="31">
      <c r="B31" s="171"/>
      <c r="C31" s="171"/>
      <c r="D31" s="171"/>
      <c r="E31" s="171"/>
      <c r="F31" s="171"/>
      <c r="G31" s="171"/>
      <c r="H31" s="171"/>
      <c r="I31" s="171"/>
    </row>
    <row r="32">
      <c r="B32" s="171"/>
      <c r="C32" s="171"/>
      <c r="D32" s="171"/>
      <c r="E32" s="171"/>
      <c r="F32" s="171"/>
      <c r="G32" s="171"/>
      <c r="H32" s="171"/>
      <c r="I32" s="171"/>
    </row>
    <row r="33">
      <c r="B33" s="171"/>
      <c r="C33" s="171"/>
      <c r="D33" s="171"/>
      <c r="E33" s="171"/>
      <c r="F33" s="171"/>
      <c r="G33" s="171"/>
      <c r="H33" s="171"/>
      <c r="I33" s="171"/>
    </row>
    <row r="34">
      <c r="B34" s="171"/>
      <c r="C34" s="171"/>
      <c r="D34" s="171"/>
      <c r="E34" s="171"/>
      <c r="F34" s="171"/>
      <c r="G34" s="171"/>
      <c r="H34" s="171"/>
      <c r="I34" s="171"/>
    </row>
    <row r="35">
      <c r="B35" s="171"/>
      <c r="C35" s="171"/>
      <c r="D35" s="171"/>
      <c r="E35" s="171"/>
      <c r="F35" s="171"/>
      <c r="G35" s="171"/>
      <c r="H35" s="171"/>
      <c r="I35" s="171"/>
    </row>
    <row r="36">
      <c r="B36" s="171"/>
      <c r="C36" s="171"/>
      <c r="D36" s="171"/>
      <c r="E36" s="171"/>
      <c r="F36" s="171"/>
      <c r="G36" s="171"/>
      <c r="H36" s="171"/>
      <c r="I36" s="171"/>
    </row>
    <row r="37">
      <c r="B37" s="171"/>
      <c r="C37" s="171"/>
      <c r="D37" s="171"/>
      <c r="E37" s="171"/>
      <c r="F37" s="171"/>
      <c r="G37" s="171"/>
      <c r="H37" s="171"/>
      <c r="I37" s="171"/>
    </row>
    <row r="38">
      <c r="B38" s="171"/>
      <c r="C38" s="171"/>
      <c r="D38" s="171"/>
      <c r="E38" s="171"/>
      <c r="F38" s="171"/>
      <c r="G38" s="171"/>
      <c r="H38" s="171"/>
      <c r="I38" s="171"/>
    </row>
    <row r="39">
      <c r="B39" s="171"/>
      <c r="C39" s="171"/>
      <c r="D39" s="171"/>
      <c r="E39" s="171"/>
      <c r="F39" s="171"/>
      <c r="G39" s="171"/>
      <c r="H39" s="171"/>
      <c r="I39" s="171"/>
    </row>
    <row r="40">
      <c r="B40" s="171"/>
      <c r="C40" s="171"/>
      <c r="D40" s="171"/>
      <c r="E40" s="171"/>
      <c r="F40" s="171"/>
      <c r="G40" s="171"/>
      <c r="H40" s="171"/>
      <c r="I40" s="171"/>
    </row>
    <row r="41">
      <c r="B41" s="171"/>
      <c r="C41" s="171"/>
      <c r="D41" s="171"/>
      <c r="E41" s="171"/>
      <c r="F41" s="171"/>
      <c r="G41" s="171"/>
      <c r="H41" s="171"/>
      <c r="I41" s="171"/>
    </row>
    <row r="42">
      <c r="B42" s="171"/>
      <c r="C42" s="171"/>
      <c r="D42" s="171"/>
      <c r="E42" s="171"/>
      <c r="F42" s="171"/>
      <c r="G42" s="171"/>
      <c r="H42" s="171"/>
      <c r="I42" s="171"/>
    </row>
    <row r="43">
      <c r="B43" s="171"/>
      <c r="C43" s="171"/>
      <c r="D43" s="171"/>
      <c r="E43" s="171"/>
      <c r="F43" s="171"/>
      <c r="G43" s="171"/>
      <c r="H43" s="171"/>
      <c r="I43" s="171"/>
    </row>
    <row r="44">
      <c r="B44" s="171"/>
      <c r="C44" s="171"/>
      <c r="D44" s="171"/>
      <c r="E44" s="171"/>
      <c r="F44" s="171"/>
      <c r="G44" s="171"/>
      <c r="H44" s="171"/>
      <c r="I44" s="171"/>
    </row>
    <row r="45">
      <c r="B45" s="171"/>
      <c r="C45" s="171"/>
      <c r="D45" s="171"/>
      <c r="E45" s="171"/>
      <c r="F45" s="171"/>
      <c r="G45" s="171"/>
      <c r="H45" s="171"/>
      <c r="I45" s="171"/>
    </row>
    <row r="46">
      <c r="B46" s="171"/>
      <c r="C46" s="171"/>
      <c r="D46" s="171"/>
      <c r="E46" s="171"/>
      <c r="F46" s="171"/>
      <c r="G46" s="171"/>
      <c r="H46" s="171"/>
      <c r="I46" s="171"/>
    </row>
    <row r="47">
      <c r="B47" s="171"/>
      <c r="C47" s="171"/>
      <c r="D47" s="171"/>
      <c r="E47" s="171"/>
      <c r="F47" s="171"/>
      <c r="G47" s="171"/>
      <c r="H47" s="171"/>
      <c r="I47" s="171"/>
    </row>
    <row r="48">
      <c r="B48" s="171"/>
      <c r="C48" s="171"/>
      <c r="D48" s="171"/>
      <c r="E48" s="171"/>
      <c r="F48" s="171"/>
      <c r="G48" s="171"/>
      <c r="H48" s="171"/>
      <c r="I48" s="171"/>
    </row>
    <row r="49">
      <c r="B49" s="171"/>
      <c r="C49" s="171"/>
      <c r="D49" s="171"/>
      <c r="E49" s="171"/>
      <c r="F49" s="171"/>
      <c r="G49" s="171"/>
      <c r="H49" s="171"/>
      <c r="I49" s="171"/>
    </row>
    <row r="50">
      <c r="B50" s="171"/>
      <c r="C50" s="171"/>
      <c r="D50" s="171"/>
      <c r="E50" s="171"/>
      <c r="F50" s="171"/>
      <c r="G50" s="171"/>
      <c r="H50" s="171"/>
      <c r="I50" s="171"/>
    </row>
    <row r="51">
      <c r="B51" s="171"/>
      <c r="C51" s="171"/>
      <c r="D51" s="171"/>
      <c r="E51" s="171"/>
      <c r="F51" s="171"/>
      <c r="G51" s="171"/>
      <c r="H51" s="171"/>
      <c r="I51" s="171"/>
    </row>
    <row r="52">
      <c r="B52" s="171"/>
      <c r="C52" s="171"/>
      <c r="D52" s="171"/>
      <c r="E52" s="171"/>
      <c r="F52" s="171"/>
      <c r="G52" s="171"/>
      <c r="H52" s="171"/>
      <c r="I52" s="171"/>
    </row>
    <row r="53">
      <c r="B53" s="171"/>
      <c r="C53" s="171"/>
      <c r="D53" s="171"/>
      <c r="E53" s="171"/>
      <c r="F53" s="171"/>
      <c r="G53" s="171"/>
      <c r="H53" s="171"/>
      <c r="I53" s="171"/>
    </row>
    <row r="54">
      <c r="B54" s="171"/>
      <c r="C54" s="171"/>
      <c r="D54" s="171"/>
      <c r="E54" s="171"/>
      <c r="F54" s="171"/>
      <c r="G54" s="171"/>
      <c r="H54" s="171"/>
      <c r="I54" s="171"/>
    </row>
    <row r="55">
      <c r="B55" s="171"/>
      <c r="C55" s="171"/>
      <c r="D55" s="171"/>
      <c r="E55" s="171"/>
      <c r="F55" s="171"/>
      <c r="G55" s="171"/>
      <c r="H55" s="171"/>
      <c r="I55" s="171"/>
    </row>
    <row r="56">
      <c r="B56" s="171"/>
      <c r="C56" s="171"/>
      <c r="D56" s="171"/>
      <c r="E56" s="171"/>
      <c r="F56" s="171"/>
      <c r="G56" s="171"/>
      <c r="H56" s="171"/>
      <c r="I56" s="171"/>
    </row>
    <row r="57">
      <c r="B57" s="171"/>
      <c r="C57" s="171"/>
      <c r="D57" s="171"/>
      <c r="E57" s="171"/>
      <c r="F57" s="171"/>
      <c r="G57" s="171"/>
      <c r="H57" s="171"/>
      <c r="I57" s="171"/>
    </row>
    <row r="58">
      <c r="B58" s="171"/>
      <c r="C58" s="171"/>
      <c r="D58" s="171"/>
      <c r="E58" s="171"/>
      <c r="F58" s="171"/>
      <c r="G58" s="171"/>
      <c r="H58" s="171"/>
      <c r="I58" s="171"/>
    </row>
    <row r="59">
      <c r="B59" s="171"/>
      <c r="C59" s="171"/>
      <c r="D59" s="171"/>
      <c r="E59" s="171"/>
      <c r="F59" s="171"/>
      <c r="G59" s="171"/>
      <c r="H59" s="171"/>
      <c r="I59" s="171"/>
    </row>
    <row r="60">
      <c r="B60" s="171"/>
      <c r="C60" s="171"/>
      <c r="D60" s="171"/>
      <c r="E60" s="171"/>
      <c r="F60" s="171"/>
      <c r="G60" s="171"/>
      <c r="H60" s="171"/>
      <c r="I60" s="171"/>
    </row>
    <row r="61">
      <c r="B61" s="171"/>
      <c r="C61" s="171"/>
      <c r="D61" s="171"/>
      <c r="E61" s="171"/>
      <c r="F61" s="171"/>
      <c r="G61" s="171"/>
      <c r="H61" s="171"/>
      <c r="I61" s="171"/>
    </row>
    <row r="62">
      <c r="B62" s="171"/>
      <c r="C62" s="171"/>
      <c r="D62" s="171"/>
      <c r="E62" s="171"/>
      <c r="F62" s="171"/>
      <c r="G62" s="171"/>
      <c r="H62" s="171"/>
      <c r="I62" s="171"/>
    </row>
    <row r="63">
      <c r="B63" s="171"/>
      <c r="C63" s="171"/>
      <c r="D63" s="171"/>
      <c r="E63" s="171"/>
      <c r="F63" s="171"/>
      <c r="G63" s="171"/>
      <c r="H63" s="171"/>
      <c r="I63" s="171"/>
    </row>
    <row r="64">
      <c r="B64" s="171"/>
      <c r="C64" s="171"/>
      <c r="D64" s="171"/>
      <c r="E64" s="171"/>
      <c r="F64" s="171"/>
      <c r="G64" s="171"/>
      <c r="H64" s="171"/>
      <c r="I64" s="171"/>
    </row>
    <row r="65">
      <c r="B65" s="171"/>
      <c r="C65" s="171"/>
      <c r="D65" s="171"/>
      <c r="E65" s="171"/>
      <c r="F65" s="171"/>
      <c r="G65" s="171"/>
      <c r="H65" s="171"/>
      <c r="I65" s="171"/>
    </row>
    <row r="66">
      <c r="B66" s="171"/>
      <c r="C66" s="171"/>
      <c r="D66" s="171"/>
      <c r="E66" s="171"/>
      <c r="F66" s="171"/>
      <c r="G66" s="171"/>
      <c r="H66" s="171"/>
      <c r="I66" s="171"/>
    </row>
    <row r="67">
      <c r="B67" s="171"/>
      <c r="C67" s="171"/>
      <c r="D67" s="171"/>
      <c r="E67" s="171"/>
      <c r="F67" s="171"/>
      <c r="G67" s="171"/>
      <c r="H67" s="171"/>
      <c r="I67" s="171"/>
    </row>
    <row r="68">
      <c r="B68" s="171"/>
      <c r="C68" s="171"/>
      <c r="D68" s="171"/>
      <c r="E68" s="171"/>
      <c r="F68" s="171"/>
      <c r="G68" s="171"/>
      <c r="H68" s="171"/>
      <c r="I68" s="171"/>
    </row>
    <row r="69">
      <c r="B69" s="171"/>
      <c r="C69" s="171"/>
      <c r="D69" s="171"/>
      <c r="E69" s="171"/>
      <c r="F69" s="171"/>
      <c r="G69" s="171"/>
      <c r="H69" s="171"/>
      <c r="I69" s="171"/>
    </row>
    <row r="70">
      <c r="B70" s="171"/>
      <c r="C70" s="171"/>
      <c r="D70" s="171"/>
      <c r="E70" s="171"/>
      <c r="F70" s="171"/>
      <c r="G70" s="171"/>
      <c r="H70" s="171"/>
      <c r="I70" s="171"/>
    </row>
    <row r="71">
      <c r="B71" s="171"/>
      <c r="C71" s="171"/>
      <c r="D71" s="171"/>
      <c r="E71" s="171"/>
      <c r="F71" s="171"/>
      <c r="G71" s="171"/>
      <c r="H71" s="171"/>
      <c r="I71" s="171"/>
    </row>
    <row r="72">
      <c r="B72" s="171"/>
      <c r="C72" s="171"/>
      <c r="D72" s="171"/>
      <c r="E72" s="171"/>
      <c r="F72" s="171"/>
      <c r="G72" s="171"/>
      <c r="H72" s="171"/>
      <c r="I72" s="171"/>
    </row>
    <row r="73">
      <c r="B73" s="171"/>
      <c r="C73" s="171"/>
      <c r="D73" s="171"/>
      <c r="E73" s="171"/>
      <c r="F73" s="171"/>
      <c r="G73" s="171"/>
      <c r="H73" s="171"/>
      <c r="I73" s="171"/>
    </row>
    <row r="74">
      <c r="B74" s="171"/>
      <c r="C74" s="171"/>
      <c r="D74" s="171"/>
      <c r="E74" s="171"/>
      <c r="F74" s="171"/>
      <c r="G74" s="171"/>
      <c r="H74" s="171"/>
      <c r="I74" s="171"/>
    </row>
    <row r="75">
      <c r="B75" s="171"/>
      <c r="C75" s="171"/>
      <c r="D75" s="171"/>
      <c r="E75" s="171"/>
      <c r="F75" s="171"/>
      <c r="G75" s="171"/>
      <c r="H75" s="171"/>
      <c r="I75" s="171"/>
    </row>
    <row r="76">
      <c r="B76" s="171"/>
      <c r="C76" s="171"/>
      <c r="D76" s="171"/>
      <c r="E76" s="171"/>
      <c r="F76" s="171"/>
      <c r="G76" s="171"/>
      <c r="H76" s="171"/>
      <c r="I76" s="171"/>
    </row>
    <row r="77">
      <c r="B77" s="171"/>
      <c r="C77" s="171"/>
      <c r="D77" s="171"/>
      <c r="E77" s="171"/>
      <c r="F77" s="171"/>
      <c r="G77" s="171"/>
      <c r="H77" s="171"/>
      <c r="I77" s="171"/>
    </row>
    <row r="78">
      <c r="B78" s="171"/>
      <c r="C78" s="171"/>
      <c r="D78" s="171"/>
      <c r="E78" s="171"/>
      <c r="F78" s="171"/>
      <c r="G78" s="171"/>
      <c r="H78" s="171"/>
      <c r="I78" s="171"/>
    </row>
    <row r="79">
      <c r="B79" s="171"/>
      <c r="C79" s="171"/>
      <c r="D79" s="171"/>
      <c r="E79" s="171"/>
      <c r="F79" s="171"/>
      <c r="G79" s="171"/>
      <c r="H79" s="171"/>
      <c r="I79" s="171"/>
    </row>
    <row r="80">
      <c r="B80" s="171"/>
      <c r="C80" s="171"/>
      <c r="D80" s="171"/>
      <c r="E80" s="171"/>
      <c r="F80" s="171"/>
      <c r="G80" s="171"/>
      <c r="H80" s="171"/>
      <c r="I80" s="171"/>
    </row>
    <row r="81">
      <c r="B81" s="171"/>
      <c r="C81" s="171"/>
      <c r="D81" s="171"/>
      <c r="E81" s="171"/>
      <c r="F81" s="171"/>
      <c r="G81" s="171"/>
      <c r="H81" s="171"/>
      <c r="I81" s="171"/>
    </row>
    <row r="82">
      <c r="B82" s="171"/>
      <c r="C82" s="171"/>
      <c r="D82" s="171"/>
      <c r="E82" s="171"/>
      <c r="F82" s="171"/>
      <c r="G82" s="171"/>
      <c r="H82" s="171"/>
      <c r="I82" s="171"/>
    </row>
    <row r="83">
      <c r="B83" s="171"/>
      <c r="C83" s="171"/>
      <c r="D83" s="171"/>
      <c r="E83" s="171"/>
      <c r="F83" s="171"/>
      <c r="G83" s="171"/>
      <c r="H83" s="171"/>
      <c r="I83" s="171"/>
    </row>
    <row r="84">
      <c r="B84" s="171"/>
      <c r="C84" s="171"/>
      <c r="D84" s="171"/>
      <c r="E84" s="171"/>
      <c r="F84" s="171"/>
      <c r="G84" s="171"/>
      <c r="H84" s="171"/>
      <c r="I84" s="171"/>
    </row>
    <row r="85">
      <c r="B85" s="171"/>
      <c r="C85" s="171"/>
      <c r="D85" s="171"/>
      <c r="E85" s="171"/>
      <c r="F85" s="171"/>
      <c r="G85" s="171"/>
      <c r="H85" s="171"/>
      <c r="I85" s="171"/>
    </row>
    <row r="86">
      <c r="B86" s="171"/>
      <c r="C86" s="171"/>
      <c r="D86" s="171"/>
      <c r="E86" s="171"/>
      <c r="F86" s="171"/>
      <c r="G86" s="171"/>
      <c r="H86" s="171"/>
      <c r="I86" s="171"/>
    </row>
    <row r="87">
      <c r="B87" s="171"/>
      <c r="C87" s="171"/>
      <c r="D87" s="171"/>
      <c r="E87" s="171"/>
      <c r="F87" s="171"/>
      <c r="G87" s="171"/>
      <c r="H87" s="171"/>
      <c r="I87" s="171"/>
    </row>
    <row r="88">
      <c r="B88" s="171"/>
      <c r="C88" s="171"/>
      <c r="D88" s="171"/>
      <c r="E88" s="171"/>
      <c r="F88" s="171"/>
      <c r="G88" s="171"/>
      <c r="H88" s="171"/>
      <c r="I88" s="171"/>
    </row>
    <row r="89">
      <c r="B89" s="171"/>
      <c r="C89" s="171"/>
      <c r="D89" s="171"/>
      <c r="E89" s="171"/>
      <c r="F89" s="171"/>
      <c r="G89" s="171"/>
      <c r="H89" s="171"/>
      <c r="I89" s="171"/>
    </row>
    <row r="90">
      <c r="B90" s="171"/>
      <c r="C90" s="171"/>
      <c r="D90" s="171"/>
      <c r="E90" s="171"/>
      <c r="F90" s="171"/>
      <c r="G90" s="171"/>
      <c r="H90" s="171"/>
      <c r="I90" s="171"/>
    </row>
    <row r="91">
      <c r="B91" s="171"/>
      <c r="C91" s="171"/>
      <c r="D91" s="171"/>
      <c r="E91" s="171"/>
      <c r="F91" s="171"/>
      <c r="G91" s="171"/>
      <c r="H91" s="171"/>
      <c r="I91" s="171"/>
    </row>
    <row r="92">
      <c r="B92" s="171"/>
      <c r="C92" s="171"/>
      <c r="D92" s="171"/>
      <c r="E92" s="171"/>
      <c r="F92" s="171"/>
      <c r="G92" s="171"/>
      <c r="H92" s="171"/>
      <c r="I92" s="171"/>
    </row>
    <row r="93">
      <c r="B93" s="171"/>
      <c r="C93" s="171"/>
      <c r="D93" s="171"/>
      <c r="E93" s="171"/>
      <c r="F93" s="171"/>
      <c r="G93" s="171"/>
      <c r="H93" s="171"/>
      <c r="I93" s="171"/>
    </row>
    <row r="94">
      <c r="B94" s="171"/>
      <c r="C94" s="171"/>
      <c r="D94" s="171"/>
      <c r="E94" s="171"/>
      <c r="F94" s="171"/>
      <c r="G94" s="171"/>
      <c r="H94" s="171"/>
      <c r="I94" s="171"/>
    </row>
    <row r="95">
      <c r="B95" s="171"/>
      <c r="C95" s="171"/>
      <c r="D95" s="171"/>
      <c r="E95" s="171"/>
      <c r="F95" s="171"/>
      <c r="G95" s="171"/>
      <c r="H95" s="171"/>
      <c r="I95" s="171"/>
    </row>
    <row r="96">
      <c r="B96" s="171"/>
      <c r="C96" s="171"/>
      <c r="D96" s="171"/>
      <c r="E96" s="171"/>
      <c r="F96" s="171"/>
      <c r="G96" s="171"/>
      <c r="H96" s="171"/>
      <c r="I96" s="171"/>
    </row>
    <row r="97">
      <c r="B97" s="171"/>
      <c r="C97" s="171"/>
      <c r="D97" s="171"/>
      <c r="E97" s="171"/>
      <c r="F97" s="171"/>
      <c r="G97" s="171"/>
      <c r="H97" s="171"/>
      <c r="I97" s="171"/>
    </row>
    <row r="98">
      <c r="B98" s="171"/>
      <c r="C98" s="171"/>
      <c r="D98" s="171"/>
      <c r="E98" s="171"/>
      <c r="F98" s="171"/>
      <c r="G98" s="171"/>
      <c r="H98" s="171"/>
      <c r="I98" s="171"/>
    </row>
    <row r="99">
      <c r="B99" s="171"/>
      <c r="C99" s="171"/>
      <c r="D99" s="171"/>
      <c r="E99" s="171"/>
      <c r="F99" s="171"/>
      <c r="G99" s="171"/>
      <c r="H99" s="171"/>
      <c r="I99" s="171"/>
    </row>
    <row r="100">
      <c r="B100" s="171"/>
      <c r="C100" s="171"/>
      <c r="D100" s="171"/>
      <c r="E100" s="171"/>
      <c r="F100" s="171"/>
      <c r="G100" s="171"/>
      <c r="H100" s="171"/>
      <c r="I100" s="171"/>
    </row>
    <row r="101">
      <c r="B101" s="171"/>
      <c r="C101" s="171"/>
      <c r="D101" s="171"/>
      <c r="E101" s="171"/>
      <c r="F101" s="171"/>
      <c r="G101" s="171"/>
      <c r="H101" s="171"/>
      <c r="I101" s="171"/>
    </row>
    <row r="102">
      <c r="B102" s="171"/>
      <c r="C102" s="171"/>
      <c r="D102" s="171"/>
      <c r="E102" s="171"/>
      <c r="F102" s="171"/>
      <c r="G102" s="171"/>
      <c r="H102" s="171"/>
      <c r="I102" s="171"/>
    </row>
    <row r="103">
      <c r="B103" s="171"/>
      <c r="C103" s="171"/>
      <c r="D103" s="171"/>
      <c r="E103" s="171"/>
      <c r="F103" s="171"/>
      <c r="G103" s="171"/>
      <c r="H103" s="171"/>
      <c r="I103" s="171"/>
    </row>
    <row r="104">
      <c r="B104" s="171"/>
      <c r="C104" s="171"/>
      <c r="D104" s="171"/>
      <c r="E104" s="171"/>
      <c r="F104" s="171"/>
      <c r="G104" s="171"/>
      <c r="H104" s="171"/>
      <c r="I104" s="171"/>
    </row>
    <row r="105">
      <c r="B105" s="171"/>
      <c r="C105" s="171"/>
      <c r="D105" s="171"/>
      <c r="E105" s="171"/>
      <c r="F105" s="171"/>
      <c r="G105" s="171"/>
      <c r="H105" s="171"/>
      <c r="I105" s="171"/>
    </row>
    <row r="106">
      <c r="B106" s="171"/>
      <c r="C106" s="171"/>
      <c r="D106" s="171"/>
      <c r="E106" s="171"/>
      <c r="F106" s="171"/>
      <c r="G106" s="171"/>
      <c r="H106" s="171"/>
      <c r="I106" s="171"/>
    </row>
    <row r="107">
      <c r="B107" s="171"/>
      <c r="C107" s="171"/>
      <c r="D107" s="171"/>
      <c r="E107" s="171"/>
      <c r="F107" s="171"/>
      <c r="G107" s="171"/>
      <c r="H107" s="171"/>
      <c r="I107" s="171"/>
    </row>
    <row r="108">
      <c r="B108" s="171"/>
      <c r="C108" s="171"/>
      <c r="D108" s="171"/>
      <c r="E108" s="171"/>
      <c r="F108" s="171"/>
      <c r="G108" s="171"/>
      <c r="H108" s="171"/>
      <c r="I108" s="171"/>
    </row>
    <row r="109">
      <c r="B109" s="171"/>
      <c r="C109" s="171"/>
      <c r="D109" s="171"/>
      <c r="E109" s="171"/>
      <c r="F109" s="171"/>
      <c r="G109" s="171"/>
      <c r="H109" s="171"/>
      <c r="I109" s="171"/>
    </row>
    <row r="110">
      <c r="B110" s="171"/>
      <c r="C110" s="171"/>
      <c r="D110" s="171"/>
      <c r="E110" s="171"/>
      <c r="F110" s="171"/>
      <c r="G110" s="171"/>
      <c r="H110" s="171"/>
      <c r="I110" s="171"/>
    </row>
    <row r="111">
      <c r="B111" s="171"/>
      <c r="C111" s="171"/>
      <c r="D111" s="171"/>
      <c r="E111" s="171"/>
      <c r="F111" s="171"/>
      <c r="G111" s="171"/>
      <c r="H111" s="171"/>
      <c r="I111" s="171"/>
    </row>
    <row r="112">
      <c r="B112" s="171"/>
      <c r="C112" s="171"/>
      <c r="D112" s="171"/>
      <c r="E112" s="171"/>
      <c r="F112" s="171"/>
      <c r="G112" s="171"/>
      <c r="H112" s="171"/>
      <c r="I112" s="171"/>
    </row>
    <row r="113">
      <c r="B113" s="171"/>
      <c r="C113" s="171"/>
      <c r="D113" s="171"/>
      <c r="E113" s="171"/>
      <c r="F113" s="171"/>
      <c r="G113" s="171"/>
      <c r="H113" s="171"/>
      <c r="I113" s="171"/>
    </row>
    <row r="114">
      <c r="B114" s="171"/>
      <c r="C114" s="171"/>
      <c r="D114" s="171"/>
      <c r="E114" s="171"/>
      <c r="F114" s="171"/>
      <c r="G114" s="171"/>
      <c r="H114" s="171"/>
      <c r="I114" s="171"/>
    </row>
    <row r="115">
      <c r="B115" s="171"/>
      <c r="C115" s="171"/>
      <c r="D115" s="171"/>
      <c r="E115" s="171"/>
      <c r="F115" s="171"/>
      <c r="G115" s="171"/>
      <c r="H115" s="171"/>
      <c r="I115" s="171"/>
    </row>
    <row r="116">
      <c r="B116" s="171"/>
      <c r="C116" s="171"/>
      <c r="D116" s="171"/>
      <c r="E116" s="171"/>
      <c r="F116" s="171"/>
      <c r="G116" s="171"/>
      <c r="H116" s="171"/>
      <c r="I116" s="171"/>
    </row>
    <row r="117">
      <c r="B117" s="171"/>
      <c r="C117" s="171"/>
      <c r="D117" s="171"/>
      <c r="E117" s="171"/>
      <c r="F117" s="171"/>
      <c r="G117" s="171"/>
      <c r="H117" s="171"/>
      <c r="I117" s="171"/>
    </row>
    <row r="118">
      <c r="B118" s="171"/>
      <c r="C118" s="171"/>
      <c r="D118" s="171"/>
      <c r="E118" s="171"/>
      <c r="F118" s="171"/>
      <c r="G118" s="171"/>
      <c r="H118" s="171"/>
      <c r="I118" s="171"/>
    </row>
    <row r="119">
      <c r="B119" s="171"/>
      <c r="C119" s="171"/>
      <c r="D119" s="171"/>
      <c r="E119" s="171"/>
      <c r="F119" s="171"/>
      <c r="G119" s="171"/>
      <c r="H119" s="171"/>
      <c r="I119" s="171"/>
    </row>
    <row r="120">
      <c r="B120" s="171"/>
      <c r="C120" s="171"/>
      <c r="D120" s="171"/>
      <c r="E120" s="171"/>
      <c r="F120" s="171"/>
      <c r="G120" s="171"/>
      <c r="H120" s="171"/>
      <c r="I120" s="171"/>
    </row>
    <row r="121">
      <c r="B121" s="171"/>
      <c r="C121" s="171"/>
      <c r="D121" s="171"/>
      <c r="E121" s="171"/>
      <c r="F121" s="171"/>
      <c r="G121" s="171"/>
      <c r="H121" s="171"/>
      <c r="I121" s="171"/>
    </row>
    <row r="122">
      <c r="B122" s="171"/>
      <c r="C122" s="171"/>
      <c r="D122" s="171"/>
      <c r="E122" s="171"/>
      <c r="F122" s="171"/>
      <c r="G122" s="171"/>
      <c r="H122" s="171"/>
      <c r="I122" s="171"/>
    </row>
    <row r="123">
      <c r="B123" s="171"/>
      <c r="C123" s="171"/>
      <c r="D123" s="171"/>
      <c r="E123" s="171"/>
      <c r="F123" s="171"/>
      <c r="G123" s="171"/>
      <c r="H123" s="171"/>
      <c r="I123" s="171"/>
    </row>
    <row r="124">
      <c r="B124" s="171"/>
      <c r="C124" s="171"/>
      <c r="D124" s="171"/>
      <c r="E124" s="171"/>
      <c r="F124" s="171"/>
      <c r="G124" s="171"/>
      <c r="H124" s="171"/>
      <c r="I124" s="171"/>
    </row>
    <row r="125">
      <c r="B125" s="171"/>
      <c r="C125" s="171"/>
      <c r="D125" s="171"/>
      <c r="E125" s="171"/>
      <c r="F125" s="171"/>
      <c r="G125" s="171"/>
      <c r="H125" s="171"/>
      <c r="I125" s="171"/>
    </row>
    <row r="126">
      <c r="B126" s="171"/>
      <c r="C126" s="171"/>
      <c r="D126" s="171"/>
      <c r="E126" s="171"/>
      <c r="F126" s="171"/>
      <c r="G126" s="171"/>
      <c r="H126" s="171"/>
      <c r="I126" s="171"/>
    </row>
    <row r="127">
      <c r="B127" s="171"/>
      <c r="C127" s="171"/>
      <c r="D127" s="171"/>
      <c r="E127" s="171"/>
      <c r="F127" s="171"/>
      <c r="G127" s="171"/>
      <c r="H127" s="171"/>
      <c r="I127" s="171"/>
    </row>
    <row r="128">
      <c r="B128" s="171"/>
      <c r="C128" s="171"/>
      <c r="D128" s="171"/>
      <c r="E128" s="171"/>
      <c r="F128" s="171"/>
      <c r="G128" s="171"/>
      <c r="H128" s="171"/>
      <c r="I128" s="171"/>
    </row>
    <row r="129">
      <c r="B129" s="171"/>
      <c r="C129" s="171"/>
      <c r="D129" s="171"/>
      <c r="E129" s="171"/>
      <c r="F129" s="171"/>
      <c r="G129" s="171"/>
      <c r="H129" s="171"/>
      <c r="I129" s="171"/>
    </row>
    <row r="130">
      <c r="B130" s="171"/>
      <c r="C130" s="171"/>
      <c r="D130" s="171"/>
      <c r="E130" s="171"/>
      <c r="F130" s="171"/>
      <c r="G130" s="171"/>
      <c r="H130" s="171"/>
      <c r="I130" s="171"/>
    </row>
    <row r="131">
      <c r="B131" s="171"/>
      <c r="C131" s="171"/>
      <c r="D131" s="171"/>
      <c r="E131" s="171"/>
      <c r="F131" s="171"/>
      <c r="G131" s="171"/>
      <c r="H131" s="171"/>
      <c r="I131" s="171"/>
    </row>
    <row r="132">
      <c r="B132" s="171"/>
      <c r="C132" s="171"/>
      <c r="D132" s="171"/>
      <c r="E132" s="171"/>
      <c r="F132" s="171"/>
      <c r="G132" s="171"/>
      <c r="H132" s="171"/>
      <c r="I132" s="171"/>
    </row>
    <row r="133">
      <c r="B133" s="171"/>
      <c r="C133" s="171"/>
      <c r="D133" s="171"/>
      <c r="E133" s="171"/>
      <c r="F133" s="171"/>
      <c r="G133" s="171"/>
      <c r="H133" s="171"/>
      <c r="I133" s="171"/>
    </row>
    <row r="134">
      <c r="B134" s="171"/>
      <c r="C134" s="171"/>
      <c r="D134" s="171"/>
      <c r="E134" s="171"/>
      <c r="F134" s="171"/>
      <c r="G134" s="171"/>
      <c r="H134" s="171"/>
      <c r="I134" s="171"/>
    </row>
    <row r="135">
      <c r="B135" s="171"/>
      <c r="C135" s="171"/>
      <c r="D135" s="171"/>
      <c r="E135" s="171"/>
      <c r="F135" s="171"/>
      <c r="G135" s="171"/>
      <c r="H135" s="171"/>
      <c r="I135" s="171"/>
    </row>
    <row r="136">
      <c r="B136" s="171"/>
      <c r="C136" s="171"/>
      <c r="D136" s="171"/>
      <c r="E136" s="171"/>
      <c r="F136" s="171"/>
      <c r="G136" s="171"/>
      <c r="H136" s="171"/>
      <c r="I136" s="171"/>
    </row>
    <row r="137">
      <c r="B137" s="171"/>
      <c r="C137" s="171"/>
      <c r="D137" s="171"/>
      <c r="E137" s="171"/>
      <c r="F137" s="171"/>
      <c r="G137" s="171"/>
      <c r="H137" s="171"/>
      <c r="I137" s="171"/>
    </row>
    <row r="138">
      <c r="B138" s="171"/>
      <c r="C138" s="171"/>
      <c r="D138" s="171"/>
      <c r="E138" s="171"/>
      <c r="F138" s="171"/>
      <c r="G138" s="171"/>
      <c r="H138" s="171"/>
      <c r="I138" s="171"/>
    </row>
    <row r="139">
      <c r="B139" s="171"/>
      <c r="C139" s="171"/>
      <c r="D139" s="171"/>
      <c r="E139" s="171"/>
      <c r="F139" s="171"/>
      <c r="G139" s="171"/>
      <c r="H139" s="171"/>
      <c r="I139" s="171"/>
    </row>
    <row r="140">
      <c r="B140" s="171"/>
      <c r="C140" s="171"/>
      <c r="D140" s="171"/>
      <c r="E140" s="171"/>
      <c r="F140" s="171"/>
      <c r="G140" s="171"/>
      <c r="H140" s="171"/>
      <c r="I140" s="171"/>
    </row>
    <row r="141">
      <c r="B141" s="171"/>
      <c r="C141" s="171"/>
      <c r="D141" s="171"/>
      <c r="E141" s="171"/>
      <c r="F141" s="171"/>
      <c r="G141" s="171"/>
      <c r="H141" s="171"/>
      <c r="I141" s="171"/>
    </row>
    <row r="142">
      <c r="B142" s="171"/>
      <c r="C142" s="171"/>
      <c r="D142" s="171"/>
      <c r="E142" s="171"/>
      <c r="F142" s="171"/>
      <c r="G142" s="171"/>
      <c r="H142" s="171"/>
      <c r="I142" s="171"/>
    </row>
    <row r="143">
      <c r="B143" s="171"/>
      <c r="C143" s="171"/>
      <c r="D143" s="171"/>
      <c r="E143" s="171"/>
      <c r="F143" s="171"/>
      <c r="G143" s="171"/>
      <c r="H143" s="171"/>
      <c r="I143" s="171"/>
    </row>
    <row r="144">
      <c r="B144" s="171"/>
      <c r="C144" s="171"/>
      <c r="D144" s="171"/>
      <c r="E144" s="171"/>
      <c r="F144" s="171"/>
      <c r="G144" s="171"/>
      <c r="H144" s="171"/>
      <c r="I144" s="171"/>
    </row>
    <row r="145">
      <c r="B145" s="171"/>
      <c r="C145" s="171"/>
      <c r="D145" s="171"/>
      <c r="E145" s="171"/>
      <c r="F145" s="171"/>
      <c r="G145" s="171"/>
      <c r="H145" s="171"/>
      <c r="I145" s="171"/>
    </row>
    <row r="146">
      <c r="B146" s="171"/>
      <c r="C146" s="171"/>
      <c r="D146" s="171"/>
      <c r="E146" s="171"/>
      <c r="F146" s="171"/>
      <c r="G146" s="171"/>
      <c r="H146" s="171"/>
      <c r="I146" s="171"/>
    </row>
    <row r="147">
      <c r="B147" s="171"/>
      <c r="C147" s="171"/>
      <c r="D147" s="171"/>
      <c r="E147" s="171"/>
      <c r="F147" s="171"/>
      <c r="G147" s="171"/>
      <c r="H147" s="171"/>
      <c r="I147" s="171"/>
    </row>
    <row r="148">
      <c r="B148" s="171"/>
      <c r="C148" s="171"/>
      <c r="D148" s="171"/>
      <c r="E148" s="171"/>
      <c r="F148" s="171"/>
      <c r="G148" s="171"/>
      <c r="H148" s="171"/>
      <c r="I148" s="171"/>
    </row>
    <row r="149">
      <c r="B149" s="171"/>
      <c r="C149" s="171"/>
      <c r="D149" s="171"/>
      <c r="E149" s="171"/>
      <c r="F149" s="171"/>
      <c r="G149" s="171"/>
      <c r="H149" s="171"/>
      <c r="I149" s="171"/>
    </row>
    <row r="150">
      <c r="B150" s="171"/>
      <c r="C150" s="171"/>
      <c r="D150" s="171"/>
      <c r="E150" s="171"/>
      <c r="F150" s="171"/>
      <c r="G150" s="171"/>
      <c r="H150" s="171"/>
      <c r="I150" s="171"/>
    </row>
    <row r="151">
      <c r="B151" s="171"/>
      <c r="C151" s="171"/>
      <c r="D151" s="171"/>
      <c r="E151" s="171"/>
      <c r="F151" s="171"/>
      <c r="G151" s="171"/>
      <c r="H151" s="171"/>
      <c r="I151" s="171"/>
    </row>
    <row r="152">
      <c r="B152" s="171"/>
      <c r="C152" s="171"/>
      <c r="D152" s="171"/>
      <c r="E152" s="171"/>
      <c r="F152" s="171"/>
      <c r="G152" s="171"/>
      <c r="H152" s="171"/>
      <c r="I152" s="171"/>
    </row>
    <row r="153">
      <c r="B153" s="171"/>
      <c r="C153" s="171"/>
      <c r="D153" s="171"/>
      <c r="E153" s="171"/>
      <c r="F153" s="171"/>
      <c r="G153" s="171"/>
      <c r="H153" s="171"/>
      <c r="I153" s="171"/>
    </row>
    <row r="154">
      <c r="B154" s="171"/>
      <c r="C154" s="171"/>
      <c r="D154" s="171"/>
      <c r="E154" s="171"/>
      <c r="F154" s="171"/>
      <c r="G154" s="171"/>
      <c r="H154" s="171"/>
      <c r="I154" s="171"/>
    </row>
    <row r="155">
      <c r="B155" s="171"/>
      <c r="C155" s="171"/>
      <c r="D155" s="171"/>
      <c r="E155" s="171"/>
      <c r="F155" s="171"/>
      <c r="G155" s="171"/>
      <c r="H155" s="171"/>
      <c r="I155" s="171"/>
    </row>
    <row r="156">
      <c r="B156" s="171"/>
      <c r="C156" s="171"/>
      <c r="D156" s="171"/>
      <c r="E156" s="171"/>
      <c r="F156" s="171"/>
      <c r="G156" s="171"/>
      <c r="H156" s="171"/>
      <c r="I156" s="171"/>
    </row>
    <row r="157">
      <c r="B157" s="171"/>
      <c r="C157" s="171"/>
      <c r="D157" s="171"/>
      <c r="E157" s="171"/>
      <c r="F157" s="171"/>
      <c r="G157" s="171"/>
      <c r="H157" s="171"/>
      <c r="I157" s="171"/>
    </row>
    <row r="158">
      <c r="B158" s="171"/>
      <c r="C158" s="171"/>
      <c r="D158" s="171"/>
      <c r="E158" s="171"/>
      <c r="F158" s="171"/>
      <c r="G158" s="171"/>
      <c r="H158" s="171"/>
      <c r="I158" s="171"/>
    </row>
    <row r="159">
      <c r="B159" s="171"/>
      <c r="C159" s="171"/>
      <c r="D159" s="171"/>
      <c r="E159" s="171"/>
      <c r="F159" s="171"/>
      <c r="G159" s="171"/>
      <c r="H159" s="171"/>
      <c r="I159" s="171"/>
    </row>
    <row r="160">
      <c r="B160" s="171"/>
      <c r="C160" s="171"/>
      <c r="D160" s="171"/>
      <c r="E160" s="171"/>
      <c r="F160" s="171"/>
      <c r="G160" s="171"/>
      <c r="H160" s="171"/>
      <c r="I160" s="171"/>
    </row>
    <row r="161">
      <c r="B161" s="171"/>
      <c r="C161" s="171"/>
      <c r="D161" s="171"/>
      <c r="E161" s="171"/>
      <c r="F161" s="171"/>
      <c r="G161" s="171"/>
      <c r="H161" s="171"/>
      <c r="I161" s="171"/>
    </row>
    <row r="162">
      <c r="B162" s="171"/>
      <c r="C162" s="171"/>
      <c r="D162" s="171"/>
      <c r="E162" s="171"/>
      <c r="F162" s="171"/>
      <c r="G162" s="171"/>
      <c r="H162" s="171"/>
      <c r="I162" s="171"/>
    </row>
    <row r="163">
      <c r="B163" s="171"/>
      <c r="C163" s="171"/>
      <c r="D163" s="171"/>
      <c r="E163" s="171"/>
      <c r="F163" s="171"/>
      <c r="G163" s="171"/>
      <c r="H163" s="171"/>
      <c r="I163" s="171"/>
    </row>
    <row r="164">
      <c r="B164" s="171"/>
      <c r="C164" s="171"/>
      <c r="D164" s="171"/>
      <c r="E164" s="171"/>
      <c r="F164" s="171"/>
      <c r="G164" s="171"/>
      <c r="H164" s="171"/>
      <c r="I164" s="171"/>
    </row>
    <row r="165">
      <c r="B165" s="171"/>
      <c r="C165" s="171"/>
      <c r="D165" s="171"/>
      <c r="E165" s="171"/>
      <c r="F165" s="171"/>
      <c r="G165" s="171"/>
      <c r="H165" s="171"/>
      <c r="I165" s="171"/>
    </row>
    <row r="166">
      <c r="B166" s="171"/>
      <c r="C166" s="171"/>
      <c r="D166" s="171"/>
      <c r="E166" s="171"/>
      <c r="F166" s="171"/>
      <c r="G166" s="171"/>
      <c r="H166" s="171"/>
      <c r="I166" s="171"/>
    </row>
    <row r="167">
      <c r="B167" s="171"/>
      <c r="C167" s="171"/>
      <c r="D167" s="171"/>
      <c r="E167" s="171"/>
      <c r="F167" s="171"/>
      <c r="G167" s="171"/>
      <c r="H167" s="171"/>
      <c r="I167" s="171"/>
    </row>
    <row r="168">
      <c r="B168" s="171"/>
      <c r="C168" s="171"/>
      <c r="D168" s="171"/>
      <c r="E168" s="171"/>
      <c r="F168" s="171"/>
      <c r="G168" s="171"/>
      <c r="H168" s="171"/>
      <c r="I168" s="171"/>
    </row>
    <row r="169">
      <c r="B169" s="171"/>
      <c r="C169" s="171"/>
      <c r="D169" s="171"/>
      <c r="E169" s="171"/>
      <c r="F169" s="171"/>
      <c r="G169" s="171"/>
      <c r="H169" s="171"/>
      <c r="I169" s="171"/>
    </row>
    <row r="170">
      <c r="B170" s="171"/>
      <c r="C170" s="171"/>
      <c r="D170" s="171"/>
      <c r="E170" s="171"/>
      <c r="F170" s="171"/>
      <c r="G170" s="171"/>
      <c r="H170" s="171"/>
      <c r="I170" s="171"/>
    </row>
    <row r="171">
      <c r="B171" s="171"/>
      <c r="C171" s="171"/>
      <c r="D171" s="171"/>
      <c r="E171" s="171"/>
      <c r="F171" s="171"/>
      <c r="G171" s="171"/>
      <c r="H171" s="171"/>
      <c r="I171" s="171"/>
    </row>
    <row r="172">
      <c r="B172" s="171"/>
      <c r="C172" s="171"/>
      <c r="D172" s="171"/>
      <c r="E172" s="171"/>
      <c r="F172" s="171"/>
      <c r="G172" s="171"/>
      <c r="H172" s="171"/>
      <c r="I172" s="171"/>
    </row>
    <row r="173">
      <c r="B173" s="171"/>
      <c r="C173" s="171"/>
      <c r="D173" s="171"/>
      <c r="E173" s="171"/>
      <c r="F173" s="171"/>
      <c r="G173" s="171"/>
      <c r="H173" s="171"/>
      <c r="I173" s="171"/>
    </row>
    <row r="174">
      <c r="B174" s="171"/>
      <c r="C174" s="171"/>
      <c r="D174" s="171"/>
      <c r="E174" s="171"/>
      <c r="F174" s="171"/>
      <c r="G174" s="171"/>
      <c r="H174" s="171"/>
      <c r="I174" s="171"/>
    </row>
    <row r="175">
      <c r="B175" s="171"/>
      <c r="C175" s="171"/>
      <c r="D175" s="171"/>
      <c r="E175" s="171"/>
      <c r="F175" s="171"/>
      <c r="G175" s="171"/>
      <c r="H175" s="171"/>
      <c r="I175" s="171"/>
    </row>
    <row r="176">
      <c r="B176" s="171"/>
      <c r="C176" s="171"/>
      <c r="D176" s="171"/>
      <c r="E176" s="171"/>
      <c r="F176" s="171"/>
      <c r="G176" s="171"/>
      <c r="H176" s="171"/>
      <c r="I176" s="171"/>
    </row>
    <row r="177">
      <c r="B177" s="171"/>
      <c r="C177" s="171"/>
      <c r="D177" s="171"/>
      <c r="E177" s="171"/>
      <c r="F177" s="171"/>
      <c r="G177" s="171"/>
      <c r="H177" s="171"/>
      <c r="I177" s="171"/>
    </row>
    <row r="178">
      <c r="B178" s="171"/>
      <c r="C178" s="171"/>
      <c r="D178" s="171"/>
      <c r="E178" s="171"/>
      <c r="F178" s="171"/>
      <c r="G178" s="171"/>
      <c r="H178" s="171"/>
      <c r="I178" s="171"/>
    </row>
    <row r="179">
      <c r="B179" s="171"/>
      <c r="C179" s="171"/>
      <c r="D179" s="171"/>
      <c r="E179" s="171"/>
      <c r="F179" s="171"/>
      <c r="G179" s="171"/>
      <c r="H179" s="171"/>
      <c r="I179" s="171"/>
    </row>
    <row r="180">
      <c r="B180" s="171"/>
      <c r="C180" s="171"/>
      <c r="D180" s="171"/>
      <c r="E180" s="171"/>
      <c r="F180" s="171"/>
      <c r="G180" s="171"/>
      <c r="H180" s="171"/>
      <c r="I180" s="171"/>
    </row>
    <row r="181">
      <c r="B181" s="171"/>
      <c r="C181" s="171"/>
      <c r="D181" s="171"/>
      <c r="E181" s="171"/>
      <c r="F181" s="171"/>
      <c r="G181" s="171"/>
      <c r="H181" s="171"/>
      <c r="I181" s="171"/>
    </row>
    <row r="182">
      <c r="B182" s="171"/>
      <c r="C182" s="171"/>
      <c r="D182" s="171"/>
      <c r="E182" s="171"/>
      <c r="F182" s="171"/>
      <c r="G182" s="171"/>
      <c r="H182" s="171"/>
      <c r="I182" s="171"/>
    </row>
    <row r="183">
      <c r="B183" s="171"/>
      <c r="C183" s="171"/>
      <c r="D183" s="171"/>
      <c r="E183" s="171"/>
      <c r="F183" s="171"/>
      <c r="G183" s="171"/>
      <c r="H183" s="171"/>
      <c r="I183" s="171"/>
    </row>
    <row r="184">
      <c r="B184" s="171"/>
      <c r="C184" s="171"/>
      <c r="D184" s="171"/>
      <c r="E184" s="171"/>
      <c r="F184" s="171"/>
      <c r="G184" s="171"/>
      <c r="H184" s="171"/>
      <c r="I184" s="171"/>
    </row>
    <row r="185">
      <c r="B185" s="171"/>
      <c r="C185" s="171"/>
      <c r="D185" s="171"/>
      <c r="E185" s="171"/>
      <c r="F185" s="171"/>
      <c r="G185" s="171"/>
      <c r="H185" s="171"/>
      <c r="I185" s="171"/>
    </row>
    <row r="186">
      <c r="B186" s="171"/>
      <c r="C186" s="171"/>
      <c r="D186" s="171"/>
      <c r="E186" s="171"/>
      <c r="F186" s="171"/>
      <c r="G186" s="171"/>
      <c r="H186" s="171"/>
      <c r="I186" s="171"/>
    </row>
    <row r="187">
      <c r="B187" s="171"/>
      <c r="C187" s="171"/>
      <c r="D187" s="171"/>
      <c r="E187" s="171"/>
      <c r="F187" s="171"/>
      <c r="G187" s="171"/>
      <c r="H187" s="171"/>
      <c r="I187" s="171"/>
    </row>
    <row r="188">
      <c r="B188" s="171"/>
      <c r="C188" s="171"/>
      <c r="D188" s="171"/>
      <c r="E188" s="171"/>
      <c r="F188" s="171"/>
      <c r="G188" s="171"/>
      <c r="H188" s="171"/>
      <c r="I188" s="171"/>
    </row>
    <row r="189">
      <c r="B189" s="171"/>
      <c r="C189" s="171"/>
      <c r="D189" s="171"/>
      <c r="E189" s="171"/>
      <c r="F189" s="171"/>
      <c r="G189" s="171"/>
      <c r="H189" s="171"/>
      <c r="I189" s="171"/>
    </row>
    <row r="190">
      <c r="B190" s="171"/>
      <c r="C190" s="171"/>
      <c r="D190" s="171"/>
      <c r="E190" s="171"/>
      <c r="F190" s="171"/>
      <c r="G190" s="171"/>
      <c r="H190" s="171"/>
      <c r="I190" s="171"/>
    </row>
    <row r="191">
      <c r="B191" s="171"/>
      <c r="C191" s="171"/>
      <c r="D191" s="171"/>
      <c r="E191" s="171"/>
      <c r="F191" s="171"/>
      <c r="G191" s="171"/>
      <c r="H191" s="171"/>
      <c r="I191" s="171"/>
    </row>
    <row r="192">
      <c r="B192" s="171"/>
      <c r="C192" s="171"/>
      <c r="D192" s="171"/>
      <c r="E192" s="171"/>
      <c r="F192" s="171"/>
      <c r="G192" s="171"/>
      <c r="H192" s="171"/>
      <c r="I192" s="171"/>
    </row>
    <row r="193">
      <c r="B193" s="171"/>
      <c r="C193" s="171"/>
      <c r="D193" s="171"/>
      <c r="E193" s="171"/>
      <c r="F193" s="171"/>
      <c r="G193" s="171"/>
      <c r="H193" s="171"/>
      <c r="I193" s="171"/>
    </row>
    <row r="194">
      <c r="B194" s="171"/>
      <c r="C194" s="171"/>
      <c r="D194" s="171"/>
      <c r="E194" s="171"/>
      <c r="F194" s="171"/>
      <c r="G194" s="171"/>
      <c r="H194" s="171"/>
      <c r="I194" s="171"/>
    </row>
    <row r="195">
      <c r="B195" s="171"/>
      <c r="C195" s="171"/>
      <c r="D195" s="171"/>
      <c r="E195" s="171"/>
      <c r="F195" s="171"/>
      <c r="G195" s="171"/>
      <c r="H195" s="171"/>
      <c r="I195" s="171"/>
    </row>
    <row r="196">
      <c r="B196" s="171"/>
      <c r="C196" s="171"/>
      <c r="D196" s="171"/>
      <c r="E196" s="171"/>
      <c r="F196" s="171"/>
      <c r="G196" s="171"/>
      <c r="H196" s="171"/>
      <c r="I196" s="171"/>
    </row>
    <row r="197">
      <c r="B197" s="171"/>
      <c r="C197" s="171"/>
      <c r="D197" s="171"/>
      <c r="E197" s="171"/>
      <c r="F197" s="171"/>
      <c r="G197" s="171"/>
      <c r="H197" s="171"/>
      <c r="I197" s="171"/>
    </row>
    <row r="198">
      <c r="B198" s="171"/>
      <c r="C198" s="171"/>
      <c r="D198" s="171"/>
      <c r="E198" s="171"/>
      <c r="F198" s="171"/>
      <c r="G198" s="171"/>
      <c r="H198" s="171"/>
      <c r="I198" s="171"/>
    </row>
    <row r="199">
      <c r="B199" s="171"/>
      <c r="C199" s="171"/>
      <c r="D199" s="171"/>
      <c r="E199" s="171"/>
      <c r="F199" s="171"/>
      <c r="G199" s="171"/>
      <c r="H199" s="171"/>
      <c r="I199" s="171"/>
    </row>
    <row r="200">
      <c r="B200" s="171"/>
      <c r="C200" s="171"/>
      <c r="D200" s="171"/>
      <c r="E200" s="171"/>
      <c r="F200" s="171"/>
      <c r="G200" s="171"/>
      <c r="H200" s="171"/>
      <c r="I200" s="171"/>
    </row>
    <row r="201">
      <c r="B201" s="171"/>
      <c r="C201" s="171"/>
      <c r="D201" s="171"/>
      <c r="E201" s="171"/>
      <c r="F201" s="171"/>
      <c r="G201" s="171"/>
      <c r="H201" s="171"/>
      <c r="I201" s="171"/>
    </row>
    <row r="202">
      <c r="B202" s="171"/>
      <c r="C202" s="171"/>
      <c r="D202" s="171"/>
      <c r="E202" s="171"/>
      <c r="F202" s="171"/>
      <c r="G202" s="171"/>
      <c r="H202" s="171"/>
      <c r="I202" s="171"/>
    </row>
    <row r="203">
      <c r="B203" s="171"/>
      <c r="C203" s="171"/>
      <c r="D203" s="171"/>
      <c r="E203" s="171"/>
      <c r="F203" s="171"/>
      <c r="G203" s="171"/>
      <c r="H203" s="171"/>
      <c r="I203" s="171"/>
    </row>
    <row r="204">
      <c r="B204" s="171"/>
      <c r="C204" s="171"/>
      <c r="D204" s="171"/>
      <c r="E204" s="171"/>
      <c r="F204" s="171"/>
      <c r="G204" s="171"/>
      <c r="H204" s="171"/>
      <c r="I204" s="171"/>
    </row>
    <row r="205">
      <c r="B205" s="171"/>
      <c r="C205" s="171"/>
      <c r="D205" s="171"/>
      <c r="E205" s="171"/>
      <c r="F205" s="171"/>
      <c r="G205" s="171"/>
      <c r="H205" s="171"/>
      <c r="I205" s="171"/>
    </row>
    <row r="206">
      <c r="B206" s="171"/>
      <c r="C206" s="171"/>
      <c r="D206" s="171"/>
      <c r="E206" s="171"/>
      <c r="F206" s="171"/>
      <c r="G206" s="171"/>
      <c r="H206" s="171"/>
      <c r="I206" s="171"/>
    </row>
    <row r="207">
      <c r="B207" s="171"/>
      <c r="C207" s="171"/>
      <c r="D207" s="171"/>
      <c r="E207" s="171"/>
      <c r="F207" s="171"/>
      <c r="G207" s="171"/>
      <c r="H207" s="171"/>
      <c r="I207" s="171"/>
    </row>
    <row r="208">
      <c r="B208" s="171"/>
      <c r="C208" s="171"/>
      <c r="D208" s="171"/>
      <c r="E208" s="171"/>
      <c r="F208" s="171"/>
      <c r="G208" s="171"/>
      <c r="H208" s="171"/>
      <c r="I208" s="171"/>
    </row>
    <row r="209">
      <c r="B209" s="171"/>
      <c r="C209" s="171"/>
      <c r="D209" s="171"/>
      <c r="E209" s="171"/>
      <c r="F209" s="171"/>
      <c r="G209" s="171"/>
      <c r="H209" s="171"/>
      <c r="I209" s="171"/>
    </row>
    <row r="210">
      <c r="B210" s="171"/>
      <c r="C210" s="171"/>
      <c r="D210" s="171"/>
      <c r="E210" s="171"/>
      <c r="F210" s="171"/>
      <c r="G210" s="171"/>
      <c r="H210" s="171"/>
      <c r="I210" s="171"/>
    </row>
    <row r="211">
      <c r="B211" s="171"/>
      <c r="C211" s="171"/>
      <c r="D211" s="171"/>
      <c r="E211" s="171"/>
      <c r="F211" s="171"/>
      <c r="G211" s="171"/>
      <c r="H211" s="171"/>
      <c r="I211" s="171"/>
    </row>
    <row r="212">
      <c r="B212" s="171"/>
      <c r="C212" s="171"/>
      <c r="D212" s="171"/>
      <c r="E212" s="171"/>
      <c r="F212" s="171"/>
      <c r="G212" s="171"/>
      <c r="H212" s="171"/>
      <c r="I212" s="171"/>
    </row>
    <row r="213">
      <c r="B213" s="171"/>
      <c r="C213" s="171"/>
      <c r="D213" s="171"/>
      <c r="E213" s="171"/>
      <c r="F213" s="171"/>
      <c r="G213" s="171"/>
      <c r="H213" s="171"/>
      <c r="I213" s="171"/>
    </row>
    <row r="214">
      <c r="B214" s="171"/>
      <c r="C214" s="171"/>
      <c r="D214" s="171"/>
      <c r="E214" s="171"/>
      <c r="F214" s="171"/>
      <c r="G214" s="171"/>
      <c r="H214" s="171"/>
      <c r="I214" s="171"/>
    </row>
    <row r="215">
      <c r="B215" s="171"/>
      <c r="C215" s="171"/>
      <c r="D215" s="171"/>
      <c r="E215" s="171"/>
      <c r="F215" s="171"/>
      <c r="G215" s="171"/>
      <c r="H215" s="171"/>
      <c r="I215" s="171"/>
    </row>
    <row r="216">
      <c r="B216" s="171"/>
      <c r="C216" s="171"/>
      <c r="D216" s="171"/>
      <c r="E216" s="171"/>
      <c r="F216" s="171"/>
      <c r="G216" s="171"/>
      <c r="H216" s="171"/>
      <c r="I216" s="171"/>
    </row>
    <row r="217">
      <c r="B217" s="171"/>
      <c r="C217" s="171"/>
      <c r="D217" s="171"/>
      <c r="E217" s="171"/>
      <c r="F217" s="171"/>
      <c r="G217" s="171"/>
      <c r="H217" s="171"/>
      <c r="I217" s="171"/>
    </row>
    <row r="218">
      <c r="B218" s="171"/>
      <c r="C218" s="171"/>
      <c r="D218" s="171"/>
      <c r="E218" s="171"/>
      <c r="F218" s="171"/>
      <c r="G218" s="171"/>
      <c r="H218" s="171"/>
      <c r="I218" s="171"/>
    </row>
    <row r="219">
      <c r="B219" s="171"/>
      <c r="C219" s="171"/>
      <c r="D219" s="171"/>
      <c r="E219" s="171"/>
      <c r="F219" s="171"/>
      <c r="G219" s="171"/>
      <c r="H219" s="171"/>
      <c r="I219" s="171"/>
    </row>
    <row r="220">
      <c r="B220" s="171"/>
      <c r="C220" s="171"/>
      <c r="D220" s="171"/>
      <c r="E220" s="171"/>
      <c r="F220" s="171"/>
      <c r="G220" s="171"/>
      <c r="H220" s="171"/>
      <c r="I220" s="171"/>
    </row>
    <row r="221">
      <c r="B221" s="171"/>
      <c r="C221" s="171"/>
      <c r="D221" s="171"/>
      <c r="E221" s="171"/>
      <c r="F221" s="171"/>
      <c r="G221" s="171"/>
      <c r="H221" s="171"/>
      <c r="I221" s="171"/>
    </row>
    <row r="222">
      <c r="B222" s="171"/>
      <c r="C222" s="171"/>
      <c r="D222" s="171"/>
      <c r="E222" s="171"/>
      <c r="F222" s="171"/>
      <c r="G222" s="171"/>
      <c r="H222" s="171"/>
      <c r="I222" s="171"/>
    </row>
    <row r="223">
      <c r="B223" s="171"/>
      <c r="C223" s="171"/>
      <c r="D223" s="171"/>
      <c r="E223" s="171"/>
      <c r="F223" s="171"/>
      <c r="G223" s="171"/>
      <c r="H223" s="171"/>
      <c r="I223" s="171"/>
    </row>
    <row r="224">
      <c r="B224" s="171"/>
      <c r="C224" s="171"/>
      <c r="D224" s="171"/>
      <c r="E224" s="171"/>
      <c r="F224" s="171"/>
      <c r="G224" s="171"/>
      <c r="H224" s="171"/>
      <c r="I224" s="171"/>
    </row>
    <row r="225">
      <c r="B225" s="171"/>
      <c r="C225" s="171"/>
      <c r="D225" s="171"/>
      <c r="E225" s="171"/>
      <c r="F225" s="171"/>
      <c r="G225" s="171"/>
      <c r="H225" s="171"/>
      <c r="I225" s="171"/>
    </row>
    <row r="226">
      <c r="B226" s="171"/>
      <c r="C226" s="171"/>
      <c r="D226" s="171"/>
      <c r="E226" s="171"/>
      <c r="F226" s="171"/>
      <c r="G226" s="171"/>
      <c r="H226" s="171"/>
      <c r="I226" s="171"/>
    </row>
    <row r="227">
      <c r="B227" s="171"/>
      <c r="C227" s="171"/>
      <c r="D227" s="171"/>
      <c r="E227" s="171"/>
      <c r="F227" s="171"/>
      <c r="G227" s="171"/>
      <c r="H227" s="171"/>
      <c r="I227" s="171"/>
    </row>
    <row r="228">
      <c r="B228" s="171"/>
      <c r="C228" s="171"/>
      <c r="D228" s="171"/>
      <c r="E228" s="171"/>
      <c r="F228" s="171"/>
      <c r="G228" s="171"/>
      <c r="H228" s="171"/>
      <c r="I228" s="171"/>
    </row>
    <row r="229">
      <c r="B229" s="171"/>
      <c r="C229" s="171"/>
      <c r="D229" s="171"/>
      <c r="E229" s="171"/>
      <c r="F229" s="171"/>
      <c r="G229" s="171"/>
      <c r="H229" s="171"/>
      <c r="I229" s="171"/>
    </row>
    <row r="230">
      <c r="B230" s="171"/>
      <c r="C230" s="171"/>
      <c r="D230" s="171"/>
      <c r="E230" s="171"/>
      <c r="F230" s="171"/>
      <c r="G230" s="171"/>
      <c r="H230" s="171"/>
      <c r="I230" s="171"/>
    </row>
    <row r="231">
      <c r="B231" s="171"/>
      <c r="C231" s="171"/>
      <c r="D231" s="171"/>
      <c r="E231" s="171"/>
      <c r="F231" s="171"/>
      <c r="G231" s="171"/>
      <c r="H231" s="171"/>
      <c r="I231" s="171"/>
    </row>
    <row r="232">
      <c r="B232" s="171"/>
      <c r="C232" s="171"/>
      <c r="D232" s="171"/>
      <c r="E232" s="171"/>
      <c r="F232" s="171"/>
      <c r="G232" s="171"/>
      <c r="H232" s="171"/>
      <c r="I232" s="171"/>
    </row>
    <row r="233">
      <c r="B233" s="171"/>
      <c r="C233" s="171"/>
      <c r="D233" s="171"/>
      <c r="E233" s="171"/>
      <c r="F233" s="171"/>
      <c r="G233" s="171"/>
      <c r="H233" s="171"/>
      <c r="I233" s="171"/>
    </row>
    <row r="234">
      <c r="B234" s="171"/>
      <c r="C234" s="171"/>
      <c r="D234" s="171"/>
      <c r="E234" s="171"/>
      <c r="F234" s="171"/>
      <c r="G234" s="171"/>
      <c r="H234" s="171"/>
      <c r="I234" s="171"/>
    </row>
    <row r="235">
      <c r="B235" s="171"/>
      <c r="C235" s="171"/>
      <c r="D235" s="171"/>
      <c r="E235" s="171"/>
      <c r="F235" s="171"/>
      <c r="G235" s="171"/>
      <c r="H235" s="171"/>
      <c r="I235" s="171"/>
    </row>
    <row r="236">
      <c r="B236" s="171"/>
      <c r="C236" s="171"/>
      <c r="D236" s="171"/>
      <c r="E236" s="171"/>
      <c r="F236" s="171"/>
      <c r="G236" s="171"/>
      <c r="H236" s="171"/>
      <c r="I236" s="171"/>
    </row>
    <row r="237">
      <c r="B237" s="171"/>
      <c r="C237" s="171"/>
      <c r="D237" s="171"/>
      <c r="E237" s="171"/>
      <c r="F237" s="171"/>
      <c r="G237" s="171"/>
      <c r="H237" s="171"/>
      <c r="I237" s="171"/>
    </row>
    <row r="238">
      <c r="B238" s="171"/>
      <c r="C238" s="171"/>
      <c r="D238" s="171"/>
      <c r="E238" s="171"/>
      <c r="F238" s="171"/>
      <c r="G238" s="171"/>
      <c r="H238" s="171"/>
      <c r="I238" s="171"/>
    </row>
    <row r="239">
      <c r="B239" s="171"/>
      <c r="C239" s="171"/>
      <c r="D239" s="171"/>
      <c r="E239" s="171"/>
      <c r="F239" s="171"/>
      <c r="G239" s="171"/>
      <c r="H239" s="171"/>
      <c r="I239" s="171"/>
    </row>
    <row r="240">
      <c r="B240" s="171"/>
      <c r="C240" s="171"/>
      <c r="D240" s="171"/>
      <c r="E240" s="171"/>
      <c r="F240" s="171"/>
      <c r="G240" s="171"/>
      <c r="H240" s="171"/>
      <c r="I240" s="171"/>
    </row>
    <row r="241">
      <c r="B241" s="171"/>
      <c r="C241" s="171"/>
      <c r="D241" s="171"/>
      <c r="E241" s="171"/>
      <c r="F241" s="171"/>
      <c r="G241" s="171"/>
      <c r="H241" s="171"/>
      <c r="I241" s="171"/>
    </row>
    <row r="242">
      <c r="B242" s="171"/>
      <c r="C242" s="171"/>
      <c r="D242" s="171"/>
      <c r="E242" s="171"/>
      <c r="F242" s="171"/>
      <c r="G242" s="171"/>
      <c r="H242" s="171"/>
      <c r="I242" s="171"/>
    </row>
    <row r="243">
      <c r="B243" s="171"/>
      <c r="C243" s="171"/>
      <c r="D243" s="171"/>
      <c r="E243" s="171"/>
      <c r="F243" s="171"/>
      <c r="G243" s="171"/>
      <c r="H243" s="171"/>
      <c r="I243" s="171"/>
    </row>
    <row r="244">
      <c r="B244" s="171"/>
      <c r="C244" s="171"/>
      <c r="D244" s="171"/>
      <c r="E244" s="171"/>
      <c r="F244" s="171"/>
      <c r="G244" s="171"/>
      <c r="H244" s="171"/>
      <c r="I244" s="171"/>
    </row>
    <row r="245">
      <c r="B245" s="171"/>
      <c r="C245" s="171"/>
      <c r="D245" s="171"/>
      <c r="E245" s="171"/>
      <c r="F245" s="171"/>
      <c r="G245" s="171"/>
      <c r="H245" s="171"/>
      <c r="I245" s="171"/>
    </row>
    <row r="246">
      <c r="B246" s="171"/>
      <c r="C246" s="171"/>
      <c r="D246" s="171"/>
      <c r="E246" s="171"/>
      <c r="F246" s="171"/>
      <c r="G246" s="171"/>
      <c r="H246" s="171"/>
      <c r="I246" s="171"/>
    </row>
    <row r="247">
      <c r="B247" s="171"/>
      <c r="C247" s="171"/>
      <c r="D247" s="171"/>
      <c r="E247" s="171"/>
      <c r="F247" s="171"/>
      <c r="G247" s="171"/>
      <c r="H247" s="171"/>
      <c r="I247" s="171"/>
    </row>
    <row r="248">
      <c r="B248" s="171"/>
      <c r="C248" s="171"/>
      <c r="D248" s="171"/>
      <c r="E248" s="171"/>
      <c r="F248" s="171"/>
      <c r="G248" s="171"/>
      <c r="H248" s="171"/>
      <c r="I248" s="171"/>
    </row>
    <row r="249">
      <c r="B249" s="171"/>
      <c r="C249" s="171"/>
      <c r="D249" s="171"/>
      <c r="E249" s="171"/>
      <c r="F249" s="171"/>
      <c r="G249" s="171"/>
      <c r="H249" s="171"/>
      <c r="I249" s="171"/>
    </row>
    <row r="250">
      <c r="B250" s="171"/>
      <c r="C250" s="171"/>
      <c r="D250" s="171"/>
      <c r="E250" s="171"/>
      <c r="F250" s="171"/>
      <c r="G250" s="171"/>
      <c r="H250" s="171"/>
      <c r="I250" s="171"/>
    </row>
    <row r="251">
      <c r="B251" s="171"/>
      <c r="C251" s="171"/>
      <c r="D251" s="171"/>
      <c r="E251" s="171"/>
      <c r="F251" s="171"/>
      <c r="G251" s="171"/>
      <c r="H251" s="171"/>
      <c r="I251" s="171"/>
    </row>
    <row r="252">
      <c r="B252" s="171"/>
      <c r="C252" s="171"/>
      <c r="D252" s="171"/>
      <c r="E252" s="171"/>
      <c r="F252" s="171"/>
      <c r="G252" s="171"/>
      <c r="H252" s="171"/>
      <c r="I252" s="171"/>
    </row>
    <row r="253">
      <c r="B253" s="171"/>
      <c r="C253" s="171"/>
      <c r="D253" s="171"/>
      <c r="E253" s="171"/>
      <c r="F253" s="171"/>
      <c r="G253" s="171"/>
      <c r="H253" s="171"/>
      <c r="I253" s="171"/>
    </row>
    <row r="254">
      <c r="B254" s="171"/>
      <c r="C254" s="171"/>
      <c r="D254" s="171"/>
      <c r="E254" s="171"/>
      <c r="F254" s="171"/>
      <c r="G254" s="171"/>
      <c r="H254" s="171"/>
      <c r="I254" s="171"/>
    </row>
    <row r="255">
      <c r="B255" s="171"/>
      <c r="C255" s="171"/>
      <c r="D255" s="171"/>
      <c r="E255" s="171"/>
      <c r="F255" s="171"/>
      <c r="G255" s="171"/>
      <c r="H255" s="171"/>
      <c r="I255" s="171"/>
    </row>
    <row r="256">
      <c r="B256" s="171"/>
      <c r="C256" s="171"/>
      <c r="D256" s="171"/>
      <c r="E256" s="171"/>
      <c r="F256" s="171"/>
      <c r="G256" s="171"/>
      <c r="H256" s="171"/>
      <c r="I256" s="171"/>
    </row>
    <row r="257">
      <c r="B257" s="171"/>
      <c r="C257" s="171"/>
      <c r="D257" s="171"/>
      <c r="E257" s="171"/>
      <c r="F257" s="171"/>
      <c r="G257" s="171"/>
      <c r="H257" s="171"/>
      <c r="I257" s="171"/>
    </row>
    <row r="258">
      <c r="B258" s="171"/>
      <c r="C258" s="171"/>
      <c r="D258" s="171"/>
      <c r="E258" s="171"/>
      <c r="F258" s="171"/>
      <c r="G258" s="171"/>
      <c r="H258" s="171"/>
      <c r="I258" s="171"/>
    </row>
    <row r="259">
      <c r="B259" s="171"/>
      <c r="C259" s="171"/>
      <c r="D259" s="171"/>
      <c r="E259" s="171"/>
      <c r="F259" s="171"/>
      <c r="G259" s="171"/>
      <c r="H259" s="171"/>
      <c r="I259" s="171"/>
    </row>
    <row r="260">
      <c r="B260" s="171"/>
      <c r="C260" s="171"/>
      <c r="D260" s="171"/>
      <c r="E260" s="171"/>
      <c r="F260" s="171"/>
      <c r="G260" s="171"/>
      <c r="H260" s="171"/>
      <c r="I260" s="171"/>
    </row>
    <row r="261">
      <c r="B261" s="171"/>
      <c r="C261" s="171"/>
      <c r="D261" s="171"/>
      <c r="E261" s="171"/>
      <c r="F261" s="171"/>
      <c r="G261" s="171"/>
      <c r="H261" s="171"/>
      <c r="I261" s="171"/>
    </row>
    <row r="262">
      <c r="B262" s="171"/>
      <c r="C262" s="171"/>
      <c r="D262" s="171"/>
      <c r="E262" s="171"/>
      <c r="F262" s="171"/>
      <c r="G262" s="171"/>
      <c r="H262" s="171"/>
      <c r="I262" s="171"/>
    </row>
    <row r="263">
      <c r="B263" s="171"/>
      <c r="C263" s="171"/>
      <c r="D263" s="171"/>
      <c r="E263" s="171"/>
      <c r="F263" s="171"/>
      <c r="G263" s="171"/>
      <c r="H263" s="171"/>
      <c r="I263" s="171"/>
    </row>
    <row r="264">
      <c r="B264" s="171"/>
      <c r="C264" s="171"/>
      <c r="D264" s="171"/>
      <c r="E264" s="171"/>
      <c r="F264" s="171"/>
      <c r="G264" s="171"/>
      <c r="H264" s="171"/>
      <c r="I264" s="171"/>
    </row>
    <row r="265">
      <c r="B265" s="171"/>
      <c r="C265" s="171"/>
      <c r="D265" s="171"/>
      <c r="E265" s="171"/>
      <c r="F265" s="171"/>
      <c r="G265" s="171"/>
      <c r="H265" s="171"/>
      <c r="I265" s="171"/>
    </row>
    <row r="266">
      <c r="B266" s="171"/>
      <c r="C266" s="171"/>
      <c r="D266" s="171"/>
      <c r="E266" s="171"/>
      <c r="F266" s="171"/>
      <c r="G266" s="171"/>
      <c r="H266" s="171"/>
      <c r="I266" s="171"/>
    </row>
    <row r="267">
      <c r="B267" s="171"/>
      <c r="C267" s="171"/>
      <c r="D267" s="171"/>
      <c r="E267" s="171"/>
      <c r="F267" s="171"/>
      <c r="G267" s="171"/>
      <c r="H267" s="171"/>
      <c r="I267" s="171"/>
    </row>
    <row r="268">
      <c r="B268" s="171"/>
      <c r="C268" s="171"/>
      <c r="D268" s="171"/>
      <c r="E268" s="171"/>
      <c r="F268" s="171"/>
      <c r="G268" s="171"/>
      <c r="H268" s="171"/>
      <c r="I268" s="171"/>
    </row>
    <row r="269">
      <c r="B269" s="171"/>
      <c r="C269" s="171"/>
      <c r="D269" s="171"/>
      <c r="E269" s="171"/>
      <c r="F269" s="171"/>
      <c r="G269" s="171"/>
      <c r="H269" s="171"/>
      <c r="I269" s="171"/>
    </row>
    <row r="270">
      <c r="B270" s="171"/>
      <c r="C270" s="171"/>
      <c r="D270" s="171"/>
      <c r="E270" s="171"/>
      <c r="F270" s="171"/>
      <c r="G270" s="171"/>
      <c r="H270" s="171"/>
      <c r="I270" s="171"/>
    </row>
    <row r="271">
      <c r="B271" s="171"/>
      <c r="C271" s="171"/>
      <c r="D271" s="171"/>
      <c r="E271" s="171"/>
      <c r="F271" s="171"/>
      <c r="G271" s="171"/>
      <c r="H271" s="171"/>
      <c r="I271" s="171"/>
    </row>
    <row r="272">
      <c r="B272" s="171"/>
      <c r="C272" s="171"/>
      <c r="D272" s="171"/>
      <c r="E272" s="171"/>
      <c r="F272" s="171"/>
      <c r="G272" s="171"/>
      <c r="H272" s="171"/>
      <c r="I272" s="171"/>
    </row>
    <row r="273">
      <c r="B273" s="171"/>
      <c r="C273" s="171"/>
      <c r="D273" s="171"/>
      <c r="E273" s="171"/>
      <c r="F273" s="171"/>
      <c r="G273" s="171"/>
      <c r="H273" s="171"/>
      <c r="I273" s="171"/>
    </row>
    <row r="274">
      <c r="B274" s="171"/>
      <c r="C274" s="171"/>
      <c r="D274" s="171"/>
      <c r="E274" s="171"/>
      <c r="F274" s="171"/>
      <c r="G274" s="171"/>
      <c r="H274" s="171"/>
      <c r="I274" s="171"/>
    </row>
    <row r="275">
      <c r="B275" s="171"/>
      <c r="C275" s="171"/>
      <c r="D275" s="171"/>
      <c r="E275" s="171"/>
      <c r="F275" s="171"/>
      <c r="G275" s="171"/>
      <c r="H275" s="171"/>
      <c r="I275" s="171"/>
    </row>
    <row r="276">
      <c r="B276" s="171"/>
      <c r="C276" s="171"/>
      <c r="D276" s="171"/>
      <c r="E276" s="171"/>
      <c r="F276" s="171"/>
      <c r="G276" s="171"/>
      <c r="H276" s="171"/>
      <c r="I276" s="171"/>
    </row>
    <row r="277">
      <c r="B277" s="171"/>
      <c r="C277" s="171"/>
      <c r="D277" s="171"/>
      <c r="E277" s="171"/>
      <c r="F277" s="171"/>
      <c r="G277" s="171"/>
      <c r="H277" s="171"/>
      <c r="I277" s="171"/>
    </row>
    <row r="278">
      <c r="B278" s="171"/>
      <c r="C278" s="171"/>
      <c r="D278" s="171"/>
      <c r="E278" s="171"/>
      <c r="F278" s="171"/>
      <c r="G278" s="171"/>
      <c r="H278" s="171"/>
      <c r="I278" s="171"/>
    </row>
    <row r="279">
      <c r="B279" s="171"/>
      <c r="C279" s="171"/>
      <c r="D279" s="171"/>
      <c r="E279" s="171"/>
      <c r="F279" s="171"/>
      <c r="G279" s="171"/>
      <c r="H279" s="171"/>
      <c r="I279" s="171"/>
    </row>
    <row r="280">
      <c r="B280" s="171"/>
      <c r="C280" s="171"/>
      <c r="D280" s="171"/>
      <c r="E280" s="171"/>
      <c r="F280" s="171"/>
      <c r="G280" s="171"/>
      <c r="H280" s="171"/>
      <c r="I280" s="171"/>
    </row>
    <row r="281">
      <c r="B281" s="171"/>
      <c r="C281" s="171"/>
      <c r="D281" s="171"/>
      <c r="E281" s="171"/>
      <c r="F281" s="171"/>
      <c r="G281" s="171"/>
      <c r="H281" s="171"/>
      <c r="I281" s="171"/>
    </row>
    <row r="282">
      <c r="B282" s="171"/>
      <c r="C282" s="171"/>
      <c r="D282" s="171"/>
      <c r="E282" s="171"/>
      <c r="F282" s="171"/>
      <c r="G282" s="171"/>
      <c r="H282" s="171"/>
      <c r="I282" s="171"/>
    </row>
    <row r="283">
      <c r="B283" s="171"/>
      <c r="C283" s="171"/>
      <c r="D283" s="171"/>
      <c r="E283" s="171"/>
      <c r="F283" s="171"/>
      <c r="G283" s="171"/>
      <c r="H283" s="171"/>
      <c r="I283" s="171"/>
    </row>
    <row r="284">
      <c r="B284" s="171"/>
      <c r="C284" s="171"/>
      <c r="D284" s="171"/>
      <c r="E284" s="171"/>
      <c r="F284" s="171"/>
      <c r="G284" s="171"/>
      <c r="H284" s="171"/>
      <c r="I284" s="171"/>
    </row>
    <row r="285">
      <c r="B285" s="171"/>
      <c r="C285" s="171"/>
      <c r="D285" s="171"/>
      <c r="E285" s="171"/>
      <c r="F285" s="171"/>
      <c r="G285" s="171"/>
      <c r="H285" s="171"/>
      <c r="I285" s="171"/>
    </row>
    <row r="286">
      <c r="B286" s="171"/>
      <c r="C286" s="171"/>
      <c r="D286" s="171"/>
      <c r="E286" s="171"/>
      <c r="F286" s="171"/>
      <c r="G286" s="171"/>
      <c r="H286" s="171"/>
      <c r="I286" s="171"/>
    </row>
    <row r="287">
      <c r="B287" s="171"/>
      <c r="C287" s="171"/>
      <c r="D287" s="171"/>
      <c r="E287" s="171"/>
      <c r="F287" s="171"/>
      <c r="G287" s="171"/>
      <c r="H287" s="171"/>
      <c r="I287" s="171"/>
    </row>
    <row r="288">
      <c r="B288" s="171"/>
      <c r="C288" s="171"/>
      <c r="D288" s="171"/>
      <c r="E288" s="171"/>
      <c r="F288" s="171"/>
      <c r="G288" s="171"/>
      <c r="H288" s="171"/>
      <c r="I288" s="171"/>
    </row>
    <row r="289">
      <c r="B289" s="171"/>
      <c r="C289" s="171"/>
      <c r="D289" s="171"/>
      <c r="E289" s="171"/>
      <c r="F289" s="171"/>
      <c r="G289" s="171"/>
      <c r="H289" s="171"/>
      <c r="I289" s="171"/>
    </row>
    <row r="290">
      <c r="B290" s="171"/>
      <c r="C290" s="171"/>
      <c r="D290" s="171"/>
      <c r="E290" s="171"/>
      <c r="F290" s="171"/>
      <c r="G290" s="171"/>
      <c r="H290" s="171"/>
      <c r="I290" s="171"/>
    </row>
    <row r="291">
      <c r="B291" s="171"/>
      <c r="C291" s="171"/>
      <c r="D291" s="171"/>
      <c r="E291" s="171"/>
      <c r="F291" s="171"/>
      <c r="G291" s="171"/>
      <c r="H291" s="171"/>
      <c r="I291" s="171"/>
    </row>
    <row r="292">
      <c r="B292" s="171"/>
      <c r="C292" s="171"/>
      <c r="D292" s="171"/>
      <c r="E292" s="171"/>
      <c r="F292" s="171"/>
      <c r="G292" s="171"/>
      <c r="H292" s="171"/>
      <c r="I292" s="171"/>
    </row>
    <row r="293">
      <c r="B293" s="171"/>
      <c r="C293" s="171"/>
      <c r="D293" s="171"/>
      <c r="E293" s="171"/>
      <c r="F293" s="171"/>
      <c r="G293" s="171"/>
      <c r="H293" s="171"/>
      <c r="I293" s="171"/>
    </row>
    <row r="294">
      <c r="B294" s="171"/>
      <c r="C294" s="171"/>
      <c r="D294" s="171"/>
      <c r="E294" s="171"/>
      <c r="F294" s="171"/>
      <c r="G294" s="171"/>
      <c r="H294" s="171"/>
      <c r="I294" s="171"/>
    </row>
    <row r="295">
      <c r="B295" s="171"/>
      <c r="C295" s="171"/>
      <c r="D295" s="171"/>
      <c r="E295" s="171"/>
      <c r="F295" s="171"/>
      <c r="G295" s="171"/>
      <c r="H295" s="171"/>
      <c r="I295" s="171"/>
    </row>
    <row r="296">
      <c r="B296" s="171"/>
      <c r="C296" s="171"/>
      <c r="D296" s="171"/>
      <c r="E296" s="171"/>
      <c r="F296" s="171"/>
      <c r="G296" s="171"/>
      <c r="H296" s="171"/>
      <c r="I296" s="171"/>
    </row>
    <row r="297">
      <c r="B297" s="171"/>
      <c r="C297" s="171"/>
      <c r="D297" s="171"/>
      <c r="E297" s="171"/>
      <c r="F297" s="171"/>
      <c r="G297" s="171"/>
      <c r="H297" s="171"/>
      <c r="I297" s="171"/>
    </row>
    <row r="298">
      <c r="B298" s="171"/>
      <c r="C298" s="171"/>
      <c r="D298" s="171"/>
      <c r="E298" s="171"/>
      <c r="F298" s="171"/>
      <c r="G298" s="171"/>
      <c r="H298" s="171"/>
      <c r="I298" s="171"/>
    </row>
    <row r="299">
      <c r="B299" s="171"/>
      <c r="C299" s="171"/>
      <c r="D299" s="171"/>
      <c r="E299" s="171"/>
      <c r="F299" s="171"/>
      <c r="G299" s="171"/>
      <c r="H299" s="171"/>
      <c r="I299" s="171"/>
    </row>
    <row r="300">
      <c r="B300" s="171"/>
      <c r="C300" s="171"/>
      <c r="D300" s="171"/>
      <c r="E300" s="171"/>
      <c r="F300" s="171"/>
      <c r="G300" s="171"/>
      <c r="H300" s="171"/>
      <c r="I300" s="171"/>
    </row>
    <row r="301">
      <c r="B301" s="171"/>
      <c r="C301" s="171"/>
      <c r="D301" s="171"/>
      <c r="E301" s="171"/>
      <c r="F301" s="171"/>
      <c r="G301" s="171"/>
      <c r="H301" s="171"/>
      <c r="I301" s="171"/>
    </row>
    <row r="302">
      <c r="B302" s="171"/>
      <c r="C302" s="171"/>
      <c r="D302" s="171"/>
      <c r="E302" s="171"/>
      <c r="F302" s="171"/>
      <c r="G302" s="171"/>
      <c r="H302" s="171"/>
      <c r="I302" s="171"/>
    </row>
    <row r="303">
      <c r="B303" s="171"/>
      <c r="C303" s="171"/>
      <c r="D303" s="171"/>
      <c r="E303" s="171"/>
      <c r="F303" s="171"/>
      <c r="G303" s="171"/>
      <c r="H303" s="171"/>
      <c r="I303" s="171"/>
    </row>
    <row r="304">
      <c r="B304" s="171"/>
      <c r="C304" s="171"/>
      <c r="D304" s="171"/>
      <c r="E304" s="171"/>
      <c r="F304" s="171"/>
      <c r="G304" s="171"/>
      <c r="H304" s="171"/>
      <c r="I304" s="171"/>
    </row>
    <row r="305">
      <c r="B305" s="171"/>
      <c r="C305" s="171"/>
      <c r="D305" s="171"/>
      <c r="E305" s="171"/>
      <c r="F305" s="171"/>
      <c r="G305" s="171"/>
      <c r="H305" s="171"/>
      <c r="I305" s="171"/>
    </row>
    <row r="306">
      <c r="B306" s="171"/>
      <c r="C306" s="171"/>
      <c r="D306" s="171"/>
      <c r="E306" s="171"/>
      <c r="F306" s="171"/>
      <c r="G306" s="171"/>
      <c r="H306" s="171"/>
      <c r="I306" s="171"/>
    </row>
    <row r="307">
      <c r="B307" s="171"/>
      <c r="C307" s="171"/>
      <c r="D307" s="171"/>
      <c r="E307" s="171"/>
      <c r="F307" s="171"/>
      <c r="G307" s="171"/>
      <c r="H307" s="171"/>
      <c r="I307" s="171"/>
    </row>
    <row r="308">
      <c r="B308" s="171"/>
      <c r="C308" s="171"/>
      <c r="D308" s="171"/>
      <c r="E308" s="171"/>
      <c r="F308" s="171"/>
      <c r="G308" s="171"/>
      <c r="H308" s="171"/>
      <c r="I308" s="171"/>
    </row>
    <row r="309">
      <c r="B309" s="171"/>
      <c r="C309" s="171"/>
      <c r="D309" s="171"/>
      <c r="E309" s="171"/>
      <c r="F309" s="171"/>
      <c r="G309" s="171"/>
      <c r="H309" s="171"/>
      <c r="I309" s="171"/>
    </row>
    <row r="310">
      <c r="B310" s="171"/>
      <c r="C310" s="171"/>
      <c r="D310" s="171"/>
      <c r="E310" s="171"/>
      <c r="F310" s="171"/>
      <c r="G310" s="171"/>
      <c r="H310" s="171"/>
      <c r="I310" s="171"/>
    </row>
    <row r="311">
      <c r="B311" s="171"/>
      <c r="C311" s="171"/>
      <c r="D311" s="171"/>
      <c r="E311" s="171"/>
      <c r="F311" s="171"/>
      <c r="G311" s="171"/>
      <c r="H311" s="171"/>
      <c r="I311" s="171"/>
    </row>
    <row r="312">
      <c r="B312" s="171"/>
      <c r="C312" s="171"/>
      <c r="D312" s="171"/>
      <c r="E312" s="171"/>
      <c r="F312" s="171"/>
      <c r="G312" s="171"/>
      <c r="H312" s="171"/>
      <c r="I312" s="171"/>
    </row>
    <row r="313">
      <c r="B313" s="171"/>
      <c r="C313" s="171"/>
      <c r="D313" s="171"/>
      <c r="E313" s="171"/>
      <c r="F313" s="171"/>
      <c r="G313" s="171"/>
      <c r="H313" s="171"/>
      <c r="I313" s="171"/>
    </row>
    <row r="314">
      <c r="B314" s="171"/>
      <c r="C314" s="171"/>
      <c r="D314" s="171"/>
      <c r="E314" s="171"/>
      <c r="F314" s="171"/>
      <c r="G314" s="171"/>
      <c r="H314" s="171"/>
      <c r="I314" s="171"/>
    </row>
    <row r="315">
      <c r="B315" s="171"/>
      <c r="C315" s="171"/>
      <c r="D315" s="171"/>
      <c r="E315" s="171"/>
      <c r="F315" s="171"/>
      <c r="G315" s="171"/>
      <c r="H315" s="171"/>
      <c r="I315" s="171"/>
    </row>
    <row r="316">
      <c r="B316" s="171"/>
      <c r="C316" s="171"/>
      <c r="D316" s="171"/>
      <c r="E316" s="171"/>
      <c r="F316" s="171"/>
      <c r="G316" s="171"/>
      <c r="H316" s="171"/>
      <c r="I316" s="171"/>
    </row>
    <row r="317">
      <c r="B317" s="171"/>
      <c r="C317" s="171"/>
      <c r="D317" s="171"/>
      <c r="E317" s="171"/>
      <c r="F317" s="171"/>
      <c r="G317" s="171"/>
      <c r="H317" s="171"/>
      <c r="I317" s="171"/>
    </row>
    <row r="318">
      <c r="B318" s="171"/>
      <c r="C318" s="171"/>
      <c r="D318" s="171"/>
      <c r="E318" s="171"/>
      <c r="F318" s="171"/>
      <c r="G318" s="171"/>
      <c r="H318" s="171"/>
      <c r="I318" s="171"/>
    </row>
    <row r="319">
      <c r="B319" s="171"/>
      <c r="C319" s="171"/>
      <c r="D319" s="171"/>
      <c r="E319" s="171"/>
      <c r="F319" s="171"/>
      <c r="G319" s="171"/>
      <c r="H319" s="171"/>
      <c r="I319" s="171"/>
    </row>
    <row r="320">
      <c r="B320" s="171"/>
      <c r="C320" s="171"/>
      <c r="D320" s="171"/>
      <c r="E320" s="171"/>
      <c r="F320" s="171"/>
      <c r="G320" s="171"/>
      <c r="H320" s="171"/>
      <c r="I320" s="171"/>
    </row>
    <row r="321">
      <c r="B321" s="171"/>
      <c r="C321" s="171"/>
      <c r="D321" s="171"/>
      <c r="E321" s="171"/>
      <c r="F321" s="171"/>
      <c r="G321" s="171"/>
      <c r="H321" s="171"/>
      <c r="I321" s="171"/>
    </row>
    <row r="322">
      <c r="B322" s="171"/>
      <c r="C322" s="171"/>
      <c r="D322" s="171"/>
      <c r="E322" s="171"/>
      <c r="F322" s="171"/>
      <c r="G322" s="171"/>
      <c r="H322" s="171"/>
      <c r="I322" s="171"/>
    </row>
    <row r="323">
      <c r="B323" s="171"/>
      <c r="C323" s="171"/>
      <c r="D323" s="171"/>
      <c r="E323" s="171"/>
      <c r="F323" s="171"/>
      <c r="G323" s="171"/>
      <c r="H323" s="171"/>
      <c r="I323" s="171"/>
    </row>
    <row r="324">
      <c r="B324" s="171"/>
      <c r="C324" s="171"/>
      <c r="D324" s="171"/>
      <c r="E324" s="171"/>
      <c r="F324" s="171"/>
      <c r="G324" s="171"/>
      <c r="H324" s="171"/>
      <c r="I324" s="171"/>
    </row>
    <row r="325">
      <c r="B325" s="171"/>
      <c r="C325" s="171"/>
      <c r="D325" s="171"/>
      <c r="E325" s="171"/>
      <c r="F325" s="171"/>
      <c r="G325" s="171"/>
      <c r="H325" s="171"/>
      <c r="I325" s="171"/>
    </row>
    <row r="326">
      <c r="B326" s="171"/>
      <c r="C326" s="171"/>
      <c r="D326" s="171"/>
      <c r="E326" s="171"/>
      <c r="F326" s="171"/>
      <c r="G326" s="171"/>
      <c r="H326" s="171"/>
      <c r="I326" s="171"/>
    </row>
    <row r="327">
      <c r="B327" s="171"/>
      <c r="C327" s="171"/>
      <c r="D327" s="171"/>
      <c r="E327" s="171"/>
      <c r="F327" s="171"/>
      <c r="G327" s="171"/>
      <c r="H327" s="171"/>
      <c r="I327" s="171"/>
    </row>
    <row r="328">
      <c r="B328" s="171"/>
      <c r="C328" s="171"/>
      <c r="D328" s="171"/>
      <c r="E328" s="171"/>
      <c r="F328" s="171"/>
      <c r="G328" s="171"/>
      <c r="H328" s="171"/>
      <c r="I328" s="171"/>
    </row>
    <row r="329">
      <c r="B329" s="171"/>
      <c r="C329" s="171"/>
      <c r="D329" s="171"/>
      <c r="E329" s="171"/>
      <c r="F329" s="171"/>
      <c r="G329" s="171"/>
      <c r="H329" s="171"/>
      <c r="I329" s="171"/>
    </row>
    <row r="330">
      <c r="B330" s="171"/>
      <c r="C330" s="171"/>
      <c r="D330" s="171"/>
      <c r="E330" s="171"/>
      <c r="F330" s="171"/>
      <c r="G330" s="171"/>
      <c r="H330" s="171"/>
      <c r="I330" s="171"/>
    </row>
    <row r="331">
      <c r="B331" s="171"/>
      <c r="C331" s="171"/>
      <c r="D331" s="171"/>
      <c r="E331" s="171"/>
      <c r="F331" s="171"/>
      <c r="G331" s="171"/>
      <c r="H331" s="171"/>
      <c r="I331" s="171"/>
    </row>
    <row r="332">
      <c r="B332" s="171"/>
      <c r="C332" s="171"/>
      <c r="D332" s="171"/>
      <c r="E332" s="171"/>
      <c r="F332" s="171"/>
      <c r="G332" s="171"/>
      <c r="H332" s="171"/>
      <c r="I332" s="171"/>
    </row>
    <row r="333">
      <c r="B333" s="171"/>
      <c r="C333" s="171"/>
      <c r="D333" s="171"/>
      <c r="E333" s="171"/>
      <c r="F333" s="171"/>
      <c r="G333" s="171"/>
      <c r="H333" s="171"/>
      <c r="I333" s="171"/>
    </row>
    <row r="334">
      <c r="B334" s="171"/>
      <c r="C334" s="171"/>
      <c r="D334" s="171"/>
      <c r="E334" s="171"/>
      <c r="F334" s="171"/>
      <c r="G334" s="171"/>
      <c r="H334" s="171"/>
      <c r="I334" s="171"/>
    </row>
    <row r="335">
      <c r="B335" s="171"/>
      <c r="C335" s="171"/>
      <c r="D335" s="171"/>
      <c r="E335" s="171"/>
      <c r="F335" s="171"/>
      <c r="G335" s="171"/>
      <c r="H335" s="171"/>
      <c r="I335" s="171"/>
    </row>
    <row r="336">
      <c r="B336" s="171"/>
      <c r="C336" s="171"/>
      <c r="D336" s="171"/>
      <c r="E336" s="171"/>
      <c r="F336" s="171"/>
      <c r="G336" s="171"/>
      <c r="H336" s="171"/>
      <c r="I336" s="171"/>
    </row>
    <row r="337">
      <c r="B337" s="171"/>
      <c r="C337" s="171"/>
      <c r="D337" s="171"/>
      <c r="E337" s="171"/>
      <c r="F337" s="171"/>
      <c r="G337" s="171"/>
      <c r="H337" s="171"/>
      <c r="I337" s="171"/>
    </row>
    <row r="338">
      <c r="B338" s="171"/>
      <c r="C338" s="171"/>
      <c r="D338" s="171"/>
      <c r="E338" s="171"/>
      <c r="F338" s="171"/>
      <c r="G338" s="171"/>
      <c r="H338" s="171"/>
      <c r="I338" s="171"/>
    </row>
    <row r="339">
      <c r="B339" s="171"/>
      <c r="C339" s="171"/>
      <c r="D339" s="171"/>
      <c r="E339" s="171"/>
      <c r="F339" s="171"/>
      <c r="G339" s="171"/>
      <c r="H339" s="171"/>
      <c r="I339" s="171"/>
    </row>
    <row r="340">
      <c r="B340" s="171"/>
      <c r="C340" s="171"/>
      <c r="D340" s="171"/>
      <c r="E340" s="171"/>
      <c r="F340" s="171"/>
      <c r="G340" s="171"/>
      <c r="H340" s="171"/>
      <c r="I340" s="171"/>
    </row>
    <row r="341">
      <c r="B341" s="171"/>
      <c r="C341" s="171"/>
      <c r="D341" s="171"/>
      <c r="E341" s="171"/>
      <c r="F341" s="171"/>
      <c r="G341" s="171"/>
      <c r="H341" s="171"/>
      <c r="I341" s="171"/>
    </row>
    <row r="342">
      <c r="B342" s="171"/>
      <c r="C342" s="171"/>
      <c r="D342" s="171"/>
      <c r="E342" s="171"/>
      <c r="F342" s="171"/>
      <c r="G342" s="171"/>
      <c r="H342" s="171"/>
      <c r="I342" s="171"/>
    </row>
    <row r="343">
      <c r="B343" s="171"/>
      <c r="C343" s="171"/>
      <c r="D343" s="171"/>
      <c r="E343" s="171"/>
      <c r="F343" s="171"/>
      <c r="G343" s="171"/>
      <c r="H343" s="171"/>
      <c r="I343" s="171"/>
    </row>
    <row r="344">
      <c r="B344" s="171"/>
      <c r="C344" s="171"/>
      <c r="D344" s="171"/>
      <c r="E344" s="171"/>
      <c r="F344" s="171"/>
      <c r="G344" s="171"/>
      <c r="H344" s="171"/>
      <c r="I344" s="171"/>
    </row>
    <row r="345">
      <c r="B345" s="171"/>
      <c r="C345" s="171"/>
      <c r="D345" s="171"/>
      <c r="E345" s="171"/>
      <c r="F345" s="171"/>
      <c r="G345" s="171"/>
      <c r="H345" s="171"/>
      <c r="I345" s="171"/>
    </row>
    <row r="346">
      <c r="B346" s="171"/>
      <c r="C346" s="171"/>
      <c r="D346" s="171"/>
      <c r="E346" s="171"/>
      <c r="F346" s="171"/>
      <c r="G346" s="171"/>
      <c r="H346" s="171"/>
      <c r="I346" s="171"/>
    </row>
    <row r="347">
      <c r="B347" s="171"/>
      <c r="C347" s="171"/>
      <c r="D347" s="171"/>
      <c r="E347" s="171"/>
      <c r="F347" s="171"/>
      <c r="G347" s="171"/>
      <c r="H347" s="171"/>
      <c r="I347" s="171"/>
    </row>
    <row r="348">
      <c r="B348" s="171"/>
      <c r="C348" s="171"/>
      <c r="D348" s="171"/>
      <c r="E348" s="171"/>
      <c r="F348" s="171"/>
      <c r="G348" s="171"/>
      <c r="H348" s="171"/>
      <c r="I348" s="171"/>
    </row>
    <row r="349">
      <c r="B349" s="171"/>
      <c r="C349" s="171"/>
      <c r="D349" s="171"/>
      <c r="E349" s="171"/>
      <c r="F349" s="171"/>
      <c r="G349" s="171"/>
      <c r="H349" s="171"/>
      <c r="I349" s="171"/>
    </row>
    <row r="350">
      <c r="B350" s="171"/>
      <c r="C350" s="171"/>
      <c r="D350" s="171"/>
      <c r="E350" s="171"/>
      <c r="F350" s="171"/>
      <c r="G350" s="171"/>
      <c r="H350" s="171"/>
      <c r="I350" s="171"/>
    </row>
    <row r="351">
      <c r="B351" s="171"/>
      <c r="C351" s="171"/>
      <c r="D351" s="171"/>
      <c r="E351" s="171"/>
      <c r="F351" s="171"/>
      <c r="G351" s="171"/>
      <c r="H351" s="171"/>
      <c r="I351" s="171"/>
    </row>
    <row r="352">
      <c r="B352" s="171"/>
      <c r="C352" s="171"/>
      <c r="D352" s="171"/>
      <c r="E352" s="171"/>
      <c r="F352" s="171"/>
      <c r="G352" s="171"/>
      <c r="H352" s="171"/>
      <c r="I352" s="171"/>
    </row>
    <row r="353">
      <c r="B353" s="171"/>
      <c r="C353" s="171"/>
      <c r="D353" s="171"/>
      <c r="E353" s="171"/>
      <c r="F353" s="171"/>
      <c r="G353" s="171"/>
      <c r="H353" s="171"/>
      <c r="I353" s="171"/>
    </row>
    <row r="354">
      <c r="B354" s="171"/>
      <c r="C354" s="171"/>
      <c r="D354" s="171"/>
      <c r="E354" s="171"/>
      <c r="F354" s="171"/>
      <c r="G354" s="171"/>
      <c r="H354" s="171"/>
      <c r="I354" s="171"/>
    </row>
    <row r="355">
      <c r="B355" s="171"/>
      <c r="C355" s="171"/>
      <c r="D355" s="171"/>
      <c r="E355" s="171"/>
      <c r="F355" s="171"/>
      <c r="G355" s="171"/>
      <c r="H355" s="171"/>
      <c r="I355" s="171"/>
    </row>
    <row r="356">
      <c r="B356" s="171"/>
      <c r="C356" s="171"/>
      <c r="D356" s="171"/>
      <c r="E356" s="171"/>
      <c r="F356" s="171"/>
      <c r="G356" s="171"/>
      <c r="H356" s="171"/>
      <c r="I356" s="171"/>
    </row>
    <row r="357">
      <c r="B357" s="171"/>
      <c r="C357" s="171"/>
      <c r="D357" s="171"/>
      <c r="E357" s="171"/>
      <c r="F357" s="171"/>
      <c r="G357" s="171"/>
      <c r="H357" s="171"/>
      <c r="I357" s="171"/>
    </row>
    <row r="358">
      <c r="B358" s="171"/>
      <c r="C358" s="171"/>
      <c r="D358" s="171"/>
      <c r="E358" s="171"/>
      <c r="F358" s="171"/>
      <c r="G358" s="171"/>
      <c r="H358" s="171"/>
      <c r="I358" s="171"/>
    </row>
    <row r="359">
      <c r="B359" s="171"/>
      <c r="C359" s="171"/>
      <c r="D359" s="171"/>
      <c r="E359" s="171"/>
      <c r="F359" s="171"/>
      <c r="G359" s="171"/>
      <c r="H359" s="171"/>
      <c r="I359" s="171"/>
    </row>
    <row r="360">
      <c r="B360" s="171"/>
      <c r="C360" s="171"/>
      <c r="D360" s="171"/>
      <c r="E360" s="171"/>
      <c r="F360" s="171"/>
      <c r="G360" s="171"/>
      <c r="H360" s="171"/>
      <c r="I360" s="171"/>
    </row>
    <row r="361">
      <c r="B361" s="171"/>
      <c r="C361" s="171"/>
      <c r="D361" s="171"/>
      <c r="E361" s="171"/>
      <c r="F361" s="171"/>
      <c r="G361" s="171"/>
      <c r="H361" s="171"/>
      <c r="I361" s="171"/>
    </row>
    <row r="362">
      <c r="B362" s="171"/>
      <c r="C362" s="171"/>
      <c r="D362" s="171"/>
      <c r="E362" s="171"/>
      <c r="F362" s="171"/>
      <c r="G362" s="171"/>
      <c r="H362" s="171"/>
      <c r="I362" s="171"/>
    </row>
    <row r="363">
      <c r="B363" s="171"/>
      <c r="C363" s="171"/>
      <c r="D363" s="171"/>
      <c r="E363" s="171"/>
      <c r="F363" s="171"/>
      <c r="G363" s="171"/>
      <c r="H363" s="171"/>
      <c r="I363" s="171"/>
    </row>
    <row r="364">
      <c r="B364" s="171"/>
      <c r="C364" s="171"/>
      <c r="D364" s="171"/>
      <c r="E364" s="171"/>
      <c r="F364" s="171"/>
      <c r="G364" s="171"/>
      <c r="H364" s="171"/>
      <c r="I364" s="171"/>
    </row>
    <row r="365">
      <c r="B365" s="171"/>
      <c r="C365" s="171"/>
      <c r="D365" s="171"/>
      <c r="E365" s="171"/>
      <c r="F365" s="171"/>
      <c r="G365" s="171"/>
      <c r="H365" s="171"/>
      <c r="I365" s="171"/>
    </row>
    <row r="366">
      <c r="B366" s="171"/>
      <c r="C366" s="171"/>
      <c r="D366" s="171"/>
      <c r="E366" s="171"/>
      <c r="F366" s="171"/>
      <c r="G366" s="171"/>
      <c r="H366" s="171"/>
      <c r="I366" s="171"/>
    </row>
    <row r="367">
      <c r="B367" s="171"/>
      <c r="C367" s="171"/>
      <c r="D367" s="171"/>
      <c r="E367" s="171"/>
      <c r="F367" s="171"/>
      <c r="G367" s="171"/>
      <c r="H367" s="171"/>
      <c r="I367" s="171"/>
    </row>
    <row r="368">
      <c r="B368" s="171"/>
      <c r="C368" s="171"/>
      <c r="D368" s="171"/>
      <c r="E368" s="171"/>
      <c r="F368" s="171"/>
      <c r="G368" s="171"/>
      <c r="H368" s="171"/>
      <c r="I368" s="171"/>
    </row>
    <row r="369">
      <c r="B369" s="171"/>
      <c r="C369" s="171"/>
      <c r="D369" s="171"/>
      <c r="E369" s="171"/>
      <c r="F369" s="171"/>
      <c r="G369" s="171"/>
      <c r="H369" s="171"/>
      <c r="I369" s="171"/>
    </row>
    <row r="370">
      <c r="B370" s="171"/>
      <c r="C370" s="171"/>
      <c r="D370" s="171"/>
      <c r="E370" s="171"/>
      <c r="F370" s="171"/>
      <c r="G370" s="171"/>
      <c r="H370" s="171"/>
      <c r="I370" s="171"/>
    </row>
    <row r="371">
      <c r="B371" s="171"/>
      <c r="C371" s="171"/>
      <c r="D371" s="171"/>
      <c r="E371" s="171"/>
      <c r="F371" s="171"/>
      <c r="G371" s="171"/>
      <c r="H371" s="171"/>
      <c r="I371" s="171"/>
    </row>
    <row r="372">
      <c r="B372" s="171"/>
      <c r="C372" s="171"/>
      <c r="D372" s="171"/>
      <c r="E372" s="171"/>
      <c r="F372" s="171"/>
      <c r="G372" s="171"/>
      <c r="H372" s="171"/>
      <c r="I372" s="171"/>
    </row>
    <row r="373">
      <c r="B373" s="171"/>
      <c r="C373" s="171"/>
      <c r="D373" s="171"/>
      <c r="E373" s="171"/>
      <c r="F373" s="171"/>
      <c r="G373" s="171"/>
      <c r="H373" s="171"/>
      <c r="I373" s="171"/>
    </row>
    <row r="374">
      <c r="B374" s="171"/>
      <c r="C374" s="171"/>
      <c r="D374" s="171"/>
      <c r="E374" s="171"/>
      <c r="F374" s="171"/>
      <c r="G374" s="171"/>
      <c r="H374" s="171"/>
      <c r="I374" s="171"/>
    </row>
    <row r="375">
      <c r="B375" s="171"/>
      <c r="C375" s="171"/>
      <c r="D375" s="171"/>
      <c r="E375" s="171"/>
      <c r="F375" s="171"/>
      <c r="G375" s="171"/>
      <c r="H375" s="171"/>
      <c r="I375" s="171"/>
    </row>
    <row r="376">
      <c r="B376" s="171"/>
      <c r="C376" s="171"/>
      <c r="D376" s="171"/>
      <c r="E376" s="171"/>
      <c r="F376" s="171"/>
      <c r="G376" s="171"/>
      <c r="H376" s="171"/>
      <c r="I376" s="171"/>
    </row>
    <row r="377">
      <c r="B377" s="171"/>
      <c r="C377" s="171"/>
      <c r="D377" s="171"/>
      <c r="E377" s="171"/>
      <c r="F377" s="171"/>
      <c r="G377" s="171"/>
      <c r="H377" s="171"/>
      <c r="I377" s="171"/>
    </row>
    <row r="378">
      <c r="B378" s="171"/>
      <c r="C378" s="171"/>
      <c r="D378" s="171"/>
      <c r="E378" s="171"/>
      <c r="F378" s="171"/>
      <c r="G378" s="171"/>
      <c r="H378" s="171"/>
      <c r="I378" s="171"/>
    </row>
    <row r="379">
      <c r="B379" s="171"/>
      <c r="C379" s="171"/>
      <c r="D379" s="171"/>
      <c r="E379" s="171"/>
      <c r="F379" s="171"/>
      <c r="G379" s="171"/>
      <c r="H379" s="171"/>
      <c r="I379" s="171"/>
    </row>
    <row r="380">
      <c r="B380" s="171"/>
      <c r="C380" s="171"/>
      <c r="D380" s="171"/>
      <c r="E380" s="171"/>
      <c r="F380" s="171"/>
      <c r="G380" s="171"/>
      <c r="H380" s="171"/>
      <c r="I380" s="171"/>
    </row>
    <row r="381">
      <c r="B381" s="171"/>
      <c r="C381" s="171"/>
      <c r="D381" s="171"/>
      <c r="E381" s="171"/>
      <c r="F381" s="171"/>
      <c r="G381" s="171"/>
      <c r="H381" s="171"/>
      <c r="I381" s="171"/>
    </row>
    <row r="382">
      <c r="B382" s="171"/>
      <c r="C382" s="171"/>
      <c r="D382" s="171"/>
      <c r="E382" s="171"/>
      <c r="F382" s="171"/>
      <c r="G382" s="171"/>
      <c r="H382" s="171"/>
      <c r="I382" s="171"/>
    </row>
    <row r="383">
      <c r="B383" s="171"/>
      <c r="C383" s="171"/>
      <c r="D383" s="171"/>
      <c r="E383" s="171"/>
      <c r="F383" s="171"/>
      <c r="G383" s="171"/>
      <c r="H383" s="171"/>
      <c r="I383" s="171"/>
    </row>
    <row r="384">
      <c r="B384" s="171"/>
      <c r="C384" s="171"/>
      <c r="D384" s="171"/>
      <c r="E384" s="171"/>
      <c r="F384" s="171"/>
      <c r="G384" s="171"/>
      <c r="H384" s="171"/>
      <c r="I384" s="171"/>
    </row>
    <row r="385">
      <c r="B385" s="171"/>
      <c r="C385" s="171"/>
      <c r="D385" s="171"/>
      <c r="E385" s="171"/>
      <c r="F385" s="171"/>
      <c r="G385" s="171"/>
      <c r="H385" s="171"/>
      <c r="I385" s="171"/>
    </row>
    <row r="386">
      <c r="B386" s="171"/>
      <c r="C386" s="171"/>
      <c r="D386" s="171"/>
      <c r="E386" s="171"/>
      <c r="F386" s="171"/>
      <c r="G386" s="171"/>
      <c r="H386" s="171"/>
      <c r="I386" s="171"/>
    </row>
    <row r="387">
      <c r="B387" s="171"/>
      <c r="C387" s="171"/>
      <c r="D387" s="171"/>
      <c r="E387" s="171"/>
      <c r="F387" s="171"/>
      <c r="G387" s="171"/>
      <c r="H387" s="171"/>
      <c r="I387" s="171"/>
    </row>
    <row r="388">
      <c r="B388" s="171"/>
      <c r="C388" s="171"/>
      <c r="D388" s="171"/>
      <c r="E388" s="171"/>
      <c r="F388" s="171"/>
      <c r="G388" s="171"/>
      <c r="H388" s="171"/>
      <c r="I388" s="171"/>
    </row>
    <row r="389">
      <c r="B389" s="171"/>
      <c r="C389" s="171"/>
      <c r="D389" s="171"/>
      <c r="E389" s="171"/>
      <c r="F389" s="171"/>
      <c r="G389" s="171"/>
      <c r="H389" s="171"/>
      <c r="I389" s="171"/>
    </row>
    <row r="390">
      <c r="B390" s="171"/>
      <c r="C390" s="171"/>
      <c r="D390" s="171"/>
      <c r="E390" s="171"/>
      <c r="F390" s="171"/>
      <c r="G390" s="171"/>
      <c r="H390" s="171"/>
      <c r="I390" s="171"/>
    </row>
    <row r="391">
      <c r="B391" s="171"/>
      <c r="C391" s="171"/>
      <c r="D391" s="171"/>
      <c r="E391" s="171"/>
      <c r="F391" s="171"/>
      <c r="G391" s="171"/>
      <c r="H391" s="171"/>
      <c r="I391" s="171"/>
    </row>
    <row r="392">
      <c r="B392" s="171"/>
      <c r="C392" s="171"/>
      <c r="D392" s="171"/>
      <c r="E392" s="171"/>
      <c r="F392" s="171"/>
      <c r="G392" s="171"/>
      <c r="H392" s="171"/>
      <c r="I392" s="171"/>
    </row>
    <row r="393">
      <c r="B393" s="171"/>
      <c r="C393" s="171"/>
      <c r="D393" s="171"/>
      <c r="E393" s="171"/>
      <c r="F393" s="171"/>
      <c r="G393" s="171"/>
      <c r="H393" s="171"/>
      <c r="I393" s="171"/>
    </row>
    <row r="394">
      <c r="B394" s="171"/>
      <c r="C394" s="171"/>
      <c r="D394" s="171"/>
      <c r="E394" s="171"/>
      <c r="F394" s="171"/>
      <c r="G394" s="171"/>
      <c r="H394" s="171"/>
      <c r="I394" s="171"/>
    </row>
    <row r="395">
      <c r="B395" s="171"/>
      <c r="C395" s="171"/>
      <c r="D395" s="171"/>
      <c r="E395" s="171"/>
      <c r="F395" s="171"/>
      <c r="G395" s="171"/>
      <c r="H395" s="171"/>
      <c r="I395" s="171"/>
    </row>
    <row r="396">
      <c r="B396" s="171"/>
      <c r="C396" s="171"/>
      <c r="D396" s="171"/>
      <c r="E396" s="171"/>
      <c r="F396" s="171"/>
      <c r="G396" s="171"/>
      <c r="H396" s="171"/>
      <c r="I396" s="171"/>
    </row>
    <row r="397">
      <c r="B397" s="171"/>
      <c r="C397" s="171"/>
      <c r="D397" s="171"/>
      <c r="E397" s="171"/>
      <c r="F397" s="171"/>
      <c r="G397" s="171"/>
      <c r="H397" s="171"/>
      <c r="I397" s="171"/>
    </row>
    <row r="398">
      <c r="B398" s="171"/>
      <c r="C398" s="171"/>
      <c r="D398" s="171"/>
      <c r="E398" s="171"/>
      <c r="F398" s="171"/>
      <c r="G398" s="171"/>
      <c r="H398" s="171"/>
      <c r="I398" s="171"/>
    </row>
    <row r="399">
      <c r="B399" s="171"/>
      <c r="C399" s="171"/>
      <c r="D399" s="171"/>
      <c r="E399" s="171"/>
      <c r="F399" s="171"/>
      <c r="G399" s="171"/>
      <c r="H399" s="171"/>
      <c r="I399" s="171"/>
    </row>
    <row r="400">
      <c r="B400" s="171"/>
      <c r="C400" s="171"/>
      <c r="D400" s="171"/>
      <c r="E400" s="171"/>
      <c r="F400" s="171"/>
      <c r="G400" s="171"/>
      <c r="H400" s="171"/>
      <c r="I400" s="171"/>
    </row>
    <row r="401">
      <c r="B401" s="171"/>
      <c r="C401" s="171"/>
      <c r="D401" s="171"/>
      <c r="E401" s="171"/>
      <c r="F401" s="171"/>
      <c r="G401" s="171"/>
      <c r="H401" s="171"/>
      <c r="I401" s="171"/>
    </row>
    <row r="402">
      <c r="B402" s="171"/>
      <c r="C402" s="171"/>
      <c r="D402" s="171"/>
      <c r="E402" s="171"/>
      <c r="F402" s="171"/>
      <c r="G402" s="171"/>
      <c r="H402" s="171"/>
      <c r="I402" s="171"/>
    </row>
    <row r="403">
      <c r="B403" s="171"/>
      <c r="C403" s="171"/>
      <c r="D403" s="171"/>
      <c r="E403" s="171"/>
      <c r="F403" s="171"/>
      <c r="G403" s="171"/>
      <c r="H403" s="171"/>
      <c r="I403" s="171"/>
    </row>
    <row r="404">
      <c r="B404" s="171"/>
      <c r="C404" s="171"/>
      <c r="D404" s="171"/>
      <c r="E404" s="171"/>
      <c r="F404" s="171"/>
      <c r="G404" s="171"/>
      <c r="H404" s="171"/>
      <c r="I404" s="171"/>
    </row>
    <row r="405">
      <c r="B405" s="171"/>
      <c r="C405" s="171"/>
      <c r="D405" s="171"/>
      <c r="E405" s="171"/>
      <c r="F405" s="171"/>
      <c r="G405" s="171"/>
      <c r="H405" s="171"/>
      <c r="I405" s="171"/>
    </row>
    <row r="406">
      <c r="B406" s="171"/>
      <c r="C406" s="171"/>
      <c r="D406" s="171"/>
      <c r="E406" s="171"/>
      <c r="F406" s="171"/>
      <c r="G406" s="171"/>
      <c r="H406" s="171"/>
      <c r="I406" s="171"/>
    </row>
    <row r="407">
      <c r="B407" s="171"/>
      <c r="C407" s="171"/>
      <c r="D407" s="171"/>
      <c r="E407" s="171"/>
      <c r="F407" s="171"/>
      <c r="G407" s="171"/>
      <c r="H407" s="171"/>
      <c r="I407" s="171"/>
    </row>
    <row r="408">
      <c r="B408" s="171"/>
      <c r="C408" s="171"/>
      <c r="D408" s="171"/>
      <c r="E408" s="171"/>
      <c r="F408" s="171"/>
      <c r="G408" s="171"/>
      <c r="H408" s="171"/>
      <c r="I408" s="171"/>
    </row>
    <row r="409">
      <c r="B409" s="171"/>
      <c r="C409" s="171"/>
      <c r="D409" s="171"/>
      <c r="E409" s="171"/>
      <c r="F409" s="171"/>
      <c r="G409" s="171"/>
      <c r="H409" s="171"/>
      <c r="I409" s="171"/>
    </row>
    <row r="410">
      <c r="B410" s="171"/>
      <c r="C410" s="171"/>
      <c r="D410" s="171"/>
      <c r="E410" s="171"/>
      <c r="F410" s="171"/>
      <c r="G410" s="171"/>
      <c r="H410" s="171"/>
      <c r="I410" s="171"/>
    </row>
    <row r="411">
      <c r="B411" s="171"/>
      <c r="C411" s="171"/>
      <c r="D411" s="171"/>
      <c r="E411" s="171"/>
      <c r="F411" s="171"/>
      <c r="G411" s="171"/>
      <c r="H411" s="171"/>
      <c r="I411" s="171"/>
    </row>
    <row r="412">
      <c r="B412" s="171"/>
      <c r="C412" s="171"/>
      <c r="D412" s="171"/>
      <c r="E412" s="171"/>
      <c r="F412" s="171"/>
      <c r="G412" s="171"/>
      <c r="H412" s="171"/>
      <c r="I412" s="171"/>
    </row>
    <row r="413">
      <c r="B413" s="171"/>
      <c r="C413" s="171"/>
      <c r="D413" s="171"/>
      <c r="E413" s="171"/>
      <c r="F413" s="171"/>
      <c r="G413" s="171"/>
      <c r="H413" s="171"/>
      <c r="I413" s="171"/>
    </row>
    <row r="414">
      <c r="B414" s="171"/>
      <c r="C414" s="171"/>
      <c r="D414" s="171"/>
      <c r="E414" s="171"/>
      <c r="F414" s="171"/>
      <c r="G414" s="171"/>
      <c r="H414" s="171"/>
      <c r="I414" s="171"/>
    </row>
    <row r="415">
      <c r="B415" s="171"/>
      <c r="C415" s="171"/>
      <c r="D415" s="171"/>
      <c r="E415" s="171"/>
      <c r="F415" s="171"/>
      <c r="G415" s="171"/>
      <c r="H415" s="171"/>
      <c r="I415" s="171"/>
    </row>
    <row r="416">
      <c r="B416" s="171"/>
      <c r="C416" s="171"/>
      <c r="D416" s="171"/>
      <c r="E416" s="171"/>
      <c r="F416" s="171"/>
      <c r="G416" s="171"/>
      <c r="H416" s="171"/>
      <c r="I416" s="171"/>
    </row>
    <row r="417">
      <c r="B417" s="171"/>
      <c r="C417" s="171"/>
      <c r="D417" s="171"/>
      <c r="E417" s="171"/>
      <c r="F417" s="171"/>
      <c r="G417" s="171"/>
      <c r="H417" s="171"/>
      <c r="I417" s="171"/>
    </row>
    <row r="418">
      <c r="B418" s="171"/>
      <c r="C418" s="171"/>
      <c r="D418" s="171"/>
      <c r="E418" s="171"/>
      <c r="F418" s="171"/>
      <c r="G418" s="171"/>
      <c r="H418" s="171"/>
      <c r="I418" s="171"/>
    </row>
    <row r="419">
      <c r="B419" s="171"/>
      <c r="C419" s="171"/>
      <c r="D419" s="171"/>
      <c r="E419" s="171"/>
      <c r="F419" s="171"/>
      <c r="G419" s="171"/>
      <c r="H419" s="171"/>
      <c r="I419" s="171"/>
    </row>
    <row r="420">
      <c r="B420" s="171"/>
      <c r="C420" s="171"/>
      <c r="D420" s="171"/>
      <c r="E420" s="171"/>
      <c r="F420" s="171"/>
      <c r="G420" s="171"/>
      <c r="H420" s="171"/>
      <c r="I420" s="171"/>
    </row>
    <row r="421">
      <c r="B421" s="171"/>
      <c r="C421" s="171"/>
      <c r="D421" s="171"/>
      <c r="E421" s="171"/>
      <c r="F421" s="171"/>
      <c r="G421" s="171"/>
      <c r="H421" s="171"/>
      <c r="I421" s="171"/>
    </row>
    <row r="422">
      <c r="B422" s="171"/>
      <c r="C422" s="171"/>
      <c r="D422" s="171"/>
      <c r="E422" s="171"/>
      <c r="F422" s="171"/>
      <c r="G422" s="171"/>
      <c r="H422" s="171"/>
      <c r="I422" s="171"/>
    </row>
    <row r="423">
      <c r="B423" s="171"/>
      <c r="C423" s="171"/>
      <c r="D423" s="171"/>
      <c r="E423" s="171"/>
      <c r="F423" s="171"/>
      <c r="G423" s="171"/>
      <c r="H423" s="171"/>
      <c r="I423" s="171"/>
    </row>
    <row r="424">
      <c r="B424" s="171"/>
      <c r="C424" s="171"/>
      <c r="D424" s="171"/>
      <c r="E424" s="171"/>
      <c r="F424" s="171"/>
      <c r="G424" s="171"/>
      <c r="H424" s="171"/>
      <c r="I424" s="171"/>
    </row>
    <row r="425">
      <c r="B425" s="171"/>
      <c r="C425" s="171"/>
      <c r="D425" s="171"/>
      <c r="E425" s="171"/>
      <c r="F425" s="171"/>
      <c r="G425" s="171"/>
      <c r="H425" s="171"/>
      <c r="I425" s="171"/>
    </row>
    <row r="426">
      <c r="B426" s="171"/>
      <c r="C426" s="171"/>
      <c r="D426" s="171"/>
      <c r="E426" s="171"/>
      <c r="F426" s="171"/>
      <c r="G426" s="171"/>
      <c r="H426" s="171"/>
      <c r="I426" s="171"/>
    </row>
    <row r="427">
      <c r="B427" s="171"/>
      <c r="C427" s="171"/>
      <c r="D427" s="171"/>
      <c r="E427" s="171"/>
      <c r="F427" s="171"/>
      <c r="G427" s="171"/>
      <c r="H427" s="171"/>
      <c r="I427" s="171"/>
    </row>
    <row r="428">
      <c r="B428" s="171"/>
      <c r="C428" s="171"/>
      <c r="D428" s="171"/>
      <c r="E428" s="171"/>
      <c r="F428" s="171"/>
      <c r="G428" s="171"/>
      <c r="H428" s="171"/>
      <c r="I428" s="171"/>
    </row>
    <row r="429">
      <c r="B429" s="171"/>
      <c r="C429" s="171"/>
      <c r="D429" s="171"/>
      <c r="E429" s="171"/>
      <c r="F429" s="171"/>
      <c r="G429" s="171"/>
      <c r="H429" s="171"/>
      <c r="I429" s="171"/>
    </row>
    <row r="430">
      <c r="B430" s="171"/>
      <c r="C430" s="171"/>
      <c r="D430" s="171"/>
      <c r="E430" s="171"/>
      <c r="F430" s="171"/>
      <c r="G430" s="171"/>
      <c r="H430" s="171"/>
      <c r="I430" s="171"/>
    </row>
    <row r="431">
      <c r="B431" s="171"/>
      <c r="C431" s="171"/>
      <c r="D431" s="171"/>
      <c r="E431" s="171"/>
      <c r="F431" s="171"/>
      <c r="G431" s="171"/>
      <c r="H431" s="171"/>
      <c r="I431" s="171"/>
    </row>
    <row r="432">
      <c r="B432" s="171"/>
      <c r="C432" s="171"/>
      <c r="D432" s="171"/>
      <c r="E432" s="171"/>
      <c r="F432" s="171"/>
      <c r="G432" s="171"/>
      <c r="H432" s="171"/>
      <c r="I432" s="171"/>
    </row>
    <row r="433">
      <c r="B433" s="171"/>
      <c r="C433" s="171"/>
      <c r="D433" s="171"/>
      <c r="E433" s="171"/>
      <c r="F433" s="171"/>
      <c r="G433" s="171"/>
      <c r="H433" s="171"/>
      <c r="I433" s="171"/>
    </row>
    <row r="434">
      <c r="B434" s="171"/>
      <c r="C434" s="171"/>
      <c r="D434" s="171"/>
      <c r="E434" s="171"/>
      <c r="F434" s="171"/>
      <c r="G434" s="171"/>
      <c r="H434" s="171"/>
      <c r="I434" s="171"/>
    </row>
    <row r="435">
      <c r="B435" s="171"/>
      <c r="C435" s="171"/>
      <c r="D435" s="171"/>
      <c r="E435" s="171"/>
      <c r="F435" s="171"/>
      <c r="G435" s="171"/>
      <c r="H435" s="171"/>
      <c r="I435" s="171"/>
    </row>
    <row r="436">
      <c r="B436" s="171"/>
      <c r="C436" s="171"/>
      <c r="D436" s="171"/>
      <c r="E436" s="171"/>
      <c r="F436" s="171"/>
      <c r="G436" s="171"/>
      <c r="H436" s="171"/>
      <c r="I436" s="171"/>
    </row>
    <row r="437">
      <c r="B437" s="171"/>
      <c r="C437" s="171"/>
      <c r="D437" s="171"/>
      <c r="E437" s="171"/>
      <c r="F437" s="171"/>
      <c r="G437" s="171"/>
      <c r="H437" s="171"/>
      <c r="I437" s="171"/>
    </row>
    <row r="438">
      <c r="B438" s="171"/>
      <c r="C438" s="171"/>
      <c r="D438" s="171"/>
      <c r="E438" s="171"/>
      <c r="F438" s="171"/>
      <c r="G438" s="171"/>
      <c r="H438" s="171"/>
      <c r="I438" s="171"/>
    </row>
    <row r="439">
      <c r="B439" s="171"/>
      <c r="C439" s="171"/>
      <c r="D439" s="171"/>
      <c r="E439" s="171"/>
      <c r="F439" s="171"/>
      <c r="G439" s="171"/>
      <c r="H439" s="171"/>
      <c r="I439" s="171"/>
    </row>
    <row r="440">
      <c r="B440" s="171"/>
      <c r="C440" s="171"/>
      <c r="D440" s="171"/>
      <c r="E440" s="171"/>
      <c r="F440" s="171"/>
      <c r="G440" s="171"/>
      <c r="H440" s="171"/>
      <c r="I440" s="171"/>
    </row>
    <row r="441">
      <c r="B441" s="171"/>
      <c r="C441" s="171"/>
      <c r="D441" s="171"/>
      <c r="E441" s="171"/>
      <c r="F441" s="171"/>
      <c r="G441" s="171"/>
      <c r="H441" s="171"/>
      <c r="I441" s="171"/>
    </row>
    <row r="442">
      <c r="B442" s="171"/>
      <c r="C442" s="171"/>
      <c r="D442" s="171"/>
      <c r="E442" s="171"/>
      <c r="F442" s="171"/>
      <c r="G442" s="171"/>
      <c r="H442" s="171"/>
      <c r="I442" s="171"/>
    </row>
    <row r="443">
      <c r="B443" s="171"/>
      <c r="C443" s="171"/>
      <c r="D443" s="171"/>
      <c r="E443" s="171"/>
      <c r="F443" s="171"/>
      <c r="G443" s="171"/>
      <c r="H443" s="171"/>
      <c r="I443" s="171"/>
    </row>
    <row r="444">
      <c r="B444" s="171"/>
      <c r="C444" s="171"/>
      <c r="D444" s="171"/>
      <c r="E444" s="171"/>
      <c r="F444" s="171"/>
      <c r="G444" s="171"/>
      <c r="H444" s="171"/>
      <c r="I444" s="171"/>
    </row>
    <row r="445">
      <c r="B445" s="171"/>
      <c r="C445" s="171"/>
      <c r="D445" s="171"/>
      <c r="E445" s="171"/>
      <c r="F445" s="171"/>
      <c r="G445" s="171"/>
      <c r="H445" s="171"/>
      <c r="I445" s="171"/>
    </row>
    <row r="446">
      <c r="B446" s="171"/>
      <c r="C446" s="171"/>
      <c r="D446" s="171"/>
      <c r="E446" s="171"/>
      <c r="F446" s="171"/>
      <c r="G446" s="171"/>
      <c r="H446" s="171"/>
      <c r="I446" s="171"/>
    </row>
    <row r="447">
      <c r="B447" s="171"/>
      <c r="C447" s="171"/>
      <c r="D447" s="171"/>
      <c r="E447" s="171"/>
      <c r="F447" s="171"/>
      <c r="G447" s="171"/>
      <c r="H447" s="171"/>
      <c r="I447" s="171"/>
    </row>
    <row r="448">
      <c r="B448" s="171"/>
      <c r="C448" s="171"/>
      <c r="D448" s="171"/>
      <c r="E448" s="171"/>
      <c r="F448" s="171"/>
      <c r="G448" s="171"/>
      <c r="H448" s="171"/>
      <c r="I448" s="171"/>
    </row>
    <row r="449">
      <c r="B449" s="171"/>
      <c r="C449" s="171"/>
      <c r="D449" s="171"/>
      <c r="E449" s="171"/>
      <c r="F449" s="171"/>
      <c r="G449" s="171"/>
      <c r="H449" s="171"/>
      <c r="I449" s="171"/>
    </row>
    <row r="450">
      <c r="B450" s="171"/>
      <c r="C450" s="171"/>
      <c r="D450" s="171"/>
      <c r="E450" s="171"/>
      <c r="F450" s="171"/>
      <c r="G450" s="171"/>
      <c r="H450" s="171"/>
      <c r="I450" s="171"/>
    </row>
    <row r="451">
      <c r="B451" s="171"/>
      <c r="C451" s="171"/>
      <c r="D451" s="171"/>
      <c r="E451" s="171"/>
      <c r="F451" s="171"/>
      <c r="G451" s="171"/>
      <c r="H451" s="171"/>
      <c r="I451" s="171"/>
    </row>
    <row r="452">
      <c r="B452" s="171"/>
      <c r="C452" s="171"/>
      <c r="D452" s="171"/>
      <c r="E452" s="171"/>
      <c r="F452" s="171"/>
      <c r="G452" s="171"/>
      <c r="H452" s="171"/>
      <c r="I452" s="171"/>
    </row>
    <row r="453">
      <c r="B453" s="171"/>
      <c r="C453" s="171"/>
      <c r="D453" s="171"/>
      <c r="E453" s="171"/>
      <c r="F453" s="171"/>
      <c r="G453" s="171"/>
      <c r="H453" s="171"/>
      <c r="I453" s="171"/>
    </row>
    <row r="454">
      <c r="B454" s="171"/>
      <c r="C454" s="171"/>
      <c r="D454" s="171"/>
      <c r="E454" s="171"/>
      <c r="F454" s="171"/>
      <c r="G454" s="171"/>
      <c r="H454" s="171"/>
      <c r="I454" s="171"/>
    </row>
    <row r="455">
      <c r="B455" s="171"/>
      <c r="C455" s="171"/>
      <c r="D455" s="171"/>
      <c r="E455" s="171"/>
      <c r="F455" s="171"/>
      <c r="G455" s="171"/>
      <c r="H455" s="171"/>
      <c r="I455" s="171"/>
    </row>
    <row r="456">
      <c r="B456" s="171"/>
      <c r="C456" s="171"/>
      <c r="D456" s="171"/>
      <c r="E456" s="171"/>
      <c r="F456" s="171"/>
      <c r="G456" s="171"/>
      <c r="H456" s="171"/>
      <c r="I456" s="171"/>
    </row>
    <row r="457">
      <c r="B457" s="171"/>
      <c r="C457" s="171"/>
      <c r="D457" s="171"/>
      <c r="E457" s="171"/>
      <c r="F457" s="171"/>
      <c r="G457" s="171"/>
      <c r="H457" s="171"/>
      <c r="I457" s="171"/>
    </row>
    <row r="458">
      <c r="B458" s="171"/>
      <c r="C458" s="171"/>
      <c r="D458" s="171"/>
      <c r="E458" s="171"/>
      <c r="F458" s="171"/>
      <c r="G458" s="171"/>
      <c r="H458" s="171"/>
      <c r="I458" s="171"/>
    </row>
    <row r="459">
      <c r="B459" s="171"/>
      <c r="C459" s="171"/>
      <c r="D459" s="171"/>
      <c r="E459" s="171"/>
      <c r="F459" s="171"/>
      <c r="G459" s="171"/>
      <c r="H459" s="171"/>
      <c r="I459" s="171"/>
    </row>
    <row r="460">
      <c r="B460" s="171"/>
      <c r="C460" s="171"/>
      <c r="D460" s="171"/>
      <c r="E460" s="171"/>
      <c r="F460" s="171"/>
      <c r="G460" s="171"/>
      <c r="H460" s="171"/>
      <c r="I460" s="171"/>
    </row>
    <row r="461">
      <c r="B461" s="171"/>
      <c r="C461" s="171"/>
      <c r="D461" s="171"/>
      <c r="E461" s="171"/>
      <c r="F461" s="171"/>
      <c r="G461" s="171"/>
      <c r="H461" s="171"/>
      <c r="I461" s="171"/>
    </row>
    <row r="462">
      <c r="B462" s="171"/>
      <c r="C462" s="171"/>
      <c r="D462" s="171"/>
      <c r="E462" s="171"/>
      <c r="F462" s="171"/>
      <c r="G462" s="171"/>
      <c r="H462" s="171"/>
      <c r="I462" s="171"/>
    </row>
    <row r="463">
      <c r="B463" s="171"/>
      <c r="C463" s="171"/>
      <c r="D463" s="171"/>
      <c r="E463" s="171"/>
      <c r="F463" s="171"/>
      <c r="G463" s="171"/>
      <c r="H463" s="171"/>
      <c r="I463" s="171"/>
    </row>
    <row r="464">
      <c r="B464" s="171"/>
      <c r="C464" s="171"/>
      <c r="D464" s="171"/>
      <c r="E464" s="171"/>
      <c r="F464" s="171"/>
      <c r="G464" s="171"/>
      <c r="H464" s="171"/>
      <c r="I464" s="171"/>
    </row>
    <row r="465">
      <c r="B465" s="171"/>
      <c r="C465" s="171"/>
      <c r="D465" s="171"/>
      <c r="E465" s="171"/>
      <c r="F465" s="171"/>
      <c r="G465" s="171"/>
      <c r="H465" s="171"/>
      <c r="I465" s="171"/>
    </row>
    <row r="466">
      <c r="B466" s="171"/>
      <c r="C466" s="171"/>
      <c r="D466" s="171"/>
      <c r="E466" s="171"/>
      <c r="F466" s="171"/>
      <c r="G466" s="171"/>
      <c r="H466" s="171"/>
      <c r="I466" s="171"/>
    </row>
    <row r="467">
      <c r="B467" s="171"/>
      <c r="C467" s="171"/>
      <c r="D467" s="171"/>
      <c r="E467" s="171"/>
      <c r="F467" s="171"/>
      <c r="G467" s="171"/>
      <c r="H467" s="171"/>
      <c r="I467" s="171"/>
    </row>
    <row r="468">
      <c r="B468" s="171"/>
      <c r="C468" s="171"/>
      <c r="D468" s="171"/>
      <c r="E468" s="171"/>
      <c r="F468" s="171"/>
      <c r="G468" s="171"/>
      <c r="H468" s="171"/>
      <c r="I468" s="171"/>
    </row>
    <row r="469">
      <c r="B469" s="171"/>
      <c r="C469" s="171"/>
      <c r="D469" s="171"/>
      <c r="E469" s="171"/>
      <c r="F469" s="171"/>
      <c r="G469" s="171"/>
      <c r="H469" s="171"/>
      <c r="I469" s="171"/>
    </row>
    <row r="470">
      <c r="B470" s="171"/>
      <c r="C470" s="171"/>
      <c r="D470" s="171"/>
      <c r="E470" s="171"/>
      <c r="F470" s="171"/>
      <c r="G470" s="171"/>
      <c r="H470" s="171"/>
      <c r="I470" s="171"/>
    </row>
    <row r="471">
      <c r="B471" s="171"/>
      <c r="C471" s="171"/>
      <c r="D471" s="171"/>
      <c r="E471" s="171"/>
      <c r="F471" s="171"/>
      <c r="G471" s="171"/>
      <c r="H471" s="171"/>
      <c r="I471" s="171"/>
    </row>
    <row r="472">
      <c r="B472" s="171"/>
      <c r="C472" s="171"/>
      <c r="D472" s="171"/>
      <c r="E472" s="171"/>
      <c r="F472" s="171"/>
      <c r="G472" s="171"/>
      <c r="H472" s="171"/>
      <c r="I472" s="171"/>
    </row>
    <row r="473">
      <c r="B473" s="171"/>
      <c r="C473" s="171"/>
      <c r="D473" s="171"/>
      <c r="E473" s="171"/>
      <c r="F473" s="171"/>
      <c r="G473" s="171"/>
      <c r="H473" s="171"/>
      <c r="I473" s="171"/>
    </row>
    <row r="474">
      <c r="B474" s="171"/>
      <c r="C474" s="171"/>
      <c r="D474" s="171"/>
      <c r="E474" s="171"/>
      <c r="F474" s="171"/>
      <c r="G474" s="171"/>
      <c r="H474" s="171"/>
      <c r="I474" s="171"/>
    </row>
    <row r="475">
      <c r="B475" s="171"/>
      <c r="C475" s="171"/>
      <c r="D475" s="171"/>
      <c r="E475" s="171"/>
      <c r="F475" s="171"/>
      <c r="G475" s="171"/>
      <c r="H475" s="171"/>
      <c r="I475" s="171"/>
    </row>
    <row r="476">
      <c r="B476" s="171"/>
      <c r="C476" s="171"/>
      <c r="D476" s="171"/>
      <c r="E476" s="171"/>
      <c r="F476" s="171"/>
      <c r="G476" s="171"/>
      <c r="H476" s="171"/>
      <c r="I476" s="171"/>
    </row>
    <row r="477">
      <c r="B477" s="171"/>
      <c r="C477" s="171"/>
      <c r="D477" s="171"/>
      <c r="E477" s="171"/>
      <c r="F477" s="171"/>
      <c r="G477" s="171"/>
      <c r="H477" s="171"/>
      <c r="I477" s="171"/>
    </row>
    <row r="478">
      <c r="B478" s="171"/>
      <c r="C478" s="171"/>
      <c r="D478" s="171"/>
      <c r="E478" s="171"/>
      <c r="F478" s="171"/>
      <c r="G478" s="171"/>
      <c r="H478" s="171"/>
      <c r="I478" s="171"/>
    </row>
    <row r="479">
      <c r="B479" s="171"/>
      <c r="C479" s="171"/>
      <c r="D479" s="171"/>
      <c r="E479" s="171"/>
      <c r="F479" s="171"/>
      <c r="G479" s="171"/>
      <c r="H479" s="171"/>
      <c r="I479" s="171"/>
    </row>
    <row r="480">
      <c r="B480" s="171"/>
      <c r="C480" s="171"/>
      <c r="D480" s="171"/>
      <c r="E480" s="171"/>
      <c r="F480" s="171"/>
      <c r="G480" s="171"/>
      <c r="H480" s="171"/>
      <c r="I480" s="171"/>
    </row>
    <row r="481">
      <c r="B481" s="171"/>
      <c r="C481" s="171"/>
      <c r="D481" s="171"/>
      <c r="E481" s="171"/>
      <c r="F481" s="171"/>
      <c r="G481" s="171"/>
      <c r="H481" s="171"/>
      <c r="I481" s="171"/>
    </row>
    <row r="482">
      <c r="B482" s="171"/>
      <c r="C482" s="171"/>
      <c r="D482" s="171"/>
      <c r="E482" s="171"/>
      <c r="F482" s="171"/>
      <c r="G482" s="171"/>
      <c r="H482" s="171"/>
      <c r="I482" s="171"/>
    </row>
    <row r="483">
      <c r="B483" s="171"/>
      <c r="C483" s="171"/>
      <c r="D483" s="171"/>
      <c r="E483" s="171"/>
      <c r="F483" s="171"/>
      <c r="G483" s="171"/>
      <c r="H483" s="171"/>
      <c r="I483" s="171"/>
    </row>
    <row r="484">
      <c r="B484" s="171"/>
      <c r="C484" s="171"/>
      <c r="D484" s="171"/>
      <c r="E484" s="171"/>
      <c r="F484" s="171"/>
      <c r="G484" s="171"/>
      <c r="H484" s="171"/>
      <c r="I484" s="171"/>
    </row>
    <row r="485">
      <c r="B485" s="171"/>
      <c r="C485" s="171"/>
      <c r="D485" s="171"/>
      <c r="E485" s="171"/>
      <c r="F485" s="171"/>
      <c r="G485" s="171"/>
      <c r="H485" s="171"/>
      <c r="I485" s="171"/>
    </row>
    <row r="486">
      <c r="B486" s="171"/>
      <c r="C486" s="171"/>
      <c r="D486" s="171"/>
      <c r="E486" s="171"/>
      <c r="F486" s="171"/>
      <c r="G486" s="171"/>
      <c r="H486" s="171"/>
      <c r="I486" s="171"/>
    </row>
    <row r="487">
      <c r="B487" s="171"/>
      <c r="C487" s="171"/>
      <c r="D487" s="171"/>
      <c r="E487" s="171"/>
      <c r="F487" s="171"/>
      <c r="G487" s="171"/>
      <c r="H487" s="171"/>
      <c r="I487" s="171"/>
    </row>
    <row r="488">
      <c r="B488" s="171"/>
      <c r="C488" s="171"/>
      <c r="D488" s="171"/>
      <c r="E488" s="171"/>
      <c r="F488" s="171"/>
      <c r="G488" s="171"/>
      <c r="H488" s="171"/>
      <c r="I488" s="171"/>
    </row>
    <row r="489">
      <c r="B489" s="171"/>
      <c r="C489" s="171"/>
      <c r="D489" s="171"/>
      <c r="E489" s="171"/>
      <c r="F489" s="171"/>
      <c r="G489" s="171"/>
      <c r="H489" s="171"/>
      <c r="I489" s="171"/>
    </row>
    <row r="490">
      <c r="B490" s="171"/>
      <c r="C490" s="171"/>
      <c r="D490" s="171"/>
      <c r="E490" s="171"/>
      <c r="F490" s="171"/>
      <c r="G490" s="171"/>
      <c r="H490" s="171"/>
      <c r="I490" s="171"/>
    </row>
    <row r="491">
      <c r="B491" s="171"/>
      <c r="C491" s="171"/>
      <c r="D491" s="171"/>
      <c r="E491" s="171"/>
      <c r="F491" s="171"/>
      <c r="G491" s="171"/>
      <c r="H491" s="171"/>
      <c r="I491" s="171"/>
    </row>
    <row r="492">
      <c r="B492" s="171"/>
      <c r="C492" s="171"/>
      <c r="D492" s="171"/>
      <c r="E492" s="171"/>
      <c r="F492" s="171"/>
      <c r="G492" s="171"/>
      <c r="H492" s="171"/>
      <c r="I492" s="171"/>
    </row>
    <row r="493">
      <c r="B493" s="171"/>
      <c r="C493" s="171"/>
      <c r="D493" s="171"/>
      <c r="E493" s="171"/>
      <c r="F493" s="171"/>
      <c r="G493" s="171"/>
      <c r="H493" s="171"/>
      <c r="I493" s="171"/>
    </row>
    <row r="494">
      <c r="B494" s="171"/>
      <c r="C494" s="171"/>
      <c r="D494" s="171"/>
      <c r="E494" s="171"/>
      <c r="F494" s="171"/>
      <c r="G494" s="171"/>
      <c r="H494" s="171"/>
      <c r="I494" s="171"/>
    </row>
    <row r="495">
      <c r="B495" s="171"/>
      <c r="C495" s="171"/>
      <c r="D495" s="171"/>
      <c r="E495" s="171"/>
      <c r="F495" s="171"/>
      <c r="G495" s="171"/>
      <c r="H495" s="171"/>
      <c r="I495" s="171"/>
    </row>
    <row r="496">
      <c r="B496" s="171"/>
      <c r="C496" s="171"/>
      <c r="D496" s="171"/>
      <c r="E496" s="171"/>
      <c r="F496" s="171"/>
      <c r="G496" s="171"/>
      <c r="H496" s="171"/>
      <c r="I496" s="171"/>
    </row>
    <row r="497">
      <c r="B497" s="171"/>
      <c r="C497" s="171"/>
      <c r="D497" s="171"/>
      <c r="E497" s="171"/>
      <c r="F497" s="171"/>
      <c r="G497" s="171"/>
      <c r="H497" s="171"/>
      <c r="I497" s="171"/>
    </row>
    <row r="498">
      <c r="B498" s="171"/>
      <c r="C498" s="171"/>
      <c r="D498" s="171"/>
      <c r="E498" s="171"/>
      <c r="F498" s="171"/>
      <c r="G498" s="171"/>
      <c r="H498" s="171"/>
      <c r="I498" s="171"/>
    </row>
    <row r="499">
      <c r="B499" s="171"/>
      <c r="C499" s="171"/>
      <c r="D499" s="171"/>
      <c r="E499" s="171"/>
      <c r="F499" s="171"/>
      <c r="G499" s="171"/>
      <c r="H499" s="171"/>
      <c r="I499" s="171"/>
    </row>
    <row r="500">
      <c r="B500" s="171"/>
      <c r="C500" s="171"/>
      <c r="D500" s="171"/>
      <c r="E500" s="171"/>
      <c r="F500" s="171"/>
      <c r="G500" s="171"/>
      <c r="H500" s="171"/>
      <c r="I500" s="171"/>
    </row>
    <row r="501">
      <c r="B501" s="171"/>
      <c r="C501" s="171"/>
      <c r="D501" s="171"/>
      <c r="E501" s="171"/>
      <c r="F501" s="171"/>
      <c r="G501" s="171"/>
      <c r="H501" s="171"/>
      <c r="I501" s="171"/>
    </row>
    <row r="502">
      <c r="B502" s="171"/>
      <c r="C502" s="171"/>
      <c r="D502" s="171"/>
      <c r="E502" s="171"/>
      <c r="F502" s="171"/>
      <c r="G502" s="171"/>
      <c r="H502" s="171"/>
      <c r="I502" s="171"/>
    </row>
    <row r="503">
      <c r="B503" s="171"/>
      <c r="C503" s="171"/>
      <c r="D503" s="171"/>
      <c r="E503" s="171"/>
      <c r="F503" s="171"/>
      <c r="G503" s="171"/>
      <c r="H503" s="171"/>
      <c r="I503" s="171"/>
    </row>
    <row r="504">
      <c r="B504" s="171"/>
      <c r="C504" s="171"/>
      <c r="D504" s="171"/>
      <c r="E504" s="171"/>
      <c r="F504" s="171"/>
      <c r="G504" s="171"/>
      <c r="H504" s="171"/>
      <c r="I504" s="171"/>
    </row>
    <row r="505">
      <c r="B505" s="171"/>
      <c r="C505" s="171"/>
      <c r="D505" s="171"/>
      <c r="E505" s="171"/>
      <c r="F505" s="171"/>
      <c r="G505" s="171"/>
      <c r="H505" s="171"/>
      <c r="I505" s="171"/>
    </row>
    <row r="506">
      <c r="B506" s="171"/>
      <c r="C506" s="171"/>
      <c r="D506" s="171"/>
      <c r="E506" s="171"/>
      <c r="F506" s="171"/>
      <c r="G506" s="171"/>
      <c r="H506" s="171"/>
      <c r="I506" s="171"/>
    </row>
    <row r="507">
      <c r="B507" s="171"/>
      <c r="C507" s="171"/>
      <c r="D507" s="171"/>
      <c r="E507" s="171"/>
      <c r="F507" s="171"/>
      <c r="G507" s="171"/>
      <c r="H507" s="171"/>
      <c r="I507" s="171"/>
    </row>
    <row r="508">
      <c r="B508" s="171"/>
      <c r="C508" s="171"/>
      <c r="D508" s="171"/>
      <c r="E508" s="171"/>
      <c r="F508" s="171"/>
      <c r="G508" s="171"/>
      <c r="H508" s="171"/>
      <c r="I508" s="171"/>
    </row>
    <row r="509">
      <c r="B509" s="171"/>
      <c r="C509" s="171"/>
      <c r="D509" s="171"/>
      <c r="E509" s="171"/>
      <c r="F509" s="171"/>
      <c r="G509" s="171"/>
      <c r="H509" s="171"/>
      <c r="I509" s="171"/>
    </row>
    <row r="510">
      <c r="B510" s="171"/>
      <c r="C510" s="171"/>
      <c r="D510" s="171"/>
      <c r="E510" s="171"/>
      <c r="F510" s="171"/>
      <c r="G510" s="171"/>
      <c r="H510" s="171"/>
      <c r="I510" s="171"/>
    </row>
    <row r="511">
      <c r="B511" s="171"/>
      <c r="C511" s="171"/>
      <c r="D511" s="171"/>
      <c r="E511" s="171"/>
      <c r="F511" s="171"/>
      <c r="G511" s="171"/>
      <c r="H511" s="171"/>
      <c r="I511" s="171"/>
    </row>
    <row r="512">
      <c r="B512" s="171"/>
      <c r="C512" s="171"/>
      <c r="D512" s="171"/>
      <c r="E512" s="171"/>
      <c r="F512" s="171"/>
      <c r="G512" s="171"/>
      <c r="H512" s="171"/>
      <c r="I512" s="171"/>
    </row>
    <row r="513">
      <c r="B513" s="171"/>
      <c r="C513" s="171"/>
      <c r="D513" s="171"/>
      <c r="E513" s="171"/>
      <c r="F513" s="171"/>
      <c r="G513" s="171"/>
      <c r="H513" s="171"/>
      <c r="I513" s="171"/>
    </row>
    <row r="514">
      <c r="B514" s="171"/>
      <c r="C514" s="171"/>
      <c r="D514" s="171"/>
      <c r="E514" s="171"/>
      <c r="F514" s="171"/>
      <c r="G514" s="171"/>
      <c r="H514" s="171"/>
      <c r="I514" s="171"/>
    </row>
    <row r="515">
      <c r="B515" s="171"/>
      <c r="C515" s="171"/>
      <c r="D515" s="171"/>
      <c r="E515" s="171"/>
      <c r="F515" s="171"/>
      <c r="G515" s="171"/>
      <c r="H515" s="171"/>
      <c r="I515" s="171"/>
    </row>
    <row r="516">
      <c r="B516" s="171"/>
      <c r="C516" s="171"/>
      <c r="D516" s="171"/>
      <c r="E516" s="171"/>
      <c r="F516" s="171"/>
      <c r="G516" s="171"/>
      <c r="H516" s="171"/>
      <c r="I516" s="171"/>
    </row>
    <row r="517">
      <c r="B517" s="171"/>
      <c r="C517" s="171"/>
      <c r="D517" s="171"/>
      <c r="E517" s="171"/>
      <c r="F517" s="171"/>
      <c r="G517" s="171"/>
      <c r="H517" s="171"/>
      <c r="I517" s="171"/>
    </row>
    <row r="518">
      <c r="B518" s="171"/>
      <c r="C518" s="171"/>
      <c r="D518" s="171"/>
      <c r="E518" s="171"/>
      <c r="F518" s="171"/>
      <c r="G518" s="171"/>
      <c r="H518" s="171"/>
      <c r="I518" s="171"/>
    </row>
    <row r="519">
      <c r="B519" s="171"/>
      <c r="C519" s="171"/>
      <c r="D519" s="171"/>
      <c r="E519" s="171"/>
      <c r="F519" s="171"/>
      <c r="G519" s="171"/>
      <c r="H519" s="171"/>
      <c r="I519" s="171"/>
    </row>
    <row r="520">
      <c r="B520" s="171"/>
      <c r="C520" s="171"/>
      <c r="D520" s="171"/>
      <c r="E520" s="171"/>
      <c r="F520" s="171"/>
      <c r="G520" s="171"/>
      <c r="H520" s="171"/>
      <c r="I520" s="171"/>
    </row>
    <row r="521">
      <c r="B521" s="171"/>
      <c r="C521" s="171"/>
      <c r="D521" s="171"/>
      <c r="E521" s="171"/>
      <c r="F521" s="171"/>
      <c r="G521" s="171"/>
      <c r="H521" s="171"/>
      <c r="I521" s="171"/>
    </row>
    <row r="522">
      <c r="B522" s="171"/>
      <c r="C522" s="171"/>
      <c r="D522" s="171"/>
      <c r="E522" s="171"/>
      <c r="F522" s="171"/>
      <c r="G522" s="171"/>
      <c r="H522" s="171"/>
      <c r="I522" s="171"/>
    </row>
    <row r="523">
      <c r="B523" s="171"/>
      <c r="C523" s="171"/>
      <c r="D523" s="171"/>
      <c r="E523" s="171"/>
      <c r="F523" s="171"/>
      <c r="G523" s="171"/>
      <c r="H523" s="171"/>
      <c r="I523" s="171"/>
    </row>
    <row r="524">
      <c r="B524" s="171"/>
      <c r="C524" s="171"/>
      <c r="D524" s="171"/>
      <c r="E524" s="171"/>
      <c r="F524" s="171"/>
      <c r="G524" s="171"/>
      <c r="H524" s="171"/>
      <c r="I524" s="171"/>
    </row>
    <row r="525">
      <c r="B525" s="171"/>
      <c r="C525" s="171"/>
      <c r="D525" s="171"/>
      <c r="E525" s="171"/>
      <c r="F525" s="171"/>
      <c r="G525" s="171"/>
      <c r="H525" s="171"/>
      <c r="I525" s="171"/>
    </row>
    <row r="526">
      <c r="B526" s="171"/>
      <c r="C526" s="171"/>
      <c r="D526" s="171"/>
      <c r="E526" s="171"/>
      <c r="F526" s="171"/>
      <c r="G526" s="171"/>
      <c r="H526" s="171"/>
      <c r="I526" s="171"/>
    </row>
    <row r="527">
      <c r="B527" s="171"/>
      <c r="C527" s="171"/>
      <c r="D527" s="171"/>
      <c r="E527" s="171"/>
      <c r="F527" s="171"/>
      <c r="G527" s="171"/>
      <c r="H527" s="171"/>
      <c r="I527" s="171"/>
    </row>
    <row r="528">
      <c r="B528" s="171"/>
      <c r="C528" s="171"/>
      <c r="D528" s="171"/>
      <c r="E528" s="171"/>
      <c r="F528" s="171"/>
      <c r="G528" s="171"/>
      <c r="H528" s="171"/>
      <c r="I528" s="171"/>
    </row>
    <row r="529">
      <c r="B529" s="171"/>
      <c r="C529" s="171"/>
      <c r="D529" s="171"/>
      <c r="E529" s="171"/>
      <c r="F529" s="171"/>
      <c r="G529" s="171"/>
      <c r="H529" s="171"/>
      <c r="I529" s="171"/>
    </row>
    <row r="530">
      <c r="B530" s="171"/>
      <c r="C530" s="171"/>
      <c r="D530" s="171"/>
      <c r="E530" s="171"/>
      <c r="F530" s="171"/>
      <c r="G530" s="171"/>
      <c r="H530" s="171"/>
      <c r="I530" s="171"/>
    </row>
    <row r="531">
      <c r="B531" s="171"/>
      <c r="C531" s="171"/>
      <c r="D531" s="171"/>
      <c r="E531" s="171"/>
      <c r="F531" s="171"/>
      <c r="G531" s="171"/>
      <c r="H531" s="171"/>
      <c r="I531" s="171"/>
    </row>
    <row r="532">
      <c r="B532" s="171"/>
      <c r="C532" s="171"/>
      <c r="D532" s="171"/>
      <c r="E532" s="171"/>
      <c r="F532" s="171"/>
      <c r="G532" s="171"/>
      <c r="H532" s="171"/>
      <c r="I532" s="171"/>
    </row>
    <row r="533">
      <c r="B533" s="171"/>
      <c r="C533" s="171"/>
      <c r="D533" s="171"/>
      <c r="E533" s="171"/>
      <c r="F533" s="171"/>
      <c r="G533" s="171"/>
      <c r="H533" s="171"/>
      <c r="I533" s="171"/>
    </row>
    <row r="534">
      <c r="B534" s="171"/>
      <c r="C534" s="171"/>
      <c r="D534" s="171"/>
      <c r="E534" s="171"/>
      <c r="F534" s="171"/>
      <c r="G534" s="171"/>
      <c r="H534" s="171"/>
      <c r="I534" s="171"/>
    </row>
    <row r="535">
      <c r="B535" s="171"/>
      <c r="C535" s="171"/>
      <c r="D535" s="171"/>
      <c r="E535" s="171"/>
      <c r="F535" s="171"/>
      <c r="G535" s="171"/>
      <c r="H535" s="171"/>
      <c r="I535" s="171"/>
    </row>
    <row r="536">
      <c r="B536" s="171"/>
      <c r="C536" s="171"/>
      <c r="D536" s="171"/>
      <c r="E536" s="171"/>
      <c r="F536" s="171"/>
      <c r="G536" s="171"/>
      <c r="H536" s="171"/>
      <c r="I536" s="171"/>
    </row>
    <row r="537">
      <c r="B537" s="171"/>
      <c r="C537" s="171"/>
      <c r="D537" s="171"/>
      <c r="E537" s="171"/>
      <c r="F537" s="171"/>
      <c r="G537" s="171"/>
      <c r="H537" s="171"/>
      <c r="I537" s="171"/>
    </row>
    <row r="538">
      <c r="B538" s="171"/>
      <c r="C538" s="171"/>
      <c r="D538" s="171"/>
      <c r="E538" s="171"/>
      <c r="F538" s="171"/>
      <c r="G538" s="171"/>
      <c r="H538" s="171"/>
      <c r="I538" s="171"/>
    </row>
    <row r="539">
      <c r="B539" s="171"/>
      <c r="C539" s="171"/>
      <c r="D539" s="171"/>
      <c r="E539" s="171"/>
      <c r="F539" s="171"/>
      <c r="G539" s="171"/>
      <c r="H539" s="171"/>
      <c r="I539" s="171"/>
    </row>
    <row r="540">
      <c r="B540" s="171"/>
      <c r="C540" s="171"/>
      <c r="D540" s="171"/>
      <c r="E540" s="171"/>
      <c r="F540" s="171"/>
      <c r="G540" s="171"/>
      <c r="H540" s="171"/>
      <c r="I540" s="171"/>
    </row>
    <row r="541">
      <c r="B541" s="171"/>
      <c r="C541" s="171"/>
      <c r="D541" s="171"/>
      <c r="E541" s="171"/>
      <c r="F541" s="171"/>
      <c r="G541" s="171"/>
      <c r="H541" s="171"/>
      <c r="I541" s="171"/>
    </row>
    <row r="542">
      <c r="B542" s="171"/>
      <c r="C542" s="171"/>
      <c r="D542" s="171"/>
      <c r="E542" s="171"/>
      <c r="F542" s="171"/>
      <c r="G542" s="171"/>
      <c r="H542" s="171"/>
      <c r="I542" s="171"/>
    </row>
    <row r="543">
      <c r="B543" s="171"/>
      <c r="C543" s="171"/>
      <c r="D543" s="171"/>
      <c r="E543" s="171"/>
      <c r="F543" s="171"/>
      <c r="G543" s="171"/>
      <c r="H543" s="171"/>
      <c r="I543" s="171"/>
    </row>
    <row r="544">
      <c r="B544" s="171"/>
      <c r="C544" s="171"/>
      <c r="D544" s="171"/>
      <c r="E544" s="171"/>
      <c r="F544" s="171"/>
      <c r="G544" s="171"/>
      <c r="H544" s="171"/>
      <c r="I544" s="171"/>
    </row>
    <row r="545">
      <c r="B545" s="171"/>
      <c r="C545" s="171"/>
      <c r="D545" s="171"/>
      <c r="E545" s="171"/>
      <c r="F545" s="171"/>
      <c r="G545" s="171"/>
      <c r="H545" s="171"/>
      <c r="I545" s="171"/>
    </row>
    <row r="546">
      <c r="B546" s="171"/>
      <c r="C546" s="171"/>
      <c r="D546" s="171"/>
      <c r="E546" s="171"/>
      <c r="F546" s="171"/>
      <c r="G546" s="171"/>
      <c r="H546" s="171"/>
      <c r="I546" s="171"/>
    </row>
    <row r="547">
      <c r="B547" s="171"/>
      <c r="C547" s="171"/>
      <c r="D547" s="171"/>
      <c r="E547" s="171"/>
      <c r="F547" s="171"/>
      <c r="G547" s="171"/>
      <c r="H547" s="171"/>
      <c r="I547" s="171"/>
    </row>
    <row r="548">
      <c r="B548" s="171"/>
      <c r="C548" s="171"/>
      <c r="D548" s="171"/>
      <c r="E548" s="171"/>
      <c r="F548" s="171"/>
      <c r="G548" s="171"/>
      <c r="H548" s="171"/>
      <c r="I548" s="171"/>
    </row>
    <row r="549">
      <c r="B549" s="171"/>
      <c r="C549" s="171"/>
      <c r="D549" s="171"/>
      <c r="E549" s="171"/>
      <c r="F549" s="171"/>
      <c r="G549" s="171"/>
      <c r="H549" s="171"/>
      <c r="I549" s="171"/>
    </row>
    <row r="550">
      <c r="B550" s="171"/>
      <c r="C550" s="171"/>
      <c r="D550" s="171"/>
      <c r="E550" s="171"/>
      <c r="F550" s="171"/>
      <c r="G550" s="171"/>
      <c r="H550" s="171"/>
      <c r="I550" s="171"/>
    </row>
    <row r="551">
      <c r="B551" s="171"/>
      <c r="C551" s="171"/>
      <c r="D551" s="171"/>
      <c r="E551" s="171"/>
      <c r="F551" s="171"/>
      <c r="G551" s="171"/>
      <c r="H551" s="171"/>
      <c r="I551" s="171"/>
    </row>
    <row r="552">
      <c r="B552" s="171"/>
      <c r="C552" s="171"/>
      <c r="D552" s="171"/>
      <c r="E552" s="171"/>
      <c r="F552" s="171"/>
      <c r="G552" s="171"/>
      <c r="H552" s="171"/>
      <c r="I552" s="171"/>
    </row>
    <row r="553">
      <c r="B553" s="171"/>
      <c r="C553" s="171"/>
      <c r="D553" s="171"/>
      <c r="E553" s="171"/>
      <c r="F553" s="171"/>
      <c r="G553" s="171"/>
      <c r="H553" s="171"/>
      <c r="I553" s="171"/>
    </row>
    <row r="554">
      <c r="B554" s="171"/>
      <c r="C554" s="171"/>
      <c r="D554" s="171"/>
      <c r="E554" s="171"/>
      <c r="F554" s="171"/>
      <c r="G554" s="171"/>
      <c r="H554" s="171"/>
      <c r="I554" s="171"/>
    </row>
    <row r="555">
      <c r="B555" s="171"/>
      <c r="C555" s="171"/>
      <c r="D555" s="171"/>
      <c r="E555" s="171"/>
      <c r="F555" s="171"/>
      <c r="G555" s="171"/>
      <c r="H555" s="171"/>
      <c r="I555" s="171"/>
    </row>
    <row r="556">
      <c r="B556" s="171"/>
      <c r="C556" s="171"/>
      <c r="D556" s="171"/>
      <c r="E556" s="171"/>
      <c r="F556" s="171"/>
      <c r="G556" s="171"/>
      <c r="H556" s="171"/>
      <c r="I556" s="171"/>
    </row>
    <row r="557">
      <c r="B557" s="171"/>
      <c r="C557" s="171"/>
      <c r="D557" s="171"/>
      <c r="E557" s="171"/>
      <c r="F557" s="171"/>
      <c r="G557" s="171"/>
      <c r="H557" s="171"/>
      <c r="I557" s="171"/>
    </row>
    <row r="558">
      <c r="B558" s="171"/>
      <c r="C558" s="171"/>
      <c r="D558" s="171"/>
      <c r="E558" s="171"/>
      <c r="F558" s="171"/>
      <c r="G558" s="171"/>
      <c r="H558" s="171"/>
      <c r="I558" s="171"/>
    </row>
    <row r="559">
      <c r="B559" s="171"/>
      <c r="C559" s="171"/>
      <c r="D559" s="171"/>
      <c r="E559" s="171"/>
      <c r="F559" s="171"/>
      <c r="G559" s="171"/>
      <c r="H559" s="171"/>
      <c r="I559" s="171"/>
    </row>
    <row r="560">
      <c r="B560" s="171"/>
      <c r="C560" s="171"/>
      <c r="D560" s="171"/>
      <c r="E560" s="171"/>
      <c r="F560" s="171"/>
      <c r="G560" s="171"/>
      <c r="H560" s="171"/>
      <c r="I560" s="171"/>
    </row>
    <row r="561">
      <c r="B561" s="171"/>
      <c r="C561" s="171"/>
      <c r="D561" s="171"/>
      <c r="E561" s="171"/>
      <c r="F561" s="171"/>
      <c r="G561" s="171"/>
      <c r="H561" s="171"/>
      <c r="I561" s="171"/>
    </row>
    <row r="562">
      <c r="B562" s="171"/>
      <c r="C562" s="171"/>
      <c r="D562" s="171"/>
      <c r="E562" s="171"/>
      <c r="F562" s="171"/>
      <c r="G562" s="171"/>
      <c r="H562" s="171"/>
      <c r="I562" s="171"/>
    </row>
    <row r="563">
      <c r="B563" s="171"/>
      <c r="C563" s="171"/>
      <c r="D563" s="171"/>
      <c r="E563" s="171"/>
      <c r="F563" s="171"/>
      <c r="G563" s="171"/>
      <c r="H563" s="171"/>
      <c r="I563" s="171"/>
    </row>
    <row r="564">
      <c r="B564" s="171"/>
      <c r="C564" s="171"/>
      <c r="D564" s="171"/>
      <c r="E564" s="171"/>
      <c r="F564" s="171"/>
      <c r="G564" s="171"/>
      <c r="H564" s="171"/>
      <c r="I564" s="171"/>
    </row>
    <row r="565">
      <c r="B565" s="171"/>
      <c r="C565" s="171"/>
      <c r="D565" s="171"/>
      <c r="E565" s="171"/>
      <c r="F565" s="171"/>
      <c r="G565" s="171"/>
      <c r="H565" s="171"/>
      <c r="I565" s="171"/>
    </row>
    <row r="566">
      <c r="B566" s="171"/>
      <c r="C566" s="171"/>
      <c r="D566" s="171"/>
      <c r="E566" s="171"/>
      <c r="F566" s="171"/>
      <c r="G566" s="171"/>
      <c r="H566" s="171"/>
      <c r="I566" s="171"/>
    </row>
    <row r="567">
      <c r="B567" s="171"/>
      <c r="C567" s="171"/>
      <c r="D567" s="171"/>
      <c r="E567" s="171"/>
      <c r="F567" s="171"/>
      <c r="G567" s="171"/>
      <c r="H567" s="171"/>
      <c r="I567" s="171"/>
    </row>
    <row r="568">
      <c r="B568" s="171"/>
      <c r="C568" s="171"/>
      <c r="D568" s="171"/>
      <c r="E568" s="171"/>
      <c r="F568" s="171"/>
      <c r="G568" s="171"/>
      <c r="H568" s="171"/>
      <c r="I568" s="171"/>
    </row>
    <row r="569">
      <c r="B569" s="171"/>
      <c r="C569" s="171"/>
      <c r="D569" s="171"/>
      <c r="E569" s="171"/>
      <c r="F569" s="171"/>
      <c r="G569" s="171"/>
      <c r="H569" s="171"/>
      <c r="I569" s="171"/>
    </row>
    <row r="570">
      <c r="B570" s="171"/>
      <c r="C570" s="171"/>
      <c r="D570" s="171"/>
      <c r="E570" s="171"/>
      <c r="F570" s="171"/>
      <c r="G570" s="171"/>
      <c r="H570" s="171"/>
      <c r="I570" s="171"/>
    </row>
    <row r="571">
      <c r="B571" s="171"/>
      <c r="C571" s="171"/>
      <c r="D571" s="171"/>
      <c r="E571" s="171"/>
      <c r="F571" s="171"/>
      <c r="G571" s="171"/>
      <c r="H571" s="171"/>
      <c r="I571" s="171"/>
    </row>
    <row r="572">
      <c r="B572" s="171"/>
      <c r="C572" s="171"/>
      <c r="D572" s="171"/>
      <c r="E572" s="171"/>
      <c r="F572" s="171"/>
      <c r="G572" s="171"/>
      <c r="H572" s="171"/>
      <c r="I572" s="171"/>
    </row>
    <row r="573">
      <c r="B573" s="171"/>
      <c r="C573" s="171"/>
      <c r="D573" s="171"/>
      <c r="E573" s="171"/>
      <c r="F573" s="171"/>
      <c r="G573" s="171"/>
      <c r="H573" s="171"/>
      <c r="I573" s="171"/>
    </row>
    <row r="574">
      <c r="B574" s="171"/>
      <c r="C574" s="171"/>
      <c r="D574" s="171"/>
      <c r="E574" s="171"/>
      <c r="F574" s="171"/>
      <c r="G574" s="171"/>
      <c r="H574" s="171"/>
      <c r="I574" s="171"/>
    </row>
    <row r="575">
      <c r="B575" s="171"/>
      <c r="C575" s="171"/>
      <c r="D575" s="171"/>
      <c r="E575" s="171"/>
      <c r="F575" s="171"/>
      <c r="G575" s="171"/>
      <c r="H575" s="171"/>
      <c r="I575" s="171"/>
    </row>
    <row r="576">
      <c r="B576" s="171"/>
      <c r="C576" s="171"/>
      <c r="D576" s="171"/>
      <c r="E576" s="171"/>
      <c r="F576" s="171"/>
      <c r="G576" s="171"/>
      <c r="H576" s="171"/>
      <c r="I576" s="171"/>
    </row>
    <row r="577">
      <c r="B577" s="171"/>
      <c r="C577" s="171"/>
      <c r="D577" s="171"/>
      <c r="E577" s="171"/>
      <c r="F577" s="171"/>
      <c r="G577" s="171"/>
      <c r="H577" s="171"/>
      <c r="I577" s="171"/>
    </row>
    <row r="578">
      <c r="B578" s="171"/>
      <c r="C578" s="171"/>
      <c r="D578" s="171"/>
      <c r="E578" s="171"/>
      <c r="F578" s="171"/>
      <c r="G578" s="171"/>
      <c r="H578" s="171"/>
      <c r="I578" s="171"/>
    </row>
    <row r="579">
      <c r="B579" s="171"/>
      <c r="C579" s="171"/>
      <c r="D579" s="171"/>
      <c r="E579" s="171"/>
      <c r="F579" s="171"/>
      <c r="G579" s="171"/>
      <c r="H579" s="171"/>
      <c r="I579" s="171"/>
    </row>
    <row r="580">
      <c r="B580" s="171"/>
      <c r="C580" s="171"/>
      <c r="D580" s="171"/>
      <c r="E580" s="171"/>
      <c r="F580" s="171"/>
      <c r="G580" s="171"/>
      <c r="H580" s="171"/>
      <c r="I580" s="171"/>
    </row>
    <row r="581">
      <c r="B581" s="171"/>
      <c r="C581" s="171"/>
      <c r="D581" s="171"/>
      <c r="E581" s="171"/>
      <c r="F581" s="171"/>
      <c r="G581" s="171"/>
      <c r="H581" s="171"/>
      <c r="I581" s="171"/>
    </row>
    <row r="582">
      <c r="B582" s="171"/>
      <c r="C582" s="171"/>
      <c r="D582" s="171"/>
      <c r="E582" s="171"/>
      <c r="F582" s="171"/>
      <c r="G582" s="171"/>
      <c r="H582" s="171"/>
      <c r="I582" s="171"/>
    </row>
    <row r="583">
      <c r="B583" s="171"/>
      <c r="C583" s="171"/>
      <c r="D583" s="171"/>
      <c r="E583" s="171"/>
      <c r="F583" s="171"/>
      <c r="G583" s="171"/>
      <c r="H583" s="171"/>
      <c r="I583" s="171"/>
    </row>
    <row r="584">
      <c r="B584" s="171"/>
      <c r="C584" s="171"/>
      <c r="D584" s="171"/>
      <c r="E584" s="171"/>
      <c r="F584" s="171"/>
      <c r="G584" s="171"/>
      <c r="H584" s="171"/>
      <c r="I584" s="171"/>
    </row>
    <row r="585">
      <c r="B585" s="171"/>
      <c r="C585" s="171"/>
      <c r="D585" s="171"/>
      <c r="E585" s="171"/>
      <c r="F585" s="171"/>
      <c r="G585" s="171"/>
      <c r="H585" s="171"/>
      <c r="I585" s="171"/>
    </row>
    <row r="586">
      <c r="B586" s="171"/>
      <c r="C586" s="171"/>
      <c r="D586" s="171"/>
      <c r="E586" s="171"/>
      <c r="F586" s="171"/>
      <c r="G586" s="171"/>
      <c r="H586" s="171"/>
      <c r="I586" s="171"/>
    </row>
    <row r="587">
      <c r="B587" s="171"/>
      <c r="C587" s="171"/>
      <c r="D587" s="171"/>
      <c r="E587" s="171"/>
      <c r="F587" s="171"/>
      <c r="G587" s="171"/>
      <c r="H587" s="171"/>
      <c r="I587" s="171"/>
    </row>
    <row r="588">
      <c r="B588" s="171"/>
      <c r="C588" s="171"/>
      <c r="D588" s="171"/>
      <c r="E588" s="171"/>
      <c r="F588" s="171"/>
      <c r="G588" s="171"/>
      <c r="H588" s="171"/>
      <c r="I588" s="171"/>
    </row>
    <row r="589">
      <c r="B589" s="171"/>
      <c r="C589" s="171"/>
      <c r="D589" s="171"/>
      <c r="E589" s="171"/>
      <c r="F589" s="171"/>
      <c r="G589" s="171"/>
      <c r="H589" s="171"/>
      <c r="I589" s="171"/>
    </row>
    <row r="590">
      <c r="B590" s="171"/>
      <c r="C590" s="171"/>
      <c r="D590" s="171"/>
      <c r="E590" s="171"/>
      <c r="F590" s="171"/>
      <c r="G590" s="171"/>
      <c r="H590" s="171"/>
      <c r="I590" s="171"/>
    </row>
    <row r="591">
      <c r="B591" s="171"/>
      <c r="C591" s="171"/>
      <c r="D591" s="171"/>
      <c r="E591" s="171"/>
      <c r="F591" s="171"/>
      <c r="G591" s="171"/>
      <c r="H591" s="171"/>
      <c r="I591" s="171"/>
    </row>
    <row r="592">
      <c r="B592" s="171"/>
      <c r="C592" s="171"/>
      <c r="D592" s="171"/>
      <c r="E592" s="171"/>
      <c r="F592" s="171"/>
      <c r="G592" s="171"/>
      <c r="H592" s="171"/>
      <c r="I592" s="171"/>
    </row>
    <row r="593">
      <c r="B593" s="171"/>
      <c r="C593" s="171"/>
      <c r="D593" s="171"/>
      <c r="E593" s="171"/>
      <c r="F593" s="171"/>
      <c r="G593" s="171"/>
      <c r="H593" s="171"/>
      <c r="I593" s="171"/>
    </row>
    <row r="594">
      <c r="B594" s="171"/>
      <c r="C594" s="171"/>
      <c r="D594" s="171"/>
      <c r="E594" s="171"/>
      <c r="F594" s="171"/>
      <c r="G594" s="171"/>
      <c r="H594" s="171"/>
      <c r="I594" s="171"/>
    </row>
    <row r="595">
      <c r="B595" s="171"/>
      <c r="C595" s="171"/>
      <c r="D595" s="171"/>
      <c r="E595" s="171"/>
      <c r="F595" s="171"/>
      <c r="G595" s="171"/>
      <c r="H595" s="171"/>
      <c r="I595" s="171"/>
    </row>
    <row r="596">
      <c r="B596" s="171"/>
      <c r="C596" s="171"/>
      <c r="D596" s="171"/>
      <c r="E596" s="171"/>
      <c r="F596" s="171"/>
      <c r="G596" s="171"/>
      <c r="H596" s="171"/>
      <c r="I596" s="171"/>
    </row>
    <row r="597">
      <c r="B597" s="171"/>
      <c r="C597" s="171"/>
      <c r="D597" s="171"/>
      <c r="E597" s="171"/>
      <c r="F597" s="171"/>
      <c r="G597" s="171"/>
      <c r="H597" s="171"/>
      <c r="I597" s="171"/>
    </row>
    <row r="598">
      <c r="B598" s="171"/>
      <c r="C598" s="171"/>
      <c r="D598" s="171"/>
      <c r="E598" s="171"/>
      <c r="F598" s="171"/>
      <c r="G598" s="171"/>
      <c r="H598" s="171"/>
      <c r="I598" s="171"/>
    </row>
    <row r="599">
      <c r="B599" s="171"/>
      <c r="C599" s="171"/>
      <c r="D599" s="171"/>
      <c r="E599" s="171"/>
      <c r="F599" s="171"/>
      <c r="G599" s="171"/>
      <c r="H599" s="171"/>
      <c r="I599" s="171"/>
    </row>
    <row r="600">
      <c r="B600" s="171"/>
      <c r="C600" s="171"/>
      <c r="D600" s="171"/>
      <c r="E600" s="171"/>
      <c r="F600" s="171"/>
      <c r="G600" s="171"/>
      <c r="H600" s="171"/>
      <c r="I600" s="171"/>
    </row>
    <row r="601">
      <c r="B601" s="171"/>
      <c r="C601" s="171"/>
      <c r="D601" s="171"/>
      <c r="E601" s="171"/>
      <c r="F601" s="171"/>
      <c r="G601" s="171"/>
      <c r="H601" s="171"/>
      <c r="I601" s="171"/>
    </row>
    <row r="602">
      <c r="B602" s="171"/>
      <c r="C602" s="171"/>
      <c r="D602" s="171"/>
      <c r="E602" s="171"/>
      <c r="F602" s="171"/>
      <c r="G602" s="171"/>
      <c r="H602" s="171"/>
      <c r="I602" s="171"/>
    </row>
    <row r="603">
      <c r="B603" s="171"/>
      <c r="C603" s="171"/>
      <c r="D603" s="171"/>
      <c r="E603" s="171"/>
      <c r="F603" s="171"/>
      <c r="G603" s="171"/>
      <c r="H603" s="171"/>
      <c r="I603" s="171"/>
    </row>
    <row r="604">
      <c r="B604" s="171"/>
      <c r="C604" s="171"/>
      <c r="D604" s="171"/>
      <c r="E604" s="171"/>
      <c r="F604" s="171"/>
      <c r="G604" s="171"/>
      <c r="H604" s="171"/>
      <c r="I604" s="171"/>
    </row>
    <row r="605">
      <c r="B605" s="171"/>
      <c r="C605" s="171"/>
      <c r="D605" s="171"/>
      <c r="E605" s="171"/>
      <c r="F605" s="171"/>
      <c r="G605" s="171"/>
      <c r="H605" s="171"/>
      <c r="I605" s="171"/>
    </row>
    <row r="606">
      <c r="B606" s="171"/>
      <c r="C606" s="171"/>
      <c r="D606" s="171"/>
      <c r="E606" s="171"/>
      <c r="F606" s="171"/>
      <c r="G606" s="171"/>
      <c r="H606" s="171"/>
      <c r="I606" s="171"/>
    </row>
    <row r="607">
      <c r="B607" s="171"/>
      <c r="C607" s="171"/>
      <c r="D607" s="171"/>
      <c r="E607" s="171"/>
      <c r="F607" s="171"/>
      <c r="G607" s="171"/>
      <c r="H607" s="171"/>
      <c r="I607" s="171"/>
    </row>
    <row r="608">
      <c r="B608" s="171"/>
      <c r="C608" s="171"/>
      <c r="D608" s="171"/>
      <c r="E608" s="171"/>
      <c r="F608" s="171"/>
      <c r="G608" s="171"/>
      <c r="H608" s="171"/>
      <c r="I608" s="171"/>
    </row>
    <row r="609">
      <c r="B609" s="171"/>
      <c r="C609" s="171"/>
      <c r="D609" s="171"/>
      <c r="E609" s="171"/>
      <c r="F609" s="171"/>
      <c r="G609" s="171"/>
      <c r="H609" s="171"/>
      <c r="I609" s="171"/>
    </row>
    <row r="610">
      <c r="B610" s="171"/>
      <c r="C610" s="171"/>
      <c r="D610" s="171"/>
      <c r="E610" s="171"/>
      <c r="F610" s="171"/>
      <c r="G610" s="171"/>
      <c r="H610" s="171"/>
      <c r="I610" s="171"/>
    </row>
    <row r="611">
      <c r="B611" s="171"/>
      <c r="C611" s="171"/>
      <c r="D611" s="171"/>
      <c r="E611" s="171"/>
      <c r="F611" s="171"/>
      <c r="G611" s="171"/>
      <c r="H611" s="171"/>
      <c r="I611" s="171"/>
    </row>
    <row r="612">
      <c r="B612" s="171"/>
      <c r="C612" s="171"/>
      <c r="D612" s="171"/>
      <c r="E612" s="171"/>
      <c r="F612" s="171"/>
      <c r="G612" s="171"/>
      <c r="H612" s="171"/>
      <c r="I612" s="171"/>
    </row>
    <row r="613">
      <c r="B613" s="171"/>
      <c r="C613" s="171"/>
      <c r="D613" s="171"/>
      <c r="E613" s="171"/>
      <c r="F613" s="171"/>
      <c r="G613" s="171"/>
      <c r="H613" s="171"/>
      <c r="I613" s="171"/>
    </row>
    <row r="614">
      <c r="B614" s="171"/>
      <c r="C614" s="171"/>
      <c r="D614" s="171"/>
      <c r="E614" s="171"/>
      <c r="F614" s="171"/>
      <c r="G614" s="171"/>
      <c r="H614" s="171"/>
      <c r="I614" s="171"/>
    </row>
    <row r="615">
      <c r="B615" s="171"/>
      <c r="C615" s="171"/>
      <c r="D615" s="171"/>
      <c r="E615" s="171"/>
      <c r="F615" s="171"/>
      <c r="G615" s="171"/>
      <c r="H615" s="171"/>
      <c r="I615" s="171"/>
    </row>
    <row r="616">
      <c r="B616" s="171"/>
      <c r="C616" s="171"/>
      <c r="D616" s="171"/>
      <c r="E616" s="171"/>
      <c r="F616" s="171"/>
      <c r="G616" s="171"/>
      <c r="H616" s="171"/>
      <c r="I616" s="171"/>
    </row>
    <row r="617">
      <c r="B617" s="171"/>
      <c r="C617" s="171"/>
      <c r="D617" s="171"/>
      <c r="E617" s="171"/>
      <c r="F617" s="171"/>
      <c r="G617" s="171"/>
      <c r="H617" s="171"/>
      <c r="I617" s="171"/>
    </row>
    <row r="618">
      <c r="B618" s="171"/>
      <c r="C618" s="171"/>
      <c r="D618" s="171"/>
      <c r="E618" s="171"/>
      <c r="F618" s="171"/>
      <c r="G618" s="171"/>
      <c r="H618" s="171"/>
      <c r="I618" s="171"/>
    </row>
    <row r="619">
      <c r="B619" s="171"/>
      <c r="C619" s="171"/>
      <c r="D619" s="171"/>
      <c r="E619" s="171"/>
      <c r="F619" s="171"/>
      <c r="G619" s="171"/>
      <c r="H619" s="171"/>
      <c r="I619" s="171"/>
    </row>
    <row r="620">
      <c r="B620" s="171"/>
      <c r="C620" s="171"/>
      <c r="D620" s="171"/>
      <c r="E620" s="171"/>
      <c r="F620" s="171"/>
      <c r="G620" s="171"/>
      <c r="H620" s="171"/>
      <c r="I620" s="171"/>
    </row>
    <row r="621">
      <c r="B621" s="171"/>
      <c r="C621" s="171"/>
      <c r="D621" s="171"/>
      <c r="E621" s="171"/>
      <c r="F621" s="171"/>
      <c r="G621" s="171"/>
      <c r="H621" s="171"/>
      <c r="I621" s="171"/>
    </row>
    <row r="622">
      <c r="B622" s="171"/>
      <c r="C622" s="171"/>
      <c r="D622" s="171"/>
      <c r="E622" s="171"/>
      <c r="F622" s="171"/>
      <c r="G622" s="171"/>
      <c r="H622" s="171"/>
      <c r="I622" s="171"/>
    </row>
    <row r="623">
      <c r="B623" s="171"/>
      <c r="C623" s="171"/>
      <c r="D623" s="171"/>
      <c r="E623" s="171"/>
      <c r="F623" s="171"/>
      <c r="G623" s="171"/>
      <c r="H623" s="171"/>
      <c r="I623" s="171"/>
    </row>
    <row r="624">
      <c r="B624" s="171"/>
      <c r="C624" s="171"/>
      <c r="D624" s="171"/>
      <c r="E624" s="171"/>
      <c r="F624" s="171"/>
      <c r="G624" s="171"/>
      <c r="H624" s="171"/>
      <c r="I624" s="171"/>
    </row>
    <row r="625">
      <c r="B625" s="171"/>
      <c r="C625" s="171"/>
      <c r="D625" s="171"/>
      <c r="E625" s="171"/>
      <c r="F625" s="171"/>
      <c r="G625" s="171"/>
      <c r="H625" s="171"/>
      <c r="I625" s="171"/>
    </row>
    <row r="626">
      <c r="B626" s="171"/>
      <c r="C626" s="171"/>
      <c r="D626" s="171"/>
      <c r="E626" s="171"/>
      <c r="F626" s="171"/>
      <c r="G626" s="171"/>
      <c r="H626" s="171"/>
      <c r="I626" s="171"/>
    </row>
    <row r="627">
      <c r="B627" s="171"/>
      <c r="C627" s="171"/>
      <c r="D627" s="171"/>
      <c r="E627" s="171"/>
      <c r="F627" s="171"/>
      <c r="G627" s="171"/>
      <c r="H627" s="171"/>
      <c r="I627" s="171"/>
    </row>
    <row r="628">
      <c r="B628" s="171"/>
      <c r="C628" s="171"/>
      <c r="D628" s="171"/>
      <c r="E628" s="171"/>
      <c r="F628" s="171"/>
      <c r="G628" s="171"/>
      <c r="H628" s="171"/>
      <c r="I628" s="171"/>
    </row>
    <row r="629">
      <c r="B629" s="171"/>
      <c r="C629" s="171"/>
      <c r="D629" s="171"/>
      <c r="E629" s="171"/>
      <c r="F629" s="171"/>
      <c r="G629" s="171"/>
      <c r="H629" s="171"/>
      <c r="I629" s="171"/>
    </row>
    <row r="630">
      <c r="B630" s="171"/>
      <c r="C630" s="171"/>
      <c r="D630" s="171"/>
      <c r="E630" s="171"/>
      <c r="F630" s="171"/>
      <c r="G630" s="171"/>
      <c r="H630" s="171"/>
      <c r="I630" s="171"/>
    </row>
    <row r="631">
      <c r="B631" s="171"/>
      <c r="C631" s="171"/>
      <c r="D631" s="171"/>
      <c r="E631" s="171"/>
      <c r="F631" s="171"/>
      <c r="G631" s="171"/>
      <c r="H631" s="171"/>
      <c r="I631" s="171"/>
    </row>
    <row r="632">
      <c r="B632" s="171"/>
      <c r="C632" s="171"/>
      <c r="D632" s="171"/>
      <c r="E632" s="171"/>
      <c r="F632" s="171"/>
      <c r="G632" s="171"/>
      <c r="H632" s="171"/>
      <c r="I632" s="171"/>
    </row>
    <row r="633">
      <c r="B633" s="171"/>
      <c r="C633" s="171"/>
      <c r="D633" s="171"/>
      <c r="E633" s="171"/>
      <c r="F633" s="171"/>
      <c r="G633" s="171"/>
      <c r="H633" s="171"/>
      <c r="I633" s="171"/>
    </row>
    <row r="634">
      <c r="B634" s="171"/>
      <c r="C634" s="171"/>
      <c r="D634" s="171"/>
      <c r="E634" s="171"/>
      <c r="F634" s="171"/>
      <c r="G634" s="171"/>
      <c r="H634" s="171"/>
      <c r="I634" s="171"/>
    </row>
    <row r="635">
      <c r="B635" s="171"/>
      <c r="C635" s="171"/>
      <c r="D635" s="171"/>
      <c r="E635" s="171"/>
      <c r="F635" s="171"/>
      <c r="G635" s="171"/>
      <c r="H635" s="171"/>
      <c r="I635" s="171"/>
    </row>
    <row r="636">
      <c r="B636" s="171"/>
      <c r="C636" s="171"/>
      <c r="D636" s="171"/>
      <c r="E636" s="171"/>
      <c r="F636" s="171"/>
      <c r="G636" s="171"/>
      <c r="H636" s="171"/>
      <c r="I636" s="171"/>
    </row>
    <row r="637">
      <c r="B637" s="171"/>
      <c r="C637" s="171"/>
      <c r="D637" s="171"/>
      <c r="E637" s="171"/>
      <c r="F637" s="171"/>
      <c r="G637" s="171"/>
      <c r="H637" s="171"/>
      <c r="I637" s="171"/>
    </row>
    <row r="638">
      <c r="B638" s="171"/>
      <c r="C638" s="171"/>
      <c r="D638" s="171"/>
      <c r="E638" s="171"/>
      <c r="F638" s="171"/>
      <c r="G638" s="171"/>
      <c r="H638" s="171"/>
      <c r="I638" s="171"/>
    </row>
    <row r="639">
      <c r="B639" s="171"/>
      <c r="C639" s="171"/>
      <c r="D639" s="171"/>
      <c r="E639" s="171"/>
      <c r="F639" s="171"/>
      <c r="G639" s="171"/>
      <c r="H639" s="171"/>
      <c r="I639" s="171"/>
    </row>
    <row r="640">
      <c r="B640" s="171"/>
      <c r="C640" s="171"/>
      <c r="D640" s="171"/>
      <c r="E640" s="171"/>
      <c r="F640" s="171"/>
      <c r="G640" s="171"/>
      <c r="H640" s="171"/>
      <c r="I640" s="171"/>
    </row>
    <row r="641">
      <c r="B641" s="171"/>
      <c r="C641" s="171"/>
      <c r="D641" s="171"/>
      <c r="E641" s="171"/>
      <c r="F641" s="171"/>
      <c r="G641" s="171"/>
      <c r="H641" s="171"/>
      <c r="I641" s="171"/>
    </row>
    <row r="642">
      <c r="B642" s="171"/>
      <c r="C642" s="171"/>
      <c r="D642" s="171"/>
      <c r="E642" s="171"/>
      <c r="F642" s="171"/>
      <c r="G642" s="171"/>
      <c r="H642" s="171"/>
      <c r="I642" s="171"/>
    </row>
    <row r="643">
      <c r="B643" s="171"/>
      <c r="C643" s="171"/>
      <c r="D643" s="171"/>
      <c r="E643" s="171"/>
      <c r="F643" s="171"/>
      <c r="G643" s="171"/>
      <c r="H643" s="171"/>
      <c r="I643" s="171"/>
    </row>
    <row r="644">
      <c r="B644" s="171"/>
      <c r="C644" s="171"/>
      <c r="D644" s="171"/>
      <c r="E644" s="171"/>
      <c r="F644" s="171"/>
      <c r="G644" s="171"/>
      <c r="H644" s="171"/>
      <c r="I644" s="171"/>
    </row>
    <row r="645">
      <c r="B645" s="171"/>
      <c r="C645" s="171"/>
      <c r="D645" s="171"/>
      <c r="E645" s="171"/>
      <c r="F645" s="171"/>
      <c r="G645" s="171"/>
      <c r="H645" s="171"/>
      <c r="I645" s="171"/>
    </row>
    <row r="646">
      <c r="B646" s="171"/>
      <c r="C646" s="171"/>
      <c r="D646" s="171"/>
      <c r="E646" s="171"/>
      <c r="F646" s="171"/>
      <c r="G646" s="171"/>
      <c r="H646" s="171"/>
      <c r="I646" s="171"/>
    </row>
    <row r="647">
      <c r="B647" s="171"/>
      <c r="C647" s="171"/>
      <c r="D647" s="171"/>
      <c r="E647" s="171"/>
      <c r="F647" s="171"/>
      <c r="G647" s="171"/>
      <c r="H647" s="171"/>
      <c r="I647" s="171"/>
    </row>
    <row r="648">
      <c r="B648" s="171"/>
      <c r="C648" s="171"/>
      <c r="D648" s="171"/>
      <c r="E648" s="171"/>
      <c r="F648" s="171"/>
      <c r="G648" s="171"/>
      <c r="H648" s="171"/>
      <c r="I648" s="171"/>
    </row>
    <row r="649">
      <c r="B649" s="171"/>
      <c r="C649" s="171"/>
      <c r="D649" s="171"/>
      <c r="E649" s="171"/>
      <c r="F649" s="171"/>
      <c r="G649" s="171"/>
      <c r="H649" s="171"/>
      <c r="I649" s="171"/>
    </row>
    <row r="650">
      <c r="B650" s="171"/>
      <c r="C650" s="171"/>
      <c r="D650" s="171"/>
      <c r="E650" s="171"/>
      <c r="F650" s="171"/>
      <c r="G650" s="171"/>
      <c r="H650" s="171"/>
      <c r="I650" s="171"/>
    </row>
    <row r="651">
      <c r="B651" s="171"/>
      <c r="C651" s="171"/>
      <c r="D651" s="171"/>
      <c r="E651" s="171"/>
      <c r="F651" s="171"/>
      <c r="G651" s="171"/>
      <c r="H651" s="171"/>
      <c r="I651" s="171"/>
    </row>
    <row r="652">
      <c r="B652" s="171"/>
      <c r="C652" s="171"/>
      <c r="D652" s="171"/>
      <c r="E652" s="171"/>
      <c r="F652" s="171"/>
      <c r="G652" s="171"/>
      <c r="H652" s="171"/>
      <c r="I652" s="171"/>
    </row>
    <row r="653">
      <c r="B653" s="171"/>
      <c r="C653" s="171"/>
      <c r="D653" s="171"/>
      <c r="E653" s="171"/>
      <c r="F653" s="171"/>
      <c r="G653" s="171"/>
      <c r="H653" s="171"/>
      <c r="I653" s="171"/>
    </row>
    <row r="654">
      <c r="B654" s="171"/>
      <c r="C654" s="171"/>
      <c r="D654" s="171"/>
      <c r="E654" s="171"/>
      <c r="F654" s="171"/>
      <c r="G654" s="171"/>
      <c r="H654" s="171"/>
      <c r="I654" s="171"/>
    </row>
    <row r="655">
      <c r="B655" s="171"/>
      <c r="C655" s="171"/>
      <c r="D655" s="171"/>
      <c r="E655" s="171"/>
      <c r="F655" s="171"/>
      <c r="G655" s="171"/>
      <c r="H655" s="171"/>
      <c r="I655" s="171"/>
    </row>
    <row r="656">
      <c r="B656" s="171"/>
      <c r="C656" s="171"/>
      <c r="D656" s="171"/>
      <c r="E656" s="171"/>
      <c r="F656" s="171"/>
      <c r="G656" s="171"/>
      <c r="H656" s="171"/>
      <c r="I656" s="171"/>
    </row>
    <row r="657">
      <c r="B657" s="171"/>
      <c r="C657" s="171"/>
      <c r="D657" s="171"/>
      <c r="E657" s="171"/>
      <c r="F657" s="171"/>
      <c r="G657" s="171"/>
      <c r="H657" s="171"/>
      <c r="I657" s="171"/>
    </row>
    <row r="658">
      <c r="B658" s="171"/>
      <c r="C658" s="171"/>
      <c r="D658" s="171"/>
      <c r="E658" s="171"/>
      <c r="F658" s="171"/>
      <c r="G658" s="171"/>
      <c r="H658" s="171"/>
      <c r="I658" s="171"/>
    </row>
    <row r="659">
      <c r="B659" s="171"/>
      <c r="C659" s="171"/>
      <c r="D659" s="171"/>
      <c r="E659" s="171"/>
      <c r="F659" s="171"/>
      <c r="G659" s="171"/>
      <c r="H659" s="171"/>
      <c r="I659" s="171"/>
    </row>
    <row r="660">
      <c r="B660" s="171"/>
      <c r="C660" s="171"/>
      <c r="D660" s="171"/>
      <c r="E660" s="171"/>
      <c r="F660" s="171"/>
      <c r="G660" s="171"/>
      <c r="H660" s="171"/>
      <c r="I660" s="171"/>
    </row>
    <row r="661">
      <c r="B661" s="171"/>
      <c r="C661" s="171"/>
      <c r="D661" s="171"/>
      <c r="E661" s="171"/>
      <c r="F661" s="171"/>
      <c r="G661" s="171"/>
      <c r="H661" s="171"/>
      <c r="I661" s="171"/>
    </row>
    <row r="662">
      <c r="B662" s="171"/>
      <c r="C662" s="171"/>
      <c r="D662" s="171"/>
      <c r="E662" s="171"/>
      <c r="F662" s="171"/>
      <c r="G662" s="171"/>
      <c r="H662" s="171"/>
      <c r="I662" s="171"/>
    </row>
    <row r="663">
      <c r="B663" s="171"/>
      <c r="C663" s="171"/>
      <c r="D663" s="171"/>
      <c r="E663" s="171"/>
      <c r="F663" s="171"/>
      <c r="G663" s="171"/>
      <c r="H663" s="171"/>
      <c r="I663" s="171"/>
    </row>
    <row r="664">
      <c r="B664" s="171"/>
      <c r="C664" s="171"/>
      <c r="D664" s="171"/>
      <c r="E664" s="171"/>
      <c r="F664" s="171"/>
      <c r="G664" s="171"/>
      <c r="H664" s="171"/>
      <c r="I664" s="171"/>
    </row>
    <row r="665">
      <c r="B665" s="171"/>
      <c r="C665" s="171"/>
      <c r="D665" s="171"/>
      <c r="E665" s="171"/>
      <c r="F665" s="171"/>
      <c r="G665" s="171"/>
      <c r="H665" s="171"/>
      <c r="I665" s="171"/>
    </row>
    <row r="666">
      <c r="B666" s="171"/>
      <c r="C666" s="171"/>
      <c r="D666" s="171"/>
      <c r="E666" s="171"/>
      <c r="F666" s="171"/>
      <c r="G666" s="171"/>
      <c r="H666" s="171"/>
      <c r="I666" s="171"/>
    </row>
    <row r="667">
      <c r="B667" s="171"/>
      <c r="C667" s="171"/>
      <c r="D667" s="171"/>
      <c r="E667" s="171"/>
      <c r="F667" s="171"/>
      <c r="G667" s="171"/>
      <c r="H667" s="171"/>
      <c r="I667" s="171"/>
    </row>
    <row r="668">
      <c r="B668" s="171"/>
      <c r="C668" s="171"/>
      <c r="D668" s="171"/>
      <c r="E668" s="171"/>
      <c r="F668" s="171"/>
      <c r="G668" s="171"/>
      <c r="H668" s="171"/>
      <c r="I668" s="171"/>
    </row>
    <row r="669">
      <c r="B669" s="171"/>
      <c r="C669" s="171"/>
      <c r="D669" s="171"/>
      <c r="E669" s="171"/>
      <c r="F669" s="171"/>
      <c r="G669" s="171"/>
      <c r="H669" s="171"/>
      <c r="I669" s="171"/>
    </row>
    <row r="670">
      <c r="B670" s="171"/>
      <c r="C670" s="171"/>
      <c r="D670" s="171"/>
      <c r="E670" s="171"/>
      <c r="F670" s="171"/>
      <c r="G670" s="171"/>
      <c r="H670" s="171"/>
      <c r="I670" s="171"/>
    </row>
    <row r="671">
      <c r="B671" s="171"/>
      <c r="C671" s="171"/>
      <c r="D671" s="171"/>
      <c r="E671" s="171"/>
      <c r="F671" s="171"/>
      <c r="G671" s="171"/>
      <c r="H671" s="171"/>
      <c r="I671" s="171"/>
    </row>
    <row r="672">
      <c r="B672" s="171"/>
      <c r="C672" s="171"/>
      <c r="D672" s="171"/>
      <c r="E672" s="171"/>
      <c r="F672" s="171"/>
      <c r="G672" s="171"/>
      <c r="H672" s="171"/>
      <c r="I672" s="171"/>
    </row>
    <row r="673">
      <c r="B673" s="171"/>
      <c r="C673" s="171"/>
      <c r="D673" s="171"/>
      <c r="E673" s="171"/>
      <c r="F673" s="171"/>
      <c r="G673" s="171"/>
      <c r="H673" s="171"/>
      <c r="I673" s="171"/>
    </row>
    <row r="674">
      <c r="B674" s="171"/>
      <c r="C674" s="171"/>
      <c r="D674" s="171"/>
      <c r="E674" s="171"/>
      <c r="F674" s="171"/>
      <c r="G674" s="171"/>
      <c r="H674" s="171"/>
      <c r="I674" s="171"/>
    </row>
    <row r="675">
      <c r="B675" s="171"/>
      <c r="C675" s="171"/>
      <c r="D675" s="171"/>
      <c r="E675" s="171"/>
      <c r="F675" s="171"/>
      <c r="G675" s="171"/>
      <c r="H675" s="171"/>
      <c r="I675" s="171"/>
    </row>
    <row r="676">
      <c r="B676" s="171"/>
      <c r="C676" s="171"/>
      <c r="D676" s="171"/>
      <c r="E676" s="171"/>
      <c r="F676" s="171"/>
      <c r="G676" s="171"/>
      <c r="H676" s="171"/>
      <c r="I676" s="171"/>
    </row>
    <row r="677">
      <c r="B677" s="171"/>
      <c r="C677" s="171"/>
      <c r="D677" s="171"/>
      <c r="E677" s="171"/>
      <c r="F677" s="171"/>
      <c r="G677" s="171"/>
      <c r="H677" s="171"/>
      <c r="I677" s="171"/>
    </row>
    <row r="678">
      <c r="B678" s="171"/>
      <c r="C678" s="171"/>
      <c r="D678" s="171"/>
      <c r="E678" s="171"/>
      <c r="F678" s="171"/>
      <c r="G678" s="171"/>
      <c r="H678" s="171"/>
      <c r="I678" s="171"/>
    </row>
    <row r="679">
      <c r="B679" s="171"/>
      <c r="C679" s="171"/>
      <c r="D679" s="171"/>
      <c r="E679" s="171"/>
      <c r="F679" s="171"/>
      <c r="G679" s="171"/>
      <c r="H679" s="171"/>
      <c r="I679" s="171"/>
    </row>
    <row r="680">
      <c r="B680" s="171"/>
      <c r="C680" s="171"/>
      <c r="D680" s="171"/>
      <c r="E680" s="171"/>
      <c r="F680" s="171"/>
      <c r="G680" s="171"/>
      <c r="H680" s="171"/>
      <c r="I680" s="171"/>
    </row>
    <row r="681">
      <c r="B681" s="171"/>
      <c r="C681" s="171"/>
      <c r="D681" s="171"/>
      <c r="E681" s="171"/>
      <c r="F681" s="171"/>
      <c r="G681" s="171"/>
      <c r="H681" s="171"/>
      <c r="I681" s="171"/>
    </row>
    <row r="682">
      <c r="B682" s="171"/>
      <c r="C682" s="171"/>
      <c r="D682" s="171"/>
      <c r="E682" s="171"/>
      <c r="F682" s="171"/>
      <c r="G682" s="171"/>
      <c r="H682" s="171"/>
      <c r="I682" s="171"/>
    </row>
    <row r="683">
      <c r="B683" s="171"/>
      <c r="C683" s="171"/>
      <c r="D683" s="171"/>
      <c r="E683" s="171"/>
      <c r="F683" s="171"/>
      <c r="G683" s="171"/>
      <c r="H683" s="171"/>
      <c r="I683" s="171"/>
    </row>
    <row r="684">
      <c r="B684" s="171"/>
      <c r="C684" s="171"/>
      <c r="D684" s="171"/>
      <c r="E684" s="171"/>
      <c r="F684" s="171"/>
      <c r="G684" s="171"/>
      <c r="H684" s="171"/>
      <c r="I684" s="171"/>
    </row>
    <row r="685">
      <c r="B685" s="171"/>
      <c r="C685" s="171"/>
      <c r="D685" s="171"/>
      <c r="E685" s="171"/>
      <c r="F685" s="171"/>
      <c r="G685" s="171"/>
      <c r="H685" s="171"/>
      <c r="I685" s="171"/>
    </row>
    <row r="686">
      <c r="B686" s="171"/>
      <c r="C686" s="171"/>
      <c r="D686" s="171"/>
      <c r="E686" s="171"/>
      <c r="F686" s="171"/>
      <c r="G686" s="171"/>
      <c r="H686" s="171"/>
      <c r="I686" s="171"/>
    </row>
    <row r="687">
      <c r="B687" s="171"/>
      <c r="C687" s="171"/>
      <c r="D687" s="171"/>
      <c r="E687" s="171"/>
      <c r="F687" s="171"/>
      <c r="G687" s="171"/>
      <c r="H687" s="171"/>
      <c r="I687" s="171"/>
    </row>
    <row r="688">
      <c r="B688" s="171"/>
      <c r="C688" s="171"/>
      <c r="D688" s="171"/>
      <c r="E688" s="171"/>
      <c r="F688" s="171"/>
      <c r="G688" s="171"/>
      <c r="H688" s="171"/>
      <c r="I688" s="171"/>
    </row>
    <row r="689">
      <c r="B689" s="171"/>
      <c r="C689" s="171"/>
      <c r="D689" s="171"/>
      <c r="E689" s="171"/>
      <c r="F689" s="171"/>
      <c r="G689" s="171"/>
      <c r="H689" s="171"/>
      <c r="I689" s="171"/>
    </row>
    <row r="690">
      <c r="B690" s="171"/>
      <c r="C690" s="171"/>
      <c r="D690" s="171"/>
      <c r="E690" s="171"/>
      <c r="F690" s="171"/>
      <c r="G690" s="171"/>
      <c r="H690" s="171"/>
      <c r="I690" s="171"/>
    </row>
    <row r="691">
      <c r="B691" s="171"/>
      <c r="C691" s="171"/>
      <c r="D691" s="171"/>
      <c r="E691" s="171"/>
      <c r="F691" s="171"/>
      <c r="G691" s="171"/>
      <c r="H691" s="171"/>
      <c r="I691" s="171"/>
    </row>
    <row r="692">
      <c r="B692" s="171"/>
      <c r="C692" s="171"/>
      <c r="D692" s="171"/>
      <c r="E692" s="171"/>
      <c r="F692" s="171"/>
      <c r="G692" s="171"/>
      <c r="H692" s="171"/>
      <c r="I692" s="171"/>
    </row>
    <row r="693">
      <c r="B693" s="171"/>
      <c r="C693" s="171"/>
      <c r="D693" s="171"/>
      <c r="E693" s="171"/>
      <c r="F693" s="171"/>
      <c r="G693" s="171"/>
      <c r="H693" s="171"/>
      <c r="I693" s="171"/>
    </row>
    <row r="694">
      <c r="B694" s="171"/>
      <c r="C694" s="171"/>
      <c r="D694" s="171"/>
      <c r="E694" s="171"/>
      <c r="F694" s="171"/>
      <c r="G694" s="171"/>
      <c r="H694" s="171"/>
      <c r="I694" s="171"/>
    </row>
    <row r="695">
      <c r="B695" s="171"/>
      <c r="C695" s="171"/>
      <c r="D695" s="171"/>
      <c r="E695" s="171"/>
      <c r="F695" s="171"/>
      <c r="G695" s="171"/>
      <c r="H695" s="171"/>
      <c r="I695" s="171"/>
    </row>
    <row r="696">
      <c r="B696" s="171"/>
      <c r="C696" s="171"/>
      <c r="D696" s="171"/>
      <c r="E696" s="171"/>
      <c r="F696" s="171"/>
      <c r="G696" s="171"/>
      <c r="H696" s="171"/>
      <c r="I696" s="171"/>
    </row>
    <row r="697">
      <c r="B697" s="171"/>
      <c r="C697" s="171"/>
      <c r="D697" s="171"/>
      <c r="E697" s="171"/>
      <c r="F697" s="171"/>
      <c r="G697" s="171"/>
      <c r="H697" s="171"/>
      <c r="I697" s="171"/>
    </row>
    <row r="698">
      <c r="B698" s="171"/>
      <c r="C698" s="171"/>
      <c r="D698" s="171"/>
      <c r="E698" s="171"/>
      <c r="F698" s="171"/>
      <c r="G698" s="171"/>
      <c r="H698" s="171"/>
      <c r="I698" s="171"/>
    </row>
    <row r="699">
      <c r="B699" s="171"/>
      <c r="C699" s="171"/>
      <c r="D699" s="171"/>
      <c r="E699" s="171"/>
      <c r="F699" s="171"/>
      <c r="G699" s="171"/>
      <c r="H699" s="171"/>
      <c r="I699" s="171"/>
    </row>
    <row r="700">
      <c r="B700" s="171"/>
      <c r="C700" s="171"/>
      <c r="D700" s="171"/>
      <c r="E700" s="171"/>
      <c r="F700" s="171"/>
      <c r="G700" s="171"/>
      <c r="H700" s="171"/>
      <c r="I700" s="171"/>
    </row>
    <row r="701">
      <c r="B701" s="171"/>
      <c r="C701" s="171"/>
      <c r="D701" s="171"/>
      <c r="E701" s="171"/>
      <c r="F701" s="171"/>
      <c r="G701" s="171"/>
      <c r="H701" s="171"/>
      <c r="I701" s="171"/>
    </row>
    <row r="702">
      <c r="B702" s="171"/>
      <c r="C702" s="171"/>
      <c r="D702" s="171"/>
      <c r="E702" s="171"/>
      <c r="F702" s="171"/>
      <c r="G702" s="171"/>
      <c r="H702" s="171"/>
      <c r="I702" s="171"/>
    </row>
    <row r="703">
      <c r="B703" s="171"/>
      <c r="C703" s="171"/>
      <c r="D703" s="171"/>
      <c r="E703" s="171"/>
      <c r="F703" s="171"/>
      <c r="G703" s="171"/>
      <c r="H703" s="171"/>
      <c r="I703" s="171"/>
    </row>
    <row r="704">
      <c r="B704" s="171"/>
      <c r="C704" s="171"/>
      <c r="D704" s="171"/>
      <c r="E704" s="171"/>
      <c r="F704" s="171"/>
      <c r="G704" s="171"/>
      <c r="H704" s="171"/>
      <c r="I704" s="171"/>
    </row>
    <row r="705">
      <c r="B705" s="171"/>
      <c r="C705" s="171"/>
      <c r="D705" s="171"/>
      <c r="E705" s="171"/>
      <c r="F705" s="171"/>
      <c r="G705" s="171"/>
      <c r="H705" s="171"/>
      <c r="I705" s="171"/>
    </row>
    <row r="706">
      <c r="B706" s="171"/>
      <c r="C706" s="171"/>
      <c r="D706" s="171"/>
      <c r="E706" s="171"/>
      <c r="F706" s="171"/>
      <c r="G706" s="171"/>
      <c r="H706" s="171"/>
      <c r="I706" s="171"/>
    </row>
    <row r="707">
      <c r="B707" s="171"/>
      <c r="C707" s="171"/>
      <c r="D707" s="171"/>
      <c r="E707" s="171"/>
      <c r="F707" s="171"/>
      <c r="G707" s="171"/>
      <c r="H707" s="171"/>
      <c r="I707" s="171"/>
    </row>
    <row r="708">
      <c r="B708" s="171"/>
      <c r="C708" s="171"/>
      <c r="D708" s="171"/>
      <c r="E708" s="171"/>
      <c r="F708" s="171"/>
      <c r="G708" s="171"/>
      <c r="H708" s="171"/>
      <c r="I708" s="171"/>
    </row>
    <row r="709">
      <c r="B709" s="171"/>
      <c r="C709" s="171"/>
      <c r="D709" s="171"/>
      <c r="E709" s="171"/>
      <c r="F709" s="171"/>
      <c r="G709" s="171"/>
      <c r="H709" s="171"/>
      <c r="I709" s="171"/>
    </row>
    <row r="710">
      <c r="B710" s="171"/>
      <c r="C710" s="171"/>
      <c r="D710" s="171"/>
      <c r="E710" s="171"/>
      <c r="F710" s="171"/>
      <c r="G710" s="171"/>
      <c r="H710" s="171"/>
      <c r="I710" s="171"/>
    </row>
    <row r="711">
      <c r="B711" s="171"/>
      <c r="C711" s="171"/>
      <c r="D711" s="171"/>
      <c r="E711" s="171"/>
      <c r="F711" s="171"/>
      <c r="G711" s="171"/>
      <c r="H711" s="171"/>
      <c r="I711" s="171"/>
    </row>
    <row r="712">
      <c r="B712" s="171"/>
      <c r="C712" s="171"/>
      <c r="D712" s="171"/>
      <c r="E712" s="171"/>
      <c r="F712" s="171"/>
      <c r="G712" s="171"/>
      <c r="H712" s="171"/>
      <c r="I712" s="171"/>
    </row>
    <row r="713">
      <c r="B713" s="171"/>
      <c r="C713" s="171"/>
      <c r="D713" s="171"/>
      <c r="E713" s="171"/>
      <c r="F713" s="171"/>
      <c r="G713" s="171"/>
      <c r="H713" s="171"/>
      <c r="I713" s="171"/>
    </row>
    <row r="714">
      <c r="B714" s="171"/>
      <c r="C714" s="171"/>
      <c r="D714" s="171"/>
      <c r="E714" s="171"/>
      <c r="F714" s="171"/>
      <c r="G714" s="171"/>
      <c r="H714" s="171"/>
      <c r="I714" s="171"/>
    </row>
    <row r="715">
      <c r="B715" s="171"/>
      <c r="C715" s="171"/>
      <c r="D715" s="171"/>
      <c r="E715" s="171"/>
      <c r="F715" s="171"/>
      <c r="G715" s="171"/>
      <c r="H715" s="171"/>
      <c r="I715" s="171"/>
    </row>
    <row r="716">
      <c r="B716" s="171"/>
      <c r="C716" s="171"/>
      <c r="D716" s="171"/>
      <c r="E716" s="171"/>
      <c r="F716" s="171"/>
      <c r="G716" s="171"/>
      <c r="H716" s="171"/>
      <c r="I716" s="171"/>
    </row>
    <row r="717">
      <c r="B717" s="171"/>
      <c r="C717" s="171"/>
      <c r="D717" s="171"/>
      <c r="E717" s="171"/>
      <c r="F717" s="171"/>
      <c r="G717" s="171"/>
      <c r="H717" s="171"/>
      <c r="I717" s="171"/>
    </row>
    <row r="718">
      <c r="B718" s="171"/>
      <c r="C718" s="171"/>
      <c r="D718" s="171"/>
      <c r="E718" s="171"/>
      <c r="F718" s="171"/>
      <c r="G718" s="171"/>
      <c r="H718" s="171"/>
      <c r="I718" s="171"/>
    </row>
    <row r="719">
      <c r="B719" s="171"/>
      <c r="C719" s="171"/>
      <c r="D719" s="171"/>
      <c r="E719" s="171"/>
      <c r="F719" s="171"/>
      <c r="G719" s="171"/>
      <c r="H719" s="171"/>
      <c r="I719" s="171"/>
    </row>
    <row r="720">
      <c r="B720" s="171"/>
      <c r="C720" s="171"/>
      <c r="D720" s="171"/>
      <c r="E720" s="171"/>
      <c r="F720" s="171"/>
      <c r="G720" s="171"/>
      <c r="H720" s="171"/>
      <c r="I720" s="171"/>
    </row>
    <row r="721">
      <c r="B721" s="171"/>
      <c r="C721" s="171"/>
      <c r="D721" s="171"/>
      <c r="E721" s="171"/>
      <c r="F721" s="171"/>
      <c r="G721" s="171"/>
      <c r="H721" s="171"/>
      <c r="I721" s="171"/>
    </row>
    <row r="722">
      <c r="B722" s="171"/>
      <c r="C722" s="171"/>
      <c r="D722" s="171"/>
      <c r="E722" s="171"/>
      <c r="F722" s="171"/>
      <c r="G722" s="171"/>
      <c r="H722" s="171"/>
      <c r="I722" s="171"/>
    </row>
    <row r="723">
      <c r="B723" s="171"/>
      <c r="C723" s="171"/>
      <c r="D723" s="171"/>
      <c r="E723" s="171"/>
      <c r="F723" s="171"/>
      <c r="G723" s="171"/>
      <c r="H723" s="171"/>
      <c r="I723" s="171"/>
    </row>
    <row r="724">
      <c r="B724" s="171"/>
      <c r="C724" s="171"/>
      <c r="D724" s="171"/>
      <c r="E724" s="171"/>
      <c r="F724" s="171"/>
      <c r="G724" s="171"/>
      <c r="H724" s="171"/>
      <c r="I724" s="171"/>
    </row>
    <row r="725">
      <c r="B725" s="171"/>
      <c r="C725" s="171"/>
      <c r="D725" s="171"/>
      <c r="E725" s="171"/>
      <c r="F725" s="171"/>
      <c r="G725" s="171"/>
      <c r="H725" s="171"/>
      <c r="I725" s="171"/>
    </row>
    <row r="726">
      <c r="B726" s="171"/>
      <c r="C726" s="171"/>
      <c r="D726" s="171"/>
      <c r="E726" s="171"/>
      <c r="F726" s="171"/>
      <c r="G726" s="171"/>
      <c r="H726" s="171"/>
      <c r="I726" s="171"/>
    </row>
    <row r="727">
      <c r="B727" s="171"/>
      <c r="C727" s="171"/>
      <c r="D727" s="171"/>
      <c r="E727" s="171"/>
      <c r="F727" s="171"/>
      <c r="G727" s="171"/>
      <c r="H727" s="171"/>
      <c r="I727" s="171"/>
    </row>
    <row r="728">
      <c r="B728" s="171"/>
      <c r="C728" s="171"/>
      <c r="D728" s="171"/>
      <c r="E728" s="171"/>
      <c r="F728" s="171"/>
      <c r="G728" s="171"/>
      <c r="H728" s="171"/>
      <c r="I728" s="171"/>
    </row>
    <row r="729">
      <c r="B729" s="171"/>
      <c r="C729" s="171"/>
      <c r="D729" s="171"/>
      <c r="E729" s="171"/>
      <c r="F729" s="171"/>
      <c r="G729" s="171"/>
      <c r="H729" s="171"/>
      <c r="I729" s="171"/>
    </row>
    <row r="730">
      <c r="B730" s="171"/>
      <c r="C730" s="171"/>
      <c r="D730" s="171"/>
      <c r="E730" s="171"/>
      <c r="F730" s="171"/>
      <c r="G730" s="171"/>
      <c r="H730" s="171"/>
      <c r="I730" s="171"/>
    </row>
    <row r="731">
      <c r="B731" s="171"/>
      <c r="C731" s="171"/>
      <c r="D731" s="171"/>
      <c r="E731" s="171"/>
      <c r="F731" s="171"/>
      <c r="G731" s="171"/>
      <c r="H731" s="171"/>
      <c r="I731" s="171"/>
    </row>
    <row r="732">
      <c r="B732" s="171"/>
      <c r="C732" s="171"/>
      <c r="D732" s="171"/>
      <c r="E732" s="171"/>
      <c r="F732" s="171"/>
      <c r="G732" s="171"/>
      <c r="H732" s="171"/>
      <c r="I732" s="171"/>
    </row>
    <row r="733">
      <c r="B733" s="171"/>
      <c r="C733" s="171"/>
      <c r="D733" s="171"/>
      <c r="E733" s="171"/>
      <c r="F733" s="171"/>
      <c r="G733" s="171"/>
      <c r="H733" s="171"/>
      <c r="I733" s="171"/>
    </row>
    <row r="734">
      <c r="B734" s="171"/>
      <c r="C734" s="171"/>
      <c r="D734" s="171"/>
      <c r="E734" s="171"/>
      <c r="F734" s="171"/>
      <c r="G734" s="171"/>
      <c r="H734" s="171"/>
      <c r="I734" s="171"/>
    </row>
    <row r="735">
      <c r="B735" s="171"/>
      <c r="C735" s="171"/>
      <c r="D735" s="171"/>
      <c r="E735" s="171"/>
      <c r="F735" s="171"/>
      <c r="G735" s="171"/>
      <c r="H735" s="171"/>
      <c r="I735" s="171"/>
    </row>
    <row r="736">
      <c r="B736" s="171"/>
      <c r="C736" s="171"/>
      <c r="D736" s="171"/>
      <c r="E736" s="171"/>
      <c r="F736" s="171"/>
      <c r="G736" s="171"/>
      <c r="H736" s="171"/>
      <c r="I736" s="171"/>
    </row>
    <row r="737">
      <c r="B737" s="171"/>
      <c r="C737" s="171"/>
      <c r="D737" s="171"/>
      <c r="E737" s="171"/>
      <c r="F737" s="171"/>
      <c r="G737" s="171"/>
      <c r="H737" s="171"/>
      <c r="I737" s="171"/>
    </row>
    <row r="738">
      <c r="B738" s="171"/>
      <c r="C738" s="171"/>
      <c r="D738" s="171"/>
      <c r="E738" s="171"/>
      <c r="F738" s="171"/>
      <c r="G738" s="171"/>
      <c r="H738" s="171"/>
      <c r="I738" s="171"/>
    </row>
    <row r="739">
      <c r="B739" s="171"/>
      <c r="C739" s="171"/>
      <c r="D739" s="171"/>
      <c r="E739" s="171"/>
      <c r="F739" s="171"/>
      <c r="G739" s="171"/>
      <c r="H739" s="171"/>
      <c r="I739" s="171"/>
    </row>
    <row r="740">
      <c r="B740" s="171"/>
      <c r="C740" s="171"/>
      <c r="D740" s="171"/>
      <c r="E740" s="171"/>
      <c r="F740" s="171"/>
      <c r="G740" s="171"/>
      <c r="H740" s="171"/>
      <c r="I740" s="171"/>
    </row>
    <row r="741">
      <c r="B741" s="171"/>
      <c r="C741" s="171"/>
      <c r="D741" s="171"/>
      <c r="E741" s="171"/>
      <c r="F741" s="171"/>
      <c r="G741" s="171"/>
      <c r="H741" s="171"/>
      <c r="I741" s="171"/>
    </row>
    <row r="742">
      <c r="B742" s="171"/>
      <c r="C742" s="171"/>
      <c r="D742" s="171"/>
      <c r="E742" s="171"/>
      <c r="F742" s="171"/>
      <c r="G742" s="171"/>
      <c r="H742" s="171"/>
      <c r="I742" s="171"/>
    </row>
    <row r="743">
      <c r="B743" s="171"/>
      <c r="C743" s="171"/>
      <c r="D743" s="171"/>
      <c r="E743" s="171"/>
      <c r="F743" s="171"/>
      <c r="G743" s="171"/>
      <c r="H743" s="171"/>
      <c r="I743" s="171"/>
    </row>
    <row r="744">
      <c r="B744" s="171"/>
      <c r="C744" s="171"/>
      <c r="D744" s="171"/>
      <c r="E744" s="171"/>
      <c r="F744" s="171"/>
      <c r="G744" s="171"/>
      <c r="H744" s="171"/>
      <c r="I744" s="171"/>
    </row>
    <row r="745">
      <c r="B745" s="171"/>
      <c r="C745" s="171"/>
      <c r="D745" s="171"/>
      <c r="E745" s="171"/>
      <c r="F745" s="171"/>
      <c r="G745" s="171"/>
      <c r="H745" s="171"/>
      <c r="I745" s="171"/>
    </row>
    <row r="746">
      <c r="B746" s="171"/>
      <c r="C746" s="171"/>
      <c r="D746" s="171"/>
      <c r="E746" s="171"/>
      <c r="F746" s="171"/>
      <c r="G746" s="171"/>
      <c r="H746" s="171"/>
      <c r="I746" s="171"/>
    </row>
    <row r="747">
      <c r="B747" s="171"/>
      <c r="C747" s="171"/>
      <c r="D747" s="171"/>
      <c r="E747" s="171"/>
      <c r="F747" s="171"/>
      <c r="G747" s="171"/>
      <c r="H747" s="171"/>
      <c r="I747" s="171"/>
    </row>
    <row r="748">
      <c r="B748" s="171"/>
      <c r="C748" s="171"/>
      <c r="D748" s="171"/>
      <c r="E748" s="171"/>
      <c r="F748" s="171"/>
      <c r="G748" s="171"/>
      <c r="H748" s="171"/>
      <c r="I748" s="171"/>
    </row>
    <row r="749">
      <c r="B749" s="171"/>
      <c r="C749" s="171"/>
      <c r="D749" s="171"/>
      <c r="E749" s="171"/>
      <c r="F749" s="171"/>
      <c r="G749" s="171"/>
      <c r="H749" s="171"/>
      <c r="I749" s="171"/>
    </row>
    <row r="750">
      <c r="B750" s="171"/>
      <c r="C750" s="171"/>
      <c r="D750" s="171"/>
      <c r="E750" s="171"/>
      <c r="F750" s="171"/>
      <c r="G750" s="171"/>
      <c r="H750" s="171"/>
      <c r="I750" s="171"/>
    </row>
    <row r="751">
      <c r="B751" s="171"/>
      <c r="C751" s="171"/>
      <c r="D751" s="171"/>
      <c r="E751" s="171"/>
      <c r="F751" s="171"/>
      <c r="G751" s="171"/>
      <c r="H751" s="171"/>
      <c r="I751" s="171"/>
    </row>
    <row r="752">
      <c r="B752" s="171"/>
      <c r="C752" s="171"/>
      <c r="D752" s="171"/>
      <c r="E752" s="171"/>
      <c r="F752" s="171"/>
      <c r="G752" s="171"/>
      <c r="H752" s="171"/>
      <c r="I752" s="171"/>
    </row>
    <row r="753">
      <c r="B753" s="171"/>
      <c r="C753" s="171"/>
      <c r="D753" s="171"/>
      <c r="E753" s="171"/>
      <c r="F753" s="171"/>
      <c r="G753" s="171"/>
      <c r="H753" s="171"/>
      <c r="I753" s="171"/>
    </row>
    <row r="754">
      <c r="B754" s="171"/>
      <c r="C754" s="171"/>
      <c r="D754" s="171"/>
      <c r="E754" s="171"/>
      <c r="F754" s="171"/>
      <c r="G754" s="171"/>
      <c r="H754" s="171"/>
      <c r="I754" s="171"/>
    </row>
    <row r="755">
      <c r="B755" s="171"/>
      <c r="C755" s="171"/>
      <c r="D755" s="171"/>
      <c r="E755" s="171"/>
      <c r="F755" s="171"/>
      <c r="G755" s="171"/>
      <c r="H755" s="171"/>
      <c r="I755" s="171"/>
    </row>
    <row r="756">
      <c r="B756" s="171"/>
      <c r="C756" s="171"/>
      <c r="D756" s="171"/>
      <c r="E756" s="171"/>
      <c r="F756" s="171"/>
      <c r="G756" s="171"/>
      <c r="H756" s="171"/>
      <c r="I756" s="171"/>
    </row>
    <row r="757">
      <c r="B757" s="171"/>
      <c r="C757" s="171"/>
      <c r="D757" s="171"/>
      <c r="E757" s="171"/>
      <c r="F757" s="171"/>
      <c r="G757" s="171"/>
      <c r="H757" s="171"/>
      <c r="I757" s="171"/>
    </row>
    <row r="758">
      <c r="B758" s="171"/>
      <c r="C758" s="171"/>
      <c r="D758" s="171"/>
      <c r="E758" s="171"/>
      <c r="F758" s="171"/>
      <c r="G758" s="171"/>
      <c r="H758" s="171"/>
      <c r="I758" s="171"/>
    </row>
    <row r="759">
      <c r="B759" s="171"/>
      <c r="C759" s="171"/>
      <c r="D759" s="171"/>
      <c r="E759" s="171"/>
      <c r="F759" s="171"/>
      <c r="G759" s="171"/>
      <c r="H759" s="171"/>
      <c r="I759" s="171"/>
    </row>
    <row r="760">
      <c r="B760" s="171"/>
      <c r="C760" s="171"/>
      <c r="D760" s="171"/>
      <c r="E760" s="171"/>
      <c r="F760" s="171"/>
      <c r="G760" s="171"/>
      <c r="H760" s="171"/>
      <c r="I760" s="171"/>
    </row>
    <row r="761">
      <c r="B761" s="171"/>
      <c r="C761" s="171"/>
      <c r="D761" s="171"/>
      <c r="E761" s="171"/>
      <c r="F761" s="171"/>
      <c r="G761" s="171"/>
      <c r="H761" s="171"/>
      <c r="I761" s="171"/>
    </row>
    <row r="762">
      <c r="B762" s="171"/>
      <c r="C762" s="171"/>
      <c r="D762" s="171"/>
      <c r="E762" s="171"/>
      <c r="F762" s="171"/>
      <c r="G762" s="171"/>
      <c r="H762" s="171"/>
      <c r="I762" s="171"/>
    </row>
    <row r="763">
      <c r="B763" s="171"/>
      <c r="C763" s="171"/>
      <c r="D763" s="171"/>
      <c r="E763" s="171"/>
      <c r="F763" s="171"/>
      <c r="G763" s="171"/>
      <c r="H763" s="171"/>
      <c r="I763" s="171"/>
    </row>
    <row r="764">
      <c r="B764" s="171"/>
      <c r="C764" s="171"/>
      <c r="D764" s="171"/>
      <c r="E764" s="171"/>
      <c r="F764" s="171"/>
      <c r="G764" s="171"/>
      <c r="H764" s="171"/>
      <c r="I764" s="171"/>
    </row>
    <row r="765">
      <c r="B765" s="171"/>
      <c r="C765" s="171"/>
      <c r="D765" s="171"/>
      <c r="E765" s="171"/>
      <c r="F765" s="171"/>
      <c r="G765" s="171"/>
      <c r="H765" s="171"/>
      <c r="I765" s="171"/>
    </row>
    <row r="766">
      <c r="B766" s="171"/>
      <c r="C766" s="171"/>
      <c r="D766" s="171"/>
      <c r="E766" s="171"/>
      <c r="F766" s="171"/>
      <c r="G766" s="171"/>
      <c r="H766" s="171"/>
      <c r="I766" s="171"/>
    </row>
    <row r="767">
      <c r="B767" s="171"/>
      <c r="C767" s="171"/>
      <c r="D767" s="171"/>
      <c r="E767" s="171"/>
      <c r="F767" s="171"/>
      <c r="G767" s="171"/>
      <c r="H767" s="171"/>
      <c r="I767" s="171"/>
    </row>
    <row r="768">
      <c r="B768" s="171"/>
      <c r="C768" s="171"/>
      <c r="D768" s="171"/>
      <c r="E768" s="171"/>
      <c r="F768" s="171"/>
      <c r="G768" s="171"/>
      <c r="H768" s="171"/>
      <c r="I768" s="171"/>
    </row>
    <row r="769">
      <c r="B769" s="171"/>
      <c r="C769" s="171"/>
      <c r="D769" s="171"/>
      <c r="E769" s="171"/>
      <c r="F769" s="171"/>
      <c r="G769" s="171"/>
      <c r="H769" s="171"/>
      <c r="I769" s="171"/>
    </row>
    <row r="770">
      <c r="B770" s="171"/>
      <c r="C770" s="171"/>
      <c r="D770" s="171"/>
      <c r="E770" s="171"/>
      <c r="F770" s="171"/>
      <c r="G770" s="171"/>
      <c r="H770" s="171"/>
      <c r="I770" s="171"/>
    </row>
    <row r="771">
      <c r="B771" s="171"/>
      <c r="C771" s="171"/>
      <c r="D771" s="171"/>
      <c r="E771" s="171"/>
      <c r="F771" s="171"/>
      <c r="G771" s="171"/>
      <c r="H771" s="171"/>
      <c r="I771" s="171"/>
    </row>
    <row r="772">
      <c r="B772" s="171"/>
      <c r="C772" s="171"/>
      <c r="D772" s="171"/>
      <c r="E772" s="171"/>
      <c r="F772" s="171"/>
      <c r="G772" s="171"/>
      <c r="H772" s="171"/>
      <c r="I772" s="171"/>
    </row>
    <row r="773">
      <c r="B773" s="171"/>
      <c r="C773" s="171"/>
      <c r="D773" s="171"/>
      <c r="E773" s="171"/>
      <c r="F773" s="171"/>
      <c r="G773" s="171"/>
      <c r="H773" s="171"/>
      <c r="I773" s="171"/>
    </row>
    <row r="774">
      <c r="B774" s="171"/>
      <c r="C774" s="171"/>
      <c r="D774" s="171"/>
      <c r="E774" s="171"/>
      <c r="F774" s="171"/>
      <c r="G774" s="171"/>
      <c r="H774" s="171"/>
      <c r="I774" s="171"/>
    </row>
    <row r="775">
      <c r="B775" s="171"/>
      <c r="C775" s="171"/>
      <c r="D775" s="171"/>
      <c r="E775" s="171"/>
      <c r="F775" s="171"/>
      <c r="G775" s="171"/>
      <c r="H775" s="171"/>
      <c r="I775" s="171"/>
    </row>
    <row r="776">
      <c r="B776" s="171"/>
      <c r="C776" s="171"/>
      <c r="D776" s="171"/>
      <c r="E776" s="171"/>
      <c r="F776" s="171"/>
      <c r="G776" s="171"/>
      <c r="H776" s="171"/>
      <c r="I776" s="171"/>
    </row>
    <row r="777">
      <c r="B777" s="171"/>
      <c r="C777" s="171"/>
      <c r="D777" s="171"/>
      <c r="E777" s="171"/>
      <c r="F777" s="171"/>
      <c r="G777" s="171"/>
      <c r="H777" s="171"/>
      <c r="I777" s="171"/>
    </row>
    <row r="778">
      <c r="B778" s="171"/>
      <c r="C778" s="171"/>
      <c r="D778" s="171"/>
      <c r="E778" s="171"/>
      <c r="F778" s="171"/>
      <c r="G778" s="171"/>
      <c r="H778" s="171"/>
      <c r="I778" s="171"/>
    </row>
    <row r="779">
      <c r="B779" s="171"/>
      <c r="C779" s="171"/>
      <c r="D779" s="171"/>
      <c r="E779" s="171"/>
      <c r="F779" s="171"/>
      <c r="G779" s="171"/>
      <c r="H779" s="171"/>
      <c r="I779" s="171"/>
    </row>
    <row r="780">
      <c r="B780" s="171"/>
      <c r="C780" s="171"/>
      <c r="D780" s="171"/>
      <c r="E780" s="171"/>
      <c r="F780" s="171"/>
      <c r="G780" s="171"/>
      <c r="H780" s="171"/>
      <c r="I780" s="171"/>
    </row>
    <row r="781">
      <c r="B781" s="171"/>
      <c r="C781" s="171"/>
      <c r="D781" s="171"/>
      <c r="E781" s="171"/>
      <c r="F781" s="171"/>
      <c r="G781" s="171"/>
      <c r="H781" s="171"/>
      <c r="I781" s="171"/>
    </row>
    <row r="782">
      <c r="B782" s="171"/>
      <c r="C782" s="171"/>
      <c r="D782" s="171"/>
      <c r="E782" s="171"/>
      <c r="F782" s="171"/>
      <c r="G782" s="171"/>
      <c r="H782" s="171"/>
      <c r="I782" s="171"/>
    </row>
    <row r="783">
      <c r="B783" s="171"/>
      <c r="C783" s="171"/>
      <c r="D783" s="171"/>
      <c r="E783" s="171"/>
      <c r="F783" s="171"/>
      <c r="G783" s="171"/>
      <c r="H783" s="171"/>
      <c r="I783" s="171"/>
    </row>
    <row r="784">
      <c r="B784" s="171"/>
      <c r="C784" s="171"/>
      <c r="D784" s="171"/>
      <c r="E784" s="171"/>
      <c r="F784" s="171"/>
      <c r="G784" s="171"/>
      <c r="H784" s="171"/>
      <c r="I784" s="171"/>
    </row>
    <row r="785">
      <c r="B785" s="171"/>
      <c r="C785" s="171"/>
      <c r="D785" s="171"/>
      <c r="E785" s="171"/>
      <c r="F785" s="171"/>
      <c r="G785" s="171"/>
      <c r="H785" s="171"/>
      <c r="I785" s="171"/>
    </row>
    <row r="786">
      <c r="B786" s="171"/>
      <c r="C786" s="171"/>
      <c r="D786" s="171"/>
      <c r="E786" s="171"/>
      <c r="F786" s="171"/>
      <c r="G786" s="171"/>
      <c r="H786" s="171"/>
      <c r="I786" s="171"/>
    </row>
    <row r="787">
      <c r="B787" s="171"/>
      <c r="C787" s="171"/>
      <c r="D787" s="171"/>
      <c r="E787" s="171"/>
      <c r="F787" s="171"/>
      <c r="G787" s="171"/>
      <c r="H787" s="171"/>
      <c r="I787" s="171"/>
    </row>
    <row r="788">
      <c r="B788" s="171"/>
      <c r="C788" s="171"/>
      <c r="D788" s="171"/>
      <c r="E788" s="171"/>
      <c r="F788" s="171"/>
      <c r="G788" s="171"/>
      <c r="H788" s="171"/>
      <c r="I788" s="171"/>
    </row>
    <row r="789">
      <c r="B789" s="171"/>
      <c r="C789" s="171"/>
      <c r="D789" s="171"/>
      <c r="E789" s="171"/>
      <c r="F789" s="171"/>
      <c r="G789" s="171"/>
      <c r="H789" s="171"/>
      <c r="I789" s="171"/>
    </row>
    <row r="790">
      <c r="B790" s="171"/>
      <c r="C790" s="171"/>
      <c r="D790" s="171"/>
      <c r="E790" s="171"/>
      <c r="F790" s="171"/>
      <c r="G790" s="171"/>
      <c r="H790" s="171"/>
      <c r="I790" s="171"/>
    </row>
    <row r="791">
      <c r="B791" s="171"/>
      <c r="C791" s="171"/>
      <c r="D791" s="171"/>
      <c r="E791" s="171"/>
      <c r="F791" s="171"/>
      <c r="G791" s="171"/>
      <c r="H791" s="171"/>
      <c r="I791" s="171"/>
    </row>
    <row r="792">
      <c r="B792" s="171"/>
      <c r="C792" s="171"/>
      <c r="D792" s="171"/>
      <c r="E792" s="171"/>
      <c r="F792" s="171"/>
      <c r="G792" s="171"/>
      <c r="H792" s="171"/>
      <c r="I792" s="171"/>
    </row>
    <row r="793">
      <c r="B793" s="171"/>
      <c r="C793" s="171"/>
      <c r="D793" s="171"/>
      <c r="E793" s="171"/>
      <c r="F793" s="171"/>
      <c r="G793" s="171"/>
      <c r="H793" s="171"/>
      <c r="I793" s="171"/>
    </row>
    <row r="794">
      <c r="B794" s="171"/>
      <c r="C794" s="171"/>
      <c r="D794" s="171"/>
      <c r="E794" s="171"/>
      <c r="F794" s="171"/>
      <c r="G794" s="171"/>
      <c r="H794" s="171"/>
      <c r="I794" s="171"/>
    </row>
    <row r="795">
      <c r="B795" s="171"/>
      <c r="C795" s="171"/>
      <c r="D795" s="171"/>
      <c r="E795" s="171"/>
      <c r="F795" s="171"/>
      <c r="G795" s="171"/>
      <c r="H795" s="171"/>
      <c r="I795" s="171"/>
    </row>
    <row r="796">
      <c r="B796" s="171"/>
      <c r="C796" s="171"/>
      <c r="D796" s="171"/>
      <c r="E796" s="171"/>
      <c r="F796" s="171"/>
      <c r="G796" s="171"/>
      <c r="H796" s="171"/>
      <c r="I796" s="171"/>
    </row>
    <row r="797">
      <c r="B797" s="171"/>
      <c r="C797" s="171"/>
      <c r="D797" s="171"/>
      <c r="E797" s="171"/>
      <c r="F797" s="171"/>
      <c r="G797" s="171"/>
      <c r="H797" s="171"/>
      <c r="I797" s="171"/>
    </row>
    <row r="798">
      <c r="B798" s="171"/>
      <c r="C798" s="171"/>
      <c r="D798" s="171"/>
      <c r="E798" s="171"/>
      <c r="F798" s="171"/>
      <c r="G798" s="171"/>
      <c r="H798" s="171"/>
      <c r="I798" s="171"/>
    </row>
    <row r="799">
      <c r="B799" s="171"/>
      <c r="C799" s="171"/>
      <c r="D799" s="171"/>
      <c r="E799" s="171"/>
      <c r="F799" s="171"/>
      <c r="G799" s="171"/>
      <c r="H799" s="171"/>
      <c r="I799" s="171"/>
    </row>
    <row r="800">
      <c r="B800" s="171"/>
      <c r="C800" s="171"/>
      <c r="D800" s="171"/>
      <c r="E800" s="171"/>
      <c r="F800" s="171"/>
      <c r="G800" s="171"/>
      <c r="H800" s="171"/>
      <c r="I800" s="171"/>
    </row>
    <row r="801">
      <c r="B801" s="171"/>
      <c r="C801" s="171"/>
      <c r="D801" s="171"/>
      <c r="E801" s="171"/>
      <c r="F801" s="171"/>
      <c r="G801" s="171"/>
      <c r="H801" s="171"/>
      <c r="I801" s="171"/>
    </row>
    <row r="802">
      <c r="B802" s="171"/>
      <c r="C802" s="171"/>
      <c r="D802" s="171"/>
      <c r="E802" s="171"/>
      <c r="F802" s="171"/>
      <c r="G802" s="171"/>
      <c r="H802" s="171"/>
      <c r="I802" s="171"/>
    </row>
    <row r="803">
      <c r="B803" s="171"/>
      <c r="C803" s="171"/>
      <c r="D803" s="171"/>
      <c r="E803" s="171"/>
      <c r="F803" s="171"/>
      <c r="G803" s="171"/>
      <c r="H803" s="171"/>
      <c r="I803" s="171"/>
    </row>
    <row r="804">
      <c r="B804" s="171"/>
      <c r="C804" s="171"/>
      <c r="D804" s="171"/>
      <c r="E804" s="171"/>
      <c r="F804" s="171"/>
      <c r="G804" s="171"/>
      <c r="H804" s="171"/>
      <c r="I804" s="171"/>
    </row>
    <row r="805">
      <c r="B805" s="171"/>
      <c r="C805" s="171"/>
      <c r="D805" s="171"/>
      <c r="E805" s="171"/>
      <c r="F805" s="171"/>
      <c r="G805" s="171"/>
      <c r="H805" s="171"/>
      <c r="I805" s="171"/>
    </row>
    <row r="806">
      <c r="B806" s="171"/>
      <c r="C806" s="171"/>
      <c r="D806" s="171"/>
      <c r="E806" s="171"/>
      <c r="F806" s="171"/>
      <c r="G806" s="171"/>
      <c r="H806" s="171"/>
      <c r="I806" s="171"/>
    </row>
    <row r="807">
      <c r="B807" s="171"/>
      <c r="C807" s="171"/>
      <c r="D807" s="171"/>
      <c r="E807" s="171"/>
      <c r="F807" s="171"/>
      <c r="G807" s="171"/>
      <c r="H807" s="171"/>
      <c r="I807" s="171"/>
    </row>
    <row r="808">
      <c r="B808" s="171"/>
      <c r="C808" s="171"/>
      <c r="D808" s="171"/>
      <c r="E808" s="171"/>
      <c r="F808" s="171"/>
      <c r="G808" s="171"/>
      <c r="H808" s="171"/>
      <c r="I808" s="171"/>
    </row>
    <row r="809">
      <c r="B809" s="171"/>
      <c r="C809" s="171"/>
      <c r="D809" s="171"/>
      <c r="E809" s="171"/>
      <c r="F809" s="171"/>
      <c r="G809" s="171"/>
      <c r="H809" s="171"/>
      <c r="I809" s="171"/>
    </row>
    <row r="810">
      <c r="B810" s="171"/>
      <c r="C810" s="171"/>
      <c r="D810" s="171"/>
      <c r="E810" s="171"/>
      <c r="F810" s="171"/>
      <c r="G810" s="171"/>
      <c r="H810" s="171"/>
      <c r="I810" s="171"/>
    </row>
    <row r="811">
      <c r="B811" s="171"/>
      <c r="C811" s="171"/>
      <c r="D811" s="171"/>
      <c r="E811" s="171"/>
      <c r="F811" s="171"/>
      <c r="G811" s="171"/>
      <c r="H811" s="171"/>
      <c r="I811" s="171"/>
    </row>
    <row r="812">
      <c r="B812" s="171"/>
      <c r="C812" s="171"/>
      <c r="D812" s="171"/>
      <c r="E812" s="171"/>
      <c r="F812" s="171"/>
      <c r="G812" s="171"/>
      <c r="H812" s="171"/>
      <c r="I812" s="171"/>
    </row>
    <row r="813">
      <c r="B813" s="171"/>
      <c r="C813" s="171"/>
      <c r="D813" s="171"/>
      <c r="E813" s="171"/>
      <c r="F813" s="171"/>
      <c r="G813" s="171"/>
      <c r="H813" s="171"/>
      <c r="I813" s="171"/>
    </row>
    <row r="814">
      <c r="B814" s="171"/>
      <c r="C814" s="171"/>
      <c r="D814" s="171"/>
      <c r="E814" s="171"/>
      <c r="F814" s="171"/>
      <c r="G814" s="171"/>
      <c r="H814" s="171"/>
      <c r="I814" s="171"/>
    </row>
    <row r="815">
      <c r="B815" s="171"/>
      <c r="C815" s="171"/>
      <c r="D815" s="171"/>
      <c r="E815" s="171"/>
      <c r="F815" s="171"/>
      <c r="G815" s="171"/>
      <c r="H815" s="171"/>
      <c r="I815" s="171"/>
    </row>
    <row r="816">
      <c r="B816" s="171"/>
      <c r="C816" s="171"/>
      <c r="D816" s="171"/>
      <c r="E816" s="171"/>
      <c r="F816" s="171"/>
      <c r="G816" s="171"/>
      <c r="H816" s="171"/>
      <c r="I816" s="171"/>
    </row>
    <row r="817">
      <c r="B817" s="171"/>
      <c r="C817" s="171"/>
      <c r="D817" s="171"/>
      <c r="E817" s="171"/>
      <c r="F817" s="171"/>
      <c r="G817" s="171"/>
      <c r="H817" s="171"/>
      <c r="I817" s="171"/>
    </row>
    <row r="818">
      <c r="B818" s="171"/>
      <c r="C818" s="171"/>
      <c r="D818" s="171"/>
      <c r="E818" s="171"/>
      <c r="F818" s="171"/>
      <c r="G818" s="171"/>
      <c r="H818" s="171"/>
      <c r="I818" s="171"/>
    </row>
    <row r="819">
      <c r="B819" s="171"/>
      <c r="C819" s="171"/>
      <c r="D819" s="171"/>
      <c r="E819" s="171"/>
      <c r="F819" s="171"/>
      <c r="G819" s="171"/>
      <c r="H819" s="171"/>
      <c r="I819" s="171"/>
    </row>
    <row r="820">
      <c r="B820" s="171"/>
      <c r="C820" s="171"/>
      <c r="D820" s="171"/>
      <c r="E820" s="171"/>
      <c r="F820" s="171"/>
      <c r="G820" s="171"/>
      <c r="H820" s="171"/>
      <c r="I820" s="171"/>
    </row>
    <row r="821">
      <c r="B821" s="171"/>
      <c r="C821" s="171"/>
      <c r="D821" s="171"/>
      <c r="E821" s="171"/>
      <c r="F821" s="171"/>
      <c r="G821" s="171"/>
      <c r="H821" s="171"/>
      <c r="I821" s="171"/>
    </row>
    <row r="822">
      <c r="B822" s="171"/>
      <c r="C822" s="171"/>
      <c r="D822" s="171"/>
      <c r="E822" s="171"/>
      <c r="F822" s="171"/>
      <c r="G822" s="171"/>
      <c r="H822" s="171"/>
      <c r="I822" s="171"/>
    </row>
    <row r="823">
      <c r="B823" s="171"/>
      <c r="C823" s="171"/>
      <c r="D823" s="171"/>
      <c r="E823" s="171"/>
      <c r="F823" s="171"/>
      <c r="G823" s="171"/>
      <c r="H823" s="171"/>
      <c r="I823" s="171"/>
    </row>
    <row r="824">
      <c r="B824" s="171"/>
      <c r="C824" s="171"/>
      <c r="D824" s="171"/>
      <c r="E824" s="171"/>
      <c r="F824" s="171"/>
      <c r="G824" s="171"/>
      <c r="H824" s="171"/>
      <c r="I824" s="171"/>
    </row>
    <row r="825">
      <c r="B825" s="171"/>
      <c r="C825" s="171"/>
      <c r="D825" s="171"/>
      <c r="E825" s="171"/>
      <c r="F825" s="171"/>
      <c r="G825" s="171"/>
      <c r="H825" s="171"/>
      <c r="I825" s="171"/>
    </row>
    <row r="826">
      <c r="B826" s="171"/>
      <c r="C826" s="171"/>
      <c r="D826" s="171"/>
      <c r="E826" s="171"/>
      <c r="F826" s="171"/>
      <c r="G826" s="171"/>
      <c r="H826" s="171"/>
      <c r="I826" s="171"/>
    </row>
    <row r="827">
      <c r="B827" s="171"/>
      <c r="C827" s="171"/>
      <c r="D827" s="171"/>
      <c r="E827" s="171"/>
      <c r="F827" s="171"/>
      <c r="G827" s="171"/>
      <c r="H827" s="171"/>
      <c r="I827" s="171"/>
    </row>
    <row r="828">
      <c r="B828" s="171"/>
      <c r="C828" s="171"/>
      <c r="D828" s="171"/>
      <c r="E828" s="171"/>
      <c r="F828" s="171"/>
      <c r="G828" s="171"/>
      <c r="H828" s="171"/>
      <c r="I828" s="171"/>
    </row>
    <row r="829">
      <c r="B829" s="171"/>
      <c r="C829" s="171"/>
      <c r="D829" s="171"/>
      <c r="E829" s="171"/>
      <c r="F829" s="171"/>
      <c r="G829" s="171"/>
      <c r="H829" s="171"/>
      <c r="I829" s="171"/>
    </row>
    <row r="830">
      <c r="B830" s="171"/>
      <c r="C830" s="171"/>
      <c r="D830" s="171"/>
      <c r="E830" s="171"/>
      <c r="F830" s="171"/>
      <c r="G830" s="171"/>
      <c r="H830" s="171"/>
      <c r="I830" s="171"/>
    </row>
    <row r="831">
      <c r="B831" s="171"/>
      <c r="C831" s="171"/>
      <c r="D831" s="171"/>
      <c r="E831" s="171"/>
      <c r="F831" s="171"/>
      <c r="G831" s="171"/>
      <c r="H831" s="171"/>
      <c r="I831" s="171"/>
    </row>
    <row r="832">
      <c r="B832" s="171"/>
      <c r="C832" s="171"/>
      <c r="D832" s="171"/>
      <c r="E832" s="171"/>
      <c r="F832" s="171"/>
      <c r="G832" s="171"/>
      <c r="H832" s="171"/>
      <c r="I832" s="171"/>
    </row>
    <row r="833">
      <c r="B833" s="171"/>
      <c r="C833" s="171"/>
      <c r="D833" s="171"/>
      <c r="E833" s="171"/>
      <c r="F833" s="171"/>
      <c r="G833" s="171"/>
      <c r="H833" s="171"/>
      <c r="I833" s="171"/>
    </row>
    <row r="834">
      <c r="B834" s="171"/>
      <c r="C834" s="171"/>
      <c r="D834" s="171"/>
      <c r="E834" s="171"/>
      <c r="F834" s="171"/>
      <c r="G834" s="171"/>
      <c r="H834" s="171"/>
      <c r="I834" s="171"/>
    </row>
    <row r="835">
      <c r="B835" s="171"/>
      <c r="C835" s="171"/>
      <c r="D835" s="171"/>
      <c r="E835" s="171"/>
      <c r="F835" s="171"/>
      <c r="G835" s="171"/>
      <c r="H835" s="171"/>
      <c r="I835" s="171"/>
    </row>
    <row r="836">
      <c r="B836" s="171"/>
      <c r="C836" s="171"/>
      <c r="D836" s="171"/>
      <c r="E836" s="171"/>
      <c r="F836" s="171"/>
      <c r="G836" s="171"/>
      <c r="H836" s="171"/>
      <c r="I836" s="171"/>
    </row>
    <row r="837">
      <c r="B837" s="171"/>
      <c r="C837" s="171"/>
      <c r="D837" s="171"/>
      <c r="E837" s="171"/>
      <c r="F837" s="171"/>
      <c r="G837" s="171"/>
      <c r="H837" s="171"/>
      <c r="I837" s="171"/>
    </row>
    <row r="838">
      <c r="B838" s="171"/>
      <c r="C838" s="171"/>
      <c r="D838" s="171"/>
      <c r="E838" s="171"/>
      <c r="F838" s="171"/>
      <c r="G838" s="171"/>
      <c r="H838" s="171"/>
      <c r="I838" s="171"/>
    </row>
    <row r="839">
      <c r="B839" s="171"/>
      <c r="C839" s="171"/>
      <c r="D839" s="171"/>
      <c r="E839" s="171"/>
      <c r="F839" s="171"/>
      <c r="G839" s="171"/>
      <c r="H839" s="171"/>
      <c r="I839" s="171"/>
    </row>
    <row r="840">
      <c r="B840" s="171"/>
      <c r="C840" s="171"/>
      <c r="D840" s="171"/>
      <c r="E840" s="171"/>
      <c r="F840" s="171"/>
      <c r="G840" s="171"/>
      <c r="H840" s="171"/>
      <c r="I840" s="171"/>
    </row>
    <row r="841">
      <c r="B841" s="171"/>
      <c r="C841" s="171"/>
      <c r="D841" s="171"/>
      <c r="E841" s="171"/>
      <c r="F841" s="171"/>
      <c r="G841" s="171"/>
      <c r="H841" s="171"/>
      <c r="I841" s="171"/>
    </row>
    <row r="842">
      <c r="B842" s="171"/>
      <c r="C842" s="171"/>
      <c r="D842" s="171"/>
      <c r="E842" s="171"/>
      <c r="F842" s="171"/>
      <c r="G842" s="171"/>
      <c r="H842" s="171"/>
      <c r="I842" s="171"/>
    </row>
    <row r="843">
      <c r="B843" s="171"/>
      <c r="C843" s="171"/>
      <c r="D843" s="171"/>
      <c r="E843" s="171"/>
      <c r="F843" s="171"/>
      <c r="G843" s="171"/>
      <c r="H843" s="171"/>
      <c r="I843" s="171"/>
    </row>
    <row r="844">
      <c r="B844" s="171"/>
      <c r="C844" s="171"/>
      <c r="D844" s="171"/>
      <c r="E844" s="171"/>
      <c r="F844" s="171"/>
      <c r="G844" s="171"/>
      <c r="H844" s="171"/>
      <c r="I844" s="171"/>
    </row>
    <row r="845">
      <c r="B845" s="171"/>
      <c r="C845" s="171"/>
      <c r="D845" s="171"/>
      <c r="E845" s="171"/>
      <c r="F845" s="171"/>
      <c r="G845" s="171"/>
      <c r="H845" s="171"/>
      <c r="I845" s="171"/>
    </row>
    <row r="846">
      <c r="B846" s="171"/>
      <c r="C846" s="171"/>
      <c r="D846" s="171"/>
      <c r="E846" s="171"/>
      <c r="F846" s="171"/>
      <c r="G846" s="171"/>
      <c r="H846" s="171"/>
      <c r="I846" s="171"/>
    </row>
    <row r="847">
      <c r="B847" s="171"/>
      <c r="C847" s="171"/>
      <c r="D847" s="171"/>
      <c r="E847" s="171"/>
      <c r="F847" s="171"/>
      <c r="G847" s="171"/>
      <c r="H847" s="171"/>
      <c r="I847" s="171"/>
    </row>
    <row r="848">
      <c r="B848" s="171"/>
      <c r="C848" s="171"/>
      <c r="D848" s="171"/>
      <c r="E848" s="171"/>
      <c r="F848" s="171"/>
      <c r="G848" s="171"/>
      <c r="H848" s="171"/>
      <c r="I848" s="171"/>
    </row>
    <row r="849">
      <c r="B849" s="171"/>
      <c r="C849" s="171"/>
      <c r="D849" s="171"/>
      <c r="E849" s="171"/>
      <c r="F849" s="171"/>
      <c r="G849" s="171"/>
      <c r="H849" s="171"/>
      <c r="I849" s="171"/>
    </row>
    <row r="850">
      <c r="B850" s="171"/>
      <c r="C850" s="171"/>
      <c r="D850" s="171"/>
      <c r="E850" s="171"/>
      <c r="F850" s="171"/>
      <c r="G850" s="171"/>
      <c r="H850" s="171"/>
      <c r="I850" s="171"/>
    </row>
    <row r="851">
      <c r="B851" s="171"/>
      <c r="C851" s="171"/>
      <c r="D851" s="171"/>
      <c r="E851" s="171"/>
      <c r="F851" s="171"/>
      <c r="G851" s="171"/>
      <c r="H851" s="171"/>
      <c r="I851" s="171"/>
    </row>
    <row r="852">
      <c r="B852" s="171"/>
      <c r="C852" s="171"/>
      <c r="D852" s="171"/>
      <c r="E852" s="171"/>
      <c r="F852" s="171"/>
      <c r="G852" s="171"/>
      <c r="H852" s="171"/>
      <c r="I852" s="171"/>
    </row>
    <row r="853">
      <c r="B853" s="171"/>
      <c r="C853" s="171"/>
      <c r="D853" s="171"/>
      <c r="E853" s="171"/>
      <c r="F853" s="171"/>
      <c r="G853" s="171"/>
      <c r="H853" s="171"/>
      <c r="I853" s="171"/>
    </row>
    <row r="854">
      <c r="B854" s="171"/>
      <c r="C854" s="171"/>
      <c r="D854" s="171"/>
      <c r="E854" s="171"/>
      <c r="F854" s="171"/>
      <c r="G854" s="171"/>
      <c r="H854" s="171"/>
      <c r="I854" s="171"/>
    </row>
    <row r="855">
      <c r="B855" s="171"/>
      <c r="C855" s="171"/>
      <c r="D855" s="171"/>
      <c r="E855" s="171"/>
      <c r="F855" s="171"/>
      <c r="G855" s="171"/>
      <c r="H855" s="171"/>
      <c r="I855" s="171"/>
    </row>
    <row r="856">
      <c r="B856" s="171"/>
      <c r="C856" s="171"/>
      <c r="D856" s="171"/>
      <c r="E856" s="171"/>
      <c r="F856" s="171"/>
      <c r="G856" s="171"/>
      <c r="H856" s="171"/>
      <c r="I856" s="171"/>
    </row>
    <row r="857">
      <c r="B857" s="171"/>
      <c r="C857" s="171"/>
      <c r="D857" s="171"/>
      <c r="E857" s="171"/>
      <c r="F857" s="171"/>
      <c r="G857" s="171"/>
      <c r="H857" s="171"/>
      <c r="I857" s="171"/>
    </row>
    <row r="858">
      <c r="B858" s="171"/>
      <c r="C858" s="171"/>
      <c r="D858" s="171"/>
      <c r="E858" s="171"/>
      <c r="F858" s="171"/>
      <c r="G858" s="171"/>
      <c r="H858" s="171"/>
      <c r="I858" s="171"/>
    </row>
    <row r="859">
      <c r="B859" s="171"/>
      <c r="C859" s="171"/>
      <c r="D859" s="171"/>
      <c r="E859" s="171"/>
      <c r="F859" s="171"/>
      <c r="G859" s="171"/>
      <c r="H859" s="171"/>
      <c r="I859" s="171"/>
    </row>
    <row r="860">
      <c r="B860" s="171"/>
      <c r="C860" s="171"/>
      <c r="D860" s="171"/>
      <c r="E860" s="171"/>
      <c r="F860" s="171"/>
      <c r="G860" s="171"/>
      <c r="H860" s="171"/>
      <c r="I860" s="171"/>
    </row>
    <row r="861">
      <c r="B861" s="171"/>
      <c r="C861" s="171"/>
      <c r="D861" s="171"/>
      <c r="E861" s="171"/>
      <c r="F861" s="171"/>
      <c r="G861" s="171"/>
      <c r="H861" s="171"/>
      <c r="I861" s="171"/>
    </row>
    <row r="862">
      <c r="B862" s="171"/>
      <c r="C862" s="171"/>
      <c r="D862" s="171"/>
      <c r="E862" s="171"/>
      <c r="F862" s="171"/>
      <c r="G862" s="171"/>
      <c r="H862" s="171"/>
      <c r="I862" s="171"/>
    </row>
    <row r="863">
      <c r="B863" s="171"/>
      <c r="C863" s="171"/>
      <c r="D863" s="171"/>
      <c r="E863" s="171"/>
      <c r="F863" s="171"/>
      <c r="G863" s="171"/>
      <c r="H863" s="171"/>
      <c r="I863" s="171"/>
    </row>
    <row r="864">
      <c r="B864" s="171"/>
      <c r="C864" s="171"/>
      <c r="D864" s="171"/>
      <c r="E864" s="171"/>
      <c r="F864" s="171"/>
      <c r="G864" s="171"/>
      <c r="H864" s="171"/>
      <c r="I864" s="171"/>
    </row>
    <row r="865">
      <c r="B865" s="171"/>
      <c r="C865" s="171"/>
      <c r="D865" s="171"/>
      <c r="E865" s="171"/>
      <c r="F865" s="171"/>
      <c r="G865" s="171"/>
      <c r="H865" s="171"/>
      <c r="I865" s="171"/>
    </row>
    <row r="866">
      <c r="B866" s="171"/>
      <c r="C866" s="171"/>
      <c r="D866" s="171"/>
      <c r="E866" s="171"/>
      <c r="F866" s="171"/>
      <c r="G866" s="171"/>
      <c r="H866" s="171"/>
      <c r="I866" s="171"/>
    </row>
    <row r="867">
      <c r="B867" s="171"/>
      <c r="C867" s="171"/>
      <c r="D867" s="171"/>
      <c r="E867" s="171"/>
      <c r="F867" s="171"/>
      <c r="G867" s="171"/>
      <c r="H867" s="171"/>
      <c r="I867" s="171"/>
    </row>
    <row r="868">
      <c r="B868" s="171"/>
      <c r="C868" s="171"/>
      <c r="D868" s="171"/>
      <c r="E868" s="171"/>
      <c r="F868" s="171"/>
      <c r="G868" s="171"/>
      <c r="H868" s="171"/>
      <c r="I868" s="171"/>
    </row>
    <row r="869">
      <c r="B869" s="171"/>
      <c r="C869" s="171"/>
      <c r="D869" s="171"/>
      <c r="E869" s="171"/>
      <c r="F869" s="171"/>
      <c r="G869" s="171"/>
      <c r="H869" s="171"/>
      <c r="I869" s="171"/>
    </row>
    <row r="870">
      <c r="B870" s="171"/>
      <c r="C870" s="171"/>
      <c r="D870" s="171"/>
      <c r="E870" s="171"/>
      <c r="F870" s="171"/>
      <c r="G870" s="171"/>
      <c r="H870" s="171"/>
      <c r="I870" s="171"/>
    </row>
    <row r="871">
      <c r="B871" s="171"/>
      <c r="C871" s="171"/>
      <c r="D871" s="171"/>
      <c r="E871" s="171"/>
      <c r="F871" s="171"/>
      <c r="G871" s="171"/>
      <c r="H871" s="171"/>
      <c r="I871" s="171"/>
    </row>
    <row r="872">
      <c r="B872" s="171"/>
      <c r="C872" s="171"/>
      <c r="D872" s="171"/>
      <c r="E872" s="171"/>
      <c r="F872" s="171"/>
      <c r="G872" s="171"/>
      <c r="H872" s="171"/>
      <c r="I872" s="171"/>
    </row>
    <row r="873">
      <c r="B873" s="171"/>
      <c r="C873" s="171"/>
      <c r="D873" s="171"/>
      <c r="E873" s="171"/>
      <c r="F873" s="171"/>
      <c r="G873" s="171"/>
      <c r="H873" s="171"/>
      <c r="I873" s="171"/>
    </row>
    <row r="874">
      <c r="B874" s="171"/>
      <c r="C874" s="171"/>
      <c r="D874" s="171"/>
      <c r="E874" s="171"/>
      <c r="F874" s="171"/>
      <c r="G874" s="171"/>
      <c r="H874" s="171"/>
      <c r="I874" s="171"/>
    </row>
    <row r="875">
      <c r="B875" s="171"/>
      <c r="C875" s="171"/>
      <c r="D875" s="171"/>
      <c r="E875" s="171"/>
      <c r="F875" s="171"/>
      <c r="G875" s="171"/>
      <c r="H875" s="171"/>
      <c r="I875" s="171"/>
    </row>
    <row r="876">
      <c r="B876" s="171"/>
      <c r="C876" s="171"/>
      <c r="D876" s="171"/>
      <c r="E876" s="171"/>
      <c r="F876" s="171"/>
      <c r="G876" s="171"/>
      <c r="H876" s="171"/>
      <c r="I876" s="171"/>
    </row>
    <row r="877">
      <c r="B877" s="171"/>
      <c r="C877" s="171"/>
      <c r="D877" s="171"/>
      <c r="E877" s="171"/>
      <c r="F877" s="171"/>
      <c r="G877" s="171"/>
      <c r="H877" s="171"/>
      <c r="I877" s="171"/>
    </row>
    <row r="878">
      <c r="B878" s="171"/>
      <c r="C878" s="171"/>
      <c r="D878" s="171"/>
      <c r="E878" s="171"/>
      <c r="F878" s="171"/>
      <c r="G878" s="171"/>
      <c r="H878" s="171"/>
      <c r="I878" s="171"/>
    </row>
    <row r="879">
      <c r="B879" s="171"/>
      <c r="C879" s="171"/>
      <c r="D879" s="171"/>
      <c r="E879" s="171"/>
      <c r="F879" s="171"/>
      <c r="G879" s="171"/>
      <c r="H879" s="171"/>
      <c r="I879" s="171"/>
    </row>
    <row r="880">
      <c r="B880" s="171"/>
      <c r="C880" s="171"/>
      <c r="D880" s="171"/>
      <c r="E880" s="171"/>
      <c r="F880" s="171"/>
      <c r="G880" s="171"/>
      <c r="H880" s="171"/>
      <c r="I880" s="171"/>
    </row>
    <row r="881">
      <c r="B881" s="171"/>
      <c r="C881" s="171"/>
      <c r="D881" s="171"/>
      <c r="E881" s="171"/>
      <c r="F881" s="171"/>
      <c r="G881" s="171"/>
      <c r="H881" s="171"/>
      <c r="I881" s="171"/>
    </row>
    <row r="882">
      <c r="B882" s="171"/>
      <c r="C882" s="171"/>
      <c r="D882" s="171"/>
      <c r="E882" s="171"/>
      <c r="F882" s="171"/>
      <c r="G882" s="171"/>
      <c r="H882" s="171"/>
      <c r="I882" s="171"/>
    </row>
    <row r="883">
      <c r="B883" s="171"/>
      <c r="C883" s="171"/>
      <c r="D883" s="171"/>
      <c r="E883" s="171"/>
      <c r="F883" s="171"/>
      <c r="G883" s="171"/>
      <c r="H883" s="171"/>
      <c r="I883" s="171"/>
    </row>
    <row r="884">
      <c r="B884" s="171"/>
      <c r="C884" s="171"/>
      <c r="D884" s="171"/>
      <c r="E884" s="171"/>
      <c r="F884" s="171"/>
      <c r="G884" s="171"/>
      <c r="H884" s="171"/>
      <c r="I884" s="171"/>
    </row>
    <row r="885">
      <c r="B885" s="171"/>
      <c r="C885" s="171"/>
      <c r="D885" s="171"/>
      <c r="E885" s="171"/>
      <c r="F885" s="171"/>
      <c r="G885" s="171"/>
      <c r="H885" s="171"/>
      <c r="I885" s="171"/>
    </row>
    <row r="886">
      <c r="B886" s="171"/>
      <c r="C886" s="171"/>
      <c r="D886" s="171"/>
      <c r="E886" s="171"/>
      <c r="F886" s="171"/>
      <c r="G886" s="171"/>
      <c r="H886" s="171"/>
      <c r="I886" s="171"/>
    </row>
    <row r="887">
      <c r="B887" s="171"/>
      <c r="C887" s="171"/>
      <c r="D887" s="171"/>
      <c r="E887" s="171"/>
      <c r="F887" s="171"/>
      <c r="G887" s="171"/>
      <c r="H887" s="171"/>
      <c r="I887" s="171"/>
    </row>
    <row r="888">
      <c r="B888" s="171"/>
      <c r="C888" s="171"/>
      <c r="D888" s="171"/>
      <c r="E888" s="171"/>
      <c r="F888" s="171"/>
      <c r="G888" s="171"/>
      <c r="H888" s="171"/>
      <c r="I888" s="171"/>
    </row>
    <row r="889">
      <c r="B889" s="171"/>
      <c r="C889" s="171"/>
      <c r="D889" s="171"/>
      <c r="E889" s="171"/>
      <c r="F889" s="171"/>
      <c r="G889" s="171"/>
      <c r="H889" s="171"/>
      <c r="I889" s="171"/>
    </row>
    <row r="890">
      <c r="B890" s="171"/>
      <c r="C890" s="171"/>
      <c r="D890" s="171"/>
      <c r="E890" s="171"/>
      <c r="F890" s="171"/>
      <c r="G890" s="171"/>
      <c r="H890" s="171"/>
      <c r="I890" s="171"/>
    </row>
    <row r="891">
      <c r="B891" s="171"/>
      <c r="C891" s="171"/>
      <c r="D891" s="171"/>
      <c r="E891" s="171"/>
      <c r="F891" s="171"/>
      <c r="G891" s="171"/>
      <c r="H891" s="171"/>
      <c r="I891" s="171"/>
    </row>
    <row r="892">
      <c r="B892" s="171"/>
      <c r="C892" s="171"/>
      <c r="D892" s="171"/>
      <c r="E892" s="171"/>
      <c r="F892" s="171"/>
      <c r="G892" s="171"/>
      <c r="H892" s="171"/>
      <c r="I892" s="171"/>
    </row>
    <row r="893">
      <c r="B893" s="171"/>
      <c r="C893" s="171"/>
      <c r="D893" s="171"/>
      <c r="E893" s="171"/>
      <c r="F893" s="171"/>
      <c r="G893" s="171"/>
      <c r="H893" s="171"/>
      <c r="I893" s="171"/>
    </row>
    <row r="894">
      <c r="B894" s="171"/>
      <c r="C894" s="171"/>
      <c r="D894" s="171"/>
      <c r="E894" s="171"/>
      <c r="F894" s="171"/>
      <c r="G894" s="171"/>
      <c r="H894" s="171"/>
      <c r="I894" s="171"/>
    </row>
    <row r="895">
      <c r="B895" s="171"/>
      <c r="C895" s="171"/>
      <c r="D895" s="171"/>
      <c r="E895" s="171"/>
      <c r="F895" s="171"/>
      <c r="G895" s="171"/>
      <c r="H895" s="171"/>
      <c r="I895" s="171"/>
    </row>
    <row r="896">
      <c r="B896" s="171"/>
      <c r="C896" s="171"/>
      <c r="D896" s="171"/>
      <c r="E896" s="171"/>
      <c r="F896" s="171"/>
      <c r="G896" s="171"/>
      <c r="H896" s="171"/>
      <c r="I896" s="171"/>
    </row>
    <row r="897">
      <c r="B897" s="171"/>
      <c r="C897" s="171"/>
      <c r="D897" s="171"/>
      <c r="E897" s="171"/>
      <c r="F897" s="171"/>
      <c r="G897" s="171"/>
      <c r="H897" s="171"/>
      <c r="I897" s="171"/>
    </row>
    <row r="898">
      <c r="B898" s="171"/>
      <c r="C898" s="171"/>
      <c r="D898" s="171"/>
      <c r="E898" s="171"/>
      <c r="F898" s="171"/>
      <c r="G898" s="171"/>
      <c r="H898" s="171"/>
      <c r="I898" s="171"/>
    </row>
    <row r="899">
      <c r="B899" s="171"/>
      <c r="C899" s="171"/>
      <c r="D899" s="171"/>
      <c r="E899" s="171"/>
      <c r="F899" s="171"/>
      <c r="G899" s="171"/>
      <c r="H899" s="171"/>
      <c r="I899" s="171"/>
    </row>
    <row r="900">
      <c r="B900" s="171"/>
      <c r="C900" s="171"/>
      <c r="D900" s="171"/>
      <c r="E900" s="171"/>
      <c r="F900" s="171"/>
      <c r="G900" s="171"/>
      <c r="H900" s="171"/>
      <c r="I900" s="171"/>
    </row>
    <row r="901">
      <c r="B901" s="171"/>
      <c r="C901" s="171"/>
      <c r="D901" s="171"/>
      <c r="E901" s="171"/>
      <c r="F901" s="171"/>
      <c r="G901" s="171"/>
      <c r="H901" s="171"/>
      <c r="I901" s="171"/>
    </row>
    <row r="902">
      <c r="B902" s="171"/>
      <c r="C902" s="171"/>
      <c r="D902" s="171"/>
      <c r="E902" s="171"/>
      <c r="F902" s="171"/>
      <c r="G902" s="171"/>
      <c r="H902" s="171"/>
      <c r="I902" s="171"/>
    </row>
    <row r="903">
      <c r="B903" s="171"/>
      <c r="C903" s="171"/>
      <c r="D903" s="171"/>
      <c r="E903" s="171"/>
      <c r="F903" s="171"/>
      <c r="G903" s="171"/>
      <c r="H903" s="171"/>
      <c r="I903" s="171"/>
    </row>
    <row r="904">
      <c r="B904" s="171"/>
      <c r="C904" s="171"/>
      <c r="D904" s="171"/>
      <c r="E904" s="171"/>
      <c r="F904" s="171"/>
      <c r="G904" s="171"/>
      <c r="H904" s="171"/>
      <c r="I904" s="171"/>
    </row>
    <row r="905">
      <c r="B905" s="171"/>
      <c r="C905" s="171"/>
      <c r="D905" s="171"/>
      <c r="E905" s="171"/>
      <c r="F905" s="171"/>
      <c r="G905" s="171"/>
      <c r="H905" s="171"/>
      <c r="I905" s="171"/>
    </row>
    <row r="906">
      <c r="B906" s="171"/>
      <c r="C906" s="171"/>
      <c r="D906" s="171"/>
      <c r="E906" s="171"/>
      <c r="F906" s="171"/>
      <c r="G906" s="171"/>
      <c r="H906" s="171"/>
      <c r="I906" s="171"/>
    </row>
    <row r="907">
      <c r="B907" s="171"/>
      <c r="C907" s="171"/>
      <c r="D907" s="171"/>
      <c r="E907" s="171"/>
      <c r="F907" s="171"/>
      <c r="G907" s="171"/>
      <c r="H907" s="171"/>
      <c r="I907" s="171"/>
    </row>
    <row r="908">
      <c r="B908" s="171"/>
      <c r="C908" s="171"/>
      <c r="D908" s="171"/>
      <c r="E908" s="171"/>
      <c r="F908" s="171"/>
      <c r="G908" s="171"/>
      <c r="H908" s="171"/>
      <c r="I908" s="171"/>
    </row>
    <row r="909">
      <c r="B909" s="171"/>
      <c r="C909" s="171"/>
      <c r="D909" s="171"/>
      <c r="E909" s="171"/>
      <c r="F909" s="171"/>
      <c r="G909" s="171"/>
      <c r="H909" s="171"/>
      <c r="I909" s="171"/>
    </row>
    <row r="910">
      <c r="B910" s="171"/>
      <c r="C910" s="171"/>
      <c r="D910" s="171"/>
      <c r="E910" s="171"/>
      <c r="F910" s="171"/>
      <c r="G910" s="171"/>
      <c r="H910" s="171"/>
      <c r="I910" s="171"/>
    </row>
    <row r="911">
      <c r="B911" s="171"/>
      <c r="C911" s="171"/>
      <c r="D911" s="171"/>
      <c r="E911" s="171"/>
      <c r="F911" s="171"/>
      <c r="G911" s="171"/>
      <c r="H911" s="171"/>
      <c r="I911" s="171"/>
    </row>
    <row r="912">
      <c r="B912" s="171"/>
      <c r="C912" s="171"/>
      <c r="D912" s="171"/>
      <c r="E912" s="171"/>
      <c r="F912" s="171"/>
      <c r="G912" s="171"/>
      <c r="H912" s="171"/>
      <c r="I912" s="171"/>
    </row>
    <row r="913">
      <c r="B913" s="171"/>
      <c r="C913" s="171"/>
      <c r="D913" s="171"/>
      <c r="E913" s="171"/>
      <c r="F913" s="171"/>
      <c r="G913" s="171"/>
      <c r="H913" s="171"/>
      <c r="I913" s="171"/>
    </row>
    <row r="914">
      <c r="B914" s="171"/>
      <c r="C914" s="171"/>
      <c r="D914" s="171"/>
      <c r="E914" s="171"/>
      <c r="F914" s="171"/>
      <c r="G914" s="171"/>
      <c r="H914" s="171"/>
      <c r="I914" s="171"/>
    </row>
    <row r="915">
      <c r="B915" s="171"/>
      <c r="C915" s="171"/>
      <c r="D915" s="171"/>
      <c r="E915" s="171"/>
      <c r="F915" s="171"/>
      <c r="G915" s="171"/>
      <c r="H915" s="171"/>
      <c r="I915" s="171"/>
    </row>
    <row r="916">
      <c r="B916" s="171"/>
      <c r="C916" s="171"/>
      <c r="D916" s="171"/>
      <c r="E916" s="171"/>
      <c r="F916" s="171"/>
      <c r="G916" s="171"/>
      <c r="H916" s="171"/>
      <c r="I916" s="171"/>
    </row>
    <row r="917">
      <c r="B917" s="171"/>
      <c r="C917" s="171"/>
      <c r="D917" s="171"/>
      <c r="E917" s="171"/>
      <c r="F917" s="171"/>
      <c r="G917" s="171"/>
      <c r="H917" s="171"/>
      <c r="I917" s="171"/>
    </row>
    <row r="918">
      <c r="B918" s="171"/>
      <c r="C918" s="171"/>
      <c r="D918" s="171"/>
      <c r="E918" s="171"/>
      <c r="F918" s="171"/>
      <c r="G918" s="171"/>
      <c r="H918" s="171"/>
      <c r="I918" s="171"/>
    </row>
    <row r="919">
      <c r="B919" s="171"/>
      <c r="C919" s="171"/>
      <c r="D919" s="171"/>
      <c r="E919" s="171"/>
      <c r="F919" s="171"/>
      <c r="G919" s="171"/>
      <c r="H919" s="171"/>
      <c r="I919" s="171"/>
    </row>
    <row r="920">
      <c r="B920" s="171"/>
      <c r="C920" s="171"/>
      <c r="D920" s="171"/>
      <c r="E920" s="171"/>
      <c r="F920" s="171"/>
      <c r="G920" s="171"/>
      <c r="H920" s="171"/>
      <c r="I920" s="171"/>
    </row>
    <row r="921">
      <c r="B921" s="171"/>
      <c r="C921" s="171"/>
      <c r="D921" s="171"/>
      <c r="E921" s="171"/>
      <c r="F921" s="171"/>
      <c r="G921" s="171"/>
      <c r="H921" s="171"/>
      <c r="I921" s="171"/>
    </row>
    <row r="922">
      <c r="B922" s="171"/>
      <c r="C922" s="171"/>
      <c r="D922" s="171"/>
      <c r="E922" s="171"/>
      <c r="F922" s="171"/>
      <c r="G922" s="171"/>
      <c r="H922" s="171"/>
      <c r="I922" s="171"/>
    </row>
    <row r="923">
      <c r="B923" s="171"/>
      <c r="C923" s="171"/>
      <c r="D923" s="171"/>
      <c r="E923" s="171"/>
      <c r="F923" s="171"/>
      <c r="G923" s="171"/>
      <c r="H923" s="171"/>
      <c r="I923" s="171"/>
    </row>
    <row r="924">
      <c r="B924" s="171"/>
      <c r="C924" s="171"/>
      <c r="D924" s="171"/>
      <c r="E924" s="171"/>
      <c r="F924" s="171"/>
      <c r="G924" s="171"/>
      <c r="H924" s="171"/>
      <c r="I924" s="171"/>
    </row>
    <row r="925">
      <c r="B925" s="171"/>
      <c r="C925" s="171"/>
      <c r="D925" s="171"/>
      <c r="E925" s="171"/>
      <c r="F925" s="171"/>
      <c r="G925" s="171"/>
      <c r="H925" s="171"/>
      <c r="I925" s="171"/>
    </row>
    <row r="926">
      <c r="B926" s="171"/>
      <c r="C926" s="171"/>
      <c r="D926" s="171"/>
      <c r="E926" s="171"/>
      <c r="F926" s="171"/>
      <c r="G926" s="171"/>
      <c r="H926" s="171"/>
      <c r="I926" s="171"/>
    </row>
    <row r="927">
      <c r="B927" s="171"/>
      <c r="C927" s="171"/>
      <c r="D927" s="171"/>
      <c r="E927" s="171"/>
      <c r="F927" s="171"/>
      <c r="G927" s="171"/>
      <c r="H927" s="171"/>
      <c r="I927" s="171"/>
    </row>
    <row r="928">
      <c r="B928" s="171"/>
      <c r="C928" s="171"/>
      <c r="D928" s="171"/>
      <c r="E928" s="171"/>
      <c r="F928" s="171"/>
      <c r="G928" s="171"/>
      <c r="H928" s="171"/>
      <c r="I928" s="171"/>
    </row>
    <row r="929">
      <c r="B929" s="171"/>
      <c r="C929" s="171"/>
      <c r="D929" s="171"/>
      <c r="E929" s="171"/>
      <c r="F929" s="171"/>
      <c r="G929" s="171"/>
      <c r="H929" s="171"/>
      <c r="I929" s="171"/>
    </row>
    <row r="930">
      <c r="B930" s="171"/>
      <c r="C930" s="171"/>
      <c r="D930" s="171"/>
      <c r="E930" s="171"/>
      <c r="F930" s="171"/>
      <c r="G930" s="171"/>
      <c r="H930" s="171"/>
      <c r="I930" s="171"/>
    </row>
    <row r="931">
      <c r="B931" s="171"/>
      <c r="C931" s="171"/>
      <c r="D931" s="171"/>
      <c r="E931" s="171"/>
      <c r="F931" s="171"/>
      <c r="G931" s="171"/>
      <c r="H931" s="171"/>
      <c r="I931" s="171"/>
    </row>
    <row r="932">
      <c r="B932" s="171"/>
      <c r="C932" s="171"/>
      <c r="D932" s="171"/>
      <c r="E932" s="171"/>
      <c r="F932" s="171"/>
      <c r="G932" s="171"/>
      <c r="H932" s="171"/>
      <c r="I932" s="171"/>
    </row>
    <row r="933">
      <c r="B933" s="171"/>
      <c r="C933" s="171"/>
      <c r="D933" s="171"/>
      <c r="E933" s="171"/>
      <c r="F933" s="171"/>
      <c r="G933" s="171"/>
      <c r="H933" s="171"/>
      <c r="I933" s="171"/>
    </row>
    <row r="934">
      <c r="B934" s="171"/>
      <c r="C934" s="171"/>
      <c r="D934" s="171"/>
      <c r="E934" s="171"/>
      <c r="F934" s="171"/>
      <c r="G934" s="171"/>
      <c r="H934" s="171"/>
      <c r="I934" s="171"/>
    </row>
    <row r="935">
      <c r="B935" s="171"/>
      <c r="C935" s="171"/>
      <c r="D935" s="171"/>
      <c r="E935" s="171"/>
      <c r="F935" s="171"/>
      <c r="G935" s="171"/>
      <c r="H935" s="171"/>
      <c r="I935" s="171"/>
    </row>
    <row r="936">
      <c r="B936" s="171"/>
      <c r="C936" s="171"/>
      <c r="D936" s="171"/>
      <c r="E936" s="171"/>
      <c r="F936" s="171"/>
      <c r="G936" s="171"/>
      <c r="H936" s="171"/>
      <c r="I936" s="171"/>
    </row>
    <row r="937">
      <c r="B937" s="171"/>
      <c r="C937" s="171"/>
      <c r="D937" s="171"/>
      <c r="E937" s="171"/>
      <c r="F937" s="171"/>
      <c r="G937" s="171"/>
      <c r="H937" s="171"/>
      <c r="I937" s="171"/>
    </row>
    <row r="938">
      <c r="B938" s="171"/>
      <c r="C938" s="171"/>
      <c r="D938" s="171"/>
      <c r="E938" s="171"/>
      <c r="F938" s="171"/>
      <c r="G938" s="171"/>
      <c r="H938" s="171"/>
      <c r="I938" s="171"/>
    </row>
    <row r="939">
      <c r="B939" s="171"/>
      <c r="C939" s="171"/>
      <c r="D939" s="171"/>
      <c r="E939" s="171"/>
      <c r="F939" s="171"/>
      <c r="G939" s="171"/>
      <c r="H939" s="171"/>
      <c r="I939" s="171"/>
    </row>
    <row r="940">
      <c r="B940" s="171"/>
      <c r="C940" s="171"/>
      <c r="D940" s="171"/>
      <c r="E940" s="171"/>
      <c r="F940" s="171"/>
      <c r="G940" s="171"/>
      <c r="H940" s="171"/>
      <c r="I940" s="171"/>
    </row>
    <row r="941">
      <c r="B941" s="171"/>
      <c r="C941" s="171"/>
      <c r="D941" s="171"/>
      <c r="E941" s="171"/>
      <c r="F941" s="171"/>
      <c r="G941" s="171"/>
      <c r="H941" s="171"/>
      <c r="I941" s="171"/>
    </row>
    <row r="942">
      <c r="B942" s="171"/>
      <c r="C942" s="171"/>
      <c r="D942" s="171"/>
      <c r="E942" s="171"/>
      <c r="F942" s="171"/>
      <c r="G942" s="171"/>
      <c r="H942" s="171"/>
      <c r="I942" s="171"/>
    </row>
    <row r="943">
      <c r="B943" s="171"/>
      <c r="C943" s="171"/>
      <c r="D943" s="171"/>
      <c r="E943" s="171"/>
      <c r="F943" s="171"/>
      <c r="G943" s="171"/>
      <c r="H943" s="171"/>
      <c r="I943" s="171"/>
    </row>
    <row r="944">
      <c r="B944" s="171"/>
      <c r="C944" s="171"/>
      <c r="D944" s="171"/>
      <c r="E944" s="171"/>
      <c r="F944" s="171"/>
      <c r="G944" s="171"/>
      <c r="H944" s="171"/>
      <c r="I944" s="171"/>
    </row>
    <row r="945">
      <c r="B945" s="171"/>
      <c r="C945" s="171"/>
      <c r="D945" s="171"/>
      <c r="E945" s="171"/>
      <c r="F945" s="171"/>
      <c r="G945" s="171"/>
      <c r="H945" s="171"/>
      <c r="I945" s="171"/>
    </row>
    <row r="946">
      <c r="B946" s="171"/>
      <c r="C946" s="171"/>
      <c r="D946" s="171"/>
      <c r="E946" s="171"/>
      <c r="F946" s="171"/>
      <c r="G946" s="171"/>
      <c r="H946" s="171"/>
      <c r="I946" s="171"/>
    </row>
    <row r="947">
      <c r="B947" s="171"/>
      <c r="C947" s="171"/>
      <c r="D947" s="171"/>
      <c r="E947" s="171"/>
      <c r="F947" s="171"/>
      <c r="G947" s="171"/>
      <c r="H947" s="171"/>
      <c r="I947" s="171"/>
    </row>
    <row r="948">
      <c r="B948" s="171"/>
      <c r="C948" s="171"/>
      <c r="D948" s="171"/>
      <c r="E948" s="171"/>
      <c r="F948" s="171"/>
      <c r="G948" s="171"/>
      <c r="H948" s="171"/>
      <c r="I948" s="171"/>
    </row>
    <row r="949">
      <c r="B949" s="171"/>
      <c r="C949" s="171"/>
      <c r="D949" s="171"/>
      <c r="E949" s="171"/>
      <c r="F949" s="171"/>
      <c r="G949" s="171"/>
      <c r="H949" s="171"/>
      <c r="I949" s="171"/>
    </row>
    <row r="950">
      <c r="B950" s="171"/>
      <c r="C950" s="171"/>
      <c r="D950" s="171"/>
      <c r="E950" s="171"/>
      <c r="F950" s="171"/>
      <c r="G950" s="171"/>
      <c r="H950" s="171"/>
      <c r="I950" s="171"/>
    </row>
    <row r="951">
      <c r="B951" s="171"/>
      <c r="C951" s="171"/>
      <c r="D951" s="171"/>
      <c r="E951" s="171"/>
      <c r="F951" s="171"/>
      <c r="G951" s="171"/>
      <c r="H951" s="171"/>
      <c r="I951" s="171"/>
    </row>
    <row r="952">
      <c r="B952" s="171"/>
      <c r="C952" s="171"/>
      <c r="D952" s="171"/>
      <c r="E952" s="171"/>
      <c r="F952" s="171"/>
      <c r="G952" s="171"/>
      <c r="H952" s="171"/>
      <c r="I952" s="171"/>
    </row>
    <row r="953">
      <c r="B953" s="171"/>
      <c r="C953" s="171"/>
      <c r="D953" s="171"/>
      <c r="E953" s="171"/>
      <c r="F953" s="171"/>
      <c r="G953" s="171"/>
      <c r="H953" s="171"/>
      <c r="I953" s="171"/>
    </row>
    <row r="954">
      <c r="B954" s="171"/>
      <c r="C954" s="171"/>
      <c r="D954" s="171"/>
      <c r="E954" s="171"/>
      <c r="F954" s="171"/>
      <c r="G954" s="171"/>
      <c r="H954" s="171"/>
      <c r="I954" s="171"/>
    </row>
    <row r="955">
      <c r="B955" s="171"/>
      <c r="C955" s="171"/>
      <c r="D955" s="171"/>
      <c r="E955" s="171"/>
      <c r="F955" s="171"/>
      <c r="G955" s="171"/>
      <c r="H955" s="171"/>
      <c r="I955" s="171"/>
    </row>
    <row r="956">
      <c r="B956" s="171"/>
      <c r="C956" s="171"/>
      <c r="D956" s="171"/>
      <c r="E956" s="171"/>
      <c r="F956" s="171"/>
      <c r="G956" s="171"/>
      <c r="H956" s="171"/>
      <c r="I956" s="171"/>
    </row>
    <row r="957">
      <c r="B957" s="171"/>
      <c r="C957" s="171"/>
      <c r="D957" s="171"/>
      <c r="E957" s="171"/>
      <c r="F957" s="171"/>
      <c r="G957" s="171"/>
      <c r="H957" s="171"/>
      <c r="I957" s="171"/>
    </row>
    <row r="958">
      <c r="B958" s="171"/>
      <c r="C958" s="171"/>
      <c r="D958" s="171"/>
      <c r="E958" s="171"/>
      <c r="F958" s="171"/>
      <c r="G958" s="171"/>
      <c r="H958" s="171"/>
      <c r="I958" s="171"/>
    </row>
    <row r="959">
      <c r="B959" s="171"/>
      <c r="C959" s="171"/>
      <c r="D959" s="171"/>
      <c r="E959" s="171"/>
      <c r="F959" s="171"/>
      <c r="G959" s="171"/>
      <c r="H959" s="171"/>
      <c r="I959" s="171"/>
    </row>
    <row r="960">
      <c r="B960" s="171"/>
      <c r="C960" s="171"/>
      <c r="D960" s="171"/>
      <c r="E960" s="171"/>
      <c r="F960" s="171"/>
      <c r="G960" s="171"/>
      <c r="H960" s="171"/>
      <c r="I960" s="171"/>
    </row>
    <row r="961">
      <c r="B961" s="171"/>
      <c r="C961" s="171"/>
      <c r="D961" s="171"/>
      <c r="E961" s="171"/>
      <c r="F961" s="171"/>
      <c r="G961" s="171"/>
      <c r="H961" s="171"/>
      <c r="I961" s="171"/>
    </row>
    <row r="962">
      <c r="B962" s="171"/>
      <c r="C962" s="171"/>
      <c r="D962" s="171"/>
      <c r="E962" s="171"/>
      <c r="F962" s="171"/>
      <c r="G962" s="171"/>
      <c r="H962" s="171"/>
      <c r="I962" s="171"/>
    </row>
    <row r="963">
      <c r="B963" s="171"/>
      <c r="C963" s="171"/>
      <c r="D963" s="171"/>
      <c r="E963" s="171"/>
      <c r="F963" s="171"/>
      <c r="G963" s="171"/>
      <c r="H963" s="171"/>
      <c r="I963" s="171"/>
    </row>
    <row r="964">
      <c r="B964" s="171"/>
      <c r="C964" s="171"/>
      <c r="D964" s="171"/>
      <c r="E964" s="171"/>
      <c r="F964" s="171"/>
      <c r="G964" s="171"/>
      <c r="H964" s="171"/>
      <c r="I964" s="171"/>
    </row>
    <row r="965">
      <c r="B965" s="171"/>
      <c r="C965" s="171"/>
      <c r="D965" s="171"/>
      <c r="E965" s="171"/>
      <c r="F965" s="171"/>
      <c r="G965" s="171"/>
      <c r="H965" s="171"/>
      <c r="I965" s="171"/>
    </row>
    <row r="966">
      <c r="B966" s="171"/>
      <c r="C966" s="171"/>
      <c r="D966" s="171"/>
      <c r="E966" s="171"/>
      <c r="F966" s="171"/>
      <c r="G966" s="171"/>
      <c r="H966" s="171"/>
      <c r="I966" s="171"/>
    </row>
    <row r="967">
      <c r="B967" s="171"/>
      <c r="C967" s="171"/>
      <c r="D967" s="171"/>
      <c r="E967" s="171"/>
      <c r="F967" s="171"/>
      <c r="G967" s="171"/>
      <c r="H967" s="171"/>
      <c r="I967" s="171"/>
    </row>
    <row r="968">
      <c r="B968" s="171"/>
      <c r="C968" s="171"/>
      <c r="D968" s="171"/>
      <c r="E968" s="171"/>
      <c r="F968" s="171"/>
      <c r="G968" s="171"/>
      <c r="H968" s="171"/>
      <c r="I968" s="171"/>
    </row>
    <row r="969">
      <c r="B969" s="171"/>
      <c r="C969" s="171"/>
      <c r="D969" s="171"/>
      <c r="E969" s="171"/>
      <c r="F969" s="171"/>
      <c r="G969" s="171"/>
      <c r="H969" s="171"/>
      <c r="I969" s="171"/>
    </row>
    <row r="970">
      <c r="B970" s="171"/>
      <c r="C970" s="171"/>
      <c r="D970" s="171"/>
      <c r="E970" s="171"/>
      <c r="F970" s="171"/>
      <c r="G970" s="171"/>
      <c r="H970" s="171"/>
      <c r="I970" s="171"/>
    </row>
    <row r="971">
      <c r="B971" s="171"/>
      <c r="C971" s="171"/>
      <c r="D971" s="171"/>
      <c r="E971" s="171"/>
      <c r="F971" s="171"/>
      <c r="G971" s="171"/>
      <c r="H971" s="171"/>
      <c r="I971" s="171"/>
    </row>
    <row r="972">
      <c r="B972" s="171"/>
      <c r="C972" s="171"/>
      <c r="D972" s="171"/>
      <c r="E972" s="171"/>
      <c r="F972" s="171"/>
      <c r="G972" s="171"/>
      <c r="H972" s="171"/>
      <c r="I972" s="171"/>
    </row>
    <row r="973">
      <c r="B973" s="171"/>
      <c r="C973" s="171"/>
      <c r="D973" s="171"/>
      <c r="E973" s="171"/>
      <c r="F973" s="171"/>
      <c r="G973" s="171"/>
      <c r="H973" s="171"/>
      <c r="I973" s="171"/>
    </row>
    <row r="974">
      <c r="B974" s="171"/>
      <c r="C974" s="171"/>
      <c r="D974" s="171"/>
      <c r="E974" s="171"/>
      <c r="F974" s="171"/>
      <c r="G974" s="171"/>
      <c r="H974" s="171"/>
      <c r="I974" s="171"/>
    </row>
    <row r="975">
      <c r="B975" s="171"/>
      <c r="C975" s="171"/>
      <c r="D975" s="171"/>
      <c r="E975" s="171"/>
      <c r="F975" s="171"/>
      <c r="G975" s="171"/>
      <c r="H975" s="171"/>
      <c r="I975" s="171"/>
    </row>
    <row r="976">
      <c r="B976" s="171"/>
      <c r="C976" s="171"/>
      <c r="D976" s="171"/>
      <c r="E976" s="171"/>
      <c r="F976" s="171"/>
      <c r="G976" s="171"/>
      <c r="H976" s="171"/>
      <c r="I976" s="171"/>
    </row>
    <row r="977">
      <c r="B977" s="171"/>
      <c r="C977" s="171"/>
      <c r="D977" s="171"/>
      <c r="E977" s="171"/>
      <c r="F977" s="171"/>
      <c r="G977" s="171"/>
      <c r="H977" s="171"/>
      <c r="I977" s="171"/>
    </row>
    <row r="978">
      <c r="B978" s="171"/>
      <c r="C978" s="171"/>
      <c r="D978" s="171"/>
      <c r="E978" s="171"/>
      <c r="F978" s="171"/>
      <c r="G978" s="171"/>
      <c r="H978" s="171"/>
      <c r="I978" s="171"/>
    </row>
    <row r="979">
      <c r="B979" s="171"/>
      <c r="C979" s="171"/>
      <c r="D979" s="171"/>
      <c r="E979" s="171"/>
      <c r="F979" s="171"/>
      <c r="G979" s="171"/>
      <c r="H979" s="171"/>
      <c r="I979" s="171"/>
    </row>
    <row r="980">
      <c r="B980" s="171"/>
      <c r="C980" s="171"/>
      <c r="D980" s="171"/>
      <c r="E980" s="171"/>
      <c r="F980" s="171"/>
      <c r="G980" s="171"/>
      <c r="H980" s="171"/>
      <c r="I980" s="171"/>
    </row>
    <row r="981">
      <c r="B981" s="171"/>
      <c r="C981" s="171"/>
      <c r="D981" s="171"/>
      <c r="E981" s="171"/>
      <c r="F981" s="171"/>
      <c r="G981" s="171"/>
      <c r="H981" s="171"/>
      <c r="I981" s="171"/>
    </row>
    <row r="982">
      <c r="B982" s="171"/>
      <c r="C982" s="171"/>
      <c r="D982" s="171"/>
      <c r="E982" s="171"/>
      <c r="F982" s="171"/>
      <c r="G982" s="171"/>
      <c r="H982" s="171"/>
      <c r="I982" s="171"/>
    </row>
    <row r="983">
      <c r="B983" s="171"/>
      <c r="C983" s="171"/>
      <c r="D983" s="171"/>
      <c r="E983" s="171"/>
      <c r="F983" s="171"/>
      <c r="G983" s="171"/>
      <c r="H983" s="171"/>
      <c r="I983" s="171"/>
    </row>
    <row r="984">
      <c r="B984" s="171"/>
      <c r="C984" s="171"/>
      <c r="D984" s="171"/>
      <c r="E984" s="171"/>
      <c r="F984" s="171"/>
      <c r="G984" s="171"/>
      <c r="H984" s="171"/>
      <c r="I984" s="171"/>
    </row>
    <row r="985">
      <c r="B985" s="171"/>
      <c r="C985" s="171"/>
      <c r="D985" s="171"/>
      <c r="E985" s="171"/>
      <c r="F985" s="171"/>
      <c r="G985" s="171"/>
      <c r="H985" s="171"/>
      <c r="I985" s="171"/>
    </row>
    <row r="986">
      <c r="B986" s="171"/>
      <c r="C986" s="171"/>
      <c r="D986" s="171"/>
      <c r="E986" s="171"/>
      <c r="F986" s="171"/>
      <c r="G986" s="171"/>
      <c r="H986" s="171"/>
      <c r="I986" s="171"/>
    </row>
    <row r="987">
      <c r="B987" s="171"/>
      <c r="C987" s="171"/>
      <c r="D987" s="171"/>
      <c r="E987" s="171"/>
      <c r="F987" s="171"/>
      <c r="G987" s="171"/>
      <c r="H987" s="171"/>
      <c r="I987" s="171"/>
    </row>
    <row r="988">
      <c r="B988" s="171"/>
      <c r="C988" s="171"/>
      <c r="D988" s="171"/>
      <c r="E988" s="171"/>
      <c r="F988" s="171"/>
      <c r="G988" s="171"/>
      <c r="H988" s="171"/>
      <c r="I988" s="171"/>
    </row>
    <row r="989">
      <c r="B989" s="171"/>
      <c r="C989" s="171"/>
      <c r="D989" s="171"/>
      <c r="E989" s="171"/>
      <c r="F989" s="171"/>
      <c r="G989" s="171"/>
      <c r="H989" s="171"/>
      <c r="I989" s="171"/>
    </row>
    <row r="990">
      <c r="B990" s="171"/>
      <c r="C990" s="171"/>
      <c r="D990" s="171"/>
      <c r="E990" s="171"/>
      <c r="F990" s="171"/>
      <c r="G990" s="171"/>
      <c r="H990" s="171"/>
      <c r="I990" s="171"/>
    </row>
    <row r="991">
      <c r="B991" s="171"/>
      <c r="C991" s="171"/>
      <c r="D991" s="171"/>
      <c r="E991" s="171"/>
      <c r="F991" s="171"/>
      <c r="G991" s="171"/>
      <c r="H991" s="171"/>
      <c r="I991" s="171"/>
    </row>
    <row r="992">
      <c r="B992" s="171"/>
      <c r="C992" s="171"/>
      <c r="D992" s="171"/>
      <c r="E992" s="171"/>
      <c r="F992" s="171"/>
      <c r="G992" s="171"/>
      <c r="H992" s="171"/>
      <c r="I992" s="171"/>
    </row>
    <row r="993">
      <c r="B993" s="171"/>
      <c r="C993" s="171"/>
      <c r="D993" s="171"/>
      <c r="E993" s="171"/>
      <c r="F993" s="171"/>
      <c r="G993" s="171"/>
      <c r="H993" s="171"/>
      <c r="I993" s="171"/>
    </row>
    <row r="994">
      <c r="B994" s="171"/>
      <c r="C994" s="171"/>
      <c r="D994" s="171"/>
      <c r="E994" s="171"/>
      <c r="F994" s="171"/>
      <c r="G994" s="171"/>
      <c r="H994" s="171"/>
      <c r="I994" s="171"/>
    </row>
    <row r="995">
      <c r="B995" s="171"/>
      <c r="C995" s="171"/>
      <c r="D995" s="171"/>
      <c r="E995" s="171"/>
      <c r="F995" s="171"/>
      <c r="G995" s="171"/>
      <c r="H995" s="171"/>
      <c r="I995" s="171"/>
    </row>
    <row r="996">
      <c r="B996" s="171"/>
      <c r="C996" s="171"/>
      <c r="D996" s="171"/>
      <c r="E996" s="171"/>
      <c r="F996" s="171"/>
      <c r="G996" s="171"/>
      <c r="H996" s="171"/>
      <c r="I996" s="171"/>
    </row>
    <row r="997">
      <c r="B997" s="171"/>
      <c r="C997" s="171"/>
      <c r="D997" s="171"/>
      <c r="E997" s="171"/>
      <c r="F997" s="171"/>
      <c r="G997" s="171"/>
      <c r="H997" s="171"/>
      <c r="I997" s="171"/>
    </row>
    <row r="998">
      <c r="B998" s="171"/>
      <c r="C998" s="171"/>
      <c r="D998" s="171"/>
      <c r="E998" s="171"/>
      <c r="F998" s="171"/>
      <c r="G998" s="171"/>
      <c r="H998" s="171"/>
      <c r="I998" s="171"/>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20.0"/>
    <col customWidth="1" min="3" max="3" width="14.43"/>
    <col customWidth="1" min="4" max="4" width="34.43"/>
    <col customWidth="1" min="5" max="5" width="22.86"/>
    <col customWidth="1" min="6" max="6" width="14.43"/>
    <col customWidth="1" min="8" max="8" width="34.0"/>
    <col customWidth="1" min="9" max="9" width="40.29"/>
  </cols>
  <sheetData>
    <row r="1">
      <c r="A1" s="154" t="s">
        <v>45</v>
      </c>
      <c r="B1" s="154" t="s">
        <v>46</v>
      </c>
      <c r="C1" s="442" t="s">
        <v>2001</v>
      </c>
      <c r="D1" s="442" t="s">
        <v>2002</v>
      </c>
      <c r="E1" s="363" t="s">
        <v>2003</v>
      </c>
      <c r="F1" s="253"/>
    </row>
    <row r="2">
      <c r="A2" s="443" t="s">
        <v>52</v>
      </c>
      <c r="B2" s="443" t="s">
        <v>1186</v>
      </c>
      <c r="C2" s="442">
        <v>227155.0</v>
      </c>
      <c r="D2" s="253" t="s">
        <v>2004</v>
      </c>
      <c r="E2" s="253"/>
      <c r="F2" s="253"/>
      <c r="G2" s="444">
        <v>227155.0</v>
      </c>
      <c r="H2" s="445" t="s">
        <v>225</v>
      </c>
      <c r="I2" s="446" t="s">
        <v>2004</v>
      </c>
    </row>
    <row r="3">
      <c r="A3" s="447" t="s">
        <v>53</v>
      </c>
      <c r="B3" s="447" t="s">
        <v>1188</v>
      </c>
      <c r="C3" s="442">
        <v>247300.0</v>
      </c>
      <c r="D3" s="253" t="s">
        <v>2005</v>
      </c>
      <c r="E3" s="253"/>
      <c r="F3" s="253"/>
      <c r="G3" s="448">
        <v>227122.0</v>
      </c>
      <c r="H3" s="449" t="s">
        <v>665</v>
      </c>
      <c r="I3" s="450" t="s">
        <v>2006</v>
      </c>
    </row>
    <row r="4">
      <c r="A4" s="443" t="s">
        <v>54</v>
      </c>
      <c r="B4" s="443" t="s">
        <v>1189</v>
      </c>
      <c r="C4" s="442">
        <v>247300.0</v>
      </c>
      <c r="D4" s="253" t="s">
        <v>2005</v>
      </c>
      <c r="E4" s="253"/>
      <c r="F4" s="253"/>
      <c r="G4" s="448">
        <v>237050.0</v>
      </c>
      <c r="H4" s="449" t="s">
        <v>221</v>
      </c>
      <c r="I4" s="450" t="s">
        <v>2007</v>
      </c>
    </row>
    <row r="5">
      <c r="A5" s="447" t="s">
        <v>55</v>
      </c>
      <c r="B5" s="447" t="s">
        <v>1190</v>
      </c>
      <c r="C5" s="442">
        <v>193529.0</v>
      </c>
      <c r="D5" s="253" t="s">
        <v>2008</v>
      </c>
      <c r="E5" s="253"/>
      <c r="F5" s="253"/>
      <c r="G5" s="448">
        <v>227148.0</v>
      </c>
      <c r="H5" s="449" t="s">
        <v>223</v>
      </c>
      <c r="I5" s="450" t="s">
        <v>2009</v>
      </c>
    </row>
    <row r="6">
      <c r="A6" s="443" t="s">
        <v>56</v>
      </c>
      <c r="B6" s="443" t="s">
        <v>1191</v>
      </c>
      <c r="C6" s="253"/>
      <c r="D6" s="253" t="e">
        <v>#N/A</v>
      </c>
      <c r="E6" s="253"/>
      <c r="F6" s="253"/>
      <c r="G6" s="450">
        <v>173230.0</v>
      </c>
      <c r="H6" s="451" t="s">
        <v>657</v>
      </c>
      <c r="I6" s="450" t="s">
        <v>2010</v>
      </c>
    </row>
    <row r="7">
      <c r="A7" s="447" t="s">
        <v>57</v>
      </c>
      <c r="B7" s="447" t="s">
        <v>1192</v>
      </c>
      <c r="C7" s="442">
        <v>183421.0</v>
      </c>
      <c r="D7" s="253" t="e">
        <v>#N/A</v>
      </c>
      <c r="E7" s="253"/>
      <c r="F7" s="253"/>
      <c r="G7" s="450">
        <v>143079.0</v>
      </c>
      <c r="H7" s="451" t="s">
        <v>661</v>
      </c>
      <c r="I7" s="450" t="s">
        <v>2011</v>
      </c>
    </row>
    <row r="8">
      <c r="A8" s="443" t="s">
        <v>58</v>
      </c>
      <c r="B8" s="443" t="s">
        <v>1193</v>
      </c>
      <c r="C8" s="442">
        <v>247198.0</v>
      </c>
      <c r="D8" s="253" t="s">
        <v>2012</v>
      </c>
      <c r="E8" s="253"/>
      <c r="F8" s="253"/>
      <c r="G8" s="452">
        <v>213974.0</v>
      </c>
      <c r="H8" s="453" t="s">
        <v>566</v>
      </c>
      <c r="I8" s="446" t="s">
        <v>2013</v>
      </c>
    </row>
    <row r="9">
      <c r="A9" s="447" t="s">
        <v>59</v>
      </c>
      <c r="B9" s="447" t="s">
        <v>1194</v>
      </c>
      <c r="C9" s="253"/>
      <c r="D9" s="253" t="e">
        <v>#N/A</v>
      </c>
      <c r="E9" s="253"/>
      <c r="F9" s="253"/>
      <c r="G9" s="454">
        <v>213891.0</v>
      </c>
      <c r="H9" s="451" t="s">
        <v>473</v>
      </c>
      <c r="I9" s="450" t="s">
        <v>2014</v>
      </c>
    </row>
    <row r="10">
      <c r="A10" s="443" t="s">
        <v>60</v>
      </c>
      <c r="B10" s="443" t="s">
        <v>1195</v>
      </c>
      <c r="C10" s="442">
        <v>227160.0</v>
      </c>
      <c r="D10" s="253" t="e">
        <v>#N/A</v>
      </c>
      <c r="E10" s="253"/>
      <c r="F10" s="253"/>
      <c r="G10" s="454">
        <v>227183.0</v>
      </c>
      <c r="H10" s="451" t="s">
        <v>475</v>
      </c>
      <c r="I10" s="450" t="s">
        <v>2015</v>
      </c>
    </row>
    <row r="11">
      <c r="A11" s="447" t="s">
        <v>61</v>
      </c>
      <c r="B11" s="447" t="s">
        <v>1196</v>
      </c>
      <c r="C11" s="253"/>
      <c r="D11" s="253" t="e">
        <v>#N/A</v>
      </c>
      <c r="E11" s="253"/>
      <c r="F11" s="253"/>
      <c r="G11" s="454">
        <v>247389.0</v>
      </c>
      <c r="H11" s="451" t="s">
        <v>462</v>
      </c>
      <c r="I11" s="450" t="s">
        <v>2016</v>
      </c>
    </row>
    <row r="12">
      <c r="A12" s="443" t="s">
        <v>62</v>
      </c>
      <c r="B12" s="443" t="s">
        <v>1197</v>
      </c>
      <c r="C12" s="253"/>
      <c r="D12" s="253" t="e">
        <v>#N/A</v>
      </c>
      <c r="E12" s="253"/>
      <c r="F12" s="253"/>
      <c r="G12" s="454">
        <v>247390.0</v>
      </c>
      <c r="H12" s="451" t="s">
        <v>465</v>
      </c>
      <c r="I12" s="450" t="s">
        <v>2017</v>
      </c>
    </row>
    <row r="13">
      <c r="A13" s="447" t="s">
        <v>63</v>
      </c>
      <c r="B13" s="447" t="s">
        <v>1198</v>
      </c>
      <c r="C13" s="253"/>
      <c r="D13" s="253" t="e">
        <v>#N/A</v>
      </c>
      <c r="E13" s="253"/>
      <c r="F13" s="253"/>
      <c r="G13" s="452">
        <v>213901.0</v>
      </c>
      <c r="H13" s="453" t="s">
        <v>277</v>
      </c>
      <c r="I13" s="446" t="s">
        <v>2018</v>
      </c>
    </row>
    <row r="14">
      <c r="A14" s="443" t="s">
        <v>64</v>
      </c>
      <c r="B14" s="443" t="s">
        <v>1199</v>
      </c>
      <c r="C14" s="442">
        <v>183422.0</v>
      </c>
      <c r="D14" s="253" t="s">
        <v>2019</v>
      </c>
      <c r="E14" s="253"/>
      <c r="F14" s="253"/>
      <c r="G14" s="454">
        <v>247332.0</v>
      </c>
      <c r="H14" s="451" t="s">
        <v>281</v>
      </c>
      <c r="I14" s="450" t="s">
        <v>2020</v>
      </c>
    </row>
    <row r="15">
      <c r="A15" s="447" t="s">
        <v>65</v>
      </c>
      <c r="B15" s="447" t="s">
        <v>1179</v>
      </c>
      <c r="C15" s="442">
        <v>213938.0</v>
      </c>
      <c r="D15" s="253" t="e">
        <v>#N/A</v>
      </c>
      <c r="E15" s="253"/>
      <c r="F15" s="253"/>
      <c r="G15" s="454">
        <v>213835.0</v>
      </c>
      <c r="H15" s="451" t="s">
        <v>275</v>
      </c>
      <c r="I15" s="450" t="s">
        <v>2021</v>
      </c>
    </row>
    <row r="16">
      <c r="A16" s="443" t="s">
        <v>66</v>
      </c>
      <c r="B16" s="443" t="s">
        <v>1200</v>
      </c>
      <c r="C16" s="442">
        <v>213938.0</v>
      </c>
      <c r="D16" s="253" t="e">
        <v>#N/A</v>
      </c>
      <c r="E16" s="253"/>
      <c r="F16" s="253"/>
      <c r="G16" s="454">
        <v>247097.0</v>
      </c>
      <c r="H16" s="451" t="s">
        <v>285</v>
      </c>
      <c r="I16" s="450" t="s">
        <v>2022</v>
      </c>
    </row>
    <row r="17">
      <c r="A17" s="447" t="s">
        <v>99</v>
      </c>
      <c r="B17" s="447" t="s">
        <v>1201</v>
      </c>
      <c r="C17" s="442">
        <v>237237.0</v>
      </c>
      <c r="D17" s="253" t="e">
        <v>#N/A</v>
      </c>
      <c r="E17" s="253"/>
      <c r="F17" s="253"/>
      <c r="G17" s="454">
        <v>227081.0</v>
      </c>
      <c r="H17" s="451" t="s">
        <v>279</v>
      </c>
      <c r="I17" s="450" t="s">
        <v>2023</v>
      </c>
    </row>
    <row r="18">
      <c r="A18" s="443" t="s">
        <v>67</v>
      </c>
      <c r="B18" s="443" t="s">
        <v>1202</v>
      </c>
      <c r="C18" s="442">
        <v>212007.0</v>
      </c>
      <c r="D18" s="253" t="e">
        <v>#N/A</v>
      </c>
      <c r="E18" s="253"/>
      <c r="F18" s="253"/>
      <c r="G18" s="454">
        <v>193613.0</v>
      </c>
      <c r="H18" s="451" t="s">
        <v>283</v>
      </c>
      <c r="I18" s="450" t="s">
        <v>2024</v>
      </c>
    </row>
    <row r="19">
      <c r="A19" s="447" t="s">
        <v>68</v>
      </c>
      <c r="B19" s="447" t="s">
        <v>1203</v>
      </c>
      <c r="C19" s="442">
        <v>183432.0</v>
      </c>
      <c r="D19" s="253" t="s">
        <v>2025</v>
      </c>
      <c r="E19" s="253"/>
      <c r="F19" s="253"/>
      <c r="G19" s="452">
        <v>247172.0</v>
      </c>
      <c r="H19" s="453" t="s">
        <v>545</v>
      </c>
      <c r="I19" s="446" t="s">
        <v>2026</v>
      </c>
    </row>
    <row r="20">
      <c r="A20" s="443" t="s">
        <v>69</v>
      </c>
      <c r="B20" s="443" t="s">
        <v>1204</v>
      </c>
      <c r="C20" s="442">
        <v>183432.0</v>
      </c>
      <c r="D20" s="253" t="s">
        <v>2025</v>
      </c>
      <c r="E20" s="253"/>
      <c r="F20" s="253"/>
      <c r="G20" s="454">
        <v>173232.0</v>
      </c>
      <c r="H20" s="451" t="s">
        <v>547</v>
      </c>
      <c r="I20" s="450" t="s">
        <v>2027</v>
      </c>
    </row>
    <row r="21" ht="15.75" customHeight="1">
      <c r="A21" s="447" t="s">
        <v>70</v>
      </c>
      <c r="B21" s="447" t="s">
        <v>1205</v>
      </c>
      <c r="C21" s="442">
        <v>213974.0</v>
      </c>
      <c r="D21" s="253" t="s">
        <v>2013</v>
      </c>
      <c r="E21" s="253"/>
      <c r="F21" s="253"/>
      <c r="G21" s="454">
        <v>213935.0</v>
      </c>
      <c r="H21" s="451" t="s">
        <v>558</v>
      </c>
      <c r="I21" s="450" t="s">
        <v>2028</v>
      </c>
    </row>
    <row r="22" ht="15.75" customHeight="1">
      <c r="A22" s="443" t="s">
        <v>71</v>
      </c>
      <c r="B22" s="443" t="s">
        <v>1206</v>
      </c>
      <c r="C22" s="442">
        <v>247377.0</v>
      </c>
      <c r="D22" s="253" t="s">
        <v>2029</v>
      </c>
      <c r="E22" s="253"/>
      <c r="F22" s="253"/>
      <c r="G22" s="454">
        <v>227063.0</v>
      </c>
      <c r="H22" s="451" t="s">
        <v>560</v>
      </c>
      <c r="I22" s="450" t="s">
        <v>2030</v>
      </c>
    </row>
    <row r="23" ht="15.75" customHeight="1">
      <c r="A23" s="447" t="s">
        <v>72</v>
      </c>
      <c r="B23" s="447" t="s">
        <v>1207</v>
      </c>
      <c r="C23" s="442">
        <v>183340.0</v>
      </c>
      <c r="D23" s="253" t="s">
        <v>2031</v>
      </c>
      <c r="E23" s="253"/>
      <c r="F23" s="253"/>
      <c r="G23" s="454">
        <v>213881.0</v>
      </c>
      <c r="H23" s="451" t="s">
        <v>383</v>
      </c>
      <c r="I23" s="450" t="s">
        <v>2032</v>
      </c>
    </row>
    <row r="24" ht="15.75" customHeight="1">
      <c r="A24" s="443" t="s">
        <v>73</v>
      </c>
      <c r="B24" s="443" t="s">
        <v>1208</v>
      </c>
      <c r="C24" s="253"/>
      <c r="D24" s="253" t="e">
        <v>#N/A</v>
      </c>
      <c r="E24" s="253"/>
      <c r="F24" s="253"/>
      <c r="G24" s="454">
        <v>203701.0</v>
      </c>
      <c r="H24" s="451" t="s">
        <v>549</v>
      </c>
      <c r="I24" s="450" t="s">
        <v>2033</v>
      </c>
    </row>
    <row r="25" ht="15.75" customHeight="1">
      <c r="A25" s="447" t="s">
        <v>74</v>
      </c>
      <c r="B25" s="447" t="s">
        <v>1209</v>
      </c>
      <c r="C25" s="442">
        <v>213901.0</v>
      </c>
      <c r="D25" s="253" t="s">
        <v>2018</v>
      </c>
      <c r="E25" s="253"/>
      <c r="F25" s="253"/>
      <c r="G25" s="454">
        <v>213805.0</v>
      </c>
      <c r="H25" s="451" t="s">
        <v>556</v>
      </c>
      <c r="I25" s="450" t="s">
        <v>2034</v>
      </c>
    </row>
    <row r="26" ht="15.75" customHeight="1">
      <c r="A26" s="443" t="s">
        <v>75</v>
      </c>
      <c r="B26" s="443" t="s">
        <v>1210</v>
      </c>
      <c r="C26" s="442">
        <v>213876.0</v>
      </c>
      <c r="D26" s="253" t="s">
        <v>2035</v>
      </c>
      <c r="E26" s="253"/>
      <c r="F26" s="253"/>
      <c r="G26" s="454">
        <v>213916.0</v>
      </c>
      <c r="H26" s="451" t="s">
        <v>552</v>
      </c>
      <c r="I26" s="450" t="s">
        <v>2036</v>
      </c>
    </row>
    <row r="27" ht="15.75" customHeight="1">
      <c r="A27" s="447" t="s">
        <v>76</v>
      </c>
      <c r="B27" s="447" t="s">
        <v>1211</v>
      </c>
      <c r="C27" s="442">
        <v>227144.0</v>
      </c>
      <c r="D27" s="253" t="s">
        <v>2037</v>
      </c>
      <c r="E27" s="253"/>
      <c r="F27" s="253"/>
      <c r="G27" s="454">
        <v>213854.0</v>
      </c>
      <c r="H27" s="451" t="s">
        <v>554</v>
      </c>
      <c r="I27" s="450" t="s">
        <v>2038</v>
      </c>
    </row>
    <row r="28" ht="15.75" customHeight="1">
      <c r="A28" s="443" t="s">
        <v>77</v>
      </c>
      <c r="B28" s="443" t="s">
        <v>1212</v>
      </c>
      <c r="C28" s="442">
        <v>227214.0</v>
      </c>
      <c r="D28" s="253" t="s">
        <v>2039</v>
      </c>
      <c r="E28" s="253"/>
      <c r="F28" s="253"/>
      <c r="G28" s="452">
        <v>247377.0</v>
      </c>
      <c r="H28" s="453" t="s">
        <v>600</v>
      </c>
      <c r="I28" s="446" t="s">
        <v>2029</v>
      </c>
    </row>
    <row r="29" ht="15.75" customHeight="1">
      <c r="A29" s="447" t="s">
        <v>78</v>
      </c>
      <c r="B29" s="447" t="s">
        <v>1213</v>
      </c>
      <c r="C29" s="442">
        <v>247122.0</v>
      </c>
      <c r="D29" s="253" t="e">
        <v>#N/A</v>
      </c>
      <c r="E29" s="253"/>
      <c r="F29" s="253"/>
      <c r="G29" s="454">
        <v>247183.0</v>
      </c>
      <c r="H29" s="451" t="s">
        <v>596</v>
      </c>
      <c r="I29" s="450" t="s">
        <v>2040</v>
      </c>
    </row>
    <row r="30" ht="15.75" customHeight="1">
      <c r="A30" s="443" t="s">
        <v>79</v>
      </c>
      <c r="B30" s="443" t="s">
        <v>1214</v>
      </c>
      <c r="C30" s="442">
        <v>247122.0</v>
      </c>
      <c r="D30" s="253" t="e">
        <v>#N/A</v>
      </c>
      <c r="E30" s="253"/>
      <c r="F30" s="253"/>
      <c r="G30" s="454">
        <v>247358.0</v>
      </c>
      <c r="H30" s="451" t="s">
        <v>604</v>
      </c>
      <c r="I30" s="450" t="s">
        <v>2041</v>
      </c>
    </row>
    <row r="31" ht="15.75" customHeight="1">
      <c r="A31" s="447" t="s">
        <v>80</v>
      </c>
      <c r="B31" s="447" t="s">
        <v>1215</v>
      </c>
      <c r="C31" s="442">
        <v>247122.0</v>
      </c>
      <c r="D31" s="253" t="e">
        <v>#N/A</v>
      </c>
      <c r="E31" s="253"/>
      <c r="F31" s="253"/>
      <c r="G31" s="454">
        <v>237230.0</v>
      </c>
      <c r="H31" s="451" t="s">
        <v>598</v>
      </c>
      <c r="I31" s="450" t="s">
        <v>2042</v>
      </c>
    </row>
    <row r="32" ht="15.75" customHeight="1">
      <c r="A32" s="443" t="s">
        <v>81</v>
      </c>
      <c r="B32" s="443" t="s">
        <v>1216</v>
      </c>
      <c r="C32" s="442">
        <v>247098.0</v>
      </c>
      <c r="D32" s="253" t="s">
        <v>2043</v>
      </c>
      <c r="E32" s="253"/>
      <c r="F32" s="253"/>
      <c r="G32" s="454">
        <v>247412.0</v>
      </c>
      <c r="H32" s="451" t="s">
        <v>602</v>
      </c>
      <c r="I32" s="450" t="s">
        <v>2044</v>
      </c>
    </row>
    <row r="33" ht="15.75" customHeight="1">
      <c r="A33" s="447" t="s">
        <v>82</v>
      </c>
      <c r="B33" s="447" t="s">
        <v>1217</v>
      </c>
      <c r="C33" s="442">
        <v>213808.0</v>
      </c>
      <c r="D33" s="253" t="s">
        <v>2045</v>
      </c>
      <c r="E33" s="253"/>
      <c r="F33" s="253"/>
      <c r="G33" s="455">
        <v>237056.0</v>
      </c>
      <c r="H33" s="451" t="s">
        <v>592</v>
      </c>
      <c r="I33" s="450" t="s">
        <v>2046</v>
      </c>
    </row>
    <row r="34" ht="15.75" customHeight="1">
      <c r="A34" s="443" t="s">
        <v>83</v>
      </c>
      <c r="B34" s="443" t="s">
        <v>1218</v>
      </c>
      <c r="C34" s="442">
        <v>193588.0</v>
      </c>
      <c r="D34" s="253" t="s">
        <v>2047</v>
      </c>
      <c r="E34" s="253"/>
      <c r="F34" s="253"/>
      <c r="G34" s="454">
        <v>242001.0</v>
      </c>
      <c r="H34" s="451" t="s">
        <v>594</v>
      </c>
      <c r="I34" s="450" t="s">
        <v>2048</v>
      </c>
    </row>
    <row r="35" ht="15.75" customHeight="1">
      <c r="A35" s="447" t="s">
        <v>84</v>
      </c>
      <c r="B35" s="447" t="s">
        <v>1219</v>
      </c>
      <c r="C35" s="442">
        <v>237147.0</v>
      </c>
      <c r="D35" s="253" t="s">
        <v>2049</v>
      </c>
      <c r="E35" s="253"/>
      <c r="F35" s="253"/>
      <c r="G35" s="452">
        <v>227144.0</v>
      </c>
      <c r="H35" s="453" t="s">
        <v>432</v>
      </c>
      <c r="I35" s="446" t="s">
        <v>2037</v>
      </c>
    </row>
    <row r="36" ht="15.75" customHeight="1">
      <c r="A36" s="443" t="s">
        <v>85</v>
      </c>
      <c r="B36" s="443" t="s">
        <v>1220</v>
      </c>
      <c r="C36" s="442">
        <v>237183.0</v>
      </c>
      <c r="D36" s="253" t="s">
        <v>2050</v>
      </c>
      <c r="E36" s="253"/>
      <c r="F36" s="253"/>
      <c r="G36" s="454">
        <v>237246.0</v>
      </c>
      <c r="H36" s="451" t="s">
        <v>430</v>
      </c>
      <c r="I36" s="450" t="s">
        <v>2051</v>
      </c>
    </row>
    <row r="37" ht="15.75" customHeight="1">
      <c r="A37" s="447" t="s">
        <v>2052</v>
      </c>
      <c r="B37" s="447" t="s">
        <v>2053</v>
      </c>
      <c r="C37" s="253"/>
      <c r="D37" s="253" t="e">
        <v>#N/A</v>
      </c>
      <c r="E37" s="253"/>
      <c r="F37" s="253"/>
      <c r="G37" s="454">
        <v>247359.0</v>
      </c>
      <c r="H37" s="451" t="s">
        <v>420</v>
      </c>
      <c r="I37" s="450" t="s">
        <v>2054</v>
      </c>
    </row>
    <row r="38" ht="15.75" customHeight="1">
      <c r="A38" s="443" t="s">
        <v>86</v>
      </c>
      <c r="B38" s="443" t="s">
        <v>1221</v>
      </c>
      <c r="C38" s="442">
        <v>247172.0</v>
      </c>
      <c r="D38" s="253" t="s">
        <v>2026</v>
      </c>
      <c r="E38" s="253"/>
      <c r="F38" s="253"/>
      <c r="G38" s="454">
        <v>237043.0</v>
      </c>
      <c r="H38" s="451" t="s">
        <v>422</v>
      </c>
      <c r="I38" s="450" t="s">
        <v>2055</v>
      </c>
    </row>
    <row r="39" ht="15.75" customHeight="1">
      <c r="A39" s="447" t="s">
        <v>87</v>
      </c>
      <c r="B39" s="447" t="s">
        <v>1222</v>
      </c>
      <c r="C39" s="442">
        <v>247313.0</v>
      </c>
      <c r="D39" s="253" t="s">
        <v>2056</v>
      </c>
      <c r="E39" s="253"/>
      <c r="F39" s="253"/>
      <c r="G39" s="454">
        <v>227069.0</v>
      </c>
      <c r="H39" s="451" t="s">
        <v>428</v>
      </c>
      <c r="I39" s="450" t="s">
        <v>2057</v>
      </c>
    </row>
    <row r="40" ht="15.75" customHeight="1">
      <c r="A40" s="443" t="s">
        <v>88</v>
      </c>
      <c r="B40" s="443" t="s">
        <v>1223</v>
      </c>
      <c r="C40" s="442">
        <v>237061.0</v>
      </c>
      <c r="D40" s="253" t="s">
        <v>2058</v>
      </c>
      <c r="E40" s="253"/>
      <c r="F40" s="253"/>
      <c r="G40" s="454">
        <v>247405.0</v>
      </c>
      <c r="H40" s="451" t="s">
        <v>418</v>
      </c>
      <c r="I40" s="450" t="s">
        <v>2059</v>
      </c>
    </row>
    <row r="41" ht="15.75" customHeight="1">
      <c r="A41" s="447" t="s">
        <v>89</v>
      </c>
      <c r="B41" s="456" t="s">
        <v>1224</v>
      </c>
      <c r="C41" s="442">
        <v>173268.0</v>
      </c>
      <c r="D41" s="457" t="s">
        <v>2060</v>
      </c>
      <c r="E41" s="442" t="s">
        <v>2061</v>
      </c>
      <c r="F41" s="253"/>
      <c r="G41" s="454">
        <v>247298.0</v>
      </c>
      <c r="H41" s="451" t="s">
        <v>424</v>
      </c>
      <c r="I41" s="450" t="s">
        <v>2058</v>
      </c>
    </row>
    <row r="42" ht="15.75" customHeight="1">
      <c r="A42" s="443" t="s">
        <v>90</v>
      </c>
      <c r="B42" s="443" t="s">
        <v>1225</v>
      </c>
      <c r="C42" s="442">
        <v>133067.0</v>
      </c>
      <c r="D42" s="253" t="e">
        <v>#N/A</v>
      </c>
      <c r="E42" s="253"/>
      <c r="F42" s="253"/>
      <c r="G42" s="458">
        <v>237061.0</v>
      </c>
      <c r="H42" s="459" t="s">
        <v>323</v>
      </c>
      <c r="I42" s="446" t="s">
        <v>2058</v>
      </c>
    </row>
    <row r="43" ht="15.75" customHeight="1">
      <c r="A43" s="447" t="s">
        <v>91</v>
      </c>
      <c r="B43" s="456" t="s">
        <v>1226</v>
      </c>
      <c r="C43" s="442">
        <v>247102.0</v>
      </c>
      <c r="D43" s="457" t="s">
        <v>2062</v>
      </c>
      <c r="E43" s="442" t="s">
        <v>2063</v>
      </c>
      <c r="F43" s="253"/>
      <c r="G43" s="460">
        <v>227188.0</v>
      </c>
      <c r="H43" s="461" t="s">
        <v>330</v>
      </c>
      <c r="I43" s="450" t="s">
        <v>2058</v>
      </c>
    </row>
    <row r="44" ht="15.75" customHeight="1">
      <c r="A44" s="443" t="s">
        <v>92</v>
      </c>
      <c r="B44" s="443" t="s">
        <v>1227</v>
      </c>
      <c r="C44" s="442">
        <v>237072.0</v>
      </c>
      <c r="D44" s="253" t="e">
        <v>#N/A</v>
      </c>
      <c r="E44" s="253"/>
      <c r="F44" s="253"/>
      <c r="G44" s="460">
        <v>237245.0</v>
      </c>
      <c r="H44" s="461" t="s">
        <v>327</v>
      </c>
      <c r="I44" s="450" t="s">
        <v>2058</v>
      </c>
    </row>
    <row r="45" ht="15.75" customHeight="1">
      <c r="A45" s="447" t="s">
        <v>93</v>
      </c>
      <c r="B45" s="447" t="s">
        <v>1228</v>
      </c>
      <c r="C45" s="442">
        <v>227131.0</v>
      </c>
      <c r="D45" s="253" t="e">
        <v>#N/A</v>
      </c>
      <c r="E45" s="253"/>
      <c r="F45" s="253"/>
      <c r="G45" s="460">
        <v>213946.0</v>
      </c>
      <c r="H45" s="462" t="s">
        <v>321</v>
      </c>
      <c r="I45" s="450" t="s">
        <v>2058</v>
      </c>
    </row>
    <row r="46" ht="15.75" customHeight="1">
      <c r="A46" s="443" t="s">
        <v>94</v>
      </c>
      <c r="B46" s="463" t="s">
        <v>1229</v>
      </c>
      <c r="C46" s="442">
        <v>227101.0</v>
      </c>
      <c r="D46" s="457" t="s">
        <v>2064</v>
      </c>
      <c r="E46" s="442" t="s">
        <v>2065</v>
      </c>
      <c r="F46" s="253"/>
      <c r="G46" s="460">
        <v>227035.0</v>
      </c>
      <c r="H46" s="462" t="s">
        <v>767</v>
      </c>
      <c r="I46" s="450" t="s">
        <v>2058</v>
      </c>
    </row>
    <row r="47" ht="15.75" customHeight="1">
      <c r="A47" s="447" t="s">
        <v>1100</v>
      </c>
      <c r="B47" s="464" t="s">
        <v>1230</v>
      </c>
      <c r="C47" s="442">
        <v>193470.0</v>
      </c>
      <c r="D47" s="442" t="s">
        <v>2066</v>
      </c>
      <c r="E47" s="442" t="s">
        <v>2067</v>
      </c>
      <c r="F47" s="253"/>
      <c r="G47" s="460">
        <v>183423.0</v>
      </c>
      <c r="H47" s="462" t="s">
        <v>325</v>
      </c>
      <c r="I47" s="450" t="s">
        <v>2058</v>
      </c>
    </row>
    <row r="48" ht="15.75" customHeight="1">
      <c r="A48" s="443" t="s">
        <v>1101</v>
      </c>
      <c r="B48" s="465" t="s">
        <v>1231</v>
      </c>
      <c r="C48" s="442">
        <v>193470.0</v>
      </c>
      <c r="D48" s="442" t="s">
        <v>2066</v>
      </c>
      <c r="E48" s="442" t="s">
        <v>2067</v>
      </c>
      <c r="F48" s="253"/>
      <c r="G48" s="460">
        <v>247265.0</v>
      </c>
      <c r="H48" s="462" t="s">
        <v>317</v>
      </c>
      <c r="I48" s="450" t="s">
        <v>2058</v>
      </c>
    </row>
    <row r="49" ht="15.75" customHeight="1">
      <c r="A49" s="447" t="s">
        <v>1103</v>
      </c>
      <c r="B49" s="456" t="s">
        <v>1232</v>
      </c>
      <c r="C49" s="442">
        <v>227005.0</v>
      </c>
      <c r="D49" s="442" t="s">
        <v>2068</v>
      </c>
      <c r="E49" s="442" t="s">
        <v>2069</v>
      </c>
      <c r="F49" s="253"/>
      <c r="G49" s="460">
        <v>247415.0</v>
      </c>
      <c r="H49" s="462" t="s">
        <v>319</v>
      </c>
      <c r="I49" s="450" t="s">
        <v>2058</v>
      </c>
    </row>
    <row r="50" ht="15.75" customHeight="1">
      <c r="A50" s="443" t="s">
        <v>95</v>
      </c>
      <c r="B50" s="463" t="s">
        <v>1233</v>
      </c>
      <c r="C50" s="253"/>
      <c r="D50" s="442" t="s">
        <v>2070</v>
      </c>
      <c r="E50" s="442" t="s">
        <v>2071</v>
      </c>
      <c r="F50" s="253"/>
      <c r="G50" s="452">
        <v>213808.0</v>
      </c>
      <c r="H50" s="453" t="s">
        <v>586</v>
      </c>
      <c r="I50" s="446" t="s">
        <v>2045</v>
      </c>
    </row>
    <row r="51" ht="15.75" customHeight="1">
      <c r="A51" s="447" t="s">
        <v>96</v>
      </c>
      <c r="B51" s="456" t="s">
        <v>1234</v>
      </c>
      <c r="C51" s="442">
        <v>193633.0</v>
      </c>
      <c r="D51" s="442" t="s">
        <v>2072</v>
      </c>
      <c r="E51" s="442" t="s">
        <v>2073</v>
      </c>
      <c r="F51" s="253"/>
      <c r="G51" s="454">
        <v>213889.0</v>
      </c>
      <c r="H51" s="451" t="s">
        <v>1958</v>
      </c>
      <c r="I51" s="450" t="s">
        <v>2074</v>
      </c>
    </row>
    <row r="52" ht="15.75" customHeight="1">
      <c r="A52" s="443" t="s">
        <v>97</v>
      </c>
      <c r="B52" s="463" t="s">
        <v>1235</v>
      </c>
      <c r="C52" s="442">
        <v>183330.0</v>
      </c>
      <c r="D52" s="442" t="s">
        <v>2075</v>
      </c>
      <c r="E52" s="442" t="s">
        <v>2076</v>
      </c>
      <c r="F52" s="253"/>
      <c r="G52" s="454">
        <v>213975.0</v>
      </c>
      <c r="H52" s="451" t="s">
        <v>580</v>
      </c>
      <c r="I52" s="450" t="s">
        <v>2077</v>
      </c>
    </row>
    <row r="53" ht="15.75" customHeight="1">
      <c r="A53" s="466" t="s">
        <v>1106</v>
      </c>
      <c r="B53" s="467" t="s">
        <v>1236</v>
      </c>
      <c r="C53" s="253"/>
      <c r="D53" s="253"/>
      <c r="E53" s="253"/>
      <c r="F53" s="253"/>
      <c r="G53" s="454">
        <v>193536.0</v>
      </c>
      <c r="H53" s="451" t="s">
        <v>578</v>
      </c>
      <c r="I53" s="450" t="s">
        <v>2078</v>
      </c>
    </row>
    <row r="54" ht="15.75" customHeight="1">
      <c r="A54" s="468"/>
      <c r="B54" s="469"/>
      <c r="C54" s="253"/>
      <c r="D54" s="253"/>
      <c r="E54" s="253"/>
      <c r="F54" s="253"/>
      <c r="G54" s="454">
        <v>163188.0</v>
      </c>
      <c r="H54" s="451" t="s">
        <v>722</v>
      </c>
      <c r="I54" s="450" t="s">
        <v>2079</v>
      </c>
    </row>
    <row r="55" ht="15.75" customHeight="1">
      <c r="A55" s="468"/>
      <c r="B55" s="469"/>
      <c r="C55" s="253"/>
      <c r="D55" s="253"/>
      <c r="E55" s="253"/>
      <c r="F55" s="253"/>
      <c r="G55" s="454">
        <v>247203.0</v>
      </c>
      <c r="H55" s="451" t="s">
        <v>588</v>
      </c>
      <c r="I55" s="450" t="s">
        <v>2080</v>
      </c>
    </row>
    <row r="56" ht="15.75" customHeight="1">
      <c r="A56" s="468"/>
      <c r="B56" s="469"/>
      <c r="C56" s="253"/>
      <c r="D56" s="253"/>
      <c r="E56" s="253"/>
      <c r="F56" s="253"/>
      <c r="G56" s="454">
        <v>237196.0</v>
      </c>
      <c r="H56" s="451" t="s">
        <v>590</v>
      </c>
      <c r="I56" s="450" t="s">
        <v>2081</v>
      </c>
    </row>
    <row r="57" ht="15.75" customHeight="1">
      <c r="A57" s="468"/>
      <c r="B57" s="469"/>
      <c r="C57" s="253"/>
      <c r="D57" s="253"/>
      <c r="E57" s="253"/>
      <c r="F57" s="253"/>
      <c r="G57" s="454">
        <v>237157.0</v>
      </c>
      <c r="H57" s="451" t="s">
        <v>582</v>
      </c>
      <c r="I57" s="450" t="s">
        <v>2082</v>
      </c>
    </row>
    <row r="58" ht="15.75" customHeight="1">
      <c r="A58" s="468"/>
      <c r="B58" s="469"/>
      <c r="C58" s="253"/>
      <c r="D58" s="253"/>
      <c r="E58" s="253"/>
      <c r="F58" s="253"/>
      <c r="G58" s="452">
        <v>237183.0</v>
      </c>
      <c r="H58" s="453" t="s">
        <v>738</v>
      </c>
      <c r="I58" s="446" t="s">
        <v>2050</v>
      </c>
    </row>
    <row r="59" ht="15.75" customHeight="1">
      <c r="A59" s="468"/>
      <c r="B59" s="469"/>
      <c r="C59" s="253"/>
      <c r="D59" s="253"/>
      <c r="E59" s="253"/>
      <c r="F59" s="253"/>
      <c r="G59" s="454">
        <v>227104.0</v>
      </c>
      <c r="H59" s="451" t="s">
        <v>740</v>
      </c>
      <c r="I59" s="450" t="s">
        <v>2083</v>
      </c>
    </row>
    <row r="60" ht="15.75" customHeight="1">
      <c r="A60" s="468"/>
      <c r="B60" s="469"/>
      <c r="C60" s="253"/>
      <c r="D60" s="253"/>
      <c r="E60" s="253"/>
      <c r="F60" s="253"/>
      <c r="G60" s="454">
        <v>213898.0</v>
      </c>
      <c r="H60" s="451" t="s">
        <v>736</v>
      </c>
      <c r="I60" s="450" t="s">
        <v>2084</v>
      </c>
    </row>
    <row r="61" ht="15.75" customHeight="1">
      <c r="A61" s="468"/>
      <c r="B61" s="469"/>
      <c r="C61" s="253"/>
      <c r="D61" s="253"/>
      <c r="E61" s="253"/>
      <c r="F61" s="253"/>
      <c r="G61" s="454">
        <v>213863.0</v>
      </c>
      <c r="H61" s="451" t="s">
        <v>734</v>
      </c>
      <c r="I61" s="450" t="s">
        <v>2085</v>
      </c>
    </row>
    <row r="62" ht="15.75" customHeight="1">
      <c r="A62" s="468"/>
      <c r="B62" s="469"/>
      <c r="C62" s="253"/>
      <c r="D62" s="253"/>
      <c r="E62" s="253"/>
      <c r="F62" s="253"/>
      <c r="G62" s="454">
        <v>203746.0</v>
      </c>
      <c r="H62" s="451" t="s">
        <v>728</v>
      </c>
      <c r="I62" s="450" t="s">
        <v>2086</v>
      </c>
    </row>
    <row r="63" ht="15.75" customHeight="1">
      <c r="A63" s="468"/>
      <c r="B63" s="469"/>
      <c r="C63" s="253"/>
      <c r="D63" s="253"/>
      <c r="E63" s="253"/>
      <c r="F63" s="253"/>
      <c r="G63" s="454">
        <v>247098.0</v>
      </c>
      <c r="H63" s="451" t="s">
        <v>730</v>
      </c>
      <c r="I63" s="450" t="s">
        <v>2043</v>
      </c>
    </row>
    <row r="64" ht="15.75" customHeight="1">
      <c r="A64" s="468"/>
      <c r="B64" s="469"/>
      <c r="C64" s="253"/>
      <c r="D64" s="253"/>
      <c r="E64" s="253"/>
      <c r="F64" s="253"/>
      <c r="G64" s="454">
        <v>237156.0</v>
      </c>
      <c r="H64" s="451" t="s">
        <v>732</v>
      </c>
      <c r="I64" s="450" t="s">
        <v>2087</v>
      </c>
    </row>
    <row r="65" ht="15.75" customHeight="1">
      <c r="A65" s="468"/>
      <c r="B65" s="469"/>
      <c r="C65" s="253"/>
      <c r="D65" s="253"/>
      <c r="E65" s="253"/>
      <c r="F65" s="253"/>
      <c r="G65" s="454">
        <v>247119.0</v>
      </c>
      <c r="H65" s="451" t="s">
        <v>724</v>
      </c>
      <c r="I65" s="450" t="s">
        <v>2088</v>
      </c>
    </row>
    <row r="66" ht="15.75" customHeight="1">
      <c r="A66" s="468"/>
      <c r="B66" s="469"/>
      <c r="C66" s="253"/>
      <c r="D66" s="253"/>
      <c r="E66" s="253"/>
      <c r="F66" s="253"/>
      <c r="G66" s="454">
        <v>203764.0</v>
      </c>
      <c r="H66" s="451" t="s">
        <v>726</v>
      </c>
      <c r="I66" s="450" t="s">
        <v>2089</v>
      </c>
    </row>
    <row r="67" ht="15.75" customHeight="1">
      <c r="A67" s="468"/>
      <c r="B67" s="469"/>
      <c r="C67" s="253"/>
      <c r="D67" s="253"/>
      <c r="E67" s="253"/>
      <c r="F67" s="253"/>
      <c r="G67" s="452">
        <v>193526.0</v>
      </c>
      <c r="H67" s="453" t="s">
        <v>295</v>
      </c>
      <c r="I67" s="446" t="s">
        <v>2090</v>
      </c>
    </row>
    <row r="68" ht="15.75" customHeight="1">
      <c r="A68" s="468"/>
      <c r="B68" s="469"/>
      <c r="C68" s="253"/>
      <c r="D68" s="253"/>
      <c r="E68" s="253"/>
      <c r="F68" s="253"/>
      <c r="G68" s="454">
        <v>203780.0</v>
      </c>
      <c r="H68" s="451" t="s">
        <v>291</v>
      </c>
      <c r="I68" s="450" t="s">
        <v>2091</v>
      </c>
    </row>
    <row r="69" ht="15.75" customHeight="1">
      <c r="A69" s="468"/>
      <c r="B69" s="469"/>
      <c r="C69" s="253"/>
      <c r="D69" s="253"/>
      <c r="E69" s="253"/>
      <c r="F69" s="253"/>
      <c r="G69" s="454">
        <v>237161.0</v>
      </c>
      <c r="H69" s="451" t="s">
        <v>297</v>
      </c>
      <c r="I69" s="450" t="s">
        <v>2092</v>
      </c>
    </row>
    <row r="70" ht="15.75" customHeight="1">
      <c r="A70" s="468"/>
      <c r="B70" s="469"/>
      <c r="C70" s="253"/>
      <c r="D70" s="253"/>
      <c r="E70" s="253"/>
      <c r="F70" s="253"/>
      <c r="G70" s="454">
        <v>237117.0</v>
      </c>
      <c r="H70" s="451" t="s">
        <v>289</v>
      </c>
      <c r="I70" s="450" t="s">
        <v>2093</v>
      </c>
    </row>
    <row r="71" ht="15.75" customHeight="1">
      <c r="A71" s="468"/>
      <c r="B71" s="469"/>
      <c r="C71" s="253"/>
      <c r="D71" s="253"/>
      <c r="E71" s="253"/>
      <c r="F71" s="253"/>
      <c r="G71" s="454">
        <v>193523.0</v>
      </c>
      <c r="H71" s="451" t="s">
        <v>293</v>
      </c>
      <c r="I71" s="450" t="s">
        <v>2094</v>
      </c>
    </row>
    <row r="72" ht="15.75" customHeight="1">
      <c r="A72" s="468"/>
      <c r="B72" s="469"/>
      <c r="C72" s="253"/>
      <c r="D72" s="253"/>
      <c r="E72" s="253"/>
      <c r="F72" s="253"/>
      <c r="G72" s="452">
        <v>183340.0</v>
      </c>
      <c r="H72" s="453" t="s">
        <v>667</v>
      </c>
      <c r="I72" s="446" t="s">
        <v>2031</v>
      </c>
    </row>
    <row r="73" ht="15.75" customHeight="1">
      <c r="A73" s="468"/>
      <c r="B73" s="469"/>
      <c r="C73" s="253"/>
      <c r="D73" s="253"/>
      <c r="E73" s="253"/>
      <c r="F73" s="253"/>
      <c r="G73" s="448">
        <v>203693.0</v>
      </c>
      <c r="H73" s="449" t="s">
        <v>669</v>
      </c>
      <c r="I73" s="450" t="s">
        <v>2095</v>
      </c>
    </row>
    <row r="74" ht="15.75" customHeight="1">
      <c r="A74" s="468"/>
      <c r="B74" s="469"/>
      <c r="C74" s="253"/>
      <c r="D74" s="253"/>
      <c r="E74" s="253"/>
      <c r="F74" s="253"/>
      <c r="G74" s="448">
        <v>227080.0</v>
      </c>
      <c r="H74" s="449" t="s">
        <v>672</v>
      </c>
      <c r="I74" s="450" t="s">
        <v>2096</v>
      </c>
    </row>
    <row r="75" ht="15.75" customHeight="1">
      <c r="A75" s="468"/>
      <c r="B75" s="469"/>
      <c r="C75" s="253"/>
      <c r="D75" s="253"/>
      <c r="E75" s="253"/>
      <c r="F75" s="253"/>
      <c r="G75" s="448">
        <v>193534.0</v>
      </c>
      <c r="H75" s="449" t="s">
        <v>654</v>
      </c>
      <c r="I75" s="450" t="s">
        <v>2097</v>
      </c>
    </row>
    <row r="76" ht="15.75" customHeight="1">
      <c r="A76" s="468"/>
      <c r="B76" s="469"/>
      <c r="C76" s="253"/>
      <c r="D76" s="253"/>
      <c r="E76" s="253"/>
      <c r="F76" s="253"/>
      <c r="G76" s="448">
        <v>133051.0</v>
      </c>
      <c r="H76" s="449" t="s">
        <v>659</v>
      </c>
      <c r="I76" s="450" t="s">
        <v>2098</v>
      </c>
    </row>
    <row r="77" ht="15.75" customHeight="1">
      <c r="A77" s="468"/>
      <c r="B77" s="469"/>
      <c r="C77" s="253"/>
      <c r="D77" s="253"/>
      <c r="E77" s="253"/>
      <c r="F77" s="253"/>
      <c r="G77" s="448">
        <v>227064.0</v>
      </c>
      <c r="H77" s="449" t="s">
        <v>674</v>
      </c>
      <c r="I77" s="450" t="s">
        <v>2099</v>
      </c>
    </row>
    <row r="78" ht="15.75" customHeight="1">
      <c r="A78" s="468"/>
      <c r="B78" s="469"/>
      <c r="C78" s="253"/>
      <c r="D78" s="253"/>
      <c r="E78" s="253"/>
      <c r="F78" s="253"/>
      <c r="G78" s="448">
        <v>227047.0</v>
      </c>
      <c r="H78" s="449" t="s">
        <v>655</v>
      </c>
      <c r="I78" s="450" t="s">
        <v>2100</v>
      </c>
    </row>
    <row r="79" ht="15.75" customHeight="1">
      <c r="A79" s="468"/>
      <c r="B79" s="469"/>
      <c r="C79" s="253"/>
      <c r="D79" s="253"/>
      <c r="E79" s="253"/>
      <c r="F79" s="253"/>
      <c r="G79" s="448">
        <v>227048.0</v>
      </c>
      <c r="H79" s="449" t="s">
        <v>663</v>
      </c>
      <c r="I79" s="450" t="s">
        <v>2101</v>
      </c>
    </row>
    <row r="80" ht="15.75" customHeight="1">
      <c r="A80" s="468"/>
      <c r="B80" s="469"/>
      <c r="C80" s="253"/>
      <c r="D80" s="253"/>
      <c r="E80" s="253"/>
      <c r="F80" s="253"/>
      <c r="G80" s="452">
        <v>193588.0</v>
      </c>
      <c r="H80" s="453" t="s">
        <v>718</v>
      </c>
      <c r="I80" s="446" t="s">
        <v>2047</v>
      </c>
    </row>
    <row r="81" ht="15.75" customHeight="1">
      <c r="A81" s="468"/>
      <c r="B81" s="469"/>
      <c r="C81" s="253"/>
      <c r="D81" s="253"/>
      <c r="E81" s="253"/>
      <c r="F81" s="253"/>
      <c r="G81" s="454">
        <v>213815.0</v>
      </c>
      <c r="H81" s="451" t="s">
        <v>186</v>
      </c>
      <c r="I81" s="450" t="s">
        <v>2102</v>
      </c>
    </row>
    <row r="82" ht="15.75" customHeight="1">
      <c r="A82" s="468"/>
      <c r="B82" s="469"/>
      <c r="C82" s="253"/>
      <c r="D82" s="253"/>
      <c r="E82" s="253"/>
      <c r="F82" s="253"/>
      <c r="G82" s="454">
        <v>213861.0</v>
      </c>
      <c r="H82" s="451" t="s">
        <v>195</v>
      </c>
      <c r="I82" s="450" t="s">
        <v>2103</v>
      </c>
    </row>
    <row r="83" ht="15.75" customHeight="1">
      <c r="A83" s="468"/>
      <c r="B83" s="469"/>
      <c r="C83" s="253"/>
      <c r="D83" s="253"/>
      <c r="E83" s="253"/>
      <c r="F83" s="253"/>
      <c r="G83" s="454">
        <v>247223.0</v>
      </c>
      <c r="H83" s="451" t="s">
        <v>199</v>
      </c>
      <c r="I83" s="450" t="s">
        <v>2104</v>
      </c>
    </row>
    <row r="84" ht="15.75" customHeight="1">
      <c r="A84" s="468"/>
      <c r="B84" s="469"/>
      <c r="C84" s="253"/>
      <c r="D84" s="253"/>
      <c r="E84" s="253"/>
      <c r="F84" s="253"/>
      <c r="G84" s="454">
        <v>113024.0</v>
      </c>
      <c r="H84" s="451" t="s">
        <v>201</v>
      </c>
      <c r="I84" s="450" t="s">
        <v>2105</v>
      </c>
    </row>
    <row r="85" ht="15.75" customHeight="1">
      <c r="A85" s="468"/>
      <c r="B85" s="469"/>
      <c r="C85" s="253"/>
      <c r="D85" s="253"/>
      <c r="E85" s="253"/>
      <c r="F85" s="253"/>
      <c r="G85" s="454">
        <v>213851.0</v>
      </c>
      <c r="H85" s="451" t="s">
        <v>197</v>
      </c>
      <c r="I85" s="450" t="s">
        <v>2106</v>
      </c>
    </row>
    <row r="86" ht="15.75" customHeight="1">
      <c r="A86" s="468"/>
      <c r="B86" s="469"/>
      <c r="C86" s="253"/>
      <c r="D86" s="253"/>
      <c r="E86" s="253"/>
      <c r="F86" s="253"/>
      <c r="G86" s="454">
        <v>213914.0</v>
      </c>
      <c r="H86" s="451" t="s">
        <v>188</v>
      </c>
      <c r="I86" s="450" t="s">
        <v>2107</v>
      </c>
    </row>
    <row r="87" ht="15.75" customHeight="1">
      <c r="A87" s="468"/>
      <c r="B87" s="469"/>
      <c r="C87" s="253"/>
      <c r="D87" s="253"/>
      <c r="E87" s="253"/>
      <c r="F87" s="253"/>
      <c r="G87" s="452">
        <v>237147.0</v>
      </c>
      <c r="H87" s="453" t="s">
        <v>684</v>
      </c>
      <c r="I87" s="446" t="s">
        <v>2049</v>
      </c>
    </row>
    <row r="88" ht="15.75" customHeight="1">
      <c r="A88" s="468"/>
      <c r="B88" s="469"/>
      <c r="C88" s="253"/>
      <c r="D88" s="253"/>
      <c r="E88" s="253"/>
      <c r="F88" s="253"/>
      <c r="G88" s="454">
        <v>213968.0</v>
      </c>
      <c r="H88" s="451" t="s">
        <v>192</v>
      </c>
      <c r="I88" s="450" t="s">
        <v>2108</v>
      </c>
    </row>
    <row r="89" ht="15.75" customHeight="1">
      <c r="A89" s="468"/>
      <c r="B89" s="469"/>
      <c r="C89" s="253"/>
      <c r="D89" s="253"/>
      <c r="E89" s="253"/>
      <c r="F89" s="253"/>
      <c r="G89" s="454">
        <v>193445.0</v>
      </c>
      <c r="H89" s="451" t="s">
        <v>184</v>
      </c>
      <c r="I89" s="450" t="s">
        <v>2109</v>
      </c>
    </row>
    <row r="90" ht="15.75" customHeight="1">
      <c r="A90" s="468"/>
      <c r="B90" s="469"/>
      <c r="C90" s="253"/>
      <c r="D90" s="253"/>
      <c r="E90" s="253"/>
      <c r="F90" s="253"/>
      <c r="G90" s="454">
        <v>247263.0</v>
      </c>
      <c r="H90" s="451" t="s">
        <v>680</v>
      </c>
      <c r="I90" s="450" t="s">
        <v>2110</v>
      </c>
    </row>
    <row r="91" ht="15.75" customHeight="1">
      <c r="A91" s="468"/>
      <c r="B91" s="469"/>
      <c r="C91" s="253"/>
      <c r="D91" s="253"/>
      <c r="E91" s="253"/>
      <c r="F91" s="253"/>
      <c r="G91" s="454">
        <v>213859.0</v>
      </c>
      <c r="H91" s="451" t="s">
        <v>676</v>
      </c>
      <c r="I91" s="450" t="s">
        <v>2111</v>
      </c>
    </row>
    <row r="92" ht="15.75" customHeight="1">
      <c r="A92" s="468"/>
      <c r="B92" s="469"/>
      <c r="C92" s="253"/>
      <c r="D92" s="253"/>
      <c r="E92" s="253"/>
      <c r="F92" s="253"/>
      <c r="G92" s="454">
        <v>227097.0</v>
      </c>
      <c r="H92" s="451" t="s">
        <v>690</v>
      </c>
      <c r="I92" s="450" t="s">
        <v>2112</v>
      </c>
    </row>
    <row r="93" ht="15.75" customHeight="1">
      <c r="A93" s="468"/>
      <c r="B93" s="469"/>
      <c r="C93" s="253"/>
      <c r="D93" s="253"/>
      <c r="E93" s="253"/>
      <c r="F93" s="253"/>
      <c r="G93" s="454">
        <v>193632.0</v>
      </c>
      <c r="H93" s="451" t="s">
        <v>678</v>
      </c>
      <c r="I93" s="450" t="s">
        <v>2112</v>
      </c>
    </row>
    <row r="94" ht="15.75" customHeight="1">
      <c r="A94" s="468"/>
      <c r="B94" s="469"/>
      <c r="C94" s="253"/>
      <c r="D94" s="253"/>
      <c r="E94" s="253"/>
      <c r="F94" s="253"/>
      <c r="G94" s="454">
        <v>247262.0</v>
      </c>
      <c r="H94" s="451" t="s">
        <v>682</v>
      </c>
      <c r="I94" s="450" t="s">
        <v>2113</v>
      </c>
    </row>
    <row r="95" ht="15.75" customHeight="1">
      <c r="A95" s="468"/>
      <c r="B95" s="469"/>
      <c r="C95" s="253"/>
      <c r="D95" s="253"/>
      <c r="E95" s="253"/>
      <c r="F95" s="253"/>
      <c r="G95" s="454">
        <v>247088.0</v>
      </c>
      <c r="H95" s="451" t="s">
        <v>688</v>
      </c>
      <c r="I95" s="450" t="s">
        <v>2114</v>
      </c>
    </row>
    <row r="96" ht="15.75" customHeight="1">
      <c r="A96" s="468"/>
      <c r="B96" s="469"/>
      <c r="C96" s="253"/>
      <c r="D96" s="253"/>
      <c r="E96" s="253"/>
      <c r="F96" s="253"/>
      <c r="G96" s="444">
        <v>193529.0</v>
      </c>
      <c r="H96" s="445" t="s">
        <v>259</v>
      </c>
      <c r="I96" s="446" t="s">
        <v>2008</v>
      </c>
    </row>
    <row r="97" ht="15.75" customHeight="1">
      <c r="A97" s="468"/>
      <c r="B97" s="469"/>
      <c r="C97" s="253"/>
      <c r="D97" s="253"/>
      <c r="E97" s="253"/>
      <c r="F97" s="253"/>
      <c r="G97" s="470" t="s">
        <v>373</v>
      </c>
      <c r="H97" s="451" t="s">
        <v>374</v>
      </c>
      <c r="I97" s="450" t="s">
        <v>2115</v>
      </c>
    </row>
    <row r="98" ht="15.75" customHeight="1">
      <c r="A98" s="468"/>
      <c r="B98" s="469"/>
      <c r="C98" s="253"/>
      <c r="D98" s="253"/>
      <c r="E98" s="253"/>
      <c r="F98" s="253"/>
      <c r="G98" s="470" t="s">
        <v>250</v>
      </c>
      <c r="H98" s="451" t="s">
        <v>251</v>
      </c>
      <c r="I98" s="450" t="s">
        <v>2116</v>
      </c>
    </row>
    <row r="99" ht="15.75" customHeight="1">
      <c r="A99" s="468"/>
      <c r="B99" s="469"/>
      <c r="C99" s="253"/>
      <c r="D99" s="253"/>
      <c r="E99" s="253"/>
      <c r="F99" s="253"/>
      <c r="G99" s="470" t="s">
        <v>260</v>
      </c>
      <c r="H99" s="451" t="s">
        <v>261</v>
      </c>
      <c r="I99" s="450" t="s">
        <v>2117</v>
      </c>
    </row>
    <row r="100" ht="15.75" customHeight="1">
      <c r="A100" s="468"/>
      <c r="B100" s="469"/>
      <c r="C100" s="253"/>
      <c r="D100" s="253"/>
      <c r="E100" s="253"/>
      <c r="F100" s="253"/>
      <c r="G100" s="470" t="s">
        <v>246</v>
      </c>
      <c r="H100" s="451" t="s">
        <v>247</v>
      </c>
      <c r="I100" s="450" t="s">
        <v>2118</v>
      </c>
    </row>
    <row r="101" ht="15.75" customHeight="1">
      <c r="A101" s="468"/>
      <c r="B101" s="469"/>
      <c r="C101" s="253"/>
      <c r="D101" s="253"/>
      <c r="E101" s="253"/>
      <c r="F101" s="253"/>
      <c r="G101" s="470" t="s">
        <v>252</v>
      </c>
      <c r="H101" s="451" t="s">
        <v>253</v>
      </c>
      <c r="I101" s="450" t="s">
        <v>2119</v>
      </c>
    </row>
    <row r="102" ht="15.75" customHeight="1">
      <c r="A102" s="468"/>
      <c r="B102" s="469"/>
      <c r="C102" s="253"/>
      <c r="D102" s="253"/>
      <c r="E102" s="253"/>
      <c r="F102" s="253"/>
      <c r="G102" s="470" t="s">
        <v>254</v>
      </c>
      <c r="H102" s="451" t="s">
        <v>255</v>
      </c>
      <c r="I102" s="450" t="s">
        <v>2120</v>
      </c>
    </row>
    <row r="103" ht="15.75" customHeight="1">
      <c r="A103" s="468"/>
      <c r="B103" s="469"/>
      <c r="C103" s="253"/>
      <c r="D103" s="253"/>
      <c r="E103" s="253"/>
      <c r="F103" s="253"/>
      <c r="G103" s="470" t="s">
        <v>248</v>
      </c>
      <c r="H103" s="451" t="s">
        <v>249</v>
      </c>
      <c r="I103" s="450" t="s">
        <v>2121</v>
      </c>
    </row>
    <row r="104" ht="15.75" customHeight="1">
      <c r="A104" s="468"/>
      <c r="B104" s="469"/>
      <c r="C104" s="253"/>
      <c r="D104" s="253"/>
      <c r="E104" s="253"/>
      <c r="F104" s="253"/>
      <c r="G104" s="452">
        <v>193447.0</v>
      </c>
      <c r="H104" s="453" t="s">
        <v>305</v>
      </c>
      <c r="I104" s="446" t="s">
        <v>2122</v>
      </c>
    </row>
    <row r="105" ht="15.75" customHeight="1">
      <c r="A105" s="468"/>
      <c r="B105" s="469"/>
      <c r="C105" s="253"/>
      <c r="D105" s="253"/>
      <c r="E105" s="253"/>
      <c r="F105" s="253"/>
      <c r="G105" s="450">
        <v>247187.0</v>
      </c>
      <c r="H105" s="451" t="s">
        <v>307</v>
      </c>
      <c r="I105" s="450" t="s">
        <v>2123</v>
      </c>
    </row>
    <row r="106" ht="15.75" customHeight="1">
      <c r="A106" s="468"/>
      <c r="B106" s="469"/>
      <c r="C106" s="253"/>
      <c r="D106" s="253"/>
      <c r="E106" s="253"/>
      <c r="F106" s="253"/>
      <c r="G106" s="450">
        <v>227092.0</v>
      </c>
      <c r="H106" s="451" t="s">
        <v>313</v>
      </c>
      <c r="I106" s="450" t="s">
        <v>2124</v>
      </c>
    </row>
    <row r="107" ht="15.75" customHeight="1">
      <c r="A107" s="468"/>
      <c r="B107" s="469"/>
      <c r="C107" s="253"/>
      <c r="D107" s="253"/>
      <c r="E107" s="253"/>
      <c r="F107" s="253"/>
      <c r="G107" s="470" t="s">
        <v>300</v>
      </c>
      <c r="H107" s="451" t="s">
        <v>301</v>
      </c>
      <c r="I107" s="450" t="s">
        <v>2125</v>
      </c>
    </row>
    <row r="108" ht="15.75" customHeight="1">
      <c r="A108" s="468"/>
      <c r="B108" s="469"/>
      <c r="C108" s="253"/>
      <c r="D108" s="253"/>
      <c r="E108" s="253"/>
      <c r="F108" s="253"/>
      <c r="G108" s="450">
        <v>237207.0</v>
      </c>
      <c r="H108" s="451" t="s">
        <v>315</v>
      </c>
      <c r="I108" s="450" t="s">
        <v>2126</v>
      </c>
    </row>
    <row r="109" ht="15.75" customHeight="1">
      <c r="A109" s="468"/>
      <c r="B109" s="469"/>
      <c r="C109" s="253"/>
      <c r="D109" s="253"/>
      <c r="E109" s="253"/>
      <c r="F109" s="253"/>
      <c r="G109" s="450">
        <v>247043.0</v>
      </c>
      <c r="H109" s="451" t="s">
        <v>311</v>
      </c>
      <c r="I109" s="450" t="s">
        <v>2127</v>
      </c>
    </row>
    <row r="110" ht="15.75" customHeight="1">
      <c r="A110" s="468"/>
      <c r="B110" s="469"/>
      <c r="C110" s="253"/>
      <c r="D110" s="253"/>
      <c r="E110" s="253"/>
      <c r="F110" s="253"/>
      <c r="G110" s="470" t="s">
        <v>302</v>
      </c>
      <c r="H110" s="451" t="s">
        <v>303</v>
      </c>
      <c r="I110" s="450" t="s">
        <v>2128</v>
      </c>
    </row>
    <row r="111" ht="15.75" customHeight="1">
      <c r="A111" s="468"/>
      <c r="B111" s="469"/>
      <c r="C111" s="253"/>
      <c r="D111" s="253"/>
      <c r="E111" s="253"/>
      <c r="F111" s="253"/>
      <c r="G111" s="470" t="s">
        <v>308</v>
      </c>
      <c r="H111" s="451" t="s">
        <v>309</v>
      </c>
      <c r="I111" s="450" t="s">
        <v>2129</v>
      </c>
    </row>
    <row r="112" ht="15.75" customHeight="1">
      <c r="A112" s="468"/>
      <c r="B112" s="469"/>
      <c r="C112" s="253"/>
      <c r="D112" s="253"/>
      <c r="E112" s="253"/>
      <c r="F112" s="253"/>
      <c r="G112" s="470">
        <v>237008.0</v>
      </c>
      <c r="H112" s="451" t="s">
        <v>299</v>
      </c>
      <c r="I112" s="450" t="s">
        <v>2130</v>
      </c>
    </row>
    <row r="113" ht="15.75" customHeight="1">
      <c r="A113" s="468"/>
      <c r="B113" s="469"/>
      <c r="C113" s="253"/>
      <c r="D113" s="253"/>
      <c r="E113" s="253"/>
      <c r="F113" s="253"/>
      <c r="G113" s="452">
        <v>227214.0</v>
      </c>
      <c r="H113" s="453" t="s">
        <v>746</v>
      </c>
      <c r="I113" s="446" t="s">
        <v>2039</v>
      </c>
    </row>
    <row r="114" ht="15.75" customHeight="1">
      <c r="A114" s="468"/>
      <c r="B114" s="469"/>
      <c r="C114" s="253"/>
      <c r="D114" s="253"/>
      <c r="E114" s="253"/>
      <c r="F114" s="253"/>
      <c r="G114" s="454">
        <v>143084.0</v>
      </c>
      <c r="H114" s="451" t="s">
        <v>755</v>
      </c>
      <c r="I114" s="450" t="s">
        <v>2131</v>
      </c>
    </row>
    <row r="115" ht="15.75" customHeight="1">
      <c r="A115" s="468"/>
      <c r="B115" s="469"/>
      <c r="C115" s="253"/>
      <c r="D115" s="253"/>
      <c r="E115" s="253"/>
      <c r="F115" s="253"/>
      <c r="G115" s="454">
        <v>193584.0</v>
      </c>
      <c r="H115" s="451" t="s">
        <v>744</v>
      </c>
      <c r="I115" s="450" t="s">
        <v>2132</v>
      </c>
    </row>
    <row r="116" ht="15.75" customHeight="1">
      <c r="A116" s="468"/>
      <c r="B116" s="469"/>
      <c r="C116" s="253"/>
      <c r="D116" s="253"/>
      <c r="E116" s="253"/>
      <c r="F116" s="253"/>
      <c r="G116" s="454">
        <v>237226.0</v>
      </c>
      <c r="H116" s="451" t="s">
        <v>742</v>
      </c>
      <c r="I116" s="450" t="s">
        <v>2133</v>
      </c>
    </row>
    <row r="117" ht="15.75" customHeight="1">
      <c r="A117" s="468"/>
      <c r="B117" s="469"/>
      <c r="C117" s="253"/>
      <c r="D117" s="253"/>
      <c r="E117" s="253"/>
      <c r="F117" s="253"/>
      <c r="G117" s="454">
        <v>247083.0</v>
      </c>
      <c r="H117" s="451" t="s">
        <v>749</v>
      </c>
      <c r="I117" s="450" t="s">
        <v>2134</v>
      </c>
    </row>
    <row r="118" ht="15.75" customHeight="1">
      <c r="A118" s="468"/>
      <c r="B118" s="469"/>
      <c r="C118" s="253"/>
      <c r="D118" s="253"/>
      <c r="E118" s="253"/>
      <c r="F118" s="253"/>
      <c r="G118" s="454">
        <v>247178.0</v>
      </c>
      <c r="H118" s="451" t="s">
        <v>751</v>
      </c>
      <c r="I118" s="450" t="s">
        <v>2135</v>
      </c>
    </row>
    <row r="119" ht="15.75" customHeight="1">
      <c r="A119" s="468"/>
      <c r="B119" s="469"/>
      <c r="C119" s="253"/>
      <c r="D119" s="253"/>
      <c r="E119" s="253"/>
      <c r="F119" s="253"/>
      <c r="G119" s="450">
        <v>203790.0</v>
      </c>
      <c r="H119" s="451" t="s">
        <v>283</v>
      </c>
      <c r="I119" s="450" t="s">
        <v>2136</v>
      </c>
    </row>
    <row r="120" ht="15.75" customHeight="1">
      <c r="A120" s="468"/>
      <c r="B120" s="469"/>
      <c r="C120" s="253"/>
      <c r="D120" s="253"/>
      <c r="E120" s="253"/>
      <c r="F120" s="253"/>
      <c r="G120" s="470" t="s">
        <v>752</v>
      </c>
      <c r="H120" s="451" t="s">
        <v>753</v>
      </c>
      <c r="I120" s="450" t="s">
        <v>2137</v>
      </c>
    </row>
    <row r="121" ht="15.75" customHeight="1">
      <c r="A121" s="468"/>
      <c r="B121" s="469"/>
      <c r="C121" s="253"/>
      <c r="D121" s="253"/>
      <c r="E121" s="253"/>
      <c r="F121" s="253"/>
      <c r="G121" s="452">
        <v>183432.0</v>
      </c>
      <c r="H121" s="453" t="s">
        <v>485</v>
      </c>
      <c r="I121" s="446" t="s">
        <v>2025</v>
      </c>
    </row>
    <row r="122" ht="15.75" customHeight="1">
      <c r="A122" s="468"/>
      <c r="B122" s="469"/>
      <c r="C122" s="253"/>
      <c r="D122" s="253"/>
      <c r="E122" s="253"/>
      <c r="F122" s="253"/>
      <c r="G122" s="454">
        <v>183440.0</v>
      </c>
      <c r="H122" s="451" t="s">
        <v>483</v>
      </c>
      <c r="I122" s="450" t="s">
        <v>2138</v>
      </c>
    </row>
    <row r="123" ht="15.75" customHeight="1">
      <c r="A123" s="468"/>
      <c r="B123" s="469"/>
      <c r="C123" s="253"/>
      <c r="D123" s="253"/>
      <c r="E123" s="253"/>
      <c r="F123" s="253"/>
      <c r="G123" s="454">
        <v>247357.0</v>
      </c>
      <c r="H123" s="451" t="s">
        <v>481</v>
      </c>
      <c r="I123" s="450" t="s">
        <v>2139</v>
      </c>
    </row>
    <row r="124" ht="15.75" customHeight="1">
      <c r="A124" s="468"/>
      <c r="B124" s="469"/>
      <c r="C124" s="253"/>
      <c r="D124" s="253"/>
      <c r="E124" s="253"/>
      <c r="F124" s="253"/>
      <c r="G124" s="454">
        <v>227032.0</v>
      </c>
      <c r="H124" s="451" t="s">
        <v>491</v>
      </c>
      <c r="I124" s="450" t="s">
        <v>2140</v>
      </c>
    </row>
    <row r="125" ht="15.75" customHeight="1">
      <c r="A125" s="468"/>
      <c r="B125" s="469"/>
      <c r="C125" s="253"/>
      <c r="D125" s="253"/>
      <c r="E125" s="253"/>
      <c r="F125" s="253"/>
      <c r="G125" s="454">
        <v>227024.0</v>
      </c>
      <c r="H125" s="451" t="s">
        <v>487</v>
      </c>
      <c r="I125" s="450" t="s">
        <v>2141</v>
      </c>
    </row>
    <row r="126" ht="15.75" customHeight="1">
      <c r="A126" s="468"/>
      <c r="B126" s="469"/>
      <c r="C126" s="253"/>
      <c r="D126" s="253"/>
      <c r="E126" s="253"/>
      <c r="F126" s="253"/>
      <c r="G126" s="454">
        <v>183400.0</v>
      </c>
      <c r="H126" s="451" t="s">
        <v>489</v>
      </c>
      <c r="I126" s="450" t="s">
        <v>2142</v>
      </c>
    </row>
    <row r="127" ht="15.75" customHeight="1">
      <c r="A127" s="468"/>
      <c r="B127" s="469"/>
      <c r="C127" s="253"/>
      <c r="D127" s="253"/>
      <c r="E127" s="253"/>
      <c r="F127" s="253"/>
      <c r="G127" s="454">
        <v>227023.0</v>
      </c>
      <c r="H127" s="451" t="s">
        <v>479</v>
      </c>
      <c r="I127" s="450" t="s">
        <v>2143</v>
      </c>
    </row>
    <row r="128" ht="15.75" customHeight="1">
      <c r="A128" s="468"/>
      <c r="B128" s="469"/>
      <c r="C128" s="253"/>
      <c r="D128" s="253"/>
      <c r="E128" s="253"/>
      <c r="F128" s="253"/>
      <c r="G128" s="452">
        <v>183422.0</v>
      </c>
      <c r="H128" s="453" t="s">
        <v>372</v>
      </c>
      <c r="I128" s="446" t="s">
        <v>2019</v>
      </c>
    </row>
    <row r="129" ht="15.75" customHeight="1">
      <c r="A129" s="468"/>
      <c r="B129" s="469"/>
      <c r="C129" s="253"/>
      <c r="D129" s="253"/>
      <c r="E129" s="253"/>
      <c r="F129" s="253"/>
      <c r="G129" s="454">
        <v>247234.0</v>
      </c>
      <c r="H129" s="451" t="s">
        <v>379</v>
      </c>
      <c r="I129" s="450" t="s">
        <v>2144</v>
      </c>
    </row>
    <row r="130" ht="15.75" customHeight="1">
      <c r="A130" s="468"/>
      <c r="B130" s="469"/>
      <c r="C130" s="253"/>
      <c r="D130" s="253"/>
      <c r="E130" s="253"/>
      <c r="F130" s="253"/>
      <c r="G130" s="454">
        <v>213893.0</v>
      </c>
      <c r="H130" s="451" t="s">
        <v>367</v>
      </c>
      <c r="I130" s="450" t="s">
        <v>2145</v>
      </c>
    </row>
    <row r="131" ht="15.75" customHeight="1">
      <c r="A131" s="468"/>
      <c r="B131" s="469"/>
      <c r="C131" s="253"/>
      <c r="D131" s="253"/>
      <c r="E131" s="253"/>
      <c r="F131" s="253"/>
      <c r="G131" s="454">
        <v>227244.0</v>
      </c>
      <c r="H131" s="451" t="s">
        <v>369</v>
      </c>
      <c r="I131" s="450" t="s">
        <v>2146</v>
      </c>
    </row>
    <row r="132" ht="15.75" customHeight="1">
      <c r="A132" s="468"/>
      <c r="B132" s="469"/>
      <c r="C132" s="253"/>
      <c r="D132" s="253"/>
      <c r="E132" s="253"/>
      <c r="F132" s="253"/>
      <c r="G132" s="454">
        <v>213936.0</v>
      </c>
      <c r="H132" s="451" t="s">
        <v>381</v>
      </c>
      <c r="I132" s="450" t="s">
        <v>2147</v>
      </c>
    </row>
    <row r="133" ht="15.75" customHeight="1">
      <c r="A133" s="468"/>
      <c r="B133" s="469"/>
      <c r="C133" s="253"/>
      <c r="D133" s="253"/>
      <c r="E133" s="253"/>
      <c r="F133" s="253"/>
      <c r="G133" s="454">
        <v>193516.0</v>
      </c>
      <c r="H133" s="451" t="s">
        <v>377</v>
      </c>
      <c r="I133" s="450" t="s">
        <v>2148</v>
      </c>
    </row>
    <row r="134" ht="15.75" customHeight="1">
      <c r="A134" s="468"/>
      <c r="B134" s="469"/>
      <c r="C134" s="253"/>
      <c r="D134" s="253"/>
      <c r="E134" s="253"/>
      <c r="F134" s="253"/>
      <c r="G134" s="452">
        <v>247313.0</v>
      </c>
      <c r="H134" s="453" t="s">
        <v>1412</v>
      </c>
      <c r="I134" s="446" t="s">
        <v>2056</v>
      </c>
    </row>
    <row r="135" ht="15.75" customHeight="1">
      <c r="A135" s="468"/>
      <c r="B135" s="469"/>
      <c r="C135" s="253"/>
      <c r="D135" s="253"/>
      <c r="E135" s="253"/>
      <c r="F135" s="253"/>
      <c r="G135" s="454">
        <v>213870.0</v>
      </c>
      <c r="H135" s="451" t="s">
        <v>1983</v>
      </c>
      <c r="I135" s="450" t="s">
        <v>2149</v>
      </c>
    </row>
    <row r="136" ht="15.75" customHeight="1">
      <c r="A136" s="468"/>
      <c r="B136" s="469"/>
      <c r="C136" s="253"/>
      <c r="D136" s="253"/>
      <c r="E136" s="253"/>
      <c r="F136" s="253"/>
      <c r="G136" s="454">
        <v>237110.0</v>
      </c>
      <c r="H136" s="451" t="s">
        <v>1987</v>
      </c>
      <c r="I136" s="450" t="s">
        <v>2150</v>
      </c>
    </row>
    <row r="137" ht="15.75" customHeight="1">
      <c r="A137" s="468"/>
      <c r="B137" s="469"/>
      <c r="C137" s="253"/>
      <c r="D137" s="253"/>
      <c r="E137" s="253"/>
      <c r="F137" s="253"/>
      <c r="G137" s="454">
        <v>237160.0</v>
      </c>
      <c r="H137" s="451" t="s">
        <v>1989</v>
      </c>
      <c r="I137" s="450" t="s">
        <v>2151</v>
      </c>
    </row>
    <row r="138" ht="15.75" customHeight="1">
      <c r="A138" s="468"/>
      <c r="B138" s="469"/>
      <c r="C138" s="253"/>
      <c r="D138" s="253"/>
      <c r="E138" s="253"/>
      <c r="F138" s="253"/>
      <c r="G138" s="446">
        <v>247198.0</v>
      </c>
      <c r="H138" s="453" t="s">
        <v>469</v>
      </c>
      <c r="I138" s="446" t="s">
        <v>2012</v>
      </c>
    </row>
    <row r="139" ht="15.75" customHeight="1">
      <c r="A139" s="468"/>
      <c r="B139" s="469"/>
      <c r="C139" s="253"/>
      <c r="D139" s="253"/>
      <c r="E139" s="253"/>
      <c r="F139" s="253"/>
      <c r="G139" s="450">
        <v>203759.0</v>
      </c>
      <c r="H139" s="451" t="s">
        <v>477</v>
      </c>
      <c r="I139" s="450" t="s">
        <v>2152</v>
      </c>
    </row>
    <row r="140" ht="15.75" customHeight="1">
      <c r="A140" s="468"/>
      <c r="B140" s="469"/>
      <c r="C140" s="253"/>
      <c r="D140" s="253"/>
      <c r="E140" s="253"/>
      <c r="F140" s="253"/>
      <c r="G140" s="450">
        <v>247191.0</v>
      </c>
      <c r="H140" s="451" t="s">
        <v>471</v>
      </c>
      <c r="I140" s="450" t="s">
        <v>2153</v>
      </c>
    </row>
    <row r="141" ht="15.75" customHeight="1">
      <c r="A141" s="468"/>
      <c r="B141" s="469"/>
      <c r="C141" s="253"/>
      <c r="D141" s="253"/>
      <c r="E141" s="253"/>
      <c r="F141" s="253"/>
      <c r="G141" s="450">
        <v>247190.0</v>
      </c>
      <c r="H141" s="451" t="s">
        <v>467</v>
      </c>
      <c r="I141" s="450" t="s">
        <v>2154</v>
      </c>
    </row>
    <row r="142" ht="15.75" customHeight="1">
      <c r="A142" s="468"/>
      <c r="B142" s="469"/>
      <c r="C142" s="253"/>
      <c r="D142" s="253"/>
      <c r="E142" s="253"/>
      <c r="F142" s="253"/>
      <c r="G142" s="448">
        <v>247379.0</v>
      </c>
      <c r="H142" s="449" t="s">
        <v>361</v>
      </c>
      <c r="I142" s="450" t="s">
        <v>2155</v>
      </c>
    </row>
    <row r="143" ht="15.75" customHeight="1">
      <c r="A143" s="468"/>
      <c r="B143" s="469"/>
      <c r="C143" s="253"/>
      <c r="D143" s="253"/>
      <c r="E143" s="253"/>
      <c r="F143" s="253"/>
      <c r="G143" s="448">
        <v>237169.0</v>
      </c>
      <c r="H143" s="449" t="s">
        <v>365</v>
      </c>
      <c r="I143" s="450" t="s">
        <v>2156</v>
      </c>
    </row>
    <row r="144" ht="15.75" customHeight="1">
      <c r="A144" s="468"/>
      <c r="B144" s="469"/>
      <c r="C144" s="253"/>
      <c r="D144" s="253"/>
      <c r="E144" s="253"/>
      <c r="F144" s="253"/>
      <c r="G144" s="446">
        <v>247207.0</v>
      </c>
      <c r="H144" s="453" t="s">
        <v>344</v>
      </c>
      <c r="I144" s="446" t="s">
        <v>2157</v>
      </c>
    </row>
    <row r="145" ht="15.75" customHeight="1">
      <c r="A145" s="468"/>
      <c r="B145" s="469"/>
      <c r="C145" s="253"/>
      <c r="D145" s="253"/>
      <c r="E145" s="253"/>
      <c r="F145" s="253"/>
      <c r="G145" s="450">
        <v>247080.0</v>
      </c>
      <c r="H145" s="451" t="s">
        <v>338</v>
      </c>
      <c r="I145" s="450" t="s">
        <v>2158</v>
      </c>
    </row>
    <row r="146" ht="15.75" customHeight="1">
      <c r="A146" s="468"/>
      <c r="B146" s="469"/>
      <c r="C146" s="253"/>
      <c r="D146" s="253"/>
      <c r="E146" s="253"/>
      <c r="F146" s="253"/>
      <c r="G146" s="450">
        <v>247106.0</v>
      </c>
      <c r="H146" s="451" t="s">
        <v>342</v>
      </c>
      <c r="I146" s="450" t="s">
        <v>2159</v>
      </c>
    </row>
    <row r="147" ht="15.75" customHeight="1">
      <c r="A147" s="468"/>
      <c r="B147" s="469"/>
      <c r="C147" s="253"/>
      <c r="D147" s="253"/>
      <c r="E147" s="253"/>
      <c r="F147" s="253"/>
      <c r="G147" s="450">
        <v>247184.0</v>
      </c>
      <c r="H147" s="451" t="s">
        <v>334</v>
      </c>
      <c r="I147" s="450" t="s">
        <v>2160</v>
      </c>
    </row>
    <row r="148" ht="15.75" customHeight="1">
      <c r="A148" s="468"/>
      <c r="B148" s="469"/>
      <c r="C148" s="253"/>
      <c r="D148" s="253"/>
      <c r="E148" s="253"/>
      <c r="F148" s="253"/>
      <c r="G148" s="450">
        <v>247161.0</v>
      </c>
      <c r="H148" s="451" t="s">
        <v>336</v>
      </c>
      <c r="I148" s="450" t="s">
        <v>2161</v>
      </c>
    </row>
    <row r="149" ht="15.75" customHeight="1">
      <c r="A149" s="468"/>
      <c r="B149" s="469"/>
      <c r="C149" s="253"/>
      <c r="D149" s="253"/>
      <c r="E149" s="253"/>
      <c r="F149" s="253"/>
      <c r="G149" s="450">
        <v>247078.0</v>
      </c>
      <c r="H149" s="451" t="s">
        <v>340</v>
      </c>
      <c r="I149" s="450" t="s">
        <v>2162</v>
      </c>
    </row>
    <row r="150" ht="15.75" customHeight="1">
      <c r="A150" s="468"/>
      <c r="B150" s="469"/>
      <c r="C150" s="253"/>
      <c r="D150" s="253"/>
      <c r="E150" s="253"/>
      <c r="F150" s="253"/>
      <c r="G150" s="450">
        <v>247038.0</v>
      </c>
      <c r="H150" s="451" t="s">
        <v>346</v>
      </c>
      <c r="I150" s="450" t="s">
        <v>2163</v>
      </c>
    </row>
    <row r="151" ht="15.75" customHeight="1">
      <c r="A151" s="468"/>
      <c r="B151" s="469"/>
      <c r="C151" s="253"/>
      <c r="D151" s="253"/>
      <c r="E151" s="253"/>
      <c r="F151" s="253"/>
      <c r="G151" s="450">
        <v>247037.0</v>
      </c>
      <c r="H151" s="451" t="s">
        <v>332</v>
      </c>
      <c r="I151" s="450" t="s">
        <v>2164</v>
      </c>
    </row>
    <row r="152" ht="15.75" customHeight="1">
      <c r="A152" s="468"/>
      <c r="B152" s="469"/>
      <c r="C152" s="253"/>
      <c r="D152" s="253"/>
      <c r="E152" s="253"/>
      <c r="F152" s="253"/>
      <c r="G152" s="446">
        <v>227177.0</v>
      </c>
      <c r="H152" s="445" t="s">
        <v>440</v>
      </c>
      <c r="I152" s="446" t="s">
        <v>2165</v>
      </c>
    </row>
    <row r="153" ht="15.75" customHeight="1">
      <c r="A153" s="468"/>
      <c r="B153" s="469"/>
      <c r="C153" s="253"/>
      <c r="D153" s="253"/>
      <c r="E153" s="253"/>
      <c r="F153" s="253"/>
      <c r="G153" s="450">
        <v>227130.0</v>
      </c>
      <c r="H153" s="449" t="s">
        <v>648</v>
      </c>
      <c r="I153" s="450" t="s">
        <v>2166</v>
      </c>
    </row>
    <row r="154" ht="15.75" customHeight="1">
      <c r="A154" s="468"/>
      <c r="B154" s="469"/>
      <c r="C154" s="253"/>
      <c r="D154" s="253"/>
      <c r="E154" s="253"/>
      <c r="F154" s="253"/>
      <c r="G154" s="450">
        <v>247185.0</v>
      </c>
      <c r="H154" s="449" t="s">
        <v>434</v>
      </c>
      <c r="I154" s="450" t="s">
        <v>2167</v>
      </c>
    </row>
    <row r="155" ht="15.75" customHeight="1">
      <c r="A155" s="468"/>
      <c r="B155" s="469"/>
      <c r="C155" s="253"/>
      <c r="D155" s="253"/>
      <c r="E155" s="253"/>
      <c r="F155" s="253"/>
      <c r="G155" s="450">
        <v>247384.0</v>
      </c>
      <c r="H155" s="449" t="s">
        <v>652</v>
      </c>
      <c r="I155" s="450" t="s">
        <v>2168</v>
      </c>
    </row>
    <row r="156" ht="15.75" customHeight="1">
      <c r="A156" s="468"/>
      <c r="B156" s="469"/>
      <c r="C156" s="253"/>
      <c r="D156" s="253"/>
      <c r="E156" s="253"/>
      <c r="F156" s="253"/>
      <c r="G156" s="452">
        <v>213876.0</v>
      </c>
      <c r="H156" s="453" t="s">
        <v>217</v>
      </c>
      <c r="I156" s="446" t="s">
        <v>2035</v>
      </c>
    </row>
    <row r="157" ht="15.75" customHeight="1">
      <c r="A157" s="468"/>
      <c r="B157" s="469"/>
      <c r="C157" s="253"/>
      <c r="D157" s="253"/>
      <c r="E157" s="253"/>
      <c r="F157" s="253"/>
      <c r="G157" s="454">
        <v>247225.0</v>
      </c>
      <c r="H157" s="451" t="s">
        <v>213</v>
      </c>
      <c r="I157" s="450" t="s">
        <v>2169</v>
      </c>
    </row>
    <row r="158" ht="15.75" customHeight="1">
      <c r="A158" s="468"/>
      <c r="B158" s="469"/>
      <c r="C158" s="253"/>
      <c r="D158" s="253"/>
      <c r="E158" s="253"/>
      <c r="F158" s="253"/>
      <c r="G158" s="454">
        <v>203765.0</v>
      </c>
      <c r="H158" s="451" t="s">
        <v>211</v>
      </c>
      <c r="I158" s="450" t="s">
        <v>2170</v>
      </c>
    </row>
    <row r="159" ht="15.75" customHeight="1">
      <c r="A159" s="468"/>
      <c r="B159" s="469"/>
      <c r="C159" s="253"/>
      <c r="D159" s="253"/>
      <c r="E159" s="253"/>
      <c r="F159" s="253"/>
      <c r="G159" s="454">
        <v>247245.0</v>
      </c>
      <c r="H159" s="451" t="s">
        <v>219</v>
      </c>
      <c r="I159" s="450" t="s">
        <v>2171</v>
      </c>
    </row>
    <row r="160" ht="15.75" customHeight="1">
      <c r="A160" s="468"/>
      <c r="B160" s="469"/>
      <c r="C160" s="253"/>
      <c r="D160" s="253"/>
      <c r="E160" s="253"/>
      <c r="F160" s="253"/>
      <c r="G160" s="454">
        <v>213947.0</v>
      </c>
      <c r="H160" s="451" t="s">
        <v>215</v>
      </c>
      <c r="I160" s="450" t="s">
        <v>2172</v>
      </c>
    </row>
    <row r="161" ht="15.75" customHeight="1">
      <c r="A161" s="468"/>
      <c r="B161" s="469"/>
      <c r="C161" s="253"/>
      <c r="D161" s="253"/>
      <c r="E161" s="253"/>
      <c r="F161" s="253"/>
      <c r="G161" s="454">
        <v>247378.0</v>
      </c>
      <c r="H161" s="451" t="s">
        <v>207</v>
      </c>
      <c r="I161" s="450" t="s">
        <v>2172</v>
      </c>
    </row>
    <row r="162" ht="15.75" customHeight="1">
      <c r="A162" s="468"/>
      <c r="B162" s="469"/>
      <c r="C162" s="253"/>
      <c r="D162" s="253"/>
      <c r="E162" s="253"/>
      <c r="F162" s="253"/>
      <c r="G162" s="446">
        <v>247300.0</v>
      </c>
      <c r="H162" s="445" t="s">
        <v>241</v>
      </c>
      <c r="I162" s="446" t="s">
        <v>2005</v>
      </c>
    </row>
    <row r="163" ht="15.75" customHeight="1">
      <c r="A163" s="468"/>
      <c r="B163" s="469"/>
      <c r="C163" s="253"/>
      <c r="D163" s="253"/>
      <c r="E163" s="253"/>
      <c r="F163" s="253"/>
      <c r="G163" s="450">
        <v>247199.0</v>
      </c>
      <c r="H163" s="449" t="s">
        <v>239</v>
      </c>
      <c r="I163" s="450" t="s">
        <v>2173</v>
      </c>
    </row>
    <row r="164" ht="15.75" customHeight="1">
      <c r="A164" s="468"/>
      <c r="B164" s="469"/>
      <c r="C164" s="253"/>
      <c r="D164" s="253"/>
      <c r="E164" s="253"/>
      <c r="F164" s="253"/>
      <c r="G164" s="450">
        <v>247196.0</v>
      </c>
      <c r="H164" s="449" t="s">
        <v>227</v>
      </c>
      <c r="I164" s="450" t="s">
        <v>2174</v>
      </c>
    </row>
    <row r="165" ht="15.75" customHeight="1">
      <c r="A165" s="468"/>
      <c r="B165" s="469"/>
      <c r="C165" s="253"/>
      <c r="D165" s="253"/>
      <c r="E165" s="253"/>
      <c r="F165" s="253"/>
      <c r="G165" s="450">
        <v>247156.0</v>
      </c>
      <c r="H165" s="449" t="s">
        <v>231</v>
      </c>
      <c r="I165" s="450" t="s">
        <v>2175</v>
      </c>
    </row>
    <row r="166" ht="15.75" customHeight="1">
      <c r="A166" s="468"/>
      <c r="B166" s="469"/>
      <c r="C166" s="253"/>
      <c r="D166" s="253"/>
      <c r="E166" s="253"/>
      <c r="F166" s="253"/>
      <c r="G166" s="450">
        <v>247192.0</v>
      </c>
      <c r="H166" s="449" t="s">
        <v>233</v>
      </c>
      <c r="I166" s="450" t="s">
        <v>2176</v>
      </c>
    </row>
    <row r="167" ht="15.75" customHeight="1">
      <c r="A167" s="468"/>
      <c r="B167" s="469"/>
      <c r="C167" s="253"/>
      <c r="D167" s="253"/>
      <c r="E167" s="253"/>
      <c r="F167" s="253"/>
      <c r="G167" s="450">
        <v>247195.0</v>
      </c>
      <c r="H167" s="449" t="s">
        <v>235</v>
      </c>
      <c r="I167" s="450" t="s">
        <v>2177</v>
      </c>
    </row>
    <row r="168" ht="15.75" customHeight="1">
      <c r="A168" s="468"/>
      <c r="B168" s="469"/>
      <c r="C168" s="253"/>
      <c r="D168" s="253"/>
      <c r="E168" s="253"/>
      <c r="F168" s="253"/>
      <c r="G168" s="450">
        <v>193547.0</v>
      </c>
      <c r="H168" s="449" t="s">
        <v>237</v>
      </c>
      <c r="I168" s="450" t="s">
        <v>2178</v>
      </c>
    </row>
    <row r="169" ht="15.75" customHeight="1">
      <c r="A169" s="468"/>
      <c r="B169" s="469"/>
      <c r="C169" s="253"/>
      <c r="D169" s="253"/>
      <c r="E169" s="253"/>
      <c r="F169" s="253"/>
      <c r="G169" s="450">
        <v>247200.0</v>
      </c>
      <c r="H169" s="449" t="s">
        <v>229</v>
      </c>
      <c r="I169" s="450" t="s">
        <v>2179</v>
      </c>
    </row>
    <row r="170" ht="15.75" customHeight="1">
      <c r="A170" s="468"/>
      <c r="B170" s="469"/>
      <c r="C170" s="253"/>
      <c r="D170" s="253"/>
      <c r="E170" s="253"/>
      <c r="F170" s="253"/>
      <c r="G170" s="446">
        <v>227170.0</v>
      </c>
      <c r="H170" s="453" t="s">
        <v>790</v>
      </c>
      <c r="I170" s="471"/>
    </row>
    <row r="171" ht="15.75" customHeight="1">
      <c r="A171" s="468"/>
      <c r="B171" s="469"/>
      <c r="C171" s="253"/>
      <c r="D171" s="253"/>
      <c r="E171" s="253"/>
      <c r="F171" s="253"/>
      <c r="G171" s="450">
        <v>193544.0</v>
      </c>
      <c r="H171" s="451" t="s">
        <v>776</v>
      </c>
      <c r="I171" s="450" t="s">
        <v>2180</v>
      </c>
    </row>
    <row r="172" ht="15.75" customHeight="1">
      <c r="A172" s="468"/>
      <c r="B172" s="469"/>
      <c r="C172" s="253"/>
      <c r="D172" s="253"/>
      <c r="E172" s="253"/>
      <c r="F172" s="253"/>
      <c r="G172" s="450">
        <v>227200.0</v>
      </c>
      <c r="H172" s="451" t="s">
        <v>772</v>
      </c>
      <c r="I172" s="450" t="s">
        <v>2181</v>
      </c>
    </row>
    <row r="173" ht="15.75" customHeight="1">
      <c r="A173" s="468"/>
      <c r="B173" s="469"/>
      <c r="C173" s="253"/>
      <c r="D173" s="253"/>
      <c r="E173" s="253"/>
      <c r="F173" s="253"/>
      <c r="G173" s="450">
        <v>237006.0</v>
      </c>
      <c r="H173" s="451" t="s">
        <v>770</v>
      </c>
      <c r="I173" s="450" t="s">
        <v>2182</v>
      </c>
    </row>
    <row r="174" ht="15.75" customHeight="1">
      <c r="A174" s="468"/>
      <c r="B174" s="469"/>
      <c r="C174" s="253"/>
      <c r="D174" s="253"/>
      <c r="E174" s="253"/>
      <c r="F174" s="253"/>
      <c r="G174" s="450">
        <v>227224.0</v>
      </c>
      <c r="H174" s="451" t="s">
        <v>784</v>
      </c>
      <c r="I174" s="450" t="s">
        <v>2183</v>
      </c>
    </row>
    <row r="175" ht="15.75" customHeight="1">
      <c r="A175" s="468"/>
      <c r="B175" s="469"/>
      <c r="C175" s="253"/>
      <c r="D175" s="253"/>
      <c r="E175" s="253"/>
      <c r="F175" s="253"/>
      <c r="G175" s="450">
        <v>247114.0</v>
      </c>
      <c r="H175" s="451" t="s">
        <v>786</v>
      </c>
      <c r="I175" s="450" t="s">
        <v>2184</v>
      </c>
    </row>
    <row r="176" ht="15.75" customHeight="1">
      <c r="A176" s="468"/>
      <c r="B176" s="469"/>
      <c r="C176" s="253"/>
      <c r="D176" s="253"/>
      <c r="E176" s="253"/>
      <c r="F176" s="253"/>
      <c r="G176" s="450">
        <v>247230.0</v>
      </c>
      <c r="H176" s="451" t="s">
        <v>782</v>
      </c>
      <c r="I176" s="450" t="s">
        <v>2185</v>
      </c>
    </row>
    <row r="177" ht="15.75" customHeight="1">
      <c r="A177" s="468"/>
      <c r="B177" s="469"/>
      <c r="C177" s="253"/>
      <c r="D177" s="253"/>
      <c r="E177" s="253"/>
      <c r="F177" s="253"/>
      <c r="G177" s="448">
        <v>183332.0</v>
      </c>
      <c r="H177" s="449" t="s">
        <v>816</v>
      </c>
      <c r="I177" s="450" t="s">
        <v>2186</v>
      </c>
    </row>
    <row r="178" ht="15.75" customHeight="1">
      <c r="A178" s="468"/>
      <c r="B178" s="469"/>
      <c r="C178" s="253"/>
      <c r="D178" s="253"/>
      <c r="E178" s="253"/>
      <c r="F178" s="253"/>
    </row>
    <row r="179" ht="15.75" customHeight="1">
      <c r="A179" s="468"/>
      <c r="B179" s="469"/>
      <c r="C179" s="253"/>
      <c r="D179" s="253"/>
      <c r="E179" s="253"/>
      <c r="F179" s="253"/>
    </row>
    <row r="180" ht="15.75" customHeight="1">
      <c r="A180" s="468"/>
      <c r="B180" s="469"/>
      <c r="C180" s="253"/>
      <c r="D180" s="253"/>
      <c r="E180" s="253"/>
      <c r="F180" s="253"/>
    </row>
    <row r="181" ht="15.75" customHeight="1">
      <c r="A181" s="468"/>
      <c r="B181" s="469"/>
      <c r="C181" s="253"/>
      <c r="D181" s="253"/>
      <c r="E181" s="253"/>
      <c r="F181" s="253"/>
    </row>
    <row r="182" ht="15.75" customHeight="1">
      <c r="A182" s="468"/>
      <c r="B182" s="469"/>
      <c r="C182" s="253"/>
      <c r="D182" s="253"/>
      <c r="E182" s="253"/>
      <c r="F182" s="253"/>
    </row>
    <row r="183" ht="15.75" customHeight="1">
      <c r="A183" s="468"/>
      <c r="B183" s="469"/>
      <c r="C183" s="253"/>
      <c r="D183" s="253"/>
      <c r="E183" s="253"/>
      <c r="F183" s="253"/>
    </row>
    <row r="184" ht="15.75" customHeight="1">
      <c r="A184" s="468"/>
      <c r="B184" s="469"/>
      <c r="C184" s="253"/>
      <c r="D184" s="253"/>
      <c r="E184" s="253"/>
      <c r="F184" s="253"/>
    </row>
    <row r="185" ht="15.75" customHeight="1">
      <c r="A185" s="468"/>
      <c r="B185" s="469"/>
      <c r="C185" s="253"/>
      <c r="D185" s="253"/>
      <c r="E185" s="253"/>
      <c r="F185" s="253"/>
    </row>
    <row r="186" ht="15.75" customHeight="1">
      <c r="A186" s="468"/>
      <c r="B186" s="469"/>
      <c r="C186" s="253"/>
      <c r="D186" s="253"/>
      <c r="E186" s="253"/>
      <c r="F186" s="253"/>
    </row>
    <row r="187" ht="15.75" customHeight="1">
      <c r="A187" s="468"/>
      <c r="B187" s="469"/>
      <c r="C187" s="253"/>
      <c r="D187" s="253"/>
      <c r="E187" s="253"/>
      <c r="F187" s="253"/>
    </row>
    <row r="188" ht="15.75" customHeight="1">
      <c r="A188" s="468"/>
      <c r="B188" s="469"/>
      <c r="C188" s="253"/>
      <c r="D188" s="253"/>
      <c r="E188" s="253"/>
      <c r="F188" s="253"/>
    </row>
    <row r="189" ht="15.75" customHeight="1">
      <c r="A189" s="468"/>
      <c r="B189" s="469"/>
      <c r="C189" s="253"/>
      <c r="D189" s="253"/>
      <c r="E189" s="253"/>
      <c r="F189" s="253"/>
    </row>
    <row r="190" ht="15.75" customHeight="1">
      <c r="A190" s="468"/>
      <c r="B190" s="469"/>
      <c r="C190" s="253"/>
      <c r="D190" s="253"/>
      <c r="E190" s="253"/>
      <c r="F190" s="253"/>
    </row>
    <row r="191" ht="15.75" customHeight="1">
      <c r="A191" s="468"/>
      <c r="B191" s="469"/>
      <c r="C191" s="253"/>
      <c r="D191" s="253"/>
      <c r="E191" s="253"/>
      <c r="F191" s="253"/>
    </row>
    <row r="192" ht="15.75" customHeight="1">
      <c r="A192" s="468"/>
      <c r="B192" s="469"/>
      <c r="C192" s="253"/>
      <c r="D192" s="253"/>
      <c r="E192" s="253"/>
      <c r="F192" s="253"/>
    </row>
    <row r="193" ht="15.75" customHeight="1">
      <c r="A193" s="468"/>
      <c r="B193" s="469"/>
      <c r="C193" s="253"/>
      <c r="D193" s="253"/>
      <c r="E193" s="253"/>
      <c r="F193" s="253"/>
    </row>
    <row r="194" ht="15.75" customHeight="1">
      <c r="A194" s="468"/>
      <c r="B194" s="469"/>
      <c r="C194" s="253"/>
      <c r="D194" s="253"/>
      <c r="E194" s="253"/>
      <c r="F194" s="253"/>
    </row>
    <row r="195" ht="15.75" customHeight="1">
      <c r="A195" s="468"/>
      <c r="B195" s="469"/>
      <c r="C195" s="253"/>
      <c r="D195" s="253"/>
      <c r="E195" s="253"/>
      <c r="F195" s="253"/>
    </row>
    <row r="196" ht="15.75" customHeight="1">
      <c r="A196" s="468"/>
      <c r="B196" s="469"/>
      <c r="C196" s="253"/>
      <c r="D196" s="253"/>
      <c r="E196" s="253"/>
      <c r="F196" s="253"/>
    </row>
    <row r="197" ht="15.75" customHeight="1">
      <c r="A197" s="468"/>
      <c r="B197" s="469"/>
      <c r="C197" s="253"/>
      <c r="D197" s="253"/>
      <c r="E197" s="253"/>
      <c r="F197" s="253"/>
    </row>
    <row r="198" ht="15.75" customHeight="1">
      <c r="A198" s="468"/>
      <c r="B198" s="469"/>
      <c r="C198" s="253"/>
      <c r="D198" s="253"/>
      <c r="E198" s="253"/>
      <c r="F198" s="253"/>
    </row>
    <row r="199" ht="15.75" customHeight="1">
      <c r="A199" s="468"/>
      <c r="B199" s="469"/>
      <c r="C199" s="253"/>
      <c r="D199" s="253"/>
      <c r="E199" s="253"/>
      <c r="F199" s="253"/>
    </row>
    <row r="200" ht="15.75" customHeight="1">
      <c r="A200" s="468"/>
      <c r="B200" s="469"/>
      <c r="C200" s="253"/>
      <c r="D200" s="253"/>
      <c r="E200" s="253"/>
      <c r="F200" s="253"/>
    </row>
    <row r="201" ht="15.75" customHeight="1">
      <c r="A201" s="468"/>
      <c r="B201" s="469"/>
      <c r="C201" s="253"/>
      <c r="D201" s="253"/>
      <c r="E201" s="253"/>
      <c r="F201" s="253"/>
    </row>
    <row r="202" ht="15.75" customHeight="1">
      <c r="A202" s="468"/>
      <c r="B202" s="469"/>
      <c r="C202" s="253"/>
      <c r="D202" s="253"/>
      <c r="E202" s="253"/>
      <c r="F202" s="253"/>
    </row>
    <row r="203" ht="15.75" customHeight="1">
      <c r="A203" s="468"/>
      <c r="B203" s="469"/>
      <c r="C203" s="253"/>
      <c r="D203" s="253"/>
      <c r="E203" s="253"/>
      <c r="F203" s="253"/>
    </row>
    <row r="204" ht="15.75" customHeight="1">
      <c r="A204" s="468"/>
      <c r="B204" s="469"/>
      <c r="C204" s="253"/>
      <c r="D204" s="253"/>
      <c r="E204" s="253"/>
      <c r="F204" s="253"/>
    </row>
    <row r="205" ht="15.75" customHeight="1">
      <c r="A205" s="468"/>
      <c r="B205" s="469"/>
      <c r="C205" s="253"/>
      <c r="D205" s="253"/>
      <c r="E205" s="253"/>
      <c r="F205" s="253"/>
    </row>
    <row r="206" ht="15.75" customHeight="1">
      <c r="A206" s="468"/>
      <c r="B206" s="469"/>
      <c r="C206" s="253"/>
      <c r="D206" s="253"/>
      <c r="E206" s="253"/>
      <c r="F206" s="253"/>
    </row>
    <row r="207" ht="15.75" customHeight="1">
      <c r="A207" s="468"/>
      <c r="B207" s="469"/>
      <c r="C207" s="253"/>
      <c r="D207" s="253"/>
      <c r="E207" s="253"/>
      <c r="F207" s="253"/>
    </row>
    <row r="208" ht="15.75" customHeight="1">
      <c r="A208" s="468"/>
      <c r="B208" s="469"/>
      <c r="C208" s="253"/>
      <c r="D208" s="253"/>
      <c r="E208" s="253"/>
      <c r="F208" s="253"/>
    </row>
    <row r="209" ht="15.75" customHeight="1">
      <c r="A209" s="468"/>
      <c r="B209" s="469"/>
      <c r="C209" s="253"/>
      <c r="D209" s="253"/>
      <c r="E209" s="253"/>
      <c r="F209" s="253"/>
    </row>
    <row r="210" ht="15.75" customHeight="1">
      <c r="A210" s="468"/>
      <c r="B210" s="469"/>
      <c r="C210" s="253"/>
      <c r="D210" s="253"/>
      <c r="E210" s="253"/>
      <c r="F210" s="253"/>
    </row>
    <row r="211" ht="15.75" customHeight="1">
      <c r="A211" s="468"/>
      <c r="B211" s="469"/>
      <c r="C211" s="253"/>
      <c r="D211" s="253"/>
      <c r="E211" s="253"/>
      <c r="F211" s="253"/>
    </row>
    <row r="212" ht="15.75" customHeight="1">
      <c r="A212" s="468"/>
      <c r="B212" s="469"/>
      <c r="C212" s="253"/>
      <c r="D212" s="253"/>
      <c r="E212" s="253"/>
      <c r="F212" s="253"/>
    </row>
    <row r="213" ht="15.75" customHeight="1">
      <c r="A213" s="468"/>
      <c r="B213" s="469"/>
      <c r="C213" s="253"/>
      <c r="D213" s="253"/>
      <c r="E213" s="253"/>
      <c r="F213" s="253"/>
    </row>
    <row r="214" ht="15.75" customHeight="1">
      <c r="A214" s="468"/>
      <c r="B214" s="469"/>
      <c r="C214" s="253"/>
      <c r="D214" s="253"/>
      <c r="E214" s="253"/>
      <c r="F214" s="253"/>
    </row>
    <row r="215" ht="15.75" customHeight="1">
      <c r="A215" s="468"/>
      <c r="B215" s="469"/>
      <c r="C215" s="253"/>
      <c r="D215" s="253"/>
      <c r="E215" s="253"/>
      <c r="F215" s="253"/>
    </row>
    <row r="216" ht="15.75" customHeight="1">
      <c r="A216" s="468"/>
      <c r="B216" s="469"/>
      <c r="C216" s="253"/>
      <c r="D216" s="253"/>
      <c r="E216" s="253"/>
      <c r="F216" s="253"/>
    </row>
    <row r="217" ht="15.75" customHeight="1">
      <c r="A217" s="468"/>
      <c r="B217" s="469"/>
      <c r="C217" s="253"/>
      <c r="D217" s="253"/>
      <c r="E217" s="253"/>
      <c r="F217" s="253"/>
    </row>
    <row r="218" ht="15.75" customHeight="1">
      <c r="A218" s="468"/>
      <c r="B218" s="469"/>
      <c r="C218" s="253"/>
      <c r="D218" s="253"/>
      <c r="E218" s="253"/>
      <c r="F218" s="253"/>
    </row>
    <row r="219" ht="15.75" customHeight="1">
      <c r="A219" s="468"/>
      <c r="B219" s="469"/>
      <c r="C219" s="253"/>
      <c r="D219" s="253"/>
      <c r="E219" s="253"/>
      <c r="F219" s="253"/>
    </row>
    <row r="220" ht="15.75" customHeight="1">
      <c r="A220" s="468"/>
      <c r="B220" s="469"/>
      <c r="C220" s="253"/>
      <c r="D220" s="253"/>
      <c r="E220" s="253"/>
      <c r="F220" s="253"/>
    </row>
    <row r="221" ht="15.75" customHeight="1">
      <c r="A221" s="468"/>
      <c r="B221" s="469"/>
      <c r="C221" s="253"/>
      <c r="D221" s="253"/>
      <c r="E221" s="253"/>
      <c r="F221" s="253"/>
    </row>
    <row r="222" ht="15.75" customHeight="1">
      <c r="A222" s="468"/>
      <c r="B222" s="469"/>
      <c r="C222" s="253"/>
      <c r="D222" s="253"/>
      <c r="E222" s="253"/>
      <c r="F222" s="253"/>
    </row>
    <row r="223" ht="15.75" customHeight="1">
      <c r="A223" s="468"/>
      <c r="B223" s="469"/>
      <c r="C223" s="253"/>
      <c r="D223" s="253"/>
      <c r="E223" s="253"/>
      <c r="F223" s="253"/>
    </row>
    <row r="224" ht="15.75" customHeight="1">
      <c r="A224" s="468"/>
      <c r="B224" s="469"/>
      <c r="C224" s="253"/>
      <c r="D224" s="253"/>
      <c r="E224" s="253"/>
      <c r="F224" s="253"/>
    </row>
    <row r="225" ht="15.75" customHeight="1">
      <c r="A225" s="468"/>
      <c r="B225" s="469"/>
      <c r="C225" s="253"/>
      <c r="D225" s="253"/>
      <c r="E225" s="253"/>
      <c r="F225" s="253"/>
    </row>
    <row r="226" ht="15.75" customHeight="1">
      <c r="A226" s="468"/>
      <c r="B226" s="469"/>
      <c r="C226" s="253"/>
      <c r="D226" s="253"/>
      <c r="E226" s="253"/>
      <c r="F226" s="253"/>
    </row>
    <row r="227" ht="15.75" customHeight="1">
      <c r="A227" s="468"/>
      <c r="B227" s="469"/>
      <c r="C227" s="253"/>
      <c r="D227" s="253"/>
      <c r="E227" s="253"/>
      <c r="F227" s="253"/>
    </row>
    <row r="228" ht="15.75" customHeight="1">
      <c r="A228" s="468"/>
      <c r="B228" s="469"/>
      <c r="C228" s="253"/>
      <c r="D228" s="253"/>
      <c r="E228" s="253"/>
      <c r="F228" s="253"/>
    </row>
    <row r="229" ht="15.75" customHeight="1">
      <c r="A229" s="468"/>
      <c r="B229" s="469"/>
      <c r="C229" s="253"/>
      <c r="D229" s="253"/>
      <c r="E229" s="253"/>
      <c r="F229" s="253"/>
    </row>
    <row r="230" ht="15.75" customHeight="1">
      <c r="A230" s="468"/>
      <c r="B230" s="469"/>
      <c r="C230" s="253"/>
      <c r="D230" s="253"/>
      <c r="E230" s="253"/>
      <c r="F230" s="253"/>
    </row>
    <row r="231" ht="15.75" customHeight="1">
      <c r="A231" s="468"/>
      <c r="B231" s="469"/>
      <c r="C231" s="253"/>
      <c r="D231" s="253"/>
      <c r="E231" s="253"/>
      <c r="F231" s="253"/>
    </row>
    <row r="232" ht="15.75" customHeight="1">
      <c r="A232" s="468"/>
      <c r="B232" s="469"/>
      <c r="C232" s="253"/>
      <c r="D232" s="253"/>
      <c r="E232" s="253"/>
      <c r="F232" s="253"/>
    </row>
    <row r="233" ht="15.75" customHeight="1">
      <c r="A233" s="468"/>
      <c r="B233" s="469"/>
      <c r="C233" s="253"/>
      <c r="D233" s="253"/>
      <c r="E233" s="253"/>
      <c r="F233" s="253"/>
    </row>
    <row r="234" ht="15.75" customHeight="1">
      <c r="A234" s="468"/>
      <c r="B234" s="469"/>
      <c r="C234" s="253"/>
      <c r="D234" s="253"/>
      <c r="E234" s="253"/>
      <c r="F234" s="253"/>
    </row>
    <row r="235" ht="15.75" customHeight="1">
      <c r="A235" s="468"/>
      <c r="B235" s="469"/>
      <c r="C235" s="253"/>
      <c r="D235" s="253"/>
      <c r="E235" s="253"/>
      <c r="F235" s="253"/>
    </row>
    <row r="236" ht="15.75" customHeight="1">
      <c r="A236" s="468"/>
      <c r="B236" s="469"/>
      <c r="C236" s="253"/>
      <c r="D236" s="253"/>
      <c r="E236" s="253"/>
      <c r="F236" s="253"/>
    </row>
    <row r="237" ht="15.75" customHeight="1">
      <c r="A237" s="468"/>
      <c r="B237" s="469"/>
      <c r="C237" s="253"/>
      <c r="D237" s="253"/>
      <c r="E237" s="253"/>
      <c r="F237" s="253"/>
    </row>
    <row r="238" ht="15.75" customHeight="1">
      <c r="A238" s="468"/>
      <c r="B238" s="469"/>
      <c r="C238" s="253"/>
      <c r="D238" s="253"/>
      <c r="E238" s="253"/>
      <c r="F238" s="253"/>
    </row>
    <row r="239" ht="15.75" customHeight="1">
      <c r="A239" s="468"/>
      <c r="B239" s="469"/>
      <c r="C239" s="253"/>
      <c r="D239" s="253"/>
      <c r="E239" s="253"/>
      <c r="F239" s="253"/>
    </row>
    <row r="240" ht="15.75" customHeight="1">
      <c r="A240" s="468"/>
      <c r="B240" s="469"/>
      <c r="C240" s="253"/>
      <c r="D240" s="253"/>
      <c r="E240" s="253"/>
      <c r="F240" s="253"/>
    </row>
    <row r="241" ht="15.75" customHeight="1">
      <c r="A241" s="468"/>
      <c r="B241" s="469"/>
      <c r="C241" s="253"/>
      <c r="D241" s="253"/>
      <c r="E241" s="253"/>
      <c r="F241" s="253"/>
    </row>
    <row r="242" ht="15.75" customHeight="1">
      <c r="A242" s="468"/>
      <c r="B242" s="469"/>
      <c r="C242" s="253"/>
      <c r="D242" s="253"/>
      <c r="E242" s="253"/>
      <c r="F242" s="253"/>
    </row>
    <row r="243" ht="15.75" customHeight="1">
      <c r="A243" s="468"/>
      <c r="B243" s="469"/>
      <c r="C243" s="253"/>
      <c r="D243" s="253"/>
      <c r="E243" s="253"/>
      <c r="F243" s="253"/>
    </row>
    <row r="244" ht="15.75" customHeight="1">
      <c r="A244" s="468"/>
      <c r="B244" s="469"/>
      <c r="C244" s="253"/>
      <c r="D244" s="253"/>
      <c r="E244" s="253"/>
      <c r="F244" s="253"/>
    </row>
    <row r="245" ht="15.75" customHeight="1">
      <c r="A245" s="468"/>
      <c r="B245" s="469"/>
      <c r="C245" s="253"/>
      <c r="D245" s="253"/>
      <c r="E245" s="253"/>
      <c r="F245" s="253"/>
    </row>
    <row r="246" ht="15.75" customHeight="1">
      <c r="A246" s="468"/>
      <c r="B246" s="469"/>
      <c r="C246" s="253"/>
      <c r="D246" s="253"/>
      <c r="E246" s="253"/>
      <c r="F246" s="253"/>
    </row>
    <row r="247" ht="15.75" customHeight="1">
      <c r="A247" s="468"/>
      <c r="B247" s="469"/>
      <c r="C247" s="253"/>
      <c r="D247" s="253"/>
      <c r="E247" s="253"/>
      <c r="F247" s="253"/>
    </row>
    <row r="248" ht="15.75" customHeight="1">
      <c r="A248" s="468"/>
      <c r="B248" s="469"/>
      <c r="C248" s="253"/>
      <c r="D248" s="253"/>
      <c r="E248" s="253"/>
      <c r="F248" s="253"/>
    </row>
    <row r="249" ht="15.75" customHeight="1">
      <c r="A249" s="468"/>
      <c r="B249" s="469"/>
      <c r="C249" s="253"/>
      <c r="D249" s="253"/>
      <c r="E249" s="253"/>
      <c r="F249" s="253"/>
    </row>
    <row r="250" ht="15.75" customHeight="1">
      <c r="A250" s="468"/>
      <c r="B250" s="469"/>
      <c r="C250" s="253"/>
      <c r="D250" s="253"/>
      <c r="E250" s="253"/>
      <c r="F250" s="253"/>
    </row>
    <row r="251" ht="15.75" customHeight="1">
      <c r="A251" s="468"/>
      <c r="B251" s="469"/>
      <c r="C251" s="253"/>
      <c r="D251" s="253"/>
      <c r="E251" s="253"/>
      <c r="F251" s="253"/>
    </row>
    <row r="252" ht="15.75" customHeight="1">
      <c r="A252" s="468"/>
      <c r="B252" s="469"/>
      <c r="C252" s="253"/>
      <c r="D252" s="253"/>
      <c r="E252" s="253"/>
      <c r="F252" s="253"/>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43" t="s">
        <v>52</v>
      </c>
      <c r="B1" s="16" t="s">
        <v>1118</v>
      </c>
    </row>
    <row r="2">
      <c r="A2" s="447" t="s">
        <v>53</v>
      </c>
    </row>
    <row r="3">
      <c r="A3" s="443" t="s">
        <v>54</v>
      </c>
    </row>
    <row r="4">
      <c r="A4" s="447" t="s">
        <v>55</v>
      </c>
    </row>
    <row r="5">
      <c r="A5" s="443" t="s">
        <v>56</v>
      </c>
    </row>
    <row r="6">
      <c r="A6" s="447" t="s">
        <v>57</v>
      </c>
    </row>
    <row r="7">
      <c r="A7" s="443" t="s">
        <v>58</v>
      </c>
    </row>
    <row r="8">
      <c r="A8" s="447" t="s">
        <v>59</v>
      </c>
      <c r="B8" s="16" t="s">
        <v>1118</v>
      </c>
    </row>
    <row r="9">
      <c r="A9" s="443" t="s">
        <v>60</v>
      </c>
    </row>
    <row r="10">
      <c r="A10" s="447" t="s">
        <v>61</v>
      </c>
    </row>
    <row r="11">
      <c r="A11" s="443" t="s">
        <v>62</v>
      </c>
    </row>
    <row r="12">
      <c r="A12" s="447" t="s">
        <v>63</v>
      </c>
    </row>
    <row r="13">
      <c r="A13" s="443" t="s">
        <v>64</v>
      </c>
      <c r="B13" s="16" t="s">
        <v>1118</v>
      </c>
    </row>
    <row r="14">
      <c r="A14" s="447" t="s">
        <v>65</v>
      </c>
    </row>
    <row r="15">
      <c r="A15" s="443" t="s">
        <v>66</v>
      </c>
    </row>
    <row r="16">
      <c r="A16" s="447" t="s">
        <v>99</v>
      </c>
    </row>
    <row r="17">
      <c r="A17" s="443" t="s">
        <v>67</v>
      </c>
    </row>
    <row r="18">
      <c r="A18" s="447" t="s">
        <v>68</v>
      </c>
    </row>
    <row r="19">
      <c r="A19" s="443" t="s">
        <v>69</v>
      </c>
    </row>
    <row r="20">
      <c r="A20" s="447" t="s">
        <v>70</v>
      </c>
    </row>
    <row r="21">
      <c r="A21" s="443" t="s">
        <v>71</v>
      </c>
    </row>
    <row r="22">
      <c r="A22" s="447" t="s">
        <v>72</v>
      </c>
      <c r="B22" s="16" t="s">
        <v>1118</v>
      </c>
    </row>
    <row r="23">
      <c r="A23" s="443" t="s">
        <v>73</v>
      </c>
      <c r="B23" s="16" t="s">
        <v>1118</v>
      </c>
    </row>
    <row r="24">
      <c r="A24" s="447" t="s">
        <v>74</v>
      </c>
    </row>
    <row r="25">
      <c r="A25" s="443" t="s">
        <v>75</v>
      </c>
    </row>
    <row r="26">
      <c r="A26" s="447" t="s">
        <v>76</v>
      </c>
    </row>
    <row r="27">
      <c r="A27" s="443" t="s">
        <v>77</v>
      </c>
    </row>
    <row r="28">
      <c r="A28" s="447" t="s">
        <v>78</v>
      </c>
    </row>
    <row r="29">
      <c r="A29" s="443" t="s">
        <v>79</v>
      </c>
    </row>
    <row r="30">
      <c r="A30" s="447" t="s">
        <v>80</v>
      </c>
    </row>
    <row r="31">
      <c r="A31" s="443" t="s">
        <v>81</v>
      </c>
    </row>
    <row r="32">
      <c r="A32" s="447" t="s">
        <v>82</v>
      </c>
    </row>
    <row r="33">
      <c r="A33" s="443" t="s">
        <v>83</v>
      </c>
    </row>
    <row r="34">
      <c r="A34" s="447" t="s">
        <v>84</v>
      </c>
      <c r="B34" s="16" t="s">
        <v>1118</v>
      </c>
    </row>
    <row r="35">
      <c r="A35" s="443" t="s">
        <v>85</v>
      </c>
    </row>
    <row r="36">
      <c r="A36" s="447" t="s">
        <v>2052</v>
      </c>
    </row>
    <row r="37">
      <c r="A37" s="443" t="s">
        <v>86</v>
      </c>
      <c r="B37" s="16" t="s">
        <v>1118</v>
      </c>
    </row>
    <row r="38">
      <c r="A38" s="447" t="s">
        <v>87</v>
      </c>
    </row>
    <row r="39">
      <c r="A39" s="443" t="s">
        <v>88</v>
      </c>
    </row>
    <row r="40">
      <c r="A40" s="447" t="s">
        <v>89</v>
      </c>
    </row>
    <row r="41">
      <c r="A41" s="443" t="s">
        <v>90</v>
      </c>
    </row>
    <row r="42">
      <c r="A42" s="447" t="s">
        <v>91</v>
      </c>
      <c r="B42" s="16" t="s">
        <v>1118</v>
      </c>
    </row>
    <row r="43">
      <c r="A43" s="443" t="s">
        <v>92</v>
      </c>
    </row>
    <row r="44">
      <c r="A44" s="447" t="s">
        <v>93</v>
      </c>
    </row>
    <row r="45">
      <c r="A45" s="443" t="s">
        <v>94</v>
      </c>
      <c r="B45" s="16" t="s">
        <v>1118</v>
      </c>
    </row>
    <row r="46">
      <c r="A46" s="447" t="s">
        <v>1100</v>
      </c>
    </row>
    <row r="47">
      <c r="A47" s="443" t="s">
        <v>1101</v>
      </c>
    </row>
    <row r="48">
      <c r="A48" s="447" t="s">
        <v>1103</v>
      </c>
      <c r="B48" s="16" t="s">
        <v>1118</v>
      </c>
    </row>
    <row r="49">
      <c r="A49" s="443" t="s">
        <v>95</v>
      </c>
      <c r="B49" s="16" t="s">
        <v>1118</v>
      </c>
    </row>
    <row r="50">
      <c r="A50" s="447" t="s">
        <v>96</v>
      </c>
      <c r="B50" s="16" t="s">
        <v>1118</v>
      </c>
    </row>
    <row r="51">
      <c r="A51" s="443" t="s">
        <v>97</v>
      </c>
      <c r="B51" s="16" t="s">
        <v>1118</v>
      </c>
    </row>
    <row r="52">
      <c r="A52" s="466" t="s">
        <v>1106</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43"/>
    <col customWidth="1" min="2" max="2" width="18.57"/>
    <col customWidth="1" min="3" max="3" width="20.0"/>
    <col customWidth="1" min="4" max="4" width="21.71"/>
    <col customWidth="1" min="5" max="5" width="19.86"/>
    <col customWidth="1" min="6" max="6" width="17.86"/>
    <col customWidth="1" min="7" max="7" width="22.71"/>
    <col customWidth="1" min="9" max="9" width="17.29"/>
  </cols>
  <sheetData>
    <row r="1">
      <c r="A1" s="16" t="s">
        <v>15</v>
      </c>
      <c r="B1" s="16" t="s">
        <v>2187</v>
      </c>
      <c r="C1" s="16" t="s">
        <v>2188</v>
      </c>
      <c r="D1" s="16" t="s">
        <v>2189</v>
      </c>
      <c r="E1" s="16" t="s">
        <v>2190</v>
      </c>
    </row>
    <row r="2">
      <c r="A2" s="16" t="s">
        <v>26</v>
      </c>
      <c r="B2" s="11">
        <f>COUNTIFS(STUDENTS!G:G,A2,STUDENTS!L:L,"✅ Completed")
</f>
        <v>4</v>
      </c>
      <c r="C2" s="11">
        <f>IFERROR(__xludf.DUMMYFUNCTION("COUNTUNIQUEIFS(ATTENDANCE_LOG!C:C,ATTENDANCE_LOG!B:B,A2)
-SUMPRODUCT(
  (COUNTIFS(ATTENDANCE_LOG!C:C,UNIQUE(FILTER(ATTENDANCE_LOG!C:C,ATTENDANCE_LOG!B:B=A2)),
            ATTENDANCE_LOG!B:B,A2)&gt;0)*
  (COUNTIF(ATTENDANCE_LOG!C:C,UNIQUE(FILTER(ATTENDANCE_LO"&amp;"G!C:C,ATTENDANCE_LOG!B:B=A2)))=
   COUNTIFS(ATTENDANCE_LOG!C:C,UNIQUE(FILTER(ATTENDANCE_LOG!C:C,ATTENDANCE_LOG!B:B=A2)),
            ATTENDANCE_LOG!B:B,A2))
)"),33.0)</f>
        <v>33</v>
      </c>
      <c r="D2" s="11">
        <f>COUNTIFS(STUDENTS!G:G,A2,STUDENTS!E:E,"Waiting for class")
</f>
        <v>0</v>
      </c>
      <c r="E2" s="11">
        <f>COUNTIFS(STUDENTS!G:G,A2,STUDENTS!L:L,"❌ Dropped")
</f>
        <v>3</v>
      </c>
    </row>
    <row r="3">
      <c r="A3" s="16" t="s">
        <v>27</v>
      </c>
      <c r="B3" s="11">
        <f>COUNTIFS(STUDENTS!G:G,A3,STUDENTS!L:L,"✅ Completed")
</f>
        <v>0</v>
      </c>
      <c r="C3" s="11">
        <f>IFERROR(__xludf.DUMMYFUNCTION("COUNTUNIQUEIFS(ATTENDANCE_LOG!C:C,ATTENDANCE_LOG!B:B,A3)
-SUMPRODUCT(
  (COUNTIFS(ATTENDANCE_LOG!C:C,UNIQUE(FILTER(ATTENDANCE_LOG!C:C,ATTENDANCE_LOG!B:B=A3)),
            ATTENDANCE_LOG!B:B,A3)&gt;0)*
  (COUNTIF(ATTENDANCE_LOG!C:C,UNIQUE(FILTER(ATTENDANCE_LO"&amp;"G!C:C,ATTENDANCE_LOG!B:B=A3)))=
   COUNTIFS(ATTENDANCE_LOG!C:C,UNIQUE(FILTER(ATTENDANCE_LOG!C:C,ATTENDANCE_LOG!B:B=A3)),
            ATTENDANCE_LOG!B:B,A3))
)"),3.0)</f>
        <v>3</v>
      </c>
      <c r="D3" s="11">
        <f>COUNTIFS(STUDENTS!G:G,A3,STUDENTS!E:E,"Waiting for class")
</f>
        <v>0</v>
      </c>
      <c r="E3" s="11">
        <f>COUNTIFS(STUDENTS!G:G,A3,STUDENTS!L:L,"❌ Dropped")
</f>
        <v>0</v>
      </c>
    </row>
    <row r="4">
      <c r="A4" s="16" t="s">
        <v>22</v>
      </c>
      <c r="B4" s="11">
        <f>COUNTIFS(STUDENTS!G:G,A4,STUDENTS!L:L,"✅ Completed")
</f>
        <v>50</v>
      </c>
      <c r="C4" s="11">
        <f>IFERROR(__xludf.DUMMYFUNCTION("COUNTUNIQUEIFS(ATTENDANCE_LOG!C:C,ATTENDANCE_LOG!B:B,A4)
-SUMPRODUCT(
  (COUNTIFS(ATTENDANCE_LOG!C:C,UNIQUE(FILTER(ATTENDANCE_LOG!C:C,ATTENDANCE_LOG!B:B=A4)),
            ATTENDANCE_LOG!B:B,A4)&gt;0)*
  (COUNTIF(ATTENDANCE_LOG!C:C,UNIQUE(FILTER(ATTENDANCE_LO"&amp;"G!C:C,ATTENDANCE_LOG!B:B=A4)))=
   COUNTIFS(ATTENDANCE_LOG!C:C,UNIQUE(FILTER(ATTENDANCE_LOG!C:C,ATTENDANCE_LOG!B:B=A4)),
            ATTENDANCE_LOG!B:B,A4))
)"),162.0)</f>
        <v>162</v>
      </c>
      <c r="D4" s="11">
        <f>COUNTIFS(STUDENTS!G:G,A4,STUDENTS!E:E,"Waiting for class")
</f>
        <v>4</v>
      </c>
      <c r="E4" s="11">
        <f>COUNTIFS(STUDENTS!G:G,A4,STUDENTS!L:L,"❌ Dropped")
</f>
        <v>44</v>
      </c>
    </row>
    <row r="5">
      <c r="A5" s="16" t="s">
        <v>23</v>
      </c>
      <c r="B5" s="11">
        <f>COUNTIFS(STUDENTS!G:G,A5,STUDENTS!L:L,"✅ Completed")
</f>
        <v>42</v>
      </c>
      <c r="C5" s="11">
        <f>IFERROR(__xludf.DUMMYFUNCTION("COUNTUNIQUEIFS(ATTENDANCE_LOG!C:C,ATTENDANCE_LOG!B:B,A5)
-SUMPRODUCT(
  (COUNTIFS(ATTENDANCE_LOG!C:C,UNIQUE(FILTER(ATTENDANCE_LOG!C:C,ATTENDANCE_LOG!B:B=A5)),
            ATTENDANCE_LOG!B:B,A5)&gt;0)*
  (COUNTIF(ATTENDANCE_LOG!C:C,UNIQUE(FILTER(ATTENDANCE_LO"&amp;"G!C:C,ATTENDANCE_LOG!B:B=A5)))=
   COUNTIFS(ATTENDANCE_LOG!C:C,UNIQUE(FILTER(ATTENDANCE_LOG!C:C,ATTENDANCE_LOG!B:B=A5)),
            ATTENDANCE_LOG!B:B,A5))
)"),143.0)</f>
        <v>143</v>
      </c>
      <c r="D5" s="11">
        <f>COUNTIFS(STUDENTS!G:G,A5,STUDENTS!E:E,"Waiting for class")
</f>
        <v>7</v>
      </c>
      <c r="E5" s="11">
        <f>COUNTIFS(STUDENTS!G:G,A5,STUDENTS!L:L,"❌ Dropped")
</f>
        <v>33</v>
      </c>
    </row>
    <row r="6">
      <c r="A6" s="16" t="s">
        <v>24</v>
      </c>
      <c r="B6" s="11">
        <f>COUNTIFS(STUDENTS!G:G,A6,STUDENTS!L:L,"✅ Completed")
</f>
        <v>2</v>
      </c>
      <c r="C6" s="11">
        <f>IFERROR(__xludf.DUMMYFUNCTION("COUNTUNIQUEIFS(ATTENDANCE_LOG!C:C,ATTENDANCE_LOG!B:B,A6)
-SUMPRODUCT(
  (COUNTIFS(ATTENDANCE_LOG!C:C,UNIQUE(FILTER(ATTENDANCE_LOG!C:C,ATTENDANCE_LOG!B:B=A6)),
            ATTENDANCE_LOG!B:B,A6)&gt;0)*
  (COUNTIF(ATTENDANCE_LOG!C:C,UNIQUE(FILTER(ATTENDANCE_LO"&amp;"G!C:C,ATTENDANCE_LOG!B:B=A6)))=
   COUNTIFS(ATTENDANCE_LOG!C:C,UNIQUE(FILTER(ATTENDANCE_LOG!C:C,ATTENDANCE_LOG!B:B=A6)),
            ATTENDANCE_LOG!B:B,A6))
)"),21.0)</f>
        <v>21</v>
      </c>
      <c r="D6" s="11">
        <f>COUNTIFS(STUDENTS!G:G,A6,STUDENTS!E:E,"Waiting for class")
</f>
        <v>0</v>
      </c>
      <c r="E6" s="11">
        <f>COUNTIFS(STUDENTS!G:G,A6,STUDENTS!L:L,"❌ Dropped")
</f>
        <v>5</v>
      </c>
    </row>
    <row r="7">
      <c r="A7" s="16" t="s">
        <v>25</v>
      </c>
      <c r="B7" s="11">
        <f>COUNTIFS(STUDENTS!G:G,A7,STUDENTS!L:L,"✅ Completed")
</f>
        <v>8</v>
      </c>
      <c r="C7" s="11">
        <f>IFERROR(__xludf.DUMMYFUNCTION("COUNTUNIQUEIFS(ATTENDANCE_LOG!C:C,ATTENDANCE_LOG!B:B,A7)
-SUMPRODUCT(
  (COUNTIFS(ATTENDANCE_LOG!C:C,UNIQUE(FILTER(ATTENDANCE_LOG!C:C,ATTENDANCE_LOG!B:B=A7)),
            ATTENDANCE_LOG!B:B,A7)&gt;0)*
  (COUNTIF(ATTENDANCE_LOG!C:C,UNIQUE(FILTER(ATTENDANCE_LO"&amp;"G!C:C,ATTENDANCE_LOG!B:B=A7)))=
   COUNTIFS(ATTENDANCE_LOG!C:C,UNIQUE(FILTER(ATTENDANCE_LOG!C:C,ATTENDANCE_LOG!B:B=A7)),
            ATTENDANCE_LOG!B:B,A7))
)"),23.0)</f>
        <v>23</v>
      </c>
      <c r="D7" s="11">
        <f>COUNTIFS(STUDENTS!G:G,A7,STUDENTS!E:E,"Waiting for class")
</f>
        <v>0</v>
      </c>
      <c r="E7" s="11">
        <f>COUNTIFS(STUDENTS!G:G,A7,STUDENTS!L:L,"❌ Dropped")
</f>
        <v>4</v>
      </c>
    </row>
    <row r="8">
      <c r="I8" s="16" t="s">
        <v>2191</v>
      </c>
      <c r="J8" s="16" t="s">
        <v>2192</v>
      </c>
    </row>
    <row r="9">
      <c r="A9" s="11" t="s">
        <v>45</v>
      </c>
      <c r="B9" s="11" t="s">
        <v>15</v>
      </c>
      <c r="C9" s="16" t="s">
        <v>2193</v>
      </c>
      <c r="D9" s="16" t="s">
        <v>2188</v>
      </c>
      <c r="E9" s="16" t="s">
        <v>2194</v>
      </c>
      <c r="F9" s="16" t="s">
        <v>2195</v>
      </c>
      <c r="G9" s="16" t="s">
        <v>2196</v>
      </c>
      <c r="I9" s="11">
        <f>sum(C10:C90)</f>
        <v>90</v>
      </c>
      <c r="J9" s="11">
        <f>sum(E10:E90)</f>
        <v>11</v>
      </c>
    </row>
    <row r="10">
      <c r="A10" s="11" t="str">
        <f t="array" ref="A10:B84">SORT(UNIQUE(ATTENDANCE_LOG!A2:B5590))</f>
        <v>EL001</v>
      </c>
      <c r="B10" s="11" t="s">
        <v>25</v>
      </c>
      <c r="C10" s="11">
        <f>SUMPRODUCT(
  (STUDENTS!Q$2:Q$309=A10)*
  (STUDENTS!R$2:R$309=B10)*
  (STUDENTS!E$2:E$309="Active"))</f>
        <v>3</v>
      </c>
      <c r="D10" s="11">
        <f>IFERROR(__xludf.DUMMYFUNCTION("SUMPRODUCT(
  (COUNTIF(FILTER(ATTENDANCE_LOG!C:C,(ATTENDANCE_LOG!A:A=A10)*(ATTENDANCE_LOG!B:B=B10)),STUDENTS!A$2:A$309)&gt;0)*
  ((STUDENTS!R$2:R$309&lt;&gt;B10)+(STUDENTS!Q$2:Q$309&lt;&gt;A10)&gt;0))"),0.0)</f>
        <v>0</v>
      </c>
      <c r="E10" s="11">
        <f>SUMPRODUCT(
  (STUDENTS!Q$2:Q$309=A10)*
  (STUDENTS!R$2:R$309=B10)*
  (STUDENTS!E$2:E$309="Waiting for class"))</f>
        <v>0</v>
      </c>
      <c r="F10" s="11">
        <f>SUMPRODUCT(
  (STUDENTS!Q$2:Q$309=A10)*
  (STUDENTS!R$2:R$309=B10)*
  (STUDENTS!L$2:L$309="❌ Dropped"))</f>
        <v>0</v>
      </c>
      <c r="G10" s="11">
        <f>SUMPRODUCT(
  (STUDENTS!Q$2:Q$309=A10)*
  (STUDENTS!R$2:R$309=B10)*
  (STUDENTS!L$2:L$309="✅ Completed"))</f>
        <v>0</v>
      </c>
      <c r="J10" s="17"/>
    </row>
    <row r="11">
      <c r="A11" s="11" t="s">
        <v>52</v>
      </c>
      <c r="B11" s="11" t="s">
        <v>22</v>
      </c>
      <c r="C11" s="11">
        <f>SUMPRODUCT(
  (STUDENTS!Q$2:Q$309=A11)*
  (STUDENTS!R$2:R$309=B11)*
  (STUDENTS!E$2:E$309="Active"))</f>
        <v>0</v>
      </c>
      <c r="D11" s="11">
        <f>IFERROR(__xludf.DUMMYFUNCTION("SUMPRODUCT(
  (COUNTIF(FILTER(ATTENDANCE_LOG!C:C,(ATTENDANCE_LOG!A:A=A11)*(ATTENDANCE_LOG!B:B=B11)),STUDENTS!A$2:A$309)&gt;0)*
  ((STUDENTS!R$2:R$309&lt;&gt;B11)+(STUDENTS!Q$2:Q$309&lt;&gt;A11)&gt;0))"),6.0)</f>
        <v>6</v>
      </c>
      <c r="E11" s="11">
        <f>SUMPRODUCT(
  (STUDENTS!Q$2:Q$309=A11)*
  (STUDENTS!R$2:R$309=B11)*
  (STUDENTS!E$2:E$309="Waiting for class"))</f>
        <v>0</v>
      </c>
      <c r="F11" s="11">
        <f>SUMPRODUCT(
  (STUDENTS!Q$2:Q$309=A11)*
  (STUDENTS!R$2:R$309=B11)*
  (STUDENTS!L$2:L$309="❌ Dropped"))</f>
        <v>0</v>
      </c>
      <c r="G11" s="11">
        <f>SUMPRODUCT(
  (STUDENTS!Q$2:Q$309=A11)*
  (STUDENTS!R$2:R$309=B11)*
  (STUDENTS!L$2:L$309="✅ Completed"))</f>
        <v>0</v>
      </c>
      <c r="J11" s="17"/>
    </row>
    <row r="12">
      <c r="A12" s="11" t="s">
        <v>52</v>
      </c>
      <c r="B12" s="11" t="s">
        <v>23</v>
      </c>
      <c r="C12" s="11">
        <f>SUMPRODUCT(
  (STUDENTS!Q$2:Q$309=A12)*
  (STUDENTS!R$2:R$309=B12)*
  (STUDENTS!E$2:E$309="Active"))</f>
        <v>0</v>
      </c>
      <c r="D12" s="11">
        <f>IFERROR(__xludf.DUMMYFUNCTION("SUMPRODUCT(
  (COUNTIF(FILTER(ATTENDANCE_LOG!C:C,(ATTENDANCE_LOG!A:A=A12)*(ATTENDANCE_LOG!B:B=B12)),STUDENTS!A$2:A$309)&gt;0)*
  ((STUDENTS!R$2:R$309&lt;&gt;B12)+(STUDENTS!Q$2:Q$309&lt;&gt;A12)&gt;0))"),6.0)</f>
        <v>6</v>
      </c>
      <c r="E12" s="11">
        <f>SUMPRODUCT(
  (STUDENTS!Q$2:Q$309=A12)*
  (STUDENTS!R$2:R$309=B12)*
  (STUDENTS!E$2:E$309="Waiting for class"))</f>
        <v>0</v>
      </c>
      <c r="F12" s="11">
        <f>SUMPRODUCT(
  (STUDENTS!Q$2:Q$309=A12)*
  (STUDENTS!R$2:R$309=B12)*
  (STUDENTS!L$2:L$309="❌ Dropped"))</f>
        <v>0</v>
      </c>
      <c r="G12" s="11">
        <f>SUMPRODUCT(
  (STUDENTS!Q$2:Q$309=A12)*
  (STUDENTS!R$2:R$309=B12)*
  (STUDENTS!L$2:L$309="✅ Completed"))</f>
        <v>0</v>
      </c>
      <c r="J12" s="17"/>
    </row>
    <row r="13">
      <c r="A13" s="11" t="s">
        <v>53</v>
      </c>
      <c r="B13" s="11" t="s">
        <v>22</v>
      </c>
      <c r="C13" s="11">
        <f>SUMPRODUCT(
  (STUDENTS!Q$2:Q$309=A13)*
  (STUDENTS!R$2:R$309=B13)*
  (STUDENTS!E$2:E$309="Active"))</f>
        <v>0</v>
      </c>
      <c r="D13" s="11">
        <f>IFERROR(__xludf.DUMMYFUNCTION("SUMPRODUCT(
  (COUNTIF(FILTER(ATTENDANCE_LOG!C:C,(ATTENDANCE_LOG!A:A=A13)*(ATTENDANCE_LOG!B:B=B13)),STUDENTS!A$2:A$309)&gt;0)*
  ((STUDENTS!R$2:R$309&lt;&gt;B13)+(STUDENTS!Q$2:Q$309&lt;&gt;A13)&gt;0))"),0.0)</f>
        <v>0</v>
      </c>
      <c r="E13" s="11">
        <f>SUMPRODUCT(
  (STUDENTS!Q$2:Q$309=A13)*
  (STUDENTS!R$2:R$309=B13)*
  (STUDENTS!E$2:E$309="Waiting for class"))</f>
        <v>0</v>
      </c>
      <c r="F13" s="11">
        <f>SUMPRODUCT(
  (STUDENTS!Q$2:Q$309=A13)*
  (STUDENTS!R$2:R$309=B13)*
  (STUDENTS!L$2:L$309="❌ Dropped"))</f>
        <v>1</v>
      </c>
      <c r="G13" s="11">
        <f>SUMPRODUCT(
  (STUDENTS!Q$2:Q$309=A13)*
  (STUDENTS!R$2:R$309=B13)*
  (STUDENTS!L$2:L$309="✅ Completed"))</f>
        <v>7</v>
      </c>
      <c r="J13" s="17"/>
    </row>
    <row r="14">
      <c r="A14" s="11" t="s">
        <v>54</v>
      </c>
      <c r="B14" s="11" t="s">
        <v>22</v>
      </c>
      <c r="C14" s="11">
        <f>SUMPRODUCT(
  (STUDENTS!Q$2:Q$309=A14)*
  (STUDENTS!R$2:R$309=B14)*
  (STUDENTS!E$2:E$309="Active"))</f>
        <v>0</v>
      </c>
      <c r="D14" s="11">
        <f>IFERROR(__xludf.DUMMYFUNCTION("SUMPRODUCT(
  (COUNTIF(FILTER(ATTENDANCE_LOG!C:C,(ATTENDANCE_LOG!A:A=A14)*(ATTENDANCE_LOG!B:B=B14)),STUDENTS!A$2:A$309)&gt;0)*
  ((STUDENTS!R$2:R$309&lt;&gt;B14)+(STUDENTS!Q$2:Q$309&lt;&gt;A14)&gt;0))"),3.0)</f>
        <v>3</v>
      </c>
      <c r="E14" s="11">
        <f>SUMPRODUCT(
  (STUDENTS!Q$2:Q$309=A14)*
  (STUDENTS!R$2:R$309=B14)*
  (STUDENTS!E$2:E$309="Waiting for class"))</f>
        <v>0</v>
      </c>
      <c r="F14" s="11">
        <f>SUMPRODUCT(
  (STUDENTS!Q$2:Q$309=A14)*
  (STUDENTS!R$2:R$309=B14)*
  (STUDENTS!L$2:L$309="❌ Dropped"))</f>
        <v>2</v>
      </c>
      <c r="G14" s="11">
        <f>SUMPRODUCT(
  (STUDENTS!Q$2:Q$309=A14)*
  (STUDENTS!R$2:R$309=B14)*
  (STUDENTS!L$2:L$309="✅ Completed"))</f>
        <v>0</v>
      </c>
      <c r="J14" s="17"/>
    </row>
    <row r="15">
      <c r="A15" s="11" t="s">
        <v>55</v>
      </c>
      <c r="B15" s="11" t="s">
        <v>22</v>
      </c>
      <c r="C15" s="11">
        <f>SUMPRODUCT(
  (STUDENTS!Q$2:Q$309=A15)*
  (STUDENTS!R$2:R$309=B15)*
  (STUDENTS!E$2:E$309="Active"))</f>
        <v>0</v>
      </c>
      <c r="D15" s="11">
        <f>IFERROR(__xludf.DUMMYFUNCTION("SUMPRODUCT(
  (COUNTIF(FILTER(ATTENDANCE_LOG!C:C,(ATTENDANCE_LOG!A:A=A15)*(ATTENDANCE_LOG!B:B=B15)),STUDENTS!A$2:A$309)&gt;0)*
  ((STUDENTS!R$2:R$309&lt;&gt;B15)+(STUDENTS!Q$2:Q$309&lt;&gt;A15)&gt;0))"),9.0)</f>
        <v>9</v>
      </c>
      <c r="E15" s="11">
        <f>SUMPRODUCT(
  (STUDENTS!Q$2:Q$309=A15)*
  (STUDENTS!R$2:R$309=B15)*
  (STUDENTS!E$2:E$309="Waiting for class"))</f>
        <v>0</v>
      </c>
      <c r="F15" s="11">
        <f>SUMPRODUCT(
  (STUDENTS!Q$2:Q$309=A15)*
  (STUDENTS!R$2:R$309=B15)*
  (STUDENTS!L$2:L$309="❌ Dropped"))</f>
        <v>0</v>
      </c>
      <c r="G15" s="11">
        <f>SUMPRODUCT(
  (STUDENTS!Q$2:Q$309=A15)*
  (STUDENTS!R$2:R$309=B15)*
  (STUDENTS!L$2:L$309="✅ Completed"))</f>
        <v>0</v>
      </c>
      <c r="J15" s="17"/>
    </row>
    <row r="16">
      <c r="A16" s="11" t="s">
        <v>55</v>
      </c>
      <c r="B16" s="11" t="s">
        <v>23</v>
      </c>
      <c r="C16" s="11">
        <f>SUMPRODUCT(
  (STUDENTS!Q$2:Q$309=A16)*
  (STUDENTS!R$2:R$309=B16)*
  (STUDENTS!E$2:E$309="Active"))</f>
        <v>0</v>
      </c>
      <c r="D16" s="11">
        <f>IFERROR(__xludf.DUMMYFUNCTION("SUMPRODUCT(
  (COUNTIF(FILTER(ATTENDANCE_LOG!C:C,(ATTENDANCE_LOG!A:A=A16)*(ATTENDANCE_LOG!B:B=B16)),STUDENTS!A$2:A$309)&gt;0)*
  ((STUDENTS!R$2:R$309&lt;&gt;B16)+(STUDENTS!Q$2:Q$309&lt;&gt;A16)&gt;0))"),1.0)</f>
        <v>1</v>
      </c>
      <c r="E16" s="11">
        <f>SUMPRODUCT(
  (STUDENTS!Q$2:Q$309=A16)*
  (STUDENTS!R$2:R$309=B16)*
  (STUDENTS!E$2:E$309="Waiting for class"))</f>
        <v>0</v>
      </c>
      <c r="F16" s="11">
        <f>SUMPRODUCT(
  (STUDENTS!Q$2:Q$309=A16)*
  (STUDENTS!R$2:R$309=B16)*
  (STUDENTS!L$2:L$309="❌ Dropped"))</f>
        <v>0</v>
      </c>
      <c r="G16" s="11">
        <f>SUMPRODUCT(
  (STUDENTS!Q$2:Q$309=A16)*
  (STUDENTS!R$2:R$309=B16)*
  (STUDENTS!L$2:L$309="✅ Completed"))</f>
        <v>8</v>
      </c>
      <c r="J16" s="17"/>
    </row>
    <row r="17">
      <c r="A17" s="11" t="s">
        <v>56</v>
      </c>
      <c r="B17" s="11" t="s">
        <v>22</v>
      </c>
      <c r="C17" s="11">
        <f>SUMPRODUCT(
  (STUDENTS!Q$2:Q$309=A17)*
  (STUDENTS!R$2:R$309=B17)*
  (STUDENTS!E$2:E$309="Active"))</f>
        <v>0</v>
      </c>
      <c r="D17" s="11">
        <f>IFERROR(__xludf.DUMMYFUNCTION("SUMPRODUCT(
  (COUNTIF(FILTER(ATTENDANCE_LOG!C:C,(ATTENDANCE_LOG!A:A=A17)*(ATTENDANCE_LOG!B:B=B17)),STUDENTS!A$2:A$309)&gt;0)*
  ((STUDENTS!R$2:R$309&lt;&gt;B17)+(STUDENTS!Q$2:Q$309&lt;&gt;A17)&gt;0))"),4.0)</f>
        <v>4</v>
      </c>
      <c r="E17" s="11">
        <f>SUMPRODUCT(
  (STUDENTS!Q$2:Q$309=A17)*
  (STUDENTS!R$2:R$309=B17)*
  (STUDENTS!E$2:E$309="Waiting for class"))</f>
        <v>0</v>
      </c>
      <c r="F17" s="11">
        <f>SUMPRODUCT(
  (STUDENTS!Q$2:Q$309=A17)*
  (STUDENTS!R$2:R$309=B17)*
  (STUDENTS!L$2:L$309="❌ Dropped"))</f>
        <v>1</v>
      </c>
      <c r="G17" s="11">
        <f>SUMPRODUCT(
  (STUDENTS!Q$2:Q$309=A17)*
  (STUDENTS!R$2:R$309=B17)*
  (STUDENTS!L$2:L$309="✅ Completed"))</f>
        <v>0</v>
      </c>
      <c r="J17" s="17"/>
    </row>
    <row r="18">
      <c r="A18" s="11" t="s">
        <v>57</v>
      </c>
      <c r="B18" s="11" t="s">
        <v>22</v>
      </c>
      <c r="C18" s="11">
        <f>SUMPRODUCT(
  (STUDENTS!Q$2:Q$309=A18)*
  (STUDENTS!R$2:R$309=B18)*
  (STUDENTS!E$2:E$309="Active"))</f>
        <v>0</v>
      </c>
      <c r="D18" s="11">
        <f>IFERROR(__xludf.DUMMYFUNCTION("SUMPRODUCT(
  (COUNTIF(FILTER(ATTENDANCE_LOG!C:C,(ATTENDANCE_LOG!A:A=A18)*(ATTENDANCE_LOG!B:B=B18)),STUDENTS!A$2:A$309)&gt;0)*
  ((STUDENTS!R$2:R$309&lt;&gt;B18)+(STUDENTS!Q$2:Q$309&lt;&gt;A18)&gt;0))"),1.0)</f>
        <v>1</v>
      </c>
      <c r="E18" s="11">
        <f>SUMPRODUCT(
  (STUDENTS!Q$2:Q$309=A18)*
  (STUDENTS!R$2:R$309=B18)*
  (STUDENTS!E$2:E$309="Waiting for class"))</f>
        <v>1</v>
      </c>
      <c r="F18" s="11">
        <f>SUMPRODUCT(
  (STUDENTS!Q$2:Q$309=A18)*
  (STUDENTS!R$2:R$309=B18)*
  (STUDENTS!L$2:L$309="❌ Dropped"))</f>
        <v>0</v>
      </c>
      <c r="G18" s="11">
        <f>SUMPRODUCT(
  (STUDENTS!Q$2:Q$309=A18)*
  (STUDENTS!R$2:R$309=B18)*
  (STUDENTS!L$2:L$309="✅ Completed"))</f>
        <v>2</v>
      </c>
      <c r="J18" s="17"/>
    </row>
    <row r="19">
      <c r="A19" s="11" t="s">
        <v>58</v>
      </c>
      <c r="B19" s="11" t="s">
        <v>22</v>
      </c>
      <c r="C19" s="11">
        <f>SUMPRODUCT(
  (STUDENTS!Q$2:Q$309=A19)*
  (STUDENTS!R$2:R$309=B19)*
  (STUDENTS!E$2:E$309="Active"))</f>
        <v>0</v>
      </c>
      <c r="D19" s="11">
        <f>IFERROR(__xludf.DUMMYFUNCTION("SUMPRODUCT(
  (COUNTIF(FILTER(ATTENDANCE_LOG!C:C,(ATTENDANCE_LOG!A:A=A19)*(ATTENDANCE_LOG!B:B=B19)),STUDENTS!A$2:A$309)&gt;0)*
  ((STUDENTS!R$2:R$309&lt;&gt;B19)+(STUDENTS!Q$2:Q$309&lt;&gt;A19)&gt;0))"),4.0)</f>
        <v>4</v>
      </c>
      <c r="E19" s="11">
        <f>SUMPRODUCT(
  (STUDENTS!Q$2:Q$309=A19)*
  (STUDENTS!R$2:R$309=B19)*
  (STUDENTS!E$2:E$309="Waiting for class"))</f>
        <v>0</v>
      </c>
      <c r="F19" s="11">
        <f>SUMPRODUCT(
  (STUDENTS!Q$2:Q$309=A19)*
  (STUDENTS!R$2:R$309=B19)*
  (STUDENTS!L$2:L$309="❌ Dropped"))</f>
        <v>0</v>
      </c>
      <c r="G19" s="11">
        <f>SUMPRODUCT(
  (STUDENTS!Q$2:Q$309=A19)*
  (STUDENTS!R$2:R$309=B19)*
  (STUDENTS!L$2:L$309="✅ Completed"))</f>
        <v>1</v>
      </c>
      <c r="J19" s="17"/>
    </row>
    <row r="20">
      <c r="A20" s="11" t="s">
        <v>58</v>
      </c>
      <c r="B20" s="11" t="s">
        <v>23</v>
      </c>
      <c r="C20" s="11">
        <f>SUMPRODUCT(
  (STUDENTS!Q$2:Q$309=A20)*
  (STUDENTS!R$2:R$309=B20)*
  (STUDENTS!E$2:E$309="Active"))</f>
        <v>0</v>
      </c>
      <c r="D20" s="11">
        <f>IFERROR(__xludf.DUMMYFUNCTION("SUMPRODUCT(
  (COUNTIF(FILTER(ATTENDANCE_LOG!C:C,(ATTENDANCE_LOG!A:A=A20)*(ATTENDANCE_LOG!B:B=B20)),STUDENTS!A$2:A$309)&gt;0)*
  ((STUDENTS!R$2:R$309&lt;&gt;B20)+(STUDENTS!Q$2:Q$309&lt;&gt;A20)&gt;0))"),0.0)</f>
        <v>0</v>
      </c>
      <c r="E20" s="11">
        <f>SUMPRODUCT(
  (STUDENTS!Q$2:Q$309=A20)*
  (STUDENTS!R$2:R$309=B20)*
  (STUDENTS!E$2:E$309="Waiting for class"))</f>
        <v>2</v>
      </c>
      <c r="F20" s="11">
        <f>SUMPRODUCT(
  (STUDENTS!Q$2:Q$309=A20)*
  (STUDENTS!R$2:R$309=B20)*
  (STUDENTS!L$2:L$309="❌ Dropped"))</f>
        <v>6</v>
      </c>
      <c r="G20" s="11">
        <f>SUMPRODUCT(
  (STUDENTS!Q$2:Q$309=A20)*
  (STUDENTS!R$2:R$309=B20)*
  (STUDENTS!L$2:L$309="✅ Completed"))</f>
        <v>0</v>
      </c>
      <c r="J20" s="17"/>
    </row>
    <row r="21">
      <c r="A21" s="11" t="s">
        <v>59</v>
      </c>
      <c r="B21" s="11" t="s">
        <v>25</v>
      </c>
      <c r="C21" s="11">
        <f>SUMPRODUCT(
  (STUDENTS!Q$2:Q$309=A21)*
  (STUDENTS!R$2:R$309=B21)*
  (STUDENTS!E$2:E$309="Active"))</f>
        <v>4</v>
      </c>
      <c r="D21" s="11">
        <f>IFERROR(__xludf.DUMMYFUNCTION("SUMPRODUCT(
  (COUNTIF(FILTER(ATTENDANCE_LOG!C:C,(ATTENDANCE_LOG!A:A=A21)*(ATTENDANCE_LOG!B:B=B21)),STUDENTS!A$2:A$309)&gt;0)*
  ((STUDENTS!R$2:R$309&lt;&gt;B21)+(STUDENTS!Q$2:Q$309&lt;&gt;A21)&gt;0))"),0.0)</f>
        <v>0</v>
      </c>
      <c r="E21" s="11">
        <f>SUMPRODUCT(
  (STUDENTS!Q$2:Q$309=A21)*
  (STUDENTS!R$2:R$309=B21)*
  (STUDENTS!E$2:E$309="Waiting for class"))</f>
        <v>0</v>
      </c>
      <c r="F21" s="11">
        <f>SUMPRODUCT(
  (STUDENTS!Q$2:Q$309=A21)*
  (STUDENTS!R$2:R$309=B21)*
  (STUDENTS!L$2:L$309="❌ Dropped"))</f>
        <v>1</v>
      </c>
      <c r="G21" s="11">
        <f>SUMPRODUCT(
  (STUDENTS!Q$2:Q$309=A21)*
  (STUDENTS!R$2:R$309=B21)*
  (STUDENTS!L$2:L$309="✅ Completed"))</f>
        <v>0</v>
      </c>
      <c r="J21" s="17"/>
    </row>
    <row r="22">
      <c r="A22" s="11" t="s">
        <v>59</v>
      </c>
      <c r="B22" s="11" t="s">
        <v>22</v>
      </c>
      <c r="C22" s="11">
        <f>SUMPRODUCT(
  (STUDENTS!Q$2:Q$309=A22)*
  (STUDENTS!R$2:R$309=B22)*
  (STUDENTS!E$2:E$309="Active"))</f>
        <v>0</v>
      </c>
      <c r="D22" s="11">
        <f>IFERROR(__xludf.DUMMYFUNCTION("SUMPRODUCT(
  (COUNTIF(FILTER(ATTENDANCE_LOG!C:C,(ATTENDANCE_LOG!A:A=A22)*(ATTENDANCE_LOG!B:B=B22)),STUDENTS!A$2:A$309)&gt;0)*
  ((STUDENTS!R$2:R$309&lt;&gt;B22)+(STUDENTS!Q$2:Q$309&lt;&gt;A22)&gt;0))"),5.0)</f>
        <v>5</v>
      </c>
      <c r="E22" s="11">
        <f>SUMPRODUCT(
  (STUDENTS!Q$2:Q$309=A22)*
  (STUDENTS!R$2:R$309=B22)*
  (STUDENTS!E$2:E$309="Waiting for class"))</f>
        <v>0</v>
      </c>
      <c r="F22" s="11">
        <f>SUMPRODUCT(
  (STUDENTS!Q$2:Q$309=A22)*
  (STUDENTS!R$2:R$309=B22)*
  (STUDENTS!L$2:L$309="❌ Dropped"))</f>
        <v>0</v>
      </c>
      <c r="G22" s="11">
        <f>SUMPRODUCT(
  (STUDENTS!Q$2:Q$309=A22)*
  (STUDENTS!R$2:R$309=B22)*
  (STUDENTS!L$2:L$309="✅ Completed"))</f>
        <v>0</v>
      </c>
      <c r="J22" s="17"/>
    </row>
    <row r="23">
      <c r="A23" s="11" t="s">
        <v>59</v>
      </c>
      <c r="B23" s="11" t="s">
        <v>23</v>
      </c>
      <c r="C23" s="11">
        <f>SUMPRODUCT(
  (STUDENTS!Q$2:Q$309=A23)*
  (STUDENTS!R$2:R$309=B23)*
  (STUDENTS!E$2:E$309="Active"))</f>
        <v>0</v>
      </c>
      <c r="D23" s="11">
        <f>IFERROR(__xludf.DUMMYFUNCTION("SUMPRODUCT(
  (COUNTIF(FILTER(ATTENDANCE_LOG!C:C,(ATTENDANCE_LOG!A:A=A23)*(ATTENDANCE_LOG!B:B=B23)),STUDENTS!A$2:A$309)&gt;0)*
  ((STUDENTS!R$2:R$309&lt;&gt;B23)+(STUDENTS!Q$2:Q$309&lt;&gt;A23)&gt;0))"),5.0)</f>
        <v>5</v>
      </c>
      <c r="E23" s="11">
        <f>SUMPRODUCT(
  (STUDENTS!Q$2:Q$309=A23)*
  (STUDENTS!R$2:R$309=B23)*
  (STUDENTS!E$2:E$309="Waiting for class"))</f>
        <v>0</v>
      </c>
      <c r="F23" s="11">
        <f>SUMPRODUCT(
  (STUDENTS!Q$2:Q$309=A23)*
  (STUDENTS!R$2:R$309=B23)*
  (STUDENTS!L$2:L$309="❌ Dropped"))</f>
        <v>0</v>
      </c>
      <c r="G23" s="11">
        <f>SUMPRODUCT(
  (STUDENTS!Q$2:Q$309=A23)*
  (STUDENTS!R$2:R$309=B23)*
  (STUDENTS!L$2:L$309="✅ Completed"))</f>
        <v>0</v>
      </c>
      <c r="J23" s="17"/>
    </row>
    <row r="24">
      <c r="A24" s="11" t="s">
        <v>60</v>
      </c>
      <c r="B24" s="11" t="s">
        <v>22</v>
      </c>
      <c r="C24" s="11">
        <f>SUMPRODUCT(
  (STUDENTS!Q$2:Q$309=A24)*
  (STUDENTS!R$2:R$309=B24)*
  (STUDENTS!E$2:E$309="Active"))</f>
        <v>0</v>
      </c>
      <c r="D24" s="11">
        <f>IFERROR(__xludf.DUMMYFUNCTION("SUMPRODUCT(
  (COUNTIF(FILTER(ATTENDANCE_LOG!C:C,(ATTENDANCE_LOG!A:A=A24)*(ATTENDANCE_LOG!B:B=B24)),STUDENTS!A$2:A$309)&gt;0)*
  ((STUDENTS!R$2:R$309&lt;&gt;B24)+(STUDENTS!Q$2:Q$309&lt;&gt;A24)&gt;0))"),6.0)</f>
        <v>6</v>
      </c>
      <c r="E24" s="11">
        <f>SUMPRODUCT(
  (STUDENTS!Q$2:Q$309=A24)*
  (STUDENTS!R$2:R$309=B24)*
  (STUDENTS!E$2:E$309="Waiting for class"))</f>
        <v>0</v>
      </c>
      <c r="F24" s="11">
        <f>SUMPRODUCT(
  (STUDENTS!Q$2:Q$309=A24)*
  (STUDENTS!R$2:R$309=B24)*
  (STUDENTS!L$2:L$309="❌ Dropped"))</f>
        <v>0</v>
      </c>
      <c r="G24" s="11">
        <f>SUMPRODUCT(
  (STUDENTS!Q$2:Q$309=A24)*
  (STUDENTS!R$2:R$309=B24)*
  (STUDENTS!L$2:L$309="✅ Completed"))</f>
        <v>0</v>
      </c>
      <c r="J24" s="17"/>
    </row>
    <row r="25">
      <c r="A25" s="11" t="s">
        <v>60</v>
      </c>
      <c r="B25" s="11" t="s">
        <v>23</v>
      </c>
      <c r="C25" s="11">
        <f>SUMPRODUCT(
  (STUDENTS!Q$2:Q$309=A25)*
  (STUDENTS!R$2:R$309=B25)*
  (STUDENTS!E$2:E$309="Active"))</f>
        <v>0</v>
      </c>
      <c r="D25" s="11">
        <f>IFERROR(__xludf.DUMMYFUNCTION("SUMPRODUCT(
  (COUNTIF(FILTER(ATTENDANCE_LOG!C:C,(ATTENDANCE_LOG!A:A=A25)*(ATTENDANCE_LOG!B:B=B25)),STUDENTS!A$2:A$309)&gt;0)*
  ((STUDENTS!R$2:R$309&lt;&gt;B25)+(STUDENTS!Q$2:Q$309&lt;&gt;A25)&gt;0))"),0.0)</f>
        <v>0</v>
      </c>
      <c r="E25" s="11">
        <f>SUMPRODUCT(
  (STUDENTS!Q$2:Q$309=A25)*
  (STUDENTS!R$2:R$309=B25)*
  (STUDENTS!E$2:E$309="Waiting for class"))</f>
        <v>0</v>
      </c>
      <c r="F25" s="11">
        <f>SUMPRODUCT(
  (STUDENTS!Q$2:Q$309=A25)*
  (STUDENTS!R$2:R$309=B25)*
  (STUDENTS!L$2:L$309="❌ Dropped"))</f>
        <v>1</v>
      </c>
      <c r="G25" s="11">
        <f>SUMPRODUCT(
  (STUDENTS!Q$2:Q$309=A25)*
  (STUDENTS!R$2:R$309=B25)*
  (STUDENTS!L$2:L$309="✅ Completed"))</f>
        <v>8</v>
      </c>
      <c r="J25" s="17"/>
    </row>
    <row r="26">
      <c r="A26" s="11" t="s">
        <v>61</v>
      </c>
      <c r="B26" s="11" t="s">
        <v>22</v>
      </c>
      <c r="C26" s="11">
        <f>SUMPRODUCT(
  (STUDENTS!Q$2:Q$309=A26)*
  (STUDENTS!R$2:R$309=B26)*
  (STUDENTS!E$2:E$309="Active"))</f>
        <v>0</v>
      </c>
      <c r="D26" s="11">
        <f>IFERROR(__xludf.DUMMYFUNCTION("SUMPRODUCT(
  (COUNTIF(FILTER(ATTENDANCE_LOG!C:C,(ATTENDANCE_LOG!A:A=A26)*(ATTENDANCE_LOG!B:B=B26)),STUDENTS!A$2:A$309)&gt;0)*
  ((STUDENTS!R$2:R$309&lt;&gt;B26)+(STUDENTS!Q$2:Q$309&lt;&gt;A26)&gt;0))"),3.0)</f>
        <v>3</v>
      </c>
      <c r="E26" s="11">
        <f>SUMPRODUCT(
  (STUDENTS!Q$2:Q$309=A26)*
  (STUDENTS!R$2:R$309=B26)*
  (STUDENTS!E$2:E$309="Waiting for class"))</f>
        <v>0</v>
      </c>
      <c r="F26" s="11">
        <f>SUMPRODUCT(
  (STUDENTS!Q$2:Q$309=A26)*
  (STUDENTS!R$2:R$309=B26)*
  (STUDENTS!L$2:L$309="❌ Dropped"))</f>
        <v>2</v>
      </c>
      <c r="G26" s="11">
        <f>SUMPRODUCT(
  (STUDENTS!Q$2:Q$309=A26)*
  (STUDENTS!R$2:R$309=B26)*
  (STUDENTS!L$2:L$309="✅ Completed"))</f>
        <v>0</v>
      </c>
      <c r="J26" s="17"/>
    </row>
    <row r="27">
      <c r="A27" s="11" t="s">
        <v>61</v>
      </c>
      <c r="B27" s="11" t="s">
        <v>23</v>
      </c>
      <c r="C27" s="11">
        <f>SUMPRODUCT(
  (STUDENTS!Q$2:Q$309=A27)*
  (STUDENTS!R$2:R$309=B27)*
  (STUDENTS!E$2:E$309="Active"))</f>
        <v>0</v>
      </c>
      <c r="D27" s="11">
        <f>IFERROR(__xludf.DUMMYFUNCTION("SUMPRODUCT(
  (COUNTIF(FILTER(ATTENDANCE_LOG!C:C,(ATTENDANCE_LOG!A:A=A27)*(ATTENDANCE_LOG!B:B=B27)),STUDENTS!A$2:A$309)&gt;0)*
  ((STUDENTS!R$2:R$309&lt;&gt;B27)+(STUDENTS!Q$2:Q$309&lt;&gt;A27)&gt;0))"),0.0)</f>
        <v>0</v>
      </c>
      <c r="E27" s="11">
        <f>SUMPRODUCT(
  (STUDENTS!Q$2:Q$309=A27)*
  (STUDENTS!R$2:R$309=B27)*
  (STUDENTS!E$2:E$309="Waiting for class"))</f>
        <v>0</v>
      </c>
      <c r="F27" s="11">
        <f>SUMPRODUCT(
  (STUDENTS!Q$2:Q$309=A27)*
  (STUDENTS!R$2:R$309=B27)*
  (STUDENTS!L$2:L$309="❌ Dropped"))</f>
        <v>8</v>
      </c>
      <c r="G27" s="11">
        <f>SUMPRODUCT(
  (STUDENTS!Q$2:Q$309=A27)*
  (STUDENTS!R$2:R$309=B27)*
  (STUDENTS!L$2:L$309="✅ Completed"))</f>
        <v>0</v>
      </c>
      <c r="J27" s="17"/>
    </row>
    <row r="28">
      <c r="A28" s="11" t="s">
        <v>62</v>
      </c>
      <c r="B28" s="11" t="s">
        <v>22</v>
      </c>
      <c r="C28" s="11">
        <f>SUMPRODUCT(
  (STUDENTS!Q$2:Q$309=A28)*
  (STUDENTS!R$2:R$309=B28)*
  (STUDENTS!E$2:E$309="Active"))</f>
        <v>0</v>
      </c>
      <c r="D28" s="11">
        <f>IFERROR(__xludf.DUMMYFUNCTION("SUMPRODUCT(
  (COUNTIF(FILTER(ATTENDANCE_LOG!C:C,(ATTENDANCE_LOG!A:A=A28)*(ATTENDANCE_LOG!B:B=B28)),STUDENTS!A$2:A$309)&gt;0)*
  ((STUDENTS!R$2:R$309&lt;&gt;B28)+(STUDENTS!Q$2:Q$309&lt;&gt;A28)&gt;0))"),5.0)</f>
        <v>5</v>
      </c>
      <c r="E28" s="11">
        <f>SUMPRODUCT(
  (STUDENTS!Q$2:Q$309=A28)*
  (STUDENTS!R$2:R$309=B28)*
  (STUDENTS!E$2:E$309="Waiting for class"))</f>
        <v>0</v>
      </c>
      <c r="F28" s="11">
        <f>SUMPRODUCT(
  (STUDENTS!Q$2:Q$309=A28)*
  (STUDENTS!R$2:R$309=B28)*
  (STUDENTS!L$2:L$309="❌ Dropped"))</f>
        <v>0</v>
      </c>
      <c r="G28" s="11">
        <f>SUMPRODUCT(
  (STUDENTS!Q$2:Q$309=A28)*
  (STUDENTS!R$2:R$309=B28)*
  (STUDENTS!L$2:L$309="✅ Completed"))</f>
        <v>0</v>
      </c>
      <c r="J28" s="17"/>
    </row>
    <row r="29">
      <c r="A29" s="11" t="s">
        <v>63</v>
      </c>
      <c r="B29" s="11" t="s">
        <v>22</v>
      </c>
      <c r="C29" s="11">
        <f>SUMPRODUCT(
  (STUDENTS!Q$2:Q$309=A29)*
  (STUDENTS!R$2:R$309=B29)*
  (STUDENTS!E$2:E$309="Active"))</f>
        <v>0</v>
      </c>
      <c r="D29" s="11">
        <f>IFERROR(__xludf.DUMMYFUNCTION("SUMPRODUCT(
  (COUNTIF(FILTER(ATTENDANCE_LOG!C:C,(ATTENDANCE_LOG!A:A=A29)*(ATTENDANCE_LOG!B:B=B29)),STUDENTS!A$2:A$309)&gt;0)*
  ((STUDENTS!R$2:R$309&lt;&gt;B29)+(STUDENTS!Q$2:Q$309&lt;&gt;A29)&gt;0))"),0.0)</f>
        <v>0</v>
      </c>
      <c r="E29" s="11">
        <f>SUMPRODUCT(
  (STUDENTS!Q$2:Q$309=A29)*
  (STUDENTS!R$2:R$309=B29)*
  (STUDENTS!E$2:E$309="Waiting for class"))</f>
        <v>0</v>
      </c>
      <c r="F29" s="11">
        <f>SUMPRODUCT(
  (STUDENTS!Q$2:Q$309=A29)*
  (STUDENTS!R$2:R$309=B29)*
  (STUDENTS!L$2:L$309="❌ Dropped"))</f>
        <v>2</v>
      </c>
      <c r="G29" s="11">
        <f>SUMPRODUCT(
  (STUDENTS!Q$2:Q$309=A29)*
  (STUDENTS!R$2:R$309=B29)*
  (STUDENTS!L$2:L$309="✅ Completed"))</f>
        <v>5</v>
      </c>
      <c r="J29" s="17"/>
    </row>
    <row r="30">
      <c r="A30" s="11" t="s">
        <v>64</v>
      </c>
      <c r="B30" s="11" t="s">
        <v>22</v>
      </c>
      <c r="C30" s="11">
        <f>SUMPRODUCT(
  (STUDENTS!Q$2:Q$309=A30)*
  (STUDENTS!R$2:R$309=B30)*
  (STUDENTS!E$2:E$309="Active"))</f>
        <v>0</v>
      </c>
      <c r="D30" s="11">
        <f>IFERROR(__xludf.DUMMYFUNCTION("SUMPRODUCT(
  (COUNTIF(FILTER(ATTENDANCE_LOG!C:C,(ATTENDANCE_LOG!A:A=A30)*(ATTENDANCE_LOG!B:B=B30)),STUDENTS!A$2:A$309)&gt;0)*
  ((STUDENTS!R$2:R$309&lt;&gt;B30)+(STUDENTS!Q$2:Q$309&lt;&gt;A30)&gt;0))"),6.0)</f>
        <v>6</v>
      </c>
      <c r="E30" s="11">
        <f>SUMPRODUCT(
  (STUDENTS!Q$2:Q$309=A30)*
  (STUDENTS!R$2:R$309=B30)*
  (STUDENTS!E$2:E$309="Waiting for class"))</f>
        <v>0</v>
      </c>
      <c r="F30" s="11">
        <f>SUMPRODUCT(
  (STUDENTS!Q$2:Q$309=A30)*
  (STUDENTS!R$2:R$309=B30)*
  (STUDENTS!L$2:L$309="❌ Dropped"))</f>
        <v>0</v>
      </c>
      <c r="G30" s="11">
        <f>SUMPRODUCT(
  (STUDENTS!Q$2:Q$309=A30)*
  (STUDENTS!R$2:R$309=B30)*
  (STUDENTS!L$2:L$309="✅ Completed"))</f>
        <v>0</v>
      </c>
      <c r="J30" s="17"/>
    </row>
    <row r="31">
      <c r="A31" s="11" t="s">
        <v>64</v>
      </c>
      <c r="B31" s="11" t="s">
        <v>23</v>
      </c>
      <c r="C31" s="11">
        <f>SUMPRODUCT(
  (STUDENTS!Q$2:Q$309=A31)*
  (STUDENTS!R$2:R$309=B31)*
  (STUDENTS!E$2:E$309="Active"))</f>
        <v>0</v>
      </c>
      <c r="D31" s="11">
        <f>IFERROR(__xludf.DUMMYFUNCTION("SUMPRODUCT(
  (COUNTIF(FILTER(ATTENDANCE_LOG!C:C,(ATTENDANCE_LOG!A:A=A31)*(ATTENDANCE_LOG!B:B=B31)),STUDENTS!A$2:A$309)&gt;0)*
  ((STUDENTS!R$2:R$309&lt;&gt;B31)+(STUDENTS!Q$2:Q$309&lt;&gt;A31)&gt;0))"),5.0)</f>
        <v>5</v>
      </c>
      <c r="E31" s="11">
        <f>SUMPRODUCT(
  (STUDENTS!Q$2:Q$309=A31)*
  (STUDENTS!R$2:R$309=B31)*
  (STUDENTS!E$2:E$309="Waiting for class"))</f>
        <v>0</v>
      </c>
      <c r="F31" s="11">
        <f>SUMPRODUCT(
  (STUDENTS!Q$2:Q$309=A31)*
  (STUDENTS!R$2:R$309=B31)*
  (STUDENTS!L$2:L$309="❌ Dropped"))</f>
        <v>1</v>
      </c>
      <c r="G31" s="11">
        <f>SUMPRODUCT(
  (STUDENTS!Q$2:Q$309=A31)*
  (STUDENTS!R$2:R$309=B31)*
  (STUDENTS!L$2:L$309="✅ Completed"))</f>
        <v>0</v>
      </c>
      <c r="J31" s="17"/>
    </row>
    <row r="32">
      <c r="A32" s="11" t="s">
        <v>64</v>
      </c>
      <c r="B32" s="11" t="s">
        <v>24</v>
      </c>
      <c r="C32" s="11">
        <f>SUMPRODUCT(
  (STUDENTS!Q$2:Q$309=A32)*
  (STUDENTS!R$2:R$309=B32)*
  (STUDENTS!E$2:E$309="Active"))</f>
        <v>6</v>
      </c>
      <c r="D32" s="11">
        <f>IFERROR(__xludf.DUMMYFUNCTION("SUMPRODUCT(
  (COUNTIF(FILTER(ATTENDANCE_LOG!C:C,(ATTENDANCE_LOG!A:A=A32)*(ATTENDANCE_LOG!B:B=B32)),STUDENTS!A$2:A$309)&gt;0)*
  ((STUDENTS!R$2:R$309&lt;&gt;B32)+(STUDENTS!Q$2:Q$309&lt;&gt;A32)&gt;0))"),0.0)</f>
        <v>0</v>
      </c>
      <c r="E32" s="11">
        <f>SUMPRODUCT(
  (STUDENTS!Q$2:Q$309=A32)*
  (STUDENTS!R$2:R$309=B32)*
  (STUDENTS!E$2:E$309="Waiting for class"))</f>
        <v>0</v>
      </c>
      <c r="F32" s="11">
        <f>SUMPRODUCT(
  (STUDENTS!Q$2:Q$309=A32)*
  (STUDENTS!R$2:R$309=B32)*
  (STUDENTS!L$2:L$309="❌ Dropped"))</f>
        <v>0</v>
      </c>
      <c r="G32" s="11">
        <f>SUMPRODUCT(
  (STUDENTS!Q$2:Q$309=A32)*
  (STUDENTS!R$2:R$309=B32)*
  (STUDENTS!L$2:L$309="✅ Completed"))</f>
        <v>0</v>
      </c>
      <c r="J32" s="17"/>
    </row>
    <row r="33">
      <c r="A33" s="11" t="s">
        <v>65</v>
      </c>
      <c r="B33" s="11" t="s">
        <v>22</v>
      </c>
      <c r="C33" s="11">
        <f>SUMPRODUCT(
  (STUDENTS!Q$2:Q$309=A33)*
  (STUDENTS!R$2:R$309=B33)*
  (STUDENTS!E$2:E$309="Active"))</f>
        <v>0</v>
      </c>
      <c r="D33" s="11">
        <f>IFERROR(__xludf.DUMMYFUNCTION("SUMPRODUCT(
  (COUNTIF(FILTER(ATTENDANCE_LOG!C:C,(ATTENDANCE_LOG!A:A=A33)*(ATTENDANCE_LOG!B:B=B33)),STUDENTS!A$2:A$309)&gt;0)*
  ((STUDENTS!R$2:R$309&lt;&gt;B33)+(STUDENTS!Q$2:Q$309&lt;&gt;A33)&gt;0))"),1.0)</f>
        <v>1</v>
      </c>
      <c r="E33" s="11">
        <f>SUMPRODUCT(
  (STUDENTS!Q$2:Q$309=A33)*
  (STUDENTS!R$2:R$309=B33)*
  (STUDENTS!E$2:E$309="Waiting for class"))</f>
        <v>0</v>
      </c>
      <c r="F33" s="11">
        <f>SUMPRODUCT(
  (STUDENTS!Q$2:Q$309=A33)*
  (STUDENTS!R$2:R$309=B33)*
  (STUDENTS!L$2:L$309="❌ Dropped"))</f>
        <v>0</v>
      </c>
      <c r="G33" s="11">
        <f>SUMPRODUCT(
  (STUDENTS!Q$2:Q$309=A33)*
  (STUDENTS!R$2:R$309=B33)*
  (STUDENTS!L$2:L$309="✅ Completed"))</f>
        <v>4</v>
      </c>
      <c r="J33" s="17"/>
    </row>
    <row r="34">
      <c r="A34" s="11" t="s">
        <v>66</v>
      </c>
      <c r="B34" s="11" t="s">
        <v>22</v>
      </c>
      <c r="C34" s="11">
        <f>SUMPRODUCT(
  (STUDENTS!Q$2:Q$309=A34)*
  (STUDENTS!R$2:R$309=B34)*
  (STUDENTS!E$2:E$309="Active"))</f>
        <v>0</v>
      </c>
      <c r="D34" s="11">
        <f>IFERROR(__xludf.DUMMYFUNCTION("SUMPRODUCT(
  (COUNTIF(FILTER(ATTENDANCE_LOG!C:C,(ATTENDANCE_LOG!A:A=A34)*(ATTENDANCE_LOG!B:B=B34)),STUDENTS!A$2:A$309)&gt;0)*
  ((STUDENTS!R$2:R$309&lt;&gt;B34)+(STUDENTS!Q$2:Q$309&lt;&gt;A34)&gt;0))"),5.0)</f>
        <v>5</v>
      </c>
      <c r="E34" s="11">
        <f>SUMPRODUCT(
  (STUDENTS!Q$2:Q$309=A34)*
  (STUDENTS!R$2:R$309=B34)*
  (STUDENTS!E$2:E$309="Waiting for class"))</f>
        <v>0</v>
      </c>
      <c r="F34" s="11">
        <f>SUMPRODUCT(
  (STUDENTS!Q$2:Q$309=A34)*
  (STUDENTS!R$2:R$309=B34)*
  (STUDENTS!L$2:L$309="❌ Dropped"))</f>
        <v>1</v>
      </c>
      <c r="G34" s="11">
        <f>SUMPRODUCT(
  (STUDENTS!Q$2:Q$309=A34)*
  (STUDENTS!R$2:R$309=B34)*
  (STUDENTS!L$2:L$309="✅ Completed"))</f>
        <v>0</v>
      </c>
      <c r="J34" s="17"/>
    </row>
    <row r="35">
      <c r="A35" s="11" t="s">
        <v>66</v>
      </c>
      <c r="B35" s="11" t="s">
        <v>23</v>
      </c>
      <c r="C35" s="11">
        <f>SUMPRODUCT(
  (STUDENTS!Q$2:Q$309=A35)*
  (STUDENTS!R$2:R$309=B35)*
  (STUDENTS!E$2:E$309="Active"))</f>
        <v>0</v>
      </c>
      <c r="D35" s="11">
        <f>IFERROR(__xludf.DUMMYFUNCTION("SUMPRODUCT(
  (COUNTIF(FILTER(ATTENDANCE_LOG!C:C,(ATTENDANCE_LOG!A:A=A35)*(ATTENDANCE_LOG!B:B=B35)),STUDENTS!A$2:A$309)&gt;0)*
  ((STUDENTS!R$2:R$309&lt;&gt;B35)+(STUDENTS!Q$2:Q$309&lt;&gt;A35)&gt;0))"),2.0)</f>
        <v>2</v>
      </c>
      <c r="E35" s="11">
        <f>SUMPRODUCT(
  (STUDENTS!Q$2:Q$309=A35)*
  (STUDENTS!R$2:R$309=B35)*
  (STUDENTS!E$2:E$309="Waiting for class"))</f>
        <v>0</v>
      </c>
      <c r="F35" s="11">
        <f>SUMPRODUCT(
  (STUDENTS!Q$2:Q$309=A35)*
  (STUDENTS!R$2:R$309=B35)*
  (STUDENTS!L$2:L$309="❌ Dropped"))</f>
        <v>2</v>
      </c>
      <c r="G35" s="11">
        <f>SUMPRODUCT(
  (STUDENTS!Q$2:Q$309=A35)*
  (STUDENTS!R$2:R$309=B35)*
  (STUDENTS!L$2:L$309="✅ Completed"))</f>
        <v>0</v>
      </c>
      <c r="J35" s="17"/>
    </row>
    <row r="36">
      <c r="A36" s="11" t="s">
        <v>99</v>
      </c>
      <c r="B36" s="11" t="s">
        <v>22</v>
      </c>
      <c r="C36" s="11">
        <f>SUMPRODUCT(
  (STUDENTS!Q$2:Q$309=A36)*
  (STUDENTS!R$2:R$309=B36)*
  (STUDENTS!E$2:E$309="Active"))</f>
        <v>0</v>
      </c>
      <c r="D36" s="11">
        <f>IFERROR(__xludf.DUMMYFUNCTION("SUMPRODUCT(
  (COUNTIF(FILTER(ATTENDANCE_LOG!C:C,(ATTENDANCE_LOG!A:A=A36)*(ATTENDANCE_LOG!B:B=B36)),STUDENTS!A$2:A$309)&gt;0)*
  ((STUDENTS!R$2:R$309&lt;&gt;B36)+(STUDENTS!Q$2:Q$309&lt;&gt;A36)&gt;0))"),0.0)</f>
        <v>0</v>
      </c>
      <c r="E36" s="11">
        <f>SUMPRODUCT(
  (STUDENTS!Q$2:Q$309=A36)*
  (STUDENTS!R$2:R$309=B36)*
  (STUDENTS!E$2:E$309="Waiting for class"))</f>
        <v>0</v>
      </c>
      <c r="F36" s="11">
        <f>SUMPRODUCT(
  (STUDENTS!Q$2:Q$309=A36)*
  (STUDENTS!R$2:R$309=B36)*
  (STUDENTS!L$2:L$309="❌ Dropped"))</f>
        <v>6</v>
      </c>
      <c r="G36" s="11">
        <f>SUMPRODUCT(
  (STUDENTS!Q$2:Q$309=A36)*
  (STUDENTS!R$2:R$309=B36)*
  (STUDENTS!L$2:L$309="✅ Completed"))</f>
        <v>0</v>
      </c>
      <c r="J36" s="17"/>
    </row>
    <row r="37">
      <c r="A37" s="11" t="s">
        <v>67</v>
      </c>
      <c r="B37" s="11" t="s">
        <v>22</v>
      </c>
      <c r="C37" s="11">
        <f>SUMPRODUCT(
  (STUDENTS!Q$2:Q$309=A37)*
  (STUDENTS!R$2:R$309=B37)*
  (STUDENTS!E$2:E$309="Active"))</f>
        <v>0</v>
      </c>
      <c r="D37" s="11">
        <f>IFERROR(__xludf.DUMMYFUNCTION("SUMPRODUCT(
  (COUNTIF(FILTER(ATTENDANCE_LOG!C:C,(ATTENDANCE_LOG!A:A=A37)*(ATTENDANCE_LOG!B:B=B37)),STUDENTS!A$2:A$309)&gt;0)*
  ((STUDENTS!R$2:R$309&lt;&gt;B37)+(STUDENTS!Q$2:Q$309&lt;&gt;A37)&gt;0))"),1.0)</f>
        <v>1</v>
      </c>
      <c r="E37" s="11">
        <f>SUMPRODUCT(
  (STUDENTS!Q$2:Q$309=A37)*
  (STUDENTS!R$2:R$309=B37)*
  (STUDENTS!E$2:E$309="Waiting for class"))</f>
        <v>0</v>
      </c>
      <c r="F37" s="11">
        <f>SUMPRODUCT(
  (STUDENTS!Q$2:Q$309=A37)*
  (STUDENTS!R$2:R$309=B37)*
  (STUDENTS!L$2:L$309="❌ Dropped"))</f>
        <v>1</v>
      </c>
      <c r="G37" s="11">
        <f>SUMPRODUCT(
  (STUDENTS!Q$2:Q$309=A37)*
  (STUDENTS!R$2:R$309=B37)*
  (STUDENTS!L$2:L$309="✅ Completed"))</f>
        <v>6</v>
      </c>
      <c r="J37" s="17"/>
    </row>
    <row r="38">
      <c r="A38" s="11" t="s">
        <v>68</v>
      </c>
      <c r="B38" s="11" t="s">
        <v>22</v>
      </c>
      <c r="C38" s="11">
        <f>SUMPRODUCT(
  (STUDENTS!Q$2:Q$309=A38)*
  (STUDENTS!R$2:R$309=B38)*
  (STUDENTS!E$2:E$309="Active"))</f>
        <v>0</v>
      </c>
      <c r="D38" s="11">
        <f>IFERROR(__xludf.DUMMYFUNCTION("SUMPRODUCT(
  (COUNTIF(FILTER(ATTENDANCE_LOG!C:C,(ATTENDANCE_LOG!A:A=A38)*(ATTENDANCE_LOG!B:B=B38)),STUDENTS!A$2:A$309)&gt;0)*
  ((STUDENTS!R$2:R$309&lt;&gt;B38)+(STUDENTS!Q$2:Q$309&lt;&gt;A38)&gt;0))"),3.0)</f>
        <v>3</v>
      </c>
      <c r="E38" s="11">
        <f>SUMPRODUCT(
  (STUDENTS!Q$2:Q$309=A38)*
  (STUDENTS!R$2:R$309=B38)*
  (STUDENTS!E$2:E$309="Waiting for class"))</f>
        <v>0</v>
      </c>
      <c r="F38" s="11">
        <f>SUMPRODUCT(
  (STUDENTS!Q$2:Q$309=A38)*
  (STUDENTS!R$2:R$309=B38)*
  (STUDENTS!L$2:L$309="❌ Dropped"))</f>
        <v>0</v>
      </c>
      <c r="G38" s="11">
        <f>SUMPRODUCT(
  (STUDENTS!Q$2:Q$309=A38)*
  (STUDENTS!R$2:R$309=B38)*
  (STUDENTS!L$2:L$309="✅ Completed"))</f>
        <v>1</v>
      </c>
      <c r="J38" s="17"/>
    </row>
    <row r="39">
      <c r="A39" s="11" t="s">
        <v>68</v>
      </c>
      <c r="B39" s="11" t="s">
        <v>23</v>
      </c>
      <c r="C39" s="11">
        <f>SUMPRODUCT(
  (STUDENTS!Q$2:Q$309=A39)*
  (STUDENTS!R$2:R$309=B39)*
  (STUDENTS!E$2:E$309="Active"))</f>
        <v>0</v>
      </c>
      <c r="D39" s="11">
        <f>IFERROR(__xludf.DUMMYFUNCTION("SUMPRODUCT(
  (COUNTIF(FILTER(ATTENDANCE_LOG!C:C,(ATTENDANCE_LOG!A:A=A39)*(ATTENDANCE_LOG!B:B=B39)),STUDENTS!A$2:A$309)&gt;0)*
  ((STUDENTS!R$2:R$309&lt;&gt;B39)+(STUDENTS!Q$2:Q$309&lt;&gt;A39)&gt;0))"),0.0)</f>
        <v>0</v>
      </c>
      <c r="E39" s="11">
        <f>SUMPRODUCT(
  (STUDENTS!Q$2:Q$309=A39)*
  (STUDENTS!R$2:R$309=B39)*
  (STUDENTS!E$2:E$309="Waiting for class"))</f>
        <v>0</v>
      </c>
      <c r="F39" s="11">
        <f>SUMPRODUCT(
  (STUDENTS!Q$2:Q$309=A39)*
  (STUDENTS!R$2:R$309=B39)*
  (STUDENTS!L$2:L$309="❌ Dropped"))</f>
        <v>0</v>
      </c>
      <c r="G39" s="11">
        <f>SUMPRODUCT(
  (STUDENTS!Q$2:Q$309=A39)*
  (STUDENTS!R$2:R$309=B39)*
  (STUDENTS!L$2:L$309="✅ Completed"))</f>
        <v>6</v>
      </c>
      <c r="J39" s="17"/>
    </row>
    <row r="40">
      <c r="A40" s="11" t="s">
        <v>69</v>
      </c>
      <c r="B40" s="11" t="s">
        <v>22</v>
      </c>
      <c r="C40" s="11">
        <f>SUMPRODUCT(
  (STUDENTS!Q$2:Q$309=A40)*
  (STUDENTS!R$2:R$309=B40)*
  (STUDENTS!E$2:E$309="Active"))</f>
        <v>0</v>
      </c>
      <c r="D40" s="11">
        <f>IFERROR(__xludf.DUMMYFUNCTION("SUMPRODUCT(
  (COUNTIF(FILTER(ATTENDANCE_LOG!C:C,(ATTENDANCE_LOG!A:A=A40)*(ATTENDANCE_LOG!B:B=B40)),STUDENTS!A$2:A$309)&gt;0)*
  ((STUDENTS!R$2:R$309&lt;&gt;B40)+(STUDENTS!Q$2:Q$309&lt;&gt;A40)&gt;0))"),3.0)</f>
        <v>3</v>
      </c>
      <c r="E40" s="11">
        <f>SUMPRODUCT(
  (STUDENTS!Q$2:Q$309=A40)*
  (STUDENTS!R$2:R$309=B40)*
  (STUDENTS!E$2:E$309="Waiting for class"))</f>
        <v>2</v>
      </c>
      <c r="F40" s="11">
        <f>SUMPRODUCT(
  (STUDENTS!Q$2:Q$309=A40)*
  (STUDENTS!R$2:R$309=B40)*
  (STUDENTS!L$2:L$309="❌ Dropped"))</f>
        <v>1</v>
      </c>
      <c r="G40" s="11">
        <f>SUMPRODUCT(
  (STUDENTS!Q$2:Q$309=A40)*
  (STUDENTS!R$2:R$309=B40)*
  (STUDENTS!L$2:L$309="✅ Completed"))</f>
        <v>0</v>
      </c>
      <c r="J40" s="17"/>
    </row>
    <row r="41">
      <c r="A41" s="11" t="s">
        <v>70</v>
      </c>
      <c r="B41" s="11" t="s">
        <v>22</v>
      </c>
      <c r="C41" s="11">
        <f>SUMPRODUCT(
  (STUDENTS!Q$2:Q$309=A41)*
  (STUDENTS!R$2:R$309=B41)*
  (STUDENTS!E$2:E$309="Active"))</f>
        <v>0</v>
      </c>
      <c r="D41" s="11">
        <f>IFERROR(__xludf.DUMMYFUNCTION("SUMPRODUCT(
  (COUNTIF(FILTER(ATTENDANCE_LOG!C:C,(ATTENDANCE_LOG!A:A=A41)*(ATTENDANCE_LOG!B:B=B41)),STUDENTS!A$2:A$309)&gt;0)*
  ((STUDENTS!R$2:R$309&lt;&gt;B41)+(STUDENTS!Q$2:Q$309&lt;&gt;A41)&gt;0))"),5.0)</f>
        <v>5</v>
      </c>
      <c r="E41" s="11">
        <f>SUMPRODUCT(
  (STUDENTS!Q$2:Q$309=A41)*
  (STUDENTS!R$2:R$309=B41)*
  (STUDENTS!E$2:E$309="Waiting for class"))</f>
        <v>1</v>
      </c>
      <c r="F41" s="11">
        <f>SUMPRODUCT(
  (STUDENTS!Q$2:Q$309=A41)*
  (STUDENTS!R$2:R$309=B41)*
  (STUDENTS!L$2:L$309="❌ Dropped"))</f>
        <v>1</v>
      </c>
      <c r="G41" s="11">
        <f>SUMPRODUCT(
  (STUDENTS!Q$2:Q$309=A41)*
  (STUDENTS!R$2:R$309=B41)*
  (STUDENTS!L$2:L$309="✅ Completed"))</f>
        <v>1</v>
      </c>
      <c r="J41" s="17"/>
    </row>
    <row r="42">
      <c r="A42" s="11" t="s">
        <v>70</v>
      </c>
      <c r="B42" s="11" t="s">
        <v>23</v>
      </c>
      <c r="C42" s="11">
        <f>SUMPRODUCT(
  (STUDENTS!Q$2:Q$309=A42)*
  (STUDENTS!R$2:R$309=B42)*
  (STUDENTS!E$2:E$309="Active"))</f>
        <v>0</v>
      </c>
      <c r="D42" s="11">
        <f>IFERROR(__xludf.DUMMYFUNCTION("SUMPRODUCT(
  (COUNTIF(FILTER(ATTENDANCE_LOG!C:C,(ATTENDANCE_LOG!A:A=A42)*(ATTENDANCE_LOG!B:B=B42)),STUDENTS!A$2:A$309)&gt;0)*
  ((STUDENTS!R$2:R$309&lt;&gt;B42)+(STUDENTS!Q$2:Q$309&lt;&gt;A42)&gt;0))"),4.0)</f>
        <v>4</v>
      </c>
      <c r="E42" s="11">
        <f>SUMPRODUCT(
  (STUDENTS!Q$2:Q$309=A42)*
  (STUDENTS!R$2:R$309=B42)*
  (STUDENTS!E$2:E$309="Waiting for class"))</f>
        <v>0</v>
      </c>
      <c r="F42" s="11">
        <f>SUMPRODUCT(
  (STUDENTS!Q$2:Q$309=A42)*
  (STUDENTS!R$2:R$309=B42)*
  (STUDENTS!L$2:L$309="❌ Dropped"))</f>
        <v>1</v>
      </c>
      <c r="G42" s="11">
        <f>SUMPRODUCT(
  (STUDENTS!Q$2:Q$309=A42)*
  (STUDENTS!R$2:R$309=B42)*
  (STUDENTS!L$2:L$309="✅ Completed"))</f>
        <v>0</v>
      </c>
      <c r="J42" s="17"/>
    </row>
    <row r="43">
      <c r="A43" s="11" t="s">
        <v>71</v>
      </c>
      <c r="B43" s="11" t="s">
        <v>25</v>
      </c>
      <c r="C43" s="11">
        <f>SUMPRODUCT(
  (STUDENTS!Q$2:Q$309=A43)*
  (STUDENTS!R$2:R$309=B43)*
  (STUDENTS!E$2:E$309="Active"))</f>
        <v>0</v>
      </c>
      <c r="D43" s="11">
        <f>IFERROR(__xludf.DUMMYFUNCTION("SUMPRODUCT(
  (COUNTIF(FILTER(ATTENDANCE_LOG!C:C,(ATTENDANCE_LOG!A:A=A43)*(ATTENDANCE_LOG!B:B=B43)),STUDENTS!A$2:A$309)&gt;0)*
  ((STUDENTS!R$2:R$309&lt;&gt;B43)+(STUDENTS!Q$2:Q$309&lt;&gt;A43)&gt;0))"),0.0)</f>
        <v>0</v>
      </c>
      <c r="E43" s="11">
        <f>SUMPRODUCT(
  (STUDENTS!Q$2:Q$309=A43)*
  (STUDENTS!R$2:R$309=B43)*
  (STUDENTS!E$2:E$309="Waiting for class"))</f>
        <v>0</v>
      </c>
      <c r="F43" s="11">
        <f>SUMPRODUCT(
  (STUDENTS!Q$2:Q$309=A43)*
  (STUDENTS!R$2:R$309=B43)*
  (STUDENTS!L$2:L$309="❌ Dropped"))</f>
        <v>0</v>
      </c>
      <c r="G43" s="11">
        <f>SUMPRODUCT(
  (STUDENTS!Q$2:Q$309=A43)*
  (STUDENTS!R$2:R$309=B43)*
  (STUDENTS!L$2:L$309="✅ Completed"))</f>
        <v>7</v>
      </c>
      <c r="J43" s="17"/>
    </row>
    <row r="44">
      <c r="A44" s="11" t="s">
        <v>72</v>
      </c>
      <c r="B44" s="11" t="s">
        <v>22</v>
      </c>
      <c r="C44" s="11">
        <f>SUMPRODUCT(
  (STUDENTS!Q$2:Q$309=A44)*
  (STUDENTS!R$2:R$309=B44)*
  (STUDENTS!E$2:E$309="Active"))</f>
        <v>0</v>
      </c>
      <c r="D44" s="11">
        <f>IFERROR(__xludf.DUMMYFUNCTION("SUMPRODUCT(
  (COUNTIF(FILTER(ATTENDANCE_LOG!C:C,(ATTENDANCE_LOG!A:A=A44)*(ATTENDANCE_LOG!B:B=B44)),STUDENTS!A$2:A$309)&gt;0)*
  ((STUDENTS!R$2:R$309&lt;&gt;B44)+(STUDENTS!Q$2:Q$309&lt;&gt;A44)&gt;0))"),8.0)</f>
        <v>8</v>
      </c>
      <c r="E44" s="11">
        <f>SUMPRODUCT(
  (STUDENTS!Q$2:Q$309=A44)*
  (STUDENTS!R$2:R$309=B44)*
  (STUDENTS!E$2:E$309="Waiting for class"))</f>
        <v>0</v>
      </c>
      <c r="F44" s="11">
        <f>SUMPRODUCT(
  (STUDENTS!Q$2:Q$309=A44)*
  (STUDENTS!R$2:R$309=B44)*
  (STUDENTS!L$2:L$309="❌ Dropped"))</f>
        <v>0</v>
      </c>
      <c r="G44" s="11">
        <f>SUMPRODUCT(
  (STUDENTS!Q$2:Q$309=A44)*
  (STUDENTS!R$2:R$309=B44)*
  (STUDENTS!L$2:L$309="✅ Completed"))</f>
        <v>0</v>
      </c>
      <c r="J44" s="17"/>
    </row>
    <row r="45">
      <c r="A45" s="11" t="s">
        <v>72</v>
      </c>
      <c r="B45" s="11" t="s">
        <v>23</v>
      </c>
      <c r="C45" s="11">
        <f>SUMPRODUCT(
  (STUDENTS!Q$2:Q$309=A45)*
  (STUDENTS!R$2:R$309=B45)*
  (STUDENTS!E$2:E$309="Active"))</f>
        <v>0</v>
      </c>
      <c r="D45" s="11">
        <f>IFERROR(__xludf.DUMMYFUNCTION("SUMPRODUCT(
  (COUNTIF(FILTER(ATTENDANCE_LOG!C:C,(ATTENDANCE_LOG!A:A=A45)*(ATTENDANCE_LOG!B:B=B45)),STUDENTS!A$2:A$309)&gt;0)*
  ((STUDENTS!R$2:R$309&lt;&gt;B45)+(STUDENTS!Q$2:Q$309&lt;&gt;A45)&gt;0))"),5.0)</f>
        <v>5</v>
      </c>
      <c r="E45" s="11">
        <f>SUMPRODUCT(
  (STUDENTS!Q$2:Q$309=A45)*
  (STUDENTS!R$2:R$309=B45)*
  (STUDENTS!E$2:E$309="Waiting for class"))</f>
        <v>0</v>
      </c>
      <c r="F45" s="11">
        <f>SUMPRODUCT(
  (STUDENTS!Q$2:Q$309=A45)*
  (STUDENTS!R$2:R$309=B45)*
  (STUDENTS!L$2:L$309="❌ Dropped"))</f>
        <v>2</v>
      </c>
      <c r="G45" s="11">
        <f>SUMPRODUCT(
  (STUDENTS!Q$2:Q$309=A45)*
  (STUDENTS!R$2:R$309=B45)*
  (STUDENTS!L$2:L$309="✅ Completed"))</f>
        <v>1</v>
      </c>
      <c r="J45" s="17"/>
    </row>
    <row r="46">
      <c r="A46" s="11" t="s">
        <v>72</v>
      </c>
      <c r="B46" s="11" t="s">
        <v>24</v>
      </c>
      <c r="C46" s="11">
        <f>SUMPRODUCT(
  (STUDENTS!Q$2:Q$309=A46)*
  (STUDENTS!R$2:R$309=B46)*
  (STUDENTS!E$2:E$309="Active"))</f>
        <v>3</v>
      </c>
      <c r="D46" s="11">
        <f>IFERROR(__xludf.DUMMYFUNCTION("SUMPRODUCT(
  (COUNTIF(FILTER(ATTENDANCE_LOG!C:C,(ATTENDANCE_LOG!A:A=A46)*(ATTENDANCE_LOG!B:B=B46)),STUDENTS!A$2:A$309)&gt;0)*
  ((STUDENTS!R$2:R$309&lt;&gt;B46)+(STUDENTS!Q$2:Q$309&lt;&gt;A46)&gt;0))"),0.0)</f>
        <v>0</v>
      </c>
      <c r="E46" s="11">
        <f>SUMPRODUCT(
  (STUDENTS!Q$2:Q$309=A46)*
  (STUDENTS!R$2:R$309=B46)*
  (STUDENTS!E$2:E$309="Waiting for class"))</f>
        <v>0</v>
      </c>
      <c r="F46" s="11">
        <f>SUMPRODUCT(
  (STUDENTS!Q$2:Q$309=A46)*
  (STUDENTS!R$2:R$309=B46)*
  (STUDENTS!L$2:L$309="❌ Dropped"))</f>
        <v>5</v>
      </c>
      <c r="G46" s="11">
        <f>SUMPRODUCT(
  (STUDENTS!Q$2:Q$309=A46)*
  (STUDENTS!R$2:R$309=B46)*
  (STUDENTS!L$2:L$309="✅ Completed"))</f>
        <v>0</v>
      </c>
      <c r="J46" s="17"/>
    </row>
    <row r="47">
      <c r="A47" s="11" t="s">
        <v>73</v>
      </c>
      <c r="B47" s="11" t="s">
        <v>22</v>
      </c>
      <c r="C47" s="11">
        <f>SUMPRODUCT(
  (STUDENTS!Q$2:Q$309=A47)*
  (STUDENTS!R$2:R$309=B47)*
  (STUDENTS!E$2:E$309="Active"))</f>
        <v>0</v>
      </c>
      <c r="D47" s="11">
        <f>IFERROR(__xludf.DUMMYFUNCTION("SUMPRODUCT(
  (COUNTIF(FILTER(ATTENDANCE_LOG!C:C,(ATTENDANCE_LOG!A:A=A47)*(ATTENDANCE_LOG!B:B=B47)),STUDENTS!A$2:A$309)&gt;0)*
  ((STUDENTS!R$2:R$309&lt;&gt;B47)+(STUDENTS!Q$2:Q$309&lt;&gt;A47)&gt;0))"),5.0)</f>
        <v>5</v>
      </c>
      <c r="E47" s="11">
        <f>SUMPRODUCT(
  (STUDENTS!Q$2:Q$309=A47)*
  (STUDENTS!R$2:R$309=B47)*
  (STUDENTS!E$2:E$309="Waiting for class"))</f>
        <v>0</v>
      </c>
      <c r="F47" s="11">
        <f>SUMPRODUCT(
  (STUDENTS!Q$2:Q$309=A47)*
  (STUDENTS!R$2:R$309=B47)*
  (STUDENTS!L$2:L$309="❌ Dropped"))</f>
        <v>0</v>
      </c>
      <c r="G47" s="11">
        <f>SUMPRODUCT(
  (STUDENTS!Q$2:Q$309=A47)*
  (STUDENTS!R$2:R$309=B47)*
  (STUDENTS!L$2:L$309="✅ Completed"))</f>
        <v>0</v>
      </c>
      <c r="J47" s="17"/>
    </row>
    <row r="48">
      <c r="A48" s="11" t="s">
        <v>74</v>
      </c>
      <c r="B48" s="11" t="s">
        <v>22</v>
      </c>
      <c r="C48" s="11">
        <f>SUMPRODUCT(
  (STUDENTS!Q$2:Q$309=A48)*
  (STUDENTS!R$2:R$309=B48)*
  (STUDENTS!E$2:E$309="Active"))</f>
        <v>0</v>
      </c>
      <c r="D48" s="11">
        <f>IFERROR(__xludf.DUMMYFUNCTION("SUMPRODUCT(
  (COUNTIF(FILTER(ATTENDANCE_LOG!C:C,(ATTENDANCE_LOG!A:A=A48)*(ATTENDANCE_LOG!B:B=B48)),STUDENTS!A$2:A$309)&gt;0)*
  ((STUDENTS!R$2:R$309&lt;&gt;B48)+(STUDENTS!Q$2:Q$309&lt;&gt;A48)&gt;0))"),7.0)</f>
        <v>7</v>
      </c>
      <c r="E48" s="11">
        <f>SUMPRODUCT(
  (STUDENTS!Q$2:Q$309=A48)*
  (STUDENTS!R$2:R$309=B48)*
  (STUDENTS!E$2:E$309="Waiting for class"))</f>
        <v>0</v>
      </c>
      <c r="F48" s="11">
        <f>SUMPRODUCT(
  (STUDENTS!Q$2:Q$309=A48)*
  (STUDENTS!R$2:R$309=B48)*
  (STUDENTS!L$2:L$309="❌ Dropped"))</f>
        <v>0</v>
      </c>
      <c r="G48" s="11">
        <f>SUMPRODUCT(
  (STUDENTS!Q$2:Q$309=A48)*
  (STUDENTS!R$2:R$309=B48)*
  (STUDENTS!L$2:L$309="✅ Completed"))</f>
        <v>0</v>
      </c>
      <c r="J48" s="17"/>
    </row>
    <row r="49">
      <c r="A49" s="11" t="s">
        <v>74</v>
      </c>
      <c r="B49" s="11" t="s">
        <v>23</v>
      </c>
      <c r="C49" s="11">
        <f>SUMPRODUCT(
  (STUDENTS!Q$2:Q$309=A49)*
  (STUDENTS!R$2:R$309=B49)*
  (STUDENTS!E$2:E$309="Active"))</f>
        <v>6</v>
      </c>
      <c r="D49" s="11">
        <f>IFERROR(__xludf.DUMMYFUNCTION("SUMPRODUCT(
  (COUNTIF(FILTER(ATTENDANCE_LOG!C:C,(ATTENDANCE_LOG!A:A=A49)*(ATTENDANCE_LOG!B:B=B49)),STUDENTS!A$2:A$309)&gt;0)*
  ((STUDENTS!R$2:R$309&lt;&gt;B49)+(STUDENTS!Q$2:Q$309&lt;&gt;A49)&gt;0))"),0.0)</f>
        <v>0</v>
      </c>
      <c r="E49" s="11">
        <f>SUMPRODUCT(
  (STUDENTS!Q$2:Q$309=A49)*
  (STUDENTS!R$2:R$309=B49)*
  (STUDENTS!E$2:E$309="Waiting for class"))</f>
        <v>0</v>
      </c>
      <c r="F49" s="11">
        <f>SUMPRODUCT(
  (STUDENTS!Q$2:Q$309=A49)*
  (STUDENTS!R$2:R$309=B49)*
  (STUDENTS!L$2:L$309="❌ Dropped"))</f>
        <v>1</v>
      </c>
      <c r="G49" s="11">
        <f>SUMPRODUCT(
  (STUDENTS!Q$2:Q$309=A49)*
  (STUDENTS!R$2:R$309=B49)*
  (STUDENTS!L$2:L$309="✅ Completed"))</f>
        <v>0</v>
      </c>
      <c r="J49" s="17"/>
    </row>
    <row r="50">
      <c r="A50" s="11" t="s">
        <v>74</v>
      </c>
      <c r="B50" s="11" t="s">
        <v>26</v>
      </c>
      <c r="C50" s="11">
        <f>SUMPRODUCT(
  (STUDENTS!Q$2:Q$309=A50)*
  (STUDENTS!R$2:R$309=B50)*
  (STUDENTS!E$2:E$309="Active"))</f>
        <v>0</v>
      </c>
      <c r="D50" s="11">
        <f>IFERROR(__xludf.DUMMYFUNCTION("SUMPRODUCT(
  (COUNTIF(FILTER(ATTENDANCE_LOG!C:C,(ATTENDANCE_LOG!A:A=A50)*(ATTENDANCE_LOG!B:B=B50)),STUDENTS!A$2:A$309)&gt;0)*
  ((STUDENTS!R$2:R$309&lt;&gt;B50)+(STUDENTS!Q$2:Q$309&lt;&gt;A50)&gt;0))"),6.0)</f>
        <v>6</v>
      </c>
      <c r="E50" s="11">
        <f>SUMPRODUCT(
  (STUDENTS!Q$2:Q$309=A50)*
  (STUDENTS!R$2:R$309=B50)*
  (STUDENTS!E$2:E$309="Waiting for class"))</f>
        <v>0</v>
      </c>
      <c r="F50" s="11">
        <f>SUMPRODUCT(
  (STUDENTS!Q$2:Q$309=A50)*
  (STUDENTS!R$2:R$309=B50)*
  (STUDENTS!L$2:L$309="❌ Dropped"))</f>
        <v>0</v>
      </c>
      <c r="G50" s="11">
        <f>SUMPRODUCT(
  (STUDENTS!Q$2:Q$309=A50)*
  (STUDENTS!R$2:R$309=B50)*
  (STUDENTS!L$2:L$309="✅ Completed"))</f>
        <v>0</v>
      </c>
      <c r="J50" s="17"/>
    </row>
    <row r="51">
      <c r="A51" s="11" t="s">
        <v>75</v>
      </c>
      <c r="B51" s="11" t="s">
        <v>22</v>
      </c>
      <c r="C51" s="11">
        <f>SUMPRODUCT(
  (STUDENTS!Q$2:Q$309=A51)*
  (STUDENTS!R$2:R$309=B51)*
  (STUDENTS!E$2:E$309="Active"))</f>
        <v>0</v>
      </c>
      <c r="D51" s="11">
        <f>IFERROR(__xludf.DUMMYFUNCTION("SUMPRODUCT(
  (COUNTIF(FILTER(ATTENDANCE_LOG!C:C,(ATTENDANCE_LOG!A:A=A51)*(ATTENDANCE_LOG!B:B=B51)),STUDENTS!A$2:A$309)&gt;0)*
  ((STUDENTS!R$2:R$309&lt;&gt;B51)+(STUDENTS!Q$2:Q$309&lt;&gt;A51)&gt;0))"),5.0)</f>
        <v>5</v>
      </c>
      <c r="E51" s="11">
        <f>SUMPRODUCT(
  (STUDENTS!Q$2:Q$309=A51)*
  (STUDENTS!R$2:R$309=B51)*
  (STUDENTS!E$2:E$309="Waiting for class"))</f>
        <v>0</v>
      </c>
      <c r="F51" s="11">
        <f>SUMPRODUCT(
  (STUDENTS!Q$2:Q$309=A51)*
  (STUDENTS!R$2:R$309=B51)*
  (STUDENTS!L$2:L$309="❌ Dropped"))</f>
        <v>1</v>
      </c>
      <c r="G51" s="11">
        <f>SUMPRODUCT(
  (STUDENTS!Q$2:Q$309=A51)*
  (STUDENTS!R$2:R$309=B51)*
  (STUDENTS!L$2:L$309="✅ Completed"))</f>
        <v>0</v>
      </c>
      <c r="J51" s="17"/>
    </row>
    <row r="52">
      <c r="A52" s="11" t="s">
        <v>75</v>
      </c>
      <c r="B52" s="11" t="s">
        <v>23</v>
      </c>
      <c r="C52" s="11">
        <f>SUMPRODUCT(
  (STUDENTS!Q$2:Q$309=A52)*
  (STUDENTS!R$2:R$309=B52)*
  (STUDENTS!E$2:E$309="Active"))</f>
        <v>0</v>
      </c>
      <c r="D52" s="11">
        <f>IFERROR(__xludf.DUMMYFUNCTION("SUMPRODUCT(
  (COUNTIF(FILTER(ATTENDANCE_LOG!C:C,(ATTENDANCE_LOG!A:A=A52)*(ATTENDANCE_LOG!B:B=B52)),STUDENTS!A$2:A$309)&gt;0)*
  ((STUDENTS!R$2:R$309&lt;&gt;B52)+(STUDENTS!Q$2:Q$309&lt;&gt;A52)&gt;0))"),0.0)</f>
        <v>0</v>
      </c>
      <c r="E52" s="11">
        <f>SUMPRODUCT(
  (STUDENTS!Q$2:Q$309=A52)*
  (STUDENTS!R$2:R$309=B52)*
  (STUDENTS!E$2:E$309="Waiting for class"))</f>
        <v>4</v>
      </c>
      <c r="F52" s="11">
        <f>SUMPRODUCT(
  (STUDENTS!Q$2:Q$309=A52)*
  (STUDENTS!R$2:R$309=B52)*
  (STUDENTS!L$2:L$309="❌ Dropped"))</f>
        <v>0</v>
      </c>
      <c r="G52" s="11">
        <f>SUMPRODUCT(
  (STUDENTS!Q$2:Q$309=A52)*
  (STUDENTS!R$2:R$309=B52)*
  (STUDENTS!L$2:L$309="✅ Completed"))</f>
        <v>1</v>
      </c>
      <c r="J52" s="17"/>
    </row>
    <row r="53">
      <c r="A53" s="11" t="s">
        <v>76</v>
      </c>
      <c r="B53" s="11" t="s">
        <v>22</v>
      </c>
      <c r="C53" s="11">
        <f>SUMPRODUCT(
  (STUDENTS!Q$2:Q$309=A53)*
  (STUDENTS!R$2:R$309=B53)*
  (STUDENTS!E$2:E$309="Active"))</f>
        <v>0</v>
      </c>
      <c r="D53" s="11">
        <f>IFERROR(__xludf.DUMMYFUNCTION("SUMPRODUCT(
  (COUNTIF(FILTER(ATTENDANCE_LOG!C:C,(ATTENDANCE_LOG!A:A=A53)*(ATTENDANCE_LOG!B:B=B53)),STUDENTS!A$2:A$309)&gt;0)*
  ((STUDENTS!R$2:R$309&lt;&gt;B53)+(STUDENTS!Q$2:Q$309&lt;&gt;A53)&gt;0))"),7.0)</f>
        <v>7</v>
      </c>
      <c r="E53" s="11">
        <f>SUMPRODUCT(
  (STUDENTS!Q$2:Q$309=A53)*
  (STUDENTS!R$2:R$309=B53)*
  (STUDENTS!E$2:E$309="Waiting for class"))</f>
        <v>0</v>
      </c>
      <c r="F53" s="11">
        <f>SUMPRODUCT(
  (STUDENTS!Q$2:Q$309=A53)*
  (STUDENTS!R$2:R$309=B53)*
  (STUDENTS!L$2:L$309="❌ Dropped"))</f>
        <v>1</v>
      </c>
      <c r="G53" s="11">
        <f>SUMPRODUCT(
  (STUDENTS!Q$2:Q$309=A53)*
  (STUDENTS!R$2:R$309=B53)*
  (STUDENTS!L$2:L$309="✅ Completed"))</f>
        <v>0</v>
      </c>
      <c r="J53" s="17"/>
    </row>
    <row r="54">
      <c r="A54" s="11" t="s">
        <v>76</v>
      </c>
      <c r="B54" s="11" t="s">
        <v>23</v>
      </c>
      <c r="C54" s="11">
        <f>SUMPRODUCT(
  (STUDENTS!Q$2:Q$309=A54)*
  (STUDENTS!R$2:R$309=B54)*
  (STUDENTS!E$2:E$309="Active"))</f>
        <v>0</v>
      </c>
      <c r="D54" s="11">
        <f>IFERROR(__xludf.DUMMYFUNCTION("SUMPRODUCT(
  (COUNTIF(FILTER(ATTENDANCE_LOG!C:C,(ATTENDANCE_LOG!A:A=A54)*(ATTENDANCE_LOG!B:B=B54)),STUDENTS!A$2:A$309)&gt;0)*
  ((STUDENTS!R$2:R$309&lt;&gt;B54)+(STUDENTS!Q$2:Q$309&lt;&gt;A54)&gt;0))"),0.0)</f>
        <v>0</v>
      </c>
      <c r="E54" s="11">
        <f>SUMPRODUCT(
  (STUDENTS!Q$2:Q$309=A54)*
  (STUDENTS!R$2:R$309=B54)*
  (STUDENTS!E$2:E$309="Waiting for class"))</f>
        <v>0</v>
      </c>
      <c r="F54" s="11">
        <f>SUMPRODUCT(
  (STUDENTS!Q$2:Q$309=A54)*
  (STUDENTS!R$2:R$309=B54)*
  (STUDENTS!L$2:L$309="❌ Dropped"))</f>
        <v>6</v>
      </c>
      <c r="G54" s="11">
        <f>SUMPRODUCT(
  (STUDENTS!Q$2:Q$309=A54)*
  (STUDENTS!R$2:R$309=B54)*
  (STUDENTS!L$2:L$309="✅ Completed"))</f>
        <v>1</v>
      </c>
      <c r="J54" s="17"/>
    </row>
    <row r="55">
      <c r="A55" s="11" t="s">
        <v>77</v>
      </c>
      <c r="B55" s="11" t="s">
        <v>22</v>
      </c>
      <c r="C55" s="11">
        <f>SUMPRODUCT(
  (STUDENTS!Q$2:Q$309=A55)*
  (STUDENTS!R$2:R$309=B55)*
  (STUDENTS!E$2:E$309="Active"))</f>
        <v>0</v>
      </c>
      <c r="D55" s="11">
        <f>IFERROR(__xludf.DUMMYFUNCTION("SUMPRODUCT(
  (COUNTIF(FILTER(ATTENDANCE_LOG!C:C,(ATTENDANCE_LOG!A:A=A55)*(ATTENDANCE_LOG!B:B=B55)),STUDENTS!A$2:A$309)&gt;0)*
  ((STUDENTS!R$2:R$309&lt;&gt;B55)+(STUDENTS!Q$2:Q$309&lt;&gt;A55)&gt;0))"),9.0)</f>
        <v>9</v>
      </c>
      <c r="E55" s="11">
        <f>SUMPRODUCT(
  (STUDENTS!Q$2:Q$309=A55)*
  (STUDENTS!R$2:R$309=B55)*
  (STUDENTS!E$2:E$309="Waiting for class"))</f>
        <v>0</v>
      </c>
      <c r="F55" s="11">
        <f>SUMPRODUCT(
  (STUDENTS!Q$2:Q$309=A55)*
  (STUDENTS!R$2:R$309=B55)*
  (STUDENTS!L$2:L$309="❌ Dropped"))</f>
        <v>0</v>
      </c>
      <c r="G55" s="11">
        <f>SUMPRODUCT(
  (STUDENTS!Q$2:Q$309=A55)*
  (STUDENTS!R$2:R$309=B55)*
  (STUDENTS!L$2:L$309="✅ Completed"))</f>
        <v>0</v>
      </c>
      <c r="J55" s="17"/>
    </row>
    <row r="56">
      <c r="A56" s="11" t="s">
        <v>77</v>
      </c>
      <c r="B56" s="11" t="s">
        <v>23</v>
      </c>
      <c r="C56" s="11">
        <f>SUMPRODUCT(
  (STUDENTS!Q$2:Q$309=A56)*
  (STUDENTS!R$2:R$309=B56)*
  (STUDENTS!E$2:E$309="Active"))</f>
        <v>0</v>
      </c>
      <c r="D56" s="11">
        <f>IFERROR(__xludf.DUMMYFUNCTION("SUMPRODUCT(
  (COUNTIF(FILTER(ATTENDANCE_LOG!C:C,(ATTENDANCE_LOG!A:A=A56)*(ATTENDANCE_LOG!B:B=B56)),STUDENTS!A$2:A$309)&gt;0)*
  ((STUDENTS!R$2:R$309&lt;&gt;B56)+(STUDENTS!Q$2:Q$309&lt;&gt;A56)&gt;0))"),7.0)</f>
        <v>7</v>
      </c>
      <c r="E56" s="11">
        <f>SUMPRODUCT(
  (STUDENTS!Q$2:Q$309=A56)*
  (STUDENTS!R$2:R$309=B56)*
  (STUDENTS!E$2:E$309="Waiting for class"))</f>
        <v>0</v>
      </c>
      <c r="F56" s="11">
        <f>SUMPRODUCT(
  (STUDENTS!Q$2:Q$309=A56)*
  (STUDENTS!R$2:R$309=B56)*
  (STUDENTS!L$2:L$309="❌ Dropped"))</f>
        <v>1</v>
      </c>
      <c r="G56" s="11">
        <f>SUMPRODUCT(
  (STUDENTS!Q$2:Q$309=A56)*
  (STUDENTS!R$2:R$309=B56)*
  (STUDENTS!L$2:L$309="✅ Completed"))</f>
        <v>0</v>
      </c>
      <c r="J56" s="17"/>
    </row>
    <row r="57">
      <c r="A57" s="11" t="s">
        <v>77</v>
      </c>
      <c r="B57" s="11" t="s">
        <v>24</v>
      </c>
      <c r="C57" s="11">
        <f>SUMPRODUCT(
  (STUDENTS!Q$2:Q$309=A57)*
  (STUDENTS!R$2:R$309=B57)*
  (STUDENTS!E$2:E$309="Active"))</f>
        <v>5</v>
      </c>
      <c r="D57" s="11">
        <f>IFERROR(__xludf.DUMMYFUNCTION("SUMPRODUCT(
  (COUNTIF(FILTER(ATTENDANCE_LOG!C:C,(ATTENDANCE_LOG!A:A=A57)*(ATTENDANCE_LOG!B:B=B57)),STUDENTS!A$2:A$309)&gt;0)*
  ((STUDENTS!R$2:R$309&lt;&gt;B57)+(STUDENTS!Q$2:Q$309&lt;&gt;A57)&gt;0))"),0.0)</f>
        <v>0</v>
      </c>
      <c r="E57" s="11">
        <f>SUMPRODUCT(
  (STUDENTS!Q$2:Q$309=A57)*
  (STUDENTS!R$2:R$309=B57)*
  (STUDENTS!E$2:E$309="Waiting for class"))</f>
        <v>0</v>
      </c>
      <c r="F57" s="11">
        <f>SUMPRODUCT(
  (STUDENTS!Q$2:Q$309=A57)*
  (STUDENTS!R$2:R$309=B57)*
  (STUDENTS!L$2:L$309="❌ Dropped"))</f>
        <v>0</v>
      </c>
      <c r="G57" s="11">
        <f>SUMPRODUCT(
  (STUDENTS!Q$2:Q$309=A57)*
  (STUDENTS!R$2:R$309=B57)*
  (STUDENTS!L$2:L$309="✅ Completed"))</f>
        <v>2</v>
      </c>
      <c r="J57" s="17"/>
    </row>
    <row r="58">
      <c r="A58" s="11" t="s">
        <v>78</v>
      </c>
      <c r="B58" s="11" t="s">
        <v>22</v>
      </c>
      <c r="C58" s="11">
        <f>SUMPRODUCT(
  (STUDENTS!Q$2:Q$309=A58)*
  (STUDENTS!R$2:R$309=B58)*
  (STUDENTS!E$2:E$309="Active"))</f>
        <v>0</v>
      </c>
      <c r="D58" s="11">
        <f>IFERROR(__xludf.DUMMYFUNCTION("SUMPRODUCT(
  (COUNTIF(FILTER(ATTENDANCE_LOG!C:C,(ATTENDANCE_LOG!A:A=A58)*(ATTENDANCE_LOG!B:B=B58)),STUDENTS!A$2:A$309)&gt;0)*
  ((STUDENTS!R$2:R$309&lt;&gt;B58)+(STUDENTS!Q$2:Q$309&lt;&gt;A58)&gt;0))"),0.0)</f>
        <v>0</v>
      </c>
      <c r="E58" s="11">
        <f>SUMPRODUCT(
  (STUDENTS!Q$2:Q$309=A58)*
  (STUDENTS!R$2:R$309=B58)*
  (STUDENTS!E$2:E$309="Waiting for class"))</f>
        <v>0</v>
      </c>
      <c r="F58" s="11">
        <f>SUMPRODUCT(
  (STUDENTS!Q$2:Q$309=A58)*
  (STUDENTS!R$2:R$309=B58)*
  (STUDENTS!L$2:L$309="❌ Dropped"))</f>
        <v>2</v>
      </c>
      <c r="G58" s="11">
        <f>SUMPRODUCT(
  (STUDENTS!Q$2:Q$309=A58)*
  (STUDENTS!R$2:R$309=B58)*
  (STUDENTS!L$2:L$309="✅ Completed"))</f>
        <v>4</v>
      </c>
      <c r="J58" s="17"/>
    </row>
    <row r="59">
      <c r="A59" s="11" t="s">
        <v>79</v>
      </c>
      <c r="B59" s="11" t="s">
        <v>22</v>
      </c>
      <c r="C59" s="11">
        <f>SUMPRODUCT(
  (STUDENTS!Q$2:Q$309=A59)*
  (STUDENTS!R$2:R$309=B59)*
  (STUDENTS!E$2:E$309="Active"))</f>
        <v>0</v>
      </c>
      <c r="D59" s="11">
        <f>IFERROR(__xludf.DUMMYFUNCTION("SUMPRODUCT(
  (COUNTIF(FILTER(ATTENDANCE_LOG!C:C,(ATTENDANCE_LOG!A:A=A59)*(ATTENDANCE_LOG!B:B=B59)),STUDENTS!A$2:A$309)&gt;0)*
  ((STUDENTS!R$2:R$309&lt;&gt;B59)+(STUDENTS!Q$2:Q$309&lt;&gt;A59)&gt;0))"),0.0)</f>
        <v>0</v>
      </c>
      <c r="E59" s="11">
        <f>SUMPRODUCT(
  (STUDENTS!Q$2:Q$309=A59)*
  (STUDENTS!R$2:R$309=B59)*
  (STUDENTS!E$2:E$309="Waiting for class"))</f>
        <v>0</v>
      </c>
      <c r="F59" s="11">
        <f>SUMPRODUCT(
  (STUDENTS!Q$2:Q$309=A59)*
  (STUDENTS!R$2:R$309=B59)*
  (STUDENTS!L$2:L$309="❌ Dropped"))</f>
        <v>0</v>
      </c>
      <c r="G59" s="11">
        <f>SUMPRODUCT(
  (STUDENTS!Q$2:Q$309=A59)*
  (STUDENTS!R$2:R$309=B59)*
  (STUDENTS!L$2:L$309="✅ Completed"))</f>
        <v>6</v>
      </c>
      <c r="J59" s="17"/>
    </row>
    <row r="60">
      <c r="A60" s="11" t="s">
        <v>80</v>
      </c>
      <c r="B60" s="11" t="s">
        <v>22</v>
      </c>
      <c r="C60" s="11">
        <f>SUMPRODUCT(
  (STUDENTS!Q$2:Q$309=A60)*
  (STUDENTS!R$2:R$309=B60)*
  (STUDENTS!E$2:E$309="Active"))</f>
        <v>0</v>
      </c>
      <c r="D60" s="11">
        <f>IFERROR(__xludf.DUMMYFUNCTION("SUMPRODUCT(
  (COUNTIF(FILTER(ATTENDANCE_LOG!C:C,(ATTENDANCE_LOG!A:A=A60)*(ATTENDANCE_LOG!B:B=B60)),STUDENTS!A$2:A$309)&gt;0)*
  ((STUDENTS!R$2:R$309&lt;&gt;B60)+(STUDENTS!Q$2:Q$309&lt;&gt;A60)&gt;0))"),0.0)</f>
        <v>0</v>
      </c>
      <c r="E60" s="11">
        <f>SUMPRODUCT(
  (STUDENTS!Q$2:Q$309=A60)*
  (STUDENTS!R$2:R$309=B60)*
  (STUDENTS!E$2:E$309="Waiting for class"))</f>
        <v>0</v>
      </c>
      <c r="F60" s="11">
        <f>SUMPRODUCT(
  (STUDENTS!Q$2:Q$309=A60)*
  (STUDENTS!R$2:R$309=B60)*
  (STUDENTS!L$2:L$309="❌ Dropped"))</f>
        <v>4</v>
      </c>
      <c r="G60" s="11">
        <f>SUMPRODUCT(
  (STUDENTS!Q$2:Q$309=A60)*
  (STUDENTS!R$2:R$309=B60)*
  (STUDENTS!L$2:L$309="✅ Completed"))</f>
        <v>3</v>
      </c>
      <c r="J60" s="17"/>
    </row>
    <row r="61">
      <c r="A61" s="11" t="s">
        <v>81</v>
      </c>
      <c r="B61" s="11" t="s">
        <v>22</v>
      </c>
      <c r="C61" s="11">
        <f>SUMPRODUCT(
  (STUDENTS!Q$2:Q$309=A61)*
  (STUDENTS!R$2:R$309=B61)*
  (STUDENTS!E$2:E$309="Active"))</f>
        <v>0</v>
      </c>
      <c r="D61" s="11">
        <f>IFERROR(__xludf.DUMMYFUNCTION("SUMPRODUCT(
  (COUNTIF(FILTER(ATTENDANCE_LOG!C:C,(ATTENDANCE_LOG!A:A=A61)*(ATTENDANCE_LOG!B:B=B61)),STUDENTS!A$2:A$309)&gt;0)*
  ((STUDENTS!R$2:R$309&lt;&gt;B61)+(STUDENTS!Q$2:Q$309&lt;&gt;A61)&gt;0))"),4.0)</f>
        <v>4</v>
      </c>
      <c r="E61" s="11">
        <f>SUMPRODUCT(
  (STUDENTS!Q$2:Q$309=A61)*
  (STUDENTS!R$2:R$309=B61)*
  (STUDENTS!E$2:E$309="Waiting for class"))</f>
        <v>0</v>
      </c>
      <c r="F61" s="11">
        <f>SUMPRODUCT(
  (STUDENTS!Q$2:Q$309=A61)*
  (STUDENTS!R$2:R$309=B61)*
  (STUDENTS!L$2:L$309="❌ Dropped"))</f>
        <v>0</v>
      </c>
      <c r="G61" s="11">
        <f>SUMPRODUCT(
  (STUDENTS!Q$2:Q$309=A61)*
  (STUDENTS!R$2:R$309=B61)*
  (STUDENTS!L$2:L$309="✅ Completed"))</f>
        <v>0</v>
      </c>
      <c r="J61" s="17"/>
    </row>
    <row r="62">
      <c r="A62" s="11" t="s">
        <v>82</v>
      </c>
      <c r="B62" s="11" t="s">
        <v>22</v>
      </c>
      <c r="C62" s="11">
        <f>SUMPRODUCT(
  (STUDENTS!Q$2:Q$309=A62)*
  (STUDENTS!R$2:R$309=B62)*
  (STUDENTS!E$2:E$309="Active"))</f>
        <v>0</v>
      </c>
      <c r="D62" s="11">
        <f>IFERROR(__xludf.DUMMYFUNCTION("SUMPRODUCT(
  (COUNTIF(FILTER(ATTENDANCE_LOG!C:C,(ATTENDANCE_LOG!A:A=A62)*(ATTENDANCE_LOG!B:B=B62)),STUDENTS!A$2:A$309)&gt;0)*
  ((STUDENTS!R$2:R$309&lt;&gt;B62)+(STUDENTS!Q$2:Q$309&lt;&gt;A62)&gt;0))"),4.0)</f>
        <v>4</v>
      </c>
      <c r="E62" s="11">
        <f>SUMPRODUCT(
  (STUDENTS!Q$2:Q$309=A62)*
  (STUDENTS!R$2:R$309=B62)*
  (STUDENTS!E$2:E$309="Waiting for class"))</f>
        <v>0</v>
      </c>
      <c r="F62" s="11">
        <f>SUMPRODUCT(
  (STUDENTS!Q$2:Q$309=A62)*
  (STUDENTS!R$2:R$309=B62)*
  (STUDENTS!L$2:L$309="❌ Dropped"))</f>
        <v>0</v>
      </c>
      <c r="G62" s="11">
        <f>SUMPRODUCT(
  (STUDENTS!Q$2:Q$309=A62)*
  (STUDENTS!R$2:R$309=B62)*
  (STUDENTS!L$2:L$309="✅ Completed"))</f>
        <v>1</v>
      </c>
      <c r="J62" s="17"/>
    </row>
    <row r="63">
      <c r="A63" s="11" t="s">
        <v>82</v>
      </c>
      <c r="B63" s="11" t="s">
        <v>23</v>
      </c>
      <c r="C63" s="11">
        <f>SUMPRODUCT(
  (STUDENTS!Q$2:Q$309=A63)*
  (STUDENTS!R$2:R$309=B63)*
  (STUDENTS!E$2:E$309="Active"))</f>
        <v>0</v>
      </c>
      <c r="D63" s="11">
        <f>IFERROR(__xludf.DUMMYFUNCTION("SUMPRODUCT(
  (COUNTIF(FILTER(ATTENDANCE_LOG!C:C,(ATTENDANCE_LOG!A:A=A63)*(ATTENDANCE_LOG!B:B=B63)),STUDENTS!A$2:A$309)&gt;0)*
  ((STUDENTS!R$2:R$309&lt;&gt;B63)+(STUDENTS!Q$2:Q$309&lt;&gt;A63)&gt;0))"),3.0)</f>
        <v>3</v>
      </c>
      <c r="E63" s="11">
        <f>SUMPRODUCT(
  (STUDENTS!Q$2:Q$309=A63)*
  (STUDENTS!R$2:R$309=B63)*
  (STUDENTS!E$2:E$309="Waiting for class"))</f>
        <v>0</v>
      </c>
      <c r="F63" s="11">
        <f>SUMPRODUCT(
  (STUDENTS!Q$2:Q$309=A63)*
  (STUDENTS!R$2:R$309=B63)*
  (STUDENTS!L$2:L$309="❌ Dropped"))</f>
        <v>0</v>
      </c>
      <c r="G63" s="11">
        <f>SUMPRODUCT(
  (STUDENTS!Q$2:Q$309=A63)*
  (STUDENTS!R$2:R$309=B63)*
  (STUDENTS!L$2:L$309="✅ Completed"))</f>
        <v>5</v>
      </c>
      <c r="J63" s="17"/>
    </row>
    <row r="64">
      <c r="A64" s="11" t="s">
        <v>83</v>
      </c>
      <c r="B64" s="11" t="s">
        <v>22</v>
      </c>
      <c r="C64" s="11">
        <f>SUMPRODUCT(
  (STUDENTS!Q$2:Q$309=A64)*
  (STUDENTS!R$2:R$309=B64)*
  (STUDENTS!E$2:E$309="Active"))</f>
        <v>0</v>
      </c>
      <c r="D64" s="11">
        <f>IFERROR(__xludf.DUMMYFUNCTION("SUMPRODUCT(
  (COUNTIF(FILTER(ATTENDANCE_LOG!C:C,(ATTENDANCE_LOG!A:A=A64)*(ATTENDANCE_LOG!B:B=B64)),STUDENTS!A$2:A$309)&gt;0)*
  ((STUDENTS!R$2:R$309&lt;&gt;B64)+(STUDENTS!Q$2:Q$309&lt;&gt;A64)&gt;0))"),7.0)</f>
        <v>7</v>
      </c>
      <c r="E64" s="11">
        <f>SUMPRODUCT(
  (STUDENTS!Q$2:Q$309=A64)*
  (STUDENTS!R$2:R$309=B64)*
  (STUDENTS!E$2:E$309="Waiting for class"))</f>
        <v>0</v>
      </c>
      <c r="F64" s="11">
        <f>SUMPRODUCT(
  (STUDENTS!Q$2:Q$309=A64)*
  (STUDENTS!R$2:R$309=B64)*
  (STUDENTS!L$2:L$309="❌ Dropped"))</f>
        <v>0</v>
      </c>
      <c r="G64" s="11">
        <f>SUMPRODUCT(
  (STUDENTS!Q$2:Q$309=A64)*
  (STUDENTS!R$2:R$309=B64)*
  (STUDENTS!L$2:L$309="✅ Completed"))</f>
        <v>0</v>
      </c>
      <c r="J64" s="17"/>
    </row>
    <row r="65">
      <c r="A65" s="11" t="s">
        <v>83</v>
      </c>
      <c r="B65" s="11" t="s">
        <v>23</v>
      </c>
      <c r="C65" s="11">
        <f>SUMPRODUCT(
  (STUDENTS!Q$2:Q$309=A65)*
  (STUDENTS!R$2:R$309=B65)*
  (STUDENTS!E$2:E$309="Active"))</f>
        <v>0</v>
      </c>
      <c r="D65" s="11">
        <f>IFERROR(__xludf.DUMMYFUNCTION("SUMPRODUCT(
  (COUNTIF(FILTER(ATTENDANCE_LOG!C:C,(ATTENDANCE_LOG!A:A=A65)*(ATTENDANCE_LOG!B:B=B65)),STUDENTS!A$2:A$309)&gt;0)*
  ((STUDENTS!R$2:R$309&lt;&gt;B65)+(STUDENTS!Q$2:Q$309&lt;&gt;A65)&gt;0))"),1.0)</f>
        <v>1</v>
      </c>
      <c r="E65" s="11">
        <f>SUMPRODUCT(
  (STUDENTS!Q$2:Q$309=A65)*
  (STUDENTS!R$2:R$309=B65)*
  (STUDENTS!E$2:E$309="Waiting for class"))</f>
        <v>1</v>
      </c>
      <c r="F65" s="11">
        <f>SUMPRODUCT(
  (STUDENTS!Q$2:Q$309=A65)*
  (STUDENTS!R$2:R$309=B65)*
  (STUDENTS!L$2:L$309="❌ Dropped"))</f>
        <v>0</v>
      </c>
      <c r="G65" s="11">
        <f>SUMPRODUCT(
  (STUDENTS!Q$2:Q$309=A65)*
  (STUDENTS!R$2:R$309=B65)*
  (STUDENTS!L$2:L$309="✅ Completed"))</f>
        <v>7</v>
      </c>
      <c r="J65" s="17"/>
    </row>
    <row r="66">
      <c r="A66" s="11" t="s">
        <v>84</v>
      </c>
      <c r="B66" s="11" t="s">
        <v>25</v>
      </c>
      <c r="C66" s="11">
        <f>SUMPRODUCT(
  (STUDENTS!Q$2:Q$309=A66)*
  (STUDENTS!R$2:R$309=B66)*
  (STUDENTS!E$2:E$309="Active"))</f>
        <v>5</v>
      </c>
      <c r="D66" s="11">
        <f>IFERROR(__xludf.DUMMYFUNCTION("SUMPRODUCT(
  (COUNTIF(FILTER(ATTENDANCE_LOG!C:C,(ATTENDANCE_LOG!A:A=A66)*(ATTENDANCE_LOG!B:B=B66)),STUDENTS!A$2:A$309)&gt;0)*
  ((STUDENTS!R$2:R$309&lt;&gt;B66)+(STUDENTS!Q$2:Q$309&lt;&gt;A66)&gt;0))"),0.0)</f>
        <v>0</v>
      </c>
      <c r="E66" s="11">
        <f>SUMPRODUCT(
  (STUDENTS!Q$2:Q$309=A66)*
  (STUDENTS!R$2:R$309=B66)*
  (STUDENTS!E$2:E$309="Waiting for class"))</f>
        <v>0</v>
      </c>
      <c r="F66" s="11">
        <f>SUMPRODUCT(
  (STUDENTS!Q$2:Q$309=A66)*
  (STUDENTS!R$2:R$309=B66)*
  (STUDENTS!L$2:L$309="❌ Dropped"))</f>
        <v>2</v>
      </c>
      <c r="G66" s="11">
        <f>SUMPRODUCT(
  (STUDENTS!Q$2:Q$309=A66)*
  (STUDENTS!R$2:R$309=B66)*
  (STUDENTS!L$2:L$309="✅ Completed"))</f>
        <v>0</v>
      </c>
      <c r="J66" s="17"/>
    </row>
    <row r="67">
      <c r="A67" s="11" t="s">
        <v>84</v>
      </c>
      <c r="B67" s="11" t="s">
        <v>22</v>
      </c>
      <c r="C67" s="11">
        <f>SUMPRODUCT(
  (STUDENTS!Q$2:Q$309=A67)*
  (STUDENTS!R$2:R$309=B67)*
  (STUDENTS!E$2:E$309="Active"))</f>
        <v>0</v>
      </c>
      <c r="D67" s="11">
        <f>IFERROR(__xludf.DUMMYFUNCTION("SUMPRODUCT(
  (COUNTIF(FILTER(ATTENDANCE_LOG!C:C,(ATTENDANCE_LOG!A:A=A67)*(ATTENDANCE_LOG!B:B=B67)),STUDENTS!A$2:A$309)&gt;0)*
  ((STUDENTS!R$2:R$309&lt;&gt;B67)+(STUDENTS!Q$2:Q$309&lt;&gt;A67)&gt;0))"),9.0)</f>
        <v>9</v>
      </c>
      <c r="E67" s="11">
        <f>SUMPRODUCT(
  (STUDENTS!Q$2:Q$309=A67)*
  (STUDENTS!R$2:R$309=B67)*
  (STUDENTS!E$2:E$309="Waiting for class"))</f>
        <v>0</v>
      </c>
      <c r="F67" s="11">
        <f>SUMPRODUCT(
  (STUDENTS!Q$2:Q$309=A67)*
  (STUDENTS!R$2:R$309=B67)*
  (STUDENTS!L$2:L$309="❌ Dropped"))</f>
        <v>0</v>
      </c>
      <c r="G67" s="11">
        <f>SUMPRODUCT(
  (STUDENTS!Q$2:Q$309=A67)*
  (STUDENTS!R$2:R$309=B67)*
  (STUDENTS!L$2:L$309="✅ Completed"))</f>
        <v>1</v>
      </c>
      <c r="J67" s="17"/>
    </row>
    <row r="68">
      <c r="A68" s="11" t="s">
        <v>84</v>
      </c>
      <c r="B68" s="11" t="s">
        <v>23</v>
      </c>
      <c r="C68" s="11">
        <f>SUMPRODUCT(
  (STUDENTS!Q$2:Q$309=A68)*
  (STUDENTS!R$2:R$309=B68)*
  (STUDENTS!E$2:E$309="Active"))</f>
        <v>0</v>
      </c>
      <c r="D68" s="11">
        <f>IFERROR(__xludf.DUMMYFUNCTION("SUMPRODUCT(
  (COUNTIF(FILTER(ATTENDANCE_LOG!C:C,(ATTENDANCE_LOG!A:A=A68)*(ATTENDANCE_LOG!B:B=B68)),STUDENTS!A$2:A$309)&gt;0)*
  ((STUDENTS!R$2:R$309&lt;&gt;B68)+(STUDENTS!Q$2:Q$309&lt;&gt;A68)&gt;0))"),7.0)</f>
        <v>7</v>
      </c>
      <c r="E68" s="11">
        <f>SUMPRODUCT(
  (STUDENTS!Q$2:Q$309=A68)*
  (STUDENTS!R$2:R$309=B68)*
  (STUDENTS!E$2:E$309="Waiting for class"))</f>
        <v>0</v>
      </c>
      <c r="F68" s="11">
        <f>SUMPRODUCT(
  (STUDENTS!Q$2:Q$309=A68)*
  (STUDENTS!R$2:R$309=B68)*
  (STUDENTS!L$2:L$309="❌ Dropped"))</f>
        <v>0</v>
      </c>
      <c r="G68" s="11">
        <f>SUMPRODUCT(
  (STUDENTS!Q$2:Q$309=A68)*
  (STUDENTS!R$2:R$309=B68)*
  (STUDENTS!L$2:L$309="✅ Completed"))</f>
        <v>0</v>
      </c>
      <c r="J68" s="17"/>
    </row>
    <row r="69">
      <c r="A69" s="11" t="s">
        <v>85</v>
      </c>
      <c r="B69" s="11" t="s">
        <v>25</v>
      </c>
      <c r="C69" s="11">
        <f>SUMPRODUCT(
  (STUDENTS!Q$2:Q$309=A69)*
  (STUDENTS!R$2:R$309=B69)*
  (STUDENTS!E$2:E$309="Active"))</f>
        <v>4</v>
      </c>
      <c r="D69" s="11">
        <f>IFERROR(__xludf.DUMMYFUNCTION("SUMPRODUCT(
  (COUNTIF(FILTER(ATTENDANCE_LOG!C:C,(ATTENDANCE_LOG!A:A=A69)*(ATTENDANCE_LOG!B:B=B69)),STUDENTS!A$2:A$309)&gt;0)*
  ((STUDENTS!R$2:R$309&lt;&gt;B69)+(STUDENTS!Q$2:Q$309&lt;&gt;A69)&gt;0))"),0.0)</f>
        <v>0</v>
      </c>
      <c r="E69" s="11">
        <f>SUMPRODUCT(
  (STUDENTS!Q$2:Q$309=A69)*
  (STUDENTS!R$2:R$309=B69)*
  (STUDENTS!E$2:E$309="Waiting for class"))</f>
        <v>0</v>
      </c>
      <c r="F69" s="11">
        <f>SUMPRODUCT(
  (STUDENTS!Q$2:Q$309=A69)*
  (STUDENTS!R$2:R$309=B69)*
  (STUDENTS!L$2:L$309="❌ Dropped"))</f>
        <v>2</v>
      </c>
      <c r="G69" s="11">
        <f>SUMPRODUCT(
  (STUDENTS!Q$2:Q$309=A69)*
  (STUDENTS!R$2:R$309=B69)*
  (STUDENTS!L$2:L$309="✅ Completed"))</f>
        <v>1</v>
      </c>
      <c r="J69" s="17"/>
    </row>
    <row r="70">
      <c r="A70" s="11" t="s">
        <v>85</v>
      </c>
      <c r="B70" s="11" t="s">
        <v>22</v>
      </c>
      <c r="C70" s="11">
        <f>SUMPRODUCT(
  (STUDENTS!Q$2:Q$309=A70)*
  (STUDENTS!R$2:R$309=B70)*
  (STUDENTS!E$2:E$309="Active"))</f>
        <v>0</v>
      </c>
      <c r="D70" s="11">
        <f>IFERROR(__xludf.DUMMYFUNCTION("SUMPRODUCT(
  (COUNTIF(FILTER(ATTENDANCE_LOG!C:C,(ATTENDANCE_LOG!A:A=A70)*(ATTENDANCE_LOG!B:B=B70)),STUDENTS!A$2:A$309)&gt;0)*
  ((STUDENTS!R$2:R$309&lt;&gt;B70)+(STUDENTS!Q$2:Q$309&lt;&gt;A70)&gt;0))"),6.0)</f>
        <v>6</v>
      </c>
      <c r="E70" s="11">
        <f>SUMPRODUCT(
  (STUDENTS!Q$2:Q$309=A70)*
  (STUDENTS!R$2:R$309=B70)*
  (STUDENTS!E$2:E$309="Waiting for class"))</f>
        <v>0</v>
      </c>
      <c r="F70" s="11">
        <f>SUMPRODUCT(
  (STUDENTS!Q$2:Q$309=A70)*
  (STUDENTS!R$2:R$309=B70)*
  (STUDENTS!L$2:L$309="❌ Dropped"))</f>
        <v>0</v>
      </c>
      <c r="G70" s="11">
        <f>SUMPRODUCT(
  (STUDENTS!Q$2:Q$309=A70)*
  (STUDENTS!R$2:R$309=B70)*
  (STUDENTS!L$2:L$309="✅ Completed"))</f>
        <v>0</v>
      </c>
      <c r="J70" s="17"/>
    </row>
    <row r="71">
      <c r="A71" s="11" t="s">
        <v>85</v>
      </c>
      <c r="B71" s="11" t="s">
        <v>23</v>
      </c>
      <c r="C71" s="11">
        <f>SUMPRODUCT(
  (STUDENTS!Q$2:Q$309=A71)*
  (STUDENTS!R$2:R$309=B71)*
  (STUDENTS!E$2:E$309="Active"))</f>
        <v>0</v>
      </c>
      <c r="D71" s="11">
        <f>IFERROR(__xludf.DUMMYFUNCTION("SUMPRODUCT(
  (COUNTIF(FILTER(ATTENDANCE_LOG!C:C,(ATTENDANCE_LOG!A:A=A71)*(ATTENDANCE_LOG!B:B=B71)),STUDENTS!A$2:A$309)&gt;0)*
  ((STUDENTS!R$2:R$309&lt;&gt;B71)+(STUDENTS!Q$2:Q$309&lt;&gt;A71)&gt;0))"),4.0)</f>
        <v>4</v>
      </c>
      <c r="E71" s="11">
        <f>SUMPRODUCT(
  (STUDENTS!Q$2:Q$309=A71)*
  (STUDENTS!R$2:R$309=B71)*
  (STUDENTS!E$2:E$309="Waiting for class"))</f>
        <v>0</v>
      </c>
      <c r="F71" s="11">
        <f>SUMPRODUCT(
  (STUDENTS!Q$2:Q$309=A71)*
  (STUDENTS!R$2:R$309=B71)*
  (STUDENTS!L$2:L$309="❌ Dropped"))</f>
        <v>3</v>
      </c>
      <c r="G71" s="11">
        <f>SUMPRODUCT(
  (STUDENTS!Q$2:Q$309=A71)*
  (STUDENTS!R$2:R$309=B71)*
  (STUDENTS!L$2:L$309="✅ Completed"))</f>
        <v>2</v>
      </c>
      <c r="J71" s="17"/>
    </row>
    <row r="72">
      <c r="A72" s="11" t="s">
        <v>86</v>
      </c>
      <c r="B72" s="11" t="s">
        <v>22</v>
      </c>
      <c r="C72" s="11">
        <f>SUMPRODUCT(
  (STUDENTS!Q$2:Q$309=A72)*
  (STUDENTS!R$2:R$309=B72)*
  (STUDENTS!E$2:E$309="Active"))</f>
        <v>0</v>
      </c>
      <c r="D72" s="11">
        <f>IFERROR(__xludf.DUMMYFUNCTION("SUMPRODUCT(
  (COUNTIF(FILTER(ATTENDANCE_LOG!C:C,(ATTENDANCE_LOG!A:A=A72)*(ATTENDANCE_LOG!B:B=B72)),STUDENTS!A$2:A$309)&gt;0)*
  ((STUDENTS!R$2:R$309&lt;&gt;B72)+(STUDENTS!Q$2:Q$309&lt;&gt;A72)&gt;0))"),4.0)</f>
        <v>4</v>
      </c>
      <c r="E72" s="11">
        <f>SUMPRODUCT(
  (STUDENTS!Q$2:Q$309=A72)*
  (STUDENTS!R$2:R$309=B72)*
  (STUDENTS!E$2:E$309="Waiting for class"))</f>
        <v>0</v>
      </c>
      <c r="F72" s="11">
        <f>SUMPRODUCT(
  (STUDENTS!Q$2:Q$309=A72)*
  (STUDENTS!R$2:R$309=B72)*
  (STUDENTS!L$2:L$309="❌ Dropped"))</f>
        <v>0</v>
      </c>
      <c r="G72" s="11">
        <f>SUMPRODUCT(
  (STUDENTS!Q$2:Q$309=A72)*
  (STUDENTS!R$2:R$309=B72)*
  (STUDENTS!L$2:L$309="✅ Completed"))</f>
        <v>4</v>
      </c>
      <c r="J72" s="17"/>
    </row>
    <row r="73">
      <c r="A73" s="11" t="s">
        <v>86</v>
      </c>
      <c r="B73" s="11" t="s">
        <v>23</v>
      </c>
      <c r="C73" s="11">
        <f>SUMPRODUCT(
  (STUDENTS!Q$2:Q$309=A73)*
  (STUDENTS!R$2:R$309=B73)*
  (STUDENTS!E$2:E$309="Active"))</f>
        <v>4</v>
      </c>
      <c r="D73" s="11">
        <f>IFERROR(__xludf.DUMMYFUNCTION("SUMPRODUCT(
  (COUNTIF(FILTER(ATTENDANCE_LOG!C:C,(ATTENDANCE_LOG!A:A=A73)*(ATTENDANCE_LOG!B:B=B73)),STUDENTS!A$2:A$309)&gt;0)*
  ((STUDENTS!R$2:R$309&lt;&gt;B73)+(STUDENTS!Q$2:Q$309&lt;&gt;A73)&gt;0))"),0.0)</f>
        <v>0</v>
      </c>
      <c r="E73" s="11">
        <f>SUMPRODUCT(
  (STUDENTS!Q$2:Q$309=A73)*
  (STUDENTS!R$2:R$309=B73)*
  (STUDENTS!E$2:E$309="Waiting for class"))</f>
        <v>0</v>
      </c>
      <c r="F73" s="11">
        <f>SUMPRODUCT(
  (STUDENTS!Q$2:Q$309=A73)*
  (STUDENTS!R$2:R$309=B73)*
  (STUDENTS!L$2:L$309="❌ Dropped"))</f>
        <v>0</v>
      </c>
      <c r="G73" s="11">
        <f>SUMPRODUCT(
  (STUDENTS!Q$2:Q$309=A73)*
  (STUDENTS!R$2:R$309=B73)*
  (STUDENTS!L$2:L$309="✅ Completed"))</f>
        <v>1</v>
      </c>
      <c r="J73" s="17"/>
    </row>
    <row r="74">
      <c r="A74" s="11" t="s">
        <v>86</v>
      </c>
      <c r="B74" s="11" t="s">
        <v>26</v>
      </c>
      <c r="C74" s="11">
        <f>SUMPRODUCT(
  (STUDENTS!Q$2:Q$309=A74)*
  (STUDENTS!R$2:R$309=B74)*
  (STUDENTS!E$2:E$309="Active"))</f>
        <v>0</v>
      </c>
      <c r="D74" s="11">
        <f>IFERROR(__xludf.DUMMYFUNCTION("SUMPRODUCT(
  (COUNTIF(FILTER(ATTENDANCE_LOG!C:C,(ATTENDANCE_LOG!A:A=A74)*(ATTENDANCE_LOG!B:B=B74)),STUDENTS!A$2:A$309)&gt;0)*
  ((STUDENTS!R$2:R$309&lt;&gt;B74)+(STUDENTS!Q$2:Q$309&lt;&gt;A74)&gt;0))"),9.0)</f>
        <v>9</v>
      </c>
      <c r="E74" s="11">
        <f>SUMPRODUCT(
  (STUDENTS!Q$2:Q$309=A74)*
  (STUDENTS!R$2:R$309=B74)*
  (STUDENTS!E$2:E$309="Waiting for class"))</f>
        <v>0</v>
      </c>
      <c r="F74" s="11">
        <f>SUMPRODUCT(
  (STUDENTS!Q$2:Q$309=A74)*
  (STUDENTS!R$2:R$309=B74)*
  (STUDENTS!L$2:L$309="❌ Dropped"))</f>
        <v>0</v>
      </c>
      <c r="G74" s="11">
        <f>SUMPRODUCT(
  (STUDENTS!Q$2:Q$309=A74)*
  (STUDENTS!R$2:R$309=B74)*
  (STUDENTS!L$2:L$309="✅ Completed"))</f>
        <v>0</v>
      </c>
      <c r="J74" s="17"/>
    </row>
    <row r="75">
      <c r="A75" s="11" t="s">
        <v>87</v>
      </c>
      <c r="B75" s="11" t="s">
        <v>22</v>
      </c>
      <c r="C75" s="11">
        <f>SUMPRODUCT(
  (STUDENTS!Q$2:Q$309=A75)*
  (STUDENTS!R$2:R$309=B75)*
  (STUDENTS!E$2:E$309="Active"))</f>
        <v>0</v>
      </c>
      <c r="D75" s="11">
        <f>IFERROR(__xludf.DUMMYFUNCTION("SUMPRODUCT(
  (COUNTIF(FILTER(ATTENDANCE_LOG!C:C,(ATTENDANCE_LOG!A:A=A75)*(ATTENDANCE_LOG!B:B=B75)),STUDENTS!A$2:A$309)&gt;0)*
  ((STUDENTS!R$2:R$309&lt;&gt;B75)+(STUDENTS!Q$2:Q$309&lt;&gt;A75)&gt;0))"),4.0)</f>
        <v>4</v>
      </c>
      <c r="E75" s="11">
        <f>SUMPRODUCT(
  (STUDENTS!Q$2:Q$309=A75)*
  (STUDENTS!R$2:R$309=B75)*
  (STUDENTS!E$2:E$309="Waiting for class"))</f>
        <v>0</v>
      </c>
      <c r="F75" s="11">
        <f>SUMPRODUCT(
  (STUDENTS!Q$2:Q$309=A75)*
  (STUDENTS!R$2:R$309=B75)*
  (STUDENTS!L$2:L$309="❌ Dropped"))</f>
        <v>0</v>
      </c>
      <c r="G75" s="11">
        <f>SUMPRODUCT(
  (STUDENTS!Q$2:Q$309=A75)*
  (STUDENTS!R$2:R$309=B75)*
  (STUDENTS!L$2:L$309="✅ Completed"))</f>
        <v>0</v>
      </c>
      <c r="J75" s="17"/>
    </row>
    <row r="76">
      <c r="A76" s="11" t="s">
        <v>87</v>
      </c>
      <c r="B76" s="11" t="s">
        <v>23</v>
      </c>
      <c r="C76" s="11">
        <f>SUMPRODUCT(
  (STUDENTS!Q$2:Q$309=A76)*
  (STUDENTS!R$2:R$309=B76)*
  (STUDENTS!E$2:E$309="Active"))</f>
        <v>0</v>
      </c>
      <c r="D76" s="11">
        <f>IFERROR(__xludf.DUMMYFUNCTION("SUMPRODUCT(
  (COUNTIF(FILTER(ATTENDANCE_LOG!C:C,(ATTENDANCE_LOG!A:A=A76)*(ATTENDANCE_LOG!B:B=B76)),STUDENTS!A$2:A$309)&gt;0)*
  ((STUDENTS!R$2:R$309&lt;&gt;B76)+(STUDENTS!Q$2:Q$309&lt;&gt;A76)&gt;0))"),0.0)</f>
        <v>0</v>
      </c>
      <c r="E76" s="11">
        <f>SUMPRODUCT(
  (STUDENTS!Q$2:Q$309=A76)*
  (STUDENTS!R$2:R$309=B76)*
  (STUDENTS!E$2:E$309="Waiting for class"))</f>
        <v>0</v>
      </c>
      <c r="F76" s="11">
        <f>SUMPRODUCT(
  (STUDENTS!Q$2:Q$309=A76)*
  (STUDENTS!R$2:R$309=B76)*
  (STUDENTS!L$2:L$309="❌ Dropped"))</f>
        <v>1</v>
      </c>
      <c r="G76" s="11">
        <f>SUMPRODUCT(
  (STUDENTS!Q$2:Q$309=A76)*
  (STUDENTS!R$2:R$309=B76)*
  (STUDENTS!L$2:L$309="✅ Completed"))</f>
        <v>3</v>
      </c>
      <c r="J76" s="17"/>
    </row>
    <row r="77">
      <c r="A77" s="11" t="s">
        <v>88</v>
      </c>
      <c r="B77" s="11" t="s">
        <v>22</v>
      </c>
      <c r="C77" s="11">
        <f>SUMPRODUCT(
  (STUDENTS!Q$2:Q$309=A77)*
  (STUDENTS!R$2:R$309=B77)*
  (STUDENTS!E$2:E$309="Active"))</f>
        <v>0</v>
      </c>
      <c r="D77" s="11">
        <f>IFERROR(__xludf.DUMMYFUNCTION("SUMPRODUCT(
  (COUNTIF(FILTER(ATTENDANCE_LOG!C:C,(ATTENDANCE_LOG!A:A=A77)*(ATTENDANCE_LOG!B:B=B77)),STUDENTS!A$2:A$309)&gt;0)*
  ((STUDENTS!R$2:R$309&lt;&gt;B77)+(STUDENTS!Q$2:Q$309&lt;&gt;A77)&gt;0))"),1.0)</f>
        <v>1</v>
      </c>
      <c r="E77" s="11">
        <f>SUMPRODUCT(
  (STUDENTS!Q$2:Q$309=A77)*
  (STUDENTS!R$2:R$309=B77)*
  (STUDENTS!E$2:E$309="Waiting for class"))</f>
        <v>0</v>
      </c>
      <c r="F77" s="11">
        <f>SUMPRODUCT(
  (STUDENTS!Q$2:Q$309=A77)*
  (STUDENTS!R$2:R$309=B77)*
  (STUDENTS!L$2:L$309="❌ Dropped"))</f>
        <v>4</v>
      </c>
      <c r="G77" s="11">
        <f>SUMPRODUCT(
  (STUDENTS!Q$2:Q$309=A77)*
  (STUDENTS!R$2:R$309=B77)*
  (STUDENTS!L$2:L$309="✅ Completed"))</f>
        <v>3</v>
      </c>
      <c r="J77" s="17"/>
    </row>
    <row r="78">
      <c r="A78" s="11" t="s">
        <v>89</v>
      </c>
      <c r="B78" s="11" t="s">
        <v>27</v>
      </c>
      <c r="C78" s="11">
        <f>SUMPRODUCT(
  (STUDENTS!Q$2:Q$309=A78)*
  (STUDENTS!R$2:R$309=B78)*
  (STUDENTS!E$2:E$309="Active"))</f>
        <v>3</v>
      </c>
      <c r="D78" s="11">
        <f>IFERROR(__xludf.DUMMYFUNCTION("SUMPRODUCT(
  (COUNTIF(FILTER(ATTENDANCE_LOG!C:C,(ATTENDANCE_LOG!A:A=A78)*(ATTENDANCE_LOG!B:B=B78)),STUDENTS!A$2:A$309)&gt;0)*
  ((STUDENTS!R$2:R$309&lt;&gt;B78)+(STUDENTS!Q$2:Q$309&lt;&gt;A78)&gt;0))"),0.0)</f>
        <v>0</v>
      </c>
      <c r="E78" s="11">
        <f>SUMPRODUCT(
  (STUDENTS!Q$2:Q$309=A78)*
  (STUDENTS!R$2:R$309=B78)*
  (STUDENTS!E$2:E$309="Waiting for class"))</f>
        <v>0</v>
      </c>
      <c r="F78" s="11">
        <f>SUMPRODUCT(
  (STUDENTS!Q$2:Q$309=A78)*
  (STUDENTS!R$2:R$309=B78)*
  (STUDENTS!L$2:L$309="❌ Dropped"))</f>
        <v>0</v>
      </c>
      <c r="G78" s="11">
        <f>SUMPRODUCT(
  (STUDENTS!Q$2:Q$309=A78)*
  (STUDENTS!R$2:R$309=B78)*
  (STUDENTS!L$2:L$309="✅ Completed"))</f>
        <v>0</v>
      </c>
      <c r="J78" s="17"/>
    </row>
    <row r="79">
      <c r="A79" s="11" t="s">
        <v>89</v>
      </c>
      <c r="B79" s="11" t="s">
        <v>26</v>
      </c>
      <c r="C79" s="11">
        <f>SUMPRODUCT(
  (STUDENTS!Q$2:Q$309=A79)*
  (STUDENTS!R$2:R$309=B79)*
  (STUDENTS!E$2:E$309="Active"))</f>
        <v>0</v>
      </c>
      <c r="D79" s="11">
        <f>IFERROR(__xludf.DUMMYFUNCTION("SUMPRODUCT(
  (COUNTIF(FILTER(ATTENDANCE_LOG!C:C,(ATTENDANCE_LOG!A:A=A79)*(ATTENDANCE_LOG!B:B=B79)),STUDENTS!A$2:A$309)&gt;0)*
  ((STUDENTS!R$2:R$309&lt;&gt;B79)+(STUDENTS!Q$2:Q$309&lt;&gt;A79)&gt;0))"),7.0)</f>
        <v>7</v>
      </c>
      <c r="E79" s="11">
        <f>SUMPRODUCT(
  (STUDENTS!Q$2:Q$309=A79)*
  (STUDENTS!R$2:R$309=B79)*
  (STUDENTS!E$2:E$309="Waiting for class"))</f>
        <v>0</v>
      </c>
      <c r="F79" s="11">
        <f>SUMPRODUCT(
  (STUDENTS!Q$2:Q$309=A79)*
  (STUDENTS!R$2:R$309=B79)*
  (STUDENTS!L$2:L$309="❌ Dropped"))</f>
        <v>1</v>
      </c>
      <c r="G79" s="11">
        <f>SUMPRODUCT(
  (STUDENTS!Q$2:Q$309=A79)*
  (STUDENTS!R$2:R$309=B79)*
  (STUDENTS!L$2:L$309="✅ Completed"))</f>
        <v>0</v>
      </c>
      <c r="J79" s="17"/>
    </row>
    <row r="80">
      <c r="A80" s="11" t="s">
        <v>90</v>
      </c>
      <c r="B80" s="11" t="s">
        <v>22</v>
      </c>
      <c r="C80" s="11">
        <f>SUMPRODUCT(
  (STUDENTS!Q$2:Q$309=A80)*
  (STUDENTS!R$2:R$309=B80)*
  (STUDENTS!E$2:E$309="Active"))</f>
        <v>0</v>
      </c>
      <c r="D80" s="11">
        <f>IFERROR(__xludf.DUMMYFUNCTION("SUMPRODUCT(
  (COUNTIF(FILTER(ATTENDANCE_LOG!C:C,(ATTENDANCE_LOG!A:A=A80)*(ATTENDANCE_LOG!B:B=B80)),STUDENTS!A$2:A$309)&gt;0)*
  ((STUDENTS!R$2:R$309&lt;&gt;B80)+(STUDENTS!Q$2:Q$309&lt;&gt;A80)&gt;0))"),1.0)</f>
        <v>1</v>
      </c>
      <c r="E80" s="11">
        <f>SUMPRODUCT(
  (STUDENTS!Q$2:Q$309=A80)*
  (STUDENTS!R$2:R$309=B80)*
  (STUDENTS!E$2:E$309="Waiting for class"))</f>
        <v>0</v>
      </c>
      <c r="F80" s="11">
        <f>SUMPRODUCT(
  (STUDENTS!Q$2:Q$309=A80)*
  (STUDENTS!R$2:R$309=B80)*
  (STUDENTS!L$2:L$309="❌ Dropped"))</f>
        <v>7</v>
      </c>
      <c r="G80" s="11">
        <f>SUMPRODUCT(
  (STUDENTS!Q$2:Q$309=A80)*
  (STUDENTS!R$2:R$309=B80)*
  (STUDENTS!L$2:L$309="✅ Completed"))</f>
        <v>0</v>
      </c>
      <c r="J80" s="17"/>
    </row>
    <row r="81">
      <c r="A81" s="11" t="s">
        <v>91</v>
      </c>
      <c r="B81" s="11" t="s">
        <v>22</v>
      </c>
      <c r="C81" s="11">
        <f>SUMPRODUCT(
  (STUDENTS!Q$2:Q$309=A81)*
  (STUDENTS!R$2:R$309=B81)*
  (STUDENTS!E$2:E$309="Active"))</f>
        <v>0</v>
      </c>
      <c r="D81" s="11">
        <f>IFERROR(__xludf.DUMMYFUNCTION("SUMPRODUCT(
  (COUNTIF(FILTER(ATTENDANCE_LOG!C:C,(ATTENDANCE_LOG!A:A=A81)*(ATTENDANCE_LOG!B:B=B81)),STUDENTS!A$2:A$309)&gt;0)*
  ((STUDENTS!R$2:R$309&lt;&gt;B81)+(STUDENTS!Q$2:Q$309&lt;&gt;A81)&gt;0))"),6.0)</f>
        <v>6</v>
      </c>
      <c r="E81" s="11">
        <f>SUMPRODUCT(
  (STUDENTS!Q$2:Q$309=A81)*
  (STUDENTS!R$2:R$309=B81)*
  (STUDENTS!E$2:E$309="Waiting for class"))</f>
        <v>0</v>
      </c>
      <c r="F81" s="11">
        <f>SUMPRODUCT(
  (STUDENTS!Q$2:Q$309=A81)*
  (STUDENTS!R$2:R$309=B81)*
  (STUDENTS!L$2:L$309="❌ Dropped"))</f>
        <v>0</v>
      </c>
      <c r="G81" s="11">
        <f>SUMPRODUCT(
  (STUDENTS!Q$2:Q$309=A81)*
  (STUDENTS!R$2:R$309=B81)*
  (STUDENTS!L$2:L$309="✅ Completed"))</f>
        <v>0</v>
      </c>
      <c r="J81" s="17"/>
    </row>
    <row r="82">
      <c r="A82" s="11" t="s">
        <v>91</v>
      </c>
      <c r="B82" s="11" t="s">
        <v>23</v>
      </c>
      <c r="C82" s="11">
        <f>SUMPRODUCT(
  (STUDENTS!Q$2:Q$309=A82)*
  (STUDENTS!R$2:R$309=B82)*
  (STUDENTS!E$2:E$309="Active"))</f>
        <v>5</v>
      </c>
      <c r="D82" s="11">
        <f>IFERROR(__xludf.DUMMYFUNCTION("SUMPRODUCT(
  (COUNTIF(FILTER(ATTENDANCE_LOG!C:C,(ATTENDANCE_LOG!A:A=A82)*(ATTENDANCE_LOG!B:B=B82)),STUDENTS!A$2:A$309)&gt;0)*
  ((STUDENTS!R$2:R$309&lt;&gt;B82)+(STUDENTS!Q$2:Q$309&lt;&gt;A82)&gt;0))"),0.0)</f>
        <v>0</v>
      </c>
      <c r="E82" s="11">
        <f>SUMPRODUCT(
  (STUDENTS!Q$2:Q$309=A82)*
  (STUDENTS!R$2:R$309=B82)*
  (STUDENTS!E$2:E$309="Waiting for class"))</f>
        <v>0</v>
      </c>
      <c r="F82" s="11">
        <f>SUMPRODUCT(
  (STUDENTS!Q$2:Q$309=A82)*
  (STUDENTS!R$2:R$309=B82)*
  (STUDENTS!L$2:L$309="❌ Dropped"))</f>
        <v>1</v>
      </c>
      <c r="G82" s="11">
        <f>SUMPRODUCT(
  (STUDENTS!Q$2:Q$309=A82)*
  (STUDENTS!R$2:R$309=B82)*
  (STUDENTS!L$2:L$309="✅ Completed"))</f>
        <v>0</v>
      </c>
      <c r="J82" s="17"/>
    </row>
    <row r="83">
      <c r="A83" s="11" t="s">
        <v>92</v>
      </c>
      <c r="B83" s="11" t="s">
        <v>26</v>
      </c>
      <c r="C83" s="11">
        <f>SUMPRODUCT(
  (STUDENTS!Q$2:Q$309=A83)*
  (STUDENTS!R$2:R$309=B83)*
  (STUDENTS!E$2:E$309="Active"))</f>
        <v>0</v>
      </c>
      <c r="D83" s="11">
        <f>IFERROR(__xludf.DUMMYFUNCTION("SUMPRODUCT(
  (COUNTIF(FILTER(ATTENDANCE_LOG!C:C,(ATTENDANCE_LOG!A:A=A83)*(ATTENDANCE_LOG!B:B=B83)),STUDENTS!A$2:A$309)&gt;0)*
  ((STUDENTS!R$2:R$309&lt;&gt;B83)+(STUDENTS!Q$2:Q$309&lt;&gt;A83)&gt;0))"),2.0)</f>
        <v>2</v>
      </c>
      <c r="E83" s="11">
        <f>SUMPRODUCT(
  (STUDENTS!Q$2:Q$309=A83)*
  (STUDENTS!R$2:R$309=B83)*
  (STUDENTS!E$2:E$309="Waiting for class"))</f>
        <v>0</v>
      </c>
      <c r="F83" s="11">
        <f>SUMPRODUCT(
  (STUDENTS!Q$2:Q$309=A83)*
  (STUDENTS!R$2:R$309=B83)*
  (STUDENTS!L$2:L$309="❌ Dropped"))</f>
        <v>2</v>
      </c>
      <c r="G83" s="11">
        <f>SUMPRODUCT(
  (STUDENTS!Q$2:Q$309=A83)*
  (STUDENTS!R$2:R$309=B83)*
  (STUDENTS!L$2:L$309="✅ Completed"))</f>
        <v>4</v>
      </c>
      <c r="J83" s="17"/>
    </row>
    <row r="84">
      <c r="A84" s="11" t="s">
        <v>93</v>
      </c>
      <c r="B84" s="11" t="s">
        <v>22</v>
      </c>
      <c r="C84" s="11">
        <f>SUMPRODUCT(
  (STUDENTS!Q$2:Q$309=A84)*
  (STUDENTS!R$2:R$309=B84)*
  (STUDENTS!E$2:E$309="Active"))</f>
        <v>0</v>
      </c>
      <c r="D84" s="11">
        <f>IFERROR(__xludf.DUMMYFUNCTION("SUMPRODUCT(
  (COUNTIF(FILTER(ATTENDANCE_LOG!C:C,(ATTENDANCE_LOG!A:A=A84)*(ATTENDANCE_LOG!B:B=B84)),STUDENTS!A$2:A$309)&gt;0)*
  ((STUDENTS!R$2:R$309&lt;&gt;B84)+(STUDENTS!Q$2:Q$309&lt;&gt;A84)&gt;0))"),2.0)</f>
        <v>2</v>
      </c>
      <c r="E84" s="11">
        <f>SUMPRODUCT(
  (STUDENTS!Q$2:Q$309=A84)*
  (STUDENTS!R$2:R$309=B84)*
  (STUDENTS!E$2:E$309="Waiting for class"))</f>
        <v>0</v>
      </c>
      <c r="F84" s="11">
        <f>SUMPRODUCT(
  (STUDENTS!Q$2:Q$309=A84)*
  (STUDENTS!R$2:R$309=B84)*
  (STUDENTS!L$2:L$309="❌ Dropped"))</f>
        <v>4</v>
      </c>
      <c r="G84" s="11">
        <f>SUMPRODUCT(
  (STUDENTS!Q$2:Q$309=A84)*
  (STUDENTS!R$2:R$309=B84)*
  (STUDENTS!L$2:L$309="✅ Completed"))</f>
        <v>0</v>
      </c>
      <c r="J84" s="17"/>
    </row>
    <row r="85">
      <c r="C85" s="11">
        <f>SUMPRODUCT(
  (STUDENTS!Q$2:Q$309=A85)*
  (STUDENTS!R$2:R$309=B85)*
  (STUDENTS!E$2:E$309="Active"))</f>
        <v>7</v>
      </c>
      <c r="D85" s="11">
        <f>IFERROR(__xludf.DUMMYFUNCTION("SUMPRODUCT(
  (COUNTIF(FILTER(ATTENDANCE_LOG!C:C,(ATTENDANCE_LOG!A:A=A85)*(ATTENDANCE_LOG!B:B=B85)),STUDENTS!A$2:A$309)&gt;0)*
  ((STUDENTS!R$2:R$309&lt;&gt;B85)+(STUDENTS!Q$2:Q$309&lt;&gt;A85)&gt;0))"),0.0)</f>
        <v>0</v>
      </c>
      <c r="E85" s="11">
        <f>SUMPRODUCT(
  (STUDENTS!Q$2:Q$309=A85)*
  (STUDENTS!R$2:R$309=B85)*
  (STUDENTS!E$2:E$309="Waiting for class"))</f>
        <v>0</v>
      </c>
      <c r="F85" s="11">
        <f>SUMPRODUCT(
  (STUDENTS!Q$2:Q$309=A85)*
  (STUDENTS!R$2:R$309=B85)*
  (STUDENTS!L$2:L$309="❌ Dropped"))</f>
        <v>0</v>
      </c>
      <c r="G85" s="11">
        <f>SUMPRODUCT(
  (STUDENTS!Q$2:Q$309=A85)*
  (STUDENTS!R$2:R$309=B85)*
  (STUDENTS!L$2:L$309="✅ Completed"))</f>
        <v>0</v>
      </c>
      <c r="J85" s="17"/>
    </row>
    <row r="86">
      <c r="C86" s="11">
        <f>SUMPRODUCT(
  (STUDENTS!Q$2:Q$309=A86)*
  (STUDENTS!R$2:R$309=B86)*
  (STUDENTS!E$2:E$309="Active"))</f>
        <v>7</v>
      </c>
      <c r="D86" s="11">
        <f>IFERROR(__xludf.DUMMYFUNCTION("SUMPRODUCT(
  (COUNTIF(FILTER(ATTENDANCE_LOG!C:C,(ATTENDANCE_LOG!A:A=A86)*(ATTENDANCE_LOG!B:B=B86)),STUDENTS!A$2:A$309)&gt;0)*
  ((STUDENTS!R$2:R$309&lt;&gt;B86)+(STUDENTS!Q$2:Q$309&lt;&gt;A86)&gt;0))"),0.0)</f>
        <v>0</v>
      </c>
      <c r="E86" s="11">
        <f>SUMPRODUCT(
  (STUDENTS!Q$2:Q$309=A86)*
  (STUDENTS!R$2:R$309=B86)*
  (STUDENTS!E$2:E$309="Waiting for class"))</f>
        <v>0</v>
      </c>
      <c r="F86" s="11">
        <f>SUMPRODUCT(
  (STUDENTS!Q$2:Q$309=A86)*
  (STUDENTS!R$2:R$309=B86)*
  (STUDENTS!L$2:L$309="❌ Dropped"))</f>
        <v>0</v>
      </c>
      <c r="G86" s="11">
        <f>SUMPRODUCT(
  (STUDENTS!Q$2:Q$309=A86)*
  (STUDENTS!R$2:R$309=B86)*
  (STUDENTS!L$2:L$309="✅ Completed"))</f>
        <v>0</v>
      </c>
      <c r="J86" s="17"/>
    </row>
    <row r="87">
      <c r="C87" s="11">
        <f>SUMPRODUCT(
  (STUDENTS!Q$2:Q$309=A87)*
  (STUDENTS!R$2:R$309=B87)*
  (STUDENTS!E$2:E$309="Active"))</f>
        <v>7</v>
      </c>
      <c r="D87" s="11">
        <f>IFERROR(__xludf.DUMMYFUNCTION("SUMPRODUCT(
  (COUNTIF(FILTER(ATTENDANCE_LOG!C:C,(ATTENDANCE_LOG!A:A=A87)*(ATTENDANCE_LOG!B:B=B87)),STUDENTS!A$2:A$309)&gt;0)*
  ((STUDENTS!R$2:R$309&lt;&gt;B87)+(STUDENTS!Q$2:Q$309&lt;&gt;A87)&gt;0))"),0.0)</f>
        <v>0</v>
      </c>
      <c r="E87" s="11">
        <f>SUMPRODUCT(
  (STUDENTS!Q$2:Q$309=A87)*
  (STUDENTS!R$2:R$309=B87)*
  (STUDENTS!E$2:E$309="Waiting for class"))</f>
        <v>0</v>
      </c>
      <c r="F87" s="11">
        <f>SUMPRODUCT(
  (STUDENTS!Q$2:Q$309=A87)*
  (STUDENTS!R$2:R$309=B87)*
  (STUDENTS!L$2:L$309="❌ Dropped"))</f>
        <v>0</v>
      </c>
      <c r="G87" s="11">
        <f>SUMPRODUCT(
  (STUDENTS!Q$2:Q$309=A87)*
  (STUDENTS!R$2:R$309=B87)*
  (STUDENTS!L$2:L$309="✅ Completed"))</f>
        <v>0</v>
      </c>
      <c r="J87" s="17"/>
    </row>
    <row r="88">
      <c r="C88" s="11">
        <f>SUMPRODUCT(
  (STUDENTS!Q$2:Q$309=A88)*
  (STUDENTS!R$2:R$309=B88)*
  (STUDENTS!E$2:E$309="Active"))</f>
        <v>7</v>
      </c>
      <c r="D88" s="11">
        <f>IFERROR(__xludf.DUMMYFUNCTION("SUMPRODUCT(
  (COUNTIF(FILTER(ATTENDANCE_LOG!C:C,(ATTENDANCE_LOG!A:A=A88)*(ATTENDANCE_LOG!B:B=B88)),STUDENTS!A$2:A$309)&gt;0)*
  ((STUDENTS!R$2:R$309&lt;&gt;B88)+(STUDENTS!Q$2:Q$309&lt;&gt;A88)&gt;0))"),0.0)</f>
        <v>0</v>
      </c>
      <c r="E88" s="11">
        <f>SUMPRODUCT(
  (STUDENTS!Q$2:Q$309=A88)*
  (STUDENTS!R$2:R$309=B88)*
  (STUDENTS!E$2:E$309="Waiting for class"))</f>
        <v>0</v>
      </c>
      <c r="F88" s="11">
        <f>SUMPRODUCT(
  (STUDENTS!Q$2:Q$309=A88)*
  (STUDENTS!R$2:R$309=B88)*
  (STUDENTS!L$2:L$309="❌ Dropped"))</f>
        <v>0</v>
      </c>
      <c r="G88" s="11">
        <f>SUMPRODUCT(
  (STUDENTS!Q$2:Q$309=A88)*
  (STUDENTS!R$2:R$309=B88)*
  (STUDENTS!L$2:L$309="✅ Completed"))</f>
        <v>0</v>
      </c>
    </row>
    <row r="89">
      <c r="C89" s="11">
        <f>SUMPRODUCT(
  (STUDENTS!Q$2:Q$309=A89)*
  (STUDENTS!R$2:R$309=B89)*
  (STUDENTS!E$2:E$309="Active"))</f>
        <v>7</v>
      </c>
      <c r="D89" s="11">
        <f>IFERROR(__xludf.DUMMYFUNCTION("SUMPRODUCT(
  (COUNTIF(FILTER(ATTENDANCE_LOG!C:C,(ATTENDANCE_LOG!A:A=A89)*(ATTENDANCE_LOG!B:B=B89)),STUDENTS!A$2:A$309)&gt;0)*
  ((STUDENTS!R$2:R$309&lt;&gt;B89)+(STUDENTS!Q$2:Q$309&lt;&gt;A89)&gt;0))"),0.0)</f>
        <v>0</v>
      </c>
      <c r="E89" s="11">
        <f>SUMPRODUCT(
  (STUDENTS!Q$2:Q$309=A89)*
  (STUDENTS!R$2:R$309=B89)*
  (STUDENTS!E$2:E$309="Waiting for class"))</f>
        <v>0</v>
      </c>
      <c r="F89" s="11">
        <f>SUMPRODUCT(
  (STUDENTS!Q$2:Q$309=A89)*
  (STUDENTS!R$2:R$309=B89)*
  (STUDENTS!L$2:L$309="❌ Dropped"))</f>
        <v>0</v>
      </c>
      <c r="G89" s="11">
        <f>SUMPRODUCT(
  (STUDENTS!Q$2:Q$309=A89)*
  (STUDENTS!R$2:R$309=B89)*
  (STUDENTS!L$2:L$309="✅ Completed"))</f>
        <v>0</v>
      </c>
    </row>
    <row r="90">
      <c r="C90" s="11">
        <f>SUMPRODUCT(
  (STUDENTS!Q$2:Q$309=A90)*
  (STUDENTS!R$2:R$309=B90)*
  (STUDENTS!E$2:E$309="Active"))</f>
        <v>7</v>
      </c>
      <c r="D90" s="11">
        <f>IFERROR(__xludf.DUMMYFUNCTION("SUMPRODUCT(
  (COUNTIF(FILTER(ATTENDANCE_LOG!C:C,(ATTENDANCE_LOG!A:A=A90)*(ATTENDANCE_LOG!B:B=B90)),STUDENTS!A$2:A$309)&gt;0)*
  ((STUDENTS!R$2:R$309&lt;&gt;B90)+(STUDENTS!Q$2:Q$309&lt;&gt;A90)&gt;0))"),0.0)</f>
        <v>0</v>
      </c>
      <c r="E90" s="11">
        <f>SUMPRODUCT(
  (STUDENTS!Q$2:Q$309=A90)*
  (STUDENTS!R$2:R$309=B90)*
  (STUDENTS!E$2:E$309="Waiting for class"))</f>
        <v>0</v>
      </c>
      <c r="F90" s="11">
        <f>SUMPRODUCT(
  (STUDENTS!Q$2:Q$309=A90)*
  (STUDENTS!R$2:R$309=B90)*
  (STUDENTS!L$2:L$309="❌ Dropped"))</f>
        <v>0</v>
      </c>
      <c r="G90" s="11">
        <f>SUMPRODUCT(
  (STUDENTS!Q$2:Q$309=A90)*
  (STUDENTS!R$2:R$309=B90)*
  (STUDENTS!L$2:L$309="✅ Completed"))</f>
        <v>0</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15.0"/>
    <col customWidth="1" min="3" max="6" width="14.43"/>
  </cols>
  <sheetData>
    <row r="1">
      <c r="A1" s="155" t="s">
        <v>2197</v>
      </c>
      <c r="B1" s="155" t="s">
        <v>2198</v>
      </c>
      <c r="C1" s="253"/>
      <c r="D1" s="253"/>
      <c r="E1" s="253"/>
      <c r="F1" s="253"/>
    </row>
    <row r="2">
      <c r="A2" s="472" t="s">
        <v>1070</v>
      </c>
      <c r="B2" s="472">
        <v>0.0</v>
      </c>
      <c r="C2" s="253"/>
      <c r="D2" s="473" t="s">
        <v>2199</v>
      </c>
      <c r="E2" s="253"/>
      <c r="F2" s="253"/>
    </row>
    <row r="3">
      <c r="A3" s="472" t="s">
        <v>26</v>
      </c>
      <c r="B3" s="472">
        <v>0.5</v>
      </c>
      <c r="C3" s="253"/>
      <c r="E3" s="253"/>
      <c r="F3" s="253"/>
    </row>
    <row r="4">
      <c r="A4" s="474" t="s">
        <v>849</v>
      </c>
      <c r="B4" s="474">
        <v>1.0</v>
      </c>
      <c r="C4" s="253"/>
      <c r="E4" s="253"/>
      <c r="F4" s="253"/>
    </row>
    <row r="5">
      <c r="A5" s="474" t="s">
        <v>853</v>
      </c>
      <c r="B5" s="474">
        <v>1.5</v>
      </c>
      <c r="C5" s="253"/>
      <c r="E5" s="253"/>
      <c r="F5" s="253"/>
    </row>
    <row r="6">
      <c r="A6" s="474" t="s">
        <v>864</v>
      </c>
      <c r="B6" s="474">
        <v>2.0</v>
      </c>
      <c r="C6" s="253"/>
      <c r="E6" s="442" t="s">
        <v>2200</v>
      </c>
      <c r="F6" s="253"/>
    </row>
    <row r="7">
      <c r="A7" s="474" t="s">
        <v>845</v>
      </c>
      <c r="B7" s="474">
        <v>2.5</v>
      </c>
      <c r="C7" s="253"/>
      <c r="D7" s="473" t="s">
        <v>2201</v>
      </c>
      <c r="E7" s="253"/>
      <c r="F7" s="253"/>
    </row>
    <row r="8">
      <c r="A8" s="474" t="s">
        <v>846</v>
      </c>
      <c r="B8" s="474">
        <v>3.0</v>
      </c>
      <c r="C8" s="253"/>
      <c r="E8" s="253"/>
      <c r="F8" s="253"/>
    </row>
    <row r="9">
      <c r="A9" s="474" t="s">
        <v>861</v>
      </c>
      <c r="B9" s="474">
        <v>3.5</v>
      </c>
      <c r="C9" s="253"/>
      <c r="E9" s="253"/>
      <c r="F9" s="253"/>
    </row>
    <row r="10">
      <c r="A10" s="472" t="s">
        <v>989</v>
      </c>
      <c r="B10" s="472">
        <v>4.0</v>
      </c>
      <c r="C10" s="253"/>
      <c r="E10" s="442" t="s">
        <v>2202</v>
      </c>
      <c r="F10" s="253"/>
    </row>
    <row r="11">
      <c r="A11" s="474" t="s">
        <v>858</v>
      </c>
      <c r="B11" s="472">
        <v>4.5</v>
      </c>
      <c r="C11" s="253"/>
      <c r="D11" s="473" t="s">
        <v>2203</v>
      </c>
      <c r="E11" s="253"/>
      <c r="F11" s="253"/>
    </row>
    <row r="12">
      <c r="A12" s="474" t="s">
        <v>868</v>
      </c>
      <c r="B12" s="472">
        <v>5.0</v>
      </c>
      <c r="C12" s="253"/>
      <c r="E12" s="253"/>
      <c r="F12" s="253"/>
    </row>
    <row r="13">
      <c r="A13" s="474" t="s">
        <v>865</v>
      </c>
      <c r="B13" s="472">
        <v>5.5</v>
      </c>
      <c r="C13" s="253"/>
      <c r="E13" s="442" t="s">
        <v>2204</v>
      </c>
      <c r="F13" s="253"/>
    </row>
    <row r="14">
      <c r="A14" s="474" t="s">
        <v>972</v>
      </c>
      <c r="B14" s="472">
        <v>6.0</v>
      </c>
      <c r="C14" s="253"/>
      <c r="D14" s="473" t="s">
        <v>2205</v>
      </c>
      <c r="E14" s="253"/>
      <c r="F14" s="253"/>
    </row>
    <row r="15">
      <c r="A15" s="474" t="s">
        <v>1325</v>
      </c>
      <c r="B15" s="472">
        <v>6.5</v>
      </c>
      <c r="C15" s="253"/>
      <c r="E15" s="442" t="s">
        <v>2206</v>
      </c>
      <c r="F15" s="253"/>
    </row>
    <row r="16">
      <c r="A16" s="253"/>
      <c r="B16" s="253"/>
      <c r="C16" s="253"/>
      <c r="D16" s="253"/>
      <c r="E16" s="253"/>
      <c r="F16" s="253"/>
    </row>
    <row r="17">
      <c r="A17" s="253"/>
      <c r="B17" s="253"/>
      <c r="C17" s="253"/>
      <c r="D17" s="253"/>
      <c r="E17" s="253"/>
      <c r="F17" s="253"/>
    </row>
    <row r="18">
      <c r="A18" s="253"/>
      <c r="B18" s="253"/>
      <c r="C18" s="253"/>
      <c r="D18" s="253"/>
      <c r="E18" s="253"/>
      <c r="F18" s="253"/>
    </row>
    <row r="19">
      <c r="A19" s="253"/>
      <c r="B19" s="253"/>
      <c r="C19" s="253"/>
      <c r="D19" s="253"/>
      <c r="E19" s="253"/>
      <c r="F19" s="253"/>
    </row>
    <row r="20">
      <c r="A20" s="253"/>
      <c r="B20" s="253"/>
      <c r="C20" s="253"/>
      <c r="D20" s="253"/>
      <c r="E20" s="253"/>
      <c r="F20" s="253"/>
    </row>
    <row r="21">
      <c r="A21" s="253"/>
      <c r="B21" s="253"/>
      <c r="C21" s="253"/>
      <c r="D21" s="253"/>
      <c r="E21" s="253"/>
      <c r="F21" s="253"/>
    </row>
    <row r="22">
      <c r="A22" s="253"/>
      <c r="B22" s="253"/>
      <c r="C22" s="253"/>
      <c r="D22" s="253"/>
      <c r="E22" s="253"/>
      <c r="F22" s="253"/>
    </row>
    <row r="23">
      <c r="A23" s="253"/>
      <c r="B23" s="253"/>
      <c r="C23" s="253"/>
      <c r="D23" s="253"/>
      <c r="E23" s="253"/>
      <c r="F23" s="253"/>
    </row>
    <row r="24" ht="15.75" customHeight="1">
      <c r="A24" s="253"/>
      <c r="B24" s="253"/>
      <c r="C24" s="253"/>
      <c r="D24" s="253"/>
      <c r="E24" s="253"/>
      <c r="F24" s="253"/>
    </row>
    <row r="25" ht="15.75" customHeight="1">
      <c r="A25" s="253"/>
      <c r="B25" s="253"/>
      <c r="C25" s="253"/>
      <c r="D25" s="253"/>
      <c r="E25" s="253"/>
      <c r="F25" s="253"/>
    </row>
    <row r="26" ht="15.75" customHeight="1">
      <c r="A26" s="253"/>
      <c r="B26" s="253"/>
      <c r="C26" s="253"/>
      <c r="D26" s="253"/>
      <c r="E26" s="253"/>
      <c r="F26" s="253"/>
    </row>
    <row r="27" ht="15.75" customHeight="1">
      <c r="A27" s="253"/>
      <c r="B27" s="253"/>
      <c r="C27" s="253"/>
      <c r="D27" s="253"/>
      <c r="E27" s="253"/>
      <c r="F27" s="253"/>
    </row>
    <row r="28" ht="15.75" customHeight="1">
      <c r="A28" s="253"/>
      <c r="B28" s="253"/>
      <c r="C28" s="253"/>
      <c r="D28" s="253"/>
      <c r="E28" s="253"/>
      <c r="F28" s="253"/>
    </row>
    <row r="29" ht="15.75" customHeight="1">
      <c r="A29" s="253"/>
      <c r="B29" s="253"/>
      <c r="C29" s="253"/>
      <c r="D29" s="253"/>
      <c r="E29" s="253"/>
      <c r="F29" s="253"/>
    </row>
    <row r="30" ht="15.75" customHeight="1">
      <c r="A30" s="253"/>
      <c r="B30" s="253"/>
      <c r="C30" s="253"/>
      <c r="D30" s="253"/>
      <c r="E30" s="253"/>
      <c r="F30" s="253"/>
    </row>
    <row r="31" ht="15.75" customHeight="1">
      <c r="A31" s="253"/>
      <c r="B31" s="253"/>
      <c r="C31" s="253"/>
      <c r="D31" s="253"/>
      <c r="E31" s="253"/>
      <c r="F31" s="253"/>
    </row>
    <row r="32" ht="15.75" customHeight="1">
      <c r="A32" s="253"/>
      <c r="B32" s="253"/>
      <c r="C32" s="253"/>
      <c r="D32" s="253"/>
      <c r="E32" s="253"/>
      <c r="F32" s="253"/>
    </row>
    <row r="33" ht="15.75" customHeight="1">
      <c r="A33" s="253"/>
      <c r="B33" s="253"/>
      <c r="C33" s="253"/>
      <c r="D33" s="253"/>
      <c r="E33" s="253"/>
      <c r="F33" s="253"/>
    </row>
    <row r="34" ht="15.75" customHeight="1">
      <c r="A34" s="253"/>
      <c r="B34" s="253"/>
      <c r="C34" s="253"/>
      <c r="D34" s="253"/>
      <c r="E34" s="253"/>
      <c r="F34" s="253"/>
    </row>
    <row r="35" ht="15.75" customHeight="1">
      <c r="A35" s="253"/>
      <c r="B35" s="253"/>
      <c r="C35" s="253"/>
      <c r="D35" s="253"/>
      <c r="E35" s="253"/>
      <c r="F35" s="253"/>
    </row>
    <row r="36" ht="15.75" customHeight="1">
      <c r="A36" s="253"/>
      <c r="B36" s="253"/>
      <c r="C36" s="253"/>
      <c r="D36" s="253"/>
      <c r="E36" s="253"/>
      <c r="F36" s="253"/>
    </row>
    <row r="37" ht="15.75" customHeight="1">
      <c r="A37" s="253"/>
      <c r="B37" s="253"/>
      <c r="C37" s="253"/>
      <c r="D37" s="253"/>
      <c r="E37" s="253"/>
      <c r="F37" s="253"/>
    </row>
    <row r="38" ht="15.75" customHeight="1">
      <c r="A38" s="253"/>
      <c r="B38" s="253"/>
      <c r="C38" s="253"/>
      <c r="D38" s="253"/>
      <c r="E38" s="253"/>
      <c r="F38" s="253"/>
    </row>
    <row r="39" ht="15.75" customHeight="1">
      <c r="A39" s="253"/>
      <c r="B39" s="253"/>
      <c r="C39" s="253"/>
      <c r="D39" s="253"/>
      <c r="E39" s="253"/>
      <c r="F39" s="253"/>
    </row>
    <row r="40" ht="15.75" customHeight="1">
      <c r="A40" s="253"/>
      <c r="B40" s="253"/>
      <c r="C40" s="253"/>
      <c r="D40" s="253"/>
      <c r="E40" s="253"/>
      <c r="F40" s="253"/>
    </row>
    <row r="41" ht="15.75" customHeight="1">
      <c r="A41" s="253"/>
      <c r="B41" s="253"/>
      <c r="C41" s="253"/>
      <c r="D41" s="253"/>
      <c r="E41" s="253"/>
      <c r="F41" s="253"/>
    </row>
    <row r="42" ht="15.75" customHeight="1">
      <c r="A42" s="253"/>
      <c r="B42" s="253"/>
      <c r="C42" s="253"/>
      <c r="D42" s="253"/>
      <c r="E42" s="253"/>
      <c r="F42" s="253"/>
    </row>
    <row r="43" ht="15.75" customHeight="1">
      <c r="A43" s="253"/>
      <c r="B43" s="253"/>
      <c r="C43" s="253"/>
      <c r="D43" s="253"/>
      <c r="E43" s="253"/>
      <c r="F43" s="253"/>
    </row>
    <row r="44" ht="15.75" customHeight="1">
      <c r="A44" s="253"/>
      <c r="B44" s="253"/>
      <c r="C44" s="253"/>
      <c r="D44" s="253"/>
      <c r="E44" s="253"/>
      <c r="F44" s="253"/>
    </row>
    <row r="45" ht="15.75" customHeight="1">
      <c r="A45" s="253"/>
      <c r="B45" s="253"/>
      <c r="C45" s="253"/>
      <c r="D45" s="253"/>
      <c r="E45" s="253"/>
      <c r="F45" s="253"/>
    </row>
    <row r="46" ht="15.75" customHeight="1">
      <c r="A46" s="253"/>
      <c r="B46" s="253"/>
      <c r="C46" s="253"/>
      <c r="D46" s="253"/>
      <c r="E46" s="253"/>
      <c r="F46" s="253"/>
    </row>
    <row r="47" ht="15.75" customHeight="1">
      <c r="A47" s="253"/>
      <c r="B47" s="253"/>
      <c r="C47" s="253"/>
      <c r="D47" s="253"/>
      <c r="E47" s="253"/>
      <c r="F47" s="253"/>
    </row>
    <row r="48" ht="15.75" customHeight="1">
      <c r="A48" s="253"/>
      <c r="B48" s="253"/>
      <c r="C48" s="253"/>
      <c r="D48" s="253"/>
      <c r="E48" s="253"/>
      <c r="F48" s="253"/>
    </row>
    <row r="49" ht="15.75" customHeight="1">
      <c r="A49" s="253"/>
      <c r="B49" s="253"/>
      <c r="C49" s="253"/>
      <c r="D49" s="253"/>
      <c r="E49" s="253"/>
      <c r="F49" s="253"/>
    </row>
    <row r="50" ht="15.75" customHeight="1">
      <c r="A50" s="253"/>
      <c r="B50" s="253"/>
      <c r="C50" s="253"/>
      <c r="D50" s="253"/>
      <c r="E50" s="253"/>
      <c r="F50" s="253"/>
    </row>
    <row r="51" ht="15.75" customHeight="1">
      <c r="A51" s="253"/>
      <c r="B51" s="253"/>
      <c r="C51" s="253"/>
      <c r="D51" s="253"/>
      <c r="E51" s="253"/>
      <c r="F51" s="253"/>
    </row>
    <row r="52" ht="15.75" customHeight="1">
      <c r="A52" s="253"/>
      <c r="B52" s="253"/>
      <c r="C52" s="253"/>
      <c r="D52" s="253"/>
      <c r="E52" s="253"/>
      <c r="F52" s="253"/>
    </row>
    <row r="53" ht="15.75" customHeight="1">
      <c r="A53" s="253"/>
      <c r="B53" s="253"/>
      <c r="C53" s="253"/>
      <c r="D53" s="253"/>
      <c r="E53" s="253"/>
      <c r="F53" s="253"/>
    </row>
    <row r="54" ht="15.75" customHeight="1">
      <c r="A54" s="253"/>
      <c r="B54" s="253"/>
      <c r="C54" s="253"/>
      <c r="D54" s="253"/>
      <c r="E54" s="253"/>
      <c r="F54" s="253"/>
    </row>
    <row r="55" ht="15.75" customHeight="1">
      <c r="A55" s="253"/>
      <c r="B55" s="253"/>
      <c r="C55" s="253"/>
      <c r="D55" s="253"/>
      <c r="E55" s="253"/>
      <c r="F55" s="253"/>
    </row>
    <row r="56" ht="15.75" customHeight="1">
      <c r="A56" s="253"/>
      <c r="B56" s="253"/>
      <c r="C56" s="253"/>
      <c r="D56" s="253"/>
      <c r="E56" s="253"/>
      <c r="F56" s="253"/>
    </row>
    <row r="57" ht="15.75" customHeight="1">
      <c r="A57" s="253"/>
      <c r="B57" s="253"/>
      <c r="C57" s="253"/>
      <c r="D57" s="253"/>
      <c r="E57" s="253"/>
      <c r="F57" s="253"/>
    </row>
    <row r="58" ht="15.75" customHeight="1">
      <c r="A58" s="253"/>
      <c r="B58" s="253"/>
      <c r="C58" s="253"/>
      <c r="D58" s="253"/>
      <c r="E58" s="253"/>
      <c r="F58" s="253"/>
    </row>
    <row r="59" ht="15.75" customHeight="1">
      <c r="A59" s="253"/>
      <c r="B59" s="253"/>
      <c r="C59" s="253"/>
      <c r="D59" s="253"/>
      <c r="E59" s="253"/>
      <c r="F59" s="253"/>
    </row>
    <row r="60" ht="15.75" customHeight="1">
      <c r="A60" s="253"/>
      <c r="B60" s="253"/>
      <c r="C60" s="253"/>
      <c r="D60" s="253"/>
      <c r="E60" s="253"/>
      <c r="F60" s="253"/>
    </row>
    <row r="61" ht="15.75" customHeight="1">
      <c r="A61" s="253"/>
      <c r="B61" s="253"/>
      <c r="C61" s="253"/>
      <c r="D61" s="253"/>
      <c r="E61" s="253"/>
      <c r="F61" s="253"/>
    </row>
    <row r="62" ht="15.75" customHeight="1">
      <c r="A62" s="253"/>
      <c r="B62" s="253"/>
      <c r="C62" s="253"/>
      <c r="D62" s="253"/>
      <c r="E62" s="253"/>
      <c r="F62" s="253"/>
    </row>
    <row r="63" ht="15.75" customHeight="1">
      <c r="A63" s="253"/>
      <c r="B63" s="253"/>
      <c r="C63" s="253"/>
      <c r="D63" s="253"/>
      <c r="E63" s="253"/>
      <c r="F63" s="253"/>
    </row>
    <row r="64" ht="15.75" customHeight="1">
      <c r="A64" s="253"/>
      <c r="B64" s="253"/>
      <c r="C64" s="253"/>
      <c r="D64" s="253"/>
      <c r="E64" s="253"/>
      <c r="F64" s="253"/>
    </row>
    <row r="65" ht="15.75" customHeight="1">
      <c r="A65" s="253"/>
      <c r="B65" s="253"/>
      <c r="C65" s="253"/>
      <c r="D65" s="253"/>
      <c r="E65" s="253"/>
      <c r="F65" s="253"/>
    </row>
    <row r="66" ht="15.75" customHeight="1">
      <c r="A66" s="253"/>
      <c r="B66" s="253"/>
      <c r="C66" s="253"/>
      <c r="D66" s="253"/>
      <c r="E66" s="253"/>
      <c r="F66" s="253"/>
    </row>
    <row r="67" ht="15.75" customHeight="1">
      <c r="A67" s="253"/>
      <c r="B67" s="253"/>
      <c r="C67" s="253"/>
      <c r="D67" s="253"/>
      <c r="E67" s="253"/>
      <c r="F67" s="253"/>
    </row>
    <row r="68" ht="15.75" customHeight="1">
      <c r="A68" s="253"/>
      <c r="B68" s="253"/>
      <c r="C68" s="253"/>
      <c r="D68" s="253"/>
      <c r="E68" s="253"/>
      <c r="F68" s="253"/>
    </row>
    <row r="69" ht="15.75" customHeight="1">
      <c r="A69" s="253"/>
      <c r="B69" s="253"/>
      <c r="C69" s="253"/>
      <c r="D69" s="253"/>
      <c r="E69" s="253"/>
      <c r="F69" s="253"/>
    </row>
    <row r="70" ht="15.75" customHeight="1">
      <c r="A70" s="253"/>
      <c r="B70" s="253"/>
      <c r="C70" s="253"/>
      <c r="D70" s="253"/>
      <c r="E70" s="253"/>
      <c r="F70" s="253"/>
    </row>
    <row r="71" ht="15.75" customHeight="1">
      <c r="A71" s="253"/>
      <c r="B71" s="253"/>
      <c r="C71" s="253"/>
      <c r="D71" s="253"/>
      <c r="E71" s="253"/>
      <c r="F71" s="253"/>
    </row>
    <row r="72" ht="15.75" customHeight="1">
      <c r="A72" s="253"/>
      <c r="B72" s="253"/>
      <c r="C72" s="253"/>
      <c r="D72" s="253"/>
      <c r="E72" s="253"/>
      <c r="F72" s="253"/>
    </row>
    <row r="73" ht="15.75" customHeight="1">
      <c r="A73" s="253"/>
      <c r="B73" s="253"/>
      <c r="C73" s="253"/>
      <c r="D73" s="253"/>
      <c r="E73" s="253"/>
      <c r="F73" s="253"/>
    </row>
    <row r="74" ht="15.75" customHeight="1">
      <c r="A74" s="253"/>
      <c r="B74" s="253"/>
      <c r="C74" s="253"/>
      <c r="D74" s="253"/>
      <c r="E74" s="253"/>
      <c r="F74" s="253"/>
    </row>
    <row r="75" ht="15.75" customHeight="1">
      <c r="A75" s="253"/>
      <c r="B75" s="253"/>
      <c r="C75" s="253"/>
      <c r="D75" s="253"/>
      <c r="E75" s="253"/>
      <c r="F75" s="253"/>
    </row>
    <row r="76" ht="15.75" customHeight="1">
      <c r="A76" s="253"/>
      <c r="B76" s="253"/>
      <c r="C76" s="253"/>
      <c r="D76" s="253"/>
      <c r="E76" s="253"/>
      <c r="F76" s="253"/>
    </row>
    <row r="77" ht="15.75" customHeight="1">
      <c r="A77" s="253"/>
      <c r="B77" s="253"/>
      <c r="C77" s="253"/>
      <c r="D77" s="253"/>
      <c r="E77" s="253"/>
      <c r="F77" s="253"/>
    </row>
    <row r="78" ht="15.75" customHeight="1">
      <c r="A78" s="253"/>
      <c r="B78" s="253"/>
      <c r="C78" s="253"/>
      <c r="D78" s="253"/>
      <c r="E78" s="253"/>
      <c r="F78" s="253"/>
    </row>
    <row r="79" ht="15.75" customHeight="1">
      <c r="A79" s="253"/>
      <c r="B79" s="253"/>
      <c r="C79" s="253"/>
      <c r="D79" s="253"/>
      <c r="E79" s="253"/>
      <c r="F79" s="253"/>
    </row>
    <row r="80" ht="15.75" customHeight="1">
      <c r="A80" s="253"/>
      <c r="B80" s="253"/>
      <c r="C80" s="253"/>
      <c r="D80" s="253"/>
      <c r="E80" s="253"/>
      <c r="F80" s="253"/>
    </row>
    <row r="81" ht="15.75" customHeight="1">
      <c r="A81" s="253"/>
      <c r="B81" s="253"/>
      <c r="C81" s="253"/>
      <c r="D81" s="253"/>
      <c r="E81" s="253"/>
      <c r="F81" s="253"/>
    </row>
    <row r="82" ht="15.75" customHeight="1">
      <c r="A82" s="253"/>
      <c r="B82" s="253"/>
      <c r="C82" s="253"/>
      <c r="D82" s="253"/>
      <c r="E82" s="253"/>
      <c r="F82" s="253"/>
    </row>
    <row r="83" ht="15.75" customHeight="1">
      <c r="A83" s="253"/>
      <c r="B83" s="253"/>
      <c r="C83" s="253"/>
      <c r="D83" s="253"/>
      <c r="E83" s="253"/>
      <c r="F83" s="253"/>
    </row>
    <row r="84" ht="15.75" customHeight="1">
      <c r="A84" s="253"/>
      <c r="B84" s="253"/>
      <c r="C84" s="253"/>
      <c r="D84" s="253"/>
      <c r="E84" s="253"/>
      <c r="F84" s="253"/>
    </row>
    <row r="85" ht="15.75" customHeight="1">
      <c r="A85" s="253"/>
      <c r="B85" s="253"/>
      <c r="C85" s="253"/>
      <c r="D85" s="253"/>
      <c r="E85" s="253"/>
      <c r="F85" s="253"/>
    </row>
    <row r="86" ht="15.75" customHeight="1">
      <c r="A86" s="253"/>
      <c r="B86" s="253"/>
      <c r="C86" s="253"/>
      <c r="D86" s="253"/>
      <c r="E86" s="253"/>
      <c r="F86" s="253"/>
    </row>
    <row r="87" ht="15.75" customHeight="1">
      <c r="A87" s="253"/>
      <c r="B87" s="253"/>
      <c r="C87" s="253"/>
      <c r="D87" s="253"/>
      <c r="E87" s="253"/>
      <c r="F87" s="253"/>
    </row>
    <row r="88" ht="15.75" customHeight="1">
      <c r="A88" s="253"/>
      <c r="B88" s="253"/>
      <c r="C88" s="253"/>
      <c r="D88" s="253"/>
      <c r="E88" s="253"/>
      <c r="F88" s="253"/>
    </row>
    <row r="89" ht="15.75" customHeight="1">
      <c r="A89" s="253"/>
      <c r="B89" s="253"/>
      <c r="C89" s="253"/>
      <c r="D89" s="253"/>
      <c r="E89" s="253"/>
      <c r="F89" s="253"/>
    </row>
    <row r="90" ht="15.75" customHeight="1">
      <c r="A90" s="253"/>
      <c r="B90" s="253"/>
      <c r="C90" s="253"/>
      <c r="D90" s="253"/>
      <c r="E90" s="253"/>
      <c r="F90" s="253"/>
    </row>
    <row r="91" ht="15.75" customHeight="1">
      <c r="A91" s="253"/>
      <c r="B91" s="253"/>
      <c r="C91" s="253"/>
      <c r="D91" s="253"/>
      <c r="E91" s="253"/>
      <c r="F91" s="253"/>
    </row>
    <row r="92" ht="15.75" customHeight="1">
      <c r="A92" s="253"/>
      <c r="B92" s="253"/>
      <c r="C92" s="253"/>
      <c r="D92" s="253"/>
      <c r="E92" s="253"/>
      <c r="F92" s="253"/>
    </row>
    <row r="93" ht="15.75" customHeight="1">
      <c r="A93" s="253"/>
      <c r="B93" s="253"/>
      <c r="C93" s="253"/>
      <c r="D93" s="253"/>
      <c r="E93" s="253"/>
      <c r="F93" s="253"/>
    </row>
    <row r="94" ht="15.75" customHeight="1">
      <c r="A94" s="253"/>
      <c r="B94" s="253"/>
      <c r="C94" s="253"/>
      <c r="D94" s="253"/>
      <c r="E94" s="253"/>
      <c r="F94" s="253"/>
    </row>
    <row r="95" ht="15.75" customHeight="1">
      <c r="A95" s="253"/>
      <c r="B95" s="253"/>
      <c r="C95" s="253"/>
      <c r="D95" s="253"/>
      <c r="E95" s="253"/>
      <c r="F95" s="253"/>
    </row>
    <row r="96" ht="15.75" customHeight="1">
      <c r="A96" s="253"/>
      <c r="B96" s="253"/>
      <c r="C96" s="253"/>
      <c r="D96" s="253"/>
      <c r="E96" s="253"/>
      <c r="F96" s="253"/>
    </row>
    <row r="97" ht="15.75" customHeight="1">
      <c r="A97" s="253"/>
      <c r="B97" s="253"/>
      <c r="C97" s="253"/>
      <c r="D97" s="253"/>
      <c r="E97" s="253"/>
      <c r="F97" s="253"/>
    </row>
    <row r="98" ht="15.75" customHeight="1">
      <c r="A98" s="253"/>
      <c r="B98" s="253"/>
      <c r="C98" s="253"/>
      <c r="D98" s="253"/>
      <c r="E98" s="253"/>
      <c r="F98" s="253"/>
    </row>
    <row r="99" ht="15.75" customHeight="1">
      <c r="A99" s="253"/>
      <c r="B99" s="253"/>
      <c r="C99" s="253"/>
      <c r="D99" s="253"/>
      <c r="E99" s="253"/>
      <c r="F99" s="253"/>
    </row>
    <row r="100" ht="15.75" customHeight="1">
      <c r="A100" s="253"/>
      <c r="B100" s="253"/>
      <c r="C100" s="253"/>
      <c r="D100" s="253"/>
      <c r="E100" s="253"/>
      <c r="F100" s="253"/>
    </row>
    <row r="101" ht="15.75" customHeight="1">
      <c r="A101" s="253"/>
      <c r="B101" s="253"/>
      <c r="C101" s="253"/>
      <c r="D101" s="253"/>
      <c r="E101" s="253"/>
      <c r="F101" s="253"/>
    </row>
    <row r="102" ht="15.75" customHeight="1">
      <c r="A102" s="253"/>
      <c r="B102" s="253"/>
      <c r="C102" s="253"/>
      <c r="D102" s="253"/>
      <c r="E102" s="253"/>
      <c r="F102" s="253"/>
    </row>
    <row r="103" ht="15.75" customHeight="1">
      <c r="A103" s="253"/>
      <c r="B103" s="253"/>
      <c r="C103" s="253"/>
      <c r="D103" s="253"/>
      <c r="E103" s="253"/>
      <c r="F103" s="253"/>
    </row>
    <row r="104" ht="15.75" customHeight="1">
      <c r="A104" s="253"/>
      <c r="B104" s="253"/>
      <c r="C104" s="253"/>
      <c r="D104" s="253"/>
      <c r="E104" s="253"/>
      <c r="F104" s="253"/>
    </row>
    <row r="105" ht="15.75" customHeight="1">
      <c r="A105" s="253"/>
      <c r="B105" s="253"/>
      <c r="C105" s="253"/>
      <c r="D105" s="253"/>
      <c r="E105" s="253"/>
      <c r="F105" s="253"/>
    </row>
    <row r="106" ht="15.75" customHeight="1">
      <c r="A106" s="253"/>
      <c r="B106" s="253"/>
      <c r="C106" s="253"/>
      <c r="D106" s="253"/>
      <c r="E106" s="253"/>
      <c r="F106" s="253"/>
    </row>
    <row r="107" ht="15.75" customHeight="1">
      <c r="A107" s="253"/>
      <c r="B107" s="253"/>
      <c r="C107" s="253"/>
      <c r="D107" s="253"/>
      <c r="E107" s="253"/>
      <c r="F107" s="253"/>
    </row>
    <row r="108" ht="15.75" customHeight="1">
      <c r="A108" s="253"/>
      <c r="B108" s="253"/>
      <c r="C108" s="253"/>
      <c r="D108" s="253"/>
      <c r="E108" s="253"/>
      <c r="F108" s="253"/>
    </row>
    <row r="109" ht="15.75" customHeight="1">
      <c r="A109" s="253"/>
      <c r="B109" s="253"/>
      <c r="C109" s="253"/>
      <c r="D109" s="253"/>
      <c r="E109" s="253"/>
      <c r="F109" s="253"/>
    </row>
    <row r="110" ht="15.75" customHeight="1">
      <c r="A110" s="253"/>
      <c r="B110" s="253"/>
      <c r="C110" s="253"/>
      <c r="D110" s="253"/>
      <c r="E110" s="253"/>
      <c r="F110" s="253"/>
    </row>
    <row r="111" ht="15.75" customHeight="1">
      <c r="A111" s="253"/>
      <c r="B111" s="253"/>
      <c r="C111" s="253"/>
      <c r="D111" s="253"/>
      <c r="E111" s="253"/>
      <c r="F111" s="253"/>
    </row>
    <row r="112" ht="15.75" customHeight="1">
      <c r="A112" s="253"/>
      <c r="B112" s="253"/>
      <c r="C112" s="253"/>
      <c r="D112" s="253"/>
      <c r="E112" s="253"/>
      <c r="F112" s="253"/>
    </row>
    <row r="113" ht="15.75" customHeight="1">
      <c r="A113" s="253"/>
      <c r="B113" s="253"/>
      <c r="C113" s="253"/>
      <c r="D113" s="253"/>
      <c r="E113" s="253"/>
      <c r="F113" s="253"/>
    </row>
    <row r="114" ht="15.75" customHeight="1">
      <c r="A114" s="253"/>
      <c r="B114" s="253"/>
      <c r="C114" s="253"/>
      <c r="D114" s="253"/>
      <c r="E114" s="253"/>
      <c r="F114" s="253"/>
    </row>
    <row r="115" ht="15.75" customHeight="1">
      <c r="A115" s="253"/>
      <c r="B115" s="253"/>
      <c r="C115" s="253"/>
      <c r="D115" s="253"/>
      <c r="E115" s="253"/>
      <c r="F115" s="253"/>
    </row>
    <row r="116" ht="15.75" customHeight="1">
      <c r="A116" s="253"/>
      <c r="B116" s="253"/>
      <c r="C116" s="253"/>
      <c r="D116" s="253"/>
      <c r="E116" s="253"/>
      <c r="F116" s="253"/>
    </row>
    <row r="117" ht="15.75" customHeight="1">
      <c r="A117" s="253"/>
      <c r="B117" s="253"/>
      <c r="C117" s="253"/>
      <c r="D117" s="253"/>
      <c r="E117" s="253"/>
      <c r="F117" s="253"/>
    </row>
    <row r="118" ht="15.75" customHeight="1">
      <c r="A118" s="253"/>
      <c r="B118" s="253"/>
      <c r="C118" s="253"/>
      <c r="D118" s="253"/>
      <c r="E118" s="253"/>
      <c r="F118" s="253"/>
    </row>
    <row r="119" ht="15.75" customHeight="1">
      <c r="A119" s="253"/>
      <c r="B119" s="253"/>
      <c r="C119" s="253"/>
      <c r="D119" s="253"/>
      <c r="E119" s="253"/>
      <c r="F119" s="253"/>
    </row>
    <row r="120" ht="15.75" customHeight="1">
      <c r="A120" s="253"/>
      <c r="B120" s="253"/>
      <c r="C120" s="253"/>
      <c r="D120" s="253"/>
      <c r="E120" s="253"/>
      <c r="F120" s="253"/>
    </row>
    <row r="121" ht="15.75" customHeight="1">
      <c r="A121" s="253"/>
      <c r="B121" s="253"/>
      <c r="C121" s="253"/>
      <c r="D121" s="253"/>
      <c r="E121" s="253"/>
      <c r="F121" s="253"/>
    </row>
    <row r="122" ht="15.75" customHeight="1">
      <c r="A122" s="253"/>
      <c r="B122" s="253"/>
      <c r="C122" s="253"/>
      <c r="D122" s="253"/>
      <c r="E122" s="253"/>
      <c r="F122" s="253"/>
    </row>
    <row r="123" ht="15.75" customHeight="1">
      <c r="A123" s="253"/>
      <c r="B123" s="253"/>
      <c r="C123" s="253"/>
      <c r="D123" s="253"/>
      <c r="E123" s="253"/>
      <c r="F123" s="253"/>
    </row>
    <row r="124" ht="15.75" customHeight="1">
      <c r="A124" s="253"/>
      <c r="B124" s="253"/>
      <c r="C124" s="253"/>
      <c r="D124" s="253"/>
      <c r="E124" s="253"/>
      <c r="F124" s="253"/>
    </row>
    <row r="125" ht="15.75" customHeight="1">
      <c r="A125" s="253"/>
      <c r="B125" s="253"/>
      <c r="C125" s="253"/>
      <c r="D125" s="253"/>
      <c r="E125" s="253"/>
      <c r="F125" s="253"/>
    </row>
    <row r="126" ht="15.75" customHeight="1">
      <c r="A126" s="253"/>
      <c r="B126" s="253"/>
      <c r="C126" s="253"/>
      <c r="D126" s="253"/>
      <c r="E126" s="253"/>
      <c r="F126" s="253"/>
    </row>
    <row r="127" ht="15.75" customHeight="1">
      <c r="A127" s="253"/>
      <c r="B127" s="253"/>
      <c r="C127" s="253"/>
      <c r="D127" s="253"/>
      <c r="E127" s="253"/>
      <c r="F127" s="253"/>
    </row>
    <row r="128" ht="15.75" customHeight="1">
      <c r="A128" s="253"/>
      <c r="B128" s="253"/>
      <c r="C128" s="253"/>
      <c r="D128" s="253"/>
      <c r="E128" s="253"/>
      <c r="F128" s="253"/>
    </row>
    <row r="129" ht="15.75" customHeight="1">
      <c r="A129" s="253"/>
      <c r="B129" s="253"/>
      <c r="C129" s="253"/>
      <c r="D129" s="253"/>
      <c r="E129" s="253"/>
      <c r="F129" s="253"/>
    </row>
    <row r="130" ht="15.75" customHeight="1">
      <c r="A130" s="253"/>
      <c r="B130" s="253"/>
      <c r="C130" s="253"/>
      <c r="D130" s="253"/>
      <c r="E130" s="253"/>
      <c r="F130" s="253"/>
    </row>
    <row r="131" ht="15.75" customHeight="1">
      <c r="A131" s="253"/>
      <c r="B131" s="253"/>
      <c r="C131" s="253"/>
      <c r="D131" s="253"/>
      <c r="E131" s="253"/>
      <c r="F131" s="253"/>
    </row>
    <row r="132" ht="15.75" customHeight="1">
      <c r="A132" s="253"/>
      <c r="B132" s="253"/>
      <c r="C132" s="253"/>
      <c r="D132" s="253"/>
      <c r="E132" s="253"/>
      <c r="F132" s="253"/>
    </row>
    <row r="133" ht="15.75" customHeight="1">
      <c r="A133" s="253"/>
      <c r="B133" s="253"/>
      <c r="C133" s="253"/>
      <c r="D133" s="253"/>
      <c r="E133" s="253"/>
      <c r="F133" s="253"/>
    </row>
    <row r="134" ht="15.75" customHeight="1">
      <c r="A134" s="253"/>
      <c r="B134" s="253"/>
      <c r="C134" s="253"/>
      <c r="D134" s="253"/>
      <c r="E134" s="253"/>
      <c r="F134" s="253"/>
    </row>
    <row r="135" ht="15.75" customHeight="1">
      <c r="A135" s="253"/>
      <c r="B135" s="253"/>
      <c r="C135" s="253"/>
      <c r="D135" s="253"/>
      <c r="E135" s="253"/>
      <c r="F135" s="253"/>
    </row>
    <row r="136" ht="15.75" customHeight="1">
      <c r="A136" s="253"/>
      <c r="B136" s="253"/>
      <c r="C136" s="253"/>
      <c r="D136" s="253"/>
      <c r="E136" s="253"/>
      <c r="F136" s="253"/>
    </row>
    <row r="137" ht="15.75" customHeight="1">
      <c r="A137" s="253"/>
      <c r="B137" s="253"/>
      <c r="C137" s="253"/>
      <c r="D137" s="253"/>
      <c r="E137" s="253"/>
      <c r="F137" s="253"/>
    </row>
    <row r="138" ht="15.75" customHeight="1">
      <c r="A138" s="253"/>
      <c r="B138" s="253"/>
      <c r="C138" s="253"/>
      <c r="D138" s="253"/>
      <c r="E138" s="253"/>
      <c r="F138" s="253"/>
    </row>
    <row r="139" ht="15.75" customHeight="1">
      <c r="A139" s="253"/>
      <c r="B139" s="253"/>
      <c r="C139" s="253"/>
      <c r="D139" s="253"/>
      <c r="E139" s="253"/>
      <c r="F139" s="253"/>
    </row>
    <row r="140" ht="15.75" customHeight="1">
      <c r="A140" s="253"/>
      <c r="B140" s="253"/>
      <c r="C140" s="253"/>
      <c r="D140" s="253"/>
      <c r="E140" s="253"/>
      <c r="F140" s="253"/>
    </row>
    <row r="141" ht="15.75" customHeight="1">
      <c r="A141" s="253"/>
      <c r="B141" s="253"/>
      <c r="C141" s="253"/>
      <c r="D141" s="253"/>
      <c r="E141" s="253"/>
      <c r="F141" s="253"/>
    </row>
    <row r="142" ht="15.75" customHeight="1">
      <c r="A142" s="253"/>
      <c r="B142" s="253"/>
      <c r="C142" s="253"/>
      <c r="D142" s="253"/>
      <c r="E142" s="253"/>
      <c r="F142" s="253"/>
    </row>
    <row r="143" ht="15.75" customHeight="1">
      <c r="A143" s="253"/>
      <c r="B143" s="253"/>
      <c r="C143" s="253"/>
      <c r="D143" s="253"/>
      <c r="E143" s="253"/>
      <c r="F143" s="253"/>
    </row>
    <row r="144" ht="15.75" customHeight="1">
      <c r="A144" s="253"/>
      <c r="B144" s="253"/>
      <c r="C144" s="253"/>
      <c r="D144" s="253"/>
      <c r="E144" s="253"/>
      <c r="F144" s="253"/>
    </row>
    <row r="145" ht="15.75" customHeight="1">
      <c r="A145" s="253"/>
      <c r="B145" s="253"/>
      <c r="C145" s="253"/>
      <c r="D145" s="253"/>
      <c r="E145" s="253"/>
      <c r="F145" s="253"/>
    </row>
    <row r="146" ht="15.75" customHeight="1">
      <c r="A146" s="253"/>
      <c r="B146" s="253"/>
      <c r="C146" s="253"/>
      <c r="D146" s="253"/>
      <c r="E146" s="253"/>
      <c r="F146" s="253"/>
    </row>
    <row r="147" ht="15.75" customHeight="1">
      <c r="A147" s="253"/>
      <c r="B147" s="253"/>
      <c r="C147" s="253"/>
      <c r="D147" s="253"/>
      <c r="E147" s="253"/>
      <c r="F147" s="253"/>
    </row>
    <row r="148" ht="15.75" customHeight="1">
      <c r="A148" s="253"/>
      <c r="B148" s="253"/>
      <c r="C148" s="253"/>
      <c r="D148" s="253"/>
      <c r="E148" s="253"/>
      <c r="F148" s="253"/>
    </row>
    <row r="149" ht="15.75" customHeight="1">
      <c r="A149" s="253"/>
      <c r="B149" s="253"/>
      <c r="C149" s="253"/>
      <c r="D149" s="253"/>
      <c r="E149" s="253"/>
      <c r="F149" s="253"/>
    </row>
    <row r="150" ht="15.75" customHeight="1">
      <c r="A150" s="253"/>
      <c r="B150" s="253"/>
      <c r="C150" s="253"/>
      <c r="D150" s="253"/>
      <c r="E150" s="253"/>
      <c r="F150" s="253"/>
    </row>
    <row r="151" ht="15.75" customHeight="1">
      <c r="A151" s="253"/>
      <c r="B151" s="253"/>
      <c r="C151" s="253"/>
      <c r="D151" s="253"/>
      <c r="E151" s="253"/>
      <c r="F151" s="253"/>
    </row>
    <row r="152" ht="15.75" customHeight="1">
      <c r="A152" s="253"/>
      <c r="B152" s="253"/>
      <c r="C152" s="253"/>
      <c r="D152" s="253"/>
      <c r="E152" s="253"/>
      <c r="F152" s="253"/>
    </row>
    <row r="153" ht="15.75" customHeight="1">
      <c r="A153" s="253"/>
      <c r="B153" s="253"/>
      <c r="C153" s="253"/>
      <c r="D153" s="253"/>
      <c r="E153" s="253"/>
      <c r="F153" s="253"/>
    </row>
    <row r="154" ht="15.75" customHeight="1">
      <c r="A154" s="253"/>
      <c r="B154" s="253"/>
      <c r="C154" s="253"/>
      <c r="D154" s="253"/>
      <c r="E154" s="253"/>
      <c r="F154" s="253"/>
    </row>
    <row r="155" ht="15.75" customHeight="1">
      <c r="A155" s="253"/>
      <c r="B155" s="253"/>
      <c r="C155" s="253"/>
      <c r="D155" s="253"/>
      <c r="E155" s="253"/>
      <c r="F155" s="253"/>
    </row>
    <row r="156" ht="15.75" customHeight="1">
      <c r="A156" s="253"/>
      <c r="B156" s="253"/>
      <c r="C156" s="253"/>
      <c r="D156" s="253"/>
      <c r="E156" s="253"/>
      <c r="F156" s="253"/>
    </row>
    <row r="157" ht="15.75" customHeight="1">
      <c r="A157" s="253"/>
      <c r="B157" s="253"/>
      <c r="C157" s="253"/>
      <c r="D157" s="253"/>
      <c r="E157" s="253"/>
      <c r="F157" s="253"/>
    </row>
    <row r="158" ht="15.75" customHeight="1">
      <c r="A158" s="253"/>
      <c r="B158" s="253"/>
      <c r="C158" s="253"/>
      <c r="D158" s="253"/>
      <c r="E158" s="253"/>
      <c r="F158" s="253"/>
    </row>
    <row r="159" ht="15.75" customHeight="1">
      <c r="A159" s="253"/>
      <c r="B159" s="253"/>
      <c r="C159" s="253"/>
      <c r="D159" s="253"/>
      <c r="E159" s="253"/>
      <c r="F159" s="253"/>
    </row>
    <row r="160" ht="15.75" customHeight="1">
      <c r="A160" s="253"/>
      <c r="B160" s="253"/>
      <c r="C160" s="253"/>
      <c r="D160" s="253"/>
      <c r="E160" s="253"/>
      <c r="F160" s="253"/>
    </row>
    <row r="161" ht="15.75" customHeight="1">
      <c r="A161" s="253"/>
      <c r="B161" s="253"/>
      <c r="C161" s="253"/>
      <c r="D161" s="253"/>
      <c r="E161" s="253"/>
      <c r="F161" s="253"/>
    </row>
    <row r="162" ht="15.75" customHeight="1">
      <c r="A162" s="253"/>
      <c r="B162" s="253"/>
      <c r="C162" s="253"/>
      <c r="D162" s="253"/>
      <c r="E162" s="253"/>
      <c r="F162" s="253"/>
    </row>
    <row r="163" ht="15.75" customHeight="1">
      <c r="A163" s="253"/>
      <c r="B163" s="253"/>
      <c r="C163" s="253"/>
      <c r="D163" s="253"/>
      <c r="E163" s="253"/>
      <c r="F163" s="253"/>
    </row>
    <row r="164" ht="15.75" customHeight="1">
      <c r="A164" s="253"/>
      <c r="B164" s="253"/>
      <c r="C164" s="253"/>
      <c r="D164" s="253"/>
      <c r="E164" s="253"/>
      <c r="F164" s="253"/>
    </row>
    <row r="165" ht="15.75" customHeight="1">
      <c r="A165" s="253"/>
      <c r="B165" s="253"/>
      <c r="C165" s="253"/>
      <c r="D165" s="253"/>
      <c r="E165" s="253"/>
      <c r="F165" s="253"/>
    </row>
    <row r="166" ht="15.75" customHeight="1">
      <c r="A166" s="253"/>
      <c r="B166" s="253"/>
      <c r="C166" s="253"/>
      <c r="D166" s="253"/>
      <c r="E166" s="253"/>
      <c r="F166" s="253"/>
    </row>
    <row r="167" ht="15.75" customHeight="1">
      <c r="A167" s="253"/>
      <c r="B167" s="253"/>
      <c r="C167" s="253"/>
      <c r="D167" s="253"/>
      <c r="E167" s="253"/>
      <c r="F167" s="253"/>
    </row>
    <row r="168" ht="15.75" customHeight="1">
      <c r="A168" s="253"/>
      <c r="B168" s="253"/>
      <c r="C168" s="253"/>
      <c r="D168" s="253"/>
      <c r="E168" s="253"/>
      <c r="F168" s="253"/>
    </row>
    <row r="169" ht="15.75" customHeight="1">
      <c r="A169" s="253"/>
      <c r="B169" s="253"/>
      <c r="C169" s="253"/>
      <c r="D169" s="253"/>
      <c r="E169" s="253"/>
      <c r="F169" s="253"/>
    </row>
    <row r="170" ht="15.75" customHeight="1">
      <c r="A170" s="253"/>
      <c r="B170" s="253"/>
      <c r="C170" s="253"/>
      <c r="D170" s="253"/>
      <c r="E170" s="253"/>
      <c r="F170" s="253"/>
    </row>
    <row r="171" ht="15.75" customHeight="1">
      <c r="A171" s="253"/>
      <c r="B171" s="253"/>
      <c r="C171" s="253"/>
      <c r="D171" s="253"/>
      <c r="E171" s="253"/>
      <c r="F171" s="253"/>
    </row>
    <row r="172" ht="15.75" customHeight="1">
      <c r="A172" s="253"/>
      <c r="B172" s="253"/>
      <c r="C172" s="253"/>
      <c r="D172" s="253"/>
      <c r="E172" s="253"/>
      <c r="F172" s="253"/>
    </row>
    <row r="173" ht="15.75" customHeight="1">
      <c r="A173" s="253"/>
      <c r="B173" s="253"/>
      <c r="C173" s="253"/>
      <c r="D173" s="253"/>
      <c r="E173" s="253"/>
      <c r="F173" s="253"/>
    </row>
    <row r="174" ht="15.75" customHeight="1">
      <c r="A174" s="253"/>
      <c r="B174" s="253"/>
      <c r="C174" s="253"/>
      <c r="D174" s="253"/>
      <c r="E174" s="253"/>
      <c r="F174" s="253"/>
    </row>
    <row r="175" ht="15.75" customHeight="1">
      <c r="A175" s="253"/>
      <c r="B175" s="253"/>
      <c r="C175" s="253"/>
      <c r="D175" s="253"/>
      <c r="E175" s="253"/>
      <c r="F175" s="253"/>
    </row>
    <row r="176" ht="15.75" customHeight="1">
      <c r="A176" s="253"/>
      <c r="B176" s="253"/>
      <c r="C176" s="253"/>
      <c r="D176" s="253"/>
      <c r="E176" s="253"/>
      <c r="F176" s="253"/>
    </row>
    <row r="177" ht="15.75" customHeight="1">
      <c r="A177" s="253"/>
      <c r="B177" s="253"/>
      <c r="C177" s="253"/>
      <c r="D177" s="253"/>
      <c r="E177" s="253"/>
      <c r="F177" s="253"/>
    </row>
    <row r="178" ht="15.75" customHeight="1">
      <c r="A178" s="253"/>
      <c r="B178" s="253"/>
      <c r="C178" s="253"/>
      <c r="D178" s="253"/>
      <c r="E178" s="253"/>
      <c r="F178" s="253"/>
    </row>
    <row r="179" ht="15.75" customHeight="1">
      <c r="A179" s="253"/>
      <c r="B179" s="253"/>
      <c r="C179" s="253"/>
      <c r="D179" s="253"/>
      <c r="E179" s="253"/>
      <c r="F179" s="253"/>
    </row>
    <row r="180" ht="15.75" customHeight="1">
      <c r="A180" s="253"/>
      <c r="B180" s="253"/>
      <c r="C180" s="253"/>
      <c r="D180" s="253"/>
      <c r="E180" s="253"/>
      <c r="F180" s="253"/>
    </row>
    <row r="181" ht="15.75" customHeight="1">
      <c r="A181" s="253"/>
      <c r="B181" s="253"/>
      <c r="C181" s="253"/>
      <c r="D181" s="253"/>
      <c r="E181" s="253"/>
      <c r="F181" s="253"/>
    </row>
    <row r="182" ht="15.75" customHeight="1">
      <c r="A182" s="253"/>
      <c r="B182" s="253"/>
      <c r="C182" s="253"/>
      <c r="D182" s="253"/>
      <c r="E182" s="253"/>
      <c r="F182" s="253"/>
    </row>
    <row r="183" ht="15.75" customHeight="1">
      <c r="A183" s="253"/>
      <c r="B183" s="253"/>
      <c r="C183" s="253"/>
      <c r="D183" s="253"/>
      <c r="E183" s="253"/>
      <c r="F183" s="253"/>
    </row>
    <row r="184" ht="15.75" customHeight="1">
      <c r="A184" s="253"/>
      <c r="B184" s="253"/>
      <c r="C184" s="253"/>
      <c r="D184" s="253"/>
      <c r="E184" s="253"/>
      <c r="F184" s="253"/>
    </row>
    <row r="185" ht="15.75" customHeight="1">
      <c r="A185" s="253"/>
      <c r="B185" s="253"/>
      <c r="C185" s="253"/>
      <c r="D185" s="253"/>
      <c r="E185" s="253"/>
      <c r="F185" s="253"/>
    </row>
    <row r="186" ht="15.75" customHeight="1">
      <c r="A186" s="253"/>
      <c r="B186" s="253"/>
      <c r="C186" s="253"/>
      <c r="D186" s="253"/>
      <c r="E186" s="253"/>
      <c r="F186" s="253"/>
    </row>
    <row r="187" ht="15.75" customHeight="1">
      <c r="A187" s="253"/>
      <c r="B187" s="253"/>
      <c r="C187" s="253"/>
      <c r="D187" s="253"/>
      <c r="E187" s="253"/>
      <c r="F187" s="253"/>
    </row>
    <row r="188" ht="15.75" customHeight="1">
      <c r="A188" s="253"/>
      <c r="B188" s="253"/>
      <c r="C188" s="253"/>
      <c r="D188" s="253"/>
      <c r="E188" s="253"/>
      <c r="F188" s="253"/>
    </row>
    <row r="189" ht="15.75" customHeight="1">
      <c r="A189" s="253"/>
      <c r="B189" s="253"/>
      <c r="C189" s="253"/>
      <c r="D189" s="253"/>
      <c r="E189" s="253"/>
      <c r="F189" s="253"/>
    </row>
    <row r="190" ht="15.75" customHeight="1">
      <c r="A190" s="253"/>
      <c r="B190" s="253"/>
      <c r="C190" s="253"/>
      <c r="D190" s="253"/>
      <c r="E190" s="253"/>
      <c r="F190" s="253"/>
    </row>
    <row r="191" ht="15.75" customHeight="1">
      <c r="A191" s="253"/>
      <c r="B191" s="253"/>
      <c r="C191" s="253"/>
      <c r="D191" s="253"/>
      <c r="E191" s="253"/>
      <c r="F191" s="253"/>
    </row>
    <row r="192" ht="15.75" customHeight="1">
      <c r="A192" s="253"/>
      <c r="B192" s="253"/>
      <c r="C192" s="253"/>
      <c r="D192" s="253"/>
      <c r="E192" s="253"/>
      <c r="F192" s="253"/>
    </row>
    <row r="193" ht="15.75" customHeight="1">
      <c r="A193" s="253"/>
      <c r="B193" s="253"/>
      <c r="C193" s="253"/>
      <c r="D193" s="253"/>
      <c r="E193" s="253"/>
      <c r="F193" s="253"/>
    </row>
    <row r="194" ht="15.75" customHeight="1">
      <c r="A194" s="253"/>
      <c r="B194" s="253"/>
      <c r="C194" s="253"/>
      <c r="D194" s="253"/>
      <c r="E194" s="253"/>
      <c r="F194" s="253"/>
    </row>
    <row r="195" ht="15.75" customHeight="1">
      <c r="A195" s="253"/>
      <c r="B195" s="253"/>
      <c r="C195" s="253"/>
      <c r="D195" s="253"/>
      <c r="E195" s="253"/>
      <c r="F195" s="253"/>
    </row>
    <row r="196" ht="15.75" customHeight="1">
      <c r="A196" s="253"/>
      <c r="B196" s="253"/>
      <c r="C196" s="253"/>
      <c r="D196" s="253"/>
      <c r="E196" s="253"/>
      <c r="F196" s="253"/>
    </row>
    <row r="197" ht="15.75" customHeight="1">
      <c r="A197" s="253"/>
      <c r="B197" s="253"/>
      <c r="C197" s="253"/>
      <c r="D197" s="253"/>
      <c r="E197" s="253"/>
      <c r="F197" s="253"/>
    </row>
    <row r="198" ht="15.75" customHeight="1">
      <c r="A198" s="253"/>
      <c r="B198" s="253"/>
      <c r="C198" s="253"/>
      <c r="D198" s="253"/>
      <c r="E198" s="253"/>
      <c r="F198" s="253"/>
    </row>
    <row r="199" ht="15.75" customHeight="1">
      <c r="A199" s="253"/>
      <c r="B199" s="253"/>
      <c r="C199" s="253"/>
      <c r="D199" s="253"/>
      <c r="E199" s="253"/>
      <c r="F199" s="253"/>
    </row>
    <row r="200" ht="15.75" customHeight="1">
      <c r="A200" s="253"/>
      <c r="B200" s="253"/>
      <c r="C200" s="253"/>
      <c r="D200" s="253"/>
      <c r="E200" s="253"/>
      <c r="F200" s="253"/>
    </row>
    <row r="201" ht="15.75" customHeight="1">
      <c r="A201" s="253"/>
      <c r="B201" s="253"/>
      <c r="C201" s="253"/>
      <c r="D201" s="253"/>
      <c r="E201" s="253"/>
      <c r="F201" s="253"/>
    </row>
    <row r="202" ht="15.75" customHeight="1">
      <c r="A202" s="253"/>
      <c r="B202" s="253"/>
      <c r="C202" s="253"/>
      <c r="D202" s="253"/>
      <c r="E202" s="253"/>
      <c r="F202" s="253"/>
    </row>
    <row r="203" ht="15.75" customHeight="1">
      <c r="A203" s="253"/>
      <c r="B203" s="253"/>
      <c r="C203" s="253"/>
      <c r="D203" s="253"/>
      <c r="E203" s="253"/>
      <c r="F203" s="253"/>
    </row>
    <row r="204" ht="15.75" customHeight="1">
      <c r="A204" s="253"/>
      <c r="B204" s="253"/>
      <c r="C204" s="253"/>
      <c r="D204" s="253"/>
      <c r="E204" s="253"/>
      <c r="F204" s="253"/>
    </row>
    <row r="205" ht="15.75" customHeight="1">
      <c r="A205" s="253"/>
      <c r="B205" s="253"/>
      <c r="C205" s="253"/>
      <c r="D205" s="253"/>
      <c r="E205" s="253"/>
      <c r="F205" s="253"/>
    </row>
    <row r="206" ht="15.75" customHeight="1">
      <c r="A206" s="253"/>
      <c r="B206" s="253"/>
      <c r="C206" s="253"/>
      <c r="D206" s="253"/>
      <c r="E206" s="253"/>
      <c r="F206" s="253"/>
    </row>
    <row r="207" ht="15.75" customHeight="1">
      <c r="A207" s="253"/>
      <c r="B207" s="253"/>
      <c r="C207" s="253"/>
      <c r="D207" s="253"/>
      <c r="E207" s="253"/>
      <c r="F207" s="253"/>
    </row>
    <row r="208" ht="15.75" customHeight="1">
      <c r="A208" s="253"/>
      <c r="B208" s="253"/>
      <c r="C208" s="253"/>
      <c r="D208" s="253"/>
      <c r="E208" s="253"/>
      <c r="F208" s="253"/>
    </row>
    <row r="209" ht="15.75" customHeight="1">
      <c r="A209" s="253"/>
      <c r="B209" s="253"/>
      <c r="C209" s="253"/>
      <c r="D209" s="253"/>
      <c r="E209" s="253"/>
      <c r="F209" s="253"/>
    </row>
    <row r="210" ht="15.75" customHeight="1">
      <c r="A210" s="253"/>
      <c r="B210" s="253"/>
      <c r="C210" s="253"/>
      <c r="D210" s="253"/>
      <c r="E210" s="253"/>
      <c r="F210" s="253"/>
    </row>
    <row r="211" ht="15.75" customHeight="1">
      <c r="A211" s="253"/>
      <c r="B211" s="253"/>
      <c r="C211" s="253"/>
      <c r="D211" s="253"/>
      <c r="E211" s="253"/>
      <c r="F211" s="253"/>
    </row>
    <row r="212" ht="15.75" customHeight="1">
      <c r="A212" s="253"/>
      <c r="B212" s="253"/>
      <c r="C212" s="253"/>
      <c r="D212" s="253"/>
      <c r="E212" s="253"/>
      <c r="F212" s="253"/>
    </row>
    <row r="213" ht="15.75" customHeight="1">
      <c r="A213" s="253"/>
      <c r="B213" s="253"/>
      <c r="C213" s="253"/>
      <c r="D213" s="253"/>
      <c r="E213" s="253"/>
      <c r="F213" s="253"/>
    </row>
    <row r="214" ht="15.75" customHeight="1">
      <c r="A214" s="253"/>
      <c r="B214" s="253"/>
      <c r="C214" s="253"/>
      <c r="D214" s="253"/>
      <c r="E214" s="253"/>
      <c r="F214" s="253"/>
    </row>
    <row r="215" ht="15.75" customHeight="1">
      <c r="A215" s="253"/>
      <c r="B215" s="253"/>
      <c r="C215" s="253"/>
      <c r="D215" s="253"/>
      <c r="E215" s="253"/>
      <c r="F215" s="253"/>
    </row>
    <row r="216" ht="15.75" customHeight="1">
      <c r="A216" s="253"/>
      <c r="B216" s="253"/>
      <c r="C216" s="253"/>
      <c r="D216" s="253"/>
      <c r="E216" s="253"/>
      <c r="F216" s="253"/>
    </row>
    <row r="217" ht="15.75" customHeight="1">
      <c r="A217" s="253"/>
      <c r="B217" s="253"/>
      <c r="C217" s="253"/>
      <c r="D217" s="253"/>
      <c r="E217" s="253"/>
      <c r="F217" s="253"/>
    </row>
    <row r="218" ht="15.75" customHeight="1">
      <c r="A218" s="253"/>
      <c r="B218" s="253"/>
      <c r="C218" s="253"/>
      <c r="D218" s="253"/>
      <c r="E218" s="253"/>
      <c r="F218" s="253"/>
    </row>
    <row r="219" ht="15.75" customHeight="1">
      <c r="A219" s="253"/>
      <c r="B219" s="253"/>
      <c r="C219" s="253"/>
      <c r="D219" s="253"/>
      <c r="E219" s="253"/>
      <c r="F219" s="253"/>
    </row>
    <row r="220" ht="15.75" customHeight="1">
      <c r="A220" s="253"/>
      <c r="B220" s="253"/>
      <c r="C220" s="253"/>
      <c r="D220" s="253"/>
      <c r="E220" s="253"/>
      <c r="F220" s="253"/>
    </row>
    <row r="221" ht="15.75" customHeight="1">
      <c r="A221" s="253"/>
      <c r="B221" s="253"/>
      <c r="C221" s="253"/>
      <c r="D221" s="253"/>
      <c r="E221" s="253"/>
      <c r="F221" s="253"/>
    </row>
    <row r="222" ht="15.75" customHeight="1">
      <c r="A222" s="253"/>
      <c r="B222" s="253"/>
      <c r="C222" s="253"/>
      <c r="D222" s="253"/>
      <c r="E222" s="253"/>
      <c r="F222" s="253"/>
    </row>
    <row r="223" ht="15.75" customHeight="1">
      <c r="A223" s="253"/>
      <c r="B223" s="253"/>
      <c r="C223" s="253"/>
      <c r="D223" s="253"/>
      <c r="E223" s="253"/>
      <c r="F223" s="253"/>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4">
    <mergeCell ref="D2:D6"/>
    <mergeCell ref="D7:D10"/>
    <mergeCell ref="D11:D13"/>
    <mergeCell ref="D14:D15"/>
  </mergeCell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9.0"/>
  </cols>
  <sheetData>
    <row r="1">
      <c r="A1" s="11" t="s">
        <v>45</v>
      </c>
      <c r="B1" s="11" t="s">
        <v>15</v>
      </c>
    </row>
    <row r="2">
      <c r="A2" s="11" t="s">
        <v>52</v>
      </c>
      <c r="B2" s="11" t="s">
        <v>25</v>
      </c>
      <c r="C2" s="170">
        <f>IFERROR(
  MINIFS(ATTENDANCE_LOG!$F:$F,
         ATTENDANCE_LOG!$A:$A, A2,
         ATTENDANCE_LOG!$B:$B, B2),
"")</f>
        <v>46084.54167</v>
      </c>
    </row>
    <row r="3">
      <c r="A3" s="11" t="s">
        <v>52</v>
      </c>
      <c r="B3" s="11" t="s">
        <v>22</v>
      </c>
      <c r="C3" s="170">
        <f>IFERROR(
  MINIFS(ATTENDANCE_LOG!$F:$F,
         ATTENDANCE_LOG!$A:$A, A3,
         ATTENDANCE_LOG!$B:$B, B3),
"")</f>
        <v>45700.41667</v>
      </c>
    </row>
    <row r="4">
      <c r="A4" s="11" t="s">
        <v>52</v>
      </c>
      <c r="B4" s="11" t="s">
        <v>23</v>
      </c>
      <c r="C4" s="170">
        <f>IFERROR(
  MINIFS(ATTENDANCE_LOG!$F:$F,
         ATTENDANCE_LOG!$A:$A, A4,
         ATTENDANCE_LOG!$B:$B, B4),
"")</f>
        <v>45889.45833</v>
      </c>
    </row>
    <row r="5">
      <c r="A5" s="11" t="s">
        <v>53</v>
      </c>
      <c r="B5" s="11" t="s">
        <v>22</v>
      </c>
      <c r="C5" s="170">
        <f>IFERROR(
  MINIFS(ATTENDANCE_LOG!$F:$F,
         ATTENDANCE_LOG!$A:$A, A5,
         ATTENDANCE_LOG!$B:$B, B5),
"")</f>
        <v>45715.41667</v>
      </c>
    </row>
    <row r="6">
      <c r="A6" s="11" t="s">
        <v>54</v>
      </c>
      <c r="B6" s="11" t="s">
        <v>22</v>
      </c>
      <c r="C6" s="170">
        <f>IFERROR(
  MINIFS(ATTENDANCE_LOG!$F:$F,
         ATTENDANCE_LOG!$A:$A, A6,
         ATTENDANCE_LOG!$B:$B, B6),
"")</f>
        <v>45715.45833</v>
      </c>
    </row>
    <row r="7">
      <c r="A7" s="11" t="s">
        <v>55</v>
      </c>
      <c r="B7" s="11" t="s">
        <v>22</v>
      </c>
      <c r="C7" s="170">
        <f>IFERROR(
  MINIFS(ATTENDANCE_LOG!$F:$F,
         ATTENDANCE_LOG!$A:$A, A7,
         ATTENDANCE_LOG!$B:$B, B7),
"")</f>
        <v>45639.58333</v>
      </c>
    </row>
    <row r="8">
      <c r="A8" s="11" t="s">
        <v>55</v>
      </c>
      <c r="B8" s="11" t="s">
        <v>23</v>
      </c>
      <c r="C8" s="170">
        <f>IFERROR(
  MINIFS(ATTENDANCE_LOG!$F:$F,
         ATTENDANCE_LOG!$A:$A, A8,
         ATTENDANCE_LOG!$B:$B, B8),
"")</f>
        <v>45869.58333</v>
      </c>
    </row>
    <row r="9">
      <c r="A9" s="11" t="s">
        <v>56</v>
      </c>
      <c r="B9" s="11" t="s">
        <v>22</v>
      </c>
      <c r="C9" s="170">
        <f>IFERROR(
  MINIFS(ATTENDANCE_LOG!$F:$F,
         ATTENDANCE_LOG!$A:$A, A9,
         ATTENDANCE_LOG!$B:$B, B9),
"")</f>
        <v>45637.41667</v>
      </c>
    </row>
    <row r="10">
      <c r="A10" s="11" t="s">
        <v>57</v>
      </c>
      <c r="B10" s="11" t="s">
        <v>22</v>
      </c>
      <c r="C10" s="170">
        <f>IFERROR(
  MINIFS(ATTENDANCE_LOG!$F:$F,
         ATTENDANCE_LOG!$A:$A, A10,
         ATTENDANCE_LOG!$B:$B, B10),
"")</f>
        <v>45639.41667</v>
      </c>
    </row>
    <row r="11">
      <c r="A11" s="11" t="s">
        <v>58</v>
      </c>
      <c r="B11" s="11" t="s">
        <v>22</v>
      </c>
      <c r="C11" s="170">
        <f>IFERROR(
  MINIFS(ATTENDANCE_LOG!$F:$F,
         ATTENDANCE_LOG!$A:$A, A11,
         ATTENDANCE_LOG!$B:$B, B11),
"")</f>
        <v>45702.45833</v>
      </c>
    </row>
    <row r="12">
      <c r="A12" s="11" t="s">
        <v>58</v>
      </c>
      <c r="B12" s="11" t="s">
        <v>23</v>
      </c>
      <c r="C12" s="170">
        <f>IFERROR(
  MINIFS(ATTENDANCE_LOG!$F:$F,
         ATTENDANCE_LOG!$A:$A, A12,
         ATTENDANCE_LOG!$B:$B, B12),
"")</f>
        <v>45841.58333</v>
      </c>
    </row>
    <row r="13">
      <c r="A13" s="11" t="s">
        <v>59</v>
      </c>
      <c r="B13" s="11" t="s">
        <v>22</v>
      </c>
      <c r="C13" s="170">
        <f>IFERROR(
  MINIFS(ATTENDANCE_LOG!$F:$F,
         ATTENDANCE_LOG!$A:$A, A13,
         ATTENDANCE_LOG!$B:$B, B13),
"")</f>
        <v>45772.58333</v>
      </c>
    </row>
    <row r="14">
      <c r="A14" s="11" t="s">
        <v>59</v>
      </c>
      <c r="B14" s="11" t="s">
        <v>23</v>
      </c>
      <c r="C14" s="170">
        <f>IFERROR(
  MINIFS(ATTENDANCE_LOG!$F:$F,
         ATTENDANCE_LOG!$A:$A, A14,
         ATTENDANCE_LOG!$B:$B, B14),
"")</f>
        <v>45946.45833</v>
      </c>
    </row>
    <row r="15">
      <c r="A15" s="11" t="s">
        <v>60</v>
      </c>
      <c r="B15" s="11" t="s">
        <v>22</v>
      </c>
      <c r="C15" s="170">
        <f>IFERROR(
  MINIFS(ATTENDANCE_LOG!$F:$F,
         ATTENDANCE_LOG!$A:$A, A15,
         ATTENDANCE_LOG!$B:$B, B15),
"")</f>
        <v>45663.58333</v>
      </c>
    </row>
    <row r="16">
      <c r="A16" s="11" t="s">
        <v>60</v>
      </c>
      <c r="B16" s="11" t="s">
        <v>23</v>
      </c>
      <c r="C16" s="170">
        <f>IFERROR(
  MINIFS(ATTENDANCE_LOG!$F:$F,
         ATTENDANCE_LOG!$A:$A, A16,
         ATTENDANCE_LOG!$B:$B, B16),
"")</f>
        <v>45915.54167</v>
      </c>
    </row>
    <row r="17">
      <c r="A17" s="11" t="s">
        <v>61</v>
      </c>
      <c r="B17" s="11" t="s">
        <v>22</v>
      </c>
      <c r="C17" s="170">
        <f>IFERROR(
  MINIFS(ATTENDANCE_LOG!$F:$F,
         ATTENDANCE_LOG!$A:$A, A17,
         ATTENDANCE_LOG!$B:$B, B17),
"")</f>
        <v>45644.375</v>
      </c>
    </row>
    <row r="18">
      <c r="A18" s="11" t="s">
        <v>61</v>
      </c>
      <c r="B18" s="11" t="s">
        <v>23</v>
      </c>
      <c r="C18" s="170">
        <f>IFERROR(
  MINIFS(ATTENDANCE_LOG!$F:$F,
         ATTENDANCE_LOG!$A:$A, A18,
         ATTENDANCE_LOG!$B:$B, B18),
"")</f>
        <v>45853.375</v>
      </c>
    </row>
    <row r="19">
      <c r="A19" s="11" t="s">
        <v>62</v>
      </c>
      <c r="B19" s="11" t="s">
        <v>22</v>
      </c>
      <c r="C19" s="170">
        <f>IFERROR(
  MINIFS(ATTENDANCE_LOG!$F:$F,
         ATTENDANCE_LOG!$A:$A, A19,
         ATTENDANCE_LOG!$B:$B, B19),
"")</f>
        <v>45644.375</v>
      </c>
    </row>
    <row r="20">
      <c r="A20" s="11" t="s">
        <v>63</v>
      </c>
      <c r="B20" s="11" t="s">
        <v>22</v>
      </c>
      <c r="C20" s="170">
        <f>IFERROR(
  MINIFS(ATTENDANCE_LOG!$F:$F,
         ATTENDANCE_LOG!$A:$A, A20,
         ATTENDANCE_LOG!$B:$B, B20),
"")</f>
        <v>45646.375</v>
      </c>
    </row>
    <row r="21">
      <c r="A21" s="11" t="s">
        <v>64</v>
      </c>
      <c r="B21" s="11" t="s">
        <v>22</v>
      </c>
      <c r="C21" s="170">
        <f>IFERROR(
  MINIFS(ATTENDANCE_LOG!$F:$F,
         ATTENDANCE_LOG!$A:$A, A21,
         ATTENDANCE_LOG!$B:$B, B21),
"")</f>
        <v>45636.45833</v>
      </c>
    </row>
    <row r="22">
      <c r="A22" s="11" t="s">
        <v>64</v>
      </c>
      <c r="B22" s="11" t="s">
        <v>23</v>
      </c>
      <c r="C22" s="170">
        <f>IFERROR(
  MINIFS(ATTENDANCE_LOG!$F:$F,
         ATTENDANCE_LOG!$A:$A, A22,
         ATTENDANCE_LOG!$B:$B, B22),
"")</f>
        <v>45841.375</v>
      </c>
    </row>
    <row r="23">
      <c r="A23" s="11" t="s">
        <v>64</v>
      </c>
      <c r="B23" s="11" t="s">
        <v>24</v>
      </c>
      <c r="C23" s="170">
        <f>IFERROR(
  MINIFS(ATTENDANCE_LOG!$F:$F,
         ATTENDANCE_LOG!$A:$A, A23,
         ATTENDANCE_LOG!$B:$B, B23),
"")</f>
        <v>46094.45833</v>
      </c>
    </row>
    <row r="24">
      <c r="A24" s="11" t="s">
        <v>65</v>
      </c>
      <c r="B24" s="11" t="s">
        <v>22</v>
      </c>
      <c r="C24" s="170">
        <f>IFERROR(
  MINIFS(ATTENDANCE_LOG!$F:$F,
         ATTENDANCE_LOG!$A:$A, A24,
         ATTENDANCE_LOG!$B:$B, B24),
"")</f>
        <v>45635.4375</v>
      </c>
    </row>
    <row r="25">
      <c r="A25" s="11" t="s">
        <v>66</v>
      </c>
      <c r="B25" s="11" t="s">
        <v>22</v>
      </c>
      <c r="C25" s="170">
        <f>IFERROR(
  MINIFS(ATTENDANCE_LOG!$F:$F,
         ATTENDANCE_LOG!$A:$A, A25,
         ATTENDANCE_LOG!$B:$B, B25),
"")</f>
        <v>45637.375</v>
      </c>
    </row>
    <row r="26">
      <c r="A26" s="11" t="s">
        <v>66</v>
      </c>
      <c r="B26" s="11" t="s">
        <v>23</v>
      </c>
      <c r="C26" s="170">
        <f>IFERROR(
  MINIFS(ATTENDANCE_LOG!$F:$F,
         ATTENDANCE_LOG!$A:$A, A26,
         ATTENDANCE_LOG!$B:$B, B26),
"")</f>
        <v>45839.375</v>
      </c>
    </row>
    <row r="27">
      <c r="A27" s="11" t="s">
        <v>99</v>
      </c>
      <c r="B27" s="11" t="s">
        <v>22</v>
      </c>
      <c r="C27" s="170">
        <f>IFERROR(
  MINIFS(ATTENDANCE_LOG!$F:$F,
         ATTENDANCE_LOG!$A:$A, A27,
         ATTENDANCE_LOG!$B:$B, B27),
"")</f>
        <v>45693.45833</v>
      </c>
    </row>
    <row r="28">
      <c r="A28" s="11" t="s">
        <v>67</v>
      </c>
      <c r="B28" s="11" t="s">
        <v>22</v>
      </c>
      <c r="C28" s="170">
        <f>IFERROR(
  MINIFS(ATTENDANCE_LOG!$F:$F,
         ATTENDANCE_LOG!$A:$A, A28,
         ATTENDANCE_LOG!$B:$B, B28),
"")</f>
        <v>45639.45833</v>
      </c>
    </row>
    <row r="29">
      <c r="A29" s="11" t="s">
        <v>68</v>
      </c>
      <c r="B29" s="11" t="s">
        <v>22</v>
      </c>
      <c r="C29" s="170">
        <f>IFERROR(
  MINIFS(ATTENDANCE_LOG!$F:$F,
         ATTENDANCE_LOG!$A:$A, A29,
         ATTENDANCE_LOG!$B:$B, B29),
"")</f>
        <v>45645.41667</v>
      </c>
    </row>
    <row r="30">
      <c r="A30" s="11" t="s">
        <v>68</v>
      </c>
      <c r="B30" s="11" t="s">
        <v>23</v>
      </c>
      <c r="C30" s="170">
        <f>IFERROR(
  MINIFS(ATTENDANCE_LOG!$F:$F,
         ATTENDANCE_LOG!$A:$A, A30,
         ATTENDANCE_LOG!$B:$B, B30),
"")</f>
        <v>45887.375</v>
      </c>
    </row>
    <row r="31">
      <c r="A31" s="11" t="s">
        <v>69</v>
      </c>
      <c r="B31" s="11" t="s">
        <v>22</v>
      </c>
      <c r="C31" s="170">
        <f>IFERROR(
  MINIFS(ATTENDANCE_LOG!$F:$F,
         ATTENDANCE_LOG!$A:$A, A31,
         ATTENDANCE_LOG!$B:$B, B31),
"")</f>
        <v>45663.41667</v>
      </c>
    </row>
    <row r="32">
      <c r="A32" s="11" t="s">
        <v>70</v>
      </c>
      <c r="B32" s="11" t="s">
        <v>22</v>
      </c>
      <c r="C32" s="170">
        <f>IFERROR(
  MINIFS(ATTENDANCE_LOG!$F:$F,
         ATTENDANCE_LOG!$A:$A, A32,
         ATTENDANCE_LOG!$B:$B, B32),
"")</f>
        <v>45638.41667</v>
      </c>
    </row>
    <row r="33">
      <c r="A33" s="11" t="s">
        <v>70</v>
      </c>
      <c r="B33" s="11" t="s">
        <v>23</v>
      </c>
      <c r="C33" s="170">
        <f>IFERROR(
  MINIFS(ATTENDANCE_LOG!$F:$F,
         ATTENDANCE_LOG!$A:$A, A33,
         ATTENDANCE_LOG!$B:$B, B33),
"")</f>
        <v>45841.58333</v>
      </c>
    </row>
    <row r="34">
      <c r="A34" s="11" t="s">
        <v>71</v>
      </c>
      <c r="B34" s="11" t="s">
        <v>25</v>
      </c>
      <c r="C34" s="170">
        <f>IFERROR(
  MINIFS(ATTENDANCE_LOG!$F:$F,
         ATTENDANCE_LOG!$A:$A, A34,
         ATTENDANCE_LOG!$B:$B, B34),
"")</f>
        <v>45713.58333</v>
      </c>
    </row>
    <row r="35">
      <c r="A35" s="11" t="s">
        <v>72</v>
      </c>
      <c r="B35" s="11" t="s">
        <v>22</v>
      </c>
      <c r="C35" s="170">
        <f>IFERROR(
  MINIFS(ATTENDANCE_LOG!$F:$F,
         ATTENDANCE_LOG!$A:$A, A35,
         ATTENDANCE_LOG!$B:$B, B35),
"")</f>
        <v>45670.54167</v>
      </c>
    </row>
    <row r="36">
      <c r="A36" s="11" t="s">
        <v>72</v>
      </c>
      <c r="B36" s="11" t="s">
        <v>23</v>
      </c>
      <c r="C36" s="170">
        <f>IFERROR(
  MINIFS(ATTENDANCE_LOG!$F:$F,
         ATTENDANCE_LOG!$A:$A, A36,
         ATTENDANCE_LOG!$B:$B, B36),
"")</f>
        <v>45866.54167</v>
      </c>
    </row>
    <row r="37">
      <c r="A37" s="11" t="s">
        <v>72</v>
      </c>
      <c r="B37" s="11" t="s">
        <v>24</v>
      </c>
      <c r="C37" s="170">
        <f>IFERROR(
  MINIFS(ATTENDANCE_LOG!$F:$F,
         ATTENDANCE_LOG!$A:$A, A37,
         ATTENDANCE_LOG!$B:$B, B37),
"")</f>
        <v>46084.58333</v>
      </c>
    </row>
    <row r="38">
      <c r="A38" s="11" t="s">
        <v>73</v>
      </c>
      <c r="B38" s="11" t="s">
        <v>22</v>
      </c>
      <c r="C38" s="170">
        <f>IFERROR(
  MINIFS(ATTENDANCE_LOG!$F:$F,
         ATTENDANCE_LOG!$A:$A, A38,
         ATTENDANCE_LOG!$B:$B, B38),
"")</f>
        <v>45765.375</v>
      </c>
    </row>
    <row r="39">
      <c r="A39" s="11" t="s">
        <v>74</v>
      </c>
      <c r="B39" s="11" t="s">
        <v>22</v>
      </c>
      <c r="C39" s="170">
        <f>IFERROR(
  MINIFS(ATTENDANCE_LOG!$F:$F,
         ATTENDANCE_LOG!$A:$A, A39,
         ATTENDANCE_LOG!$B:$B, B39),
"")</f>
        <v>45813.375</v>
      </c>
    </row>
    <row r="40">
      <c r="A40" s="11" t="s">
        <v>74</v>
      </c>
      <c r="B40" s="11" t="s">
        <v>23</v>
      </c>
      <c r="C40" s="170">
        <f>IFERROR(
  MINIFS(ATTENDANCE_LOG!$F:$F,
         ATTENDANCE_LOG!$A:$A, A40,
         ATTENDANCE_LOG!$B:$B, B40),
"")</f>
        <v>46106.41667</v>
      </c>
    </row>
    <row r="41">
      <c r="A41" s="11" t="s">
        <v>74</v>
      </c>
      <c r="B41" s="11" t="s">
        <v>26</v>
      </c>
      <c r="C41" s="170">
        <f>IFERROR(
  MINIFS(ATTENDANCE_LOG!$F:$F,
         ATTENDANCE_LOG!$A:$A, A41,
         ATTENDANCE_LOG!$B:$B, B41),
"")</f>
        <v>45818.375</v>
      </c>
    </row>
    <row r="42">
      <c r="A42" s="11" t="s">
        <v>75</v>
      </c>
      <c r="B42" s="11" t="s">
        <v>22</v>
      </c>
      <c r="C42" s="170">
        <f>IFERROR(
  MINIFS(ATTENDANCE_LOG!$F:$F,
         ATTENDANCE_LOG!$A:$A, A42,
         ATTENDANCE_LOG!$B:$B, B42),
"")</f>
        <v>45761.41667</v>
      </c>
    </row>
    <row r="43">
      <c r="A43" s="11" t="s">
        <v>75</v>
      </c>
      <c r="B43" s="11" t="s">
        <v>23</v>
      </c>
      <c r="C43" s="170">
        <f>IFERROR(
  MINIFS(ATTENDANCE_LOG!$F:$F,
         ATTENDANCE_LOG!$A:$A, A43,
         ATTENDANCE_LOG!$B:$B, B43),
"")</f>
        <v>45922.41667</v>
      </c>
    </row>
    <row r="44">
      <c r="A44" s="11" t="s">
        <v>76</v>
      </c>
      <c r="B44" s="11" t="s">
        <v>22</v>
      </c>
      <c r="C44" s="170">
        <f>IFERROR(
  MINIFS(ATTENDANCE_LOG!$F:$F,
         ATTENDANCE_LOG!$A:$A, A44,
         ATTENDANCE_LOG!$B:$B, B44),
"")</f>
        <v>45763.54167</v>
      </c>
    </row>
    <row r="45">
      <c r="A45" s="11" t="s">
        <v>76</v>
      </c>
      <c r="B45" s="11" t="s">
        <v>23</v>
      </c>
      <c r="C45" s="170">
        <f>IFERROR(
  MINIFS(ATTENDANCE_LOG!$F:$F,
         ATTENDANCE_LOG!$A:$A, A45,
         ATTENDANCE_LOG!$B:$B, B45),
"")</f>
        <v>45895.58333</v>
      </c>
    </row>
    <row r="46">
      <c r="A46" s="11" t="s">
        <v>77</v>
      </c>
      <c r="B46" s="11" t="s">
        <v>22</v>
      </c>
      <c r="C46" s="170">
        <f>IFERROR(
  MINIFS(ATTENDANCE_LOG!$F:$F,
         ATTENDANCE_LOG!$A:$A, A46,
         ATTENDANCE_LOG!$B:$B, B46),
"")</f>
        <v>45715.58333</v>
      </c>
    </row>
    <row r="47">
      <c r="A47" s="11" t="s">
        <v>77</v>
      </c>
      <c r="B47" s="11" t="s">
        <v>23</v>
      </c>
      <c r="C47" s="170">
        <f>IFERROR(
  MINIFS(ATTENDANCE_LOG!$F:$F,
         ATTENDANCE_LOG!$A:$A, A47,
         ATTENDANCE_LOG!$B:$B, B47),
"")</f>
        <v>45890.54167</v>
      </c>
    </row>
    <row r="48">
      <c r="A48" s="11" t="s">
        <v>77</v>
      </c>
      <c r="B48" s="11" t="s">
        <v>24</v>
      </c>
      <c r="C48" s="170">
        <f>IFERROR(
  MINIFS(ATTENDANCE_LOG!$F:$F,
         ATTENDANCE_LOG!$A:$A, A48,
         ATTENDANCE_LOG!$B:$B, B48),
"")</f>
        <v>46107.58333</v>
      </c>
    </row>
    <row r="49">
      <c r="A49" s="11" t="s">
        <v>78</v>
      </c>
      <c r="B49" s="11" t="s">
        <v>22</v>
      </c>
      <c r="C49" s="170">
        <f>IFERROR(
  MINIFS(ATTENDANCE_LOG!$F:$F,
         ATTENDANCE_LOG!$A:$A, A49,
         ATTENDANCE_LOG!$B:$B, B49),
"")</f>
        <v>45638.45833</v>
      </c>
    </row>
    <row r="50">
      <c r="A50" s="11" t="s">
        <v>79</v>
      </c>
      <c r="B50" s="11" t="s">
        <v>22</v>
      </c>
      <c r="C50" s="170">
        <f>IFERROR(
  MINIFS(ATTENDANCE_LOG!$F:$F,
         ATTENDANCE_LOG!$A:$A, A50,
         ATTENDANCE_LOG!$B:$B, B50),
"")</f>
        <v>45645.45833</v>
      </c>
    </row>
    <row r="51">
      <c r="A51" s="11" t="s">
        <v>80</v>
      </c>
      <c r="B51" s="11" t="s">
        <v>22</v>
      </c>
      <c r="C51" s="170">
        <f>IFERROR(
  MINIFS(ATTENDANCE_LOG!$F:$F,
         ATTENDANCE_LOG!$A:$A, A51,
         ATTENDANCE_LOG!$B:$B, B51),
"")</f>
        <v>45646.41667</v>
      </c>
    </row>
    <row r="52">
      <c r="A52" s="11" t="s">
        <v>81</v>
      </c>
      <c r="B52" s="11" t="s">
        <v>22</v>
      </c>
      <c r="C52" s="170">
        <f>IFERROR(
  MINIFS(ATTENDANCE_LOG!$F:$F,
         ATTENDANCE_LOG!$A:$A, A52,
         ATTENDANCE_LOG!$B:$B, B52),
"")</f>
        <v>45765.41667</v>
      </c>
    </row>
    <row r="53">
      <c r="A53" s="11" t="s">
        <v>82</v>
      </c>
      <c r="B53" s="11" t="s">
        <v>22</v>
      </c>
      <c r="C53" s="170">
        <f>IFERROR(
  MINIFS(ATTENDANCE_LOG!$F:$F,
         ATTENDANCE_LOG!$A:$A, A53,
         ATTENDANCE_LOG!$B:$B, B53),
"")</f>
        <v>45765.58333</v>
      </c>
    </row>
    <row r="54">
      <c r="A54" s="11" t="s">
        <v>82</v>
      </c>
      <c r="B54" s="11" t="s">
        <v>23</v>
      </c>
      <c r="C54" s="170">
        <f>IFERROR(
  MINIFS(ATTENDANCE_LOG!$F:$F,
         ATTENDANCE_LOG!$A:$A, A54,
         ATTENDANCE_LOG!$B:$B, B54),
"")</f>
        <v>45881.54167</v>
      </c>
    </row>
    <row r="55">
      <c r="A55" s="11" t="s">
        <v>83</v>
      </c>
      <c r="B55" s="11" t="s">
        <v>22</v>
      </c>
      <c r="C55" s="170">
        <f>IFERROR(
  MINIFS(ATTENDANCE_LOG!$F:$F,
         ATTENDANCE_LOG!$A:$A, A55,
         ATTENDANCE_LOG!$B:$B, B55),
"")</f>
        <v>45764.41667</v>
      </c>
    </row>
    <row r="56">
      <c r="A56" s="11" t="s">
        <v>83</v>
      </c>
      <c r="B56" s="11" t="s">
        <v>23</v>
      </c>
      <c r="C56" s="170">
        <f>IFERROR(
  MINIFS(ATTENDANCE_LOG!$F:$F,
         ATTENDANCE_LOG!$A:$A, A56,
         ATTENDANCE_LOG!$B:$B, B56),
"")</f>
        <v>45882.41667</v>
      </c>
    </row>
    <row r="57">
      <c r="A57" s="11" t="s">
        <v>84</v>
      </c>
      <c r="B57" s="11" t="s">
        <v>25</v>
      </c>
      <c r="C57" s="170">
        <f>IFERROR(
  MINIFS(ATTENDANCE_LOG!$F:$F,
         ATTENDANCE_LOG!$A:$A, A57,
         ATTENDANCE_LOG!$B:$B, B57),
"")</f>
        <v>46091.54167</v>
      </c>
    </row>
    <row r="58">
      <c r="A58" s="11" t="s">
        <v>84</v>
      </c>
      <c r="B58" s="11" t="s">
        <v>22</v>
      </c>
      <c r="C58" s="170">
        <f>IFERROR(
  MINIFS(ATTENDANCE_LOG!$F:$F,
         ATTENDANCE_LOG!$A:$A, A58,
         ATTENDANCE_LOG!$B:$B, B58),
"")</f>
        <v>45764.58333</v>
      </c>
    </row>
    <row r="59">
      <c r="A59" s="11" t="s">
        <v>84</v>
      </c>
      <c r="B59" s="11" t="s">
        <v>23</v>
      </c>
      <c r="C59" s="170">
        <f>IFERROR(
  MINIFS(ATTENDANCE_LOG!$F:$F,
         ATTENDANCE_LOG!$A:$A, A59,
         ATTENDANCE_LOG!$B:$B, B59),
"")</f>
        <v>45882.58333</v>
      </c>
    </row>
    <row r="60">
      <c r="A60" s="11" t="s">
        <v>85</v>
      </c>
      <c r="B60" s="11" t="s">
        <v>25</v>
      </c>
      <c r="C60" s="170">
        <f>IFERROR(
  MINIFS(ATTENDANCE_LOG!$F:$F,
         ATTENDANCE_LOG!$A:$A, A60,
         ATTENDANCE_LOG!$B:$B, B60),
"")</f>
        <v>46086.45833</v>
      </c>
    </row>
    <row r="61">
      <c r="A61" s="11" t="s">
        <v>85</v>
      </c>
      <c r="B61" s="11" t="s">
        <v>22</v>
      </c>
      <c r="C61" s="170">
        <f>IFERROR(
  MINIFS(ATTENDANCE_LOG!$F:$F,
         ATTENDANCE_LOG!$A:$A, A61,
         ATTENDANCE_LOG!$B:$B, B61),
"")</f>
        <v>45764.45833</v>
      </c>
    </row>
    <row r="62">
      <c r="A62" s="11" t="s">
        <v>85</v>
      </c>
      <c r="B62" s="11" t="s">
        <v>23</v>
      </c>
      <c r="C62" s="170">
        <f>IFERROR(
  MINIFS(ATTENDANCE_LOG!$F:$F,
         ATTENDANCE_LOG!$A:$A, A62,
         ATTENDANCE_LOG!$B:$B, B62),
"")</f>
        <v>45910.54167</v>
      </c>
    </row>
    <row r="63">
      <c r="A63" s="11" t="s">
        <v>86</v>
      </c>
      <c r="B63" s="11" t="s">
        <v>22</v>
      </c>
      <c r="C63" s="170">
        <f>IFERROR(
  MINIFS(ATTENDANCE_LOG!$F:$F,
         ATTENDANCE_LOG!$A:$A, A63,
         ATTENDANCE_LOG!$B:$B, B63),
"")</f>
        <v>45930.41667</v>
      </c>
    </row>
    <row r="64">
      <c r="A64" s="11" t="s">
        <v>86</v>
      </c>
      <c r="B64" s="11" t="s">
        <v>23</v>
      </c>
      <c r="C64" s="170">
        <f>IFERROR(
  MINIFS(ATTENDANCE_LOG!$F:$F,
         ATTENDANCE_LOG!$A:$A, A64,
         ATTENDANCE_LOG!$B:$B, B64),
"")</f>
        <v>46098.625</v>
      </c>
    </row>
    <row r="65">
      <c r="A65" s="11" t="s">
        <v>86</v>
      </c>
      <c r="B65" s="11" t="s">
        <v>26</v>
      </c>
      <c r="C65" s="170">
        <f>IFERROR(
  MINIFS(ATTENDANCE_LOG!$F:$F,
         ATTENDANCE_LOG!$A:$A, A65,
         ATTENDANCE_LOG!$B:$B, B65),
"")</f>
        <v>45805.375</v>
      </c>
    </row>
    <row r="66">
      <c r="A66" s="11" t="s">
        <v>87</v>
      </c>
      <c r="B66" s="11" t="s">
        <v>22</v>
      </c>
      <c r="C66" s="170">
        <f>IFERROR(
  MINIFS(ATTENDANCE_LOG!$F:$F,
         ATTENDANCE_LOG!$A:$A, A66,
         ATTENDANCE_LOG!$B:$B, B66),
"")</f>
        <v>45813.45833</v>
      </c>
    </row>
    <row r="67">
      <c r="A67" s="11" t="s">
        <v>87</v>
      </c>
      <c r="B67" s="11" t="s">
        <v>23</v>
      </c>
      <c r="C67" s="170">
        <f>IFERROR(
  MINIFS(ATTENDANCE_LOG!$F:$F,
         ATTENDANCE_LOG!$A:$A, A67,
         ATTENDANCE_LOG!$B:$B, B67),
"")</f>
        <v>46038.41667</v>
      </c>
    </row>
    <row r="68">
      <c r="A68" s="11" t="s">
        <v>88</v>
      </c>
      <c r="B68" s="11" t="s">
        <v>22</v>
      </c>
      <c r="C68" s="170">
        <f>IFERROR(
  MINIFS(ATTENDANCE_LOG!$F:$F,
         ATTENDANCE_LOG!$A:$A, A68,
         ATTENDANCE_LOG!$B:$B, B68),
"")</f>
        <v>45882.54167</v>
      </c>
    </row>
    <row r="69">
      <c r="A69" s="11" t="s">
        <v>89</v>
      </c>
      <c r="B69" s="11" t="s">
        <v>27</v>
      </c>
      <c r="C69" s="170">
        <f>IFERROR(
  MINIFS(ATTENDANCE_LOG!$F:$F,
         ATTENDANCE_LOG!$A:$A, A69,
         ATTENDANCE_LOG!$B:$B, B69),
"")</f>
        <v>46126.58333</v>
      </c>
    </row>
    <row r="70">
      <c r="A70" s="11" t="s">
        <v>89</v>
      </c>
      <c r="B70" s="11" t="s">
        <v>26</v>
      </c>
      <c r="C70" s="170">
        <f>IFERROR(
  MINIFS(ATTENDANCE_LOG!$F:$F,
         ATTENDANCE_LOG!$A:$A, A70,
         ATTENDANCE_LOG!$B:$B, B70),
"")</f>
        <v>45916.45833</v>
      </c>
    </row>
    <row r="71">
      <c r="A71" s="11" t="s">
        <v>90</v>
      </c>
      <c r="B71" s="11" t="s">
        <v>22</v>
      </c>
      <c r="C71" s="170">
        <f>IFERROR(
  MINIFS(ATTENDANCE_LOG!$F:$F,
         ATTENDANCE_LOG!$A:$A, A71,
         ATTENDANCE_LOG!$B:$B, B71),
"")</f>
        <v>45917.58333</v>
      </c>
    </row>
    <row r="72">
      <c r="A72" s="11" t="s">
        <v>91</v>
      </c>
      <c r="B72" s="11" t="s">
        <v>22</v>
      </c>
      <c r="C72" s="170">
        <f>IFERROR(
  MINIFS(ATTENDANCE_LOG!$F:$F,
         ATTENDANCE_LOG!$A:$A, A72,
         ATTENDANCE_LOG!$B:$B, B72),
"")</f>
        <v>45909.54167</v>
      </c>
    </row>
    <row r="73">
      <c r="A73" s="11" t="s">
        <v>91</v>
      </c>
      <c r="B73" s="11" t="s">
        <v>23</v>
      </c>
      <c r="C73" s="170">
        <f>IFERROR(
  MINIFS(ATTENDANCE_LOG!$F:$F,
         ATTENDANCE_LOG!$A:$A, A73,
         ATTENDANCE_LOG!$B:$B, B73),
"")</f>
        <v>46093.54167</v>
      </c>
    </row>
    <row r="74">
      <c r="A74" s="11" t="s">
        <v>92</v>
      </c>
      <c r="B74" s="11" t="s">
        <v>26</v>
      </c>
      <c r="C74" s="170">
        <f>IFERROR(
  MINIFS(ATTENDANCE_LOG!$F:$F,
         ATTENDANCE_LOG!$A:$A, A74,
         ATTENDANCE_LOG!$B:$B, B74),
"")</f>
        <v>45917.58333</v>
      </c>
    </row>
    <row r="75">
      <c r="A75" s="11" t="s">
        <v>93</v>
      </c>
      <c r="B75" s="11" t="s">
        <v>22</v>
      </c>
      <c r="C75" s="170">
        <f>IFERROR(
  MINIFS(ATTENDANCE_LOG!$F:$F,
         ATTENDANCE_LOG!$A:$A, A75,
         ATTENDANCE_LOG!$B:$B, B75),
"")</f>
        <v>45929.58333</v>
      </c>
    </row>
    <row r="76">
      <c r="A76" s="11" t="s">
        <v>94</v>
      </c>
      <c r="B76" s="11" t="s">
        <v>22</v>
      </c>
      <c r="C76" s="170">
        <f>IFERROR(
  MINIFS(ATTENDANCE_LOG!$F:$F,
         ATTENDANCE_LOG!$A:$A, A76,
         ATTENDANCE_LOG!$B:$B, B76),
"")</f>
        <v>46083.625</v>
      </c>
    </row>
    <row r="77">
      <c r="A77" s="11" t="s">
        <v>95</v>
      </c>
      <c r="B77" s="11" t="s">
        <v>26</v>
      </c>
      <c r="C77" s="170">
        <f>IFERROR(
  MINIFS(ATTENDANCE_LOG!$F:$F,
         ATTENDANCE_LOG!$A:$A, A77,
         ATTENDANCE_LOG!$B:$B, B77),
"")</f>
        <v>46086.58333</v>
      </c>
    </row>
    <row r="78">
      <c r="A78" s="11" t="s">
        <v>96</v>
      </c>
      <c r="B78" s="11" t="s">
        <v>22</v>
      </c>
      <c r="C78" s="170">
        <f>IFERROR(
  MINIFS(ATTENDANCE_LOG!$F:$F,
         ATTENDANCE_LOG!$A:$A, A78,
         ATTENDANCE_LOG!$B:$B, B78),
"")</f>
        <v>46120.45833</v>
      </c>
    </row>
    <row r="79">
      <c r="A79" s="11" t="s">
        <v>97</v>
      </c>
      <c r="B79" s="11" t="s">
        <v>22</v>
      </c>
      <c r="C79" s="170">
        <f>IFERROR(
  MINIFS(ATTENDANCE_LOG!$F:$F,
         ATTENDANCE_LOG!$A:$A, A79,
         ATTENDANCE_LOG!$B:$B, B79),
"")</f>
        <v>46126.625</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18.0"/>
    <col customWidth="1" min="3" max="6" width="14.43"/>
  </cols>
  <sheetData>
    <row r="1">
      <c r="A1" s="155" t="s">
        <v>15</v>
      </c>
      <c r="B1" s="155" t="s">
        <v>2207</v>
      </c>
      <c r="C1" s="253"/>
      <c r="D1" s="253"/>
      <c r="E1" s="253"/>
      <c r="F1" s="253"/>
    </row>
    <row r="2">
      <c r="A2" s="475" t="s">
        <v>22</v>
      </c>
      <c r="B2" s="475">
        <v>10.0</v>
      </c>
      <c r="C2" s="253"/>
      <c r="D2" s="253"/>
      <c r="E2" s="253"/>
      <c r="F2" s="253"/>
    </row>
    <row r="3">
      <c r="A3" s="475" t="s">
        <v>23</v>
      </c>
      <c r="B3" s="475">
        <v>16.0</v>
      </c>
      <c r="C3" s="253"/>
      <c r="D3" s="253"/>
      <c r="E3" s="253"/>
      <c r="F3" s="253"/>
    </row>
    <row r="4">
      <c r="A4" s="475" t="s">
        <v>24</v>
      </c>
      <c r="B4" s="475">
        <v>16.0</v>
      </c>
      <c r="C4" s="253"/>
      <c r="D4" s="253"/>
      <c r="E4" s="253"/>
      <c r="F4" s="253"/>
    </row>
    <row r="5">
      <c r="A5" s="475" t="s">
        <v>25</v>
      </c>
      <c r="B5" s="475">
        <v>16.0</v>
      </c>
      <c r="C5" s="253"/>
      <c r="D5" s="253"/>
      <c r="E5" s="253"/>
      <c r="F5" s="253"/>
    </row>
    <row r="6">
      <c r="A6" s="475" t="s">
        <v>26</v>
      </c>
      <c r="B6" s="475">
        <v>16.0</v>
      </c>
      <c r="C6" s="253"/>
      <c r="D6" s="253"/>
      <c r="E6" s="253"/>
      <c r="F6" s="253"/>
    </row>
    <row r="7">
      <c r="A7" s="368" t="s">
        <v>27</v>
      </c>
      <c r="B7" s="368">
        <v>16.0</v>
      </c>
      <c r="C7" s="253"/>
      <c r="D7" s="253"/>
      <c r="E7" s="253"/>
      <c r="F7" s="253"/>
    </row>
    <row r="8">
      <c r="A8" s="475"/>
      <c r="B8" s="475"/>
      <c r="C8" s="253"/>
      <c r="D8" s="253"/>
      <c r="E8" s="253"/>
      <c r="F8" s="253"/>
    </row>
    <row r="9">
      <c r="A9" s="475"/>
      <c r="B9" s="475"/>
      <c r="C9" s="253"/>
      <c r="D9" s="253"/>
      <c r="E9" s="253"/>
      <c r="F9" s="253"/>
    </row>
    <row r="10">
      <c r="A10" s="475"/>
      <c r="B10" s="475"/>
      <c r="C10" s="253"/>
      <c r="D10" s="253"/>
      <c r="E10" s="253"/>
      <c r="F10" s="253"/>
    </row>
    <row r="11">
      <c r="A11" s="475"/>
      <c r="B11" s="475"/>
      <c r="C11" s="253"/>
      <c r="D11" s="253"/>
      <c r="E11" s="253"/>
      <c r="F11" s="253"/>
    </row>
    <row r="12">
      <c r="A12" s="475"/>
      <c r="B12" s="475"/>
      <c r="C12" s="253"/>
      <c r="D12" s="253"/>
      <c r="E12" s="253"/>
      <c r="F12" s="253"/>
    </row>
    <row r="13">
      <c r="A13" s="475"/>
      <c r="B13" s="475"/>
      <c r="C13" s="253"/>
      <c r="D13" s="253"/>
      <c r="E13" s="253"/>
      <c r="F13" s="253"/>
    </row>
    <row r="14">
      <c r="A14" s="475"/>
      <c r="B14" s="475"/>
      <c r="C14" s="253"/>
      <c r="D14" s="253"/>
      <c r="E14" s="253"/>
      <c r="F14" s="253"/>
    </row>
    <row r="15">
      <c r="A15" s="475"/>
      <c r="B15" s="475"/>
      <c r="C15" s="253"/>
      <c r="D15" s="253"/>
      <c r="E15" s="253"/>
      <c r="F15" s="253"/>
    </row>
    <row r="16">
      <c r="A16" s="475"/>
      <c r="B16" s="475"/>
      <c r="C16" s="253"/>
      <c r="D16" s="253"/>
      <c r="E16" s="253"/>
      <c r="F16" s="253"/>
    </row>
    <row r="17">
      <c r="A17" s="475"/>
      <c r="B17" s="475"/>
      <c r="C17" s="253"/>
      <c r="D17" s="253"/>
      <c r="E17" s="253"/>
      <c r="F17" s="253"/>
    </row>
    <row r="18">
      <c r="A18" s="475"/>
      <c r="B18" s="475"/>
      <c r="C18" s="253"/>
      <c r="D18" s="253"/>
      <c r="E18" s="253"/>
      <c r="F18" s="253"/>
    </row>
    <row r="19">
      <c r="A19" s="475"/>
      <c r="B19" s="475"/>
      <c r="C19" s="253"/>
      <c r="D19" s="253"/>
      <c r="E19" s="253"/>
      <c r="F19" s="253"/>
    </row>
    <row r="20">
      <c r="A20" s="475"/>
      <c r="B20" s="475"/>
      <c r="C20" s="253"/>
      <c r="D20" s="253"/>
      <c r="E20" s="253"/>
      <c r="F20" s="253"/>
    </row>
    <row r="21" ht="15.75" customHeight="1">
      <c r="A21" s="475"/>
      <c r="B21" s="475"/>
      <c r="C21" s="253"/>
      <c r="D21" s="253"/>
      <c r="E21" s="253"/>
      <c r="F21" s="253"/>
    </row>
    <row r="22" ht="15.75" customHeight="1">
      <c r="A22" s="475"/>
      <c r="B22" s="475"/>
      <c r="C22" s="253"/>
      <c r="D22" s="253"/>
      <c r="E22" s="253"/>
      <c r="F22" s="253"/>
    </row>
    <row r="23" ht="15.75" customHeight="1">
      <c r="A23" s="475"/>
      <c r="B23" s="475"/>
      <c r="C23" s="253"/>
      <c r="D23" s="253"/>
      <c r="E23" s="253"/>
      <c r="F23" s="253"/>
    </row>
    <row r="24" ht="15.75" customHeight="1">
      <c r="A24" s="475"/>
      <c r="B24" s="475"/>
      <c r="C24" s="253"/>
      <c r="D24" s="253"/>
      <c r="E24" s="253"/>
      <c r="F24" s="253"/>
    </row>
    <row r="25" ht="15.75" customHeight="1">
      <c r="A25" s="475"/>
      <c r="B25" s="475"/>
      <c r="C25" s="253"/>
      <c r="D25" s="253"/>
      <c r="E25" s="253"/>
      <c r="F25" s="253"/>
    </row>
    <row r="26" ht="15.75" customHeight="1">
      <c r="A26" s="475"/>
      <c r="B26" s="475"/>
      <c r="C26" s="253"/>
      <c r="D26" s="253"/>
      <c r="E26" s="253"/>
      <c r="F26" s="253"/>
    </row>
    <row r="27" ht="15.75" customHeight="1">
      <c r="A27" s="475"/>
      <c r="B27" s="475"/>
      <c r="C27" s="253"/>
      <c r="D27" s="253"/>
      <c r="E27" s="253"/>
      <c r="F27" s="253"/>
    </row>
    <row r="28" ht="15.75" customHeight="1">
      <c r="A28" s="475"/>
      <c r="B28" s="475"/>
      <c r="C28" s="253"/>
      <c r="D28" s="253"/>
      <c r="E28" s="253"/>
      <c r="F28" s="253"/>
    </row>
    <row r="29" ht="15.75" customHeight="1">
      <c r="A29" s="475"/>
      <c r="B29" s="475"/>
      <c r="C29" s="253"/>
      <c r="D29" s="253"/>
      <c r="E29" s="253"/>
      <c r="F29" s="253"/>
    </row>
    <row r="30" ht="15.75" customHeight="1">
      <c r="A30" s="475"/>
      <c r="B30" s="475"/>
      <c r="C30" s="253"/>
      <c r="D30" s="253"/>
      <c r="E30" s="253"/>
      <c r="F30" s="253"/>
    </row>
    <row r="31" ht="15.75" customHeight="1">
      <c r="A31" s="475"/>
      <c r="B31" s="475"/>
      <c r="C31" s="253"/>
      <c r="D31" s="253"/>
      <c r="E31" s="253"/>
      <c r="F31" s="253"/>
    </row>
    <row r="32" ht="15.75" customHeight="1">
      <c r="A32" s="475"/>
      <c r="B32" s="475"/>
      <c r="C32" s="253"/>
      <c r="D32" s="253"/>
      <c r="E32" s="253"/>
      <c r="F32" s="253"/>
    </row>
    <row r="33" ht="15.75" customHeight="1">
      <c r="A33" s="475"/>
      <c r="B33" s="475"/>
      <c r="C33" s="253"/>
      <c r="D33" s="253"/>
      <c r="E33" s="253"/>
      <c r="F33" s="253"/>
    </row>
    <row r="34" ht="15.75" customHeight="1">
      <c r="A34" s="475"/>
      <c r="B34" s="475"/>
      <c r="C34" s="253"/>
      <c r="D34" s="253"/>
      <c r="E34" s="253"/>
      <c r="F34" s="253"/>
    </row>
    <row r="35" ht="15.75" customHeight="1">
      <c r="A35" s="475"/>
      <c r="B35" s="475"/>
      <c r="C35" s="253"/>
      <c r="D35" s="253"/>
      <c r="E35" s="253"/>
      <c r="F35" s="253"/>
    </row>
    <row r="36" ht="15.75" customHeight="1">
      <c r="A36" s="475"/>
      <c r="B36" s="475"/>
      <c r="C36" s="253"/>
      <c r="D36" s="253"/>
      <c r="E36" s="253"/>
      <c r="F36" s="253"/>
    </row>
    <row r="37" ht="15.75" customHeight="1">
      <c r="A37" s="475"/>
      <c r="B37" s="475"/>
      <c r="C37" s="253"/>
      <c r="D37" s="253"/>
      <c r="E37" s="253"/>
      <c r="F37" s="253"/>
    </row>
    <row r="38" ht="15.75" customHeight="1">
      <c r="A38" s="475"/>
      <c r="B38" s="475"/>
      <c r="C38" s="253"/>
      <c r="D38" s="253"/>
      <c r="E38" s="253"/>
      <c r="F38" s="253"/>
    </row>
    <row r="39" ht="15.75" customHeight="1">
      <c r="A39" s="475"/>
      <c r="B39" s="475"/>
      <c r="C39" s="253"/>
      <c r="D39" s="253"/>
      <c r="E39" s="253"/>
      <c r="F39" s="253"/>
    </row>
    <row r="40" ht="15.75" customHeight="1">
      <c r="A40" s="475"/>
      <c r="B40" s="475"/>
      <c r="C40" s="253"/>
      <c r="D40" s="253"/>
      <c r="E40" s="253"/>
      <c r="F40" s="253"/>
    </row>
    <row r="41" ht="15.75" customHeight="1">
      <c r="A41" s="475"/>
      <c r="B41" s="475"/>
      <c r="C41" s="253"/>
      <c r="D41" s="253"/>
      <c r="E41" s="253"/>
      <c r="F41" s="253"/>
    </row>
    <row r="42" ht="15.75" customHeight="1">
      <c r="A42" s="475"/>
      <c r="B42" s="475"/>
      <c r="C42" s="253"/>
      <c r="D42" s="253"/>
      <c r="E42" s="253"/>
      <c r="F42" s="253"/>
    </row>
    <row r="43" ht="15.75" customHeight="1">
      <c r="A43" s="475"/>
      <c r="B43" s="475"/>
      <c r="C43" s="253"/>
      <c r="D43" s="253"/>
      <c r="E43" s="253"/>
      <c r="F43" s="253"/>
    </row>
    <row r="44" ht="15.75" customHeight="1">
      <c r="A44" s="475"/>
      <c r="B44" s="475"/>
      <c r="C44" s="253"/>
      <c r="D44" s="253"/>
      <c r="E44" s="253"/>
      <c r="F44" s="253"/>
    </row>
    <row r="45" ht="15.75" customHeight="1">
      <c r="A45" s="475"/>
      <c r="B45" s="475"/>
      <c r="C45" s="253"/>
      <c r="D45" s="253"/>
      <c r="E45" s="253"/>
      <c r="F45" s="253"/>
    </row>
    <row r="46" ht="15.75" customHeight="1">
      <c r="A46" s="475"/>
      <c r="B46" s="475"/>
      <c r="C46" s="253"/>
      <c r="D46" s="253"/>
      <c r="E46" s="253"/>
      <c r="F46" s="253"/>
    </row>
    <row r="47" ht="15.75" customHeight="1">
      <c r="A47" s="475"/>
      <c r="B47" s="475"/>
      <c r="C47" s="253"/>
      <c r="D47" s="253"/>
      <c r="E47" s="253"/>
      <c r="F47" s="253"/>
    </row>
    <row r="48" ht="15.75" customHeight="1">
      <c r="A48" s="475"/>
      <c r="B48" s="475"/>
      <c r="C48" s="253"/>
      <c r="D48" s="253"/>
      <c r="E48" s="253"/>
      <c r="F48" s="253"/>
    </row>
    <row r="49" ht="15.75" customHeight="1">
      <c r="A49" s="475"/>
      <c r="B49" s="475"/>
      <c r="C49" s="253"/>
      <c r="D49" s="253"/>
      <c r="E49" s="253"/>
      <c r="F49" s="253"/>
    </row>
    <row r="50" ht="15.75" customHeight="1">
      <c r="A50" s="475"/>
      <c r="B50" s="475"/>
      <c r="C50" s="253"/>
      <c r="D50" s="253"/>
      <c r="E50" s="253"/>
      <c r="F50" s="253"/>
    </row>
    <row r="51" ht="15.75" customHeight="1">
      <c r="A51" s="475"/>
      <c r="B51" s="475"/>
      <c r="C51" s="253"/>
      <c r="D51" s="253"/>
      <c r="E51" s="253"/>
      <c r="F51" s="253"/>
    </row>
    <row r="52" ht="15.75" customHeight="1">
      <c r="A52" s="475"/>
      <c r="B52" s="475"/>
      <c r="C52" s="253"/>
      <c r="D52" s="253"/>
      <c r="E52" s="253"/>
      <c r="F52" s="253"/>
    </row>
    <row r="53" ht="15.75" customHeight="1">
      <c r="A53" s="475"/>
      <c r="B53" s="475"/>
      <c r="C53" s="253"/>
      <c r="D53" s="253"/>
      <c r="E53" s="253"/>
      <c r="F53" s="253"/>
    </row>
    <row r="54" ht="15.75" customHeight="1">
      <c r="A54" s="475"/>
      <c r="B54" s="475"/>
      <c r="C54" s="253"/>
      <c r="D54" s="253"/>
      <c r="E54" s="253"/>
      <c r="F54" s="253"/>
    </row>
    <row r="55" ht="15.75" customHeight="1">
      <c r="A55" s="475"/>
      <c r="B55" s="475"/>
      <c r="C55" s="253"/>
      <c r="D55" s="253"/>
      <c r="E55" s="253"/>
      <c r="F55" s="253"/>
    </row>
    <row r="56" ht="15.75" customHeight="1">
      <c r="A56" s="475"/>
      <c r="B56" s="475"/>
      <c r="C56" s="253"/>
      <c r="D56" s="253"/>
      <c r="E56" s="253"/>
      <c r="F56" s="253"/>
    </row>
    <row r="57" ht="15.75" customHeight="1">
      <c r="A57" s="475"/>
      <c r="B57" s="475"/>
      <c r="C57" s="253"/>
      <c r="D57" s="253"/>
      <c r="E57" s="253"/>
      <c r="F57" s="253"/>
    </row>
    <row r="58" ht="15.75" customHeight="1">
      <c r="A58" s="475"/>
      <c r="B58" s="475"/>
      <c r="C58" s="253"/>
      <c r="D58" s="253"/>
      <c r="E58" s="253"/>
      <c r="F58" s="253"/>
    </row>
    <row r="59" ht="15.75" customHeight="1">
      <c r="A59" s="475"/>
      <c r="B59" s="475"/>
      <c r="C59" s="253"/>
      <c r="D59" s="253"/>
      <c r="E59" s="253"/>
      <c r="F59" s="253"/>
    </row>
    <row r="60" ht="15.75" customHeight="1">
      <c r="A60" s="475"/>
      <c r="B60" s="475"/>
      <c r="C60" s="253"/>
      <c r="D60" s="253"/>
      <c r="E60" s="253"/>
      <c r="F60" s="253"/>
    </row>
    <row r="61" ht="15.75" customHeight="1">
      <c r="A61" s="475"/>
      <c r="B61" s="475"/>
      <c r="C61" s="253"/>
      <c r="D61" s="253"/>
      <c r="E61" s="253"/>
      <c r="F61" s="253"/>
    </row>
    <row r="62" ht="15.75" customHeight="1">
      <c r="A62" s="475"/>
      <c r="B62" s="475"/>
      <c r="C62" s="253"/>
      <c r="D62" s="253"/>
      <c r="E62" s="253"/>
      <c r="F62" s="253"/>
    </row>
    <row r="63" ht="15.75" customHeight="1">
      <c r="A63" s="475"/>
      <c r="B63" s="475"/>
      <c r="C63" s="253"/>
      <c r="D63" s="253"/>
      <c r="E63" s="253"/>
      <c r="F63" s="253"/>
    </row>
    <row r="64" ht="15.75" customHeight="1">
      <c r="A64" s="475"/>
      <c r="B64" s="475"/>
      <c r="C64" s="253"/>
      <c r="D64" s="253"/>
      <c r="E64" s="253"/>
      <c r="F64" s="253"/>
    </row>
    <row r="65" ht="15.75" customHeight="1">
      <c r="A65" s="475"/>
      <c r="B65" s="475"/>
      <c r="C65" s="253"/>
      <c r="D65" s="253"/>
      <c r="E65" s="253"/>
      <c r="F65" s="253"/>
    </row>
    <row r="66" ht="15.75" customHeight="1">
      <c r="A66" s="475"/>
      <c r="B66" s="475"/>
      <c r="C66" s="253"/>
      <c r="D66" s="253"/>
      <c r="E66" s="253"/>
      <c r="F66" s="253"/>
    </row>
    <row r="67" ht="15.75" customHeight="1">
      <c r="A67" s="475"/>
      <c r="B67" s="475"/>
      <c r="C67" s="253"/>
      <c r="D67" s="253"/>
      <c r="E67" s="253"/>
      <c r="F67" s="253"/>
    </row>
    <row r="68" ht="15.75" customHeight="1">
      <c r="A68" s="475"/>
      <c r="B68" s="475"/>
      <c r="C68" s="253"/>
      <c r="D68" s="253"/>
      <c r="E68" s="253"/>
      <c r="F68" s="253"/>
    </row>
    <row r="69" ht="15.75" customHeight="1">
      <c r="A69" s="475"/>
      <c r="B69" s="475"/>
      <c r="C69" s="253"/>
      <c r="D69" s="253"/>
      <c r="E69" s="253"/>
      <c r="F69" s="253"/>
    </row>
    <row r="70" ht="15.75" customHeight="1">
      <c r="A70" s="475"/>
      <c r="B70" s="475"/>
      <c r="C70" s="253"/>
      <c r="D70" s="253"/>
      <c r="E70" s="253"/>
      <c r="F70" s="253"/>
    </row>
    <row r="71" ht="15.75" customHeight="1">
      <c r="A71" s="475"/>
      <c r="B71" s="475"/>
      <c r="C71" s="253"/>
      <c r="D71" s="253"/>
      <c r="E71" s="253"/>
      <c r="F71" s="253"/>
    </row>
    <row r="72" ht="15.75" customHeight="1">
      <c r="A72" s="475"/>
      <c r="B72" s="475"/>
      <c r="C72" s="253"/>
      <c r="D72" s="253"/>
      <c r="E72" s="253"/>
      <c r="F72" s="253"/>
    </row>
    <row r="73" ht="15.75" customHeight="1">
      <c r="A73" s="475"/>
      <c r="B73" s="475"/>
      <c r="C73" s="253"/>
      <c r="D73" s="253"/>
      <c r="E73" s="253"/>
      <c r="F73" s="253"/>
    </row>
    <row r="74" ht="15.75" customHeight="1">
      <c r="A74" s="475"/>
      <c r="B74" s="475"/>
      <c r="C74" s="253"/>
      <c r="D74" s="253"/>
      <c r="E74" s="253"/>
      <c r="F74" s="253"/>
    </row>
    <row r="75" ht="15.75" customHeight="1">
      <c r="A75" s="475"/>
      <c r="B75" s="475"/>
      <c r="C75" s="253"/>
      <c r="D75" s="253"/>
      <c r="E75" s="253"/>
      <c r="F75" s="253"/>
    </row>
    <row r="76" ht="15.75" customHeight="1">
      <c r="A76" s="475"/>
      <c r="B76" s="475"/>
      <c r="C76" s="253"/>
      <c r="D76" s="253"/>
      <c r="E76" s="253"/>
      <c r="F76" s="253"/>
    </row>
    <row r="77" ht="15.75" customHeight="1">
      <c r="A77" s="475"/>
      <c r="B77" s="475"/>
      <c r="C77" s="253"/>
      <c r="D77" s="253"/>
      <c r="E77" s="253"/>
      <c r="F77" s="253"/>
    </row>
    <row r="78" ht="15.75" customHeight="1">
      <c r="A78" s="475"/>
      <c r="B78" s="475"/>
      <c r="C78" s="253"/>
      <c r="D78" s="253"/>
      <c r="E78" s="253"/>
      <c r="F78" s="253"/>
    </row>
    <row r="79" ht="15.75" customHeight="1">
      <c r="A79" s="475"/>
      <c r="B79" s="475"/>
      <c r="C79" s="253"/>
      <c r="D79" s="253"/>
      <c r="E79" s="253"/>
      <c r="F79" s="253"/>
    </row>
    <row r="80" ht="15.75" customHeight="1">
      <c r="A80" s="475"/>
      <c r="B80" s="475"/>
      <c r="C80" s="253"/>
      <c r="D80" s="253"/>
      <c r="E80" s="253"/>
      <c r="F80" s="253"/>
    </row>
    <row r="81" ht="15.75" customHeight="1">
      <c r="A81" s="475"/>
      <c r="B81" s="475"/>
      <c r="C81" s="253"/>
      <c r="D81" s="253"/>
      <c r="E81" s="253"/>
      <c r="F81" s="253"/>
    </row>
    <row r="82" ht="15.75" customHeight="1">
      <c r="A82" s="475"/>
      <c r="B82" s="475"/>
      <c r="C82" s="253"/>
      <c r="D82" s="253"/>
      <c r="E82" s="253"/>
      <c r="F82" s="253"/>
    </row>
    <row r="83" ht="15.75" customHeight="1">
      <c r="A83" s="475"/>
      <c r="B83" s="475"/>
      <c r="C83" s="253"/>
      <c r="D83" s="253"/>
      <c r="E83" s="253"/>
      <c r="F83" s="253"/>
    </row>
    <row r="84" ht="15.75" customHeight="1">
      <c r="A84" s="475"/>
      <c r="B84" s="475"/>
      <c r="C84" s="253"/>
      <c r="D84" s="253"/>
      <c r="E84" s="253"/>
      <c r="F84" s="253"/>
    </row>
    <row r="85" ht="15.75" customHeight="1">
      <c r="A85" s="475"/>
      <c r="B85" s="475"/>
      <c r="C85" s="253"/>
      <c r="D85" s="253"/>
      <c r="E85" s="253"/>
      <c r="F85" s="253"/>
    </row>
    <row r="86" ht="15.75" customHeight="1">
      <c r="A86" s="475"/>
      <c r="B86" s="475"/>
      <c r="C86" s="253"/>
      <c r="D86" s="253"/>
      <c r="E86" s="253"/>
      <c r="F86" s="253"/>
    </row>
    <row r="87" ht="15.75" customHeight="1">
      <c r="A87" s="475"/>
      <c r="B87" s="475"/>
      <c r="C87" s="253"/>
      <c r="D87" s="253"/>
      <c r="E87" s="253"/>
      <c r="F87" s="253"/>
    </row>
    <row r="88" ht="15.75" customHeight="1">
      <c r="A88" s="475"/>
      <c r="B88" s="475"/>
      <c r="C88" s="253"/>
      <c r="D88" s="253"/>
      <c r="E88" s="253"/>
      <c r="F88" s="253"/>
    </row>
    <row r="89" ht="15.75" customHeight="1">
      <c r="A89" s="475"/>
      <c r="B89" s="475"/>
      <c r="C89" s="253"/>
      <c r="D89" s="253"/>
      <c r="E89" s="253"/>
      <c r="F89" s="253"/>
    </row>
    <row r="90" ht="15.75" customHeight="1">
      <c r="A90" s="475"/>
      <c r="B90" s="475"/>
      <c r="C90" s="253"/>
      <c r="D90" s="253"/>
      <c r="E90" s="253"/>
      <c r="F90" s="253"/>
    </row>
    <row r="91" ht="15.75" customHeight="1">
      <c r="A91" s="475"/>
      <c r="B91" s="475"/>
      <c r="C91" s="253"/>
      <c r="D91" s="253"/>
      <c r="E91" s="253"/>
      <c r="F91" s="253"/>
    </row>
    <row r="92" ht="15.75" customHeight="1">
      <c r="A92" s="475"/>
      <c r="B92" s="475"/>
      <c r="C92" s="253"/>
      <c r="D92" s="253"/>
      <c r="E92" s="253"/>
      <c r="F92" s="253"/>
    </row>
    <row r="93" ht="15.75" customHeight="1">
      <c r="A93" s="475"/>
      <c r="B93" s="475"/>
      <c r="C93" s="253"/>
      <c r="D93" s="253"/>
      <c r="E93" s="253"/>
      <c r="F93" s="253"/>
    </row>
    <row r="94" ht="15.75" customHeight="1">
      <c r="A94" s="475"/>
      <c r="B94" s="475"/>
      <c r="C94" s="253"/>
      <c r="D94" s="253"/>
      <c r="E94" s="253"/>
      <c r="F94" s="253"/>
    </row>
    <row r="95" ht="15.75" customHeight="1">
      <c r="A95" s="475"/>
      <c r="B95" s="475"/>
      <c r="C95" s="253"/>
      <c r="D95" s="253"/>
      <c r="E95" s="253"/>
      <c r="F95" s="253"/>
    </row>
    <row r="96" ht="15.75" customHeight="1">
      <c r="A96" s="475"/>
      <c r="B96" s="475"/>
      <c r="C96" s="253"/>
      <c r="D96" s="253"/>
      <c r="E96" s="253"/>
      <c r="F96" s="253"/>
    </row>
    <row r="97" ht="15.75" customHeight="1">
      <c r="A97" s="475"/>
      <c r="B97" s="475"/>
      <c r="C97" s="253"/>
      <c r="D97" s="253"/>
      <c r="E97" s="253"/>
      <c r="F97" s="253"/>
    </row>
    <row r="98" ht="15.75" customHeight="1">
      <c r="A98" s="475"/>
      <c r="B98" s="475"/>
      <c r="C98" s="253"/>
      <c r="D98" s="253"/>
      <c r="E98" s="253"/>
      <c r="F98" s="253"/>
    </row>
    <row r="99" ht="15.75" customHeight="1">
      <c r="A99" s="475"/>
      <c r="B99" s="475"/>
      <c r="C99" s="253"/>
      <c r="D99" s="253"/>
      <c r="E99" s="253"/>
      <c r="F99" s="253"/>
    </row>
    <row r="100" ht="15.75" customHeight="1">
      <c r="A100" s="475"/>
      <c r="B100" s="475"/>
      <c r="C100" s="253"/>
      <c r="D100" s="253"/>
      <c r="E100" s="253"/>
      <c r="F100" s="253"/>
    </row>
    <row r="101" ht="15.75" customHeight="1">
      <c r="A101" s="475"/>
      <c r="B101" s="475"/>
      <c r="C101" s="253"/>
      <c r="D101" s="253"/>
      <c r="E101" s="253"/>
      <c r="F101" s="253"/>
    </row>
    <row r="102" ht="15.75" customHeight="1">
      <c r="A102" s="475"/>
      <c r="B102" s="475"/>
      <c r="C102" s="253"/>
      <c r="D102" s="253"/>
      <c r="E102" s="253"/>
      <c r="F102" s="253"/>
    </row>
    <row r="103" ht="15.75" customHeight="1">
      <c r="A103" s="475"/>
      <c r="B103" s="475"/>
      <c r="C103" s="253"/>
      <c r="D103" s="253"/>
      <c r="E103" s="253"/>
      <c r="F103" s="253"/>
    </row>
    <row r="104" ht="15.75" customHeight="1">
      <c r="A104" s="475"/>
      <c r="B104" s="475"/>
      <c r="C104" s="253"/>
      <c r="D104" s="253"/>
      <c r="E104" s="253"/>
      <c r="F104" s="253"/>
    </row>
    <row r="105" ht="15.75" customHeight="1">
      <c r="A105" s="475"/>
      <c r="B105" s="475"/>
      <c r="C105" s="253"/>
      <c r="D105" s="253"/>
      <c r="E105" s="253"/>
      <c r="F105" s="253"/>
    </row>
    <row r="106" ht="15.75" customHeight="1">
      <c r="A106" s="475"/>
      <c r="B106" s="475"/>
      <c r="C106" s="253"/>
      <c r="D106" s="253"/>
      <c r="E106" s="253"/>
      <c r="F106" s="253"/>
    </row>
    <row r="107" ht="15.75" customHeight="1">
      <c r="A107" s="475"/>
      <c r="B107" s="475"/>
      <c r="C107" s="253"/>
      <c r="D107" s="253"/>
      <c r="E107" s="253"/>
      <c r="F107" s="253"/>
    </row>
    <row r="108" ht="15.75" customHeight="1">
      <c r="A108" s="475"/>
      <c r="B108" s="475"/>
      <c r="C108" s="253"/>
      <c r="D108" s="253"/>
      <c r="E108" s="253"/>
      <c r="F108" s="253"/>
    </row>
    <row r="109" ht="15.75" customHeight="1">
      <c r="A109" s="475"/>
      <c r="B109" s="475"/>
      <c r="C109" s="253"/>
      <c r="D109" s="253"/>
      <c r="E109" s="253"/>
      <c r="F109" s="253"/>
    </row>
    <row r="110" ht="15.75" customHeight="1">
      <c r="A110" s="475"/>
      <c r="B110" s="475"/>
      <c r="C110" s="253"/>
      <c r="D110" s="253"/>
      <c r="E110" s="253"/>
      <c r="F110" s="253"/>
    </row>
    <row r="111" ht="15.75" customHeight="1">
      <c r="A111" s="475"/>
      <c r="B111" s="475"/>
      <c r="C111" s="253"/>
      <c r="D111" s="253"/>
      <c r="E111" s="253"/>
      <c r="F111" s="253"/>
    </row>
    <row r="112" ht="15.75" customHeight="1">
      <c r="A112" s="475"/>
      <c r="B112" s="475"/>
      <c r="C112" s="253"/>
      <c r="D112" s="253"/>
      <c r="E112" s="253"/>
      <c r="F112" s="253"/>
    </row>
    <row r="113" ht="15.75" customHeight="1">
      <c r="A113" s="475"/>
      <c r="B113" s="475"/>
      <c r="C113" s="253"/>
      <c r="D113" s="253"/>
      <c r="E113" s="253"/>
      <c r="F113" s="253"/>
    </row>
    <row r="114" ht="15.75" customHeight="1">
      <c r="A114" s="475"/>
      <c r="B114" s="475"/>
      <c r="C114" s="253"/>
      <c r="D114" s="253"/>
      <c r="E114" s="253"/>
      <c r="F114" s="253"/>
    </row>
    <row r="115" ht="15.75" customHeight="1">
      <c r="A115" s="475"/>
      <c r="B115" s="475"/>
      <c r="C115" s="253"/>
      <c r="D115" s="253"/>
      <c r="E115" s="253"/>
      <c r="F115" s="253"/>
    </row>
    <row r="116" ht="15.75" customHeight="1">
      <c r="A116" s="475"/>
      <c r="B116" s="475"/>
      <c r="C116" s="253"/>
      <c r="D116" s="253"/>
      <c r="E116" s="253"/>
      <c r="F116" s="253"/>
    </row>
    <row r="117" ht="15.75" customHeight="1">
      <c r="A117" s="475"/>
      <c r="B117" s="475"/>
      <c r="C117" s="253"/>
      <c r="D117" s="253"/>
      <c r="E117" s="253"/>
      <c r="F117" s="253"/>
    </row>
    <row r="118" ht="15.75" customHeight="1">
      <c r="A118" s="475"/>
      <c r="B118" s="475"/>
      <c r="C118" s="253"/>
      <c r="D118" s="253"/>
      <c r="E118" s="253"/>
      <c r="F118" s="253"/>
    </row>
    <row r="119" ht="15.75" customHeight="1">
      <c r="A119" s="475"/>
      <c r="B119" s="475"/>
      <c r="C119" s="253"/>
      <c r="D119" s="253"/>
      <c r="E119" s="253"/>
      <c r="F119" s="253"/>
    </row>
    <row r="120" ht="15.75" customHeight="1">
      <c r="A120" s="475"/>
      <c r="B120" s="475"/>
      <c r="C120" s="253"/>
      <c r="D120" s="253"/>
      <c r="E120" s="253"/>
      <c r="F120" s="253"/>
    </row>
    <row r="121" ht="15.75" customHeight="1">
      <c r="A121" s="475"/>
      <c r="B121" s="475"/>
      <c r="C121" s="253"/>
      <c r="D121" s="253"/>
      <c r="E121" s="253"/>
      <c r="F121" s="253"/>
    </row>
    <row r="122" ht="15.75" customHeight="1">
      <c r="A122" s="475"/>
      <c r="B122" s="475"/>
      <c r="C122" s="253"/>
      <c r="D122" s="253"/>
      <c r="E122" s="253"/>
      <c r="F122" s="253"/>
    </row>
    <row r="123" ht="15.75" customHeight="1">
      <c r="A123" s="475"/>
      <c r="B123" s="475"/>
      <c r="C123" s="253"/>
      <c r="D123" s="253"/>
      <c r="E123" s="253"/>
      <c r="F123" s="253"/>
    </row>
    <row r="124" ht="15.75" customHeight="1">
      <c r="A124" s="475"/>
      <c r="B124" s="475"/>
      <c r="C124" s="253"/>
      <c r="D124" s="253"/>
      <c r="E124" s="253"/>
      <c r="F124" s="253"/>
    </row>
    <row r="125" ht="15.75" customHeight="1">
      <c r="A125" s="475"/>
      <c r="B125" s="475"/>
      <c r="C125" s="253"/>
      <c r="D125" s="253"/>
      <c r="E125" s="253"/>
      <c r="F125" s="253"/>
    </row>
    <row r="126" ht="15.75" customHeight="1">
      <c r="A126" s="475"/>
      <c r="B126" s="475"/>
      <c r="C126" s="253"/>
      <c r="D126" s="253"/>
      <c r="E126" s="253"/>
      <c r="F126" s="253"/>
    </row>
    <row r="127" ht="15.75" customHeight="1">
      <c r="A127" s="475"/>
      <c r="B127" s="475"/>
      <c r="C127" s="253"/>
      <c r="D127" s="253"/>
      <c r="E127" s="253"/>
      <c r="F127" s="253"/>
    </row>
    <row r="128" ht="15.75" customHeight="1">
      <c r="A128" s="475"/>
      <c r="B128" s="475"/>
      <c r="C128" s="253"/>
      <c r="D128" s="253"/>
      <c r="E128" s="253"/>
      <c r="F128" s="253"/>
    </row>
    <row r="129" ht="15.75" customHeight="1">
      <c r="A129" s="475"/>
      <c r="B129" s="475"/>
      <c r="C129" s="253"/>
      <c r="D129" s="253"/>
      <c r="E129" s="253"/>
      <c r="F129" s="253"/>
    </row>
    <row r="130" ht="15.75" customHeight="1">
      <c r="A130" s="475"/>
      <c r="B130" s="475"/>
      <c r="C130" s="253"/>
      <c r="D130" s="253"/>
      <c r="E130" s="253"/>
      <c r="F130" s="253"/>
    </row>
    <row r="131" ht="15.75" customHeight="1">
      <c r="A131" s="475"/>
      <c r="B131" s="475"/>
      <c r="C131" s="253"/>
      <c r="D131" s="253"/>
      <c r="E131" s="253"/>
      <c r="F131" s="253"/>
    </row>
    <row r="132" ht="15.75" customHeight="1">
      <c r="A132" s="475"/>
      <c r="B132" s="475"/>
      <c r="C132" s="253"/>
      <c r="D132" s="253"/>
      <c r="E132" s="253"/>
      <c r="F132" s="253"/>
    </row>
    <row r="133" ht="15.75" customHeight="1">
      <c r="A133" s="475"/>
      <c r="B133" s="475"/>
      <c r="C133" s="253"/>
      <c r="D133" s="253"/>
      <c r="E133" s="253"/>
      <c r="F133" s="253"/>
    </row>
    <row r="134" ht="15.75" customHeight="1">
      <c r="A134" s="475"/>
      <c r="B134" s="475"/>
      <c r="C134" s="253"/>
      <c r="D134" s="253"/>
      <c r="E134" s="253"/>
      <c r="F134" s="253"/>
    </row>
    <row r="135" ht="15.75" customHeight="1">
      <c r="A135" s="475"/>
      <c r="B135" s="475"/>
      <c r="C135" s="253"/>
      <c r="D135" s="253"/>
      <c r="E135" s="253"/>
      <c r="F135" s="253"/>
    </row>
    <row r="136" ht="15.75" customHeight="1">
      <c r="A136" s="475"/>
      <c r="B136" s="475"/>
      <c r="C136" s="253"/>
      <c r="D136" s="253"/>
      <c r="E136" s="253"/>
      <c r="F136" s="253"/>
    </row>
    <row r="137" ht="15.75" customHeight="1">
      <c r="A137" s="475"/>
      <c r="B137" s="475"/>
      <c r="C137" s="253"/>
      <c r="D137" s="253"/>
      <c r="E137" s="253"/>
      <c r="F137" s="253"/>
    </row>
    <row r="138" ht="15.75" customHeight="1">
      <c r="A138" s="475"/>
      <c r="B138" s="475"/>
      <c r="C138" s="253"/>
      <c r="D138" s="253"/>
      <c r="E138" s="253"/>
      <c r="F138" s="253"/>
    </row>
    <row r="139" ht="15.75" customHeight="1">
      <c r="A139" s="475"/>
      <c r="B139" s="475"/>
      <c r="C139" s="253"/>
      <c r="D139" s="253"/>
      <c r="E139" s="253"/>
      <c r="F139" s="253"/>
    </row>
    <row r="140" ht="15.75" customHeight="1">
      <c r="A140" s="475"/>
      <c r="B140" s="475"/>
      <c r="C140" s="253"/>
      <c r="D140" s="253"/>
      <c r="E140" s="253"/>
      <c r="F140" s="253"/>
    </row>
    <row r="141" ht="15.75" customHeight="1">
      <c r="A141" s="475"/>
      <c r="B141" s="475"/>
      <c r="C141" s="253"/>
      <c r="D141" s="253"/>
      <c r="E141" s="253"/>
      <c r="F141" s="253"/>
    </row>
    <row r="142" ht="15.75" customHeight="1">
      <c r="A142" s="475"/>
      <c r="B142" s="475"/>
      <c r="C142" s="253"/>
      <c r="D142" s="253"/>
      <c r="E142" s="253"/>
      <c r="F142" s="253"/>
    </row>
    <row r="143" ht="15.75" customHeight="1">
      <c r="A143" s="475"/>
      <c r="B143" s="475"/>
      <c r="C143" s="253"/>
      <c r="D143" s="253"/>
      <c r="E143" s="253"/>
      <c r="F143" s="253"/>
    </row>
    <row r="144" ht="15.75" customHeight="1">
      <c r="A144" s="475"/>
      <c r="B144" s="475"/>
      <c r="C144" s="253"/>
      <c r="D144" s="253"/>
      <c r="E144" s="253"/>
      <c r="F144" s="253"/>
    </row>
    <row r="145" ht="15.75" customHeight="1">
      <c r="A145" s="475"/>
      <c r="B145" s="475"/>
      <c r="C145" s="253"/>
      <c r="D145" s="253"/>
      <c r="E145" s="253"/>
      <c r="F145" s="253"/>
    </row>
    <row r="146" ht="15.75" customHeight="1">
      <c r="A146" s="475"/>
      <c r="B146" s="475"/>
      <c r="C146" s="253"/>
      <c r="D146" s="253"/>
      <c r="E146" s="253"/>
      <c r="F146" s="253"/>
    </row>
    <row r="147" ht="15.75" customHeight="1">
      <c r="A147" s="475"/>
      <c r="B147" s="475"/>
      <c r="C147" s="253"/>
      <c r="D147" s="253"/>
      <c r="E147" s="253"/>
      <c r="F147" s="253"/>
    </row>
    <row r="148" ht="15.75" customHeight="1">
      <c r="A148" s="475"/>
      <c r="B148" s="475"/>
      <c r="C148" s="253"/>
      <c r="D148" s="253"/>
      <c r="E148" s="253"/>
      <c r="F148" s="253"/>
    </row>
    <row r="149" ht="15.75" customHeight="1">
      <c r="A149" s="475"/>
      <c r="B149" s="475"/>
      <c r="C149" s="253"/>
      <c r="D149" s="253"/>
      <c r="E149" s="253"/>
      <c r="F149" s="253"/>
    </row>
    <row r="150" ht="15.75" customHeight="1">
      <c r="A150" s="475"/>
      <c r="B150" s="475"/>
      <c r="C150" s="253"/>
      <c r="D150" s="253"/>
      <c r="E150" s="253"/>
      <c r="F150" s="253"/>
    </row>
    <row r="151" ht="15.75" customHeight="1">
      <c r="A151" s="475"/>
      <c r="B151" s="475"/>
      <c r="C151" s="253"/>
      <c r="D151" s="253"/>
      <c r="E151" s="253"/>
      <c r="F151" s="253"/>
    </row>
    <row r="152" ht="15.75" customHeight="1">
      <c r="A152" s="475"/>
      <c r="B152" s="475"/>
      <c r="C152" s="253"/>
      <c r="D152" s="253"/>
      <c r="E152" s="253"/>
      <c r="F152" s="253"/>
    </row>
    <row r="153" ht="15.75" customHeight="1">
      <c r="A153" s="475"/>
      <c r="B153" s="475"/>
      <c r="C153" s="253"/>
      <c r="D153" s="253"/>
      <c r="E153" s="253"/>
      <c r="F153" s="253"/>
    </row>
    <row r="154" ht="15.75" customHeight="1">
      <c r="A154" s="475"/>
      <c r="B154" s="475"/>
      <c r="C154" s="253"/>
      <c r="D154" s="253"/>
      <c r="E154" s="253"/>
      <c r="F154" s="253"/>
    </row>
    <row r="155" ht="15.75" customHeight="1">
      <c r="A155" s="475"/>
      <c r="B155" s="475"/>
      <c r="C155" s="253"/>
      <c r="D155" s="253"/>
      <c r="E155" s="253"/>
      <c r="F155" s="253"/>
    </row>
    <row r="156" ht="15.75" customHeight="1">
      <c r="A156" s="475"/>
      <c r="B156" s="475"/>
      <c r="C156" s="253"/>
      <c r="D156" s="253"/>
      <c r="E156" s="253"/>
      <c r="F156" s="253"/>
    </row>
    <row r="157" ht="15.75" customHeight="1">
      <c r="A157" s="475"/>
      <c r="B157" s="475"/>
      <c r="C157" s="253"/>
      <c r="D157" s="253"/>
      <c r="E157" s="253"/>
      <c r="F157" s="253"/>
    </row>
    <row r="158" ht="15.75" customHeight="1">
      <c r="A158" s="475"/>
      <c r="B158" s="475"/>
      <c r="C158" s="253"/>
      <c r="D158" s="253"/>
      <c r="E158" s="253"/>
      <c r="F158" s="253"/>
    </row>
    <row r="159" ht="15.75" customHeight="1">
      <c r="A159" s="475"/>
      <c r="B159" s="475"/>
      <c r="C159" s="253"/>
      <c r="D159" s="253"/>
      <c r="E159" s="253"/>
      <c r="F159" s="253"/>
    </row>
    <row r="160" ht="15.75" customHeight="1">
      <c r="A160" s="475"/>
      <c r="B160" s="475"/>
      <c r="C160" s="253"/>
      <c r="D160" s="253"/>
      <c r="E160" s="253"/>
      <c r="F160" s="253"/>
    </row>
    <row r="161" ht="15.75" customHeight="1">
      <c r="A161" s="475"/>
      <c r="B161" s="475"/>
      <c r="C161" s="253"/>
      <c r="D161" s="253"/>
      <c r="E161" s="253"/>
      <c r="F161" s="253"/>
    </row>
    <row r="162" ht="15.75" customHeight="1">
      <c r="A162" s="475"/>
      <c r="B162" s="475"/>
      <c r="C162" s="253"/>
      <c r="D162" s="253"/>
      <c r="E162" s="253"/>
      <c r="F162" s="253"/>
    </row>
    <row r="163" ht="15.75" customHeight="1">
      <c r="A163" s="475"/>
      <c r="B163" s="475"/>
      <c r="C163" s="253"/>
      <c r="D163" s="253"/>
      <c r="E163" s="253"/>
      <c r="F163" s="253"/>
    </row>
    <row r="164" ht="15.75" customHeight="1">
      <c r="A164" s="475"/>
      <c r="B164" s="475"/>
      <c r="C164" s="253"/>
      <c r="D164" s="253"/>
      <c r="E164" s="253"/>
      <c r="F164" s="253"/>
    </row>
    <row r="165" ht="15.75" customHeight="1">
      <c r="A165" s="475"/>
      <c r="B165" s="475"/>
      <c r="C165" s="253"/>
      <c r="D165" s="253"/>
      <c r="E165" s="253"/>
      <c r="F165" s="253"/>
    </row>
    <row r="166" ht="15.75" customHeight="1">
      <c r="A166" s="475"/>
      <c r="B166" s="475"/>
      <c r="C166" s="253"/>
      <c r="D166" s="253"/>
      <c r="E166" s="253"/>
      <c r="F166" s="253"/>
    </row>
    <row r="167" ht="15.75" customHeight="1">
      <c r="A167" s="475"/>
      <c r="B167" s="475"/>
      <c r="C167" s="253"/>
      <c r="D167" s="253"/>
      <c r="E167" s="253"/>
      <c r="F167" s="253"/>
    </row>
    <row r="168" ht="15.75" customHeight="1">
      <c r="A168" s="475"/>
      <c r="B168" s="475"/>
      <c r="C168" s="253"/>
      <c r="D168" s="253"/>
      <c r="E168" s="253"/>
      <c r="F168" s="253"/>
    </row>
    <row r="169" ht="15.75" customHeight="1">
      <c r="A169" s="475"/>
      <c r="B169" s="475"/>
      <c r="C169" s="253"/>
      <c r="D169" s="253"/>
      <c r="E169" s="253"/>
      <c r="F169" s="253"/>
    </row>
    <row r="170" ht="15.75" customHeight="1">
      <c r="A170" s="475"/>
      <c r="B170" s="475"/>
      <c r="C170" s="253"/>
      <c r="D170" s="253"/>
      <c r="E170" s="253"/>
      <c r="F170" s="253"/>
    </row>
    <row r="171" ht="15.75" customHeight="1">
      <c r="A171" s="475"/>
      <c r="B171" s="475"/>
      <c r="C171" s="253"/>
      <c r="D171" s="253"/>
      <c r="E171" s="253"/>
      <c r="F171" s="253"/>
    </row>
    <row r="172" ht="15.75" customHeight="1">
      <c r="A172" s="475"/>
      <c r="B172" s="475"/>
      <c r="C172" s="253"/>
      <c r="D172" s="253"/>
      <c r="E172" s="253"/>
      <c r="F172" s="253"/>
    </row>
    <row r="173" ht="15.75" customHeight="1">
      <c r="A173" s="475"/>
      <c r="B173" s="475"/>
      <c r="C173" s="253"/>
      <c r="D173" s="253"/>
      <c r="E173" s="253"/>
      <c r="F173" s="253"/>
    </row>
    <row r="174" ht="15.75" customHeight="1">
      <c r="A174" s="475"/>
      <c r="B174" s="475"/>
      <c r="C174" s="253"/>
      <c r="D174" s="253"/>
      <c r="E174" s="253"/>
      <c r="F174" s="253"/>
    </row>
    <row r="175" ht="15.75" customHeight="1">
      <c r="A175" s="475"/>
      <c r="B175" s="475"/>
      <c r="C175" s="253"/>
      <c r="D175" s="253"/>
      <c r="E175" s="253"/>
      <c r="F175" s="253"/>
    </row>
    <row r="176" ht="15.75" customHeight="1">
      <c r="A176" s="475"/>
      <c r="B176" s="475"/>
      <c r="C176" s="253"/>
      <c r="D176" s="253"/>
      <c r="E176" s="253"/>
      <c r="F176" s="253"/>
    </row>
    <row r="177" ht="15.75" customHeight="1">
      <c r="A177" s="475"/>
      <c r="B177" s="475"/>
      <c r="C177" s="253"/>
      <c r="D177" s="253"/>
      <c r="E177" s="253"/>
      <c r="F177" s="253"/>
    </row>
    <row r="178" ht="15.75" customHeight="1">
      <c r="A178" s="475"/>
      <c r="B178" s="475"/>
      <c r="C178" s="253"/>
      <c r="D178" s="253"/>
      <c r="E178" s="253"/>
      <c r="F178" s="253"/>
    </row>
    <row r="179" ht="15.75" customHeight="1">
      <c r="A179" s="475"/>
      <c r="B179" s="475"/>
      <c r="C179" s="253"/>
      <c r="D179" s="253"/>
      <c r="E179" s="253"/>
      <c r="F179" s="253"/>
    </row>
    <row r="180" ht="15.75" customHeight="1">
      <c r="A180" s="475"/>
      <c r="B180" s="475"/>
      <c r="C180" s="253"/>
      <c r="D180" s="253"/>
      <c r="E180" s="253"/>
      <c r="F180" s="253"/>
    </row>
    <row r="181" ht="15.75" customHeight="1">
      <c r="A181" s="475"/>
      <c r="B181" s="475"/>
      <c r="C181" s="253"/>
      <c r="D181" s="253"/>
      <c r="E181" s="253"/>
      <c r="F181" s="253"/>
    </row>
    <row r="182" ht="15.75" customHeight="1">
      <c r="A182" s="475"/>
      <c r="B182" s="475"/>
      <c r="C182" s="253"/>
      <c r="D182" s="253"/>
      <c r="E182" s="253"/>
      <c r="F182" s="253"/>
    </row>
    <row r="183" ht="15.75" customHeight="1">
      <c r="A183" s="475"/>
      <c r="B183" s="475"/>
      <c r="C183" s="253"/>
      <c r="D183" s="253"/>
      <c r="E183" s="253"/>
      <c r="F183" s="253"/>
    </row>
    <row r="184" ht="15.75" customHeight="1">
      <c r="A184" s="475"/>
      <c r="B184" s="475"/>
      <c r="C184" s="253"/>
      <c r="D184" s="253"/>
      <c r="E184" s="253"/>
      <c r="F184" s="253"/>
    </row>
    <row r="185" ht="15.75" customHeight="1">
      <c r="A185" s="475"/>
      <c r="B185" s="475"/>
      <c r="C185" s="253"/>
      <c r="D185" s="253"/>
      <c r="E185" s="253"/>
      <c r="F185" s="253"/>
    </row>
    <row r="186" ht="15.75" customHeight="1">
      <c r="A186" s="475"/>
      <c r="B186" s="475"/>
      <c r="C186" s="253"/>
      <c r="D186" s="253"/>
      <c r="E186" s="253"/>
      <c r="F186" s="253"/>
    </row>
    <row r="187" ht="15.75" customHeight="1">
      <c r="A187" s="475"/>
      <c r="B187" s="475"/>
      <c r="C187" s="253"/>
      <c r="D187" s="253"/>
      <c r="E187" s="253"/>
      <c r="F187" s="253"/>
    </row>
    <row r="188" ht="15.75" customHeight="1">
      <c r="A188" s="475"/>
      <c r="B188" s="475"/>
      <c r="C188" s="253"/>
      <c r="D188" s="253"/>
      <c r="E188" s="253"/>
      <c r="F188" s="253"/>
    </row>
    <row r="189" ht="15.75" customHeight="1">
      <c r="A189" s="475"/>
      <c r="B189" s="475"/>
      <c r="C189" s="253"/>
      <c r="D189" s="253"/>
      <c r="E189" s="253"/>
      <c r="F189" s="253"/>
    </row>
    <row r="190" ht="15.75" customHeight="1">
      <c r="A190" s="475"/>
      <c r="B190" s="475"/>
      <c r="C190" s="253"/>
      <c r="D190" s="253"/>
      <c r="E190" s="253"/>
      <c r="F190" s="253"/>
    </row>
    <row r="191" ht="15.75" customHeight="1">
      <c r="A191" s="475"/>
      <c r="B191" s="475"/>
      <c r="C191" s="253"/>
      <c r="D191" s="253"/>
      <c r="E191" s="253"/>
      <c r="F191" s="253"/>
    </row>
    <row r="192" ht="15.75" customHeight="1">
      <c r="A192" s="475"/>
      <c r="B192" s="475"/>
      <c r="C192" s="253"/>
      <c r="D192" s="253"/>
      <c r="E192" s="253"/>
      <c r="F192" s="253"/>
    </row>
    <row r="193" ht="15.75" customHeight="1">
      <c r="A193" s="475"/>
      <c r="B193" s="475"/>
      <c r="C193" s="253"/>
      <c r="D193" s="253"/>
      <c r="E193" s="253"/>
      <c r="F193" s="253"/>
    </row>
    <row r="194" ht="15.75" customHeight="1">
      <c r="A194" s="475"/>
      <c r="B194" s="475"/>
      <c r="C194" s="253"/>
      <c r="D194" s="253"/>
      <c r="E194" s="253"/>
      <c r="F194" s="253"/>
    </row>
    <row r="195" ht="15.75" customHeight="1">
      <c r="A195" s="475"/>
      <c r="B195" s="475"/>
      <c r="C195" s="253"/>
      <c r="D195" s="253"/>
      <c r="E195" s="253"/>
      <c r="F195" s="253"/>
    </row>
    <row r="196" ht="15.75" customHeight="1">
      <c r="A196" s="475"/>
      <c r="B196" s="475"/>
      <c r="C196" s="253"/>
      <c r="D196" s="253"/>
      <c r="E196" s="253"/>
      <c r="F196" s="253"/>
    </row>
    <row r="197" ht="15.75" customHeight="1">
      <c r="A197" s="475"/>
      <c r="B197" s="475"/>
      <c r="C197" s="253"/>
      <c r="D197" s="253"/>
      <c r="E197" s="253"/>
      <c r="F197" s="253"/>
    </row>
    <row r="198" ht="15.75" customHeight="1">
      <c r="A198" s="475"/>
      <c r="B198" s="475"/>
      <c r="C198" s="253"/>
      <c r="D198" s="253"/>
      <c r="E198" s="253"/>
      <c r="F198" s="253"/>
    </row>
    <row r="199" ht="15.75" customHeight="1">
      <c r="A199" s="475"/>
      <c r="B199" s="475"/>
      <c r="C199" s="253"/>
      <c r="D199" s="253"/>
      <c r="E199" s="253"/>
      <c r="F199" s="253"/>
    </row>
    <row r="200" ht="15.75" customHeight="1">
      <c r="A200" s="475"/>
      <c r="B200" s="475"/>
      <c r="C200" s="253"/>
      <c r="D200" s="253"/>
      <c r="E200" s="253"/>
      <c r="F200" s="253"/>
    </row>
    <row r="201" ht="15.75" customHeight="1">
      <c r="A201" s="475"/>
      <c r="B201" s="475"/>
      <c r="C201" s="253"/>
      <c r="D201" s="253"/>
      <c r="E201" s="253"/>
      <c r="F201" s="253"/>
    </row>
    <row r="202" ht="15.75" customHeight="1">
      <c r="A202" s="475"/>
      <c r="B202" s="475"/>
      <c r="C202" s="253"/>
      <c r="D202" s="253"/>
      <c r="E202" s="253"/>
      <c r="F202" s="253"/>
    </row>
    <row r="203" ht="15.75" customHeight="1">
      <c r="A203" s="475"/>
      <c r="B203" s="475"/>
      <c r="C203" s="253"/>
      <c r="D203" s="253"/>
      <c r="E203" s="253"/>
      <c r="F203" s="253"/>
    </row>
    <row r="204" ht="15.75" customHeight="1">
      <c r="A204" s="475"/>
      <c r="B204" s="475"/>
      <c r="C204" s="253"/>
      <c r="D204" s="253"/>
      <c r="E204" s="253"/>
      <c r="F204" s="253"/>
    </row>
    <row r="205" ht="15.75" customHeight="1">
      <c r="A205" s="475"/>
      <c r="B205" s="475"/>
      <c r="C205" s="253"/>
      <c r="D205" s="253"/>
      <c r="E205" s="253"/>
      <c r="F205" s="253"/>
    </row>
    <row r="206" ht="15.75" customHeight="1">
      <c r="A206" s="475"/>
      <c r="B206" s="475"/>
      <c r="C206" s="253"/>
      <c r="D206" s="253"/>
      <c r="E206" s="253"/>
      <c r="F206" s="253"/>
    </row>
    <row r="207" ht="15.75" customHeight="1">
      <c r="A207" s="475"/>
      <c r="B207" s="475"/>
      <c r="C207" s="253"/>
      <c r="D207" s="253"/>
      <c r="E207" s="253"/>
      <c r="F207" s="253"/>
    </row>
    <row r="208" ht="15.75" customHeight="1">
      <c r="A208" s="475"/>
      <c r="B208" s="475"/>
      <c r="C208" s="253"/>
      <c r="D208" s="253"/>
      <c r="E208" s="253"/>
      <c r="F208" s="253"/>
    </row>
    <row r="209" ht="15.75" customHeight="1">
      <c r="A209" s="475"/>
      <c r="B209" s="475"/>
      <c r="C209" s="253"/>
      <c r="D209" s="253"/>
      <c r="E209" s="253"/>
      <c r="F209" s="253"/>
    </row>
    <row r="210" ht="15.75" customHeight="1">
      <c r="A210" s="475"/>
      <c r="B210" s="475"/>
      <c r="C210" s="253"/>
      <c r="D210" s="253"/>
      <c r="E210" s="253"/>
      <c r="F210" s="253"/>
    </row>
    <row r="211" ht="15.75" customHeight="1">
      <c r="A211" s="475"/>
      <c r="B211" s="475"/>
      <c r="C211" s="253"/>
      <c r="D211" s="253"/>
      <c r="E211" s="253"/>
      <c r="F211" s="253"/>
    </row>
    <row r="212" ht="15.75" customHeight="1">
      <c r="A212" s="475"/>
      <c r="B212" s="475"/>
      <c r="C212" s="253"/>
      <c r="D212" s="253"/>
      <c r="E212" s="253"/>
      <c r="F212" s="253"/>
    </row>
    <row r="213" ht="15.75" customHeight="1">
      <c r="A213" s="475"/>
      <c r="B213" s="475"/>
      <c r="C213" s="253"/>
      <c r="D213" s="253"/>
      <c r="E213" s="253"/>
      <c r="F213" s="253"/>
    </row>
    <row r="214" ht="15.75" customHeight="1">
      <c r="A214" s="475"/>
      <c r="B214" s="475"/>
      <c r="C214" s="253"/>
      <c r="D214" s="253"/>
      <c r="E214" s="253"/>
      <c r="F214" s="253"/>
    </row>
    <row r="215" ht="15.75" customHeight="1">
      <c r="A215" s="475"/>
      <c r="B215" s="475"/>
      <c r="C215" s="253"/>
      <c r="D215" s="253"/>
      <c r="E215" s="253"/>
      <c r="F215" s="253"/>
    </row>
    <row r="216" ht="15.75" customHeight="1">
      <c r="A216" s="475"/>
      <c r="B216" s="475"/>
      <c r="C216" s="253"/>
      <c r="D216" s="253"/>
      <c r="E216" s="253"/>
      <c r="F216" s="253"/>
    </row>
    <row r="217" ht="15.75" customHeight="1">
      <c r="A217" s="475"/>
      <c r="B217" s="475"/>
      <c r="C217" s="253"/>
      <c r="D217" s="253"/>
      <c r="E217" s="253"/>
      <c r="F217" s="253"/>
    </row>
    <row r="218" ht="15.75" customHeight="1">
      <c r="A218" s="475"/>
      <c r="B218" s="475"/>
      <c r="C218" s="253"/>
      <c r="D218" s="253"/>
      <c r="E218" s="253"/>
      <c r="F218" s="253"/>
    </row>
    <row r="219" ht="15.75" customHeight="1">
      <c r="A219" s="475"/>
      <c r="B219" s="475"/>
      <c r="C219" s="253"/>
      <c r="D219" s="253"/>
      <c r="E219" s="253"/>
      <c r="F219" s="253"/>
    </row>
    <row r="220" ht="15.75" customHeight="1">
      <c r="A220" s="475"/>
      <c r="B220" s="475"/>
      <c r="C220" s="253"/>
      <c r="D220" s="253"/>
      <c r="E220" s="253"/>
      <c r="F220" s="25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71"/>
    <col customWidth="1" min="2" max="3" width="13.43"/>
    <col customWidth="1" min="4" max="5" width="15.86"/>
  </cols>
  <sheetData>
    <row r="1">
      <c r="A1" s="160"/>
      <c r="B1" s="476" t="s">
        <v>37</v>
      </c>
      <c r="D1" s="476" t="s">
        <v>35</v>
      </c>
      <c r="F1" s="43"/>
      <c r="G1" s="477" t="s">
        <v>2208</v>
      </c>
      <c r="H1" s="43"/>
      <c r="I1" s="43"/>
      <c r="J1" s="43"/>
      <c r="K1" s="43"/>
      <c r="L1" s="43"/>
      <c r="M1" s="43"/>
      <c r="N1" s="43"/>
      <c r="O1" s="43"/>
      <c r="P1" s="43"/>
      <c r="Q1" s="43"/>
      <c r="R1" s="43"/>
      <c r="S1" s="43"/>
      <c r="T1" s="43"/>
      <c r="U1" s="43"/>
      <c r="V1" s="43"/>
      <c r="W1" s="43"/>
      <c r="X1" s="43"/>
      <c r="Y1" s="43"/>
      <c r="Z1" s="43"/>
      <c r="AA1" s="43"/>
    </row>
    <row r="2">
      <c r="A2" s="43" t="s">
        <v>34</v>
      </c>
      <c r="B2" s="160">
        <f>countifs(STUDENTS!$C$2:$C1001,"CHORUS",STUDENTS!$M$2:$M1001,$B$1,STUDENTS!$N$2:$N1001,A2)</f>
        <v>16</v>
      </c>
      <c r="C2" s="478">
        <f t="shared" ref="C2:C7" si="1">B2/$B$8</f>
        <v>0.6666666667</v>
      </c>
      <c r="D2" s="160">
        <f>countifs(STUDENTS!$C$2:$C1001,"CHORUS",STUDENTS!$M$2:$M1001,$D$1,STUDENTS!$N$2:$N1001,A2)</f>
        <v>18</v>
      </c>
      <c r="E2" s="478">
        <f t="shared" ref="E2:E7" si="2">D2/$D$8</f>
        <v>0.6666666667</v>
      </c>
      <c r="F2" s="43"/>
      <c r="G2" s="477" t="s">
        <v>2209</v>
      </c>
      <c r="H2" s="43"/>
      <c r="I2" s="43"/>
      <c r="J2" s="43"/>
      <c r="K2" s="43"/>
      <c r="L2" s="43"/>
      <c r="M2" s="43"/>
      <c r="N2" s="43"/>
      <c r="O2" s="43"/>
      <c r="P2" s="43"/>
      <c r="Q2" s="43"/>
      <c r="R2" s="43"/>
      <c r="S2" s="43"/>
      <c r="T2" s="43"/>
      <c r="U2" s="43"/>
      <c r="V2" s="43"/>
      <c r="W2" s="43"/>
      <c r="X2" s="43"/>
      <c r="Y2" s="43"/>
      <c r="Z2" s="43"/>
      <c r="AA2" s="43"/>
    </row>
    <row r="3">
      <c r="A3" s="43" t="s">
        <v>36</v>
      </c>
      <c r="B3" s="160">
        <f>countifs(STUDENTS!$C$2:$C1001,"CHORUS",STUDENTS!$M$2:$M1001,$B$1,STUDENTS!$N$2:$N1001,A3)</f>
        <v>1</v>
      </c>
      <c r="C3" s="478">
        <f t="shared" si="1"/>
        <v>0.04166666667</v>
      </c>
      <c r="D3" s="160">
        <f>countifs(STUDENTS!$C$2:$C1001,"CHORUS",STUDENTS!$M$2:$M1001,$D$1,STUDENTS!$N$2:$N1001,A3)</f>
        <v>0</v>
      </c>
      <c r="E3" s="478">
        <f t="shared" si="2"/>
        <v>0</v>
      </c>
      <c r="F3" s="43"/>
      <c r="G3" s="477" t="s">
        <v>2210</v>
      </c>
      <c r="H3" s="43"/>
      <c r="I3" s="43"/>
      <c r="J3" s="43"/>
      <c r="K3" s="43"/>
      <c r="L3" s="43"/>
      <c r="M3" s="43"/>
      <c r="N3" s="43"/>
      <c r="O3" s="43"/>
      <c r="P3" s="43"/>
      <c r="Q3" s="43"/>
      <c r="R3" s="43"/>
      <c r="S3" s="43"/>
      <c r="T3" s="43"/>
      <c r="U3" s="43"/>
      <c r="V3" s="43"/>
      <c r="W3" s="43"/>
      <c r="X3" s="43"/>
      <c r="Y3" s="43"/>
      <c r="Z3" s="43"/>
      <c r="AA3" s="43"/>
    </row>
    <row r="4">
      <c r="A4" s="43" t="s">
        <v>38</v>
      </c>
      <c r="B4" s="160">
        <f>countifs(STUDENTS!$C$2:$C1001,"CHORUS",STUDENTS!$M$2:$M1001,$B$1,STUDENTS!$N$2:$N1001,A4)</f>
        <v>1</v>
      </c>
      <c r="C4" s="478">
        <f t="shared" si="1"/>
        <v>0.04166666667</v>
      </c>
      <c r="D4" s="160">
        <f>countifs(STUDENTS!$C$2:$C1001,"CHORUS",STUDENTS!$M$2:$M1001,$D$1,STUDENTS!$N$2:$N1001,A4)</f>
        <v>8</v>
      </c>
      <c r="E4" s="478">
        <f t="shared" si="2"/>
        <v>0.2962962963</v>
      </c>
      <c r="F4" s="43"/>
      <c r="G4" s="477" t="s">
        <v>2211</v>
      </c>
      <c r="H4" s="43"/>
      <c r="I4" s="43"/>
      <c r="J4" s="43"/>
      <c r="K4" s="43"/>
      <c r="L4" s="43"/>
      <c r="M4" s="43"/>
      <c r="N4" s="43"/>
      <c r="O4" s="43"/>
      <c r="P4" s="43"/>
      <c r="Q4" s="43"/>
      <c r="R4" s="43"/>
      <c r="S4" s="43"/>
      <c r="T4" s="43"/>
      <c r="U4" s="43"/>
      <c r="V4" s="43"/>
      <c r="W4" s="43"/>
      <c r="X4" s="43"/>
      <c r="Y4" s="43"/>
      <c r="Z4" s="43"/>
      <c r="AA4" s="43"/>
    </row>
    <row r="5">
      <c r="A5" s="43" t="s">
        <v>40</v>
      </c>
      <c r="B5" s="160">
        <f>countifs(STUDENTS!$C$2:$C1001,"CHORUS",STUDENTS!$M$2:$M1001,$B$1,STUDENTS!$N$2:$N1001,A5)</f>
        <v>4</v>
      </c>
      <c r="C5" s="478">
        <f t="shared" si="1"/>
        <v>0.1666666667</v>
      </c>
      <c r="D5" s="160">
        <f>countifs(STUDENTS!$C$2:$C1001,"CHORUS",STUDENTS!$M$2:$M1001,$D$1,STUDENTS!$N$2:$N1001,A5)</f>
        <v>0</v>
      </c>
      <c r="E5" s="478">
        <f t="shared" si="2"/>
        <v>0</v>
      </c>
      <c r="F5" s="43"/>
      <c r="G5" s="477" t="s">
        <v>2212</v>
      </c>
      <c r="H5" s="43"/>
      <c r="I5" s="43"/>
      <c r="J5" s="43"/>
      <c r="K5" s="43"/>
      <c r="L5" s="43"/>
      <c r="M5" s="43"/>
      <c r="N5" s="43"/>
      <c r="O5" s="43"/>
      <c r="P5" s="43"/>
      <c r="Q5" s="43"/>
      <c r="R5" s="43"/>
      <c r="S5" s="43"/>
      <c r="T5" s="43"/>
      <c r="U5" s="43"/>
      <c r="V5" s="43"/>
      <c r="W5" s="43"/>
      <c r="X5" s="43"/>
      <c r="Y5" s="43"/>
      <c r="Z5" s="43"/>
      <c r="AA5" s="43"/>
    </row>
    <row r="6">
      <c r="A6" s="43" t="s">
        <v>42</v>
      </c>
      <c r="B6" s="160">
        <f>countifs(STUDENTS!$C$2:$C1001,"CHORUS",STUDENTS!$M$2:$M1001,$B$1,STUDENTS!$N$2:$N1001,A6)</f>
        <v>0</v>
      </c>
      <c r="C6" s="478">
        <f t="shared" si="1"/>
        <v>0</v>
      </c>
      <c r="D6" s="160">
        <f>countifs(STUDENTS!$C$2:$C1001,"CHORUS",STUDENTS!$M$2:$M1001,$D$1,STUDENTS!$N$2:$N1001,A6)</f>
        <v>1</v>
      </c>
      <c r="E6" s="478">
        <f t="shared" si="2"/>
        <v>0.03703703704</v>
      </c>
      <c r="F6" s="43"/>
      <c r="G6" s="477" t="s">
        <v>2213</v>
      </c>
      <c r="H6" s="43"/>
      <c r="I6" s="43"/>
      <c r="J6" s="43"/>
      <c r="K6" s="43"/>
      <c r="L6" s="43"/>
      <c r="M6" s="43"/>
      <c r="N6" s="43"/>
      <c r="O6" s="43"/>
      <c r="P6" s="43"/>
      <c r="Q6" s="43"/>
      <c r="R6" s="43"/>
      <c r="S6" s="43"/>
      <c r="T6" s="43"/>
      <c r="U6" s="43"/>
      <c r="V6" s="43"/>
      <c r="W6" s="43"/>
      <c r="X6" s="43"/>
      <c r="Y6" s="43"/>
      <c r="Z6" s="43"/>
      <c r="AA6" s="43"/>
    </row>
    <row r="7">
      <c r="A7" s="43" t="s">
        <v>43</v>
      </c>
      <c r="B7" s="160">
        <f>countifs(STUDENTS!$C$2:$C1001,"CHORUS",STUDENTS!$M$2:$M1001,$B$1,STUDENTS!$N$2:$N1001,A7)</f>
        <v>2</v>
      </c>
      <c r="C7" s="478">
        <f t="shared" si="1"/>
        <v>0.08333333333</v>
      </c>
      <c r="D7" s="160">
        <f>countifs(STUDENTS!$C$2:$C1001,"CHORUS",STUDENTS!$M$2:$M1001,$D$1,STUDENTS!$N$2:$N1001,A7)</f>
        <v>0</v>
      </c>
      <c r="E7" s="478">
        <f t="shared" si="2"/>
        <v>0</v>
      </c>
      <c r="F7" s="43"/>
      <c r="G7" s="43"/>
      <c r="H7" s="43"/>
      <c r="I7" s="43"/>
      <c r="J7" s="43"/>
      <c r="K7" s="43"/>
      <c r="L7" s="43"/>
      <c r="M7" s="43"/>
      <c r="N7" s="43"/>
      <c r="O7" s="43"/>
      <c r="P7" s="43"/>
      <c r="Q7" s="43"/>
      <c r="R7" s="43"/>
      <c r="S7" s="43"/>
      <c r="T7" s="43"/>
      <c r="U7" s="43"/>
      <c r="V7" s="43"/>
      <c r="W7" s="43"/>
      <c r="X7" s="43"/>
      <c r="Y7" s="43"/>
      <c r="Z7" s="43"/>
      <c r="AA7" s="43"/>
    </row>
    <row r="8">
      <c r="A8" s="479"/>
      <c r="B8" s="181">
        <f>sum(B2:B7)</f>
        <v>24</v>
      </c>
      <c r="C8" s="181"/>
      <c r="D8" s="181">
        <f>sum(D2:D7)</f>
        <v>27</v>
      </c>
      <c r="E8" s="479"/>
      <c r="F8" s="479"/>
      <c r="G8" s="479"/>
      <c r="H8" s="479"/>
      <c r="I8" s="479"/>
      <c r="J8" s="479"/>
      <c r="K8" s="479"/>
      <c r="L8" s="479"/>
      <c r="M8" s="479"/>
      <c r="N8" s="479"/>
      <c r="O8" s="479"/>
      <c r="P8" s="479"/>
      <c r="Q8" s="479"/>
      <c r="R8" s="479"/>
      <c r="S8" s="479"/>
      <c r="T8" s="479"/>
      <c r="U8" s="479"/>
      <c r="V8" s="479"/>
      <c r="W8" s="479"/>
      <c r="X8" s="479"/>
      <c r="Y8" s="479"/>
      <c r="Z8" s="479"/>
      <c r="AA8" s="479"/>
    </row>
    <row r="9">
      <c r="A9" s="43"/>
      <c r="B9" s="160"/>
      <c r="C9" s="160"/>
      <c r="D9" s="160"/>
      <c r="E9" s="43"/>
      <c r="F9" s="43"/>
      <c r="G9" s="43"/>
      <c r="H9" s="43"/>
      <c r="I9" s="43"/>
      <c r="J9" s="43"/>
      <c r="K9" s="43"/>
      <c r="L9" s="43"/>
      <c r="M9" s="43"/>
      <c r="N9" s="43"/>
      <c r="O9" s="43"/>
      <c r="P9" s="43"/>
      <c r="Q9" s="43"/>
      <c r="R9" s="43"/>
      <c r="S9" s="43"/>
      <c r="T9" s="43"/>
      <c r="U9" s="43"/>
      <c r="V9" s="43"/>
      <c r="W9" s="43"/>
      <c r="X9" s="43"/>
      <c r="Y9" s="43"/>
      <c r="Z9" s="43"/>
      <c r="AA9" s="43"/>
    </row>
    <row r="10">
      <c r="A10" s="43"/>
      <c r="B10" s="478">
        <f>B5/52</f>
        <v>0.07692307692</v>
      </c>
      <c r="C10" s="160"/>
      <c r="D10" s="160"/>
      <c r="E10" s="43"/>
      <c r="F10" s="43"/>
      <c r="G10" s="43"/>
      <c r="H10" s="43"/>
      <c r="I10" s="43"/>
      <c r="J10" s="43"/>
      <c r="K10" s="43"/>
      <c r="L10" s="43"/>
      <c r="M10" s="43"/>
      <c r="N10" s="43"/>
      <c r="O10" s="43"/>
      <c r="P10" s="43"/>
      <c r="Q10" s="43"/>
      <c r="R10" s="43"/>
      <c r="S10" s="43"/>
      <c r="T10" s="43"/>
      <c r="U10" s="43"/>
      <c r="V10" s="43"/>
      <c r="W10" s="43"/>
      <c r="X10" s="43"/>
      <c r="Y10" s="43"/>
      <c r="Z10" s="43"/>
      <c r="AA10" s="43"/>
    </row>
    <row r="11">
      <c r="A11" s="43"/>
      <c r="B11" s="478">
        <f>D4/52</f>
        <v>0.1538461538</v>
      </c>
      <c r="C11" s="160"/>
      <c r="D11" s="160"/>
      <c r="E11" s="43"/>
      <c r="F11" s="43"/>
      <c r="G11" s="43"/>
      <c r="H11" s="43"/>
      <c r="I11" s="43"/>
      <c r="J11" s="43"/>
      <c r="K11" s="43"/>
      <c r="L11" s="43"/>
      <c r="M11" s="43"/>
      <c r="N11" s="43"/>
      <c r="O11" s="43"/>
      <c r="P11" s="43"/>
      <c r="Q11" s="43"/>
      <c r="R11" s="43"/>
      <c r="S11" s="43"/>
      <c r="T11" s="43"/>
      <c r="U11" s="43"/>
      <c r="V11" s="43"/>
      <c r="W11" s="43"/>
      <c r="X11" s="43"/>
      <c r="Y11" s="43"/>
      <c r="Z11" s="43"/>
      <c r="AA11" s="43"/>
    </row>
    <row r="12">
      <c r="A12" s="43"/>
      <c r="B12" s="160"/>
      <c r="C12" s="160"/>
      <c r="D12" s="160"/>
      <c r="E12" s="43"/>
      <c r="F12" s="43"/>
      <c r="G12" s="43"/>
      <c r="H12" s="43"/>
      <c r="I12" s="43"/>
      <c r="J12" s="43"/>
      <c r="K12" s="43"/>
      <c r="L12" s="43"/>
      <c r="M12" s="43"/>
      <c r="N12" s="43"/>
      <c r="O12" s="43"/>
      <c r="P12" s="43"/>
      <c r="Q12" s="43"/>
      <c r="R12" s="43"/>
      <c r="S12" s="43"/>
      <c r="T12" s="43"/>
      <c r="U12" s="43"/>
      <c r="V12" s="43"/>
      <c r="W12" s="43"/>
      <c r="X12" s="43"/>
      <c r="Y12" s="43"/>
      <c r="Z12" s="43"/>
      <c r="AA12" s="43"/>
    </row>
    <row r="13">
      <c r="A13" s="43"/>
      <c r="B13" s="160"/>
      <c r="C13" s="160"/>
      <c r="D13" s="160"/>
      <c r="E13" s="43"/>
      <c r="F13" s="43"/>
      <c r="G13" s="43"/>
      <c r="H13" s="43"/>
      <c r="I13" s="43"/>
      <c r="J13" s="43"/>
      <c r="K13" s="43"/>
      <c r="L13" s="43"/>
      <c r="M13" s="43"/>
      <c r="N13" s="43"/>
      <c r="O13" s="43"/>
      <c r="P13" s="43"/>
      <c r="Q13" s="43"/>
      <c r="R13" s="43"/>
      <c r="S13" s="43"/>
      <c r="T13" s="43"/>
      <c r="U13" s="43"/>
      <c r="V13" s="43"/>
      <c r="W13" s="43"/>
      <c r="X13" s="43"/>
      <c r="Y13" s="43"/>
      <c r="Z13" s="43"/>
      <c r="AA13" s="43"/>
    </row>
    <row r="14">
      <c r="A14" s="43"/>
      <c r="B14" s="160"/>
      <c r="C14" s="160"/>
      <c r="D14" s="160"/>
      <c r="E14" s="43"/>
      <c r="F14" s="43"/>
      <c r="G14" s="43"/>
      <c r="H14" s="43"/>
      <c r="I14" s="43"/>
      <c r="J14" s="43"/>
      <c r="K14" s="43"/>
      <c r="L14" s="43"/>
      <c r="M14" s="43"/>
      <c r="N14" s="43"/>
      <c r="O14" s="43"/>
      <c r="P14" s="43"/>
      <c r="Q14" s="43"/>
      <c r="R14" s="43"/>
      <c r="S14" s="43"/>
      <c r="T14" s="43"/>
      <c r="U14" s="43"/>
      <c r="V14" s="43"/>
      <c r="W14" s="43"/>
      <c r="X14" s="43"/>
      <c r="Y14" s="43"/>
      <c r="Z14" s="43"/>
      <c r="AA14" s="43"/>
    </row>
    <row r="15">
      <c r="A15" s="43"/>
      <c r="B15" s="160"/>
      <c r="C15" s="160"/>
      <c r="D15" s="160"/>
      <c r="E15" s="43"/>
      <c r="F15" s="43"/>
      <c r="G15" s="43"/>
      <c r="H15" s="43"/>
      <c r="I15" s="43"/>
      <c r="J15" s="43"/>
      <c r="K15" s="43"/>
      <c r="L15" s="43"/>
      <c r="M15" s="43"/>
      <c r="N15" s="43"/>
      <c r="O15" s="43"/>
      <c r="P15" s="43"/>
      <c r="Q15" s="43"/>
      <c r="R15" s="43"/>
      <c r="S15" s="43"/>
      <c r="T15" s="43"/>
      <c r="U15" s="43"/>
      <c r="V15" s="43"/>
      <c r="W15" s="43"/>
      <c r="X15" s="43"/>
      <c r="Y15" s="43"/>
      <c r="Z15" s="43"/>
      <c r="AA15" s="43"/>
    </row>
    <row r="16">
      <c r="A16" s="43"/>
      <c r="B16" s="160"/>
      <c r="C16" s="160"/>
      <c r="D16" s="160"/>
      <c r="E16" s="43"/>
      <c r="F16" s="43"/>
      <c r="G16" s="43"/>
      <c r="H16" s="43"/>
      <c r="I16" s="43"/>
      <c r="J16" s="43"/>
      <c r="K16" s="43"/>
      <c r="L16" s="43"/>
      <c r="M16" s="43"/>
      <c r="N16" s="43"/>
      <c r="O16" s="43"/>
      <c r="P16" s="43"/>
      <c r="Q16" s="43"/>
      <c r="R16" s="43"/>
      <c r="S16" s="43"/>
      <c r="T16" s="43"/>
      <c r="U16" s="43"/>
      <c r="V16" s="43"/>
      <c r="W16" s="43"/>
      <c r="X16" s="43"/>
      <c r="Y16" s="43"/>
      <c r="Z16" s="43"/>
      <c r="AA16" s="43"/>
    </row>
    <row r="17">
      <c r="A17" s="43"/>
      <c r="B17" s="160"/>
      <c r="C17" s="160"/>
      <c r="D17" s="160"/>
      <c r="E17" s="43"/>
      <c r="F17" s="43"/>
      <c r="G17" s="43"/>
      <c r="H17" s="43"/>
      <c r="I17" s="43"/>
      <c r="J17" s="43"/>
      <c r="K17" s="43"/>
      <c r="L17" s="43"/>
      <c r="M17" s="43"/>
      <c r="N17" s="43"/>
      <c r="O17" s="43"/>
      <c r="P17" s="43"/>
      <c r="Q17" s="43"/>
      <c r="R17" s="43"/>
      <c r="S17" s="43"/>
      <c r="T17" s="43"/>
      <c r="U17" s="43"/>
      <c r="V17" s="43"/>
      <c r="W17" s="43"/>
      <c r="X17" s="43"/>
      <c r="Y17" s="43"/>
      <c r="Z17" s="43"/>
      <c r="AA17" s="43"/>
    </row>
    <row r="18">
      <c r="A18" s="43"/>
      <c r="B18" s="160"/>
      <c r="C18" s="160"/>
      <c r="D18" s="160"/>
      <c r="E18" s="43"/>
      <c r="F18" s="43"/>
      <c r="G18" s="43"/>
      <c r="H18" s="43"/>
      <c r="I18" s="43"/>
      <c r="J18" s="43"/>
      <c r="K18" s="43"/>
      <c r="L18" s="43"/>
      <c r="M18" s="43"/>
      <c r="N18" s="43"/>
      <c r="O18" s="43"/>
      <c r="P18" s="43"/>
      <c r="Q18" s="43"/>
      <c r="R18" s="43"/>
      <c r="S18" s="43"/>
      <c r="T18" s="43"/>
      <c r="U18" s="43"/>
      <c r="V18" s="43"/>
      <c r="W18" s="43"/>
      <c r="X18" s="43"/>
      <c r="Y18" s="43"/>
      <c r="Z18" s="43"/>
      <c r="AA18" s="43"/>
    </row>
    <row r="19">
      <c r="A19" s="43"/>
      <c r="B19" s="160"/>
      <c r="C19" s="160"/>
      <c r="D19" s="160"/>
      <c r="E19" s="43"/>
      <c r="F19" s="43"/>
      <c r="G19" s="43"/>
      <c r="H19" s="43"/>
      <c r="I19" s="43"/>
      <c r="J19" s="43"/>
      <c r="K19" s="43"/>
      <c r="L19" s="43"/>
      <c r="M19" s="43"/>
      <c r="N19" s="43"/>
      <c r="O19" s="43"/>
      <c r="P19" s="43"/>
      <c r="Q19" s="43"/>
      <c r="R19" s="43"/>
      <c r="S19" s="43"/>
      <c r="T19" s="43"/>
      <c r="U19" s="43"/>
      <c r="V19" s="43"/>
      <c r="W19" s="43"/>
      <c r="X19" s="43"/>
      <c r="Y19" s="43"/>
      <c r="Z19" s="43"/>
      <c r="AA19" s="43"/>
    </row>
    <row r="20">
      <c r="A20" s="43"/>
      <c r="B20" s="160"/>
      <c r="C20" s="160"/>
      <c r="D20" s="160"/>
      <c r="E20" s="43"/>
      <c r="F20" s="43"/>
      <c r="G20" s="43"/>
      <c r="H20" s="43"/>
      <c r="I20" s="43"/>
      <c r="J20" s="43"/>
      <c r="K20" s="43"/>
      <c r="L20" s="43"/>
      <c r="M20" s="43"/>
      <c r="N20" s="43"/>
      <c r="O20" s="43"/>
      <c r="P20" s="43"/>
      <c r="Q20" s="43"/>
      <c r="R20" s="43"/>
      <c r="S20" s="43"/>
      <c r="T20" s="43"/>
      <c r="U20" s="43"/>
      <c r="V20" s="43"/>
      <c r="W20" s="43"/>
      <c r="X20" s="43"/>
      <c r="Y20" s="43"/>
      <c r="Z20" s="43"/>
      <c r="AA20" s="43"/>
    </row>
    <row r="21">
      <c r="A21" s="43"/>
      <c r="B21" s="160"/>
      <c r="C21" s="160"/>
      <c r="D21" s="160"/>
      <c r="E21" s="43"/>
      <c r="F21" s="43"/>
      <c r="G21" s="43"/>
      <c r="H21" s="43"/>
      <c r="I21" s="43"/>
      <c r="J21" s="43"/>
      <c r="K21" s="43"/>
      <c r="L21" s="43"/>
      <c r="M21" s="43"/>
      <c r="N21" s="43"/>
      <c r="O21" s="43"/>
      <c r="P21" s="43"/>
      <c r="Q21" s="43"/>
      <c r="R21" s="43"/>
      <c r="S21" s="43"/>
      <c r="T21" s="43"/>
      <c r="U21" s="43"/>
      <c r="V21" s="43"/>
      <c r="W21" s="43"/>
      <c r="X21" s="43"/>
      <c r="Y21" s="43"/>
      <c r="Z21" s="43"/>
      <c r="AA21" s="43"/>
    </row>
    <row r="22">
      <c r="A22" s="43"/>
      <c r="B22" s="160"/>
      <c r="C22" s="160"/>
      <c r="D22" s="160"/>
      <c r="E22" s="43"/>
      <c r="F22" s="43"/>
      <c r="G22" s="43"/>
      <c r="H22" s="43"/>
      <c r="I22" s="43"/>
      <c r="J22" s="43"/>
      <c r="K22" s="43"/>
      <c r="L22" s="43"/>
      <c r="M22" s="43"/>
      <c r="N22" s="43"/>
      <c r="O22" s="43"/>
      <c r="P22" s="43"/>
      <c r="Q22" s="43"/>
      <c r="R22" s="43"/>
      <c r="S22" s="43"/>
      <c r="T22" s="43"/>
      <c r="U22" s="43"/>
      <c r="V22" s="43"/>
      <c r="W22" s="43"/>
      <c r="X22" s="43"/>
      <c r="Y22" s="43"/>
      <c r="Z22" s="43"/>
      <c r="AA22" s="43"/>
    </row>
    <row r="23">
      <c r="A23" s="43"/>
      <c r="B23" s="160"/>
      <c r="C23" s="160"/>
      <c r="D23" s="160"/>
      <c r="E23" s="43"/>
      <c r="F23" s="43"/>
      <c r="G23" s="43"/>
      <c r="H23" s="43"/>
      <c r="I23" s="43"/>
      <c r="J23" s="43"/>
      <c r="K23" s="43"/>
      <c r="L23" s="43"/>
      <c r="M23" s="43"/>
      <c r="N23" s="43"/>
      <c r="O23" s="43"/>
      <c r="P23" s="43"/>
      <c r="Q23" s="43"/>
      <c r="R23" s="43"/>
      <c r="S23" s="43"/>
      <c r="T23" s="43"/>
      <c r="U23" s="43"/>
      <c r="V23" s="43"/>
      <c r="W23" s="43"/>
      <c r="X23" s="43"/>
      <c r="Y23" s="43"/>
      <c r="Z23" s="43"/>
      <c r="AA23" s="43"/>
    </row>
    <row r="24">
      <c r="A24" s="43"/>
      <c r="B24" s="160"/>
      <c r="C24" s="160"/>
      <c r="D24" s="160"/>
      <c r="E24" s="43"/>
      <c r="F24" s="43"/>
      <c r="G24" s="43"/>
      <c r="H24" s="43"/>
      <c r="I24" s="43"/>
      <c r="J24" s="43"/>
      <c r="K24" s="43"/>
      <c r="L24" s="43"/>
      <c r="M24" s="43"/>
      <c r="N24" s="43"/>
      <c r="O24" s="43"/>
      <c r="P24" s="43"/>
      <c r="Q24" s="43"/>
      <c r="R24" s="43"/>
      <c r="S24" s="43"/>
      <c r="T24" s="43"/>
      <c r="U24" s="43"/>
      <c r="V24" s="43"/>
      <c r="W24" s="43"/>
      <c r="X24" s="43"/>
      <c r="Y24" s="43"/>
      <c r="Z24" s="43"/>
      <c r="AA24" s="43"/>
    </row>
    <row r="25">
      <c r="A25" s="43"/>
      <c r="B25" s="160"/>
      <c r="C25" s="160"/>
      <c r="D25" s="160"/>
      <c r="E25" s="43"/>
      <c r="F25" s="43"/>
      <c r="G25" s="43"/>
      <c r="H25" s="43"/>
      <c r="I25" s="43"/>
      <c r="J25" s="43"/>
      <c r="K25" s="43"/>
      <c r="L25" s="43"/>
      <c r="M25" s="43"/>
      <c r="N25" s="43"/>
      <c r="O25" s="43"/>
      <c r="P25" s="43"/>
      <c r="Q25" s="43"/>
      <c r="R25" s="43"/>
      <c r="S25" s="43"/>
      <c r="T25" s="43"/>
      <c r="U25" s="43"/>
      <c r="V25" s="43"/>
      <c r="W25" s="43"/>
      <c r="X25" s="43"/>
      <c r="Y25" s="43"/>
      <c r="Z25" s="43"/>
      <c r="AA25" s="43"/>
    </row>
    <row r="26">
      <c r="A26" s="43"/>
      <c r="B26" s="160"/>
      <c r="C26" s="160"/>
      <c r="D26" s="160"/>
      <c r="E26" s="43"/>
      <c r="F26" s="43"/>
      <c r="G26" s="43"/>
      <c r="H26" s="43"/>
      <c r="I26" s="43"/>
      <c r="J26" s="43"/>
      <c r="K26" s="43"/>
      <c r="L26" s="43"/>
      <c r="M26" s="43"/>
      <c r="N26" s="43"/>
      <c r="O26" s="43"/>
      <c r="P26" s="43"/>
      <c r="Q26" s="43"/>
      <c r="R26" s="43"/>
      <c r="S26" s="43"/>
      <c r="T26" s="43"/>
      <c r="U26" s="43"/>
      <c r="V26" s="43"/>
      <c r="W26" s="43"/>
      <c r="X26" s="43"/>
      <c r="Y26" s="43"/>
      <c r="Z26" s="43"/>
      <c r="AA26" s="43"/>
    </row>
    <row r="27">
      <c r="A27" s="43"/>
      <c r="B27" s="160"/>
      <c r="C27" s="160"/>
      <c r="D27" s="160"/>
      <c r="E27" s="43"/>
      <c r="F27" s="43"/>
      <c r="G27" s="43"/>
      <c r="H27" s="43"/>
      <c r="I27" s="43"/>
      <c r="J27" s="43"/>
      <c r="K27" s="43"/>
      <c r="L27" s="43"/>
      <c r="M27" s="43"/>
      <c r="N27" s="43"/>
      <c r="O27" s="43"/>
      <c r="P27" s="43"/>
      <c r="Q27" s="43"/>
      <c r="R27" s="43"/>
      <c r="S27" s="43"/>
      <c r="T27" s="43"/>
      <c r="U27" s="43"/>
      <c r="V27" s="43"/>
      <c r="W27" s="43"/>
      <c r="X27" s="43"/>
      <c r="Y27" s="43"/>
      <c r="Z27" s="43"/>
      <c r="AA27" s="43"/>
    </row>
    <row r="28">
      <c r="A28" s="43"/>
      <c r="B28" s="160"/>
      <c r="C28" s="160"/>
      <c r="D28" s="160"/>
      <c r="E28" s="43"/>
      <c r="F28" s="43"/>
      <c r="G28" s="43"/>
      <c r="H28" s="43"/>
      <c r="I28" s="43"/>
      <c r="J28" s="43"/>
      <c r="K28" s="43"/>
      <c r="L28" s="43"/>
      <c r="M28" s="43"/>
      <c r="N28" s="43"/>
      <c r="O28" s="43"/>
      <c r="P28" s="43"/>
      <c r="Q28" s="43"/>
      <c r="R28" s="43"/>
      <c r="S28" s="43"/>
      <c r="T28" s="43"/>
      <c r="U28" s="43"/>
      <c r="V28" s="43"/>
      <c r="W28" s="43"/>
      <c r="X28" s="43"/>
      <c r="Y28" s="43"/>
      <c r="Z28" s="43"/>
      <c r="AA28" s="43"/>
    </row>
    <row r="29">
      <c r="A29" s="43"/>
      <c r="B29" s="160"/>
      <c r="C29" s="160"/>
      <c r="D29" s="160"/>
      <c r="E29" s="43"/>
      <c r="F29" s="43"/>
      <c r="G29" s="43"/>
      <c r="H29" s="43"/>
      <c r="I29" s="43"/>
      <c r="J29" s="43"/>
      <c r="K29" s="43"/>
      <c r="L29" s="43"/>
      <c r="M29" s="43"/>
      <c r="N29" s="43"/>
      <c r="O29" s="43"/>
      <c r="P29" s="43"/>
      <c r="Q29" s="43"/>
      <c r="R29" s="43"/>
      <c r="S29" s="43"/>
      <c r="T29" s="43"/>
      <c r="U29" s="43"/>
      <c r="V29" s="43"/>
      <c r="W29" s="43"/>
      <c r="X29" s="43"/>
      <c r="Y29" s="43"/>
      <c r="Z29" s="43"/>
      <c r="AA29" s="43"/>
    </row>
    <row r="30">
      <c r="A30" s="43"/>
      <c r="B30" s="160"/>
      <c r="C30" s="160"/>
      <c r="D30" s="160"/>
      <c r="E30" s="43"/>
      <c r="F30" s="43"/>
      <c r="G30" s="43"/>
      <c r="H30" s="43"/>
      <c r="I30" s="43"/>
      <c r="J30" s="43"/>
      <c r="K30" s="43"/>
      <c r="L30" s="43"/>
      <c r="M30" s="43"/>
      <c r="N30" s="43"/>
      <c r="O30" s="43"/>
      <c r="P30" s="43"/>
      <c r="Q30" s="43"/>
      <c r="R30" s="43"/>
      <c r="S30" s="43"/>
      <c r="T30" s="43"/>
      <c r="U30" s="43"/>
      <c r="V30" s="43"/>
      <c r="W30" s="43"/>
      <c r="X30" s="43"/>
      <c r="Y30" s="43"/>
      <c r="Z30" s="43"/>
      <c r="AA30" s="43"/>
    </row>
    <row r="31">
      <c r="A31" s="43"/>
      <c r="B31" s="160"/>
      <c r="C31" s="160"/>
      <c r="D31" s="160"/>
      <c r="E31" s="43"/>
      <c r="F31" s="43"/>
      <c r="G31" s="43"/>
      <c r="H31" s="43"/>
      <c r="I31" s="43"/>
      <c r="J31" s="43"/>
      <c r="K31" s="43"/>
      <c r="L31" s="43"/>
      <c r="M31" s="43"/>
      <c r="N31" s="43"/>
      <c r="O31" s="43"/>
      <c r="P31" s="43"/>
      <c r="Q31" s="43"/>
      <c r="R31" s="43"/>
      <c r="S31" s="43"/>
      <c r="T31" s="43"/>
      <c r="U31" s="43"/>
      <c r="V31" s="43"/>
      <c r="W31" s="43"/>
      <c r="X31" s="43"/>
      <c r="Y31" s="43"/>
      <c r="Z31" s="43"/>
      <c r="AA31" s="43"/>
    </row>
    <row r="32">
      <c r="A32" s="43"/>
      <c r="B32" s="160"/>
      <c r="C32" s="160"/>
      <c r="D32" s="160"/>
      <c r="E32" s="43"/>
      <c r="F32" s="43"/>
      <c r="G32" s="43"/>
      <c r="H32" s="43"/>
      <c r="I32" s="43"/>
      <c r="J32" s="43"/>
      <c r="K32" s="43"/>
      <c r="L32" s="43"/>
      <c r="M32" s="43"/>
      <c r="N32" s="43"/>
      <c r="O32" s="43"/>
      <c r="P32" s="43"/>
      <c r="Q32" s="43"/>
      <c r="R32" s="43"/>
      <c r="S32" s="43"/>
      <c r="T32" s="43"/>
      <c r="U32" s="43"/>
      <c r="V32" s="43"/>
      <c r="W32" s="43"/>
      <c r="X32" s="43"/>
      <c r="Y32" s="43"/>
      <c r="Z32" s="43"/>
      <c r="AA32" s="43"/>
    </row>
    <row r="33">
      <c r="A33" s="43"/>
      <c r="B33" s="160"/>
      <c r="C33" s="160"/>
      <c r="D33" s="160"/>
      <c r="E33" s="43"/>
      <c r="F33" s="43"/>
      <c r="G33" s="43"/>
      <c r="H33" s="43"/>
      <c r="I33" s="43"/>
      <c r="J33" s="43"/>
      <c r="K33" s="43"/>
      <c r="L33" s="43"/>
      <c r="M33" s="43"/>
      <c r="N33" s="43"/>
      <c r="O33" s="43"/>
      <c r="P33" s="43"/>
      <c r="Q33" s="43"/>
      <c r="R33" s="43"/>
      <c r="S33" s="43"/>
      <c r="T33" s="43"/>
      <c r="U33" s="43"/>
      <c r="V33" s="43"/>
      <c r="W33" s="43"/>
      <c r="X33" s="43"/>
      <c r="Y33" s="43"/>
      <c r="Z33" s="43"/>
      <c r="AA33" s="43"/>
    </row>
    <row r="34">
      <c r="A34" s="43"/>
      <c r="B34" s="160"/>
      <c r="C34" s="160"/>
      <c r="D34" s="160"/>
      <c r="E34" s="43"/>
      <c r="F34" s="43"/>
      <c r="G34" s="43"/>
      <c r="H34" s="43"/>
      <c r="I34" s="43"/>
      <c r="J34" s="43"/>
      <c r="K34" s="43"/>
      <c r="L34" s="43"/>
      <c r="M34" s="43"/>
      <c r="N34" s="43"/>
      <c r="O34" s="43"/>
      <c r="P34" s="43"/>
      <c r="Q34" s="43"/>
      <c r="R34" s="43"/>
      <c r="S34" s="43"/>
      <c r="T34" s="43"/>
      <c r="U34" s="43"/>
      <c r="V34" s="43"/>
      <c r="W34" s="43"/>
      <c r="X34" s="43"/>
      <c r="Y34" s="43"/>
      <c r="Z34" s="43"/>
      <c r="AA34" s="43"/>
    </row>
    <row r="35">
      <c r="A35" s="43"/>
      <c r="B35" s="160"/>
      <c r="C35" s="160"/>
      <c r="D35" s="160"/>
      <c r="E35" s="43"/>
      <c r="F35" s="43"/>
      <c r="G35" s="43"/>
      <c r="H35" s="43"/>
      <c r="I35" s="43"/>
      <c r="J35" s="43"/>
      <c r="K35" s="43"/>
      <c r="L35" s="43"/>
      <c r="M35" s="43"/>
      <c r="N35" s="43"/>
      <c r="O35" s="43"/>
      <c r="P35" s="43"/>
      <c r="Q35" s="43"/>
      <c r="R35" s="43"/>
      <c r="S35" s="43"/>
      <c r="T35" s="43"/>
      <c r="U35" s="43"/>
      <c r="V35" s="43"/>
      <c r="W35" s="43"/>
      <c r="X35" s="43"/>
      <c r="Y35" s="43"/>
      <c r="Z35" s="43"/>
      <c r="AA35" s="43"/>
    </row>
    <row r="36">
      <c r="A36" s="43"/>
      <c r="B36" s="160"/>
      <c r="C36" s="160"/>
      <c r="D36" s="160"/>
      <c r="E36" s="43"/>
      <c r="F36" s="43"/>
      <c r="G36" s="43"/>
      <c r="H36" s="43"/>
      <c r="I36" s="43"/>
      <c r="J36" s="43"/>
      <c r="K36" s="43"/>
      <c r="L36" s="43"/>
      <c r="M36" s="43"/>
      <c r="N36" s="43"/>
      <c r="O36" s="43"/>
      <c r="P36" s="43"/>
      <c r="Q36" s="43"/>
      <c r="R36" s="43"/>
      <c r="S36" s="43"/>
      <c r="T36" s="43"/>
      <c r="U36" s="43"/>
      <c r="V36" s="43"/>
      <c r="W36" s="43"/>
      <c r="X36" s="43"/>
      <c r="Y36" s="43"/>
      <c r="Z36" s="43"/>
      <c r="AA36" s="43"/>
    </row>
    <row r="37">
      <c r="A37" s="43"/>
      <c r="B37" s="160"/>
      <c r="C37" s="160"/>
      <c r="D37" s="160"/>
      <c r="E37" s="43"/>
      <c r="F37" s="43"/>
      <c r="G37" s="43"/>
      <c r="H37" s="43"/>
      <c r="I37" s="43"/>
      <c r="J37" s="43"/>
      <c r="K37" s="43"/>
      <c r="L37" s="43"/>
      <c r="M37" s="43"/>
      <c r="N37" s="43"/>
      <c r="O37" s="43"/>
      <c r="P37" s="43"/>
      <c r="Q37" s="43"/>
      <c r="R37" s="43"/>
      <c r="S37" s="43"/>
      <c r="T37" s="43"/>
      <c r="U37" s="43"/>
      <c r="V37" s="43"/>
      <c r="W37" s="43"/>
      <c r="X37" s="43"/>
      <c r="Y37" s="43"/>
      <c r="Z37" s="43"/>
      <c r="AA37" s="43"/>
    </row>
    <row r="38">
      <c r="A38" s="43"/>
      <c r="B38" s="160"/>
      <c r="C38" s="160"/>
      <c r="D38" s="160"/>
      <c r="E38" s="43"/>
      <c r="F38" s="43"/>
      <c r="G38" s="43"/>
      <c r="H38" s="43"/>
      <c r="I38" s="43"/>
      <c r="J38" s="43"/>
      <c r="K38" s="43"/>
      <c r="L38" s="43"/>
      <c r="M38" s="43"/>
      <c r="N38" s="43"/>
      <c r="O38" s="43"/>
      <c r="P38" s="43"/>
      <c r="Q38" s="43"/>
      <c r="R38" s="43"/>
      <c r="S38" s="43"/>
      <c r="T38" s="43"/>
      <c r="U38" s="43"/>
      <c r="V38" s="43"/>
      <c r="W38" s="43"/>
      <c r="X38" s="43"/>
      <c r="Y38" s="43"/>
      <c r="Z38" s="43"/>
      <c r="AA38" s="43"/>
    </row>
    <row r="39">
      <c r="A39" s="43"/>
      <c r="B39" s="160"/>
      <c r="C39" s="160"/>
      <c r="D39" s="160"/>
      <c r="E39" s="43"/>
      <c r="F39" s="43"/>
      <c r="G39" s="43"/>
      <c r="H39" s="43"/>
      <c r="I39" s="43"/>
      <c r="J39" s="43"/>
      <c r="K39" s="43"/>
      <c r="L39" s="43"/>
      <c r="M39" s="43"/>
      <c r="N39" s="43"/>
      <c r="O39" s="43"/>
      <c r="P39" s="43"/>
      <c r="Q39" s="43"/>
      <c r="R39" s="43"/>
      <c r="S39" s="43"/>
      <c r="T39" s="43"/>
      <c r="U39" s="43"/>
      <c r="V39" s="43"/>
      <c r="W39" s="43"/>
      <c r="X39" s="43"/>
      <c r="Y39" s="43"/>
      <c r="Z39" s="43"/>
      <c r="AA39" s="43"/>
    </row>
    <row r="40">
      <c r="A40" s="43"/>
      <c r="B40" s="160"/>
      <c r="C40" s="160"/>
      <c r="D40" s="160"/>
      <c r="E40" s="43"/>
      <c r="F40" s="43"/>
      <c r="G40" s="43"/>
      <c r="H40" s="43"/>
      <c r="I40" s="43"/>
      <c r="J40" s="43"/>
      <c r="K40" s="43"/>
      <c r="L40" s="43"/>
      <c r="M40" s="43"/>
      <c r="N40" s="43"/>
      <c r="O40" s="43"/>
      <c r="P40" s="43"/>
      <c r="Q40" s="43"/>
      <c r="R40" s="43"/>
      <c r="S40" s="43"/>
      <c r="T40" s="43"/>
      <c r="U40" s="43"/>
      <c r="V40" s="43"/>
      <c r="W40" s="43"/>
      <c r="X40" s="43"/>
      <c r="Y40" s="43"/>
      <c r="Z40" s="43"/>
      <c r="AA40" s="43"/>
    </row>
    <row r="41">
      <c r="A41" s="43"/>
      <c r="B41" s="160"/>
      <c r="C41" s="160"/>
      <c r="D41" s="160"/>
      <c r="E41" s="43"/>
      <c r="F41" s="43"/>
      <c r="G41" s="43"/>
      <c r="H41" s="43"/>
      <c r="I41" s="43"/>
      <c r="J41" s="43"/>
      <c r="K41" s="43"/>
      <c r="L41" s="43"/>
      <c r="M41" s="43"/>
      <c r="N41" s="43"/>
      <c r="O41" s="43"/>
      <c r="P41" s="43"/>
      <c r="Q41" s="43"/>
      <c r="R41" s="43"/>
      <c r="S41" s="43"/>
      <c r="T41" s="43"/>
      <c r="U41" s="43"/>
      <c r="V41" s="43"/>
      <c r="W41" s="43"/>
      <c r="X41" s="43"/>
      <c r="Y41" s="43"/>
      <c r="Z41" s="43"/>
      <c r="AA41" s="43"/>
    </row>
    <row r="42">
      <c r="A42" s="43"/>
      <c r="B42" s="160"/>
      <c r="C42" s="160"/>
      <c r="D42" s="160"/>
      <c r="E42" s="43"/>
      <c r="F42" s="43"/>
      <c r="G42" s="43"/>
      <c r="H42" s="43"/>
      <c r="I42" s="43"/>
      <c r="J42" s="43"/>
      <c r="K42" s="43"/>
      <c r="L42" s="43"/>
      <c r="M42" s="43"/>
      <c r="N42" s="43"/>
      <c r="O42" s="43"/>
      <c r="P42" s="43"/>
      <c r="Q42" s="43"/>
      <c r="R42" s="43"/>
      <c r="S42" s="43"/>
      <c r="T42" s="43"/>
      <c r="U42" s="43"/>
      <c r="V42" s="43"/>
      <c r="W42" s="43"/>
      <c r="X42" s="43"/>
      <c r="Y42" s="43"/>
      <c r="Z42" s="43"/>
      <c r="AA42" s="43"/>
    </row>
    <row r="43">
      <c r="A43" s="43"/>
      <c r="B43" s="160"/>
      <c r="C43" s="160"/>
      <c r="D43" s="160"/>
      <c r="E43" s="43"/>
      <c r="F43" s="43"/>
      <c r="G43" s="43"/>
      <c r="H43" s="43"/>
      <c r="I43" s="43"/>
      <c r="J43" s="43"/>
      <c r="K43" s="43"/>
      <c r="L43" s="43"/>
      <c r="M43" s="43"/>
      <c r="N43" s="43"/>
      <c r="O43" s="43"/>
      <c r="P43" s="43"/>
      <c r="Q43" s="43"/>
      <c r="R43" s="43"/>
      <c r="S43" s="43"/>
      <c r="T43" s="43"/>
      <c r="U43" s="43"/>
      <c r="V43" s="43"/>
      <c r="W43" s="43"/>
      <c r="X43" s="43"/>
      <c r="Y43" s="43"/>
      <c r="Z43" s="43"/>
      <c r="AA43" s="43"/>
    </row>
    <row r="44">
      <c r="A44" s="43"/>
      <c r="B44" s="160"/>
      <c r="C44" s="160"/>
      <c r="D44" s="160"/>
      <c r="E44" s="43"/>
      <c r="F44" s="43"/>
      <c r="G44" s="43"/>
      <c r="H44" s="43"/>
      <c r="I44" s="43"/>
      <c r="J44" s="43"/>
      <c r="K44" s="43"/>
      <c r="L44" s="43"/>
      <c r="M44" s="43"/>
      <c r="N44" s="43"/>
      <c r="O44" s="43"/>
      <c r="P44" s="43"/>
      <c r="Q44" s="43"/>
      <c r="R44" s="43"/>
      <c r="S44" s="43"/>
      <c r="T44" s="43"/>
      <c r="U44" s="43"/>
      <c r="V44" s="43"/>
      <c r="W44" s="43"/>
      <c r="X44" s="43"/>
      <c r="Y44" s="43"/>
      <c r="Z44" s="43"/>
      <c r="AA44" s="43"/>
    </row>
    <row r="45">
      <c r="A45" s="43"/>
      <c r="B45" s="160"/>
      <c r="C45" s="160"/>
      <c r="D45" s="160"/>
      <c r="E45" s="43"/>
      <c r="F45" s="43"/>
      <c r="G45" s="43"/>
      <c r="H45" s="43"/>
      <c r="I45" s="43"/>
      <c r="J45" s="43"/>
      <c r="K45" s="43"/>
      <c r="L45" s="43"/>
      <c r="M45" s="43"/>
      <c r="N45" s="43"/>
      <c r="O45" s="43"/>
      <c r="P45" s="43"/>
      <c r="Q45" s="43"/>
      <c r="R45" s="43"/>
      <c r="S45" s="43"/>
      <c r="T45" s="43"/>
      <c r="U45" s="43"/>
      <c r="V45" s="43"/>
      <c r="W45" s="43"/>
      <c r="X45" s="43"/>
      <c r="Y45" s="43"/>
      <c r="Z45" s="43"/>
      <c r="AA45" s="43"/>
    </row>
    <row r="46">
      <c r="A46" s="43"/>
      <c r="B46" s="160"/>
      <c r="C46" s="160"/>
      <c r="D46" s="160"/>
      <c r="E46" s="43"/>
      <c r="F46" s="43"/>
      <c r="G46" s="43"/>
      <c r="H46" s="43"/>
      <c r="I46" s="43"/>
      <c r="J46" s="43"/>
      <c r="K46" s="43"/>
      <c r="L46" s="43"/>
      <c r="M46" s="43"/>
      <c r="N46" s="43"/>
      <c r="O46" s="43"/>
      <c r="P46" s="43"/>
      <c r="Q46" s="43"/>
      <c r="R46" s="43"/>
      <c r="S46" s="43"/>
      <c r="T46" s="43"/>
      <c r="U46" s="43"/>
      <c r="V46" s="43"/>
      <c r="W46" s="43"/>
      <c r="X46" s="43"/>
      <c r="Y46" s="43"/>
      <c r="Z46" s="43"/>
      <c r="AA46" s="43"/>
    </row>
    <row r="47">
      <c r="A47" s="43"/>
      <c r="B47" s="160"/>
      <c r="C47" s="160"/>
      <c r="D47" s="160"/>
      <c r="E47" s="43"/>
      <c r="F47" s="43"/>
      <c r="G47" s="43"/>
      <c r="H47" s="43"/>
      <c r="I47" s="43"/>
      <c r="J47" s="43"/>
      <c r="K47" s="43"/>
      <c r="L47" s="43"/>
      <c r="M47" s="43"/>
      <c r="N47" s="43"/>
      <c r="O47" s="43"/>
      <c r="P47" s="43"/>
      <c r="Q47" s="43"/>
      <c r="R47" s="43"/>
      <c r="S47" s="43"/>
      <c r="T47" s="43"/>
      <c r="U47" s="43"/>
      <c r="V47" s="43"/>
      <c r="W47" s="43"/>
      <c r="X47" s="43"/>
      <c r="Y47" s="43"/>
      <c r="Z47" s="43"/>
      <c r="AA47" s="43"/>
    </row>
    <row r="48">
      <c r="A48" s="43"/>
      <c r="B48" s="160"/>
      <c r="C48" s="160"/>
      <c r="D48" s="160"/>
      <c r="E48" s="43"/>
      <c r="F48" s="43"/>
      <c r="G48" s="43"/>
      <c r="H48" s="43"/>
      <c r="I48" s="43"/>
      <c r="J48" s="43"/>
      <c r="K48" s="43"/>
      <c r="L48" s="43"/>
      <c r="M48" s="43"/>
      <c r="N48" s="43"/>
      <c r="O48" s="43"/>
      <c r="P48" s="43"/>
      <c r="Q48" s="43"/>
      <c r="R48" s="43"/>
      <c r="S48" s="43"/>
      <c r="T48" s="43"/>
      <c r="U48" s="43"/>
      <c r="V48" s="43"/>
      <c r="W48" s="43"/>
      <c r="X48" s="43"/>
      <c r="Y48" s="43"/>
      <c r="Z48" s="43"/>
      <c r="AA48" s="43"/>
    </row>
    <row r="49">
      <c r="A49" s="43"/>
      <c r="B49" s="160"/>
      <c r="C49" s="160"/>
      <c r="D49" s="160"/>
      <c r="E49" s="43"/>
      <c r="F49" s="43"/>
      <c r="G49" s="43"/>
      <c r="H49" s="43"/>
      <c r="I49" s="43"/>
      <c r="J49" s="43"/>
      <c r="K49" s="43"/>
      <c r="L49" s="43"/>
      <c r="M49" s="43"/>
      <c r="N49" s="43"/>
      <c r="O49" s="43"/>
      <c r="P49" s="43"/>
      <c r="Q49" s="43"/>
      <c r="R49" s="43"/>
      <c r="S49" s="43"/>
      <c r="T49" s="43"/>
      <c r="U49" s="43"/>
      <c r="V49" s="43"/>
      <c r="W49" s="43"/>
      <c r="X49" s="43"/>
      <c r="Y49" s="43"/>
      <c r="Z49" s="43"/>
      <c r="AA49" s="43"/>
    </row>
    <row r="50">
      <c r="A50" s="43"/>
      <c r="B50" s="160"/>
      <c r="C50" s="160"/>
      <c r="D50" s="160"/>
      <c r="E50" s="43"/>
      <c r="F50" s="43"/>
      <c r="G50" s="43"/>
      <c r="H50" s="43"/>
      <c r="I50" s="43"/>
      <c r="J50" s="43"/>
      <c r="K50" s="43"/>
      <c r="L50" s="43"/>
      <c r="M50" s="43"/>
      <c r="N50" s="43"/>
      <c r="O50" s="43"/>
      <c r="P50" s="43"/>
      <c r="Q50" s="43"/>
      <c r="R50" s="43"/>
      <c r="S50" s="43"/>
      <c r="T50" s="43"/>
      <c r="U50" s="43"/>
      <c r="V50" s="43"/>
      <c r="W50" s="43"/>
      <c r="X50" s="43"/>
      <c r="Y50" s="43"/>
      <c r="Z50" s="43"/>
      <c r="AA50" s="43"/>
    </row>
    <row r="51">
      <c r="A51" s="43"/>
      <c r="B51" s="160"/>
      <c r="C51" s="160"/>
      <c r="D51" s="160"/>
      <c r="E51" s="43"/>
      <c r="F51" s="43"/>
      <c r="G51" s="43"/>
      <c r="H51" s="43"/>
      <c r="I51" s="43"/>
      <c r="J51" s="43"/>
      <c r="K51" s="43"/>
      <c r="L51" s="43"/>
      <c r="M51" s="43"/>
      <c r="N51" s="43"/>
      <c r="O51" s="43"/>
      <c r="P51" s="43"/>
      <c r="Q51" s="43"/>
      <c r="R51" s="43"/>
      <c r="S51" s="43"/>
      <c r="T51" s="43"/>
      <c r="U51" s="43"/>
      <c r="V51" s="43"/>
      <c r="W51" s="43"/>
      <c r="X51" s="43"/>
      <c r="Y51" s="43"/>
      <c r="Z51" s="43"/>
      <c r="AA51" s="43"/>
    </row>
    <row r="52">
      <c r="A52" s="43"/>
      <c r="B52" s="160"/>
      <c r="C52" s="160"/>
      <c r="D52" s="160"/>
      <c r="E52" s="43"/>
      <c r="F52" s="43"/>
      <c r="G52" s="43"/>
      <c r="H52" s="43"/>
      <c r="I52" s="43"/>
      <c r="J52" s="43"/>
      <c r="K52" s="43"/>
      <c r="L52" s="43"/>
      <c r="M52" s="43"/>
      <c r="N52" s="43"/>
      <c r="O52" s="43"/>
      <c r="P52" s="43"/>
      <c r="Q52" s="43"/>
      <c r="R52" s="43"/>
      <c r="S52" s="43"/>
      <c r="T52" s="43"/>
      <c r="U52" s="43"/>
      <c r="V52" s="43"/>
      <c r="W52" s="43"/>
      <c r="X52" s="43"/>
      <c r="Y52" s="43"/>
      <c r="Z52" s="43"/>
      <c r="AA52" s="43"/>
    </row>
    <row r="53">
      <c r="A53" s="43"/>
      <c r="B53" s="160"/>
      <c r="C53" s="160"/>
      <c r="D53" s="160"/>
      <c r="E53" s="43"/>
      <c r="F53" s="43"/>
      <c r="G53" s="43"/>
      <c r="H53" s="43"/>
      <c r="I53" s="43"/>
      <c r="J53" s="43"/>
      <c r="K53" s="43"/>
      <c r="L53" s="43"/>
      <c r="M53" s="43"/>
      <c r="N53" s="43"/>
      <c r="O53" s="43"/>
      <c r="P53" s="43"/>
      <c r="Q53" s="43"/>
      <c r="R53" s="43"/>
      <c r="S53" s="43"/>
      <c r="T53" s="43"/>
      <c r="U53" s="43"/>
      <c r="V53" s="43"/>
      <c r="W53" s="43"/>
      <c r="X53" s="43"/>
      <c r="Y53" s="43"/>
      <c r="Z53" s="43"/>
      <c r="AA53" s="43"/>
    </row>
    <row r="54">
      <c r="A54" s="43"/>
      <c r="B54" s="160"/>
      <c r="C54" s="160"/>
      <c r="D54" s="160"/>
      <c r="E54" s="43"/>
      <c r="F54" s="43"/>
      <c r="G54" s="43"/>
      <c r="H54" s="43"/>
      <c r="I54" s="43"/>
      <c r="J54" s="43"/>
      <c r="K54" s="43"/>
      <c r="L54" s="43"/>
      <c r="M54" s="43"/>
      <c r="N54" s="43"/>
      <c r="O54" s="43"/>
      <c r="P54" s="43"/>
      <c r="Q54" s="43"/>
      <c r="R54" s="43"/>
      <c r="S54" s="43"/>
      <c r="T54" s="43"/>
      <c r="U54" s="43"/>
      <c r="V54" s="43"/>
      <c r="W54" s="43"/>
      <c r="X54" s="43"/>
      <c r="Y54" s="43"/>
      <c r="Z54" s="43"/>
      <c r="AA54" s="43"/>
    </row>
    <row r="55">
      <c r="A55" s="43"/>
      <c r="B55" s="160"/>
      <c r="C55" s="160"/>
      <c r="D55" s="160"/>
      <c r="E55" s="43"/>
      <c r="F55" s="43"/>
      <c r="G55" s="43"/>
      <c r="H55" s="43"/>
      <c r="I55" s="43"/>
      <c r="J55" s="43"/>
      <c r="K55" s="43"/>
      <c r="L55" s="43"/>
      <c r="M55" s="43"/>
      <c r="N55" s="43"/>
      <c r="O55" s="43"/>
      <c r="P55" s="43"/>
      <c r="Q55" s="43"/>
      <c r="R55" s="43"/>
      <c r="S55" s="43"/>
      <c r="T55" s="43"/>
      <c r="U55" s="43"/>
      <c r="V55" s="43"/>
      <c r="W55" s="43"/>
      <c r="X55" s="43"/>
      <c r="Y55" s="43"/>
      <c r="Z55" s="43"/>
      <c r="AA55" s="43"/>
    </row>
    <row r="56">
      <c r="A56" s="43"/>
      <c r="B56" s="160"/>
      <c r="C56" s="160"/>
      <c r="D56" s="160"/>
      <c r="E56" s="43"/>
      <c r="F56" s="43"/>
      <c r="G56" s="43"/>
      <c r="H56" s="43"/>
      <c r="I56" s="43"/>
      <c r="J56" s="43"/>
      <c r="K56" s="43"/>
      <c r="L56" s="43"/>
      <c r="M56" s="43"/>
      <c r="N56" s="43"/>
      <c r="O56" s="43"/>
      <c r="P56" s="43"/>
      <c r="Q56" s="43"/>
      <c r="R56" s="43"/>
      <c r="S56" s="43"/>
      <c r="T56" s="43"/>
      <c r="U56" s="43"/>
      <c r="V56" s="43"/>
      <c r="W56" s="43"/>
      <c r="X56" s="43"/>
      <c r="Y56" s="43"/>
      <c r="Z56" s="43"/>
      <c r="AA56" s="43"/>
    </row>
    <row r="57">
      <c r="A57" s="43"/>
      <c r="B57" s="160"/>
      <c r="C57" s="160"/>
      <c r="D57" s="160"/>
      <c r="E57" s="43"/>
      <c r="F57" s="43"/>
      <c r="G57" s="43"/>
      <c r="H57" s="43"/>
      <c r="I57" s="43"/>
      <c r="J57" s="43"/>
      <c r="K57" s="43"/>
      <c r="L57" s="43"/>
      <c r="M57" s="43"/>
      <c r="N57" s="43"/>
      <c r="O57" s="43"/>
      <c r="P57" s="43"/>
      <c r="Q57" s="43"/>
      <c r="R57" s="43"/>
      <c r="S57" s="43"/>
      <c r="T57" s="43"/>
      <c r="U57" s="43"/>
      <c r="V57" s="43"/>
      <c r="W57" s="43"/>
      <c r="X57" s="43"/>
      <c r="Y57" s="43"/>
      <c r="Z57" s="43"/>
      <c r="AA57" s="43"/>
    </row>
    <row r="58">
      <c r="A58" s="43"/>
      <c r="B58" s="160"/>
      <c r="C58" s="160"/>
      <c r="D58" s="160"/>
      <c r="E58" s="43"/>
      <c r="F58" s="43"/>
      <c r="G58" s="43"/>
      <c r="H58" s="43"/>
      <c r="I58" s="43"/>
      <c r="J58" s="43"/>
      <c r="K58" s="43"/>
      <c r="L58" s="43"/>
      <c r="M58" s="43"/>
      <c r="N58" s="43"/>
      <c r="O58" s="43"/>
      <c r="P58" s="43"/>
      <c r="Q58" s="43"/>
      <c r="R58" s="43"/>
      <c r="S58" s="43"/>
      <c r="T58" s="43"/>
      <c r="U58" s="43"/>
      <c r="V58" s="43"/>
      <c r="W58" s="43"/>
      <c r="X58" s="43"/>
      <c r="Y58" s="43"/>
      <c r="Z58" s="43"/>
      <c r="AA58" s="43"/>
    </row>
    <row r="59">
      <c r="A59" s="43"/>
      <c r="B59" s="160"/>
      <c r="C59" s="160"/>
      <c r="D59" s="160"/>
      <c r="E59" s="43"/>
      <c r="F59" s="43"/>
      <c r="G59" s="43"/>
      <c r="H59" s="43"/>
      <c r="I59" s="43"/>
      <c r="J59" s="43"/>
      <c r="K59" s="43"/>
      <c r="L59" s="43"/>
      <c r="M59" s="43"/>
      <c r="N59" s="43"/>
      <c r="O59" s="43"/>
      <c r="P59" s="43"/>
      <c r="Q59" s="43"/>
      <c r="R59" s="43"/>
      <c r="S59" s="43"/>
      <c r="T59" s="43"/>
      <c r="U59" s="43"/>
      <c r="V59" s="43"/>
      <c r="W59" s="43"/>
      <c r="X59" s="43"/>
      <c r="Y59" s="43"/>
      <c r="Z59" s="43"/>
      <c r="AA59" s="43"/>
    </row>
    <row r="60">
      <c r="A60" s="43"/>
      <c r="B60" s="160"/>
      <c r="C60" s="160"/>
      <c r="D60" s="160"/>
      <c r="E60" s="43"/>
      <c r="F60" s="43"/>
      <c r="G60" s="43"/>
      <c r="H60" s="43"/>
      <c r="I60" s="43"/>
      <c r="J60" s="43"/>
      <c r="K60" s="43"/>
      <c r="L60" s="43"/>
      <c r="M60" s="43"/>
      <c r="N60" s="43"/>
      <c r="O60" s="43"/>
      <c r="P60" s="43"/>
      <c r="Q60" s="43"/>
      <c r="R60" s="43"/>
      <c r="S60" s="43"/>
      <c r="T60" s="43"/>
      <c r="U60" s="43"/>
      <c r="V60" s="43"/>
      <c r="W60" s="43"/>
      <c r="X60" s="43"/>
      <c r="Y60" s="43"/>
      <c r="Z60" s="43"/>
      <c r="AA60" s="43"/>
    </row>
    <row r="61">
      <c r="A61" s="43"/>
      <c r="B61" s="160"/>
      <c r="C61" s="160"/>
      <c r="D61" s="160"/>
      <c r="E61" s="43"/>
      <c r="F61" s="43"/>
      <c r="G61" s="43"/>
      <c r="H61" s="43"/>
      <c r="I61" s="43"/>
      <c r="J61" s="43"/>
      <c r="K61" s="43"/>
      <c r="L61" s="43"/>
      <c r="M61" s="43"/>
      <c r="N61" s="43"/>
      <c r="O61" s="43"/>
      <c r="P61" s="43"/>
      <c r="Q61" s="43"/>
      <c r="R61" s="43"/>
      <c r="S61" s="43"/>
      <c r="T61" s="43"/>
      <c r="U61" s="43"/>
      <c r="V61" s="43"/>
      <c r="W61" s="43"/>
      <c r="X61" s="43"/>
      <c r="Y61" s="43"/>
      <c r="Z61" s="43"/>
      <c r="AA61" s="43"/>
    </row>
    <row r="62">
      <c r="A62" s="43"/>
      <c r="B62" s="160"/>
      <c r="C62" s="160"/>
      <c r="D62" s="160"/>
      <c r="E62" s="43"/>
      <c r="F62" s="43"/>
      <c r="G62" s="43"/>
      <c r="H62" s="43"/>
      <c r="I62" s="43"/>
      <c r="J62" s="43"/>
      <c r="K62" s="43"/>
      <c r="L62" s="43"/>
      <c r="M62" s="43"/>
      <c r="N62" s="43"/>
      <c r="O62" s="43"/>
      <c r="P62" s="43"/>
      <c r="Q62" s="43"/>
      <c r="R62" s="43"/>
      <c r="S62" s="43"/>
      <c r="T62" s="43"/>
      <c r="U62" s="43"/>
      <c r="V62" s="43"/>
      <c r="W62" s="43"/>
      <c r="X62" s="43"/>
      <c r="Y62" s="43"/>
      <c r="Z62" s="43"/>
      <c r="AA62" s="43"/>
    </row>
    <row r="63">
      <c r="A63" s="43"/>
      <c r="B63" s="160"/>
      <c r="C63" s="160"/>
      <c r="D63" s="160"/>
      <c r="E63" s="43"/>
      <c r="F63" s="43"/>
      <c r="G63" s="43"/>
      <c r="H63" s="43"/>
      <c r="I63" s="43"/>
      <c r="J63" s="43"/>
      <c r="K63" s="43"/>
      <c r="L63" s="43"/>
      <c r="M63" s="43"/>
      <c r="N63" s="43"/>
      <c r="O63" s="43"/>
      <c r="P63" s="43"/>
      <c r="Q63" s="43"/>
      <c r="R63" s="43"/>
      <c r="S63" s="43"/>
      <c r="T63" s="43"/>
      <c r="U63" s="43"/>
      <c r="V63" s="43"/>
      <c r="W63" s="43"/>
      <c r="X63" s="43"/>
      <c r="Y63" s="43"/>
      <c r="Z63" s="43"/>
      <c r="AA63" s="43"/>
    </row>
    <row r="64">
      <c r="A64" s="43"/>
      <c r="B64" s="160"/>
      <c r="C64" s="160"/>
      <c r="D64" s="160"/>
      <c r="E64" s="43"/>
      <c r="F64" s="43"/>
      <c r="G64" s="43"/>
      <c r="H64" s="43"/>
      <c r="I64" s="43"/>
      <c r="J64" s="43"/>
      <c r="K64" s="43"/>
      <c r="L64" s="43"/>
      <c r="M64" s="43"/>
      <c r="N64" s="43"/>
      <c r="O64" s="43"/>
      <c r="P64" s="43"/>
      <c r="Q64" s="43"/>
      <c r="R64" s="43"/>
      <c r="S64" s="43"/>
      <c r="T64" s="43"/>
      <c r="U64" s="43"/>
      <c r="V64" s="43"/>
      <c r="W64" s="43"/>
      <c r="X64" s="43"/>
      <c r="Y64" s="43"/>
      <c r="Z64" s="43"/>
      <c r="AA64" s="43"/>
    </row>
    <row r="65">
      <c r="A65" s="43"/>
      <c r="B65" s="160"/>
      <c r="C65" s="160"/>
      <c r="D65" s="160"/>
      <c r="E65" s="43"/>
      <c r="F65" s="43"/>
      <c r="G65" s="43"/>
      <c r="H65" s="43"/>
      <c r="I65" s="43"/>
      <c r="J65" s="43"/>
      <c r="K65" s="43"/>
      <c r="L65" s="43"/>
      <c r="M65" s="43"/>
      <c r="N65" s="43"/>
      <c r="O65" s="43"/>
      <c r="P65" s="43"/>
      <c r="Q65" s="43"/>
      <c r="R65" s="43"/>
      <c r="S65" s="43"/>
      <c r="T65" s="43"/>
      <c r="U65" s="43"/>
      <c r="V65" s="43"/>
      <c r="W65" s="43"/>
      <c r="X65" s="43"/>
      <c r="Y65" s="43"/>
      <c r="Z65" s="43"/>
      <c r="AA65" s="43"/>
    </row>
    <row r="66">
      <c r="A66" s="43"/>
      <c r="B66" s="160"/>
      <c r="C66" s="160"/>
      <c r="D66" s="160"/>
      <c r="E66" s="43"/>
      <c r="F66" s="43"/>
      <c r="G66" s="43"/>
      <c r="H66" s="43"/>
      <c r="I66" s="43"/>
      <c r="J66" s="43"/>
      <c r="K66" s="43"/>
      <c r="L66" s="43"/>
      <c r="M66" s="43"/>
      <c r="N66" s="43"/>
      <c r="O66" s="43"/>
      <c r="P66" s="43"/>
      <c r="Q66" s="43"/>
      <c r="R66" s="43"/>
      <c r="S66" s="43"/>
      <c r="T66" s="43"/>
      <c r="U66" s="43"/>
      <c r="V66" s="43"/>
      <c r="W66" s="43"/>
      <c r="X66" s="43"/>
      <c r="Y66" s="43"/>
      <c r="Z66" s="43"/>
      <c r="AA66" s="43"/>
    </row>
    <row r="67">
      <c r="A67" s="43"/>
      <c r="B67" s="160"/>
      <c r="C67" s="160"/>
      <c r="D67" s="160"/>
      <c r="E67" s="43"/>
      <c r="F67" s="43"/>
      <c r="G67" s="43"/>
      <c r="H67" s="43"/>
      <c r="I67" s="43"/>
      <c r="J67" s="43"/>
      <c r="K67" s="43"/>
      <c r="L67" s="43"/>
      <c r="M67" s="43"/>
      <c r="N67" s="43"/>
      <c r="O67" s="43"/>
      <c r="P67" s="43"/>
      <c r="Q67" s="43"/>
      <c r="R67" s="43"/>
      <c r="S67" s="43"/>
      <c r="T67" s="43"/>
      <c r="U67" s="43"/>
      <c r="V67" s="43"/>
      <c r="W67" s="43"/>
      <c r="X67" s="43"/>
      <c r="Y67" s="43"/>
      <c r="Z67" s="43"/>
      <c r="AA67" s="43"/>
    </row>
    <row r="68">
      <c r="A68" s="43"/>
      <c r="B68" s="160"/>
      <c r="C68" s="160"/>
      <c r="D68" s="160"/>
      <c r="E68" s="43"/>
      <c r="F68" s="43"/>
      <c r="G68" s="43"/>
      <c r="H68" s="43"/>
      <c r="I68" s="43"/>
      <c r="J68" s="43"/>
      <c r="K68" s="43"/>
      <c r="L68" s="43"/>
      <c r="M68" s="43"/>
      <c r="N68" s="43"/>
      <c r="O68" s="43"/>
      <c r="P68" s="43"/>
      <c r="Q68" s="43"/>
      <c r="R68" s="43"/>
      <c r="S68" s="43"/>
      <c r="T68" s="43"/>
      <c r="U68" s="43"/>
      <c r="V68" s="43"/>
      <c r="W68" s="43"/>
      <c r="X68" s="43"/>
      <c r="Y68" s="43"/>
      <c r="Z68" s="43"/>
      <c r="AA68" s="43"/>
    </row>
    <row r="69">
      <c r="A69" s="43"/>
      <c r="B69" s="160"/>
      <c r="C69" s="160"/>
      <c r="D69" s="160"/>
      <c r="E69" s="43"/>
      <c r="F69" s="43"/>
      <c r="G69" s="43"/>
      <c r="H69" s="43"/>
      <c r="I69" s="43"/>
      <c r="J69" s="43"/>
      <c r="K69" s="43"/>
      <c r="L69" s="43"/>
      <c r="M69" s="43"/>
      <c r="N69" s="43"/>
      <c r="O69" s="43"/>
      <c r="P69" s="43"/>
      <c r="Q69" s="43"/>
      <c r="R69" s="43"/>
      <c r="S69" s="43"/>
      <c r="T69" s="43"/>
      <c r="U69" s="43"/>
      <c r="V69" s="43"/>
      <c r="W69" s="43"/>
      <c r="X69" s="43"/>
      <c r="Y69" s="43"/>
      <c r="Z69" s="43"/>
      <c r="AA69" s="43"/>
    </row>
    <row r="70">
      <c r="A70" s="43"/>
      <c r="B70" s="160"/>
      <c r="C70" s="160"/>
      <c r="D70" s="160"/>
      <c r="E70" s="43"/>
      <c r="F70" s="43"/>
      <c r="G70" s="43"/>
      <c r="H70" s="43"/>
      <c r="I70" s="43"/>
      <c r="J70" s="43"/>
      <c r="K70" s="43"/>
      <c r="L70" s="43"/>
      <c r="M70" s="43"/>
      <c r="N70" s="43"/>
      <c r="O70" s="43"/>
      <c r="P70" s="43"/>
      <c r="Q70" s="43"/>
      <c r="R70" s="43"/>
      <c r="S70" s="43"/>
      <c r="T70" s="43"/>
      <c r="U70" s="43"/>
      <c r="V70" s="43"/>
      <c r="W70" s="43"/>
      <c r="X70" s="43"/>
      <c r="Y70" s="43"/>
      <c r="Z70" s="43"/>
      <c r="AA70" s="43"/>
    </row>
    <row r="71">
      <c r="A71" s="43"/>
      <c r="B71" s="160"/>
      <c r="C71" s="160"/>
      <c r="D71" s="160"/>
      <c r="E71" s="43"/>
      <c r="F71" s="43"/>
      <c r="G71" s="43"/>
      <c r="H71" s="43"/>
      <c r="I71" s="43"/>
      <c r="J71" s="43"/>
      <c r="K71" s="43"/>
      <c r="L71" s="43"/>
      <c r="M71" s="43"/>
      <c r="N71" s="43"/>
      <c r="O71" s="43"/>
      <c r="P71" s="43"/>
      <c r="Q71" s="43"/>
      <c r="R71" s="43"/>
      <c r="S71" s="43"/>
      <c r="T71" s="43"/>
      <c r="U71" s="43"/>
      <c r="V71" s="43"/>
      <c r="W71" s="43"/>
      <c r="X71" s="43"/>
      <c r="Y71" s="43"/>
      <c r="Z71" s="43"/>
      <c r="AA71" s="43"/>
    </row>
    <row r="72">
      <c r="A72" s="43"/>
      <c r="B72" s="160"/>
      <c r="C72" s="160"/>
      <c r="D72" s="160"/>
      <c r="E72" s="43"/>
      <c r="F72" s="43"/>
      <c r="G72" s="43"/>
      <c r="H72" s="43"/>
      <c r="I72" s="43"/>
      <c r="J72" s="43"/>
      <c r="K72" s="43"/>
      <c r="L72" s="43"/>
      <c r="M72" s="43"/>
      <c r="N72" s="43"/>
      <c r="O72" s="43"/>
      <c r="P72" s="43"/>
      <c r="Q72" s="43"/>
      <c r="R72" s="43"/>
      <c r="S72" s="43"/>
      <c r="T72" s="43"/>
      <c r="U72" s="43"/>
      <c r="V72" s="43"/>
      <c r="W72" s="43"/>
      <c r="X72" s="43"/>
      <c r="Y72" s="43"/>
      <c r="Z72" s="43"/>
      <c r="AA72" s="43"/>
    </row>
    <row r="73">
      <c r="A73" s="43"/>
      <c r="B73" s="160"/>
      <c r="C73" s="160"/>
      <c r="D73" s="160"/>
      <c r="E73" s="43"/>
      <c r="F73" s="43"/>
      <c r="G73" s="43"/>
      <c r="H73" s="43"/>
      <c r="I73" s="43"/>
      <c r="J73" s="43"/>
      <c r="K73" s="43"/>
      <c r="L73" s="43"/>
      <c r="M73" s="43"/>
      <c r="N73" s="43"/>
      <c r="O73" s="43"/>
      <c r="P73" s="43"/>
      <c r="Q73" s="43"/>
      <c r="R73" s="43"/>
      <c r="S73" s="43"/>
      <c r="T73" s="43"/>
      <c r="U73" s="43"/>
      <c r="V73" s="43"/>
      <c r="W73" s="43"/>
      <c r="X73" s="43"/>
      <c r="Y73" s="43"/>
      <c r="Z73" s="43"/>
      <c r="AA73" s="43"/>
    </row>
    <row r="74">
      <c r="A74" s="43"/>
      <c r="B74" s="160"/>
      <c r="C74" s="160"/>
      <c r="D74" s="160"/>
      <c r="E74" s="43"/>
      <c r="F74" s="43"/>
      <c r="G74" s="43"/>
      <c r="H74" s="43"/>
      <c r="I74" s="43"/>
      <c r="J74" s="43"/>
      <c r="K74" s="43"/>
      <c r="L74" s="43"/>
      <c r="M74" s="43"/>
      <c r="N74" s="43"/>
      <c r="O74" s="43"/>
      <c r="P74" s="43"/>
      <c r="Q74" s="43"/>
      <c r="R74" s="43"/>
      <c r="S74" s="43"/>
      <c r="T74" s="43"/>
      <c r="U74" s="43"/>
      <c r="V74" s="43"/>
      <c r="W74" s="43"/>
      <c r="X74" s="43"/>
      <c r="Y74" s="43"/>
      <c r="Z74" s="43"/>
      <c r="AA74" s="43"/>
    </row>
    <row r="75">
      <c r="A75" s="43"/>
      <c r="B75" s="160"/>
      <c r="C75" s="160"/>
      <c r="D75" s="160"/>
      <c r="E75" s="43"/>
      <c r="F75" s="43"/>
      <c r="G75" s="43"/>
      <c r="H75" s="43"/>
      <c r="I75" s="43"/>
      <c r="J75" s="43"/>
      <c r="K75" s="43"/>
      <c r="L75" s="43"/>
      <c r="M75" s="43"/>
      <c r="N75" s="43"/>
      <c r="O75" s="43"/>
      <c r="P75" s="43"/>
      <c r="Q75" s="43"/>
      <c r="R75" s="43"/>
      <c r="S75" s="43"/>
      <c r="T75" s="43"/>
      <c r="U75" s="43"/>
      <c r="V75" s="43"/>
      <c r="W75" s="43"/>
      <c r="X75" s="43"/>
      <c r="Y75" s="43"/>
      <c r="Z75" s="43"/>
      <c r="AA75" s="43"/>
    </row>
    <row r="76">
      <c r="A76" s="43"/>
      <c r="B76" s="160"/>
      <c r="C76" s="160"/>
      <c r="D76" s="160"/>
      <c r="E76" s="43"/>
      <c r="F76" s="43"/>
      <c r="G76" s="43"/>
      <c r="H76" s="43"/>
      <c r="I76" s="43"/>
      <c r="J76" s="43"/>
      <c r="K76" s="43"/>
      <c r="L76" s="43"/>
      <c r="M76" s="43"/>
      <c r="N76" s="43"/>
      <c r="O76" s="43"/>
      <c r="P76" s="43"/>
      <c r="Q76" s="43"/>
      <c r="R76" s="43"/>
      <c r="S76" s="43"/>
      <c r="T76" s="43"/>
      <c r="U76" s="43"/>
      <c r="V76" s="43"/>
      <c r="W76" s="43"/>
      <c r="X76" s="43"/>
      <c r="Y76" s="43"/>
      <c r="Z76" s="43"/>
      <c r="AA76" s="43"/>
    </row>
    <row r="77">
      <c r="A77" s="43"/>
      <c r="B77" s="160"/>
      <c r="C77" s="160"/>
      <c r="D77" s="160"/>
      <c r="E77" s="43"/>
      <c r="F77" s="43"/>
      <c r="G77" s="43"/>
      <c r="H77" s="43"/>
      <c r="I77" s="43"/>
      <c r="J77" s="43"/>
      <c r="K77" s="43"/>
      <c r="L77" s="43"/>
      <c r="M77" s="43"/>
      <c r="N77" s="43"/>
      <c r="O77" s="43"/>
      <c r="P77" s="43"/>
      <c r="Q77" s="43"/>
      <c r="R77" s="43"/>
      <c r="S77" s="43"/>
      <c r="T77" s="43"/>
      <c r="U77" s="43"/>
      <c r="V77" s="43"/>
      <c r="W77" s="43"/>
      <c r="X77" s="43"/>
      <c r="Y77" s="43"/>
      <c r="Z77" s="43"/>
      <c r="AA77" s="43"/>
    </row>
    <row r="78">
      <c r="A78" s="43"/>
      <c r="B78" s="160"/>
      <c r="C78" s="160"/>
      <c r="D78" s="160"/>
      <c r="E78" s="43"/>
      <c r="F78" s="43"/>
      <c r="G78" s="43"/>
      <c r="H78" s="43"/>
      <c r="I78" s="43"/>
      <c r="J78" s="43"/>
      <c r="K78" s="43"/>
      <c r="L78" s="43"/>
      <c r="M78" s="43"/>
      <c r="N78" s="43"/>
      <c r="O78" s="43"/>
      <c r="P78" s="43"/>
      <c r="Q78" s="43"/>
      <c r="R78" s="43"/>
      <c r="S78" s="43"/>
      <c r="T78" s="43"/>
      <c r="U78" s="43"/>
      <c r="V78" s="43"/>
      <c r="W78" s="43"/>
      <c r="X78" s="43"/>
      <c r="Y78" s="43"/>
      <c r="Z78" s="43"/>
      <c r="AA78" s="43"/>
    </row>
    <row r="79">
      <c r="A79" s="43"/>
      <c r="B79" s="160"/>
      <c r="C79" s="160"/>
      <c r="D79" s="160"/>
      <c r="E79" s="43"/>
      <c r="F79" s="43"/>
      <c r="G79" s="43"/>
      <c r="H79" s="43"/>
      <c r="I79" s="43"/>
      <c r="J79" s="43"/>
      <c r="K79" s="43"/>
      <c r="L79" s="43"/>
      <c r="M79" s="43"/>
      <c r="N79" s="43"/>
      <c r="O79" s="43"/>
      <c r="P79" s="43"/>
      <c r="Q79" s="43"/>
      <c r="R79" s="43"/>
      <c r="S79" s="43"/>
      <c r="T79" s="43"/>
      <c r="U79" s="43"/>
      <c r="V79" s="43"/>
      <c r="W79" s="43"/>
      <c r="X79" s="43"/>
      <c r="Y79" s="43"/>
      <c r="Z79" s="43"/>
      <c r="AA79" s="43"/>
    </row>
    <row r="80">
      <c r="A80" s="43"/>
      <c r="B80" s="160"/>
      <c r="C80" s="160"/>
      <c r="D80" s="160"/>
      <c r="E80" s="43"/>
      <c r="F80" s="43"/>
      <c r="G80" s="43"/>
      <c r="H80" s="43"/>
      <c r="I80" s="43"/>
      <c r="J80" s="43"/>
      <c r="K80" s="43"/>
      <c r="L80" s="43"/>
      <c r="M80" s="43"/>
      <c r="N80" s="43"/>
      <c r="O80" s="43"/>
      <c r="P80" s="43"/>
      <c r="Q80" s="43"/>
      <c r="R80" s="43"/>
      <c r="S80" s="43"/>
      <c r="T80" s="43"/>
      <c r="U80" s="43"/>
      <c r="V80" s="43"/>
      <c r="W80" s="43"/>
      <c r="X80" s="43"/>
      <c r="Y80" s="43"/>
      <c r="Z80" s="43"/>
      <c r="AA80" s="43"/>
    </row>
    <row r="81">
      <c r="A81" s="43"/>
      <c r="B81" s="160"/>
      <c r="C81" s="160"/>
      <c r="D81" s="160"/>
      <c r="E81" s="43"/>
      <c r="F81" s="43"/>
      <c r="G81" s="43"/>
      <c r="H81" s="43"/>
      <c r="I81" s="43"/>
      <c r="J81" s="43"/>
      <c r="K81" s="43"/>
      <c r="L81" s="43"/>
      <c r="M81" s="43"/>
      <c r="N81" s="43"/>
      <c r="O81" s="43"/>
      <c r="P81" s="43"/>
      <c r="Q81" s="43"/>
      <c r="R81" s="43"/>
      <c r="S81" s="43"/>
      <c r="T81" s="43"/>
      <c r="U81" s="43"/>
      <c r="V81" s="43"/>
      <c r="W81" s="43"/>
      <c r="X81" s="43"/>
      <c r="Y81" s="43"/>
      <c r="Z81" s="43"/>
      <c r="AA81" s="43"/>
    </row>
    <row r="82">
      <c r="A82" s="43"/>
      <c r="B82" s="160"/>
      <c r="C82" s="160"/>
      <c r="D82" s="160"/>
      <c r="E82" s="43"/>
      <c r="F82" s="43"/>
      <c r="G82" s="43"/>
      <c r="H82" s="43"/>
      <c r="I82" s="43"/>
      <c r="J82" s="43"/>
      <c r="K82" s="43"/>
      <c r="L82" s="43"/>
      <c r="M82" s="43"/>
      <c r="N82" s="43"/>
      <c r="O82" s="43"/>
      <c r="P82" s="43"/>
      <c r="Q82" s="43"/>
      <c r="R82" s="43"/>
      <c r="S82" s="43"/>
      <c r="T82" s="43"/>
      <c r="U82" s="43"/>
      <c r="V82" s="43"/>
      <c r="W82" s="43"/>
      <c r="X82" s="43"/>
      <c r="Y82" s="43"/>
      <c r="Z82" s="43"/>
      <c r="AA82" s="43"/>
    </row>
    <row r="83">
      <c r="A83" s="43"/>
      <c r="B83" s="160"/>
      <c r="C83" s="160"/>
      <c r="D83" s="160"/>
      <c r="E83" s="43"/>
      <c r="F83" s="43"/>
      <c r="G83" s="43"/>
      <c r="H83" s="43"/>
      <c r="I83" s="43"/>
      <c r="J83" s="43"/>
      <c r="K83" s="43"/>
      <c r="L83" s="43"/>
      <c r="M83" s="43"/>
      <c r="N83" s="43"/>
      <c r="O83" s="43"/>
      <c r="P83" s="43"/>
      <c r="Q83" s="43"/>
      <c r="R83" s="43"/>
      <c r="S83" s="43"/>
      <c r="T83" s="43"/>
      <c r="U83" s="43"/>
      <c r="V83" s="43"/>
      <c r="W83" s="43"/>
      <c r="X83" s="43"/>
      <c r="Y83" s="43"/>
      <c r="Z83" s="43"/>
      <c r="AA83" s="43"/>
    </row>
    <row r="84">
      <c r="A84" s="43"/>
      <c r="B84" s="160"/>
      <c r="C84" s="160"/>
      <c r="D84" s="160"/>
      <c r="E84" s="43"/>
      <c r="F84" s="43"/>
      <c r="G84" s="43"/>
      <c r="H84" s="43"/>
      <c r="I84" s="43"/>
      <c r="J84" s="43"/>
      <c r="K84" s="43"/>
      <c r="L84" s="43"/>
      <c r="M84" s="43"/>
      <c r="N84" s="43"/>
      <c r="O84" s="43"/>
      <c r="P84" s="43"/>
      <c r="Q84" s="43"/>
      <c r="R84" s="43"/>
      <c r="S84" s="43"/>
      <c r="T84" s="43"/>
      <c r="U84" s="43"/>
      <c r="V84" s="43"/>
      <c r="W84" s="43"/>
      <c r="X84" s="43"/>
      <c r="Y84" s="43"/>
      <c r="Z84" s="43"/>
      <c r="AA84" s="43"/>
    </row>
    <row r="85">
      <c r="A85" s="43"/>
      <c r="B85" s="160"/>
      <c r="C85" s="160"/>
      <c r="D85" s="160"/>
      <c r="E85" s="43"/>
      <c r="F85" s="43"/>
      <c r="G85" s="43"/>
      <c r="H85" s="43"/>
      <c r="I85" s="43"/>
      <c r="J85" s="43"/>
      <c r="K85" s="43"/>
      <c r="L85" s="43"/>
      <c r="M85" s="43"/>
      <c r="N85" s="43"/>
      <c r="O85" s="43"/>
      <c r="P85" s="43"/>
      <c r="Q85" s="43"/>
      <c r="R85" s="43"/>
      <c r="S85" s="43"/>
      <c r="T85" s="43"/>
      <c r="U85" s="43"/>
      <c r="V85" s="43"/>
      <c r="W85" s="43"/>
      <c r="X85" s="43"/>
      <c r="Y85" s="43"/>
      <c r="Z85" s="43"/>
      <c r="AA85" s="43"/>
    </row>
    <row r="86">
      <c r="A86" s="43"/>
      <c r="B86" s="160"/>
      <c r="C86" s="160"/>
      <c r="D86" s="160"/>
      <c r="E86" s="43"/>
      <c r="F86" s="43"/>
      <c r="G86" s="43"/>
      <c r="H86" s="43"/>
      <c r="I86" s="43"/>
      <c r="J86" s="43"/>
      <c r="K86" s="43"/>
      <c r="L86" s="43"/>
      <c r="M86" s="43"/>
      <c r="N86" s="43"/>
      <c r="O86" s="43"/>
      <c r="P86" s="43"/>
      <c r="Q86" s="43"/>
      <c r="R86" s="43"/>
      <c r="S86" s="43"/>
      <c r="T86" s="43"/>
      <c r="U86" s="43"/>
      <c r="V86" s="43"/>
      <c r="W86" s="43"/>
      <c r="X86" s="43"/>
      <c r="Y86" s="43"/>
      <c r="Z86" s="43"/>
      <c r="AA86" s="43"/>
    </row>
    <row r="87">
      <c r="A87" s="43"/>
      <c r="B87" s="160"/>
      <c r="C87" s="160"/>
      <c r="D87" s="160"/>
      <c r="E87" s="43"/>
      <c r="F87" s="43"/>
      <c r="G87" s="43"/>
      <c r="H87" s="43"/>
      <c r="I87" s="43"/>
      <c r="J87" s="43"/>
      <c r="K87" s="43"/>
      <c r="L87" s="43"/>
      <c r="M87" s="43"/>
      <c r="N87" s="43"/>
      <c r="O87" s="43"/>
      <c r="P87" s="43"/>
      <c r="Q87" s="43"/>
      <c r="R87" s="43"/>
      <c r="S87" s="43"/>
      <c r="T87" s="43"/>
      <c r="U87" s="43"/>
      <c r="V87" s="43"/>
      <c r="W87" s="43"/>
      <c r="X87" s="43"/>
      <c r="Y87" s="43"/>
      <c r="Z87" s="43"/>
      <c r="AA87" s="43"/>
    </row>
    <row r="88">
      <c r="A88" s="43"/>
      <c r="B88" s="160"/>
      <c r="C88" s="160"/>
      <c r="D88" s="160"/>
      <c r="E88" s="43"/>
      <c r="F88" s="43"/>
      <c r="G88" s="43"/>
      <c r="H88" s="43"/>
      <c r="I88" s="43"/>
      <c r="J88" s="43"/>
      <c r="K88" s="43"/>
      <c r="L88" s="43"/>
      <c r="M88" s="43"/>
      <c r="N88" s="43"/>
      <c r="O88" s="43"/>
      <c r="P88" s="43"/>
      <c r="Q88" s="43"/>
      <c r="R88" s="43"/>
      <c r="S88" s="43"/>
      <c r="T88" s="43"/>
      <c r="U88" s="43"/>
      <c r="V88" s="43"/>
      <c r="W88" s="43"/>
      <c r="X88" s="43"/>
      <c r="Y88" s="43"/>
      <c r="Z88" s="43"/>
      <c r="AA88" s="43"/>
    </row>
    <row r="89">
      <c r="A89" s="43"/>
      <c r="B89" s="160"/>
      <c r="C89" s="160"/>
      <c r="D89" s="160"/>
      <c r="E89" s="43"/>
      <c r="F89" s="43"/>
      <c r="G89" s="43"/>
      <c r="H89" s="43"/>
      <c r="I89" s="43"/>
      <c r="J89" s="43"/>
      <c r="K89" s="43"/>
      <c r="L89" s="43"/>
      <c r="M89" s="43"/>
      <c r="N89" s="43"/>
      <c r="O89" s="43"/>
      <c r="P89" s="43"/>
      <c r="Q89" s="43"/>
      <c r="R89" s="43"/>
      <c r="S89" s="43"/>
      <c r="T89" s="43"/>
      <c r="U89" s="43"/>
      <c r="V89" s="43"/>
      <c r="W89" s="43"/>
      <c r="X89" s="43"/>
      <c r="Y89" s="43"/>
      <c r="Z89" s="43"/>
      <c r="AA89" s="43"/>
    </row>
    <row r="90">
      <c r="A90" s="43"/>
      <c r="B90" s="160"/>
      <c r="C90" s="160"/>
      <c r="D90" s="160"/>
      <c r="E90" s="43"/>
      <c r="F90" s="43"/>
      <c r="G90" s="43"/>
      <c r="H90" s="43"/>
      <c r="I90" s="43"/>
      <c r="J90" s="43"/>
      <c r="K90" s="43"/>
      <c r="L90" s="43"/>
      <c r="M90" s="43"/>
      <c r="N90" s="43"/>
      <c r="O90" s="43"/>
      <c r="P90" s="43"/>
      <c r="Q90" s="43"/>
      <c r="R90" s="43"/>
      <c r="S90" s="43"/>
      <c r="T90" s="43"/>
      <c r="U90" s="43"/>
      <c r="V90" s="43"/>
      <c r="W90" s="43"/>
      <c r="X90" s="43"/>
      <c r="Y90" s="43"/>
      <c r="Z90" s="43"/>
      <c r="AA90" s="43"/>
    </row>
    <row r="91">
      <c r="A91" s="43"/>
      <c r="B91" s="160"/>
      <c r="C91" s="160"/>
      <c r="D91" s="160"/>
      <c r="E91" s="43"/>
      <c r="F91" s="43"/>
      <c r="G91" s="43"/>
      <c r="H91" s="43"/>
      <c r="I91" s="43"/>
      <c r="J91" s="43"/>
      <c r="K91" s="43"/>
      <c r="L91" s="43"/>
      <c r="M91" s="43"/>
      <c r="N91" s="43"/>
      <c r="O91" s="43"/>
      <c r="P91" s="43"/>
      <c r="Q91" s="43"/>
      <c r="R91" s="43"/>
      <c r="S91" s="43"/>
      <c r="T91" s="43"/>
      <c r="U91" s="43"/>
      <c r="V91" s="43"/>
      <c r="W91" s="43"/>
      <c r="X91" s="43"/>
      <c r="Y91" s="43"/>
      <c r="Z91" s="43"/>
      <c r="AA91" s="43"/>
    </row>
    <row r="92">
      <c r="A92" s="43"/>
      <c r="B92" s="160"/>
      <c r="C92" s="160"/>
      <c r="D92" s="160"/>
      <c r="E92" s="43"/>
      <c r="F92" s="43"/>
      <c r="G92" s="43"/>
      <c r="H92" s="43"/>
      <c r="I92" s="43"/>
      <c r="J92" s="43"/>
      <c r="K92" s="43"/>
      <c r="L92" s="43"/>
      <c r="M92" s="43"/>
      <c r="N92" s="43"/>
      <c r="O92" s="43"/>
      <c r="P92" s="43"/>
      <c r="Q92" s="43"/>
      <c r="R92" s="43"/>
      <c r="S92" s="43"/>
      <c r="T92" s="43"/>
      <c r="U92" s="43"/>
      <c r="V92" s="43"/>
      <c r="W92" s="43"/>
      <c r="X92" s="43"/>
      <c r="Y92" s="43"/>
      <c r="Z92" s="43"/>
      <c r="AA92" s="43"/>
    </row>
    <row r="93">
      <c r="A93" s="43"/>
      <c r="B93" s="160"/>
      <c r="C93" s="160"/>
      <c r="D93" s="160"/>
      <c r="E93" s="43"/>
      <c r="F93" s="43"/>
      <c r="G93" s="43"/>
      <c r="H93" s="43"/>
      <c r="I93" s="43"/>
      <c r="J93" s="43"/>
      <c r="K93" s="43"/>
      <c r="L93" s="43"/>
      <c r="M93" s="43"/>
      <c r="N93" s="43"/>
      <c r="O93" s="43"/>
      <c r="P93" s="43"/>
      <c r="Q93" s="43"/>
      <c r="R93" s="43"/>
      <c r="S93" s="43"/>
      <c r="T93" s="43"/>
      <c r="U93" s="43"/>
      <c r="V93" s="43"/>
      <c r="W93" s="43"/>
      <c r="X93" s="43"/>
      <c r="Y93" s="43"/>
      <c r="Z93" s="43"/>
      <c r="AA93" s="43"/>
    </row>
    <row r="94">
      <c r="A94" s="43"/>
      <c r="B94" s="160"/>
      <c r="C94" s="160"/>
      <c r="D94" s="160"/>
      <c r="E94" s="43"/>
      <c r="F94" s="43"/>
      <c r="G94" s="43"/>
      <c r="H94" s="43"/>
      <c r="I94" s="43"/>
      <c r="J94" s="43"/>
      <c r="K94" s="43"/>
      <c r="L94" s="43"/>
      <c r="M94" s="43"/>
      <c r="N94" s="43"/>
      <c r="O94" s="43"/>
      <c r="P94" s="43"/>
      <c r="Q94" s="43"/>
      <c r="R94" s="43"/>
      <c r="S94" s="43"/>
      <c r="T94" s="43"/>
      <c r="U94" s="43"/>
      <c r="V94" s="43"/>
      <c r="W94" s="43"/>
      <c r="X94" s="43"/>
      <c r="Y94" s="43"/>
      <c r="Z94" s="43"/>
      <c r="AA94" s="43"/>
    </row>
    <row r="95">
      <c r="A95" s="43"/>
      <c r="B95" s="160"/>
      <c r="C95" s="160"/>
      <c r="D95" s="160"/>
      <c r="E95" s="43"/>
      <c r="F95" s="43"/>
      <c r="G95" s="43"/>
      <c r="H95" s="43"/>
      <c r="I95" s="43"/>
      <c r="J95" s="43"/>
      <c r="K95" s="43"/>
      <c r="L95" s="43"/>
      <c r="M95" s="43"/>
      <c r="N95" s="43"/>
      <c r="O95" s="43"/>
      <c r="P95" s="43"/>
      <c r="Q95" s="43"/>
      <c r="R95" s="43"/>
      <c r="S95" s="43"/>
      <c r="T95" s="43"/>
      <c r="U95" s="43"/>
      <c r="V95" s="43"/>
      <c r="W95" s="43"/>
      <c r="X95" s="43"/>
      <c r="Y95" s="43"/>
      <c r="Z95" s="43"/>
      <c r="AA95" s="43"/>
    </row>
    <row r="96">
      <c r="A96" s="43"/>
      <c r="B96" s="160"/>
      <c r="C96" s="160"/>
      <c r="D96" s="160"/>
      <c r="E96" s="43"/>
      <c r="F96" s="43"/>
      <c r="G96" s="43"/>
      <c r="H96" s="43"/>
      <c r="I96" s="43"/>
      <c r="J96" s="43"/>
      <c r="K96" s="43"/>
      <c r="L96" s="43"/>
      <c r="M96" s="43"/>
      <c r="N96" s="43"/>
      <c r="O96" s="43"/>
      <c r="P96" s="43"/>
      <c r="Q96" s="43"/>
      <c r="R96" s="43"/>
      <c r="S96" s="43"/>
      <c r="T96" s="43"/>
      <c r="U96" s="43"/>
      <c r="V96" s="43"/>
      <c r="W96" s="43"/>
      <c r="X96" s="43"/>
      <c r="Y96" s="43"/>
      <c r="Z96" s="43"/>
      <c r="AA96" s="43"/>
    </row>
    <row r="97">
      <c r="A97" s="43"/>
      <c r="B97" s="160"/>
      <c r="C97" s="160"/>
      <c r="D97" s="160"/>
      <c r="E97" s="43"/>
      <c r="F97" s="43"/>
      <c r="G97" s="43"/>
      <c r="H97" s="43"/>
      <c r="I97" s="43"/>
      <c r="J97" s="43"/>
      <c r="K97" s="43"/>
      <c r="L97" s="43"/>
      <c r="M97" s="43"/>
      <c r="N97" s="43"/>
      <c r="O97" s="43"/>
      <c r="P97" s="43"/>
      <c r="Q97" s="43"/>
      <c r="R97" s="43"/>
      <c r="S97" s="43"/>
      <c r="T97" s="43"/>
      <c r="U97" s="43"/>
      <c r="V97" s="43"/>
      <c r="W97" s="43"/>
      <c r="X97" s="43"/>
      <c r="Y97" s="43"/>
      <c r="Z97" s="43"/>
      <c r="AA97" s="43"/>
    </row>
    <row r="98">
      <c r="A98" s="43"/>
      <c r="B98" s="160"/>
      <c r="C98" s="160"/>
      <c r="D98" s="160"/>
      <c r="E98" s="43"/>
      <c r="F98" s="43"/>
      <c r="G98" s="43"/>
      <c r="H98" s="43"/>
      <c r="I98" s="43"/>
      <c r="J98" s="43"/>
      <c r="K98" s="43"/>
      <c r="L98" s="43"/>
      <c r="M98" s="43"/>
      <c r="N98" s="43"/>
      <c r="O98" s="43"/>
      <c r="P98" s="43"/>
      <c r="Q98" s="43"/>
      <c r="R98" s="43"/>
      <c r="S98" s="43"/>
      <c r="T98" s="43"/>
      <c r="U98" s="43"/>
      <c r="V98" s="43"/>
      <c r="W98" s="43"/>
      <c r="X98" s="43"/>
      <c r="Y98" s="43"/>
      <c r="Z98" s="43"/>
      <c r="AA98" s="43"/>
    </row>
    <row r="99">
      <c r="A99" s="43"/>
      <c r="B99" s="160"/>
      <c r="C99" s="160"/>
      <c r="D99" s="160"/>
      <c r="E99" s="43"/>
      <c r="F99" s="43"/>
      <c r="G99" s="43"/>
      <c r="H99" s="43"/>
      <c r="I99" s="43"/>
      <c r="J99" s="43"/>
      <c r="K99" s="43"/>
      <c r="L99" s="43"/>
      <c r="M99" s="43"/>
      <c r="N99" s="43"/>
      <c r="O99" s="43"/>
      <c r="P99" s="43"/>
      <c r="Q99" s="43"/>
      <c r="R99" s="43"/>
      <c r="S99" s="43"/>
      <c r="T99" s="43"/>
      <c r="U99" s="43"/>
      <c r="V99" s="43"/>
      <c r="W99" s="43"/>
      <c r="X99" s="43"/>
      <c r="Y99" s="43"/>
      <c r="Z99" s="43"/>
      <c r="AA99" s="43"/>
    </row>
    <row r="100">
      <c r="A100" s="43"/>
      <c r="B100" s="160"/>
      <c r="C100" s="160"/>
      <c r="D100" s="160"/>
      <c r="E100" s="43"/>
      <c r="F100" s="43"/>
      <c r="G100" s="43"/>
      <c r="H100" s="43"/>
      <c r="I100" s="43"/>
      <c r="J100" s="43"/>
      <c r="K100" s="43"/>
      <c r="L100" s="43"/>
      <c r="M100" s="43"/>
      <c r="N100" s="43"/>
      <c r="O100" s="43"/>
      <c r="P100" s="43"/>
      <c r="Q100" s="43"/>
      <c r="R100" s="43"/>
      <c r="S100" s="43"/>
      <c r="T100" s="43"/>
      <c r="U100" s="43"/>
      <c r="V100" s="43"/>
      <c r="W100" s="43"/>
      <c r="X100" s="43"/>
      <c r="Y100" s="43"/>
      <c r="Z100" s="43"/>
      <c r="AA100" s="43"/>
    </row>
    <row r="101">
      <c r="A101" s="43"/>
      <c r="B101" s="160"/>
      <c r="C101" s="160"/>
      <c r="D101" s="160"/>
      <c r="E101" s="43"/>
      <c r="F101" s="43"/>
      <c r="G101" s="43"/>
      <c r="H101" s="43"/>
      <c r="I101" s="43"/>
      <c r="J101" s="43"/>
      <c r="K101" s="43"/>
      <c r="L101" s="43"/>
      <c r="M101" s="43"/>
      <c r="N101" s="43"/>
      <c r="O101" s="43"/>
      <c r="P101" s="43"/>
      <c r="Q101" s="43"/>
      <c r="R101" s="43"/>
      <c r="S101" s="43"/>
      <c r="T101" s="43"/>
      <c r="U101" s="43"/>
      <c r="V101" s="43"/>
      <c r="W101" s="43"/>
      <c r="X101" s="43"/>
      <c r="Y101" s="43"/>
      <c r="Z101" s="43"/>
      <c r="AA101" s="43"/>
    </row>
    <row r="102">
      <c r="A102" s="43"/>
      <c r="B102" s="160"/>
      <c r="C102" s="160"/>
      <c r="D102" s="160"/>
      <c r="E102" s="43"/>
      <c r="F102" s="43"/>
      <c r="G102" s="43"/>
      <c r="H102" s="43"/>
      <c r="I102" s="43"/>
      <c r="J102" s="43"/>
      <c r="K102" s="43"/>
      <c r="L102" s="43"/>
      <c r="M102" s="43"/>
      <c r="N102" s="43"/>
      <c r="O102" s="43"/>
      <c r="P102" s="43"/>
      <c r="Q102" s="43"/>
      <c r="R102" s="43"/>
      <c r="S102" s="43"/>
      <c r="T102" s="43"/>
      <c r="U102" s="43"/>
      <c r="V102" s="43"/>
      <c r="W102" s="43"/>
      <c r="X102" s="43"/>
      <c r="Y102" s="43"/>
      <c r="Z102" s="43"/>
      <c r="AA102" s="43"/>
    </row>
    <row r="103">
      <c r="A103" s="43"/>
      <c r="B103" s="160"/>
      <c r="C103" s="160"/>
      <c r="D103" s="160"/>
      <c r="E103" s="43"/>
      <c r="F103" s="43"/>
      <c r="G103" s="43"/>
      <c r="H103" s="43"/>
      <c r="I103" s="43"/>
      <c r="J103" s="43"/>
      <c r="K103" s="43"/>
      <c r="L103" s="43"/>
      <c r="M103" s="43"/>
      <c r="N103" s="43"/>
      <c r="O103" s="43"/>
      <c r="P103" s="43"/>
      <c r="Q103" s="43"/>
      <c r="R103" s="43"/>
      <c r="S103" s="43"/>
      <c r="T103" s="43"/>
      <c r="U103" s="43"/>
      <c r="V103" s="43"/>
      <c r="W103" s="43"/>
      <c r="X103" s="43"/>
      <c r="Y103" s="43"/>
      <c r="Z103" s="43"/>
      <c r="AA103" s="43"/>
    </row>
    <row r="104">
      <c r="A104" s="43"/>
      <c r="B104" s="160"/>
      <c r="C104" s="160"/>
      <c r="D104" s="160"/>
      <c r="E104" s="43"/>
      <c r="F104" s="43"/>
      <c r="G104" s="43"/>
      <c r="H104" s="43"/>
      <c r="I104" s="43"/>
      <c r="J104" s="43"/>
      <c r="K104" s="43"/>
      <c r="L104" s="43"/>
      <c r="M104" s="43"/>
      <c r="N104" s="43"/>
      <c r="O104" s="43"/>
      <c r="P104" s="43"/>
      <c r="Q104" s="43"/>
      <c r="R104" s="43"/>
      <c r="S104" s="43"/>
      <c r="T104" s="43"/>
      <c r="U104" s="43"/>
      <c r="V104" s="43"/>
      <c r="W104" s="43"/>
      <c r="X104" s="43"/>
      <c r="Y104" s="43"/>
      <c r="Z104" s="43"/>
      <c r="AA104" s="43"/>
    </row>
    <row r="105">
      <c r="A105" s="43"/>
      <c r="B105" s="160"/>
      <c r="C105" s="160"/>
      <c r="D105" s="160"/>
      <c r="E105" s="43"/>
      <c r="F105" s="43"/>
      <c r="G105" s="43"/>
      <c r="H105" s="43"/>
      <c r="I105" s="43"/>
      <c r="J105" s="43"/>
      <c r="K105" s="43"/>
      <c r="L105" s="43"/>
      <c r="M105" s="43"/>
      <c r="N105" s="43"/>
      <c r="O105" s="43"/>
      <c r="P105" s="43"/>
      <c r="Q105" s="43"/>
      <c r="R105" s="43"/>
      <c r="S105" s="43"/>
      <c r="T105" s="43"/>
      <c r="U105" s="43"/>
      <c r="V105" s="43"/>
      <c r="W105" s="43"/>
      <c r="X105" s="43"/>
      <c r="Y105" s="43"/>
      <c r="Z105" s="43"/>
      <c r="AA105" s="43"/>
    </row>
    <row r="106">
      <c r="A106" s="43"/>
      <c r="B106" s="160"/>
      <c r="C106" s="160"/>
      <c r="D106" s="160"/>
      <c r="E106" s="43"/>
      <c r="F106" s="43"/>
      <c r="G106" s="43"/>
      <c r="H106" s="43"/>
      <c r="I106" s="43"/>
      <c r="J106" s="43"/>
      <c r="K106" s="43"/>
      <c r="L106" s="43"/>
      <c r="M106" s="43"/>
      <c r="N106" s="43"/>
      <c r="O106" s="43"/>
      <c r="P106" s="43"/>
      <c r="Q106" s="43"/>
      <c r="R106" s="43"/>
      <c r="S106" s="43"/>
      <c r="T106" s="43"/>
      <c r="U106" s="43"/>
      <c r="V106" s="43"/>
      <c r="W106" s="43"/>
      <c r="X106" s="43"/>
      <c r="Y106" s="43"/>
      <c r="Z106" s="43"/>
      <c r="AA106" s="43"/>
    </row>
    <row r="107">
      <c r="A107" s="43"/>
      <c r="B107" s="160"/>
      <c r="C107" s="160"/>
      <c r="D107" s="160"/>
      <c r="E107" s="43"/>
      <c r="F107" s="43"/>
      <c r="G107" s="43"/>
      <c r="H107" s="43"/>
      <c r="I107" s="43"/>
      <c r="J107" s="43"/>
      <c r="K107" s="43"/>
      <c r="L107" s="43"/>
      <c r="M107" s="43"/>
      <c r="N107" s="43"/>
      <c r="O107" s="43"/>
      <c r="P107" s="43"/>
      <c r="Q107" s="43"/>
      <c r="R107" s="43"/>
      <c r="S107" s="43"/>
      <c r="T107" s="43"/>
      <c r="U107" s="43"/>
      <c r="V107" s="43"/>
      <c r="W107" s="43"/>
      <c r="X107" s="43"/>
      <c r="Y107" s="43"/>
      <c r="Z107" s="43"/>
      <c r="AA107" s="43"/>
    </row>
    <row r="108">
      <c r="A108" s="43"/>
      <c r="B108" s="160"/>
      <c r="C108" s="160"/>
      <c r="D108" s="160"/>
      <c r="E108" s="43"/>
      <c r="F108" s="43"/>
      <c r="G108" s="43"/>
      <c r="H108" s="43"/>
      <c r="I108" s="43"/>
      <c r="J108" s="43"/>
      <c r="K108" s="43"/>
      <c r="L108" s="43"/>
      <c r="M108" s="43"/>
      <c r="N108" s="43"/>
      <c r="O108" s="43"/>
      <c r="P108" s="43"/>
      <c r="Q108" s="43"/>
      <c r="R108" s="43"/>
      <c r="S108" s="43"/>
      <c r="T108" s="43"/>
      <c r="U108" s="43"/>
      <c r="V108" s="43"/>
      <c r="W108" s="43"/>
      <c r="X108" s="43"/>
      <c r="Y108" s="43"/>
      <c r="Z108" s="43"/>
      <c r="AA108" s="43"/>
    </row>
    <row r="109">
      <c r="A109" s="43"/>
      <c r="B109" s="160"/>
      <c r="C109" s="160"/>
      <c r="D109" s="160"/>
      <c r="E109" s="43"/>
      <c r="F109" s="43"/>
      <c r="G109" s="43"/>
      <c r="H109" s="43"/>
      <c r="I109" s="43"/>
      <c r="J109" s="43"/>
      <c r="K109" s="43"/>
      <c r="L109" s="43"/>
      <c r="M109" s="43"/>
      <c r="N109" s="43"/>
      <c r="O109" s="43"/>
      <c r="P109" s="43"/>
      <c r="Q109" s="43"/>
      <c r="R109" s="43"/>
      <c r="S109" s="43"/>
      <c r="T109" s="43"/>
      <c r="U109" s="43"/>
      <c r="V109" s="43"/>
      <c r="W109" s="43"/>
      <c r="X109" s="43"/>
      <c r="Y109" s="43"/>
      <c r="Z109" s="43"/>
      <c r="AA109" s="43"/>
    </row>
    <row r="110">
      <c r="A110" s="43"/>
      <c r="B110" s="160"/>
      <c r="C110" s="160"/>
      <c r="D110" s="160"/>
      <c r="E110" s="43"/>
      <c r="F110" s="43"/>
      <c r="G110" s="43"/>
      <c r="H110" s="43"/>
      <c r="I110" s="43"/>
      <c r="J110" s="43"/>
      <c r="K110" s="43"/>
      <c r="L110" s="43"/>
      <c r="M110" s="43"/>
      <c r="N110" s="43"/>
      <c r="O110" s="43"/>
      <c r="P110" s="43"/>
      <c r="Q110" s="43"/>
      <c r="R110" s="43"/>
      <c r="S110" s="43"/>
      <c r="T110" s="43"/>
      <c r="U110" s="43"/>
      <c r="V110" s="43"/>
      <c r="W110" s="43"/>
      <c r="X110" s="43"/>
      <c r="Y110" s="43"/>
      <c r="Z110" s="43"/>
      <c r="AA110" s="43"/>
    </row>
    <row r="111">
      <c r="A111" s="43"/>
      <c r="B111" s="160"/>
      <c r="C111" s="160"/>
      <c r="D111" s="160"/>
      <c r="E111" s="43"/>
      <c r="F111" s="43"/>
      <c r="G111" s="43"/>
      <c r="H111" s="43"/>
      <c r="I111" s="43"/>
      <c r="J111" s="43"/>
      <c r="K111" s="43"/>
      <c r="L111" s="43"/>
      <c r="M111" s="43"/>
      <c r="N111" s="43"/>
      <c r="O111" s="43"/>
      <c r="P111" s="43"/>
      <c r="Q111" s="43"/>
      <c r="R111" s="43"/>
      <c r="S111" s="43"/>
      <c r="T111" s="43"/>
      <c r="U111" s="43"/>
      <c r="V111" s="43"/>
      <c r="W111" s="43"/>
      <c r="X111" s="43"/>
      <c r="Y111" s="43"/>
      <c r="Z111" s="43"/>
      <c r="AA111" s="43"/>
    </row>
    <row r="112">
      <c r="A112" s="43"/>
      <c r="B112" s="160"/>
      <c r="C112" s="160"/>
      <c r="D112" s="160"/>
      <c r="E112" s="43"/>
      <c r="F112" s="43"/>
      <c r="G112" s="43"/>
      <c r="H112" s="43"/>
      <c r="I112" s="43"/>
      <c r="J112" s="43"/>
      <c r="K112" s="43"/>
      <c r="L112" s="43"/>
      <c r="M112" s="43"/>
      <c r="N112" s="43"/>
      <c r="O112" s="43"/>
      <c r="P112" s="43"/>
      <c r="Q112" s="43"/>
      <c r="R112" s="43"/>
      <c r="S112" s="43"/>
      <c r="T112" s="43"/>
      <c r="U112" s="43"/>
      <c r="V112" s="43"/>
      <c r="W112" s="43"/>
      <c r="X112" s="43"/>
      <c r="Y112" s="43"/>
      <c r="Z112" s="43"/>
      <c r="AA112" s="43"/>
    </row>
    <row r="113">
      <c r="A113" s="43"/>
      <c r="B113" s="160"/>
      <c r="C113" s="160"/>
      <c r="D113" s="160"/>
      <c r="E113" s="43"/>
      <c r="F113" s="43"/>
      <c r="G113" s="43"/>
      <c r="H113" s="43"/>
      <c r="I113" s="43"/>
      <c r="J113" s="43"/>
      <c r="K113" s="43"/>
      <c r="L113" s="43"/>
      <c r="M113" s="43"/>
      <c r="N113" s="43"/>
      <c r="O113" s="43"/>
      <c r="P113" s="43"/>
      <c r="Q113" s="43"/>
      <c r="R113" s="43"/>
      <c r="S113" s="43"/>
      <c r="T113" s="43"/>
      <c r="U113" s="43"/>
      <c r="V113" s="43"/>
      <c r="W113" s="43"/>
      <c r="X113" s="43"/>
      <c r="Y113" s="43"/>
      <c r="Z113" s="43"/>
      <c r="AA113" s="43"/>
    </row>
    <row r="114">
      <c r="A114" s="43"/>
      <c r="B114" s="160"/>
      <c r="C114" s="160"/>
      <c r="D114" s="160"/>
      <c r="E114" s="43"/>
      <c r="F114" s="43"/>
      <c r="G114" s="43"/>
      <c r="H114" s="43"/>
      <c r="I114" s="43"/>
      <c r="J114" s="43"/>
      <c r="K114" s="43"/>
      <c r="L114" s="43"/>
      <c r="M114" s="43"/>
      <c r="N114" s="43"/>
      <c r="O114" s="43"/>
      <c r="P114" s="43"/>
      <c r="Q114" s="43"/>
      <c r="R114" s="43"/>
      <c r="S114" s="43"/>
      <c r="T114" s="43"/>
      <c r="U114" s="43"/>
      <c r="V114" s="43"/>
      <c r="W114" s="43"/>
      <c r="X114" s="43"/>
      <c r="Y114" s="43"/>
      <c r="Z114" s="43"/>
      <c r="AA114" s="43"/>
    </row>
    <row r="115">
      <c r="A115" s="43"/>
      <c r="B115" s="160"/>
      <c r="C115" s="160"/>
      <c r="D115" s="160"/>
      <c r="E115" s="43"/>
      <c r="F115" s="43"/>
      <c r="G115" s="43"/>
      <c r="H115" s="43"/>
      <c r="I115" s="43"/>
      <c r="J115" s="43"/>
      <c r="K115" s="43"/>
      <c r="L115" s="43"/>
      <c r="M115" s="43"/>
      <c r="N115" s="43"/>
      <c r="O115" s="43"/>
      <c r="P115" s="43"/>
      <c r="Q115" s="43"/>
      <c r="R115" s="43"/>
      <c r="S115" s="43"/>
      <c r="T115" s="43"/>
      <c r="U115" s="43"/>
      <c r="V115" s="43"/>
      <c r="W115" s="43"/>
      <c r="X115" s="43"/>
      <c r="Y115" s="43"/>
      <c r="Z115" s="43"/>
      <c r="AA115" s="43"/>
    </row>
    <row r="116">
      <c r="A116" s="43"/>
      <c r="B116" s="160"/>
      <c r="C116" s="160"/>
      <c r="D116" s="160"/>
      <c r="E116" s="43"/>
      <c r="F116" s="43"/>
      <c r="G116" s="43"/>
      <c r="H116" s="43"/>
      <c r="I116" s="43"/>
      <c r="J116" s="43"/>
      <c r="K116" s="43"/>
      <c r="L116" s="43"/>
      <c r="M116" s="43"/>
      <c r="N116" s="43"/>
      <c r="O116" s="43"/>
      <c r="P116" s="43"/>
      <c r="Q116" s="43"/>
      <c r="R116" s="43"/>
      <c r="S116" s="43"/>
      <c r="T116" s="43"/>
      <c r="U116" s="43"/>
      <c r="V116" s="43"/>
      <c r="W116" s="43"/>
      <c r="X116" s="43"/>
      <c r="Y116" s="43"/>
      <c r="Z116" s="43"/>
      <c r="AA116" s="43"/>
    </row>
    <row r="117">
      <c r="A117" s="43"/>
      <c r="B117" s="160"/>
      <c r="C117" s="160"/>
      <c r="D117" s="160"/>
      <c r="E117" s="43"/>
      <c r="F117" s="43"/>
      <c r="G117" s="43"/>
      <c r="H117" s="43"/>
      <c r="I117" s="43"/>
      <c r="J117" s="43"/>
      <c r="K117" s="43"/>
      <c r="L117" s="43"/>
      <c r="M117" s="43"/>
      <c r="N117" s="43"/>
      <c r="O117" s="43"/>
      <c r="P117" s="43"/>
      <c r="Q117" s="43"/>
      <c r="R117" s="43"/>
      <c r="S117" s="43"/>
      <c r="T117" s="43"/>
      <c r="U117" s="43"/>
      <c r="V117" s="43"/>
      <c r="W117" s="43"/>
      <c r="X117" s="43"/>
      <c r="Y117" s="43"/>
      <c r="Z117" s="43"/>
      <c r="AA117" s="43"/>
    </row>
    <row r="118">
      <c r="A118" s="43"/>
      <c r="B118" s="160"/>
      <c r="C118" s="160"/>
      <c r="D118" s="160"/>
      <c r="E118" s="43"/>
      <c r="F118" s="43"/>
      <c r="G118" s="43"/>
      <c r="H118" s="43"/>
      <c r="I118" s="43"/>
      <c r="J118" s="43"/>
      <c r="K118" s="43"/>
      <c r="L118" s="43"/>
      <c r="M118" s="43"/>
      <c r="N118" s="43"/>
      <c r="O118" s="43"/>
      <c r="P118" s="43"/>
      <c r="Q118" s="43"/>
      <c r="R118" s="43"/>
      <c r="S118" s="43"/>
      <c r="T118" s="43"/>
      <c r="U118" s="43"/>
      <c r="V118" s="43"/>
      <c r="W118" s="43"/>
      <c r="X118" s="43"/>
      <c r="Y118" s="43"/>
      <c r="Z118" s="43"/>
      <c r="AA118" s="43"/>
    </row>
    <row r="119">
      <c r="A119" s="43"/>
      <c r="B119" s="160"/>
      <c r="C119" s="160"/>
      <c r="D119" s="160"/>
      <c r="E119" s="43"/>
      <c r="F119" s="43"/>
      <c r="G119" s="43"/>
      <c r="H119" s="43"/>
      <c r="I119" s="43"/>
      <c r="J119" s="43"/>
      <c r="K119" s="43"/>
      <c r="L119" s="43"/>
      <c r="M119" s="43"/>
      <c r="N119" s="43"/>
      <c r="O119" s="43"/>
      <c r="P119" s="43"/>
      <c r="Q119" s="43"/>
      <c r="R119" s="43"/>
      <c r="S119" s="43"/>
      <c r="T119" s="43"/>
      <c r="U119" s="43"/>
      <c r="V119" s="43"/>
      <c r="W119" s="43"/>
      <c r="X119" s="43"/>
      <c r="Y119" s="43"/>
      <c r="Z119" s="43"/>
      <c r="AA119" s="43"/>
    </row>
    <row r="120">
      <c r="A120" s="43"/>
      <c r="B120" s="160"/>
      <c r="C120" s="160"/>
      <c r="D120" s="160"/>
      <c r="E120" s="43"/>
      <c r="F120" s="43"/>
      <c r="G120" s="43"/>
      <c r="H120" s="43"/>
      <c r="I120" s="43"/>
      <c r="J120" s="43"/>
      <c r="K120" s="43"/>
      <c r="L120" s="43"/>
      <c r="M120" s="43"/>
      <c r="N120" s="43"/>
      <c r="O120" s="43"/>
      <c r="P120" s="43"/>
      <c r="Q120" s="43"/>
      <c r="R120" s="43"/>
      <c r="S120" s="43"/>
      <c r="T120" s="43"/>
      <c r="U120" s="43"/>
      <c r="V120" s="43"/>
      <c r="W120" s="43"/>
      <c r="X120" s="43"/>
      <c r="Y120" s="43"/>
      <c r="Z120" s="43"/>
      <c r="AA120" s="43"/>
    </row>
    <row r="121">
      <c r="A121" s="43"/>
      <c r="B121" s="160"/>
      <c r="C121" s="160"/>
      <c r="D121" s="160"/>
      <c r="E121" s="43"/>
      <c r="F121" s="43"/>
      <c r="G121" s="43"/>
      <c r="H121" s="43"/>
      <c r="I121" s="43"/>
      <c r="J121" s="43"/>
      <c r="K121" s="43"/>
      <c r="L121" s="43"/>
      <c r="M121" s="43"/>
      <c r="N121" s="43"/>
      <c r="O121" s="43"/>
      <c r="P121" s="43"/>
      <c r="Q121" s="43"/>
      <c r="R121" s="43"/>
      <c r="S121" s="43"/>
      <c r="T121" s="43"/>
      <c r="U121" s="43"/>
      <c r="V121" s="43"/>
      <c r="W121" s="43"/>
      <c r="X121" s="43"/>
      <c r="Y121" s="43"/>
      <c r="Z121" s="43"/>
      <c r="AA121" s="43"/>
    </row>
    <row r="122">
      <c r="A122" s="43"/>
      <c r="B122" s="160"/>
      <c r="C122" s="160"/>
      <c r="D122" s="160"/>
      <c r="E122" s="43"/>
      <c r="F122" s="43"/>
      <c r="G122" s="43"/>
      <c r="H122" s="43"/>
      <c r="I122" s="43"/>
      <c r="J122" s="43"/>
      <c r="K122" s="43"/>
      <c r="L122" s="43"/>
      <c r="M122" s="43"/>
      <c r="N122" s="43"/>
      <c r="O122" s="43"/>
      <c r="P122" s="43"/>
      <c r="Q122" s="43"/>
      <c r="R122" s="43"/>
      <c r="S122" s="43"/>
      <c r="T122" s="43"/>
      <c r="U122" s="43"/>
      <c r="V122" s="43"/>
      <c r="W122" s="43"/>
      <c r="X122" s="43"/>
      <c r="Y122" s="43"/>
      <c r="Z122" s="43"/>
      <c r="AA122" s="43"/>
    </row>
    <row r="123">
      <c r="A123" s="43"/>
      <c r="B123" s="160"/>
      <c r="C123" s="160"/>
      <c r="D123" s="160"/>
      <c r="E123" s="43"/>
      <c r="F123" s="43"/>
      <c r="G123" s="43"/>
      <c r="H123" s="43"/>
      <c r="I123" s="43"/>
      <c r="J123" s="43"/>
      <c r="K123" s="43"/>
      <c r="L123" s="43"/>
      <c r="M123" s="43"/>
      <c r="N123" s="43"/>
      <c r="O123" s="43"/>
      <c r="P123" s="43"/>
      <c r="Q123" s="43"/>
      <c r="R123" s="43"/>
      <c r="S123" s="43"/>
      <c r="T123" s="43"/>
      <c r="U123" s="43"/>
      <c r="V123" s="43"/>
      <c r="W123" s="43"/>
      <c r="X123" s="43"/>
      <c r="Y123" s="43"/>
      <c r="Z123" s="43"/>
      <c r="AA123" s="43"/>
    </row>
    <row r="124">
      <c r="A124" s="43"/>
      <c r="B124" s="160"/>
      <c r="C124" s="160"/>
      <c r="D124" s="160"/>
      <c r="E124" s="43"/>
      <c r="F124" s="43"/>
      <c r="G124" s="43"/>
      <c r="H124" s="43"/>
      <c r="I124" s="43"/>
      <c r="J124" s="43"/>
      <c r="K124" s="43"/>
      <c r="L124" s="43"/>
      <c r="M124" s="43"/>
      <c r="N124" s="43"/>
      <c r="O124" s="43"/>
      <c r="P124" s="43"/>
      <c r="Q124" s="43"/>
      <c r="R124" s="43"/>
      <c r="S124" s="43"/>
      <c r="T124" s="43"/>
      <c r="U124" s="43"/>
      <c r="V124" s="43"/>
      <c r="W124" s="43"/>
      <c r="X124" s="43"/>
      <c r="Y124" s="43"/>
      <c r="Z124" s="43"/>
      <c r="AA124" s="43"/>
    </row>
    <row r="125">
      <c r="A125" s="43"/>
      <c r="B125" s="160"/>
      <c r="C125" s="160"/>
      <c r="D125" s="160"/>
      <c r="E125" s="43"/>
      <c r="F125" s="43"/>
      <c r="G125" s="43"/>
      <c r="H125" s="43"/>
      <c r="I125" s="43"/>
      <c r="J125" s="43"/>
      <c r="K125" s="43"/>
      <c r="L125" s="43"/>
      <c r="M125" s="43"/>
      <c r="N125" s="43"/>
      <c r="O125" s="43"/>
      <c r="P125" s="43"/>
      <c r="Q125" s="43"/>
      <c r="R125" s="43"/>
      <c r="S125" s="43"/>
      <c r="T125" s="43"/>
      <c r="U125" s="43"/>
      <c r="V125" s="43"/>
      <c r="W125" s="43"/>
      <c r="X125" s="43"/>
      <c r="Y125" s="43"/>
      <c r="Z125" s="43"/>
      <c r="AA125" s="43"/>
    </row>
    <row r="126">
      <c r="A126" s="43"/>
      <c r="B126" s="160"/>
      <c r="C126" s="160"/>
      <c r="D126" s="160"/>
      <c r="E126" s="43"/>
      <c r="F126" s="43"/>
      <c r="G126" s="43"/>
      <c r="H126" s="43"/>
      <c r="I126" s="43"/>
      <c r="J126" s="43"/>
      <c r="K126" s="43"/>
      <c r="L126" s="43"/>
      <c r="M126" s="43"/>
      <c r="N126" s="43"/>
      <c r="O126" s="43"/>
      <c r="P126" s="43"/>
      <c r="Q126" s="43"/>
      <c r="R126" s="43"/>
      <c r="S126" s="43"/>
      <c r="T126" s="43"/>
      <c r="U126" s="43"/>
      <c r="V126" s="43"/>
      <c r="W126" s="43"/>
      <c r="X126" s="43"/>
      <c r="Y126" s="43"/>
      <c r="Z126" s="43"/>
      <c r="AA126" s="43"/>
    </row>
    <row r="127">
      <c r="A127" s="43"/>
      <c r="B127" s="160"/>
      <c r="C127" s="160"/>
      <c r="D127" s="160"/>
      <c r="E127" s="43"/>
      <c r="F127" s="43"/>
      <c r="G127" s="43"/>
      <c r="H127" s="43"/>
      <c r="I127" s="43"/>
      <c r="J127" s="43"/>
      <c r="K127" s="43"/>
      <c r="L127" s="43"/>
      <c r="M127" s="43"/>
      <c r="N127" s="43"/>
      <c r="O127" s="43"/>
      <c r="P127" s="43"/>
      <c r="Q127" s="43"/>
      <c r="R127" s="43"/>
      <c r="S127" s="43"/>
      <c r="T127" s="43"/>
      <c r="U127" s="43"/>
      <c r="V127" s="43"/>
      <c r="W127" s="43"/>
      <c r="X127" s="43"/>
      <c r="Y127" s="43"/>
      <c r="Z127" s="43"/>
      <c r="AA127" s="43"/>
    </row>
    <row r="128">
      <c r="A128" s="43"/>
      <c r="B128" s="160"/>
      <c r="C128" s="160"/>
      <c r="D128" s="160"/>
      <c r="E128" s="43"/>
      <c r="F128" s="43"/>
      <c r="G128" s="43"/>
      <c r="H128" s="43"/>
      <c r="I128" s="43"/>
      <c r="J128" s="43"/>
      <c r="K128" s="43"/>
      <c r="L128" s="43"/>
      <c r="M128" s="43"/>
      <c r="N128" s="43"/>
      <c r="O128" s="43"/>
      <c r="P128" s="43"/>
      <c r="Q128" s="43"/>
      <c r="R128" s="43"/>
      <c r="S128" s="43"/>
      <c r="T128" s="43"/>
      <c r="U128" s="43"/>
      <c r="V128" s="43"/>
      <c r="W128" s="43"/>
      <c r="X128" s="43"/>
      <c r="Y128" s="43"/>
      <c r="Z128" s="43"/>
      <c r="AA128" s="43"/>
    </row>
    <row r="129">
      <c r="A129" s="43"/>
      <c r="B129" s="160"/>
      <c r="C129" s="160"/>
      <c r="D129" s="160"/>
      <c r="E129" s="43"/>
      <c r="F129" s="43"/>
      <c r="G129" s="43"/>
      <c r="H129" s="43"/>
      <c r="I129" s="43"/>
      <c r="J129" s="43"/>
      <c r="K129" s="43"/>
      <c r="L129" s="43"/>
      <c r="M129" s="43"/>
      <c r="N129" s="43"/>
      <c r="O129" s="43"/>
      <c r="P129" s="43"/>
      <c r="Q129" s="43"/>
      <c r="R129" s="43"/>
      <c r="S129" s="43"/>
      <c r="T129" s="43"/>
      <c r="U129" s="43"/>
      <c r="V129" s="43"/>
      <c r="W129" s="43"/>
      <c r="X129" s="43"/>
      <c r="Y129" s="43"/>
      <c r="Z129" s="43"/>
      <c r="AA129" s="43"/>
    </row>
    <row r="130">
      <c r="A130" s="43"/>
      <c r="B130" s="160"/>
      <c r="C130" s="160"/>
      <c r="D130" s="160"/>
      <c r="E130" s="43"/>
      <c r="F130" s="43"/>
      <c r="G130" s="43"/>
      <c r="H130" s="43"/>
      <c r="I130" s="43"/>
      <c r="J130" s="43"/>
      <c r="K130" s="43"/>
      <c r="L130" s="43"/>
      <c r="M130" s="43"/>
      <c r="N130" s="43"/>
      <c r="O130" s="43"/>
      <c r="P130" s="43"/>
      <c r="Q130" s="43"/>
      <c r="R130" s="43"/>
      <c r="S130" s="43"/>
      <c r="T130" s="43"/>
      <c r="U130" s="43"/>
      <c r="V130" s="43"/>
      <c r="W130" s="43"/>
      <c r="X130" s="43"/>
      <c r="Y130" s="43"/>
      <c r="Z130" s="43"/>
      <c r="AA130" s="43"/>
    </row>
    <row r="131">
      <c r="A131" s="43"/>
      <c r="B131" s="160"/>
      <c r="C131" s="160"/>
      <c r="D131" s="160"/>
      <c r="E131" s="43"/>
      <c r="F131" s="43"/>
      <c r="G131" s="43"/>
      <c r="H131" s="43"/>
      <c r="I131" s="43"/>
      <c r="J131" s="43"/>
      <c r="K131" s="43"/>
      <c r="L131" s="43"/>
      <c r="M131" s="43"/>
      <c r="N131" s="43"/>
      <c r="O131" s="43"/>
      <c r="P131" s="43"/>
      <c r="Q131" s="43"/>
      <c r="R131" s="43"/>
      <c r="S131" s="43"/>
      <c r="T131" s="43"/>
      <c r="U131" s="43"/>
      <c r="V131" s="43"/>
      <c r="W131" s="43"/>
      <c r="X131" s="43"/>
      <c r="Y131" s="43"/>
      <c r="Z131" s="43"/>
      <c r="AA131" s="43"/>
    </row>
    <row r="132">
      <c r="A132" s="43"/>
      <c r="B132" s="160"/>
      <c r="C132" s="160"/>
      <c r="D132" s="160"/>
      <c r="E132" s="43"/>
      <c r="F132" s="43"/>
      <c r="G132" s="43"/>
      <c r="H132" s="43"/>
      <c r="I132" s="43"/>
      <c r="J132" s="43"/>
      <c r="K132" s="43"/>
      <c r="L132" s="43"/>
      <c r="M132" s="43"/>
      <c r="N132" s="43"/>
      <c r="O132" s="43"/>
      <c r="P132" s="43"/>
      <c r="Q132" s="43"/>
      <c r="R132" s="43"/>
      <c r="S132" s="43"/>
      <c r="T132" s="43"/>
      <c r="U132" s="43"/>
      <c r="V132" s="43"/>
      <c r="W132" s="43"/>
      <c r="X132" s="43"/>
      <c r="Y132" s="43"/>
      <c r="Z132" s="43"/>
      <c r="AA132" s="43"/>
    </row>
    <row r="133">
      <c r="A133" s="43"/>
      <c r="B133" s="160"/>
      <c r="C133" s="160"/>
      <c r="D133" s="160"/>
      <c r="E133" s="43"/>
      <c r="F133" s="43"/>
      <c r="G133" s="43"/>
      <c r="H133" s="43"/>
      <c r="I133" s="43"/>
      <c r="J133" s="43"/>
      <c r="K133" s="43"/>
      <c r="L133" s="43"/>
      <c r="M133" s="43"/>
      <c r="N133" s="43"/>
      <c r="O133" s="43"/>
      <c r="P133" s="43"/>
      <c r="Q133" s="43"/>
      <c r="R133" s="43"/>
      <c r="S133" s="43"/>
      <c r="T133" s="43"/>
      <c r="U133" s="43"/>
      <c r="V133" s="43"/>
      <c r="W133" s="43"/>
      <c r="X133" s="43"/>
      <c r="Y133" s="43"/>
      <c r="Z133" s="43"/>
      <c r="AA133" s="43"/>
    </row>
    <row r="134">
      <c r="A134" s="43"/>
      <c r="B134" s="160"/>
      <c r="C134" s="160"/>
      <c r="D134" s="160"/>
      <c r="E134" s="43"/>
      <c r="F134" s="43"/>
      <c r="G134" s="43"/>
      <c r="H134" s="43"/>
      <c r="I134" s="43"/>
      <c r="J134" s="43"/>
      <c r="K134" s="43"/>
      <c r="L134" s="43"/>
      <c r="M134" s="43"/>
      <c r="N134" s="43"/>
      <c r="O134" s="43"/>
      <c r="P134" s="43"/>
      <c r="Q134" s="43"/>
      <c r="R134" s="43"/>
      <c r="S134" s="43"/>
      <c r="T134" s="43"/>
      <c r="U134" s="43"/>
      <c r="V134" s="43"/>
      <c r="W134" s="43"/>
      <c r="X134" s="43"/>
      <c r="Y134" s="43"/>
      <c r="Z134" s="43"/>
      <c r="AA134" s="43"/>
    </row>
    <row r="135">
      <c r="A135" s="43"/>
      <c r="B135" s="160"/>
      <c r="C135" s="160"/>
      <c r="D135" s="160"/>
      <c r="E135" s="43"/>
      <c r="F135" s="43"/>
      <c r="G135" s="43"/>
      <c r="H135" s="43"/>
      <c r="I135" s="43"/>
      <c r="J135" s="43"/>
      <c r="K135" s="43"/>
      <c r="L135" s="43"/>
      <c r="M135" s="43"/>
      <c r="N135" s="43"/>
      <c r="O135" s="43"/>
      <c r="P135" s="43"/>
      <c r="Q135" s="43"/>
      <c r="R135" s="43"/>
      <c r="S135" s="43"/>
      <c r="T135" s="43"/>
      <c r="U135" s="43"/>
      <c r="V135" s="43"/>
      <c r="W135" s="43"/>
      <c r="X135" s="43"/>
      <c r="Y135" s="43"/>
      <c r="Z135" s="43"/>
      <c r="AA135" s="43"/>
    </row>
    <row r="136">
      <c r="A136" s="43"/>
      <c r="B136" s="160"/>
      <c r="C136" s="160"/>
      <c r="D136" s="160"/>
      <c r="E136" s="43"/>
      <c r="F136" s="43"/>
      <c r="G136" s="43"/>
      <c r="H136" s="43"/>
      <c r="I136" s="43"/>
      <c r="J136" s="43"/>
      <c r="K136" s="43"/>
      <c r="L136" s="43"/>
      <c r="M136" s="43"/>
      <c r="N136" s="43"/>
      <c r="O136" s="43"/>
      <c r="P136" s="43"/>
      <c r="Q136" s="43"/>
      <c r="R136" s="43"/>
      <c r="S136" s="43"/>
      <c r="T136" s="43"/>
      <c r="U136" s="43"/>
      <c r="V136" s="43"/>
      <c r="W136" s="43"/>
      <c r="X136" s="43"/>
      <c r="Y136" s="43"/>
      <c r="Z136" s="43"/>
      <c r="AA136" s="43"/>
    </row>
    <row r="137">
      <c r="A137" s="43"/>
      <c r="B137" s="160"/>
      <c r="C137" s="160"/>
      <c r="D137" s="160"/>
      <c r="E137" s="43"/>
      <c r="F137" s="43"/>
      <c r="G137" s="43"/>
      <c r="H137" s="43"/>
      <c r="I137" s="43"/>
      <c r="J137" s="43"/>
      <c r="K137" s="43"/>
      <c r="L137" s="43"/>
      <c r="M137" s="43"/>
      <c r="N137" s="43"/>
      <c r="O137" s="43"/>
      <c r="P137" s="43"/>
      <c r="Q137" s="43"/>
      <c r="R137" s="43"/>
      <c r="S137" s="43"/>
      <c r="T137" s="43"/>
      <c r="U137" s="43"/>
      <c r="V137" s="43"/>
      <c r="W137" s="43"/>
      <c r="X137" s="43"/>
      <c r="Y137" s="43"/>
      <c r="Z137" s="43"/>
      <c r="AA137" s="43"/>
    </row>
    <row r="138">
      <c r="A138" s="43"/>
      <c r="B138" s="160"/>
      <c r="C138" s="160"/>
      <c r="D138" s="160"/>
      <c r="E138" s="43"/>
      <c r="F138" s="43"/>
      <c r="G138" s="43"/>
      <c r="H138" s="43"/>
      <c r="I138" s="43"/>
      <c r="J138" s="43"/>
      <c r="K138" s="43"/>
      <c r="L138" s="43"/>
      <c r="M138" s="43"/>
      <c r="N138" s="43"/>
      <c r="O138" s="43"/>
      <c r="P138" s="43"/>
      <c r="Q138" s="43"/>
      <c r="R138" s="43"/>
      <c r="S138" s="43"/>
      <c r="T138" s="43"/>
      <c r="U138" s="43"/>
      <c r="V138" s="43"/>
      <c r="W138" s="43"/>
      <c r="X138" s="43"/>
      <c r="Y138" s="43"/>
      <c r="Z138" s="43"/>
      <c r="AA138" s="43"/>
    </row>
    <row r="139">
      <c r="A139" s="43"/>
      <c r="B139" s="160"/>
      <c r="C139" s="160"/>
      <c r="D139" s="160"/>
      <c r="E139" s="43"/>
      <c r="F139" s="43"/>
      <c r="G139" s="43"/>
      <c r="H139" s="43"/>
      <c r="I139" s="43"/>
      <c r="J139" s="43"/>
      <c r="K139" s="43"/>
      <c r="L139" s="43"/>
      <c r="M139" s="43"/>
      <c r="N139" s="43"/>
      <c r="O139" s="43"/>
      <c r="P139" s="43"/>
      <c r="Q139" s="43"/>
      <c r="R139" s="43"/>
      <c r="S139" s="43"/>
      <c r="T139" s="43"/>
      <c r="U139" s="43"/>
      <c r="V139" s="43"/>
      <c r="W139" s="43"/>
      <c r="X139" s="43"/>
      <c r="Y139" s="43"/>
      <c r="Z139" s="43"/>
      <c r="AA139" s="43"/>
    </row>
    <row r="140">
      <c r="A140" s="43"/>
      <c r="B140" s="160"/>
      <c r="C140" s="160"/>
      <c r="D140" s="160"/>
      <c r="E140" s="43"/>
      <c r="F140" s="43"/>
      <c r="G140" s="43"/>
      <c r="H140" s="43"/>
      <c r="I140" s="43"/>
      <c r="J140" s="43"/>
      <c r="K140" s="43"/>
      <c r="L140" s="43"/>
      <c r="M140" s="43"/>
      <c r="N140" s="43"/>
      <c r="O140" s="43"/>
      <c r="P140" s="43"/>
      <c r="Q140" s="43"/>
      <c r="R140" s="43"/>
      <c r="S140" s="43"/>
      <c r="T140" s="43"/>
      <c r="U140" s="43"/>
      <c r="V140" s="43"/>
      <c r="W140" s="43"/>
      <c r="X140" s="43"/>
      <c r="Y140" s="43"/>
      <c r="Z140" s="43"/>
      <c r="AA140" s="43"/>
    </row>
    <row r="141">
      <c r="A141" s="43"/>
      <c r="B141" s="160"/>
      <c r="C141" s="160"/>
      <c r="D141" s="160"/>
      <c r="E141" s="43"/>
      <c r="F141" s="43"/>
      <c r="G141" s="43"/>
      <c r="H141" s="43"/>
      <c r="I141" s="43"/>
      <c r="J141" s="43"/>
      <c r="K141" s="43"/>
      <c r="L141" s="43"/>
      <c r="M141" s="43"/>
      <c r="N141" s="43"/>
      <c r="O141" s="43"/>
      <c r="P141" s="43"/>
      <c r="Q141" s="43"/>
      <c r="R141" s="43"/>
      <c r="S141" s="43"/>
      <c r="T141" s="43"/>
      <c r="U141" s="43"/>
      <c r="V141" s="43"/>
      <c r="W141" s="43"/>
      <c r="X141" s="43"/>
      <c r="Y141" s="43"/>
      <c r="Z141" s="43"/>
      <c r="AA141" s="43"/>
    </row>
    <row r="142">
      <c r="A142" s="43"/>
      <c r="B142" s="160"/>
      <c r="C142" s="160"/>
      <c r="D142" s="160"/>
      <c r="E142" s="43"/>
      <c r="F142" s="43"/>
      <c r="G142" s="43"/>
      <c r="H142" s="43"/>
      <c r="I142" s="43"/>
      <c r="J142" s="43"/>
      <c r="K142" s="43"/>
      <c r="L142" s="43"/>
      <c r="M142" s="43"/>
      <c r="N142" s="43"/>
      <c r="O142" s="43"/>
      <c r="P142" s="43"/>
      <c r="Q142" s="43"/>
      <c r="R142" s="43"/>
      <c r="S142" s="43"/>
      <c r="T142" s="43"/>
      <c r="U142" s="43"/>
      <c r="V142" s="43"/>
      <c r="W142" s="43"/>
      <c r="X142" s="43"/>
      <c r="Y142" s="43"/>
      <c r="Z142" s="43"/>
      <c r="AA142" s="43"/>
    </row>
    <row r="143">
      <c r="A143" s="43"/>
      <c r="B143" s="160"/>
      <c r="C143" s="160"/>
      <c r="D143" s="160"/>
      <c r="E143" s="43"/>
      <c r="F143" s="43"/>
      <c r="G143" s="43"/>
      <c r="H143" s="43"/>
      <c r="I143" s="43"/>
      <c r="J143" s="43"/>
      <c r="K143" s="43"/>
      <c r="L143" s="43"/>
      <c r="M143" s="43"/>
      <c r="N143" s="43"/>
      <c r="O143" s="43"/>
      <c r="P143" s="43"/>
      <c r="Q143" s="43"/>
      <c r="R143" s="43"/>
      <c r="S143" s="43"/>
      <c r="T143" s="43"/>
      <c r="U143" s="43"/>
      <c r="V143" s="43"/>
      <c r="W143" s="43"/>
      <c r="X143" s="43"/>
      <c r="Y143" s="43"/>
      <c r="Z143" s="43"/>
      <c r="AA143" s="43"/>
    </row>
    <row r="144">
      <c r="A144" s="43"/>
      <c r="B144" s="160"/>
      <c r="C144" s="160"/>
      <c r="D144" s="160"/>
      <c r="E144" s="43"/>
      <c r="F144" s="43"/>
      <c r="G144" s="43"/>
      <c r="H144" s="43"/>
      <c r="I144" s="43"/>
      <c r="J144" s="43"/>
      <c r="K144" s="43"/>
      <c r="L144" s="43"/>
      <c r="M144" s="43"/>
      <c r="N144" s="43"/>
      <c r="O144" s="43"/>
      <c r="P144" s="43"/>
      <c r="Q144" s="43"/>
      <c r="R144" s="43"/>
      <c r="S144" s="43"/>
      <c r="T144" s="43"/>
      <c r="U144" s="43"/>
      <c r="V144" s="43"/>
      <c r="W144" s="43"/>
      <c r="X144" s="43"/>
      <c r="Y144" s="43"/>
      <c r="Z144" s="43"/>
      <c r="AA144" s="43"/>
    </row>
    <row r="145">
      <c r="A145" s="43"/>
      <c r="B145" s="160"/>
      <c r="C145" s="160"/>
      <c r="D145" s="160"/>
      <c r="E145" s="43"/>
      <c r="F145" s="43"/>
      <c r="G145" s="43"/>
      <c r="H145" s="43"/>
      <c r="I145" s="43"/>
      <c r="J145" s="43"/>
      <c r="K145" s="43"/>
      <c r="L145" s="43"/>
      <c r="M145" s="43"/>
      <c r="N145" s="43"/>
      <c r="O145" s="43"/>
      <c r="P145" s="43"/>
      <c r="Q145" s="43"/>
      <c r="R145" s="43"/>
      <c r="S145" s="43"/>
      <c r="T145" s="43"/>
      <c r="U145" s="43"/>
      <c r="V145" s="43"/>
      <c r="W145" s="43"/>
      <c r="X145" s="43"/>
      <c r="Y145" s="43"/>
      <c r="Z145" s="43"/>
      <c r="AA145" s="43"/>
    </row>
    <row r="146">
      <c r="A146" s="43"/>
      <c r="B146" s="160"/>
      <c r="C146" s="160"/>
      <c r="D146" s="160"/>
      <c r="E146" s="43"/>
      <c r="F146" s="43"/>
      <c r="G146" s="43"/>
      <c r="H146" s="43"/>
      <c r="I146" s="43"/>
      <c r="J146" s="43"/>
      <c r="K146" s="43"/>
      <c r="L146" s="43"/>
      <c r="M146" s="43"/>
      <c r="N146" s="43"/>
      <c r="O146" s="43"/>
      <c r="P146" s="43"/>
      <c r="Q146" s="43"/>
      <c r="R146" s="43"/>
      <c r="S146" s="43"/>
      <c r="T146" s="43"/>
      <c r="U146" s="43"/>
      <c r="V146" s="43"/>
      <c r="W146" s="43"/>
      <c r="X146" s="43"/>
      <c r="Y146" s="43"/>
      <c r="Z146" s="43"/>
      <c r="AA146" s="43"/>
    </row>
    <row r="147">
      <c r="A147" s="43"/>
      <c r="B147" s="160"/>
      <c r="C147" s="160"/>
      <c r="D147" s="160"/>
      <c r="E147" s="43"/>
      <c r="F147" s="43"/>
      <c r="G147" s="43"/>
      <c r="H147" s="43"/>
      <c r="I147" s="43"/>
      <c r="J147" s="43"/>
      <c r="K147" s="43"/>
      <c r="L147" s="43"/>
      <c r="M147" s="43"/>
      <c r="N147" s="43"/>
      <c r="O147" s="43"/>
      <c r="P147" s="43"/>
      <c r="Q147" s="43"/>
      <c r="R147" s="43"/>
      <c r="S147" s="43"/>
      <c r="T147" s="43"/>
      <c r="U147" s="43"/>
      <c r="V147" s="43"/>
      <c r="W147" s="43"/>
      <c r="X147" s="43"/>
      <c r="Y147" s="43"/>
      <c r="Z147" s="43"/>
      <c r="AA147" s="43"/>
    </row>
    <row r="148">
      <c r="A148" s="43"/>
      <c r="B148" s="160"/>
      <c r="C148" s="160"/>
      <c r="D148" s="160"/>
      <c r="E148" s="43"/>
      <c r="F148" s="43"/>
      <c r="G148" s="43"/>
      <c r="H148" s="43"/>
      <c r="I148" s="43"/>
      <c r="J148" s="43"/>
      <c r="K148" s="43"/>
      <c r="L148" s="43"/>
      <c r="M148" s="43"/>
      <c r="N148" s="43"/>
      <c r="O148" s="43"/>
      <c r="P148" s="43"/>
      <c r="Q148" s="43"/>
      <c r="R148" s="43"/>
      <c r="S148" s="43"/>
      <c r="T148" s="43"/>
      <c r="U148" s="43"/>
      <c r="V148" s="43"/>
      <c r="W148" s="43"/>
      <c r="X148" s="43"/>
      <c r="Y148" s="43"/>
      <c r="Z148" s="43"/>
      <c r="AA148" s="43"/>
    </row>
    <row r="149">
      <c r="A149" s="43"/>
      <c r="B149" s="160"/>
      <c r="C149" s="160"/>
      <c r="D149" s="160"/>
      <c r="E149" s="43"/>
      <c r="F149" s="43"/>
      <c r="G149" s="43"/>
      <c r="H149" s="43"/>
      <c r="I149" s="43"/>
      <c r="J149" s="43"/>
      <c r="K149" s="43"/>
      <c r="L149" s="43"/>
      <c r="M149" s="43"/>
      <c r="N149" s="43"/>
      <c r="O149" s="43"/>
      <c r="P149" s="43"/>
      <c r="Q149" s="43"/>
      <c r="R149" s="43"/>
      <c r="S149" s="43"/>
      <c r="T149" s="43"/>
      <c r="U149" s="43"/>
      <c r="V149" s="43"/>
      <c r="W149" s="43"/>
      <c r="X149" s="43"/>
      <c r="Y149" s="43"/>
      <c r="Z149" s="43"/>
      <c r="AA149" s="43"/>
    </row>
    <row r="150">
      <c r="A150" s="43"/>
      <c r="B150" s="160"/>
      <c r="C150" s="160"/>
      <c r="D150" s="160"/>
      <c r="E150" s="43"/>
      <c r="F150" s="43"/>
      <c r="G150" s="43"/>
      <c r="H150" s="43"/>
      <c r="I150" s="43"/>
      <c r="J150" s="43"/>
      <c r="K150" s="43"/>
      <c r="L150" s="43"/>
      <c r="M150" s="43"/>
      <c r="N150" s="43"/>
      <c r="O150" s="43"/>
      <c r="P150" s="43"/>
      <c r="Q150" s="43"/>
      <c r="R150" s="43"/>
      <c r="S150" s="43"/>
      <c r="T150" s="43"/>
      <c r="U150" s="43"/>
      <c r="V150" s="43"/>
      <c r="W150" s="43"/>
      <c r="X150" s="43"/>
      <c r="Y150" s="43"/>
      <c r="Z150" s="43"/>
      <c r="AA150" s="43"/>
    </row>
    <row r="151">
      <c r="A151" s="43"/>
      <c r="B151" s="160"/>
      <c r="C151" s="160"/>
      <c r="D151" s="160"/>
      <c r="E151" s="43"/>
      <c r="F151" s="43"/>
      <c r="G151" s="43"/>
      <c r="H151" s="43"/>
      <c r="I151" s="43"/>
      <c r="J151" s="43"/>
      <c r="K151" s="43"/>
      <c r="L151" s="43"/>
      <c r="M151" s="43"/>
      <c r="N151" s="43"/>
      <c r="O151" s="43"/>
      <c r="P151" s="43"/>
      <c r="Q151" s="43"/>
      <c r="R151" s="43"/>
      <c r="S151" s="43"/>
      <c r="T151" s="43"/>
      <c r="U151" s="43"/>
      <c r="V151" s="43"/>
      <c r="W151" s="43"/>
      <c r="X151" s="43"/>
      <c r="Y151" s="43"/>
      <c r="Z151" s="43"/>
      <c r="AA151" s="43"/>
    </row>
    <row r="152">
      <c r="A152" s="43"/>
      <c r="B152" s="160"/>
      <c r="C152" s="160"/>
      <c r="D152" s="160"/>
      <c r="E152" s="43"/>
      <c r="F152" s="43"/>
      <c r="G152" s="43"/>
      <c r="H152" s="43"/>
      <c r="I152" s="43"/>
      <c r="J152" s="43"/>
      <c r="K152" s="43"/>
      <c r="L152" s="43"/>
      <c r="M152" s="43"/>
      <c r="N152" s="43"/>
      <c r="O152" s="43"/>
      <c r="P152" s="43"/>
      <c r="Q152" s="43"/>
      <c r="R152" s="43"/>
      <c r="S152" s="43"/>
      <c r="T152" s="43"/>
      <c r="U152" s="43"/>
      <c r="V152" s="43"/>
      <c r="W152" s="43"/>
      <c r="X152" s="43"/>
      <c r="Y152" s="43"/>
      <c r="Z152" s="43"/>
      <c r="AA152" s="43"/>
    </row>
    <row r="153">
      <c r="A153" s="43"/>
      <c r="B153" s="160"/>
      <c r="C153" s="160"/>
      <c r="D153" s="160"/>
      <c r="E153" s="43"/>
      <c r="F153" s="43"/>
      <c r="G153" s="43"/>
      <c r="H153" s="43"/>
      <c r="I153" s="43"/>
      <c r="J153" s="43"/>
      <c r="K153" s="43"/>
      <c r="L153" s="43"/>
      <c r="M153" s="43"/>
      <c r="N153" s="43"/>
      <c r="O153" s="43"/>
      <c r="P153" s="43"/>
      <c r="Q153" s="43"/>
      <c r="R153" s="43"/>
      <c r="S153" s="43"/>
      <c r="T153" s="43"/>
      <c r="U153" s="43"/>
      <c r="V153" s="43"/>
      <c r="W153" s="43"/>
      <c r="X153" s="43"/>
      <c r="Y153" s="43"/>
      <c r="Z153" s="43"/>
      <c r="AA153" s="43"/>
    </row>
    <row r="154">
      <c r="A154" s="43"/>
      <c r="B154" s="160"/>
      <c r="C154" s="160"/>
      <c r="D154" s="160"/>
      <c r="E154" s="43"/>
      <c r="F154" s="43"/>
      <c r="G154" s="43"/>
      <c r="H154" s="43"/>
      <c r="I154" s="43"/>
      <c r="J154" s="43"/>
      <c r="K154" s="43"/>
      <c r="L154" s="43"/>
      <c r="M154" s="43"/>
      <c r="N154" s="43"/>
      <c r="O154" s="43"/>
      <c r="P154" s="43"/>
      <c r="Q154" s="43"/>
      <c r="R154" s="43"/>
      <c r="S154" s="43"/>
      <c r="T154" s="43"/>
      <c r="U154" s="43"/>
      <c r="V154" s="43"/>
      <c r="W154" s="43"/>
      <c r="X154" s="43"/>
      <c r="Y154" s="43"/>
      <c r="Z154" s="43"/>
      <c r="AA154" s="43"/>
    </row>
    <row r="155">
      <c r="A155" s="43"/>
      <c r="B155" s="160"/>
      <c r="C155" s="160"/>
      <c r="D155" s="160"/>
      <c r="E155" s="43"/>
      <c r="F155" s="43"/>
      <c r="G155" s="43"/>
      <c r="H155" s="43"/>
      <c r="I155" s="43"/>
      <c r="J155" s="43"/>
      <c r="K155" s="43"/>
      <c r="L155" s="43"/>
      <c r="M155" s="43"/>
      <c r="N155" s="43"/>
      <c r="O155" s="43"/>
      <c r="P155" s="43"/>
      <c r="Q155" s="43"/>
      <c r="R155" s="43"/>
      <c r="S155" s="43"/>
      <c r="T155" s="43"/>
      <c r="U155" s="43"/>
      <c r="V155" s="43"/>
      <c r="W155" s="43"/>
      <c r="X155" s="43"/>
      <c r="Y155" s="43"/>
      <c r="Z155" s="43"/>
      <c r="AA155" s="43"/>
    </row>
    <row r="156">
      <c r="A156" s="43"/>
      <c r="B156" s="160"/>
      <c r="C156" s="160"/>
      <c r="D156" s="160"/>
      <c r="E156" s="43"/>
      <c r="F156" s="43"/>
      <c r="G156" s="43"/>
      <c r="H156" s="43"/>
      <c r="I156" s="43"/>
      <c r="J156" s="43"/>
      <c r="K156" s="43"/>
      <c r="L156" s="43"/>
      <c r="M156" s="43"/>
      <c r="N156" s="43"/>
      <c r="O156" s="43"/>
      <c r="P156" s="43"/>
      <c r="Q156" s="43"/>
      <c r="R156" s="43"/>
      <c r="S156" s="43"/>
      <c r="T156" s="43"/>
      <c r="U156" s="43"/>
      <c r="V156" s="43"/>
      <c r="W156" s="43"/>
      <c r="X156" s="43"/>
      <c r="Y156" s="43"/>
      <c r="Z156" s="43"/>
      <c r="AA156" s="43"/>
    </row>
    <row r="157">
      <c r="A157" s="43"/>
      <c r="B157" s="160"/>
      <c r="C157" s="160"/>
      <c r="D157" s="160"/>
      <c r="E157" s="43"/>
      <c r="F157" s="43"/>
      <c r="G157" s="43"/>
      <c r="H157" s="43"/>
      <c r="I157" s="43"/>
      <c r="J157" s="43"/>
      <c r="K157" s="43"/>
      <c r="L157" s="43"/>
      <c r="M157" s="43"/>
      <c r="N157" s="43"/>
      <c r="O157" s="43"/>
      <c r="P157" s="43"/>
      <c r="Q157" s="43"/>
      <c r="R157" s="43"/>
      <c r="S157" s="43"/>
      <c r="T157" s="43"/>
      <c r="U157" s="43"/>
      <c r="V157" s="43"/>
      <c r="W157" s="43"/>
      <c r="X157" s="43"/>
      <c r="Y157" s="43"/>
      <c r="Z157" s="43"/>
      <c r="AA157" s="43"/>
    </row>
    <row r="158">
      <c r="A158" s="43"/>
      <c r="B158" s="160"/>
      <c r="C158" s="160"/>
      <c r="D158" s="160"/>
      <c r="E158" s="43"/>
      <c r="F158" s="43"/>
      <c r="G158" s="43"/>
      <c r="H158" s="43"/>
      <c r="I158" s="43"/>
      <c r="J158" s="43"/>
      <c r="K158" s="43"/>
      <c r="L158" s="43"/>
      <c r="M158" s="43"/>
      <c r="N158" s="43"/>
      <c r="O158" s="43"/>
      <c r="P158" s="43"/>
      <c r="Q158" s="43"/>
      <c r="R158" s="43"/>
      <c r="S158" s="43"/>
      <c r="T158" s="43"/>
      <c r="U158" s="43"/>
      <c r="V158" s="43"/>
      <c r="W158" s="43"/>
      <c r="X158" s="43"/>
      <c r="Y158" s="43"/>
      <c r="Z158" s="43"/>
      <c r="AA158" s="43"/>
    </row>
    <row r="159">
      <c r="A159" s="43"/>
      <c r="B159" s="160"/>
      <c r="C159" s="160"/>
      <c r="D159" s="160"/>
      <c r="E159" s="43"/>
      <c r="F159" s="43"/>
      <c r="G159" s="43"/>
      <c r="H159" s="43"/>
      <c r="I159" s="43"/>
      <c r="J159" s="43"/>
      <c r="K159" s="43"/>
      <c r="L159" s="43"/>
      <c r="M159" s="43"/>
      <c r="N159" s="43"/>
      <c r="O159" s="43"/>
      <c r="P159" s="43"/>
      <c r="Q159" s="43"/>
      <c r="R159" s="43"/>
      <c r="S159" s="43"/>
      <c r="T159" s="43"/>
      <c r="U159" s="43"/>
      <c r="V159" s="43"/>
      <c r="W159" s="43"/>
      <c r="X159" s="43"/>
      <c r="Y159" s="43"/>
      <c r="Z159" s="43"/>
      <c r="AA159" s="43"/>
    </row>
    <row r="160">
      <c r="A160" s="43"/>
      <c r="B160" s="160"/>
      <c r="C160" s="160"/>
      <c r="D160" s="160"/>
      <c r="E160" s="43"/>
      <c r="F160" s="43"/>
      <c r="G160" s="43"/>
      <c r="H160" s="43"/>
      <c r="I160" s="43"/>
      <c r="J160" s="43"/>
      <c r="K160" s="43"/>
      <c r="L160" s="43"/>
      <c r="M160" s="43"/>
      <c r="N160" s="43"/>
      <c r="O160" s="43"/>
      <c r="P160" s="43"/>
      <c r="Q160" s="43"/>
      <c r="R160" s="43"/>
      <c r="S160" s="43"/>
      <c r="T160" s="43"/>
      <c r="U160" s="43"/>
      <c r="V160" s="43"/>
      <c r="W160" s="43"/>
      <c r="X160" s="43"/>
      <c r="Y160" s="43"/>
      <c r="Z160" s="43"/>
      <c r="AA160" s="43"/>
    </row>
    <row r="161">
      <c r="A161" s="43"/>
      <c r="B161" s="160"/>
      <c r="C161" s="160"/>
      <c r="D161" s="160"/>
      <c r="E161" s="43"/>
      <c r="F161" s="43"/>
      <c r="G161" s="43"/>
      <c r="H161" s="43"/>
      <c r="I161" s="43"/>
      <c r="J161" s="43"/>
      <c r="K161" s="43"/>
      <c r="L161" s="43"/>
      <c r="M161" s="43"/>
      <c r="N161" s="43"/>
      <c r="O161" s="43"/>
      <c r="P161" s="43"/>
      <c r="Q161" s="43"/>
      <c r="R161" s="43"/>
      <c r="S161" s="43"/>
      <c r="T161" s="43"/>
      <c r="U161" s="43"/>
      <c r="V161" s="43"/>
      <c r="W161" s="43"/>
      <c r="X161" s="43"/>
      <c r="Y161" s="43"/>
      <c r="Z161" s="43"/>
      <c r="AA161" s="43"/>
    </row>
    <row r="162">
      <c r="A162" s="43"/>
      <c r="B162" s="160"/>
      <c r="C162" s="160"/>
      <c r="D162" s="160"/>
      <c r="E162" s="43"/>
      <c r="F162" s="43"/>
      <c r="G162" s="43"/>
      <c r="H162" s="43"/>
      <c r="I162" s="43"/>
      <c r="J162" s="43"/>
      <c r="K162" s="43"/>
      <c r="L162" s="43"/>
      <c r="M162" s="43"/>
      <c r="N162" s="43"/>
      <c r="O162" s="43"/>
      <c r="P162" s="43"/>
      <c r="Q162" s="43"/>
      <c r="R162" s="43"/>
      <c r="S162" s="43"/>
      <c r="T162" s="43"/>
      <c r="U162" s="43"/>
      <c r="V162" s="43"/>
      <c r="W162" s="43"/>
      <c r="X162" s="43"/>
      <c r="Y162" s="43"/>
      <c r="Z162" s="43"/>
      <c r="AA162" s="43"/>
    </row>
    <row r="163">
      <c r="A163" s="43"/>
      <c r="B163" s="160"/>
      <c r="C163" s="160"/>
      <c r="D163" s="160"/>
      <c r="E163" s="43"/>
      <c r="F163" s="43"/>
      <c r="G163" s="43"/>
      <c r="H163" s="43"/>
      <c r="I163" s="43"/>
      <c r="J163" s="43"/>
      <c r="K163" s="43"/>
      <c r="L163" s="43"/>
      <c r="M163" s="43"/>
      <c r="N163" s="43"/>
      <c r="O163" s="43"/>
      <c r="P163" s="43"/>
      <c r="Q163" s="43"/>
      <c r="R163" s="43"/>
      <c r="S163" s="43"/>
      <c r="T163" s="43"/>
      <c r="U163" s="43"/>
      <c r="V163" s="43"/>
      <c r="W163" s="43"/>
      <c r="X163" s="43"/>
      <c r="Y163" s="43"/>
      <c r="Z163" s="43"/>
      <c r="AA163" s="43"/>
    </row>
    <row r="164">
      <c r="A164" s="43"/>
      <c r="B164" s="160"/>
      <c r="C164" s="160"/>
      <c r="D164" s="160"/>
      <c r="E164" s="43"/>
      <c r="F164" s="43"/>
      <c r="G164" s="43"/>
      <c r="H164" s="43"/>
      <c r="I164" s="43"/>
      <c r="J164" s="43"/>
      <c r="K164" s="43"/>
      <c r="L164" s="43"/>
      <c r="M164" s="43"/>
      <c r="N164" s="43"/>
      <c r="O164" s="43"/>
      <c r="P164" s="43"/>
      <c r="Q164" s="43"/>
      <c r="R164" s="43"/>
      <c r="S164" s="43"/>
      <c r="T164" s="43"/>
      <c r="U164" s="43"/>
      <c r="V164" s="43"/>
      <c r="W164" s="43"/>
      <c r="X164" s="43"/>
      <c r="Y164" s="43"/>
      <c r="Z164" s="43"/>
      <c r="AA164" s="43"/>
    </row>
    <row r="165">
      <c r="A165" s="43"/>
      <c r="B165" s="160"/>
      <c r="C165" s="160"/>
      <c r="D165" s="160"/>
      <c r="E165" s="43"/>
      <c r="F165" s="43"/>
      <c r="G165" s="43"/>
      <c r="H165" s="43"/>
      <c r="I165" s="43"/>
      <c r="J165" s="43"/>
      <c r="K165" s="43"/>
      <c r="L165" s="43"/>
      <c r="M165" s="43"/>
      <c r="N165" s="43"/>
      <c r="O165" s="43"/>
      <c r="P165" s="43"/>
      <c r="Q165" s="43"/>
      <c r="R165" s="43"/>
      <c r="S165" s="43"/>
      <c r="T165" s="43"/>
      <c r="U165" s="43"/>
      <c r="V165" s="43"/>
      <c r="W165" s="43"/>
      <c r="X165" s="43"/>
      <c r="Y165" s="43"/>
      <c r="Z165" s="43"/>
      <c r="AA165" s="43"/>
    </row>
    <row r="166">
      <c r="A166" s="43"/>
      <c r="B166" s="160"/>
      <c r="C166" s="160"/>
      <c r="D166" s="160"/>
      <c r="E166" s="43"/>
      <c r="F166" s="43"/>
      <c r="G166" s="43"/>
      <c r="H166" s="43"/>
      <c r="I166" s="43"/>
      <c r="J166" s="43"/>
      <c r="K166" s="43"/>
      <c r="L166" s="43"/>
      <c r="M166" s="43"/>
      <c r="N166" s="43"/>
      <c r="O166" s="43"/>
      <c r="P166" s="43"/>
      <c r="Q166" s="43"/>
      <c r="R166" s="43"/>
      <c r="S166" s="43"/>
      <c r="T166" s="43"/>
      <c r="U166" s="43"/>
      <c r="V166" s="43"/>
      <c r="W166" s="43"/>
      <c r="X166" s="43"/>
      <c r="Y166" s="43"/>
      <c r="Z166" s="43"/>
      <c r="AA166" s="43"/>
    </row>
    <row r="167">
      <c r="A167" s="43"/>
      <c r="B167" s="160"/>
      <c r="C167" s="160"/>
      <c r="D167" s="160"/>
      <c r="E167" s="43"/>
      <c r="F167" s="43"/>
      <c r="G167" s="43"/>
      <c r="H167" s="43"/>
      <c r="I167" s="43"/>
      <c r="J167" s="43"/>
      <c r="K167" s="43"/>
      <c r="L167" s="43"/>
      <c r="M167" s="43"/>
      <c r="N167" s="43"/>
      <c r="O167" s="43"/>
      <c r="P167" s="43"/>
      <c r="Q167" s="43"/>
      <c r="R167" s="43"/>
      <c r="S167" s="43"/>
      <c r="T167" s="43"/>
      <c r="U167" s="43"/>
      <c r="V167" s="43"/>
      <c r="W167" s="43"/>
      <c r="X167" s="43"/>
      <c r="Y167" s="43"/>
      <c r="Z167" s="43"/>
      <c r="AA167" s="43"/>
    </row>
    <row r="168">
      <c r="A168" s="43"/>
      <c r="B168" s="160"/>
      <c r="C168" s="160"/>
      <c r="D168" s="160"/>
      <c r="E168" s="43"/>
      <c r="F168" s="43"/>
      <c r="G168" s="43"/>
      <c r="H168" s="43"/>
      <c r="I168" s="43"/>
      <c r="J168" s="43"/>
      <c r="K168" s="43"/>
      <c r="L168" s="43"/>
      <c r="M168" s="43"/>
      <c r="N168" s="43"/>
      <c r="O168" s="43"/>
      <c r="P168" s="43"/>
      <c r="Q168" s="43"/>
      <c r="R168" s="43"/>
      <c r="S168" s="43"/>
      <c r="T168" s="43"/>
      <c r="U168" s="43"/>
      <c r="V168" s="43"/>
      <c r="W168" s="43"/>
      <c r="X168" s="43"/>
      <c r="Y168" s="43"/>
      <c r="Z168" s="43"/>
      <c r="AA168" s="43"/>
    </row>
    <row r="169">
      <c r="A169" s="43"/>
      <c r="B169" s="160"/>
      <c r="C169" s="160"/>
      <c r="D169" s="160"/>
      <c r="E169" s="43"/>
      <c r="F169" s="43"/>
      <c r="G169" s="43"/>
      <c r="H169" s="43"/>
      <c r="I169" s="43"/>
      <c r="J169" s="43"/>
      <c r="K169" s="43"/>
      <c r="L169" s="43"/>
      <c r="M169" s="43"/>
      <c r="N169" s="43"/>
      <c r="O169" s="43"/>
      <c r="P169" s="43"/>
      <c r="Q169" s="43"/>
      <c r="R169" s="43"/>
      <c r="S169" s="43"/>
      <c r="T169" s="43"/>
      <c r="U169" s="43"/>
      <c r="V169" s="43"/>
      <c r="W169" s="43"/>
      <c r="X169" s="43"/>
      <c r="Y169" s="43"/>
      <c r="Z169" s="43"/>
      <c r="AA169" s="43"/>
    </row>
    <row r="170">
      <c r="A170" s="43"/>
      <c r="B170" s="160"/>
      <c r="C170" s="160"/>
      <c r="D170" s="160"/>
      <c r="E170" s="43"/>
      <c r="F170" s="43"/>
      <c r="G170" s="43"/>
      <c r="H170" s="43"/>
      <c r="I170" s="43"/>
      <c r="J170" s="43"/>
      <c r="K170" s="43"/>
      <c r="L170" s="43"/>
      <c r="M170" s="43"/>
      <c r="N170" s="43"/>
      <c r="O170" s="43"/>
      <c r="P170" s="43"/>
      <c r="Q170" s="43"/>
      <c r="R170" s="43"/>
      <c r="S170" s="43"/>
      <c r="T170" s="43"/>
      <c r="U170" s="43"/>
      <c r="V170" s="43"/>
      <c r="W170" s="43"/>
      <c r="X170" s="43"/>
      <c r="Y170" s="43"/>
      <c r="Z170" s="43"/>
      <c r="AA170" s="43"/>
    </row>
    <row r="171">
      <c r="A171" s="43"/>
      <c r="B171" s="160"/>
      <c r="C171" s="160"/>
      <c r="D171" s="160"/>
      <c r="E171" s="43"/>
      <c r="F171" s="43"/>
      <c r="G171" s="43"/>
      <c r="H171" s="43"/>
      <c r="I171" s="43"/>
      <c r="J171" s="43"/>
      <c r="K171" s="43"/>
      <c r="L171" s="43"/>
      <c r="M171" s="43"/>
      <c r="N171" s="43"/>
      <c r="O171" s="43"/>
      <c r="P171" s="43"/>
      <c r="Q171" s="43"/>
      <c r="R171" s="43"/>
      <c r="S171" s="43"/>
      <c r="T171" s="43"/>
      <c r="U171" s="43"/>
      <c r="V171" s="43"/>
      <c r="W171" s="43"/>
      <c r="X171" s="43"/>
      <c r="Y171" s="43"/>
      <c r="Z171" s="43"/>
      <c r="AA171" s="43"/>
    </row>
    <row r="172">
      <c r="A172" s="43"/>
      <c r="B172" s="160"/>
      <c r="C172" s="160"/>
      <c r="D172" s="160"/>
      <c r="E172" s="43"/>
      <c r="F172" s="43"/>
      <c r="G172" s="43"/>
      <c r="H172" s="43"/>
      <c r="I172" s="43"/>
      <c r="J172" s="43"/>
      <c r="K172" s="43"/>
      <c r="L172" s="43"/>
      <c r="M172" s="43"/>
      <c r="N172" s="43"/>
      <c r="O172" s="43"/>
      <c r="P172" s="43"/>
      <c r="Q172" s="43"/>
      <c r="R172" s="43"/>
      <c r="S172" s="43"/>
      <c r="T172" s="43"/>
      <c r="U172" s="43"/>
      <c r="V172" s="43"/>
      <c r="W172" s="43"/>
      <c r="X172" s="43"/>
      <c r="Y172" s="43"/>
      <c r="Z172" s="43"/>
      <c r="AA172" s="43"/>
    </row>
    <row r="173">
      <c r="A173" s="43"/>
      <c r="B173" s="160"/>
      <c r="C173" s="160"/>
      <c r="D173" s="160"/>
      <c r="E173" s="43"/>
      <c r="F173" s="43"/>
      <c r="G173" s="43"/>
      <c r="H173" s="43"/>
      <c r="I173" s="43"/>
      <c r="J173" s="43"/>
      <c r="K173" s="43"/>
      <c r="L173" s="43"/>
      <c r="M173" s="43"/>
      <c r="N173" s="43"/>
      <c r="O173" s="43"/>
      <c r="P173" s="43"/>
      <c r="Q173" s="43"/>
      <c r="R173" s="43"/>
      <c r="S173" s="43"/>
      <c r="T173" s="43"/>
      <c r="U173" s="43"/>
      <c r="V173" s="43"/>
      <c r="W173" s="43"/>
      <c r="X173" s="43"/>
      <c r="Y173" s="43"/>
      <c r="Z173" s="43"/>
      <c r="AA173" s="43"/>
    </row>
    <row r="174">
      <c r="A174" s="43"/>
      <c r="B174" s="160"/>
      <c r="C174" s="160"/>
      <c r="D174" s="160"/>
      <c r="E174" s="43"/>
      <c r="F174" s="43"/>
      <c r="G174" s="43"/>
      <c r="H174" s="43"/>
      <c r="I174" s="43"/>
      <c r="J174" s="43"/>
      <c r="K174" s="43"/>
      <c r="L174" s="43"/>
      <c r="M174" s="43"/>
      <c r="N174" s="43"/>
      <c r="O174" s="43"/>
      <c r="P174" s="43"/>
      <c r="Q174" s="43"/>
      <c r="R174" s="43"/>
      <c r="S174" s="43"/>
      <c r="T174" s="43"/>
      <c r="U174" s="43"/>
      <c r="V174" s="43"/>
      <c r="W174" s="43"/>
      <c r="X174" s="43"/>
      <c r="Y174" s="43"/>
      <c r="Z174" s="43"/>
      <c r="AA174" s="43"/>
    </row>
    <row r="175">
      <c r="A175" s="43"/>
      <c r="B175" s="160"/>
      <c r="C175" s="160"/>
      <c r="D175" s="160"/>
      <c r="E175" s="43"/>
      <c r="F175" s="43"/>
      <c r="G175" s="43"/>
      <c r="H175" s="43"/>
      <c r="I175" s="43"/>
      <c r="J175" s="43"/>
      <c r="K175" s="43"/>
      <c r="L175" s="43"/>
      <c r="M175" s="43"/>
      <c r="N175" s="43"/>
      <c r="O175" s="43"/>
      <c r="P175" s="43"/>
      <c r="Q175" s="43"/>
      <c r="R175" s="43"/>
      <c r="S175" s="43"/>
      <c r="T175" s="43"/>
      <c r="U175" s="43"/>
      <c r="V175" s="43"/>
      <c r="W175" s="43"/>
      <c r="X175" s="43"/>
      <c r="Y175" s="43"/>
      <c r="Z175" s="43"/>
      <c r="AA175" s="43"/>
    </row>
    <row r="176">
      <c r="A176" s="43"/>
      <c r="B176" s="160"/>
      <c r="C176" s="160"/>
      <c r="D176" s="160"/>
      <c r="E176" s="43"/>
      <c r="F176" s="43"/>
      <c r="G176" s="43"/>
      <c r="H176" s="43"/>
      <c r="I176" s="43"/>
      <c r="J176" s="43"/>
      <c r="K176" s="43"/>
      <c r="L176" s="43"/>
      <c r="M176" s="43"/>
      <c r="N176" s="43"/>
      <c r="O176" s="43"/>
      <c r="P176" s="43"/>
      <c r="Q176" s="43"/>
      <c r="R176" s="43"/>
      <c r="S176" s="43"/>
      <c r="T176" s="43"/>
      <c r="U176" s="43"/>
      <c r="V176" s="43"/>
      <c r="W176" s="43"/>
      <c r="X176" s="43"/>
      <c r="Y176" s="43"/>
      <c r="Z176" s="43"/>
      <c r="AA176" s="43"/>
    </row>
    <row r="177">
      <c r="A177" s="43"/>
      <c r="B177" s="160"/>
      <c r="C177" s="160"/>
      <c r="D177" s="160"/>
      <c r="E177" s="43"/>
      <c r="F177" s="43"/>
      <c r="G177" s="43"/>
      <c r="H177" s="43"/>
      <c r="I177" s="43"/>
      <c r="J177" s="43"/>
      <c r="K177" s="43"/>
      <c r="L177" s="43"/>
      <c r="M177" s="43"/>
      <c r="N177" s="43"/>
      <c r="O177" s="43"/>
      <c r="P177" s="43"/>
      <c r="Q177" s="43"/>
      <c r="R177" s="43"/>
      <c r="S177" s="43"/>
      <c r="T177" s="43"/>
      <c r="U177" s="43"/>
      <c r="V177" s="43"/>
      <c r="W177" s="43"/>
      <c r="X177" s="43"/>
      <c r="Y177" s="43"/>
      <c r="Z177" s="43"/>
      <c r="AA177" s="43"/>
    </row>
    <row r="178">
      <c r="A178" s="43"/>
      <c r="B178" s="160"/>
      <c r="C178" s="160"/>
      <c r="D178" s="160"/>
      <c r="E178" s="43"/>
      <c r="F178" s="43"/>
      <c r="G178" s="43"/>
      <c r="H178" s="43"/>
      <c r="I178" s="43"/>
      <c r="J178" s="43"/>
      <c r="K178" s="43"/>
      <c r="L178" s="43"/>
      <c r="M178" s="43"/>
      <c r="N178" s="43"/>
      <c r="O178" s="43"/>
      <c r="P178" s="43"/>
      <c r="Q178" s="43"/>
      <c r="R178" s="43"/>
      <c r="S178" s="43"/>
      <c r="T178" s="43"/>
      <c r="U178" s="43"/>
      <c r="V178" s="43"/>
      <c r="W178" s="43"/>
      <c r="X178" s="43"/>
      <c r="Y178" s="43"/>
      <c r="Z178" s="43"/>
      <c r="AA178" s="43"/>
    </row>
    <row r="179">
      <c r="A179" s="43"/>
      <c r="B179" s="160"/>
      <c r="C179" s="160"/>
      <c r="D179" s="160"/>
      <c r="E179" s="43"/>
      <c r="F179" s="43"/>
      <c r="G179" s="43"/>
      <c r="H179" s="43"/>
      <c r="I179" s="43"/>
      <c r="J179" s="43"/>
      <c r="K179" s="43"/>
      <c r="L179" s="43"/>
      <c r="M179" s="43"/>
      <c r="N179" s="43"/>
      <c r="O179" s="43"/>
      <c r="P179" s="43"/>
      <c r="Q179" s="43"/>
      <c r="R179" s="43"/>
      <c r="S179" s="43"/>
      <c r="T179" s="43"/>
      <c r="U179" s="43"/>
      <c r="V179" s="43"/>
      <c r="W179" s="43"/>
      <c r="X179" s="43"/>
      <c r="Y179" s="43"/>
      <c r="Z179" s="43"/>
      <c r="AA179" s="43"/>
    </row>
    <row r="180">
      <c r="A180" s="43"/>
      <c r="B180" s="160"/>
      <c r="C180" s="160"/>
      <c r="D180" s="160"/>
      <c r="E180" s="43"/>
      <c r="F180" s="43"/>
      <c r="G180" s="43"/>
      <c r="H180" s="43"/>
      <c r="I180" s="43"/>
      <c r="J180" s="43"/>
      <c r="K180" s="43"/>
      <c r="L180" s="43"/>
      <c r="M180" s="43"/>
      <c r="N180" s="43"/>
      <c r="O180" s="43"/>
      <c r="P180" s="43"/>
      <c r="Q180" s="43"/>
      <c r="R180" s="43"/>
      <c r="S180" s="43"/>
      <c r="T180" s="43"/>
      <c r="U180" s="43"/>
      <c r="V180" s="43"/>
      <c r="W180" s="43"/>
      <c r="X180" s="43"/>
      <c r="Y180" s="43"/>
      <c r="Z180" s="43"/>
      <c r="AA180" s="43"/>
    </row>
    <row r="181">
      <c r="A181" s="43"/>
      <c r="B181" s="160"/>
      <c r="C181" s="160"/>
      <c r="D181" s="160"/>
      <c r="E181" s="43"/>
      <c r="F181" s="43"/>
      <c r="G181" s="43"/>
      <c r="H181" s="43"/>
      <c r="I181" s="43"/>
      <c r="J181" s="43"/>
      <c r="K181" s="43"/>
      <c r="L181" s="43"/>
      <c r="M181" s="43"/>
      <c r="N181" s="43"/>
      <c r="O181" s="43"/>
      <c r="P181" s="43"/>
      <c r="Q181" s="43"/>
      <c r="R181" s="43"/>
      <c r="S181" s="43"/>
      <c r="T181" s="43"/>
      <c r="U181" s="43"/>
      <c r="V181" s="43"/>
      <c r="W181" s="43"/>
      <c r="X181" s="43"/>
      <c r="Y181" s="43"/>
      <c r="Z181" s="43"/>
      <c r="AA181" s="43"/>
    </row>
    <row r="182">
      <c r="A182" s="43"/>
      <c r="B182" s="160"/>
      <c r="C182" s="160"/>
      <c r="D182" s="160"/>
      <c r="E182" s="43"/>
      <c r="F182" s="43"/>
      <c r="G182" s="43"/>
      <c r="H182" s="43"/>
      <c r="I182" s="43"/>
      <c r="J182" s="43"/>
      <c r="K182" s="43"/>
      <c r="L182" s="43"/>
      <c r="M182" s="43"/>
      <c r="N182" s="43"/>
      <c r="O182" s="43"/>
      <c r="P182" s="43"/>
      <c r="Q182" s="43"/>
      <c r="R182" s="43"/>
      <c r="S182" s="43"/>
      <c r="T182" s="43"/>
      <c r="U182" s="43"/>
      <c r="V182" s="43"/>
      <c r="W182" s="43"/>
      <c r="X182" s="43"/>
      <c r="Y182" s="43"/>
      <c r="Z182" s="43"/>
      <c r="AA182" s="43"/>
    </row>
    <row r="183">
      <c r="A183" s="43"/>
      <c r="B183" s="160"/>
      <c r="C183" s="160"/>
      <c r="D183" s="160"/>
      <c r="E183" s="43"/>
      <c r="F183" s="43"/>
      <c r="G183" s="43"/>
      <c r="H183" s="43"/>
      <c r="I183" s="43"/>
      <c r="J183" s="43"/>
      <c r="K183" s="43"/>
      <c r="L183" s="43"/>
      <c r="M183" s="43"/>
      <c r="N183" s="43"/>
      <c r="O183" s="43"/>
      <c r="P183" s="43"/>
      <c r="Q183" s="43"/>
      <c r="R183" s="43"/>
      <c r="S183" s="43"/>
      <c r="T183" s="43"/>
      <c r="U183" s="43"/>
      <c r="V183" s="43"/>
      <c r="W183" s="43"/>
      <c r="X183" s="43"/>
      <c r="Y183" s="43"/>
      <c r="Z183" s="43"/>
      <c r="AA183" s="43"/>
    </row>
    <row r="184">
      <c r="A184" s="43"/>
      <c r="B184" s="160"/>
      <c r="C184" s="160"/>
      <c r="D184" s="160"/>
      <c r="E184" s="43"/>
      <c r="F184" s="43"/>
      <c r="G184" s="43"/>
      <c r="H184" s="43"/>
      <c r="I184" s="43"/>
      <c r="J184" s="43"/>
      <c r="K184" s="43"/>
      <c r="L184" s="43"/>
      <c r="M184" s="43"/>
      <c r="N184" s="43"/>
      <c r="O184" s="43"/>
      <c r="P184" s="43"/>
      <c r="Q184" s="43"/>
      <c r="R184" s="43"/>
      <c r="S184" s="43"/>
      <c r="T184" s="43"/>
      <c r="U184" s="43"/>
      <c r="V184" s="43"/>
      <c r="W184" s="43"/>
      <c r="X184" s="43"/>
      <c r="Y184" s="43"/>
      <c r="Z184" s="43"/>
      <c r="AA184" s="43"/>
    </row>
    <row r="185">
      <c r="A185" s="43"/>
      <c r="B185" s="160"/>
      <c r="C185" s="160"/>
      <c r="D185" s="160"/>
      <c r="E185" s="43"/>
      <c r="F185" s="43"/>
      <c r="G185" s="43"/>
      <c r="H185" s="43"/>
      <c r="I185" s="43"/>
      <c r="J185" s="43"/>
      <c r="K185" s="43"/>
      <c r="L185" s="43"/>
      <c r="M185" s="43"/>
      <c r="N185" s="43"/>
      <c r="O185" s="43"/>
      <c r="P185" s="43"/>
      <c r="Q185" s="43"/>
      <c r="R185" s="43"/>
      <c r="S185" s="43"/>
      <c r="T185" s="43"/>
      <c r="U185" s="43"/>
      <c r="V185" s="43"/>
      <c r="W185" s="43"/>
      <c r="X185" s="43"/>
      <c r="Y185" s="43"/>
      <c r="Z185" s="43"/>
      <c r="AA185" s="43"/>
    </row>
    <row r="186">
      <c r="A186" s="43"/>
      <c r="B186" s="160"/>
      <c r="C186" s="160"/>
      <c r="D186" s="160"/>
      <c r="E186" s="43"/>
      <c r="F186" s="43"/>
      <c r="G186" s="43"/>
      <c r="H186" s="43"/>
      <c r="I186" s="43"/>
      <c r="J186" s="43"/>
      <c r="K186" s="43"/>
      <c r="L186" s="43"/>
      <c r="M186" s="43"/>
      <c r="N186" s="43"/>
      <c r="O186" s="43"/>
      <c r="P186" s="43"/>
      <c r="Q186" s="43"/>
      <c r="R186" s="43"/>
      <c r="S186" s="43"/>
      <c r="T186" s="43"/>
      <c r="U186" s="43"/>
      <c r="V186" s="43"/>
      <c r="W186" s="43"/>
      <c r="X186" s="43"/>
      <c r="Y186" s="43"/>
      <c r="Z186" s="43"/>
      <c r="AA186" s="43"/>
    </row>
    <row r="187">
      <c r="A187" s="43"/>
      <c r="B187" s="160"/>
      <c r="C187" s="160"/>
      <c r="D187" s="160"/>
      <c r="E187" s="43"/>
      <c r="F187" s="43"/>
      <c r="G187" s="43"/>
      <c r="H187" s="43"/>
      <c r="I187" s="43"/>
      <c r="J187" s="43"/>
      <c r="K187" s="43"/>
      <c r="L187" s="43"/>
      <c r="M187" s="43"/>
      <c r="N187" s="43"/>
      <c r="O187" s="43"/>
      <c r="P187" s="43"/>
      <c r="Q187" s="43"/>
      <c r="R187" s="43"/>
      <c r="S187" s="43"/>
      <c r="T187" s="43"/>
      <c r="U187" s="43"/>
      <c r="V187" s="43"/>
      <c r="W187" s="43"/>
      <c r="X187" s="43"/>
      <c r="Y187" s="43"/>
      <c r="Z187" s="43"/>
      <c r="AA187" s="43"/>
    </row>
    <row r="188">
      <c r="A188" s="43"/>
      <c r="B188" s="160"/>
      <c r="C188" s="160"/>
      <c r="D188" s="160"/>
      <c r="E188" s="43"/>
      <c r="F188" s="43"/>
      <c r="G188" s="43"/>
      <c r="H188" s="43"/>
      <c r="I188" s="43"/>
      <c r="J188" s="43"/>
      <c r="K188" s="43"/>
      <c r="L188" s="43"/>
      <c r="M188" s="43"/>
      <c r="N188" s="43"/>
      <c r="O188" s="43"/>
      <c r="P188" s="43"/>
      <c r="Q188" s="43"/>
      <c r="R188" s="43"/>
      <c r="S188" s="43"/>
      <c r="T188" s="43"/>
      <c r="U188" s="43"/>
      <c r="V188" s="43"/>
      <c r="W188" s="43"/>
      <c r="X188" s="43"/>
      <c r="Y188" s="43"/>
      <c r="Z188" s="43"/>
      <c r="AA188" s="43"/>
    </row>
    <row r="189">
      <c r="A189" s="43"/>
      <c r="B189" s="160"/>
      <c r="C189" s="160"/>
      <c r="D189" s="160"/>
      <c r="E189" s="43"/>
      <c r="F189" s="43"/>
      <c r="G189" s="43"/>
      <c r="H189" s="43"/>
      <c r="I189" s="43"/>
      <c r="J189" s="43"/>
      <c r="K189" s="43"/>
      <c r="L189" s="43"/>
      <c r="M189" s="43"/>
      <c r="N189" s="43"/>
      <c r="O189" s="43"/>
      <c r="P189" s="43"/>
      <c r="Q189" s="43"/>
      <c r="R189" s="43"/>
      <c r="S189" s="43"/>
      <c r="T189" s="43"/>
      <c r="U189" s="43"/>
      <c r="V189" s="43"/>
      <c r="W189" s="43"/>
      <c r="X189" s="43"/>
      <c r="Y189" s="43"/>
      <c r="Z189" s="43"/>
      <c r="AA189" s="43"/>
    </row>
    <row r="190">
      <c r="A190" s="43"/>
      <c r="B190" s="160"/>
      <c r="C190" s="160"/>
      <c r="D190" s="160"/>
      <c r="E190" s="43"/>
      <c r="F190" s="43"/>
      <c r="G190" s="43"/>
      <c r="H190" s="43"/>
      <c r="I190" s="43"/>
      <c r="J190" s="43"/>
      <c r="K190" s="43"/>
      <c r="L190" s="43"/>
      <c r="M190" s="43"/>
      <c r="N190" s="43"/>
      <c r="O190" s="43"/>
      <c r="P190" s="43"/>
      <c r="Q190" s="43"/>
      <c r="R190" s="43"/>
      <c r="S190" s="43"/>
      <c r="T190" s="43"/>
      <c r="U190" s="43"/>
      <c r="V190" s="43"/>
      <c r="W190" s="43"/>
      <c r="X190" s="43"/>
      <c r="Y190" s="43"/>
      <c r="Z190" s="43"/>
      <c r="AA190" s="43"/>
    </row>
    <row r="191">
      <c r="A191" s="43"/>
      <c r="B191" s="160"/>
      <c r="C191" s="160"/>
      <c r="D191" s="160"/>
      <c r="E191" s="43"/>
      <c r="F191" s="43"/>
      <c r="G191" s="43"/>
      <c r="H191" s="43"/>
      <c r="I191" s="43"/>
      <c r="J191" s="43"/>
      <c r="K191" s="43"/>
      <c r="L191" s="43"/>
      <c r="M191" s="43"/>
      <c r="N191" s="43"/>
      <c r="O191" s="43"/>
      <c r="P191" s="43"/>
      <c r="Q191" s="43"/>
      <c r="R191" s="43"/>
      <c r="S191" s="43"/>
      <c r="T191" s="43"/>
      <c r="U191" s="43"/>
      <c r="V191" s="43"/>
      <c r="W191" s="43"/>
      <c r="X191" s="43"/>
      <c r="Y191" s="43"/>
      <c r="Z191" s="43"/>
      <c r="AA191" s="43"/>
    </row>
    <row r="192">
      <c r="A192" s="43"/>
      <c r="B192" s="160"/>
      <c r="C192" s="160"/>
      <c r="D192" s="160"/>
      <c r="E192" s="43"/>
      <c r="F192" s="43"/>
      <c r="G192" s="43"/>
      <c r="H192" s="43"/>
      <c r="I192" s="43"/>
      <c r="J192" s="43"/>
      <c r="K192" s="43"/>
      <c r="L192" s="43"/>
      <c r="M192" s="43"/>
      <c r="N192" s="43"/>
      <c r="O192" s="43"/>
      <c r="P192" s="43"/>
      <c r="Q192" s="43"/>
      <c r="R192" s="43"/>
      <c r="S192" s="43"/>
      <c r="T192" s="43"/>
      <c r="U192" s="43"/>
      <c r="V192" s="43"/>
      <c r="W192" s="43"/>
      <c r="X192" s="43"/>
      <c r="Y192" s="43"/>
      <c r="Z192" s="43"/>
      <c r="AA192" s="43"/>
    </row>
    <row r="193">
      <c r="A193" s="43"/>
      <c r="B193" s="160"/>
      <c r="C193" s="160"/>
      <c r="D193" s="160"/>
      <c r="E193" s="43"/>
      <c r="F193" s="43"/>
      <c r="G193" s="43"/>
      <c r="H193" s="43"/>
      <c r="I193" s="43"/>
      <c r="J193" s="43"/>
      <c r="K193" s="43"/>
      <c r="L193" s="43"/>
      <c r="M193" s="43"/>
      <c r="N193" s="43"/>
      <c r="O193" s="43"/>
      <c r="P193" s="43"/>
      <c r="Q193" s="43"/>
      <c r="R193" s="43"/>
      <c r="S193" s="43"/>
      <c r="T193" s="43"/>
      <c r="U193" s="43"/>
      <c r="V193" s="43"/>
      <c r="W193" s="43"/>
      <c r="X193" s="43"/>
      <c r="Y193" s="43"/>
      <c r="Z193" s="43"/>
      <c r="AA193" s="43"/>
    </row>
    <row r="194">
      <c r="A194" s="43"/>
      <c r="B194" s="160"/>
      <c r="C194" s="160"/>
      <c r="D194" s="160"/>
      <c r="E194" s="43"/>
      <c r="F194" s="43"/>
      <c r="G194" s="43"/>
      <c r="H194" s="43"/>
      <c r="I194" s="43"/>
      <c r="J194" s="43"/>
      <c r="K194" s="43"/>
      <c r="L194" s="43"/>
      <c r="M194" s="43"/>
      <c r="N194" s="43"/>
      <c r="O194" s="43"/>
      <c r="P194" s="43"/>
      <c r="Q194" s="43"/>
      <c r="R194" s="43"/>
      <c r="S194" s="43"/>
      <c r="T194" s="43"/>
      <c r="U194" s="43"/>
      <c r="V194" s="43"/>
      <c r="W194" s="43"/>
      <c r="X194" s="43"/>
      <c r="Y194" s="43"/>
      <c r="Z194" s="43"/>
      <c r="AA194" s="43"/>
    </row>
    <row r="195">
      <c r="A195" s="43"/>
      <c r="B195" s="160"/>
      <c r="C195" s="160"/>
      <c r="D195" s="160"/>
      <c r="E195" s="43"/>
      <c r="F195" s="43"/>
      <c r="G195" s="43"/>
      <c r="H195" s="43"/>
      <c r="I195" s="43"/>
      <c r="J195" s="43"/>
      <c r="K195" s="43"/>
      <c r="L195" s="43"/>
      <c r="M195" s="43"/>
      <c r="N195" s="43"/>
      <c r="O195" s="43"/>
      <c r="P195" s="43"/>
      <c r="Q195" s="43"/>
      <c r="R195" s="43"/>
      <c r="S195" s="43"/>
      <c r="T195" s="43"/>
      <c r="U195" s="43"/>
      <c r="V195" s="43"/>
      <c r="W195" s="43"/>
      <c r="X195" s="43"/>
      <c r="Y195" s="43"/>
      <c r="Z195" s="43"/>
      <c r="AA195" s="43"/>
    </row>
    <row r="196">
      <c r="A196" s="43"/>
      <c r="B196" s="160"/>
      <c r="C196" s="160"/>
      <c r="D196" s="160"/>
      <c r="E196" s="43"/>
      <c r="F196" s="43"/>
      <c r="G196" s="43"/>
      <c r="H196" s="43"/>
      <c r="I196" s="43"/>
      <c r="J196" s="43"/>
      <c r="K196" s="43"/>
      <c r="L196" s="43"/>
      <c r="M196" s="43"/>
      <c r="N196" s="43"/>
      <c r="O196" s="43"/>
      <c r="P196" s="43"/>
      <c r="Q196" s="43"/>
      <c r="R196" s="43"/>
      <c r="S196" s="43"/>
      <c r="T196" s="43"/>
      <c r="U196" s="43"/>
      <c r="V196" s="43"/>
      <c r="W196" s="43"/>
      <c r="X196" s="43"/>
      <c r="Y196" s="43"/>
      <c r="Z196" s="43"/>
      <c r="AA196" s="43"/>
    </row>
    <row r="197">
      <c r="A197" s="43"/>
      <c r="B197" s="160"/>
      <c r="C197" s="160"/>
      <c r="D197" s="160"/>
      <c r="E197" s="43"/>
      <c r="F197" s="43"/>
      <c r="G197" s="43"/>
      <c r="H197" s="43"/>
      <c r="I197" s="43"/>
      <c r="J197" s="43"/>
      <c r="K197" s="43"/>
      <c r="L197" s="43"/>
      <c r="M197" s="43"/>
      <c r="N197" s="43"/>
      <c r="O197" s="43"/>
      <c r="P197" s="43"/>
      <c r="Q197" s="43"/>
      <c r="R197" s="43"/>
      <c r="S197" s="43"/>
      <c r="T197" s="43"/>
      <c r="U197" s="43"/>
      <c r="V197" s="43"/>
      <c r="W197" s="43"/>
      <c r="X197" s="43"/>
      <c r="Y197" s="43"/>
      <c r="Z197" s="43"/>
      <c r="AA197" s="43"/>
    </row>
    <row r="198">
      <c r="A198" s="43"/>
      <c r="B198" s="160"/>
      <c r="C198" s="160"/>
      <c r="D198" s="160"/>
      <c r="E198" s="43"/>
      <c r="F198" s="43"/>
      <c r="G198" s="43"/>
      <c r="H198" s="43"/>
      <c r="I198" s="43"/>
      <c r="J198" s="43"/>
      <c r="K198" s="43"/>
      <c r="L198" s="43"/>
      <c r="M198" s="43"/>
      <c r="N198" s="43"/>
      <c r="O198" s="43"/>
      <c r="P198" s="43"/>
      <c r="Q198" s="43"/>
      <c r="R198" s="43"/>
      <c r="S198" s="43"/>
      <c r="T198" s="43"/>
      <c r="U198" s="43"/>
      <c r="V198" s="43"/>
      <c r="W198" s="43"/>
      <c r="X198" s="43"/>
      <c r="Y198" s="43"/>
      <c r="Z198" s="43"/>
      <c r="AA198" s="43"/>
    </row>
    <row r="199">
      <c r="A199" s="43"/>
      <c r="B199" s="160"/>
      <c r="C199" s="160"/>
      <c r="D199" s="160"/>
      <c r="E199" s="43"/>
      <c r="F199" s="43"/>
      <c r="G199" s="43"/>
      <c r="H199" s="43"/>
      <c r="I199" s="43"/>
      <c r="J199" s="43"/>
      <c r="K199" s="43"/>
      <c r="L199" s="43"/>
      <c r="M199" s="43"/>
      <c r="N199" s="43"/>
      <c r="O199" s="43"/>
      <c r="P199" s="43"/>
      <c r="Q199" s="43"/>
      <c r="R199" s="43"/>
      <c r="S199" s="43"/>
      <c r="T199" s="43"/>
      <c r="U199" s="43"/>
      <c r="V199" s="43"/>
      <c r="W199" s="43"/>
      <c r="X199" s="43"/>
      <c r="Y199" s="43"/>
      <c r="Z199" s="43"/>
      <c r="AA199" s="43"/>
    </row>
    <row r="200">
      <c r="A200" s="43"/>
      <c r="B200" s="160"/>
      <c r="C200" s="160"/>
      <c r="D200" s="160"/>
      <c r="E200" s="43"/>
      <c r="F200" s="43"/>
      <c r="G200" s="43"/>
      <c r="H200" s="43"/>
      <c r="I200" s="43"/>
      <c r="J200" s="43"/>
      <c r="K200" s="43"/>
      <c r="L200" s="43"/>
      <c r="M200" s="43"/>
      <c r="N200" s="43"/>
      <c r="O200" s="43"/>
      <c r="P200" s="43"/>
      <c r="Q200" s="43"/>
      <c r="R200" s="43"/>
      <c r="S200" s="43"/>
      <c r="T200" s="43"/>
      <c r="U200" s="43"/>
      <c r="V200" s="43"/>
      <c r="W200" s="43"/>
      <c r="X200" s="43"/>
      <c r="Y200" s="43"/>
      <c r="Z200" s="43"/>
      <c r="AA200" s="43"/>
    </row>
    <row r="201">
      <c r="A201" s="43"/>
      <c r="B201" s="160"/>
      <c r="C201" s="160"/>
      <c r="D201" s="160"/>
      <c r="E201" s="43"/>
      <c r="F201" s="43"/>
      <c r="G201" s="43"/>
      <c r="H201" s="43"/>
      <c r="I201" s="43"/>
      <c r="J201" s="43"/>
      <c r="K201" s="43"/>
      <c r="L201" s="43"/>
      <c r="M201" s="43"/>
      <c r="N201" s="43"/>
      <c r="O201" s="43"/>
      <c r="P201" s="43"/>
      <c r="Q201" s="43"/>
      <c r="R201" s="43"/>
      <c r="S201" s="43"/>
      <c r="T201" s="43"/>
      <c r="U201" s="43"/>
      <c r="V201" s="43"/>
      <c r="W201" s="43"/>
      <c r="X201" s="43"/>
      <c r="Y201" s="43"/>
      <c r="Z201" s="43"/>
      <c r="AA201" s="43"/>
    </row>
    <row r="202">
      <c r="A202" s="43"/>
      <c r="B202" s="160"/>
      <c r="C202" s="160"/>
      <c r="D202" s="160"/>
      <c r="E202" s="43"/>
      <c r="F202" s="43"/>
      <c r="G202" s="43"/>
      <c r="H202" s="43"/>
      <c r="I202" s="43"/>
      <c r="J202" s="43"/>
      <c r="K202" s="43"/>
      <c r="L202" s="43"/>
      <c r="M202" s="43"/>
      <c r="N202" s="43"/>
      <c r="O202" s="43"/>
      <c r="P202" s="43"/>
      <c r="Q202" s="43"/>
      <c r="R202" s="43"/>
      <c r="S202" s="43"/>
      <c r="T202" s="43"/>
      <c r="U202" s="43"/>
      <c r="V202" s="43"/>
      <c r="W202" s="43"/>
      <c r="X202" s="43"/>
      <c r="Y202" s="43"/>
      <c r="Z202" s="43"/>
      <c r="AA202" s="43"/>
    </row>
    <row r="203">
      <c r="A203" s="43"/>
      <c r="B203" s="160"/>
      <c r="C203" s="160"/>
      <c r="D203" s="160"/>
      <c r="E203" s="43"/>
      <c r="F203" s="43"/>
      <c r="G203" s="43"/>
      <c r="H203" s="43"/>
      <c r="I203" s="43"/>
      <c r="J203" s="43"/>
      <c r="K203" s="43"/>
      <c r="L203" s="43"/>
      <c r="M203" s="43"/>
      <c r="N203" s="43"/>
      <c r="O203" s="43"/>
      <c r="P203" s="43"/>
      <c r="Q203" s="43"/>
      <c r="R203" s="43"/>
      <c r="S203" s="43"/>
      <c r="T203" s="43"/>
      <c r="U203" s="43"/>
      <c r="V203" s="43"/>
      <c r="W203" s="43"/>
      <c r="X203" s="43"/>
      <c r="Y203" s="43"/>
      <c r="Z203" s="43"/>
      <c r="AA203" s="43"/>
    </row>
    <row r="204">
      <c r="A204" s="43"/>
      <c r="B204" s="160"/>
      <c r="C204" s="160"/>
      <c r="D204" s="160"/>
      <c r="E204" s="43"/>
      <c r="F204" s="43"/>
      <c r="G204" s="43"/>
      <c r="H204" s="43"/>
      <c r="I204" s="43"/>
      <c r="J204" s="43"/>
      <c r="K204" s="43"/>
      <c r="L204" s="43"/>
      <c r="M204" s="43"/>
      <c r="N204" s="43"/>
      <c r="O204" s="43"/>
      <c r="P204" s="43"/>
      <c r="Q204" s="43"/>
      <c r="R204" s="43"/>
      <c r="S204" s="43"/>
      <c r="T204" s="43"/>
      <c r="U204" s="43"/>
      <c r="V204" s="43"/>
      <c r="W204" s="43"/>
      <c r="X204" s="43"/>
      <c r="Y204" s="43"/>
      <c r="Z204" s="43"/>
      <c r="AA204" s="43"/>
    </row>
    <row r="205">
      <c r="A205" s="43"/>
      <c r="B205" s="160"/>
      <c r="C205" s="160"/>
      <c r="D205" s="160"/>
      <c r="E205" s="43"/>
      <c r="F205" s="43"/>
      <c r="G205" s="43"/>
      <c r="H205" s="43"/>
      <c r="I205" s="43"/>
      <c r="J205" s="43"/>
      <c r="K205" s="43"/>
      <c r="L205" s="43"/>
      <c r="M205" s="43"/>
      <c r="N205" s="43"/>
      <c r="O205" s="43"/>
      <c r="P205" s="43"/>
      <c r="Q205" s="43"/>
      <c r="R205" s="43"/>
      <c r="S205" s="43"/>
      <c r="T205" s="43"/>
      <c r="U205" s="43"/>
      <c r="V205" s="43"/>
      <c r="W205" s="43"/>
      <c r="X205" s="43"/>
      <c r="Y205" s="43"/>
      <c r="Z205" s="43"/>
      <c r="AA205" s="43"/>
    </row>
    <row r="206">
      <c r="A206" s="43"/>
      <c r="B206" s="160"/>
      <c r="C206" s="160"/>
      <c r="D206" s="160"/>
      <c r="E206" s="43"/>
      <c r="F206" s="43"/>
      <c r="G206" s="43"/>
      <c r="H206" s="43"/>
      <c r="I206" s="43"/>
      <c r="J206" s="43"/>
      <c r="K206" s="43"/>
      <c r="L206" s="43"/>
      <c r="M206" s="43"/>
      <c r="N206" s="43"/>
      <c r="O206" s="43"/>
      <c r="P206" s="43"/>
      <c r="Q206" s="43"/>
      <c r="R206" s="43"/>
      <c r="S206" s="43"/>
      <c r="T206" s="43"/>
      <c r="U206" s="43"/>
      <c r="V206" s="43"/>
      <c r="W206" s="43"/>
      <c r="X206" s="43"/>
      <c r="Y206" s="43"/>
      <c r="Z206" s="43"/>
      <c r="AA206" s="43"/>
    </row>
    <row r="207">
      <c r="A207" s="43"/>
      <c r="B207" s="160"/>
      <c r="C207" s="160"/>
      <c r="D207" s="160"/>
      <c r="E207" s="43"/>
      <c r="F207" s="43"/>
      <c r="G207" s="43"/>
      <c r="H207" s="43"/>
      <c r="I207" s="43"/>
      <c r="J207" s="43"/>
      <c r="K207" s="43"/>
      <c r="L207" s="43"/>
      <c r="M207" s="43"/>
      <c r="N207" s="43"/>
      <c r="O207" s="43"/>
      <c r="P207" s="43"/>
      <c r="Q207" s="43"/>
      <c r="R207" s="43"/>
      <c r="S207" s="43"/>
      <c r="T207" s="43"/>
      <c r="U207" s="43"/>
      <c r="V207" s="43"/>
      <c r="W207" s="43"/>
      <c r="X207" s="43"/>
      <c r="Y207" s="43"/>
      <c r="Z207" s="43"/>
      <c r="AA207" s="43"/>
    </row>
    <row r="208">
      <c r="A208" s="43"/>
      <c r="B208" s="160"/>
      <c r="C208" s="160"/>
      <c r="D208" s="160"/>
      <c r="E208" s="43"/>
      <c r="F208" s="43"/>
      <c r="G208" s="43"/>
      <c r="H208" s="43"/>
      <c r="I208" s="43"/>
      <c r="J208" s="43"/>
      <c r="K208" s="43"/>
      <c r="L208" s="43"/>
      <c r="M208" s="43"/>
      <c r="N208" s="43"/>
      <c r="O208" s="43"/>
      <c r="P208" s="43"/>
      <c r="Q208" s="43"/>
      <c r="R208" s="43"/>
      <c r="S208" s="43"/>
      <c r="T208" s="43"/>
      <c r="U208" s="43"/>
      <c r="V208" s="43"/>
      <c r="W208" s="43"/>
      <c r="X208" s="43"/>
      <c r="Y208" s="43"/>
      <c r="Z208" s="43"/>
      <c r="AA208" s="43"/>
    </row>
    <row r="209">
      <c r="A209" s="43"/>
      <c r="B209" s="160"/>
      <c r="C209" s="160"/>
      <c r="D209" s="160"/>
      <c r="E209" s="43"/>
      <c r="F209" s="43"/>
      <c r="G209" s="43"/>
      <c r="H209" s="43"/>
      <c r="I209" s="43"/>
      <c r="J209" s="43"/>
      <c r="K209" s="43"/>
      <c r="L209" s="43"/>
      <c r="M209" s="43"/>
      <c r="N209" s="43"/>
      <c r="O209" s="43"/>
      <c r="P209" s="43"/>
      <c r="Q209" s="43"/>
      <c r="R209" s="43"/>
      <c r="S209" s="43"/>
      <c r="T209" s="43"/>
      <c r="U209" s="43"/>
      <c r="V209" s="43"/>
      <c r="W209" s="43"/>
      <c r="X209" s="43"/>
      <c r="Y209" s="43"/>
      <c r="Z209" s="43"/>
      <c r="AA209" s="43"/>
    </row>
    <row r="210">
      <c r="A210" s="43"/>
      <c r="B210" s="160"/>
      <c r="C210" s="160"/>
      <c r="D210" s="160"/>
      <c r="E210" s="43"/>
      <c r="F210" s="43"/>
      <c r="G210" s="43"/>
      <c r="H210" s="43"/>
      <c r="I210" s="43"/>
      <c r="J210" s="43"/>
      <c r="K210" s="43"/>
      <c r="L210" s="43"/>
      <c r="M210" s="43"/>
      <c r="N210" s="43"/>
      <c r="O210" s="43"/>
      <c r="P210" s="43"/>
      <c r="Q210" s="43"/>
      <c r="R210" s="43"/>
      <c r="S210" s="43"/>
      <c r="T210" s="43"/>
      <c r="U210" s="43"/>
      <c r="V210" s="43"/>
      <c r="W210" s="43"/>
      <c r="X210" s="43"/>
      <c r="Y210" s="43"/>
      <c r="Z210" s="43"/>
      <c r="AA210" s="43"/>
    </row>
    <row r="211">
      <c r="A211" s="43"/>
      <c r="B211" s="160"/>
      <c r="C211" s="160"/>
      <c r="D211" s="160"/>
      <c r="E211" s="43"/>
      <c r="F211" s="43"/>
      <c r="G211" s="43"/>
      <c r="H211" s="43"/>
      <c r="I211" s="43"/>
      <c r="J211" s="43"/>
      <c r="K211" s="43"/>
      <c r="L211" s="43"/>
      <c r="M211" s="43"/>
      <c r="N211" s="43"/>
      <c r="O211" s="43"/>
      <c r="P211" s="43"/>
      <c r="Q211" s="43"/>
      <c r="R211" s="43"/>
      <c r="S211" s="43"/>
      <c r="T211" s="43"/>
      <c r="U211" s="43"/>
      <c r="V211" s="43"/>
      <c r="W211" s="43"/>
      <c r="X211" s="43"/>
      <c r="Y211" s="43"/>
      <c r="Z211" s="43"/>
      <c r="AA211" s="43"/>
    </row>
    <row r="212">
      <c r="A212" s="43"/>
      <c r="B212" s="160"/>
      <c r="C212" s="160"/>
      <c r="D212" s="160"/>
      <c r="E212" s="43"/>
      <c r="F212" s="43"/>
      <c r="G212" s="43"/>
      <c r="H212" s="43"/>
      <c r="I212" s="43"/>
      <c r="J212" s="43"/>
      <c r="K212" s="43"/>
      <c r="L212" s="43"/>
      <c r="M212" s="43"/>
      <c r="N212" s="43"/>
      <c r="O212" s="43"/>
      <c r="P212" s="43"/>
      <c r="Q212" s="43"/>
      <c r="R212" s="43"/>
      <c r="S212" s="43"/>
      <c r="T212" s="43"/>
      <c r="U212" s="43"/>
      <c r="V212" s="43"/>
      <c r="W212" s="43"/>
      <c r="X212" s="43"/>
      <c r="Y212" s="43"/>
      <c r="Z212" s="43"/>
      <c r="AA212" s="43"/>
    </row>
    <row r="213">
      <c r="A213" s="43"/>
      <c r="B213" s="160"/>
      <c r="C213" s="160"/>
      <c r="D213" s="160"/>
      <c r="E213" s="43"/>
      <c r="F213" s="43"/>
      <c r="G213" s="43"/>
      <c r="H213" s="43"/>
      <c r="I213" s="43"/>
      <c r="J213" s="43"/>
      <c r="K213" s="43"/>
      <c r="L213" s="43"/>
      <c r="M213" s="43"/>
      <c r="N213" s="43"/>
      <c r="O213" s="43"/>
      <c r="P213" s="43"/>
      <c r="Q213" s="43"/>
      <c r="R213" s="43"/>
      <c r="S213" s="43"/>
      <c r="T213" s="43"/>
      <c r="U213" s="43"/>
      <c r="V213" s="43"/>
      <c r="W213" s="43"/>
      <c r="X213" s="43"/>
      <c r="Y213" s="43"/>
      <c r="Z213" s="43"/>
      <c r="AA213" s="43"/>
    </row>
    <row r="214">
      <c r="A214" s="43"/>
      <c r="B214" s="160"/>
      <c r="C214" s="160"/>
      <c r="D214" s="160"/>
      <c r="E214" s="43"/>
      <c r="F214" s="43"/>
      <c r="G214" s="43"/>
      <c r="H214" s="43"/>
      <c r="I214" s="43"/>
      <c r="J214" s="43"/>
      <c r="K214" s="43"/>
      <c r="L214" s="43"/>
      <c r="M214" s="43"/>
      <c r="N214" s="43"/>
      <c r="O214" s="43"/>
      <c r="P214" s="43"/>
      <c r="Q214" s="43"/>
      <c r="R214" s="43"/>
      <c r="S214" s="43"/>
      <c r="T214" s="43"/>
      <c r="U214" s="43"/>
      <c r="V214" s="43"/>
      <c r="W214" s="43"/>
      <c r="X214" s="43"/>
      <c r="Y214" s="43"/>
      <c r="Z214" s="43"/>
      <c r="AA214" s="43"/>
    </row>
    <row r="215">
      <c r="A215" s="43"/>
      <c r="B215" s="160"/>
      <c r="C215" s="160"/>
      <c r="D215" s="160"/>
      <c r="E215" s="43"/>
      <c r="F215" s="43"/>
      <c r="G215" s="43"/>
      <c r="H215" s="43"/>
      <c r="I215" s="43"/>
      <c r="J215" s="43"/>
      <c r="K215" s="43"/>
      <c r="L215" s="43"/>
      <c r="M215" s="43"/>
      <c r="N215" s="43"/>
      <c r="O215" s="43"/>
      <c r="P215" s="43"/>
      <c r="Q215" s="43"/>
      <c r="R215" s="43"/>
      <c r="S215" s="43"/>
      <c r="T215" s="43"/>
      <c r="U215" s="43"/>
      <c r="V215" s="43"/>
      <c r="W215" s="43"/>
      <c r="X215" s="43"/>
      <c r="Y215" s="43"/>
      <c r="Z215" s="43"/>
      <c r="AA215" s="43"/>
    </row>
    <row r="216">
      <c r="A216" s="43"/>
      <c r="B216" s="160"/>
      <c r="C216" s="160"/>
      <c r="D216" s="160"/>
      <c r="E216" s="43"/>
      <c r="F216" s="43"/>
      <c r="G216" s="43"/>
      <c r="H216" s="43"/>
      <c r="I216" s="43"/>
      <c r="J216" s="43"/>
      <c r="K216" s="43"/>
      <c r="L216" s="43"/>
      <c r="M216" s="43"/>
      <c r="N216" s="43"/>
      <c r="O216" s="43"/>
      <c r="P216" s="43"/>
      <c r="Q216" s="43"/>
      <c r="R216" s="43"/>
      <c r="S216" s="43"/>
      <c r="T216" s="43"/>
      <c r="U216" s="43"/>
      <c r="V216" s="43"/>
      <c r="W216" s="43"/>
      <c r="X216" s="43"/>
      <c r="Y216" s="43"/>
      <c r="Z216" s="43"/>
      <c r="AA216" s="43"/>
    </row>
    <row r="217">
      <c r="A217" s="43"/>
      <c r="B217" s="160"/>
      <c r="C217" s="160"/>
      <c r="D217" s="160"/>
      <c r="E217" s="43"/>
      <c r="F217" s="43"/>
      <c r="G217" s="43"/>
      <c r="H217" s="43"/>
      <c r="I217" s="43"/>
      <c r="J217" s="43"/>
      <c r="K217" s="43"/>
      <c r="L217" s="43"/>
      <c r="M217" s="43"/>
      <c r="N217" s="43"/>
      <c r="O217" s="43"/>
      <c r="P217" s="43"/>
      <c r="Q217" s="43"/>
      <c r="R217" s="43"/>
      <c r="S217" s="43"/>
      <c r="T217" s="43"/>
      <c r="U217" s="43"/>
      <c r="V217" s="43"/>
      <c r="W217" s="43"/>
      <c r="X217" s="43"/>
      <c r="Y217" s="43"/>
      <c r="Z217" s="43"/>
      <c r="AA217" s="43"/>
    </row>
    <row r="218">
      <c r="A218" s="43"/>
      <c r="B218" s="160"/>
      <c r="C218" s="160"/>
      <c r="D218" s="160"/>
      <c r="E218" s="43"/>
      <c r="F218" s="43"/>
      <c r="G218" s="43"/>
      <c r="H218" s="43"/>
      <c r="I218" s="43"/>
      <c r="J218" s="43"/>
      <c r="K218" s="43"/>
      <c r="L218" s="43"/>
      <c r="M218" s="43"/>
      <c r="N218" s="43"/>
      <c r="O218" s="43"/>
      <c r="P218" s="43"/>
      <c r="Q218" s="43"/>
      <c r="R218" s="43"/>
      <c r="S218" s="43"/>
      <c r="T218" s="43"/>
      <c r="U218" s="43"/>
      <c r="V218" s="43"/>
      <c r="W218" s="43"/>
      <c r="X218" s="43"/>
      <c r="Y218" s="43"/>
      <c r="Z218" s="43"/>
      <c r="AA218" s="43"/>
    </row>
    <row r="219">
      <c r="A219" s="43"/>
      <c r="B219" s="160"/>
      <c r="C219" s="160"/>
      <c r="D219" s="160"/>
      <c r="E219" s="43"/>
      <c r="F219" s="43"/>
      <c r="G219" s="43"/>
      <c r="H219" s="43"/>
      <c r="I219" s="43"/>
      <c r="J219" s="43"/>
      <c r="K219" s="43"/>
      <c r="L219" s="43"/>
      <c r="M219" s="43"/>
      <c r="N219" s="43"/>
      <c r="O219" s="43"/>
      <c r="P219" s="43"/>
      <c r="Q219" s="43"/>
      <c r="R219" s="43"/>
      <c r="S219" s="43"/>
      <c r="T219" s="43"/>
      <c r="U219" s="43"/>
      <c r="V219" s="43"/>
      <c r="W219" s="43"/>
      <c r="X219" s="43"/>
      <c r="Y219" s="43"/>
      <c r="Z219" s="43"/>
      <c r="AA219" s="43"/>
    </row>
    <row r="220">
      <c r="A220" s="43"/>
      <c r="B220" s="160"/>
      <c r="C220" s="160"/>
      <c r="D220" s="160"/>
      <c r="E220" s="43"/>
      <c r="F220" s="43"/>
      <c r="G220" s="43"/>
      <c r="H220" s="43"/>
      <c r="I220" s="43"/>
      <c r="J220" s="43"/>
      <c r="K220" s="43"/>
      <c r="L220" s="43"/>
      <c r="M220" s="43"/>
      <c r="N220" s="43"/>
      <c r="O220" s="43"/>
      <c r="P220" s="43"/>
      <c r="Q220" s="43"/>
      <c r="R220" s="43"/>
      <c r="S220" s="43"/>
      <c r="T220" s="43"/>
      <c r="U220" s="43"/>
      <c r="V220" s="43"/>
      <c r="W220" s="43"/>
      <c r="X220" s="43"/>
      <c r="Y220" s="43"/>
      <c r="Z220" s="43"/>
      <c r="AA220" s="43"/>
    </row>
    <row r="221">
      <c r="A221" s="43"/>
      <c r="B221" s="160"/>
      <c r="C221" s="160"/>
      <c r="D221" s="160"/>
      <c r="E221" s="43"/>
      <c r="F221" s="43"/>
      <c r="G221" s="43"/>
      <c r="H221" s="43"/>
      <c r="I221" s="43"/>
      <c r="J221" s="43"/>
      <c r="K221" s="43"/>
      <c r="L221" s="43"/>
      <c r="M221" s="43"/>
      <c r="N221" s="43"/>
      <c r="O221" s="43"/>
      <c r="P221" s="43"/>
      <c r="Q221" s="43"/>
      <c r="R221" s="43"/>
      <c r="S221" s="43"/>
      <c r="T221" s="43"/>
      <c r="U221" s="43"/>
      <c r="V221" s="43"/>
      <c r="W221" s="43"/>
      <c r="X221" s="43"/>
      <c r="Y221" s="43"/>
      <c r="Z221" s="43"/>
      <c r="AA221" s="43"/>
    </row>
    <row r="222">
      <c r="A222" s="43"/>
      <c r="B222" s="160"/>
      <c r="C222" s="160"/>
      <c r="D222" s="160"/>
      <c r="E222" s="43"/>
      <c r="F222" s="43"/>
      <c r="G222" s="43"/>
      <c r="H222" s="43"/>
      <c r="I222" s="43"/>
      <c r="J222" s="43"/>
      <c r="K222" s="43"/>
      <c r="L222" s="43"/>
      <c r="M222" s="43"/>
      <c r="N222" s="43"/>
      <c r="O222" s="43"/>
      <c r="P222" s="43"/>
      <c r="Q222" s="43"/>
      <c r="R222" s="43"/>
      <c r="S222" s="43"/>
      <c r="T222" s="43"/>
      <c r="U222" s="43"/>
      <c r="V222" s="43"/>
      <c r="W222" s="43"/>
      <c r="X222" s="43"/>
      <c r="Y222" s="43"/>
      <c r="Z222" s="43"/>
      <c r="AA222" s="43"/>
    </row>
    <row r="223">
      <c r="A223" s="43"/>
      <c r="B223" s="160"/>
      <c r="C223" s="160"/>
      <c r="D223" s="160"/>
      <c r="E223" s="43"/>
      <c r="F223" s="43"/>
      <c r="G223" s="43"/>
      <c r="H223" s="43"/>
      <c r="I223" s="43"/>
      <c r="J223" s="43"/>
      <c r="K223" s="43"/>
      <c r="L223" s="43"/>
      <c r="M223" s="43"/>
      <c r="N223" s="43"/>
      <c r="O223" s="43"/>
      <c r="P223" s="43"/>
      <c r="Q223" s="43"/>
      <c r="R223" s="43"/>
      <c r="S223" s="43"/>
      <c r="T223" s="43"/>
      <c r="U223" s="43"/>
      <c r="V223" s="43"/>
      <c r="W223" s="43"/>
      <c r="X223" s="43"/>
      <c r="Y223" s="43"/>
      <c r="Z223" s="43"/>
      <c r="AA223" s="43"/>
    </row>
    <row r="224">
      <c r="A224" s="43"/>
      <c r="B224" s="160"/>
      <c r="C224" s="160"/>
      <c r="D224" s="160"/>
      <c r="E224" s="43"/>
      <c r="F224" s="43"/>
      <c r="G224" s="43"/>
      <c r="H224" s="43"/>
      <c r="I224" s="43"/>
      <c r="J224" s="43"/>
      <c r="K224" s="43"/>
      <c r="L224" s="43"/>
      <c r="M224" s="43"/>
      <c r="N224" s="43"/>
      <c r="O224" s="43"/>
      <c r="P224" s="43"/>
      <c r="Q224" s="43"/>
      <c r="R224" s="43"/>
      <c r="S224" s="43"/>
      <c r="T224" s="43"/>
      <c r="U224" s="43"/>
      <c r="V224" s="43"/>
      <c r="W224" s="43"/>
      <c r="X224" s="43"/>
      <c r="Y224" s="43"/>
      <c r="Z224" s="43"/>
      <c r="AA224" s="43"/>
    </row>
    <row r="225">
      <c r="A225" s="43"/>
      <c r="B225" s="160"/>
      <c r="C225" s="160"/>
      <c r="D225" s="160"/>
      <c r="E225" s="43"/>
      <c r="F225" s="43"/>
      <c r="G225" s="43"/>
      <c r="H225" s="43"/>
      <c r="I225" s="43"/>
      <c r="J225" s="43"/>
      <c r="K225" s="43"/>
      <c r="L225" s="43"/>
      <c r="M225" s="43"/>
      <c r="N225" s="43"/>
      <c r="O225" s="43"/>
      <c r="P225" s="43"/>
      <c r="Q225" s="43"/>
      <c r="R225" s="43"/>
      <c r="S225" s="43"/>
      <c r="T225" s="43"/>
      <c r="U225" s="43"/>
      <c r="V225" s="43"/>
      <c r="W225" s="43"/>
      <c r="X225" s="43"/>
      <c r="Y225" s="43"/>
      <c r="Z225" s="43"/>
      <c r="AA225" s="43"/>
    </row>
    <row r="226">
      <c r="A226" s="43"/>
      <c r="B226" s="160"/>
      <c r="C226" s="160"/>
      <c r="D226" s="160"/>
      <c r="E226" s="43"/>
      <c r="F226" s="43"/>
      <c r="G226" s="43"/>
      <c r="H226" s="43"/>
      <c r="I226" s="43"/>
      <c r="J226" s="43"/>
      <c r="K226" s="43"/>
      <c r="L226" s="43"/>
      <c r="M226" s="43"/>
      <c r="N226" s="43"/>
      <c r="O226" s="43"/>
      <c r="P226" s="43"/>
      <c r="Q226" s="43"/>
      <c r="R226" s="43"/>
      <c r="S226" s="43"/>
      <c r="T226" s="43"/>
      <c r="U226" s="43"/>
      <c r="V226" s="43"/>
      <c r="W226" s="43"/>
      <c r="X226" s="43"/>
      <c r="Y226" s="43"/>
      <c r="Z226" s="43"/>
      <c r="AA226" s="43"/>
    </row>
    <row r="227">
      <c r="A227" s="43"/>
      <c r="B227" s="160"/>
      <c r="C227" s="160"/>
      <c r="D227" s="160"/>
      <c r="E227" s="43"/>
      <c r="F227" s="43"/>
      <c r="G227" s="43"/>
      <c r="H227" s="43"/>
      <c r="I227" s="43"/>
      <c r="J227" s="43"/>
      <c r="K227" s="43"/>
      <c r="L227" s="43"/>
      <c r="M227" s="43"/>
      <c r="N227" s="43"/>
      <c r="O227" s="43"/>
      <c r="P227" s="43"/>
      <c r="Q227" s="43"/>
      <c r="R227" s="43"/>
      <c r="S227" s="43"/>
      <c r="T227" s="43"/>
      <c r="U227" s="43"/>
      <c r="V227" s="43"/>
      <c r="W227" s="43"/>
      <c r="X227" s="43"/>
      <c r="Y227" s="43"/>
      <c r="Z227" s="43"/>
      <c r="AA227" s="43"/>
    </row>
    <row r="228">
      <c r="A228" s="43"/>
      <c r="B228" s="160"/>
      <c r="C228" s="160"/>
      <c r="D228" s="160"/>
      <c r="E228" s="43"/>
      <c r="F228" s="43"/>
      <c r="G228" s="43"/>
      <c r="H228" s="43"/>
      <c r="I228" s="43"/>
      <c r="J228" s="43"/>
      <c r="K228" s="43"/>
      <c r="L228" s="43"/>
      <c r="M228" s="43"/>
      <c r="N228" s="43"/>
      <c r="O228" s="43"/>
      <c r="P228" s="43"/>
      <c r="Q228" s="43"/>
      <c r="R228" s="43"/>
      <c r="S228" s="43"/>
      <c r="T228" s="43"/>
      <c r="U228" s="43"/>
      <c r="V228" s="43"/>
      <c r="W228" s="43"/>
      <c r="X228" s="43"/>
      <c r="Y228" s="43"/>
      <c r="Z228" s="43"/>
      <c r="AA228" s="43"/>
    </row>
    <row r="229">
      <c r="A229" s="43"/>
      <c r="B229" s="160"/>
      <c r="C229" s="160"/>
      <c r="D229" s="160"/>
      <c r="E229" s="43"/>
      <c r="F229" s="43"/>
      <c r="G229" s="43"/>
      <c r="H229" s="43"/>
      <c r="I229" s="43"/>
      <c r="J229" s="43"/>
      <c r="K229" s="43"/>
      <c r="L229" s="43"/>
      <c r="M229" s="43"/>
      <c r="N229" s="43"/>
      <c r="O229" s="43"/>
      <c r="P229" s="43"/>
      <c r="Q229" s="43"/>
      <c r="R229" s="43"/>
      <c r="S229" s="43"/>
      <c r="T229" s="43"/>
      <c r="U229" s="43"/>
      <c r="V229" s="43"/>
      <c r="W229" s="43"/>
      <c r="X229" s="43"/>
      <c r="Y229" s="43"/>
      <c r="Z229" s="43"/>
      <c r="AA229" s="43"/>
    </row>
    <row r="230">
      <c r="A230" s="43"/>
      <c r="B230" s="160"/>
      <c r="C230" s="160"/>
      <c r="D230" s="160"/>
      <c r="E230" s="43"/>
      <c r="F230" s="43"/>
      <c r="G230" s="43"/>
      <c r="H230" s="43"/>
      <c r="I230" s="43"/>
      <c r="J230" s="43"/>
      <c r="K230" s="43"/>
      <c r="L230" s="43"/>
      <c r="M230" s="43"/>
      <c r="N230" s="43"/>
      <c r="O230" s="43"/>
      <c r="P230" s="43"/>
      <c r="Q230" s="43"/>
      <c r="R230" s="43"/>
      <c r="S230" s="43"/>
      <c r="T230" s="43"/>
      <c r="U230" s="43"/>
      <c r="V230" s="43"/>
      <c r="W230" s="43"/>
      <c r="X230" s="43"/>
      <c r="Y230" s="43"/>
      <c r="Z230" s="43"/>
      <c r="AA230" s="43"/>
    </row>
    <row r="231">
      <c r="A231" s="43"/>
      <c r="B231" s="160"/>
      <c r="C231" s="160"/>
      <c r="D231" s="160"/>
      <c r="E231" s="43"/>
      <c r="F231" s="43"/>
      <c r="G231" s="43"/>
      <c r="H231" s="43"/>
      <c r="I231" s="43"/>
      <c r="J231" s="43"/>
      <c r="K231" s="43"/>
      <c r="L231" s="43"/>
      <c r="M231" s="43"/>
      <c r="N231" s="43"/>
      <c r="O231" s="43"/>
      <c r="P231" s="43"/>
      <c r="Q231" s="43"/>
      <c r="R231" s="43"/>
      <c r="S231" s="43"/>
      <c r="T231" s="43"/>
      <c r="U231" s="43"/>
      <c r="V231" s="43"/>
      <c r="W231" s="43"/>
      <c r="X231" s="43"/>
      <c r="Y231" s="43"/>
      <c r="Z231" s="43"/>
      <c r="AA231" s="43"/>
    </row>
    <row r="232">
      <c r="A232" s="43"/>
      <c r="B232" s="160"/>
      <c r="C232" s="160"/>
      <c r="D232" s="160"/>
      <c r="E232" s="43"/>
      <c r="F232" s="43"/>
      <c r="G232" s="43"/>
      <c r="H232" s="43"/>
      <c r="I232" s="43"/>
      <c r="J232" s="43"/>
      <c r="K232" s="43"/>
      <c r="L232" s="43"/>
      <c r="M232" s="43"/>
      <c r="N232" s="43"/>
      <c r="O232" s="43"/>
      <c r="P232" s="43"/>
      <c r="Q232" s="43"/>
      <c r="R232" s="43"/>
      <c r="S232" s="43"/>
      <c r="T232" s="43"/>
      <c r="U232" s="43"/>
      <c r="V232" s="43"/>
      <c r="W232" s="43"/>
      <c r="X232" s="43"/>
      <c r="Y232" s="43"/>
      <c r="Z232" s="43"/>
      <c r="AA232" s="43"/>
    </row>
    <row r="233">
      <c r="A233" s="43"/>
      <c r="B233" s="160"/>
      <c r="C233" s="160"/>
      <c r="D233" s="160"/>
      <c r="E233" s="43"/>
      <c r="F233" s="43"/>
      <c r="G233" s="43"/>
      <c r="H233" s="43"/>
      <c r="I233" s="43"/>
      <c r="J233" s="43"/>
      <c r="K233" s="43"/>
      <c r="L233" s="43"/>
      <c r="M233" s="43"/>
      <c r="N233" s="43"/>
      <c r="O233" s="43"/>
      <c r="P233" s="43"/>
      <c r="Q233" s="43"/>
      <c r="R233" s="43"/>
      <c r="S233" s="43"/>
      <c r="T233" s="43"/>
      <c r="U233" s="43"/>
      <c r="V233" s="43"/>
      <c r="W233" s="43"/>
      <c r="X233" s="43"/>
      <c r="Y233" s="43"/>
      <c r="Z233" s="43"/>
      <c r="AA233" s="43"/>
    </row>
    <row r="234">
      <c r="A234" s="43"/>
      <c r="B234" s="160"/>
      <c r="C234" s="160"/>
      <c r="D234" s="160"/>
      <c r="E234" s="43"/>
      <c r="F234" s="43"/>
      <c r="G234" s="43"/>
      <c r="H234" s="43"/>
      <c r="I234" s="43"/>
      <c r="J234" s="43"/>
      <c r="K234" s="43"/>
      <c r="L234" s="43"/>
      <c r="M234" s="43"/>
      <c r="N234" s="43"/>
      <c r="O234" s="43"/>
      <c r="P234" s="43"/>
      <c r="Q234" s="43"/>
      <c r="R234" s="43"/>
      <c r="S234" s="43"/>
      <c r="T234" s="43"/>
      <c r="U234" s="43"/>
      <c r="V234" s="43"/>
      <c r="W234" s="43"/>
      <c r="X234" s="43"/>
      <c r="Y234" s="43"/>
      <c r="Z234" s="43"/>
      <c r="AA234" s="43"/>
    </row>
    <row r="235">
      <c r="A235" s="43"/>
      <c r="B235" s="160"/>
      <c r="C235" s="160"/>
      <c r="D235" s="160"/>
      <c r="E235" s="43"/>
      <c r="F235" s="43"/>
      <c r="G235" s="43"/>
      <c r="H235" s="43"/>
      <c r="I235" s="43"/>
      <c r="J235" s="43"/>
      <c r="K235" s="43"/>
      <c r="L235" s="43"/>
      <c r="M235" s="43"/>
      <c r="N235" s="43"/>
      <c r="O235" s="43"/>
      <c r="P235" s="43"/>
      <c r="Q235" s="43"/>
      <c r="R235" s="43"/>
      <c r="S235" s="43"/>
      <c r="T235" s="43"/>
      <c r="U235" s="43"/>
      <c r="V235" s="43"/>
      <c r="W235" s="43"/>
      <c r="X235" s="43"/>
      <c r="Y235" s="43"/>
      <c r="Z235" s="43"/>
      <c r="AA235" s="43"/>
    </row>
    <row r="236">
      <c r="A236" s="43"/>
      <c r="B236" s="160"/>
      <c r="C236" s="160"/>
      <c r="D236" s="160"/>
      <c r="E236" s="43"/>
      <c r="F236" s="43"/>
      <c r="G236" s="43"/>
      <c r="H236" s="43"/>
      <c r="I236" s="43"/>
      <c r="J236" s="43"/>
      <c r="K236" s="43"/>
      <c r="L236" s="43"/>
      <c r="M236" s="43"/>
      <c r="N236" s="43"/>
      <c r="O236" s="43"/>
      <c r="P236" s="43"/>
      <c r="Q236" s="43"/>
      <c r="R236" s="43"/>
      <c r="S236" s="43"/>
      <c r="T236" s="43"/>
      <c r="U236" s="43"/>
      <c r="V236" s="43"/>
      <c r="W236" s="43"/>
      <c r="X236" s="43"/>
      <c r="Y236" s="43"/>
      <c r="Z236" s="43"/>
      <c r="AA236" s="43"/>
    </row>
    <row r="237">
      <c r="A237" s="43"/>
      <c r="B237" s="160"/>
      <c r="C237" s="160"/>
      <c r="D237" s="160"/>
      <c r="E237" s="43"/>
      <c r="F237" s="43"/>
      <c r="G237" s="43"/>
      <c r="H237" s="43"/>
      <c r="I237" s="43"/>
      <c r="J237" s="43"/>
      <c r="K237" s="43"/>
      <c r="L237" s="43"/>
      <c r="M237" s="43"/>
      <c r="N237" s="43"/>
      <c r="O237" s="43"/>
      <c r="P237" s="43"/>
      <c r="Q237" s="43"/>
      <c r="R237" s="43"/>
      <c r="S237" s="43"/>
      <c r="T237" s="43"/>
      <c r="U237" s="43"/>
      <c r="V237" s="43"/>
      <c r="W237" s="43"/>
      <c r="X237" s="43"/>
      <c r="Y237" s="43"/>
      <c r="Z237" s="43"/>
      <c r="AA237" s="43"/>
    </row>
    <row r="238">
      <c r="A238" s="43"/>
      <c r="B238" s="160"/>
      <c r="C238" s="160"/>
      <c r="D238" s="160"/>
      <c r="E238" s="43"/>
      <c r="F238" s="43"/>
      <c r="G238" s="43"/>
      <c r="H238" s="43"/>
      <c r="I238" s="43"/>
      <c r="J238" s="43"/>
      <c r="K238" s="43"/>
      <c r="L238" s="43"/>
      <c r="M238" s="43"/>
      <c r="N238" s="43"/>
      <c r="O238" s="43"/>
      <c r="P238" s="43"/>
      <c r="Q238" s="43"/>
      <c r="R238" s="43"/>
      <c r="S238" s="43"/>
      <c r="T238" s="43"/>
      <c r="U238" s="43"/>
      <c r="V238" s="43"/>
      <c r="W238" s="43"/>
      <c r="X238" s="43"/>
      <c r="Y238" s="43"/>
      <c r="Z238" s="43"/>
      <c r="AA238" s="43"/>
    </row>
    <row r="239">
      <c r="A239" s="43"/>
      <c r="B239" s="160"/>
      <c r="C239" s="160"/>
      <c r="D239" s="160"/>
      <c r="E239" s="43"/>
      <c r="F239" s="43"/>
      <c r="G239" s="43"/>
      <c r="H239" s="43"/>
      <c r="I239" s="43"/>
      <c r="J239" s="43"/>
      <c r="K239" s="43"/>
      <c r="L239" s="43"/>
      <c r="M239" s="43"/>
      <c r="N239" s="43"/>
      <c r="O239" s="43"/>
      <c r="P239" s="43"/>
      <c r="Q239" s="43"/>
      <c r="R239" s="43"/>
      <c r="S239" s="43"/>
      <c r="T239" s="43"/>
      <c r="U239" s="43"/>
      <c r="V239" s="43"/>
      <c r="W239" s="43"/>
      <c r="X239" s="43"/>
      <c r="Y239" s="43"/>
      <c r="Z239" s="43"/>
      <c r="AA239" s="43"/>
    </row>
    <row r="240">
      <c r="A240" s="43"/>
      <c r="B240" s="160"/>
      <c r="C240" s="160"/>
      <c r="D240" s="160"/>
      <c r="E240" s="43"/>
      <c r="F240" s="43"/>
      <c r="G240" s="43"/>
      <c r="H240" s="43"/>
      <c r="I240" s="43"/>
      <c r="J240" s="43"/>
      <c r="K240" s="43"/>
      <c r="L240" s="43"/>
      <c r="M240" s="43"/>
      <c r="N240" s="43"/>
      <c r="O240" s="43"/>
      <c r="P240" s="43"/>
      <c r="Q240" s="43"/>
      <c r="R240" s="43"/>
      <c r="S240" s="43"/>
      <c r="T240" s="43"/>
      <c r="U240" s="43"/>
      <c r="V240" s="43"/>
      <c r="W240" s="43"/>
      <c r="X240" s="43"/>
      <c r="Y240" s="43"/>
      <c r="Z240" s="43"/>
      <c r="AA240" s="43"/>
    </row>
    <row r="241">
      <c r="A241" s="43"/>
      <c r="B241" s="160"/>
      <c r="C241" s="160"/>
      <c r="D241" s="160"/>
      <c r="E241" s="43"/>
      <c r="F241" s="43"/>
      <c r="G241" s="43"/>
      <c r="H241" s="43"/>
      <c r="I241" s="43"/>
      <c r="J241" s="43"/>
      <c r="K241" s="43"/>
      <c r="L241" s="43"/>
      <c r="M241" s="43"/>
      <c r="N241" s="43"/>
      <c r="O241" s="43"/>
      <c r="P241" s="43"/>
      <c r="Q241" s="43"/>
      <c r="R241" s="43"/>
      <c r="S241" s="43"/>
      <c r="T241" s="43"/>
      <c r="U241" s="43"/>
      <c r="V241" s="43"/>
      <c r="W241" s="43"/>
      <c r="X241" s="43"/>
      <c r="Y241" s="43"/>
      <c r="Z241" s="43"/>
      <c r="AA241" s="43"/>
    </row>
    <row r="242">
      <c r="A242" s="43"/>
      <c r="B242" s="160"/>
      <c r="C242" s="160"/>
      <c r="D242" s="160"/>
      <c r="E242" s="43"/>
      <c r="F242" s="43"/>
      <c r="G242" s="43"/>
      <c r="H242" s="43"/>
      <c r="I242" s="43"/>
      <c r="J242" s="43"/>
      <c r="K242" s="43"/>
      <c r="L242" s="43"/>
      <c r="M242" s="43"/>
      <c r="N242" s="43"/>
      <c r="O242" s="43"/>
      <c r="P242" s="43"/>
      <c r="Q242" s="43"/>
      <c r="R242" s="43"/>
      <c r="S242" s="43"/>
      <c r="T242" s="43"/>
      <c r="U242" s="43"/>
      <c r="V242" s="43"/>
      <c r="W242" s="43"/>
      <c r="X242" s="43"/>
      <c r="Y242" s="43"/>
      <c r="Z242" s="43"/>
      <c r="AA242" s="43"/>
    </row>
    <row r="243">
      <c r="A243" s="43"/>
      <c r="B243" s="160"/>
      <c r="C243" s="160"/>
      <c r="D243" s="160"/>
      <c r="E243" s="43"/>
      <c r="F243" s="43"/>
      <c r="G243" s="43"/>
      <c r="H243" s="43"/>
      <c r="I243" s="43"/>
      <c r="J243" s="43"/>
      <c r="K243" s="43"/>
      <c r="L243" s="43"/>
      <c r="M243" s="43"/>
      <c r="N243" s="43"/>
      <c r="O243" s="43"/>
      <c r="P243" s="43"/>
      <c r="Q243" s="43"/>
      <c r="R243" s="43"/>
      <c r="S243" s="43"/>
      <c r="T243" s="43"/>
      <c r="U243" s="43"/>
      <c r="V243" s="43"/>
      <c r="W243" s="43"/>
      <c r="X243" s="43"/>
      <c r="Y243" s="43"/>
      <c r="Z243" s="43"/>
      <c r="AA243" s="43"/>
    </row>
    <row r="244">
      <c r="A244" s="43"/>
      <c r="B244" s="160"/>
      <c r="C244" s="160"/>
      <c r="D244" s="160"/>
      <c r="E244" s="43"/>
      <c r="F244" s="43"/>
      <c r="G244" s="43"/>
      <c r="H244" s="43"/>
      <c r="I244" s="43"/>
      <c r="J244" s="43"/>
      <c r="K244" s="43"/>
      <c r="L244" s="43"/>
      <c r="M244" s="43"/>
      <c r="N244" s="43"/>
      <c r="O244" s="43"/>
      <c r="P244" s="43"/>
      <c r="Q244" s="43"/>
      <c r="R244" s="43"/>
      <c r="S244" s="43"/>
      <c r="T244" s="43"/>
      <c r="U244" s="43"/>
      <c r="V244" s="43"/>
      <c r="W244" s="43"/>
      <c r="X244" s="43"/>
      <c r="Y244" s="43"/>
      <c r="Z244" s="43"/>
      <c r="AA244" s="43"/>
    </row>
    <row r="245">
      <c r="A245" s="43"/>
      <c r="B245" s="160"/>
      <c r="C245" s="160"/>
      <c r="D245" s="160"/>
      <c r="E245" s="43"/>
      <c r="F245" s="43"/>
      <c r="G245" s="43"/>
      <c r="H245" s="43"/>
      <c r="I245" s="43"/>
      <c r="J245" s="43"/>
      <c r="K245" s="43"/>
      <c r="L245" s="43"/>
      <c r="M245" s="43"/>
      <c r="N245" s="43"/>
      <c r="O245" s="43"/>
      <c r="P245" s="43"/>
      <c r="Q245" s="43"/>
      <c r="R245" s="43"/>
      <c r="S245" s="43"/>
      <c r="T245" s="43"/>
      <c r="U245" s="43"/>
      <c r="V245" s="43"/>
      <c r="W245" s="43"/>
      <c r="X245" s="43"/>
      <c r="Y245" s="43"/>
      <c r="Z245" s="43"/>
      <c r="AA245" s="43"/>
    </row>
    <row r="246">
      <c r="A246" s="43"/>
      <c r="B246" s="160"/>
      <c r="C246" s="160"/>
      <c r="D246" s="160"/>
      <c r="E246" s="43"/>
      <c r="F246" s="43"/>
      <c r="G246" s="43"/>
      <c r="H246" s="43"/>
      <c r="I246" s="43"/>
      <c r="J246" s="43"/>
      <c r="K246" s="43"/>
      <c r="L246" s="43"/>
      <c r="M246" s="43"/>
      <c r="N246" s="43"/>
      <c r="O246" s="43"/>
      <c r="P246" s="43"/>
      <c r="Q246" s="43"/>
      <c r="R246" s="43"/>
      <c r="S246" s="43"/>
      <c r="T246" s="43"/>
      <c r="U246" s="43"/>
      <c r="V246" s="43"/>
      <c r="W246" s="43"/>
      <c r="X246" s="43"/>
      <c r="Y246" s="43"/>
      <c r="Z246" s="43"/>
      <c r="AA246" s="43"/>
    </row>
    <row r="247">
      <c r="A247" s="43"/>
      <c r="B247" s="160"/>
      <c r="C247" s="160"/>
      <c r="D247" s="160"/>
      <c r="E247" s="43"/>
      <c r="F247" s="43"/>
      <c r="G247" s="43"/>
      <c r="H247" s="43"/>
      <c r="I247" s="43"/>
      <c r="J247" s="43"/>
      <c r="K247" s="43"/>
      <c r="L247" s="43"/>
      <c r="M247" s="43"/>
      <c r="N247" s="43"/>
      <c r="O247" s="43"/>
      <c r="P247" s="43"/>
      <c r="Q247" s="43"/>
      <c r="R247" s="43"/>
      <c r="S247" s="43"/>
      <c r="T247" s="43"/>
      <c r="U247" s="43"/>
      <c r="V247" s="43"/>
      <c r="W247" s="43"/>
      <c r="X247" s="43"/>
      <c r="Y247" s="43"/>
      <c r="Z247" s="43"/>
      <c r="AA247" s="43"/>
    </row>
    <row r="248">
      <c r="A248" s="43"/>
      <c r="B248" s="160"/>
      <c r="C248" s="160"/>
      <c r="D248" s="160"/>
      <c r="E248" s="43"/>
      <c r="F248" s="43"/>
      <c r="G248" s="43"/>
      <c r="H248" s="43"/>
      <c r="I248" s="43"/>
      <c r="J248" s="43"/>
      <c r="K248" s="43"/>
      <c r="L248" s="43"/>
      <c r="M248" s="43"/>
      <c r="N248" s="43"/>
      <c r="O248" s="43"/>
      <c r="P248" s="43"/>
      <c r="Q248" s="43"/>
      <c r="R248" s="43"/>
      <c r="S248" s="43"/>
      <c r="T248" s="43"/>
      <c r="U248" s="43"/>
      <c r="V248" s="43"/>
      <c r="W248" s="43"/>
      <c r="X248" s="43"/>
      <c r="Y248" s="43"/>
      <c r="Z248" s="43"/>
      <c r="AA248" s="43"/>
    </row>
    <row r="249">
      <c r="A249" s="43"/>
      <c r="B249" s="160"/>
      <c r="C249" s="160"/>
      <c r="D249" s="160"/>
      <c r="E249" s="43"/>
      <c r="F249" s="43"/>
      <c r="G249" s="43"/>
      <c r="H249" s="43"/>
      <c r="I249" s="43"/>
      <c r="J249" s="43"/>
      <c r="K249" s="43"/>
      <c r="L249" s="43"/>
      <c r="M249" s="43"/>
      <c r="N249" s="43"/>
      <c r="O249" s="43"/>
      <c r="P249" s="43"/>
      <c r="Q249" s="43"/>
      <c r="R249" s="43"/>
      <c r="S249" s="43"/>
      <c r="T249" s="43"/>
      <c r="U249" s="43"/>
      <c r="V249" s="43"/>
      <c r="W249" s="43"/>
      <c r="X249" s="43"/>
      <c r="Y249" s="43"/>
      <c r="Z249" s="43"/>
      <c r="AA249" s="43"/>
    </row>
    <row r="250">
      <c r="A250" s="43"/>
      <c r="B250" s="160"/>
      <c r="C250" s="160"/>
      <c r="D250" s="160"/>
      <c r="E250" s="43"/>
      <c r="F250" s="43"/>
      <c r="G250" s="43"/>
      <c r="H250" s="43"/>
      <c r="I250" s="43"/>
      <c r="J250" s="43"/>
      <c r="K250" s="43"/>
      <c r="L250" s="43"/>
      <c r="M250" s="43"/>
      <c r="N250" s="43"/>
      <c r="O250" s="43"/>
      <c r="P250" s="43"/>
      <c r="Q250" s="43"/>
      <c r="R250" s="43"/>
      <c r="S250" s="43"/>
      <c r="T250" s="43"/>
      <c r="U250" s="43"/>
      <c r="V250" s="43"/>
      <c r="W250" s="43"/>
      <c r="X250" s="43"/>
      <c r="Y250" s="43"/>
      <c r="Z250" s="43"/>
      <c r="AA250" s="43"/>
    </row>
    <row r="251">
      <c r="A251" s="43"/>
      <c r="B251" s="160"/>
      <c r="C251" s="160"/>
      <c r="D251" s="160"/>
      <c r="E251" s="43"/>
      <c r="F251" s="43"/>
      <c r="G251" s="43"/>
      <c r="H251" s="43"/>
      <c r="I251" s="43"/>
      <c r="J251" s="43"/>
      <c r="K251" s="43"/>
      <c r="L251" s="43"/>
      <c r="M251" s="43"/>
      <c r="N251" s="43"/>
      <c r="O251" s="43"/>
      <c r="P251" s="43"/>
      <c r="Q251" s="43"/>
      <c r="R251" s="43"/>
      <c r="S251" s="43"/>
      <c r="T251" s="43"/>
      <c r="U251" s="43"/>
      <c r="V251" s="43"/>
      <c r="W251" s="43"/>
      <c r="X251" s="43"/>
      <c r="Y251" s="43"/>
      <c r="Z251" s="43"/>
      <c r="AA251" s="43"/>
    </row>
    <row r="252">
      <c r="A252" s="43"/>
      <c r="B252" s="160"/>
      <c r="C252" s="160"/>
      <c r="D252" s="160"/>
      <c r="E252" s="43"/>
      <c r="F252" s="43"/>
      <c r="G252" s="43"/>
      <c r="H252" s="43"/>
      <c r="I252" s="43"/>
      <c r="J252" s="43"/>
      <c r="K252" s="43"/>
      <c r="L252" s="43"/>
      <c r="M252" s="43"/>
      <c r="N252" s="43"/>
      <c r="O252" s="43"/>
      <c r="P252" s="43"/>
      <c r="Q252" s="43"/>
      <c r="R252" s="43"/>
      <c r="S252" s="43"/>
      <c r="T252" s="43"/>
      <c r="U252" s="43"/>
      <c r="V252" s="43"/>
      <c r="W252" s="43"/>
      <c r="X252" s="43"/>
      <c r="Y252" s="43"/>
      <c r="Z252" s="43"/>
      <c r="AA252" s="43"/>
    </row>
    <row r="253">
      <c r="A253" s="43"/>
      <c r="B253" s="160"/>
      <c r="C253" s="160"/>
      <c r="D253" s="160"/>
      <c r="E253" s="43"/>
      <c r="F253" s="43"/>
      <c r="G253" s="43"/>
      <c r="H253" s="43"/>
      <c r="I253" s="43"/>
      <c r="J253" s="43"/>
      <c r="K253" s="43"/>
      <c r="L253" s="43"/>
      <c r="M253" s="43"/>
      <c r="N253" s="43"/>
      <c r="O253" s="43"/>
      <c r="P253" s="43"/>
      <c r="Q253" s="43"/>
      <c r="R253" s="43"/>
      <c r="S253" s="43"/>
      <c r="T253" s="43"/>
      <c r="U253" s="43"/>
      <c r="V253" s="43"/>
      <c r="W253" s="43"/>
      <c r="X253" s="43"/>
      <c r="Y253" s="43"/>
      <c r="Z253" s="43"/>
      <c r="AA253" s="43"/>
    </row>
    <row r="254">
      <c r="A254" s="43"/>
      <c r="B254" s="160"/>
      <c r="C254" s="160"/>
      <c r="D254" s="160"/>
      <c r="E254" s="43"/>
      <c r="F254" s="43"/>
      <c r="G254" s="43"/>
      <c r="H254" s="43"/>
      <c r="I254" s="43"/>
      <c r="J254" s="43"/>
      <c r="K254" s="43"/>
      <c r="L254" s="43"/>
      <c r="M254" s="43"/>
      <c r="N254" s="43"/>
      <c r="O254" s="43"/>
      <c r="P254" s="43"/>
      <c r="Q254" s="43"/>
      <c r="R254" s="43"/>
      <c r="S254" s="43"/>
      <c r="T254" s="43"/>
      <c r="U254" s="43"/>
      <c r="V254" s="43"/>
      <c r="W254" s="43"/>
      <c r="X254" s="43"/>
      <c r="Y254" s="43"/>
      <c r="Z254" s="43"/>
      <c r="AA254" s="43"/>
    </row>
    <row r="255">
      <c r="A255" s="43"/>
      <c r="B255" s="160"/>
      <c r="C255" s="160"/>
      <c r="D255" s="160"/>
      <c r="E255" s="43"/>
      <c r="F255" s="43"/>
      <c r="G255" s="43"/>
      <c r="H255" s="43"/>
      <c r="I255" s="43"/>
      <c r="J255" s="43"/>
      <c r="K255" s="43"/>
      <c r="L255" s="43"/>
      <c r="M255" s="43"/>
      <c r="N255" s="43"/>
      <c r="O255" s="43"/>
      <c r="P255" s="43"/>
      <c r="Q255" s="43"/>
      <c r="R255" s="43"/>
      <c r="S255" s="43"/>
      <c r="T255" s="43"/>
      <c r="U255" s="43"/>
      <c r="V255" s="43"/>
      <c r="W255" s="43"/>
      <c r="X255" s="43"/>
      <c r="Y255" s="43"/>
      <c r="Z255" s="43"/>
      <c r="AA255" s="43"/>
    </row>
    <row r="256">
      <c r="A256" s="43"/>
      <c r="B256" s="160"/>
      <c r="C256" s="160"/>
      <c r="D256" s="160"/>
      <c r="E256" s="43"/>
      <c r="F256" s="43"/>
      <c r="G256" s="43"/>
      <c r="H256" s="43"/>
      <c r="I256" s="43"/>
      <c r="J256" s="43"/>
      <c r="K256" s="43"/>
      <c r="L256" s="43"/>
      <c r="M256" s="43"/>
      <c r="N256" s="43"/>
      <c r="O256" s="43"/>
      <c r="P256" s="43"/>
      <c r="Q256" s="43"/>
      <c r="R256" s="43"/>
      <c r="S256" s="43"/>
      <c r="T256" s="43"/>
      <c r="U256" s="43"/>
      <c r="V256" s="43"/>
      <c r="W256" s="43"/>
      <c r="X256" s="43"/>
      <c r="Y256" s="43"/>
      <c r="Z256" s="43"/>
      <c r="AA256" s="43"/>
    </row>
    <row r="257">
      <c r="A257" s="43"/>
      <c r="B257" s="160"/>
      <c r="C257" s="160"/>
      <c r="D257" s="160"/>
      <c r="E257" s="43"/>
      <c r="F257" s="43"/>
      <c r="G257" s="43"/>
      <c r="H257" s="43"/>
      <c r="I257" s="43"/>
      <c r="J257" s="43"/>
      <c r="K257" s="43"/>
      <c r="L257" s="43"/>
      <c r="M257" s="43"/>
      <c r="N257" s="43"/>
      <c r="O257" s="43"/>
      <c r="P257" s="43"/>
      <c r="Q257" s="43"/>
      <c r="R257" s="43"/>
      <c r="S257" s="43"/>
      <c r="T257" s="43"/>
      <c r="U257" s="43"/>
      <c r="V257" s="43"/>
      <c r="W257" s="43"/>
      <c r="X257" s="43"/>
      <c r="Y257" s="43"/>
      <c r="Z257" s="43"/>
      <c r="AA257" s="43"/>
    </row>
    <row r="258">
      <c r="A258" s="43"/>
      <c r="B258" s="160"/>
      <c r="C258" s="160"/>
      <c r="D258" s="160"/>
      <c r="E258" s="43"/>
      <c r="F258" s="43"/>
      <c r="G258" s="43"/>
      <c r="H258" s="43"/>
      <c r="I258" s="43"/>
      <c r="J258" s="43"/>
      <c r="K258" s="43"/>
      <c r="L258" s="43"/>
      <c r="M258" s="43"/>
      <c r="N258" s="43"/>
      <c r="O258" s="43"/>
      <c r="P258" s="43"/>
      <c r="Q258" s="43"/>
      <c r="R258" s="43"/>
      <c r="S258" s="43"/>
      <c r="T258" s="43"/>
      <c r="U258" s="43"/>
      <c r="V258" s="43"/>
      <c r="W258" s="43"/>
      <c r="X258" s="43"/>
      <c r="Y258" s="43"/>
      <c r="Z258" s="43"/>
      <c r="AA258" s="43"/>
    </row>
    <row r="259">
      <c r="A259" s="43"/>
      <c r="B259" s="160"/>
      <c r="C259" s="160"/>
      <c r="D259" s="160"/>
      <c r="E259" s="43"/>
      <c r="F259" s="43"/>
      <c r="G259" s="43"/>
      <c r="H259" s="43"/>
      <c r="I259" s="43"/>
      <c r="J259" s="43"/>
      <c r="K259" s="43"/>
      <c r="L259" s="43"/>
      <c r="M259" s="43"/>
      <c r="N259" s="43"/>
      <c r="O259" s="43"/>
      <c r="P259" s="43"/>
      <c r="Q259" s="43"/>
      <c r="R259" s="43"/>
      <c r="S259" s="43"/>
      <c r="T259" s="43"/>
      <c r="U259" s="43"/>
      <c r="V259" s="43"/>
      <c r="W259" s="43"/>
      <c r="X259" s="43"/>
      <c r="Y259" s="43"/>
      <c r="Z259" s="43"/>
      <c r="AA259" s="43"/>
    </row>
    <row r="260">
      <c r="A260" s="43"/>
      <c r="B260" s="160"/>
      <c r="C260" s="160"/>
      <c r="D260" s="160"/>
      <c r="E260" s="43"/>
      <c r="F260" s="43"/>
      <c r="G260" s="43"/>
      <c r="H260" s="43"/>
      <c r="I260" s="43"/>
      <c r="J260" s="43"/>
      <c r="K260" s="43"/>
      <c r="L260" s="43"/>
      <c r="M260" s="43"/>
      <c r="N260" s="43"/>
      <c r="O260" s="43"/>
      <c r="P260" s="43"/>
      <c r="Q260" s="43"/>
      <c r="R260" s="43"/>
      <c r="S260" s="43"/>
      <c r="T260" s="43"/>
      <c r="U260" s="43"/>
      <c r="V260" s="43"/>
      <c r="W260" s="43"/>
      <c r="X260" s="43"/>
      <c r="Y260" s="43"/>
      <c r="Z260" s="43"/>
      <c r="AA260" s="43"/>
    </row>
    <row r="261">
      <c r="A261" s="43"/>
      <c r="B261" s="160"/>
      <c r="C261" s="160"/>
      <c r="D261" s="160"/>
      <c r="E261" s="43"/>
      <c r="F261" s="43"/>
      <c r="G261" s="43"/>
      <c r="H261" s="43"/>
      <c r="I261" s="43"/>
      <c r="J261" s="43"/>
      <c r="K261" s="43"/>
      <c r="L261" s="43"/>
      <c r="M261" s="43"/>
      <c r="N261" s="43"/>
      <c r="O261" s="43"/>
      <c r="P261" s="43"/>
      <c r="Q261" s="43"/>
      <c r="R261" s="43"/>
      <c r="S261" s="43"/>
      <c r="T261" s="43"/>
      <c r="U261" s="43"/>
      <c r="V261" s="43"/>
      <c r="W261" s="43"/>
      <c r="X261" s="43"/>
      <c r="Y261" s="43"/>
      <c r="Z261" s="43"/>
      <c r="AA261" s="43"/>
    </row>
    <row r="262">
      <c r="A262" s="43"/>
      <c r="B262" s="160"/>
      <c r="C262" s="160"/>
      <c r="D262" s="160"/>
      <c r="E262" s="43"/>
      <c r="F262" s="43"/>
      <c r="G262" s="43"/>
      <c r="H262" s="43"/>
      <c r="I262" s="43"/>
      <c r="J262" s="43"/>
      <c r="K262" s="43"/>
      <c r="L262" s="43"/>
      <c r="M262" s="43"/>
      <c r="N262" s="43"/>
      <c r="O262" s="43"/>
      <c r="P262" s="43"/>
      <c r="Q262" s="43"/>
      <c r="R262" s="43"/>
      <c r="S262" s="43"/>
      <c r="T262" s="43"/>
      <c r="U262" s="43"/>
      <c r="V262" s="43"/>
      <c r="W262" s="43"/>
      <c r="X262" s="43"/>
      <c r="Y262" s="43"/>
      <c r="Z262" s="43"/>
      <c r="AA262" s="43"/>
    </row>
    <row r="263">
      <c r="A263" s="43"/>
      <c r="B263" s="160"/>
      <c r="C263" s="160"/>
      <c r="D263" s="160"/>
      <c r="E263" s="43"/>
      <c r="F263" s="43"/>
      <c r="G263" s="43"/>
      <c r="H263" s="43"/>
      <c r="I263" s="43"/>
      <c r="J263" s="43"/>
      <c r="K263" s="43"/>
      <c r="L263" s="43"/>
      <c r="M263" s="43"/>
      <c r="N263" s="43"/>
      <c r="O263" s="43"/>
      <c r="P263" s="43"/>
      <c r="Q263" s="43"/>
      <c r="R263" s="43"/>
      <c r="S263" s="43"/>
      <c r="T263" s="43"/>
      <c r="U263" s="43"/>
      <c r="V263" s="43"/>
      <c r="W263" s="43"/>
      <c r="X263" s="43"/>
      <c r="Y263" s="43"/>
      <c r="Z263" s="43"/>
      <c r="AA263" s="43"/>
    </row>
    <row r="264">
      <c r="A264" s="43"/>
      <c r="B264" s="160"/>
      <c r="C264" s="160"/>
      <c r="D264" s="160"/>
      <c r="E264" s="43"/>
      <c r="F264" s="43"/>
      <c r="G264" s="43"/>
      <c r="H264" s="43"/>
      <c r="I264" s="43"/>
      <c r="J264" s="43"/>
      <c r="K264" s="43"/>
      <c r="L264" s="43"/>
      <c r="M264" s="43"/>
      <c r="N264" s="43"/>
      <c r="O264" s="43"/>
      <c r="P264" s="43"/>
      <c r="Q264" s="43"/>
      <c r="R264" s="43"/>
      <c r="S264" s="43"/>
      <c r="T264" s="43"/>
      <c r="U264" s="43"/>
      <c r="V264" s="43"/>
      <c r="W264" s="43"/>
      <c r="X264" s="43"/>
      <c r="Y264" s="43"/>
      <c r="Z264" s="43"/>
      <c r="AA264" s="43"/>
    </row>
    <row r="265">
      <c r="A265" s="43"/>
      <c r="B265" s="160"/>
      <c r="C265" s="160"/>
      <c r="D265" s="160"/>
      <c r="E265" s="43"/>
      <c r="F265" s="43"/>
      <c r="G265" s="43"/>
      <c r="H265" s="43"/>
      <c r="I265" s="43"/>
      <c r="J265" s="43"/>
      <c r="K265" s="43"/>
      <c r="L265" s="43"/>
      <c r="M265" s="43"/>
      <c r="N265" s="43"/>
      <c r="O265" s="43"/>
      <c r="P265" s="43"/>
      <c r="Q265" s="43"/>
      <c r="R265" s="43"/>
      <c r="S265" s="43"/>
      <c r="T265" s="43"/>
      <c r="U265" s="43"/>
      <c r="V265" s="43"/>
      <c r="W265" s="43"/>
      <c r="X265" s="43"/>
      <c r="Y265" s="43"/>
      <c r="Z265" s="43"/>
      <c r="AA265" s="43"/>
    </row>
    <row r="266">
      <c r="A266" s="43"/>
      <c r="B266" s="160"/>
      <c r="C266" s="160"/>
      <c r="D266" s="160"/>
      <c r="E266" s="43"/>
      <c r="F266" s="43"/>
      <c r="G266" s="43"/>
      <c r="H266" s="43"/>
      <c r="I266" s="43"/>
      <c r="J266" s="43"/>
      <c r="K266" s="43"/>
      <c r="L266" s="43"/>
      <c r="M266" s="43"/>
      <c r="N266" s="43"/>
      <c r="O266" s="43"/>
      <c r="P266" s="43"/>
      <c r="Q266" s="43"/>
      <c r="R266" s="43"/>
      <c r="S266" s="43"/>
      <c r="T266" s="43"/>
      <c r="U266" s="43"/>
      <c r="V266" s="43"/>
      <c r="W266" s="43"/>
      <c r="X266" s="43"/>
      <c r="Y266" s="43"/>
      <c r="Z266" s="43"/>
      <c r="AA266" s="43"/>
    </row>
    <row r="267">
      <c r="A267" s="43"/>
      <c r="B267" s="160"/>
      <c r="C267" s="160"/>
      <c r="D267" s="160"/>
      <c r="E267" s="43"/>
      <c r="F267" s="43"/>
      <c r="G267" s="43"/>
      <c r="H267" s="43"/>
      <c r="I267" s="43"/>
      <c r="J267" s="43"/>
      <c r="K267" s="43"/>
      <c r="L267" s="43"/>
      <c r="M267" s="43"/>
      <c r="N267" s="43"/>
      <c r="O267" s="43"/>
      <c r="P267" s="43"/>
      <c r="Q267" s="43"/>
      <c r="R267" s="43"/>
      <c r="S267" s="43"/>
      <c r="T267" s="43"/>
      <c r="U267" s="43"/>
      <c r="V267" s="43"/>
      <c r="W267" s="43"/>
      <c r="X267" s="43"/>
      <c r="Y267" s="43"/>
      <c r="Z267" s="43"/>
      <c r="AA267" s="43"/>
    </row>
    <row r="268">
      <c r="A268" s="43"/>
      <c r="B268" s="160"/>
      <c r="C268" s="160"/>
      <c r="D268" s="160"/>
      <c r="E268" s="43"/>
      <c r="F268" s="43"/>
      <c r="G268" s="43"/>
      <c r="H268" s="43"/>
      <c r="I268" s="43"/>
      <c r="J268" s="43"/>
      <c r="K268" s="43"/>
      <c r="L268" s="43"/>
      <c r="M268" s="43"/>
      <c r="N268" s="43"/>
      <c r="O268" s="43"/>
      <c r="P268" s="43"/>
      <c r="Q268" s="43"/>
      <c r="R268" s="43"/>
      <c r="S268" s="43"/>
      <c r="T268" s="43"/>
      <c r="U268" s="43"/>
      <c r="V268" s="43"/>
      <c r="W268" s="43"/>
      <c r="X268" s="43"/>
      <c r="Y268" s="43"/>
      <c r="Z268" s="43"/>
      <c r="AA268" s="43"/>
    </row>
    <row r="269">
      <c r="A269" s="43"/>
      <c r="B269" s="160"/>
      <c r="C269" s="160"/>
      <c r="D269" s="160"/>
      <c r="E269" s="43"/>
      <c r="F269" s="43"/>
      <c r="G269" s="43"/>
      <c r="H269" s="43"/>
      <c r="I269" s="43"/>
      <c r="J269" s="43"/>
      <c r="K269" s="43"/>
      <c r="L269" s="43"/>
      <c r="M269" s="43"/>
      <c r="N269" s="43"/>
      <c r="O269" s="43"/>
      <c r="P269" s="43"/>
      <c r="Q269" s="43"/>
      <c r="R269" s="43"/>
      <c r="S269" s="43"/>
      <c r="T269" s="43"/>
      <c r="U269" s="43"/>
      <c r="V269" s="43"/>
      <c r="W269" s="43"/>
      <c r="X269" s="43"/>
      <c r="Y269" s="43"/>
      <c r="Z269" s="43"/>
      <c r="AA269" s="43"/>
    </row>
    <row r="270">
      <c r="A270" s="43"/>
      <c r="B270" s="160"/>
      <c r="C270" s="160"/>
      <c r="D270" s="160"/>
      <c r="E270" s="43"/>
      <c r="F270" s="43"/>
      <c r="G270" s="43"/>
      <c r="H270" s="43"/>
      <c r="I270" s="43"/>
      <c r="J270" s="43"/>
      <c r="K270" s="43"/>
      <c r="L270" s="43"/>
      <c r="M270" s="43"/>
      <c r="N270" s="43"/>
      <c r="O270" s="43"/>
      <c r="P270" s="43"/>
      <c r="Q270" s="43"/>
      <c r="R270" s="43"/>
      <c r="S270" s="43"/>
      <c r="T270" s="43"/>
      <c r="U270" s="43"/>
      <c r="V270" s="43"/>
      <c r="W270" s="43"/>
      <c r="X270" s="43"/>
      <c r="Y270" s="43"/>
      <c r="Z270" s="43"/>
      <c r="AA270" s="43"/>
    </row>
    <row r="271">
      <c r="A271" s="43"/>
      <c r="B271" s="160"/>
      <c r="C271" s="160"/>
      <c r="D271" s="160"/>
      <c r="E271" s="43"/>
      <c r="F271" s="43"/>
      <c r="G271" s="43"/>
      <c r="H271" s="43"/>
      <c r="I271" s="43"/>
      <c r="J271" s="43"/>
      <c r="K271" s="43"/>
      <c r="L271" s="43"/>
      <c r="M271" s="43"/>
      <c r="N271" s="43"/>
      <c r="O271" s="43"/>
      <c r="P271" s="43"/>
      <c r="Q271" s="43"/>
      <c r="R271" s="43"/>
      <c r="S271" s="43"/>
      <c r="T271" s="43"/>
      <c r="U271" s="43"/>
      <c r="V271" s="43"/>
      <c r="W271" s="43"/>
      <c r="X271" s="43"/>
      <c r="Y271" s="43"/>
      <c r="Z271" s="43"/>
      <c r="AA271" s="43"/>
    </row>
    <row r="272">
      <c r="A272" s="43"/>
      <c r="B272" s="160"/>
      <c r="C272" s="160"/>
      <c r="D272" s="160"/>
      <c r="E272" s="43"/>
      <c r="F272" s="43"/>
      <c r="G272" s="43"/>
      <c r="H272" s="43"/>
      <c r="I272" s="43"/>
      <c r="J272" s="43"/>
      <c r="K272" s="43"/>
      <c r="L272" s="43"/>
      <c r="M272" s="43"/>
      <c r="N272" s="43"/>
      <c r="O272" s="43"/>
      <c r="P272" s="43"/>
      <c r="Q272" s="43"/>
      <c r="R272" s="43"/>
      <c r="S272" s="43"/>
      <c r="T272" s="43"/>
      <c r="U272" s="43"/>
      <c r="V272" s="43"/>
      <c r="W272" s="43"/>
      <c r="X272" s="43"/>
      <c r="Y272" s="43"/>
      <c r="Z272" s="43"/>
      <c r="AA272" s="43"/>
    </row>
    <row r="273">
      <c r="A273" s="43"/>
      <c r="B273" s="160"/>
      <c r="C273" s="160"/>
      <c r="D273" s="160"/>
      <c r="E273" s="43"/>
      <c r="F273" s="43"/>
      <c r="G273" s="43"/>
      <c r="H273" s="43"/>
      <c r="I273" s="43"/>
      <c r="J273" s="43"/>
      <c r="K273" s="43"/>
      <c r="L273" s="43"/>
      <c r="M273" s="43"/>
      <c r="N273" s="43"/>
      <c r="O273" s="43"/>
      <c r="P273" s="43"/>
      <c r="Q273" s="43"/>
      <c r="R273" s="43"/>
      <c r="S273" s="43"/>
      <c r="T273" s="43"/>
      <c r="U273" s="43"/>
      <c r="V273" s="43"/>
      <c r="W273" s="43"/>
      <c r="X273" s="43"/>
      <c r="Y273" s="43"/>
      <c r="Z273" s="43"/>
      <c r="AA273" s="43"/>
    </row>
    <row r="274">
      <c r="A274" s="43"/>
      <c r="B274" s="160"/>
      <c r="C274" s="160"/>
      <c r="D274" s="160"/>
      <c r="E274" s="43"/>
      <c r="F274" s="43"/>
      <c r="G274" s="43"/>
      <c r="H274" s="43"/>
      <c r="I274" s="43"/>
      <c r="J274" s="43"/>
      <c r="K274" s="43"/>
      <c r="L274" s="43"/>
      <c r="M274" s="43"/>
      <c r="N274" s="43"/>
      <c r="O274" s="43"/>
      <c r="P274" s="43"/>
      <c r="Q274" s="43"/>
      <c r="R274" s="43"/>
      <c r="S274" s="43"/>
      <c r="T274" s="43"/>
      <c r="U274" s="43"/>
      <c r="V274" s="43"/>
      <c r="W274" s="43"/>
      <c r="X274" s="43"/>
      <c r="Y274" s="43"/>
      <c r="Z274" s="43"/>
      <c r="AA274" s="43"/>
    </row>
    <row r="275">
      <c r="A275" s="43"/>
      <c r="B275" s="160"/>
      <c r="C275" s="160"/>
      <c r="D275" s="160"/>
      <c r="E275" s="43"/>
      <c r="F275" s="43"/>
      <c r="G275" s="43"/>
      <c r="H275" s="43"/>
      <c r="I275" s="43"/>
      <c r="J275" s="43"/>
      <c r="K275" s="43"/>
      <c r="L275" s="43"/>
      <c r="M275" s="43"/>
      <c r="N275" s="43"/>
      <c r="O275" s="43"/>
      <c r="P275" s="43"/>
      <c r="Q275" s="43"/>
      <c r="R275" s="43"/>
      <c r="S275" s="43"/>
      <c r="T275" s="43"/>
      <c r="U275" s="43"/>
      <c r="V275" s="43"/>
      <c r="W275" s="43"/>
      <c r="X275" s="43"/>
      <c r="Y275" s="43"/>
      <c r="Z275" s="43"/>
      <c r="AA275" s="43"/>
    </row>
    <row r="276">
      <c r="A276" s="43"/>
      <c r="B276" s="160"/>
      <c r="C276" s="160"/>
      <c r="D276" s="160"/>
      <c r="E276" s="43"/>
      <c r="F276" s="43"/>
      <c r="G276" s="43"/>
      <c r="H276" s="43"/>
      <c r="I276" s="43"/>
      <c r="J276" s="43"/>
      <c r="K276" s="43"/>
      <c r="L276" s="43"/>
      <c r="M276" s="43"/>
      <c r="N276" s="43"/>
      <c r="O276" s="43"/>
      <c r="P276" s="43"/>
      <c r="Q276" s="43"/>
      <c r="R276" s="43"/>
      <c r="S276" s="43"/>
      <c r="T276" s="43"/>
      <c r="U276" s="43"/>
      <c r="V276" s="43"/>
      <c r="W276" s="43"/>
      <c r="X276" s="43"/>
      <c r="Y276" s="43"/>
      <c r="Z276" s="43"/>
      <c r="AA276" s="43"/>
    </row>
    <row r="277">
      <c r="A277" s="43"/>
      <c r="B277" s="160"/>
      <c r="C277" s="160"/>
      <c r="D277" s="160"/>
      <c r="E277" s="43"/>
      <c r="F277" s="43"/>
      <c r="G277" s="43"/>
      <c r="H277" s="43"/>
      <c r="I277" s="43"/>
      <c r="J277" s="43"/>
      <c r="K277" s="43"/>
      <c r="L277" s="43"/>
      <c r="M277" s="43"/>
      <c r="N277" s="43"/>
      <c r="O277" s="43"/>
      <c r="P277" s="43"/>
      <c r="Q277" s="43"/>
      <c r="R277" s="43"/>
      <c r="S277" s="43"/>
      <c r="T277" s="43"/>
      <c r="U277" s="43"/>
      <c r="V277" s="43"/>
      <c r="W277" s="43"/>
      <c r="X277" s="43"/>
      <c r="Y277" s="43"/>
      <c r="Z277" s="43"/>
      <c r="AA277" s="43"/>
    </row>
    <row r="278">
      <c r="A278" s="43"/>
      <c r="B278" s="160"/>
      <c r="C278" s="160"/>
      <c r="D278" s="160"/>
      <c r="E278" s="43"/>
      <c r="F278" s="43"/>
      <c r="G278" s="43"/>
      <c r="H278" s="43"/>
      <c r="I278" s="43"/>
      <c r="J278" s="43"/>
      <c r="K278" s="43"/>
      <c r="L278" s="43"/>
      <c r="M278" s="43"/>
      <c r="N278" s="43"/>
      <c r="O278" s="43"/>
      <c r="P278" s="43"/>
      <c r="Q278" s="43"/>
      <c r="R278" s="43"/>
      <c r="S278" s="43"/>
      <c r="T278" s="43"/>
      <c r="U278" s="43"/>
      <c r="V278" s="43"/>
      <c r="W278" s="43"/>
      <c r="X278" s="43"/>
      <c r="Y278" s="43"/>
      <c r="Z278" s="43"/>
      <c r="AA278" s="43"/>
    </row>
    <row r="279">
      <c r="A279" s="43"/>
      <c r="B279" s="160"/>
      <c r="C279" s="160"/>
      <c r="D279" s="160"/>
      <c r="E279" s="43"/>
      <c r="F279" s="43"/>
      <c r="G279" s="43"/>
      <c r="H279" s="43"/>
      <c r="I279" s="43"/>
      <c r="J279" s="43"/>
      <c r="K279" s="43"/>
      <c r="L279" s="43"/>
      <c r="M279" s="43"/>
      <c r="N279" s="43"/>
      <c r="O279" s="43"/>
      <c r="P279" s="43"/>
      <c r="Q279" s="43"/>
      <c r="R279" s="43"/>
      <c r="S279" s="43"/>
      <c r="T279" s="43"/>
      <c r="U279" s="43"/>
      <c r="V279" s="43"/>
      <c r="W279" s="43"/>
      <c r="X279" s="43"/>
      <c r="Y279" s="43"/>
      <c r="Z279" s="43"/>
      <c r="AA279" s="43"/>
    </row>
    <row r="280">
      <c r="A280" s="43"/>
      <c r="B280" s="160"/>
      <c r="C280" s="160"/>
      <c r="D280" s="160"/>
      <c r="E280" s="43"/>
      <c r="F280" s="43"/>
      <c r="G280" s="43"/>
      <c r="H280" s="43"/>
      <c r="I280" s="43"/>
      <c r="J280" s="43"/>
      <c r="K280" s="43"/>
      <c r="L280" s="43"/>
      <c r="M280" s="43"/>
      <c r="N280" s="43"/>
      <c r="O280" s="43"/>
      <c r="P280" s="43"/>
      <c r="Q280" s="43"/>
      <c r="R280" s="43"/>
      <c r="S280" s="43"/>
      <c r="T280" s="43"/>
      <c r="U280" s="43"/>
      <c r="V280" s="43"/>
      <c r="W280" s="43"/>
      <c r="X280" s="43"/>
      <c r="Y280" s="43"/>
      <c r="Z280" s="43"/>
      <c r="AA280" s="43"/>
    </row>
    <row r="281">
      <c r="A281" s="43"/>
      <c r="B281" s="160"/>
      <c r="C281" s="160"/>
      <c r="D281" s="160"/>
      <c r="E281" s="43"/>
      <c r="F281" s="43"/>
      <c r="G281" s="43"/>
      <c r="H281" s="43"/>
      <c r="I281" s="43"/>
      <c r="J281" s="43"/>
      <c r="K281" s="43"/>
      <c r="L281" s="43"/>
      <c r="M281" s="43"/>
      <c r="N281" s="43"/>
      <c r="O281" s="43"/>
      <c r="P281" s="43"/>
      <c r="Q281" s="43"/>
      <c r="R281" s="43"/>
      <c r="S281" s="43"/>
      <c r="T281" s="43"/>
      <c r="U281" s="43"/>
      <c r="V281" s="43"/>
      <c r="W281" s="43"/>
      <c r="X281" s="43"/>
      <c r="Y281" s="43"/>
      <c r="Z281" s="43"/>
      <c r="AA281" s="43"/>
    </row>
    <row r="282">
      <c r="A282" s="43"/>
      <c r="B282" s="160"/>
      <c r="C282" s="160"/>
      <c r="D282" s="160"/>
      <c r="E282" s="43"/>
      <c r="F282" s="43"/>
      <c r="G282" s="43"/>
      <c r="H282" s="43"/>
      <c r="I282" s="43"/>
      <c r="J282" s="43"/>
      <c r="K282" s="43"/>
      <c r="L282" s="43"/>
      <c r="M282" s="43"/>
      <c r="N282" s="43"/>
      <c r="O282" s="43"/>
      <c r="P282" s="43"/>
      <c r="Q282" s="43"/>
      <c r="R282" s="43"/>
      <c r="S282" s="43"/>
      <c r="T282" s="43"/>
      <c r="U282" s="43"/>
      <c r="V282" s="43"/>
      <c r="W282" s="43"/>
      <c r="X282" s="43"/>
      <c r="Y282" s="43"/>
      <c r="Z282" s="43"/>
      <c r="AA282" s="43"/>
    </row>
    <row r="283">
      <c r="A283" s="43"/>
      <c r="B283" s="160"/>
      <c r="C283" s="160"/>
      <c r="D283" s="160"/>
      <c r="E283" s="43"/>
      <c r="F283" s="43"/>
      <c r="G283" s="43"/>
      <c r="H283" s="43"/>
      <c r="I283" s="43"/>
      <c r="J283" s="43"/>
      <c r="K283" s="43"/>
      <c r="L283" s="43"/>
      <c r="M283" s="43"/>
      <c r="N283" s="43"/>
      <c r="O283" s="43"/>
      <c r="P283" s="43"/>
      <c r="Q283" s="43"/>
      <c r="R283" s="43"/>
      <c r="S283" s="43"/>
      <c r="T283" s="43"/>
      <c r="U283" s="43"/>
      <c r="V283" s="43"/>
      <c r="W283" s="43"/>
      <c r="X283" s="43"/>
      <c r="Y283" s="43"/>
      <c r="Z283" s="43"/>
      <c r="AA283" s="43"/>
    </row>
    <row r="284">
      <c r="A284" s="43"/>
      <c r="B284" s="160"/>
      <c r="C284" s="160"/>
      <c r="D284" s="160"/>
      <c r="E284" s="43"/>
      <c r="F284" s="43"/>
      <c r="G284" s="43"/>
      <c r="H284" s="43"/>
      <c r="I284" s="43"/>
      <c r="J284" s="43"/>
      <c r="K284" s="43"/>
      <c r="L284" s="43"/>
      <c r="M284" s="43"/>
      <c r="N284" s="43"/>
      <c r="O284" s="43"/>
      <c r="P284" s="43"/>
      <c r="Q284" s="43"/>
      <c r="R284" s="43"/>
      <c r="S284" s="43"/>
      <c r="T284" s="43"/>
      <c r="U284" s="43"/>
      <c r="V284" s="43"/>
      <c r="W284" s="43"/>
      <c r="X284" s="43"/>
      <c r="Y284" s="43"/>
      <c r="Z284" s="43"/>
      <c r="AA284" s="43"/>
    </row>
    <row r="285">
      <c r="A285" s="43"/>
      <c r="B285" s="160"/>
      <c r="C285" s="160"/>
      <c r="D285" s="160"/>
      <c r="E285" s="43"/>
      <c r="F285" s="43"/>
      <c r="G285" s="43"/>
      <c r="H285" s="43"/>
      <c r="I285" s="43"/>
      <c r="J285" s="43"/>
      <c r="K285" s="43"/>
      <c r="L285" s="43"/>
      <c r="M285" s="43"/>
      <c r="N285" s="43"/>
      <c r="O285" s="43"/>
      <c r="P285" s="43"/>
      <c r="Q285" s="43"/>
      <c r="R285" s="43"/>
      <c r="S285" s="43"/>
      <c r="T285" s="43"/>
      <c r="U285" s="43"/>
      <c r="V285" s="43"/>
      <c r="W285" s="43"/>
      <c r="X285" s="43"/>
      <c r="Y285" s="43"/>
      <c r="Z285" s="43"/>
      <c r="AA285" s="43"/>
    </row>
    <row r="286">
      <c r="A286" s="43"/>
      <c r="B286" s="160"/>
      <c r="C286" s="160"/>
      <c r="D286" s="160"/>
      <c r="E286" s="43"/>
      <c r="F286" s="43"/>
      <c r="G286" s="43"/>
      <c r="H286" s="43"/>
      <c r="I286" s="43"/>
      <c r="J286" s="43"/>
      <c r="K286" s="43"/>
      <c r="L286" s="43"/>
      <c r="M286" s="43"/>
      <c r="N286" s="43"/>
      <c r="O286" s="43"/>
      <c r="P286" s="43"/>
      <c r="Q286" s="43"/>
      <c r="R286" s="43"/>
      <c r="S286" s="43"/>
      <c r="T286" s="43"/>
      <c r="U286" s="43"/>
      <c r="V286" s="43"/>
      <c r="W286" s="43"/>
      <c r="X286" s="43"/>
      <c r="Y286" s="43"/>
      <c r="Z286" s="43"/>
      <c r="AA286" s="43"/>
    </row>
    <row r="287">
      <c r="A287" s="43"/>
      <c r="B287" s="160"/>
      <c r="C287" s="160"/>
      <c r="D287" s="160"/>
      <c r="E287" s="43"/>
      <c r="F287" s="43"/>
      <c r="G287" s="43"/>
      <c r="H287" s="43"/>
      <c r="I287" s="43"/>
      <c r="J287" s="43"/>
      <c r="K287" s="43"/>
      <c r="L287" s="43"/>
      <c r="M287" s="43"/>
      <c r="N287" s="43"/>
      <c r="O287" s="43"/>
      <c r="P287" s="43"/>
      <c r="Q287" s="43"/>
      <c r="R287" s="43"/>
      <c r="S287" s="43"/>
      <c r="T287" s="43"/>
      <c r="U287" s="43"/>
      <c r="V287" s="43"/>
      <c r="W287" s="43"/>
      <c r="X287" s="43"/>
      <c r="Y287" s="43"/>
      <c r="Z287" s="43"/>
      <c r="AA287" s="43"/>
    </row>
    <row r="288">
      <c r="A288" s="43"/>
      <c r="B288" s="160"/>
      <c r="C288" s="160"/>
      <c r="D288" s="160"/>
      <c r="E288" s="43"/>
      <c r="F288" s="43"/>
      <c r="G288" s="43"/>
      <c r="H288" s="43"/>
      <c r="I288" s="43"/>
      <c r="J288" s="43"/>
      <c r="K288" s="43"/>
      <c r="L288" s="43"/>
      <c r="M288" s="43"/>
      <c r="N288" s="43"/>
      <c r="O288" s="43"/>
      <c r="P288" s="43"/>
      <c r="Q288" s="43"/>
      <c r="R288" s="43"/>
      <c r="S288" s="43"/>
      <c r="T288" s="43"/>
      <c r="U288" s="43"/>
      <c r="V288" s="43"/>
      <c r="W288" s="43"/>
      <c r="X288" s="43"/>
      <c r="Y288" s="43"/>
      <c r="Z288" s="43"/>
      <c r="AA288" s="43"/>
    </row>
    <row r="289">
      <c r="A289" s="43"/>
      <c r="B289" s="160"/>
      <c r="C289" s="160"/>
      <c r="D289" s="160"/>
      <c r="E289" s="43"/>
      <c r="F289" s="43"/>
      <c r="G289" s="43"/>
      <c r="H289" s="43"/>
      <c r="I289" s="43"/>
      <c r="J289" s="43"/>
      <c r="K289" s="43"/>
      <c r="L289" s="43"/>
      <c r="M289" s="43"/>
      <c r="N289" s="43"/>
      <c r="O289" s="43"/>
      <c r="P289" s="43"/>
      <c r="Q289" s="43"/>
      <c r="R289" s="43"/>
      <c r="S289" s="43"/>
      <c r="T289" s="43"/>
      <c r="U289" s="43"/>
      <c r="V289" s="43"/>
      <c r="W289" s="43"/>
      <c r="X289" s="43"/>
      <c r="Y289" s="43"/>
      <c r="Z289" s="43"/>
      <c r="AA289" s="43"/>
    </row>
    <row r="290">
      <c r="A290" s="43"/>
      <c r="B290" s="160"/>
      <c r="C290" s="160"/>
      <c r="D290" s="160"/>
      <c r="E290" s="43"/>
      <c r="F290" s="43"/>
      <c r="G290" s="43"/>
      <c r="H290" s="43"/>
      <c r="I290" s="43"/>
      <c r="J290" s="43"/>
      <c r="K290" s="43"/>
      <c r="L290" s="43"/>
      <c r="M290" s="43"/>
      <c r="N290" s="43"/>
      <c r="O290" s="43"/>
      <c r="P290" s="43"/>
      <c r="Q290" s="43"/>
      <c r="R290" s="43"/>
      <c r="S290" s="43"/>
      <c r="T290" s="43"/>
      <c r="U290" s="43"/>
      <c r="V290" s="43"/>
      <c r="W290" s="43"/>
      <c r="X290" s="43"/>
      <c r="Y290" s="43"/>
      <c r="Z290" s="43"/>
      <c r="AA290" s="43"/>
    </row>
    <row r="291">
      <c r="A291" s="43"/>
      <c r="B291" s="160"/>
      <c r="C291" s="160"/>
      <c r="D291" s="160"/>
      <c r="E291" s="43"/>
      <c r="F291" s="43"/>
      <c r="G291" s="43"/>
      <c r="H291" s="43"/>
      <c r="I291" s="43"/>
      <c r="J291" s="43"/>
      <c r="K291" s="43"/>
      <c r="L291" s="43"/>
      <c r="M291" s="43"/>
      <c r="N291" s="43"/>
      <c r="O291" s="43"/>
      <c r="P291" s="43"/>
      <c r="Q291" s="43"/>
      <c r="R291" s="43"/>
      <c r="S291" s="43"/>
      <c r="T291" s="43"/>
      <c r="U291" s="43"/>
      <c r="V291" s="43"/>
      <c r="W291" s="43"/>
      <c r="X291" s="43"/>
      <c r="Y291" s="43"/>
      <c r="Z291" s="43"/>
      <c r="AA291" s="43"/>
    </row>
    <row r="292">
      <c r="A292" s="43"/>
      <c r="B292" s="160"/>
      <c r="C292" s="160"/>
      <c r="D292" s="160"/>
      <c r="E292" s="43"/>
      <c r="F292" s="43"/>
      <c r="G292" s="43"/>
      <c r="H292" s="43"/>
      <c r="I292" s="43"/>
      <c r="J292" s="43"/>
      <c r="K292" s="43"/>
      <c r="L292" s="43"/>
      <c r="M292" s="43"/>
      <c r="N292" s="43"/>
      <c r="O292" s="43"/>
      <c r="P292" s="43"/>
      <c r="Q292" s="43"/>
      <c r="R292" s="43"/>
      <c r="S292" s="43"/>
      <c r="T292" s="43"/>
      <c r="U292" s="43"/>
      <c r="V292" s="43"/>
      <c r="W292" s="43"/>
      <c r="X292" s="43"/>
      <c r="Y292" s="43"/>
      <c r="Z292" s="43"/>
      <c r="AA292" s="43"/>
    </row>
    <row r="293">
      <c r="A293" s="43"/>
      <c r="B293" s="160"/>
      <c r="C293" s="160"/>
      <c r="D293" s="160"/>
      <c r="E293" s="43"/>
      <c r="F293" s="43"/>
      <c r="G293" s="43"/>
      <c r="H293" s="43"/>
      <c r="I293" s="43"/>
      <c r="J293" s="43"/>
      <c r="K293" s="43"/>
      <c r="L293" s="43"/>
      <c r="M293" s="43"/>
      <c r="N293" s="43"/>
      <c r="O293" s="43"/>
      <c r="P293" s="43"/>
      <c r="Q293" s="43"/>
      <c r="R293" s="43"/>
      <c r="S293" s="43"/>
      <c r="T293" s="43"/>
      <c r="U293" s="43"/>
      <c r="V293" s="43"/>
      <c r="W293" s="43"/>
      <c r="X293" s="43"/>
      <c r="Y293" s="43"/>
      <c r="Z293" s="43"/>
      <c r="AA293" s="43"/>
    </row>
    <row r="294">
      <c r="A294" s="43"/>
      <c r="B294" s="160"/>
      <c r="C294" s="160"/>
      <c r="D294" s="160"/>
      <c r="E294" s="43"/>
      <c r="F294" s="43"/>
      <c r="G294" s="43"/>
      <c r="H294" s="43"/>
      <c r="I294" s="43"/>
      <c r="J294" s="43"/>
      <c r="K294" s="43"/>
      <c r="L294" s="43"/>
      <c r="M294" s="43"/>
      <c r="N294" s="43"/>
      <c r="O294" s="43"/>
      <c r="P294" s="43"/>
      <c r="Q294" s="43"/>
      <c r="R294" s="43"/>
      <c r="S294" s="43"/>
      <c r="T294" s="43"/>
      <c r="U294" s="43"/>
      <c r="V294" s="43"/>
      <c r="W294" s="43"/>
      <c r="X294" s="43"/>
      <c r="Y294" s="43"/>
      <c r="Z294" s="43"/>
      <c r="AA294" s="43"/>
    </row>
    <row r="295">
      <c r="A295" s="43"/>
      <c r="B295" s="160"/>
      <c r="C295" s="160"/>
      <c r="D295" s="160"/>
      <c r="E295" s="43"/>
      <c r="F295" s="43"/>
      <c r="G295" s="43"/>
      <c r="H295" s="43"/>
      <c r="I295" s="43"/>
      <c r="J295" s="43"/>
      <c r="K295" s="43"/>
      <c r="L295" s="43"/>
      <c r="M295" s="43"/>
      <c r="N295" s="43"/>
      <c r="O295" s="43"/>
      <c r="P295" s="43"/>
      <c r="Q295" s="43"/>
      <c r="R295" s="43"/>
      <c r="S295" s="43"/>
      <c r="T295" s="43"/>
      <c r="U295" s="43"/>
      <c r="V295" s="43"/>
      <c r="W295" s="43"/>
      <c r="X295" s="43"/>
      <c r="Y295" s="43"/>
      <c r="Z295" s="43"/>
      <c r="AA295" s="43"/>
    </row>
    <row r="296">
      <c r="A296" s="43"/>
      <c r="B296" s="160"/>
      <c r="C296" s="160"/>
      <c r="D296" s="160"/>
      <c r="E296" s="43"/>
      <c r="F296" s="43"/>
      <c r="G296" s="43"/>
      <c r="H296" s="43"/>
      <c r="I296" s="43"/>
      <c r="J296" s="43"/>
      <c r="K296" s="43"/>
      <c r="L296" s="43"/>
      <c r="M296" s="43"/>
      <c r="N296" s="43"/>
      <c r="O296" s="43"/>
      <c r="P296" s="43"/>
      <c r="Q296" s="43"/>
      <c r="R296" s="43"/>
      <c r="S296" s="43"/>
      <c r="T296" s="43"/>
      <c r="U296" s="43"/>
      <c r="V296" s="43"/>
      <c r="W296" s="43"/>
      <c r="X296" s="43"/>
      <c r="Y296" s="43"/>
      <c r="Z296" s="43"/>
      <c r="AA296" s="43"/>
    </row>
    <row r="297">
      <c r="A297" s="43"/>
      <c r="B297" s="160"/>
      <c r="C297" s="160"/>
      <c r="D297" s="160"/>
      <c r="E297" s="43"/>
      <c r="F297" s="43"/>
      <c r="G297" s="43"/>
      <c r="H297" s="43"/>
      <c r="I297" s="43"/>
      <c r="J297" s="43"/>
      <c r="K297" s="43"/>
      <c r="L297" s="43"/>
      <c r="M297" s="43"/>
      <c r="N297" s="43"/>
      <c r="O297" s="43"/>
      <c r="P297" s="43"/>
      <c r="Q297" s="43"/>
      <c r="R297" s="43"/>
      <c r="S297" s="43"/>
      <c r="T297" s="43"/>
      <c r="U297" s="43"/>
      <c r="V297" s="43"/>
      <c r="W297" s="43"/>
      <c r="X297" s="43"/>
      <c r="Y297" s="43"/>
      <c r="Z297" s="43"/>
      <c r="AA297" s="43"/>
    </row>
    <row r="298">
      <c r="A298" s="43"/>
      <c r="B298" s="160"/>
      <c r="C298" s="160"/>
      <c r="D298" s="160"/>
      <c r="E298" s="43"/>
      <c r="F298" s="43"/>
      <c r="G298" s="43"/>
      <c r="H298" s="43"/>
      <c r="I298" s="43"/>
      <c r="J298" s="43"/>
      <c r="K298" s="43"/>
      <c r="L298" s="43"/>
      <c r="M298" s="43"/>
      <c r="N298" s="43"/>
      <c r="O298" s="43"/>
      <c r="P298" s="43"/>
      <c r="Q298" s="43"/>
      <c r="R298" s="43"/>
      <c r="S298" s="43"/>
      <c r="T298" s="43"/>
      <c r="U298" s="43"/>
      <c r="V298" s="43"/>
      <c r="W298" s="43"/>
      <c r="X298" s="43"/>
      <c r="Y298" s="43"/>
      <c r="Z298" s="43"/>
      <c r="AA298" s="43"/>
    </row>
    <row r="299">
      <c r="A299" s="43"/>
      <c r="B299" s="160"/>
      <c r="C299" s="160"/>
      <c r="D299" s="160"/>
      <c r="E299" s="43"/>
      <c r="F299" s="43"/>
      <c r="G299" s="43"/>
      <c r="H299" s="43"/>
      <c r="I299" s="43"/>
      <c r="J299" s="43"/>
      <c r="K299" s="43"/>
      <c r="L299" s="43"/>
      <c r="M299" s="43"/>
      <c r="N299" s="43"/>
      <c r="O299" s="43"/>
      <c r="P299" s="43"/>
      <c r="Q299" s="43"/>
      <c r="R299" s="43"/>
      <c r="S299" s="43"/>
      <c r="T299" s="43"/>
      <c r="U299" s="43"/>
      <c r="V299" s="43"/>
      <c r="W299" s="43"/>
      <c r="X299" s="43"/>
      <c r="Y299" s="43"/>
      <c r="Z299" s="43"/>
      <c r="AA299" s="43"/>
    </row>
    <row r="300">
      <c r="A300" s="43"/>
      <c r="B300" s="160"/>
      <c r="C300" s="160"/>
      <c r="D300" s="160"/>
      <c r="E300" s="43"/>
      <c r="F300" s="43"/>
      <c r="G300" s="43"/>
      <c r="H300" s="43"/>
      <c r="I300" s="43"/>
      <c r="J300" s="43"/>
      <c r="K300" s="43"/>
      <c r="L300" s="43"/>
      <c r="M300" s="43"/>
      <c r="N300" s="43"/>
      <c r="O300" s="43"/>
      <c r="P300" s="43"/>
      <c r="Q300" s="43"/>
      <c r="R300" s="43"/>
      <c r="S300" s="43"/>
      <c r="T300" s="43"/>
      <c r="U300" s="43"/>
      <c r="V300" s="43"/>
      <c r="W300" s="43"/>
      <c r="X300" s="43"/>
      <c r="Y300" s="43"/>
      <c r="Z300" s="43"/>
      <c r="AA300" s="43"/>
    </row>
    <row r="301">
      <c r="A301" s="43"/>
      <c r="B301" s="160"/>
      <c r="C301" s="160"/>
      <c r="D301" s="160"/>
      <c r="E301" s="43"/>
      <c r="F301" s="43"/>
      <c r="G301" s="43"/>
      <c r="H301" s="43"/>
      <c r="I301" s="43"/>
      <c r="J301" s="43"/>
      <c r="K301" s="43"/>
      <c r="L301" s="43"/>
      <c r="M301" s="43"/>
      <c r="N301" s="43"/>
      <c r="O301" s="43"/>
      <c r="P301" s="43"/>
      <c r="Q301" s="43"/>
      <c r="R301" s="43"/>
      <c r="S301" s="43"/>
      <c r="T301" s="43"/>
      <c r="U301" s="43"/>
      <c r="V301" s="43"/>
      <c r="W301" s="43"/>
      <c r="X301" s="43"/>
      <c r="Y301" s="43"/>
      <c r="Z301" s="43"/>
      <c r="AA301" s="43"/>
    </row>
    <row r="302">
      <c r="A302" s="43"/>
      <c r="B302" s="160"/>
      <c r="C302" s="160"/>
      <c r="D302" s="160"/>
      <c r="E302" s="43"/>
      <c r="F302" s="43"/>
      <c r="G302" s="43"/>
      <c r="H302" s="43"/>
      <c r="I302" s="43"/>
      <c r="J302" s="43"/>
      <c r="K302" s="43"/>
      <c r="L302" s="43"/>
      <c r="M302" s="43"/>
      <c r="N302" s="43"/>
      <c r="O302" s="43"/>
      <c r="P302" s="43"/>
      <c r="Q302" s="43"/>
      <c r="R302" s="43"/>
      <c r="S302" s="43"/>
      <c r="T302" s="43"/>
      <c r="U302" s="43"/>
      <c r="V302" s="43"/>
      <c r="W302" s="43"/>
      <c r="X302" s="43"/>
      <c r="Y302" s="43"/>
      <c r="Z302" s="43"/>
      <c r="AA302" s="43"/>
    </row>
    <row r="303">
      <c r="A303" s="43"/>
      <c r="B303" s="160"/>
      <c r="C303" s="160"/>
      <c r="D303" s="160"/>
      <c r="E303" s="43"/>
      <c r="F303" s="43"/>
      <c r="G303" s="43"/>
      <c r="H303" s="43"/>
      <c r="I303" s="43"/>
      <c r="J303" s="43"/>
      <c r="K303" s="43"/>
      <c r="L303" s="43"/>
      <c r="M303" s="43"/>
      <c r="N303" s="43"/>
      <c r="O303" s="43"/>
      <c r="P303" s="43"/>
      <c r="Q303" s="43"/>
      <c r="R303" s="43"/>
      <c r="S303" s="43"/>
      <c r="T303" s="43"/>
      <c r="U303" s="43"/>
      <c r="V303" s="43"/>
      <c r="W303" s="43"/>
      <c r="X303" s="43"/>
      <c r="Y303" s="43"/>
      <c r="Z303" s="43"/>
      <c r="AA303" s="43"/>
    </row>
    <row r="304">
      <c r="A304" s="43"/>
      <c r="B304" s="160"/>
      <c r="C304" s="160"/>
      <c r="D304" s="160"/>
      <c r="E304" s="43"/>
      <c r="F304" s="43"/>
      <c r="G304" s="43"/>
      <c r="H304" s="43"/>
      <c r="I304" s="43"/>
      <c r="J304" s="43"/>
      <c r="K304" s="43"/>
      <c r="L304" s="43"/>
      <c r="M304" s="43"/>
      <c r="N304" s="43"/>
      <c r="O304" s="43"/>
      <c r="P304" s="43"/>
      <c r="Q304" s="43"/>
      <c r="R304" s="43"/>
      <c r="S304" s="43"/>
      <c r="T304" s="43"/>
      <c r="U304" s="43"/>
      <c r="V304" s="43"/>
      <c r="W304" s="43"/>
      <c r="X304" s="43"/>
      <c r="Y304" s="43"/>
      <c r="Z304" s="43"/>
      <c r="AA304" s="43"/>
    </row>
    <row r="305">
      <c r="A305" s="43"/>
      <c r="B305" s="160"/>
      <c r="C305" s="160"/>
      <c r="D305" s="160"/>
      <c r="E305" s="43"/>
      <c r="F305" s="43"/>
      <c r="G305" s="43"/>
      <c r="H305" s="43"/>
      <c r="I305" s="43"/>
      <c r="J305" s="43"/>
      <c r="K305" s="43"/>
      <c r="L305" s="43"/>
      <c r="M305" s="43"/>
      <c r="N305" s="43"/>
      <c r="O305" s="43"/>
      <c r="P305" s="43"/>
      <c r="Q305" s="43"/>
      <c r="R305" s="43"/>
      <c r="S305" s="43"/>
      <c r="T305" s="43"/>
      <c r="U305" s="43"/>
      <c r="V305" s="43"/>
      <c r="W305" s="43"/>
      <c r="X305" s="43"/>
      <c r="Y305" s="43"/>
      <c r="Z305" s="43"/>
      <c r="AA305" s="43"/>
    </row>
    <row r="306">
      <c r="A306" s="43"/>
      <c r="B306" s="160"/>
      <c r="C306" s="160"/>
      <c r="D306" s="160"/>
      <c r="E306" s="43"/>
      <c r="F306" s="43"/>
      <c r="G306" s="43"/>
      <c r="H306" s="43"/>
      <c r="I306" s="43"/>
      <c r="J306" s="43"/>
      <c r="K306" s="43"/>
      <c r="L306" s="43"/>
      <c r="M306" s="43"/>
      <c r="N306" s="43"/>
      <c r="O306" s="43"/>
      <c r="P306" s="43"/>
      <c r="Q306" s="43"/>
      <c r="R306" s="43"/>
      <c r="S306" s="43"/>
      <c r="T306" s="43"/>
      <c r="U306" s="43"/>
      <c r="V306" s="43"/>
      <c r="W306" s="43"/>
      <c r="X306" s="43"/>
      <c r="Y306" s="43"/>
      <c r="Z306" s="43"/>
      <c r="AA306" s="43"/>
    </row>
    <row r="307">
      <c r="A307" s="43"/>
      <c r="B307" s="160"/>
      <c r="C307" s="160"/>
      <c r="D307" s="160"/>
      <c r="E307" s="43"/>
      <c r="F307" s="43"/>
      <c r="G307" s="43"/>
      <c r="H307" s="43"/>
      <c r="I307" s="43"/>
      <c r="J307" s="43"/>
      <c r="K307" s="43"/>
      <c r="L307" s="43"/>
      <c r="M307" s="43"/>
      <c r="N307" s="43"/>
      <c r="O307" s="43"/>
      <c r="P307" s="43"/>
      <c r="Q307" s="43"/>
      <c r="R307" s="43"/>
      <c r="S307" s="43"/>
      <c r="T307" s="43"/>
      <c r="U307" s="43"/>
      <c r="V307" s="43"/>
      <c r="W307" s="43"/>
      <c r="X307" s="43"/>
      <c r="Y307" s="43"/>
      <c r="Z307" s="43"/>
      <c r="AA307" s="43"/>
    </row>
    <row r="308">
      <c r="A308" s="43"/>
      <c r="B308" s="160"/>
      <c r="C308" s="160"/>
      <c r="D308" s="160"/>
      <c r="E308" s="43"/>
      <c r="F308" s="43"/>
      <c r="G308" s="43"/>
      <c r="H308" s="43"/>
      <c r="I308" s="43"/>
      <c r="J308" s="43"/>
      <c r="K308" s="43"/>
      <c r="L308" s="43"/>
      <c r="M308" s="43"/>
      <c r="N308" s="43"/>
      <c r="O308" s="43"/>
      <c r="P308" s="43"/>
      <c r="Q308" s="43"/>
      <c r="R308" s="43"/>
      <c r="S308" s="43"/>
      <c r="T308" s="43"/>
      <c r="U308" s="43"/>
      <c r="V308" s="43"/>
      <c r="W308" s="43"/>
      <c r="X308" s="43"/>
      <c r="Y308" s="43"/>
      <c r="Z308" s="43"/>
      <c r="AA308" s="43"/>
    </row>
    <row r="309">
      <c r="A309" s="43"/>
      <c r="B309" s="160"/>
      <c r="C309" s="160"/>
      <c r="D309" s="160"/>
      <c r="E309" s="43"/>
      <c r="F309" s="43"/>
      <c r="G309" s="43"/>
      <c r="H309" s="43"/>
      <c r="I309" s="43"/>
      <c r="J309" s="43"/>
      <c r="K309" s="43"/>
      <c r="L309" s="43"/>
      <c r="M309" s="43"/>
      <c r="N309" s="43"/>
      <c r="O309" s="43"/>
      <c r="P309" s="43"/>
      <c r="Q309" s="43"/>
      <c r="R309" s="43"/>
      <c r="S309" s="43"/>
      <c r="T309" s="43"/>
      <c r="U309" s="43"/>
      <c r="V309" s="43"/>
      <c r="W309" s="43"/>
      <c r="X309" s="43"/>
      <c r="Y309" s="43"/>
      <c r="Z309" s="43"/>
      <c r="AA309" s="43"/>
    </row>
    <row r="310">
      <c r="A310" s="43"/>
      <c r="B310" s="160"/>
      <c r="C310" s="160"/>
      <c r="D310" s="160"/>
      <c r="E310" s="43"/>
      <c r="F310" s="43"/>
      <c r="G310" s="43"/>
      <c r="H310" s="43"/>
      <c r="I310" s="43"/>
      <c r="J310" s="43"/>
      <c r="K310" s="43"/>
      <c r="L310" s="43"/>
      <c r="M310" s="43"/>
      <c r="N310" s="43"/>
      <c r="O310" s="43"/>
      <c r="P310" s="43"/>
      <c r="Q310" s="43"/>
      <c r="R310" s="43"/>
      <c r="S310" s="43"/>
      <c r="T310" s="43"/>
      <c r="U310" s="43"/>
      <c r="V310" s="43"/>
      <c r="W310" s="43"/>
      <c r="X310" s="43"/>
      <c r="Y310" s="43"/>
      <c r="Z310" s="43"/>
      <c r="AA310" s="43"/>
    </row>
    <row r="311">
      <c r="A311" s="43"/>
      <c r="B311" s="160"/>
      <c r="C311" s="160"/>
      <c r="D311" s="160"/>
      <c r="E311" s="43"/>
      <c r="F311" s="43"/>
      <c r="G311" s="43"/>
      <c r="H311" s="43"/>
      <c r="I311" s="43"/>
      <c r="J311" s="43"/>
      <c r="K311" s="43"/>
      <c r="L311" s="43"/>
      <c r="M311" s="43"/>
      <c r="N311" s="43"/>
      <c r="O311" s="43"/>
      <c r="P311" s="43"/>
      <c r="Q311" s="43"/>
      <c r="R311" s="43"/>
      <c r="S311" s="43"/>
      <c r="T311" s="43"/>
      <c r="U311" s="43"/>
      <c r="V311" s="43"/>
      <c r="W311" s="43"/>
      <c r="X311" s="43"/>
      <c r="Y311" s="43"/>
      <c r="Z311" s="43"/>
      <c r="AA311" s="43"/>
    </row>
    <row r="312">
      <c r="A312" s="43"/>
      <c r="B312" s="160"/>
      <c r="C312" s="160"/>
      <c r="D312" s="160"/>
      <c r="E312" s="43"/>
      <c r="F312" s="43"/>
      <c r="G312" s="43"/>
      <c r="H312" s="43"/>
      <c r="I312" s="43"/>
      <c r="J312" s="43"/>
      <c r="K312" s="43"/>
      <c r="L312" s="43"/>
      <c r="M312" s="43"/>
      <c r="N312" s="43"/>
      <c r="O312" s="43"/>
      <c r="P312" s="43"/>
      <c r="Q312" s="43"/>
      <c r="R312" s="43"/>
      <c r="S312" s="43"/>
      <c r="T312" s="43"/>
      <c r="U312" s="43"/>
      <c r="V312" s="43"/>
      <c r="W312" s="43"/>
      <c r="X312" s="43"/>
      <c r="Y312" s="43"/>
      <c r="Z312" s="43"/>
      <c r="AA312" s="43"/>
    </row>
    <row r="313">
      <c r="A313" s="43"/>
      <c r="B313" s="160"/>
      <c r="C313" s="160"/>
      <c r="D313" s="160"/>
      <c r="E313" s="43"/>
      <c r="F313" s="43"/>
      <c r="G313" s="43"/>
      <c r="H313" s="43"/>
      <c r="I313" s="43"/>
      <c r="J313" s="43"/>
      <c r="K313" s="43"/>
      <c r="L313" s="43"/>
      <c r="M313" s="43"/>
      <c r="N313" s="43"/>
      <c r="O313" s="43"/>
      <c r="P313" s="43"/>
      <c r="Q313" s="43"/>
      <c r="R313" s="43"/>
      <c r="S313" s="43"/>
      <c r="T313" s="43"/>
      <c r="U313" s="43"/>
      <c r="V313" s="43"/>
      <c r="W313" s="43"/>
      <c r="X313" s="43"/>
      <c r="Y313" s="43"/>
      <c r="Z313" s="43"/>
      <c r="AA313" s="43"/>
    </row>
    <row r="314">
      <c r="A314" s="43"/>
      <c r="B314" s="160"/>
      <c r="C314" s="160"/>
      <c r="D314" s="160"/>
      <c r="E314" s="43"/>
      <c r="F314" s="43"/>
      <c r="G314" s="43"/>
      <c r="H314" s="43"/>
      <c r="I314" s="43"/>
      <c r="J314" s="43"/>
      <c r="K314" s="43"/>
      <c r="L314" s="43"/>
      <c r="M314" s="43"/>
      <c r="N314" s="43"/>
      <c r="O314" s="43"/>
      <c r="P314" s="43"/>
      <c r="Q314" s="43"/>
      <c r="R314" s="43"/>
      <c r="S314" s="43"/>
      <c r="T314" s="43"/>
      <c r="U314" s="43"/>
      <c r="V314" s="43"/>
      <c r="W314" s="43"/>
      <c r="X314" s="43"/>
      <c r="Y314" s="43"/>
      <c r="Z314" s="43"/>
      <c r="AA314" s="43"/>
    </row>
    <row r="315">
      <c r="A315" s="43"/>
      <c r="B315" s="160"/>
      <c r="C315" s="160"/>
      <c r="D315" s="160"/>
      <c r="E315" s="43"/>
      <c r="F315" s="43"/>
      <c r="G315" s="43"/>
      <c r="H315" s="43"/>
      <c r="I315" s="43"/>
      <c r="J315" s="43"/>
      <c r="K315" s="43"/>
      <c r="L315" s="43"/>
      <c r="M315" s="43"/>
      <c r="N315" s="43"/>
      <c r="O315" s="43"/>
      <c r="P315" s="43"/>
      <c r="Q315" s="43"/>
      <c r="R315" s="43"/>
      <c r="S315" s="43"/>
      <c r="T315" s="43"/>
      <c r="U315" s="43"/>
      <c r="V315" s="43"/>
      <c r="W315" s="43"/>
      <c r="X315" s="43"/>
      <c r="Y315" s="43"/>
      <c r="Z315" s="43"/>
      <c r="AA315" s="43"/>
    </row>
    <row r="316">
      <c r="A316" s="43"/>
      <c r="B316" s="160"/>
      <c r="C316" s="160"/>
      <c r="D316" s="160"/>
      <c r="E316" s="43"/>
      <c r="F316" s="43"/>
      <c r="G316" s="43"/>
      <c r="H316" s="43"/>
      <c r="I316" s="43"/>
      <c r="J316" s="43"/>
      <c r="K316" s="43"/>
      <c r="L316" s="43"/>
      <c r="M316" s="43"/>
      <c r="N316" s="43"/>
      <c r="O316" s="43"/>
      <c r="P316" s="43"/>
      <c r="Q316" s="43"/>
      <c r="R316" s="43"/>
      <c r="S316" s="43"/>
      <c r="T316" s="43"/>
      <c r="U316" s="43"/>
      <c r="V316" s="43"/>
      <c r="W316" s="43"/>
      <c r="X316" s="43"/>
      <c r="Y316" s="43"/>
      <c r="Z316" s="43"/>
      <c r="AA316" s="43"/>
    </row>
    <row r="317">
      <c r="A317" s="43"/>
      <c r="B317" s="160"/>
      <c r="C317" s="160"/>
      <c r="D317" s="160"/>
      <c r="E317" s="43"/>
      <c r="F317" s="43"/>
      <c r="G317" s="43"/>
      <c r="H317" s="43"/>
      <c r="I317" s="43"/>
      <c r="J317" s="43"/>
      <c r="K317" s="43"/>
      <c r="L317" s="43"/>
      <c r="M317" s="43"/>
      <c r="N317" s="43"/>
      <c r="O317" s="43"/>
      <c r="P317" s="43"/>
      <c r="Q317" s="43"/>
      <c r="R317" s="43"/>
      <c r="S317" s="43"/>
      <c r="T317" s="43"/>
      <c r="U317" s="43"/>
      <c r="V317" s="43"/>
      <c r="W317" s="43"/>
      <c r="X317" s="43"/>
      <c r="Y317" s="43"/>
      <c r="Z317" s="43"/>
      <c r="AA317" s="43"/>
    </row>
    <row r="318">
      <c r="A318" s="43"/>
      <c r="B318" s="160"/>
      <c r="C318" s="160"/>
      <c r="D318" s="160"/>
      <c r="E318" s="43"/>
      <c r="F318" s="43"/>
      <c r="G318" s="43"/>
      <c r="H318" s="43"/>
      <c r="I318" s="43"/>
      <c r="J318" s="43"/>
      <c r="K318" s="43"/>
      <c r="L318" s="43"/>
      <c r="M318" s="43"/>
      <c r="N318" s="43"/>
      <c r="O318" s="43"/>
      <c r="P318" s="43"/>
      <c r="Q318" s="43"/>
      <c r="R318" s="43"/>
      <c r="S318" s="43"/>
      <c r="T318" s="43"/>
      <c r="U318" s="43"/>
      <c r="V318" s="43"/>
      <c r="W318" s="43"/>
      <c r="X318" s="43"/>
      <c r="Y318" s="43"/>
      <c r="Z318" s="43"/>
      <c r="AA318" s="43"/>
    </row>
    <row r="319">
      <c r="A319" s="43"/>
      <c r="B319" s="160"/>
      <c r="C319" s="160"/>
      <c r="D319" s="160"/>
      <c r="E319" s="43"/>
      <c r="F319" s="43"/>
      <c r="G319" s="43"/>
      <c r="H319" s="43"/>
      <c r="I319" s="43"/>
      <c r="J319" s="43"/>
      <c r="K319" s="43"/>
      <c r="L319" s="43"/>
      <c r="M319" s="43"/>
      <c r="N319" s="43"/>
      <c r="O319" s="43"/>
      <c r="P319" s="43"/>
      <c r="Q319" s="43"/>
      <c r="R319" s="43"/>
      <c r="S319" s="43"/>
      <c r="T319" s="43"/>
      <c r="U319" s="43"/>
      <c r="V319" s="43"/>
      <c r="W319" s="43"/>
      <c r="X319" s="43"/>
      <c r="Y319" s="43"/>
      <c r="Z319" s="43"/>
      <c r="AA319" s="43"/>
    </row>
    <row r="320">
      <c r="A320" s="43"/>
      <c r="B320" s="160"/>
      <c r="C320" s="160"/>
      <c r="D320" s="160"/>
      <c r="E320" s="43"/>
      <c r="F320" s="43"/>
      <c r="G320" s="43"/>
      <c r="H320" s="43"/>
      <c r="I320" s="43"/>
      <c r="J320" s="43"/>
      <c r="K320" s="43"/>
      <c r="L320" s="43"/>
      <c r="M320" s="43"/>
      <c r="N320" s="43"/>
      <c r="O320" s="43"/>
      <c r="P320" s="43"/>
      <c r="Q320" s="43"/>
      <c r="R320" s="43"/>
      <c r="S320" s="43"/>
      <c r="T320" s="43"/>
      <c r="U320" s="43"/>
      <c r="V320" s="43"/>
      <c r="W320" s="43"/>
      <c r="X320" s="43"/>
      <c r="Y320" s="43"/>
      <c r="Z320" s="43"/>
      <c r="AA320" s="43"/>
    </row>
    <row r="321">
      <c r="A321" s="43"/>
      <c r="B321" s="160"/>
      <c r="C321" s="160"/>
      <c r="D321" s="160"/>
      <c r="E321" s="43"/>
      <c r="F321" s="43"/>
      <c r="G321" s="43"/>
      <c r="H321" s="43"/>
      <c r="I321" s="43"/>
      <c r="J321" s="43"/>
      <c r="K321" s="43"/>
      <c r="L321" s="43"/>
      <c r="M321" s="43"/>
      <c r="N321" s="43"/>
      <c r="O321" s="43"/>
      <c r="P321" s="43"/>
      <c r="Q321" s="43"/>
      <c r="R321" s="43"/>
      <c r="S321" s="43"/>
      <c r="T321" s="43"/>
      <c r="U321" s="43"/>
      <c r="V321" s="43"/>
      <c r="W321" s="43"/>
      <c r="X321" s="43"/>
      <c r="Y321" s="43"/>
      <c r="Z321" s="43"/>
      <c r="AA321" s="43"/>
    </row>
    <row r="322">
      <c r="A322" s="43"/>
      <c r="B322" s="160"/>
      <c r="C322" s="160"/>
      <c r="D322" s="160"/>
      <c r="E322" s="43"/>
      <c r="F322" s="43"/>
      <c r="G322" s="43"/>
      <c r="H322" s="43"/>
      <c r="I322" s="43"/>
      <c r="J322" s="43"/>
      <c r="K322" s="43"/>
      <c r="L322" s="43"/>
      <c r="M322" s="43"/>
      <c r="N322" s="43"/>
      <c r="O322" s="43"/>
      <c r="P322" s="43"/>
      <c r="Q322" s="43"/>
      <c r="R322" s="43"/>
      <c r="S322" s="43"/>
      <c r="T322" s="43"/>
      <c r="U322" s="43"/>
      <c r="V322" s="43"/>
      <c r="W322" s="43"/>
      <c r="X322" s="43"/>
      <c r="Y322" s="43"/>
      <c r="Z322" s="43"/>
      <c r="AA322" s="43"/>
    </row>
    <row r="323">
      <c r="A323" s="43"/>
      <c r="B323" s="160"/>
      <c r="C323" s="160"/>
      <c r="D323" s="160"/>
      <c r="E323" s="43"/>
      <c r="F323" s="43"/>
      <c r="G323" s="43"/>
      <c r="H323" s="43"/>
      <c r="I323" s="43"/>
      <c r="J323" s="43"/>
      <c r="K323" s="43"/>
      <c r="L323" s="43"/>
      <c r="M323" s="43"/>
      <c r="N323" s="43"/>
      <c r="O323" s="43"/>
      <c r="P323" s="43"/>
      <c r="Q323" s="43"/>
      <c r="R323" s="43"/>
      <c r="S323" s="43"/>
      <c r="T323" s="43"/>
      <c r="U323" s="43"/>
      <c r="V323" s="43"/>
      <c r="W323" s="43"/>
      <c r="X323" s="43"/>
      <c r="Y323" s="43"/>
      <c r="Z323" s="43"/>
      <c r="AA323" s="43"/>
    </row>
    <row r="324">
      <c r="A324" s="43"/>
      <c r="B324" s="160"/>
      <c r="C324" s="160"/>
      <c r="D324" s="160"/>
      <c r="E324" s="43"/>
      <c r="F324" s="43"/>
      <c r="G324" s="43"/>
      <c r="H324" s="43"/>
      <c r="I324" s="43"/>
      <c r="J324" s="43"/>
      <c r="K324" s="43"/>
      <c r="L324" s="43"/>
      <c r="M324" s="43"/>
      <c r="N324" s="43"/>
      <c r="O324" s="43"/>
      <c r="P324" s="43"/>
      <c r="Q324" s="43"/>
      <c r="R324" s="43"/>
      <c r="S324" s="43"/>
      <c r="T324" s="43"/>
      <c r="U324" s="43"/>
      <c r="V324" s="43"/>
      <c r="W324" s="43"/>
      <c r="X324" s="43"/>
      <c r="Y324" s="43"/>
      <c r="Z324" s="43"/>
      <c r="AA324" s="43"/>
    </row>
    <row r="325">
      <c r="A325" s="43"/>
      <c r="B325" s="160"/>
      <c r="C325" s="160"/>
      <c r="D325" s="160"/>
      <c r="E325" s="43"/>
      <c r="F325" s="43"/>
      <c r="G325" s="43"/>
      <c r="H325" s="43"/>
      <c r="I325" s="43"/>
      <c r="J325" s="43"/>
      <c r="K325" s="43"/>
      <c r="L325" s="43"/>
      <c r="M325" s="43"/>
      <c r="N325" s="43"/>
      <c r="O325" s="43"/>
      <c r="P325" s="43"/>
      <c r="Q325" s="43"/>
      <c r="R325" s="43"/>
      <c r="S325" s="43"/>
      <c r="T325" s="43"/>
      <c r="U325" s="43"/>
      <c r="V325" s="43"/>
      <c r="W325" s="43"/>
      <c r="X325" s="43"/>
      <c r="Y325" s="43"/>
      <c r="Z325" s="43"/>
      <c r="AA325" s="43"/>
    </row>
    <row r="326">
      <c r="A326" s="43"/>
      <c r="B326" s="160"/>
      <c r="C326" s="160"/>
      <c r="D326" s="160"/>
      <c r="E326" s="43"/>
      <c r="F326" s="43"/>
      <c r="G326" s="43"/>
      <c r="H326" s="43"/>
      <c r="I326" s="43"/>
      <c r="J326" s="43"/>
      <c r="K326" s="43"/>
      <c r="L326" s="43"/>
      <c r="M326" s="43"/>
      <c r="N326" s="43"/>
      <c r="O326" s="43"/>
      <c r="P326" s="43"/>
      <c r="Q326" s="43"/>
      <c r="R326" s="43"/>
      <c r="S326" s="43"/>
      <c r="T326" s="43"/>
      <c r="U326" s="43"/>
      <c r="V326" s="43"/>
      <c r="W326" s="43"/>
      <c r="X326" s="43"/>
      <c r="Y326" s="43"/>
      <c r="Z326" s="43"/>
      <c r="AA326" s="43"/>
    </row>
    <row r="327">
      <c r="A327" s="43"/>
      <c r="B327" s="160"/>
      <c r="C327" s="160"/>
      <c r="D327" s="160"/>
      <c r="E327" s="43"/>
      <c r="F327" s="43"/>
      <c r="G327" s="43"/>
      <c r="H327" s="43"/>
      <c r="I327" s="43"/>
      <c r="J327" s="43"/>
      <c r="K327" s="43"/>
      <c r="L327" s="43"/>
      <c r="M327" s="43"/>
      <c r="N327" s="43"/>
      <c r="O327" s="43"/>
      <c r="P327" s="43"/>
      <c r="Q327" s="43"/>
      <c r="R327" s="43"/>
      <c r="S327" s="43"/>
      <c r="T327" s="43"/>
      <c r="U327" s="43"/>
      <c r="V327" s="43"/>
      <c r="W327" s="43"/>
      <c r="X327" s="43"/>
      <c r="Y327" s="43"/>
      <c r="Z327" s="43"/>
      <c r="AA327" s="43"/>
    </row>
    <row r="328">
      <c r="A328" s="43"/>
      <c r="B328" s="160"/>
      <c r="C328" s="160"/>
      <c r="D328" s="160"/>
      <c r="E328" s="43"/>
      <c r="F328" s="43"/>
      <c r="G328" s="43"/>
      <c r="H328" s="43"/>
      <c r="I328" s="43"/>
      <c r="J328" s="43"/>
      <c r="K328" s="43"/>
      <c r="L328" s="43"/>
      <c r="M328" s="43"/>
      <c r="N328" s="43"/>
      <c r="O328" s="43"/>
      <c r="P328" s="43"/>
      <c r="Q328" s="43"/>
      <c r="R328" s="43"/>
      <c r="S328" s="43"/>
      <c r="T328" s="43"/>
      <c r="U328" s="43"/>
      <c r="V328" s="43"/>
      <c r="W328" s="43"/>
      <c r="X328" s="43"/>
      <c r="Y328" s="43"/>
      <c r="Z328" s="43"/>
      <c r="AA328" s="43"/>
    </row>
    <row r="329">
      <c r="A329" s="43"/>
      <c r="B329" s="160"/>
      <c r="C329" s="160"/>
      <c r="D329" s="160"/>
      <c r="E329" s="43"/>
      <c r="F329" s="43"/>
      <c r="G329" s="43"/>
      <c r="H329" s="43"/>
      <c r="I329" s="43"/>
      <c r="J329" s="43"/>
      <c r="K329" s="43"/>
      <c r="L329" s="43"/>
      <c r="M329" s="43"/>
      <c r="N329" s="43"/>
      <c r="O329" s="43"/>
      <c r="P329" s="43"/>
      <c r="Q329" s="43"/>
      <c r="R329" s="43"/>
      <c r="S329" s="43"/>
      <c r="T329" s="43"/>
      <c r="U329" s="43"/>
      <c r="V329" s="43"/>
      <c r="W329" s="43"/>
      <c r="X329" s="43"/>
      <c r="Y329" s="43"/>
      <c r="Z329" s="43"/>
      <c r="AA329" s="43"/>
    </row>
    <row r="330">
      <c r="A330" s="43"/>
      <c r="B330" s="160"/>
      <c r="C330" s="160"/>
      <c r="D330" s="160"/>
      <c r="E330" s="43"/>
      <c r="F330" s="43"/>
      <c r="G330" s="43"/>
      <c r="H330" s="43"/>
      <c r="I330" s="43"/>
      <c r="J330" s="43"/>
      <c r="K330" s="43"/>
      <c r="L330" s="43"/>
      <c r="M330" s="43"/>
      <c r="N330" s="43"/>
      <c r="O330" s="43"/>
      <c r="P330" s="43"/>
      <c r="Q330" s="43"/>
      <c r="R330" s="43"/>
      <c r="S330" s="43"/>
      <c r="T330" s="43"/>
      <c r="U330" s="43"/>
      <c r="V330" s="43"/>
      <c r="W330" s="43"/>
      <c r="X330" s="43"/>
      <c r="Y330" s="43"/>
      <c r="Z330" s="43"/>
      <c r="AA330" s="43"/>
    </row>
    <row r="331">
      <c r="A331" s="43"/>
      <c r="B331" s="160"/>
      <c r="C331" s="160"/>
      <c r="D331" s="160"/>
      <c r="E331" s="43"/>
      <c r="F331" s="43"/>
      <c r="G331" s="43"/>
      <c r="H331" s="43"/>
      <c r="I331" s="43"/>
      <c r="J331" s="43"/>
      <c r="K331" s="43"/>
      <c r="L331" s="43"/>
      <c r="M331" s="43"/>
      <c r="N331" s="43"/>
      <c r="O331" s="43"/>
      <c r="P331" s="43"/>
      <c r="Q331" s="43"/>
      <c r="R331" s="43"/>
      <c r="S331" s="43"/>
      <c r="T331" s="43"/>
      <c r="U331" s="43"/>
      <c r="V331" s="43"/>
      <c r="W331" s="43"/>
      <c r="X331" s="43"/>
      <c r="Y331" s="43"/>
      <c r="Z331" s="43"/>
      <c r="AA331" s="43"/>
    </row>
    <row r="332">
      <c r="A332" s="43"/>
      <c r="B332" s="160"/>
      <c r="C332" s="160"/>
      <c r="D332" s="160"/>
      <c r="E332" s="43"/>
      <c r="F332" s="43"/>
      <c r="G332" s="43"/>
      <c r="H332" s="43"/>
      <c r="I332" s="43"/>
      <c r="J332" s="43"/>
      <c r="K332" s="43"/>
      <c r="L332" s="43"/>
      <c r="M332" s="43"/>
      <c r="N332" s="43"/>
      <c r="O332" s="43"/>
      <c r="P332" s="43"/>
      <c r="Q332" s="43"/>
      <c r="R332" s="43"/>
      <c r="S332" s="43"/>
      <c r="T332" s="43"/>
      <c r="U332" s="43"/>
      <c r="V332" s="43"/>
      <c r="W332" s="43"/>
      <c r="X332" s="43"/>
      <c r="Y332" s="43"/>
      <c r="Z332" s="43"/>
      <c r="AA332" s="43"/>
    </row>
    <row r="333">
      <c r="A333" s="43"/>
      <c r="B333" s="160"/>
      <c r="C333" s="160"/>
      <c r="D333" s="160"/>
      <c r="E333" s="43"/>
      <c r="F333" s="43"/>
      <c r="G333" s="43"/>
      <c r="H333" s="43"/>
      <c r="I333" s="43"/>
      <c r="J333" s="43"/>
      <c r="K333" s="43"/>
      <c r="L333" s="43"/>
      <c r="M333" s="43"/>
      <c r="N333" s="43"/>
      <c r="O333" s="43"/>
      <c r="P333" s="43"/>
      <c r="Q333" s="43"/>
      <c r="R333" s="43"/>
      <c r="S333" s="43"/>
      <c r="T333" s="43"/>
      <c r="U333" s="43"/>
      <c r="V333" s="43"/>
      <c r="W333" s="43"/>
      <c r="X333" s="43"/>
      <c r="Y333" s="43"/>
      <c r="Z333" s="43"/>
      <c r="AA333" s="43"/>
    </row>
    <row r="334">
      <c r="A334" s="43"/>
      <c r="B334" s="160"/>
      <c r="C334" s="160"/>
      <c r="D334" s="160"/>
      <c r="E334" s="43"/>
      <c r="F334" s="43"/>
      <c r="G334" s="43"/>
      <c r="H334" s="43"/>
      <c r="I334" s="43"/>
      <c r="J334" s="43"/>
      <c r="K334" s="43"/>
      <c r="L334" s="43"/>
      <c r="M334" s="43"/>
      <c r="N334" s="43"/>
      <c r="O334" s="43"/>
      <c r="P334" s="43"/>
      <c r="Q334" s="43"/>
      <c r="R334" s="43"/>
      <c r="S334" s="43"/>
      <c r="T334" s="43"/>
      <c r="U334" s="43"/>
      <c r="V334" s="43"/>
      <c r="W334" s="43"/>
      <c r="X334" s="43"/>
      <c r="Y334" s="43"/>
      <c r="Z334" s="43"/>
      <c r="AA334" s="43"/>
    </row>
    <row r="335">
      <c r="A335" s="43"/>
      <c r="B335" s="160"/>
      <c r="C335" s="160"/>
      <c r="D335" s="160"/>
      <c r="E335" s="43"/>
      <c r="F335" s="43"/>
      <c r="G335" s="43"/>
      <c r="H335" s="43"/>
      <c r="I335" s="43"/>
      <c r="J335" s="43"/>
      <c r="K335" s="43"/>
      <c r="L335" s="43"/>
      <c r="M335" s="43"/>
      <c r="N335" s="43"/>
      <c r="O335" s="43"/>
      <c r="P335" s="43"/>
      <c r="Q335" s="43"/>
      <c r="R335" s="43"/>
      <c r="S335" s="43"/>
      <c r="T335" s="43"/>
      <c r="U335" s="43"/>
      <c r="V335" s="43"/>
      <c r="W335" s="43"/>
      <c r="X335" s="43"/>
      <c r="Y335" s="43"/>
      <c r="Z335" s="43"/>
      <c r="AA335" s="43"/>
    </row>
    <row r="336">
      <c r="A336" s="43"/>
      <c r="B336" s="160"/>
      <c r="C336" s="160"/>
      <c r="D336" s="160"/>
      <c r="E336" s="43"/>
      <c r="F336" s="43"/>
      <c r="G336" s="43"/>
      <c r="H336" s="43"/>
      <c r="I336" s="43"/>
      <c r="J336" s="43"/>
      <c r="K336" s="43"/>
      <c r="L336" s="43"/>
      <c r="M336" s="43"/>
      <c r="N336" s="43"/>
      <c r="O336" s="43"/>
      <c r="P336" s="43"/>
      <c r="Q336" s="43"/>
      <c r="R336" s="43"/>
      <c r="S336" s="43"/>
      <c r="T336" s="43"/>
      <c r="U336" s="43"/>
      <c r="V336" s="43"/>
      <c r="W336" s="43"/>
      <c r="X336" s="43"/>
      <c r="Y336" s="43"/>
      <c r="Z336" s="43"/>
      <c r="AA336" s="43"/>
    </row>
    <row r="337">
      <c r="A337" s="43"/>
      <c r="B337" s="160"/>
      <c r="C337" s="160"/>
      <c r="D337" s="160"/>
      <c r="E337" s="43"/>
      <c r="F337" s="43"/>
      <c r="G337" s="43"/>
      <c r="H337" s="43"/>
      <c r="I337" s="43"/>
      <c r="J337" s="43"/>
      <c r="K337" s="43"/>
      <c r="L337" s="43"/>
      <c r="M337" s="43"/>
      <c r="N337" s="43"/>
      <c r="O337" s="43"/>
      <c r="P337" s="43"/>
      <c r="Q337" s="43"/>
      <c r="R337" s="43"/>
      <c r="S337" s="43"/>
      <c r="T337" s="43"/>
      <c r="U337" s="43"/>
      <c r="V337" s="43"/>
      <c r="W337" s="43"/>
      <c r="X337" s="43"/>
      <c r="Y337" s="43"/>
      <c r="Z337" s="43"/>
      <c r="AA337" s="43"/>
    </row>
    <row r="338">
      <c r="A338" s="43"/>
      <c r="B338" s="160"/>
      <c r="C338" s="160"/>
      <c r="D338" s="160"/>
      <c r="E338" s="43"/>
      <c r="F338" s="43"/>
      <c r="G338" s="43"/>
      <c r="H338" s="43"/>
      <c r="I338" s="43"/>
      <c r="J338" s="43"/>
      <c r="K338" s="43"/>
      <c r="L338" s="43"/>
      <c r="M338" s="43"/>
      <c r="N338" s="43"/>
      <c r="O338" s="43"/>
      <c r="P338" s="43"/>
      <c r="Q338" s="43"/>
      <c r="R338" s="43"/>
      <c r="S338" s="43"/>
      <c r="T338" s="43"/>
      <c r="U338" s="43"/>
      <c r="V338" s="43"/>
      <c r="W338" s="43"/>
      <c r="X338" s="43"/>
      <c r="Y338" s="43"/>
      <c r="Z338" s="43"/>
      <c r="AA338" s="43"/>
    </row>
    <row r="339">
      <c r="A339" s="43"/>
      <c r="B339" s="160"/>
      <c r="C339" s="160"/>
      <c r="D339" s="160"/>
      <c r="E339" s="43"/>
      <c r="F339" s="43"/>
      <c r="G339" s="43"/>
      <c r="H339" s="43"/>
      <c r="I339" s="43"/>
      <c r="J339" s="43"/>
      <c r="K339" s="43"/>
      <c r="L339" s="43"/>
      <c r="M339" s="43"/>
      <c r="N339" s="43"/>
      <c r="O339" s="43"/>
      <c r="P339" s="43"/>
      <c r="Q339" s="43"/>
      <c r="R339" s="43"/>
      <c r="S339" s="43"/>
      <c r="T339" s="43"/>
      <c r="U339" s="43"/>
      <c r="V339" s="43"/>
      <c r="W339" s="43"/>
      <c r="X339" s="43"/>
      <c r="Y339" s="43"/>
      <c r="Z339" s="43"/>
      <c r="AA339" s="43"/>
    </row>
    <row r="340">
      <c r="A340" s="43"/>
      <c r="B340" s="160"/>
      <c r="C340" s="160"/>
      <c r="D340" s="160"/>
      <c r="E340" s="43"/>
      <c r="F340" s="43"/>
      <c r="G340" s="43"/>
      <c r="H340" s="43"/>
      <c r="I340" s="43"/>
      <c r="J340" s="43"/>
      <c r="K340" s="43"/>
      <c r="L340" s="43"/>
      <c r="M340" s="43"/>
      <c r="N340" s="43"/>
      <c r="O340" s="43"/>
      <c r="P340" s="43"/>
      <c r="Q340" s="43"/>
      <c r="R340" s="43"/>
      <c r="S340" s="43"/>
      <c r="T340" s="43"/>
      <c r="U340" s="43"/>
      <c r="V340" s="43"/>
      <c r="W340" s="43"/>
      <c r="X340" s="43"/>
      <c r="Y340" s="43"/>
      <c r="Z340" s="43"/>
      <c r="AA340" s="43"/>
    </row>
    <row r="341">
      <c r="A341" s="43"/>
      <c r="B341" s="160"/>
      <c r="C341" s="160"/>
      <c r="D341" s="160"/>
      <c r="E341" s="43"/>
      <c r="F341" s="43"/>
      <c r="G341" s="43"/>
      <c r="H341" s="43"/>
      <c r="I341" s="43"/>
      <c r="J341" s="43"/>
      <c r="K341" s="43"/>
      <c r="L341" s="43"/>
      <c r="M341" s="43"/>
      <c r="N341" s="43"/>
      <c r="O341" s="43"/>
      <c r="P341" s="43"/>
      <c r="Q341" s="43"/>
      <c r="R341" s="43"/>
      <c r="S341" s="43"/>
      <c r="T341" s="43"/>
      <c r="U341" s="43"/>
      <c r="V341" s="43"/>
      <c r="W341" s="43"/>
      <c r="X341" s="43"/>
      <c r="Y341" s="43"/>
      <c r="Z341" s="43"/>
      <c r="AA341" s="43"/>
    </row>
    <row r="342">
      <c r="A342" s="43"/>
      <c r="B342" s="160"/>
      <c r="C342" s="160"/>
      <c r="D342" s="160"/>
      <c r="E342" s="43"/>
      <c r="F342" s="43"/>
      <c r="G342" s="43"/>
      <c r="H342" s="43"/>
      <c r="I342" s="43"/>
      <c r="J342" s="43"/>
      <c r="K342" s="43"/>
      <c r="L342" s="43"/>
      <c r="M342" s="43"/>
      <c r="N342" s="43"/>
      <c r="O342" s="43"/>
      <c r="P342" s="43"/>
      <c r="Q342" s="43"/>
      <c r="R342" s="43"/>
      <c r="S342" s="43"/>
      <c r="T342" s="43"/>
      <c r="U342" s="43"/>
      <c r="V342" s="43"/>
      <c r="W342" s="43"/>
      <c r="X342" s="43"/>
      <c r="Y342" s="43"/>
      <c r="Z342" s="43"/>
      <c r="AA342" s="43"/>
    </row>
    <row r="343">
      <c r="A343" s="43"/>
      <c r="B343" s="160"/>
      <c r="C343" s="160"/>
      <c r="D343" s="160"/>
      <c r="E343" s="43"/>
      <c r="F343" s="43"/>
      <c r="G343" s="43"/>
      <c r="H343" s="43"/>
      <c r="I343" s="43"/>
      <c r="J343" s="43"/>
      <c r="K343" s="43"/>
      <c r="L343" s="43"/>
      <c r="M343" s="43"/>
      <c r="N343" s="43"/>
      <c r="O343" s="43"/>
      <c r="P343" s="43"/>
      <c r="Q343" s="43"/>
      <c r="R343" s="43"/>
      <c r="S343" s="43"/>
      <c r="T343" s="43"/>
      <c r="U343" s="43"/>
      <c r="V343" s="43"/>
      <c r="W343" s="43"/>
      <c r="X343" s="43"/>
      <c r="Y343" s="43"/>
      <c r="Z343" s="43"/>
      <c r="AA343" s="43"/>
    </row>
    <row r="344">
      <c r="A344" s="43"/>
      <c r="B344" s="160"/>
      <c r="C344" s="160"/>
      <c r="D344" s="160"/>
      <c r="E344" s="43"/>
      <c r="F344" s="43"/>
      <c r="G344" s="43"/>
      <c r="H344" s="43"/>
      <c r="I344" s="43"/>
      <c r="J344" s="43"/>
      <c r="K344" s="43"/>
      <c r="L344" s="43"/>
      <c r="M344" s="43"/>
      <c r="N344" s="43"/>
      <c r="O344" s="43"/>
      <c r="P344" s="43"/>
      <c r="Q344" s="43"/>
      <c r="R344" s="43"/>
      <c r="S344" s="43"/>
      <c r="T344" s="43"/>
      <c r="U344" s="43"/>
      <c r="V344" s="43"/>
      <c r="W344" s="43"/>
      <c r="X344" s="43"/>
      <c r="Y344" s="43"/>
      <c r="Z344" s="43"/>
      <c r="AA344" s="43"/>
    </row>
    <row r="345">
      <c r="A345" s="43"/>
      <c r="B345" s="160"/>
      <c r="C345" s="160"/>
      <c r="D345" s="160"/>
      <c r="E345" s="43"/>
      <c r="F345" s="43"/>
      <c r="G345" s="43"/>
      <c r="H345" s="43"/>
      <c r="I345" s="43"/>
      <c r="J345" s="43"/>
      <c r="K345" s="43"/>
      <c r="L345" s="43"/>
      <c r="M345" s="43"/>
      <c r="N345" s="43"/>
      <c r="O345" s="43"/>
      <c r="P345" s="43"/>
      <c r="Q345" s="43"/>
      <c r="R345" s="43"/>
      <c r="S345" s="43"/>
      <c r="T345" s="43"/>
      <c r="U345" s="43"/>
      <c r="V345" s="43"/>
      <c r="W345" s="43"/>
      <c r="X345" s="43"/>
      <c r="Y345" s="43"/>
      <c r="Z345" s="43"/>
      <c r="AA345" s="43"/>
    </row>
    <row r="346">
      <c r="A346" s="43"/>
      <c r="B346" s="160"/>
      <c r="C346" s="160"/>
      <c r="D346" s="160"/>
      <c r="E346" s="43"/>
      <c r="F346" s="43"/>
      <c r="G346" s="43"/>
      <c r="H346" s="43"/>
      <c r="I346" s="43"/>
      <c r="J346" s="43"/>
      <c r="K346" s="43"/>
      <c r="L346" s="43"/>
      <c r="M346" s="43"/>
      <c r="N346" s="43"/>
      <c r="O346" s="43"/>
      <c r="P346" s="43"/>
      <c r="Q346" s="43"/>
      <c r="R346" s="43"/>
      <c r="S346" s="43"/>
      <c r="T346" s="43"/>
      <c r="U346" s="43"/>
      <c r="V346" s="43"/>
      <c r="W346" s="43"/>
      <c r="X346" s="43"/>
      <c r="Y346" s="43"/>
      <c r="Z346" s="43"/>
      <c r="AA346" s="43"/>
    </row>
    <row r="347">
      <c r="A347" s="43"/>
      <c r="B347" s="160"/>
      <c r="C347" s="160"/>
      <c r="D347" s="160"/>
      <c r="E347" s="43"/>
      <c r="F347" s="43"/>
      <c r="G347" s="43"/>
      <c r="H347" s="43"/>
      <c r="I347" s="43"/>
      <c r="J347" s="43"/>
      <c r="K347" s="43"/>
      <c r="L347" s="43"/>
      <c r="M347" s="43"/>
      <c r="N347" s="43"/>
      <c r="O347" s="43"/>
      <c r="P347" s="43"/>
      <c r="Q347" s="43"/>
      <c r="R347" s="43"/>
      <c r="S347" s="43"/>
      <c r="T347" s="43"/>
      <c r="U347" s="43"/>
      <c r="V347" s="43"/>
      <c r="W347" s="43"/>
      <c r="X347" s="43"/>
      <c r="Y347" s="43"/>
      <c r="Z347" s="43"/>
      <c r="AA347" s="43"/>
    </row>
    <row r="348">
      <c r="A348" s="43"/>
      <c r="B348" s="160"/>
      <c r="C348" s="160"/>
      <c r="D348" s="160"/>
      <c r="E348" s="43"/>
      <c r="F348" s="43"/>
      <c r="G348" s="43"/>
      <c r="H348" s="43"/>
      <c r="I348" s="43"/>
      <c r="J348" s="43"/>
      <c r="K348" s="43"/>
      <c r="L348" s="43"/>
      <c r="M348" s="43"/>
      <c r="N348" s="43"/>
      <c r="O348" s="43"/>
      <c r="P348" s="43"/>
      <c r="Q348" s="43"/>
      <c r="R348" s="43"/>
      <c r="S348" s="43"/>
      <c r="T348" s="43"/>
      <c r="U348" s="43"/>
      <c r="V348" s="43"/>
      <c r="W348" s="43"/>
      <c r="X348" s="43"/>
      <c r="Y348" s="43"/>
      <c r="Z348" s="43"/>
      <c r="AA348" s="43"/>
    </row>
    <row r="349">
      <c r="A349" s="43"/>
      <c r="B349" s="160"/>
      <c r="C349" s="160"/>
      <c r="D349" s="160"/>
      <c r="E349" s="43"/>
      <c r="F349" s="43"/>
      <c r="G349" s="43"/>
      <c r="H349" s="43"/>
      <c r="I349" s="43"/>
      <c r="J349" s="43"/>
      <c r="K349" s="43"/>
      <c r="L349" s="43"/>
      <c r="M349" s="43"/>
      <c r="N349" s="43"/>
      <c r="O349" s="43"/>
      <c r="P349" s="43"/>
      <c r="Q349" s="43"/>
      <c r="R349" s="43"/>
      <c r="S349" s="43"/>
      <c r="T349" s="43"/>
      <c r="U349" s="43"/>
      <c r="V349" s="43"/>
      <c r="W349" s="43"/>
      <c r="X349" s="43"/>
      <c r="Y349" s="43"/>
      <c r="Z349" s="43"/>
      <c r="AA349" s="43"/>
    </row>
    <row r="350">
      <c r="A350" s="43"/>
      <c r="B350" s="160"/>
      <c r="C350" s="160"/>
      <c r="D350" s="160"/>
      <c r="E350" s="43"/>
      <c r="F350" s="43"/>
      <c r="G350" s="43"/>
      <c r="H350" s="43"/>
      <c r="I350" s="43"/>
      <c r="J350" s="43"/>
      <c r="K350" s="43"/>
      <c r="L350" s="43"/>
      <c r="M350" s="43"/>
      <c r="N350" s="43"/>
      <c r="O350" s="43"/>
      <c r="P350" s="43"/>
      <c r="Q350" s="43"/>
      <c r="R350" s="43"/>
      <c r="S350" s="43"/>
      <c r="T350" s="43"/>
      <c r="U350" s="43"/>
      <c r="V350" s="43"/>
      <c r="W350" s="43"/>
      <c r="X350" s="43"/>
      <c r="Y350" s="43"/>
      <c r="Z350" s="43"/>
      <c r="AA350" s="43"/>
    </row>
    <row r="351">
      <c r="A351" s="43"/>
      <c r="B351" s="160"/>
      <c r="C351" s="160"/>
      <c r="D351" s="160"/>
      <c r="E351" s="43"/>
      <c r="F351" s="43"/>
      <c r="G351" s="43"/>
      <c r="H351" s="43"/>
      <c r="I351" s="43"/>
      <c r="J351" s="43"/>
      <c r="K351" s="43"/>
      <c r="L351" s="43"/>
      <c r="M351" s="43"/>
      <c r="N351" s="43"/>
      <c r="O351" s="43"/>
      <c r="P351" s="43"/>
      <c r="Q351" s="43"/>
      <c r="R351" s="43"/>
      <c r="S351" s="43"/>
      <c r="T351" s="43"/>
      <c r="U351" s="43"/>
      <c r="V351" s="43"/>
      <c r="W351" s="43"/>
      <c r="X351" s="43"/>
      <c r="Y351" s="43"/>
      <c r="Z351" s="43"/>
      <c r="AA351" s="43"/>
    </row>
    <row r="352">
      <c r="A352" s="43"/>
      <c r="B352" s="160"/>
      <c r="C352" s="160"/>
      <c r="D352" s="160"/>
      <c r="E352" s="43"/>
      <c r="F352" s="43"/>
      <c r="G352" s="43"/>
      <c r="H352" s="43"/>
      <c r="I352" s="43"/>
      <c r="J352" s="43"/>
      <c r="K352" s="43"/>
      <c r="L352" s="43"/>
      <c r="M352" s="43"/>
      <c r="N352" s="43"/>
      <c r="O352" s="43"/>
      <c r="P352" s="43"/>
      <c r="Q352" s="43"/>
      <c r="R352" s="43"/>
      <c r="S352" s="43"/>
      <c r="T352" s="43"/>
      <c r="U352" s="43"/>
      <c r="V352" s="43"/>
      <c r="W352" s="43"/>
      <c r="X352" s="43"/>
      <c r="Y352" s="43"/>
      <c r="Z352" s="43"/>
      <c r="AA352" s="43"/>
    </row>
    <row r="353">
      <c r="A353" s="43"/>
      <c r="B353" s="160"/>
      <c r="C353" s="160"/>
      <c r="D353" s="160"/>
      <c r="E353" s="43"/>
      <c r="F353" s="43"/>
      <c r="G353" s="43"/>
      <c r="H353" s="43"/>
      <c r="I353" s="43"/>
      <c r="J353" s="43"/>
      <c r="K353" s="43"/>
      <c r="L353" s="43"/>
      <c r="M353" s="43"/>
      <c r="N353" s="43"/>
      <c r="O353" s="43"/>
      <c r="P353" s="43"/>
      <c r="Q353" s="43"/>
      <c r="R353" s="43"/>
      <c r="S353" s="43"/>
      <c r="T353" s="43"/>
      <c r="U353" s="43"/>
      <c r="V353" s="43"/>
      <c r="W353" s="43"/>
      <c r="X353" s="43"/>
      <c r="Y353" s="43"/>
      <c r="Z353" s="43"/>
      <c r="AA353" s="43"/>
    </row>
    <row r="354">
      <c r="A354" s="43"/>
      <c r="B354" s="160"/>
      <c r="C354" s="160"/>
      <c r="D354" s="160"/>
      <c r="E354" s="43"/>
      <c r="F354" s="43"/>
      <c r="G354" s="43"/>
      <c r="H354" s="43"/>
      <c r="I354" s="43"/>
      <c r="J354" s="43"/>
      <c r="K354" s="43"/>
      <c r="L354" s="43"/>
      <c r="M354" s="43"/>
      <c r="N354" s="43"/>
      <c r="O354" s="43"/>
      <c r="P354" s="43"/>
      <c r="Q354" s="43"/>
      <c r="R354" s="43"/>
      <c r="S354" s="43"/>
      <c r="T354" s="43"/>
      <c r="U354" s="43"/>
      <c r="V354" s="43"/>
      <c r="W354" s="43"/>
      <c r="X354" s="43"/>
      <c r="Y354" s="43"/>
      <c r="Z354" s="43"/>
      <c r="AA354" s="43"/>
    </row>
    <row r="355">
      <c r="A355" s="43"/>
      <c r="B355" s="160"/>
      <c r="C355" s="160"/>
      <c r="D355" s="160"/>
      <c r="E355" s="43"/>
      <c r="F355" s="43"/>
      <c r="G355" s="43"/>
      <c r="H355" s="43"/>
      <c r="I355" s="43"/>
      <c r="J355" s="43"/>
      <c r="K355" s="43"/>
      <c r="L355" s="43"/>
      <c r="M355" s="43"/>
      <c r="N355" s="43"/>
      <c r="O355" s="43"/>
      <c r="P355" s="43"/>
      <c r="Q355" s="43"/>
      <c r="R355" s="43"/>
      <c r="S355" s="43"/>
      <c r="T355" s="43"/>
      <c r="U355" s="43"/>
      <c r="V355" s="43"/>
      <c r="W355" s="43"/>
      <c r="X355" s="43"/>
      <c r="Y355" s="43"/>
      <c r="Z355" s="43"/>
      <c r="AA355" s="43"/>
    </row>
    <row r="356">
      <c r="A356" s="43"/>
      <c r="B356" s="160"/>
      <c r="C356" s="160"/>
      <c r="D356" s="160"/>
      <c r="E356" s="43"/>
      <c r="F356" s="43"/>
      <c r="G356" s="43"/>
      <c r="H356" s="43"/>
      <c r="I356" s="43"/>
      <c r="J356" s="43"/>
      <c r="K356" s="43"/>
      <c r="L356" s="43"/>
      <c r="M356" s="43"/>
      <c r="N356" s="43"/>
      <c r="O356" s="43"/>
      <c r="P356" s="43"/>
      <c r="Q356" s="43"/>
      <c r="R356" s="43"/>
      <c r="S356" s="43"/>
      <c r="T356" s="43"/>
      <c r="U356" s="43"/>
      <c r="V356" s="43"/>
      <c r="W356" s="43"/>
      <c r="X356" s="43"/>
      <c r="Y356" s="43"/>
      <c r="Z356" s="43"/>
      <c r="AA356" s="43"/>
    </row>
    <row r="357">
      <c r="A357" s="43"/>
      <c r="B357" s="160"/>
      <c r="C357" s="160"/>
      <c r="D357" s="160"/>
      <c r="E357" s="43"/>
      <c r="F357" s="43"/>
      <c r="G357" s="43"/>
      <c r="H357" s="43"/>
      <c r="I357" s="43"/>
      <c r="J357" s="43"/>
      <c r="K357" s="43"/>
      <c r="L357" s="43"/>
      <c r="M357" s="43"/>
      <c r="N357" s="43"/>
      <c r="O357" s="43"/>
      <c r="P357" s="43"/>
      <c r="Q357" s="43"/>
      <c r="R357" s="43"/>
      <c r="S357" s="43"/>
      <c r="T357" s="43"/>
      <c r="U357" s="43"/>
      <c r="V357" s="43"/>
      <c r="W357" s="43"/>
      <c r="X357" s="43"/>
      <c r="Y357" s="43"/>
      <c r="Z357" s="43"/>
      <c r="AA357" s="43"/>
    </row>
    <row r="358">
      <c r="A358" s="43"/>
      <c r="B358" s="160"/>
      <c r="C358" s="160"/>
      <c r="D358" s="160"/>
      <c r="E358" s="43"/>
      <c r="F358" s="43"/>
      <c r="G358" s="43"/>
      <c r="H358" s="43"/>
      <c r="I358" s="43"/>
      <c r="J358" s="43"/>
      <c r="K358" s="43"/>
      <c r="L358" s="43"/>
      <c r="M358" s="43"/>
      <c r="N358" s="43"/>
      <c r="O358" s="43"/>
      <c r="P358" s="43"/>
      <c r="Q358" s="43"/>
      <c r="R358" s="43"/>
      <c r="S358" s="43"/>
      <c r="T358" s="43"/>
      <c r="U358" s="43"/>
      <c r="V358" s="43"/>
      <c r="W358" s="43"/>
      <c r="X358" s="43"/>
      <c r="Y358" s="43"/>
      <c r="Z358" s="43"/>
      <c r="AA358" s="43"/>
    </row>
    <row r="359">
      <c r="A359" s="43"/>
      <c r="B359" s="160"/>
      <c r="C359" s="160"/>
      <c r="D359" s="160"/>
      <c r="E359" s="43"/>
      <c r="F359" s="43"/>
      <c r="G359" s="43"/>
      <c r="H359" s="43"/>
      <c r="I359" s="43"/>
      <c r="J359" s="43"/>
      <c r="K359" s="43"/>
      <c r="L359" s="43"/>
      <c r="M359" s="43"/>
      <c r="N359" s="43"/>
      <c r="O359" s="43"/>
      <c r="P359" s="43"/>
      <c r="Q359" s="43"/>
      <c r="R359" s="43"/>
      <c r="S359" s="43"/>
      <c r="T359" s="43"/>
      <c r="U359" s="43"/>
      <c r="V359" s="43"/>
      <c r="W359" s="43"/>
      <c r="X359" s="43"/>
      <c r="Y359" s="43"/>
      <c r="Z359" s="43"/>
      <c r="AA359" s="43"/>
    </row>
    <row r="360">
      <c r="A360" s="43"/>
      <c r="B360" s="160"/>
      <c r="C360" s="160"/>
      <c r="D360" s="160"/>
      <c r="E360" s="43"/>
      <c r="F360" s="43"/>
      <c r="G360" s="43"/>
      <c r="H360" s="43"/>
      <c r="I360" s="43"/>
      <c r="J360" s="43"/>
      <c r="K360" s="43"/>
      <c r="L360" s="43"/>
      <c r="M360" s="43"/>
      <c r="N360" s="43"/>
      <c r="O360" s="43"/>
      <c r="P360" s="43"/>
      <c r="Q360" s="43"/>
      <c r="R360" s="43"/>
      <c r="S360" s="43"/>
      <c r="T360" s="43"/>
      <c r="U360" s="43"/>
      <c r="V360" s="43"/>
      <c r="W360" s="43"/>
      <c r="X360" s="43"/>
      <c r="Y360" s="43"/>
      <c r="Z360" s="43"/>
      <c r="AA360" s="43"/>
    </row>
    <row r="361">
      <c r="A361" s="43"/>
      <c r="B361" s="160"/>
      <c r="C361" s="160"/>
      <c r="D361" s="160"/>
      <c r="E361" s="43"/>
      <c r="F361" s="43"/>
      <c r="G361" s="43"/>
      <c r="H361" s="43"/>
      <c r="I361" s="43"/>
      <c r="J361" s="43"/>
      <c r="K361" s="43"/>
      <c r="L361" s="43"/>
      <c r="M361" s="43"/>
      <c r="N361" s="43"/>
      <c r="O361" s="43"/>
      <c r="P361" s="43"/>
      <c r="Q361" s="43"/>
      <c r="R361" s="43"/>
      <c r="S361" s="43"/>
      <c r="T361" s="43"/>
      <c r="U361" s="43"/>
      <c r="V361" s="43"/>
      <c r="W361" s="43"/>
      <c r="X361" s="43"/>
      <c r="Y361" s="43"/>
      <c r="Z361" s="43"/>
      <c r="AA361" s="43"/>
    </row>
    <row r="362">
      <c r="A362" s="43"/>
      <c r="B362" s="160"/>
      <c r="C362" s="160"/>
      <c r="D362" s="160"/>
      <c r="E362" s="43"/>
      <c r="F362" s="43"/>
      <c r="G362" s="43"/>
      <c r="H362" s="43"/>
      <c r="I362" s="43"/>
      <c r="J362" s="43"/>
      <c r="K362" s="43"/>
      <c r="L362" s="43"/>
      <c r="M362" s="43"/>
      <c r="N362" s="43"/>
      <c r="O362" s="43"/>
      <c r="P362" s="43"/>
      <c r="Q362" s="43"/>
      <c r="R362" s="43"/>
      <c r="S362" s="43"/>
      <c r="T362" s="43"/>
      <c r="U362" s="43"/>
      <c r="V362" s="43"/>
      <c r="W362" s="43"/>
      <c r="X362" s="43"/>
      <c r="Y362" s="43"/>
      <c r="Z362" s="43"/>
      <c r="AA362" s="43"/>
    </row>
    <row r="363">
      <c r="A363" s="43"/>
      <c r="B363" s="160"/>
      <c r="C363" s="160"/>
      <c r="D363" s="160"/>
      <c r="E363" s="43"/>
      <c r="F363" s="43"/>
      <c r="G363" s="43"/>
      <c r="H363" s="43"/>
      <c r="I363" s="43"/>
      <c r="J363" s="43"/>
      <c r="K363" s="43"/>
      <c r="L363" s="43"/>
      <c r="M363" s="43"/>
      <c r="N363" s="43"/>
      <c r="O363" s="43"/>
      <c r="P363" s="43"/>
      <c r="Q363" s="43"/>
      <c r="R363" s="43"/>
      <c r="S363" s="43"/>
      <c r="T363" s="43"/>
      <c r="U363" s="43"/>
      <c r="V363" s="43"/>
      <c r="W363" s="43"/>
      <c r="X363" s="43"/>
      <c r="Y363" s="43"/>
      <c r="Z363" s="43"/>
      <c r="AA363" s="43"/>
    </row>
    <row r="364">
      <c r="A364" s="43"/>
      <c r="B364" s="160"/>
      <c r="C364" s="160"/>
      <c r="D364" s="160"/>
      <c r="E364" s="43"/>
      <c r="F364" s="43"/>
      <c r="G364" s="43"/>
      <c r="H364" s="43"/>
      <c r="I364" s="43"/>
      <c r="J364" s="43"/>
      <c r="K364" s="43"/>
      <c r="L364" s="43"/>
      <c r="M364" s="43"/>
      <c r="N364" s="43"/>
      <c r="O364" s="43"/>
      <c r="P364" s="43"/>
      <c r="Q364" s="43"/>
      <c r="R364" s="43"/>
      <c r="S364" s="43"/>
      <c r="T364" s="43"/>
      <c r="U364" s="43"/>
      <c r="V364" s="43"/>
      <c r="W364" s="43"/>
      <c r="X364" s="43"/>
      <c r="Y364" s="43"/>
      <c r="Z364" s="43"/>
      <c r="AA364" s="43"/>
    </row>
    <row r="365">
      <c r="A365" s="43"/>
      <c r="B365" s="160"/>
      <c r="C365" s="160"/>
      <c r="D365" s="160"/>
      <c r="E365" s="43"/>
      <c r="F365" s="43"/>
      <c r="G365" s="43"/>
      <c r="H365" s="43"/>
      <c r="I365" s="43"/>
      <c r="J365" s="43"/>
      <c r="K365" s="43"/>
      <c r="L365" s="43"/>
      <c r="M365" s="43"/>
      <c r="N365" s="43"/>
      <c r="O365" s="43"/>
      <c r="P365" s="43"/>
      <c r="Q365" s="43"/>
      <c r="R365" s="43"/>
      <c r="S365" s="43"/>
      <c r="T365" s="43"/>
      <c r="U365" s="43"/>
      <c r="V365" s="43"/>
      <c r="W365" s="43"/>
      <c r="X365" s="43"/>
      <c r="Y365" s="43"/>
      <c r="Z365" s="43"/>
      <c r="AA365" s="43"/>
    </row>
    <row r="366">
      <c r="A366" s="43"/>
      <c r="B366" s="160"/>
      <c r="C366" s="160"/>
      <c r="D366" s="160"/>
      <c r="E366" s="43"/>
      <c r="F366" s="43"/>
      <c r="G366" s="43"/>
      <c r="H366" s="43"/>
      <c r="I366" s="43"/>
      <c r="J366" s="43"/>
      <c r="K366" s="43"/>
      <c r="L366" s="43"/>
      <c r="M366" s="43"/>
      <c r="N366" s="43"/>
      <c r="O366" s="43"/>
      <c r="P366" s="43"/>
      <c r="Q366" s="43"/>
      <c r="R366" s="43"/>
      <c r="S366" s="43"/>
      <c r="T366" s="43"/>
      <c r="U366" s="43"/>
      <c r="V366" s="43"/>
      <c r="W366" s="43"/>
      <c r="X366" s="43"/>
      <c r="Y366" s="43"/>
      <c r="Z366" s="43"/>
      <c r="AA366" s="43"/>
    </row>
    <row r="367">
      <c r="A367" s="43"/>
      <c r="B367" s="160"/>
      <c r="C367" s="160"/>
      <c r="D367" s="160"/>
      <c r="E367" s="43"/>
      <c r="F367" s="43"/>
      <c r="G367" s="43"/>
      <c r="H367" s="43"/>
      <c r="I367" s="43"/>
      <c r="J367" s="43"/>
      <c r="K367" s="43"/>
      <c r="L367" s="43"/>
      <c r="M367" s="43"/>
      <c r="N367" s="43"/>
      <c r="O367" s="43"/>
      <c r="P367" s="43"/>
      <c r="Q367" s="43"/>
      <c r="R367" s="43"/>
      <c r="S367" s="43"/>
      <c r="T367" s="43"/>
      <c r="U367" s="43"/>
      <c r="V367" s="43"/>
      <c r="W367" s="43"/>
      <c r="X367" s="43"/>
      <c r="Y367" s="43"/>
      <c r="Z367" s="43"/>
      <c r="AA367" s="43"/>
    </row>
    <row r="368">
      <c r="A368" s="43"/>
      <c r="B368" s="160"/>
      <c r="C368" s="160"/>
      <c r="D368" s="160"/>
      <c r="E368" s="43"/>
      <c r="F368" s="43"/>
      <c r="G368" s="43"/>
      <c r="H368" s="43"/>
      <c r="I368" s="43"/>
      <c r="J368" s="43"/>
      <c r="K368" s="43"/>
      <c r="L368" s="43"/>
      <c r="M368" s="43"/>
      <c r="N368" s="43"/>
      <c r="O368" s="43"/>
      <c r="P368" s="43"/>
      <c r="Q368" s="43"/>
      <c r="R368" s="43"/>
      <c r="S368" s="43"/>
      <c r="T368" s="43"/>
      <c r="U368" s="43"/>
      <c r="V368" s="43"/>
      <c r="W368" s="43"/>
      <c r="X368" s="43"/>
      <c r="Y368" s="43"/>
      <c r="Z368" s="43"/>
      <c r="AA368" s="43"/>
    </row>
    <row r="369">
      <c r="A369" s="43"/>
      <c r="B369" s="160"/>
      <c r="C369" s="160"/>
      <c r="D369" s="160"/>
      <c r="E369" s="43"/>
      <c r="F369" s="43"/>
      <c r="G369" s="43"/>
      <c r="H369" s="43"/>
      <c r="I369" s="43"/>
      <c r="J369" s="43"/>
      <c r="K369" s="43"/>
      <c r="L369" s="43"/>
      <c r="M369" s="43"/>
      <c r="N369" s="43"/>
      <c r="O369" s="43"/>
      <c r="P369" s="43"/>
      <c r="Q369" s="43"/>
      <c r="R369" s="43"/>
      <c r="S369" s="43"/>
      <c r="T369" s="43"/>
      <c r="U369" s="43"/>
      <c r="V369" s="43"/>
      <c r="W369" s="43"/>
      <c r="X369" s="43"/>
      <c r="Y369" s="43"/>
      <c r="Z369" s="43"/>
      <c r="AA369" s="43"/>
    </row>
    <row r="370">
      <c r="A370" s="43"/>
      <c r="B370" s="160"/>
      <c r="C370" s="160"/>
      <c r="D370" s="160"/>
      <c r="E370" s="43"/>
      <c r="F370" s="43"/>
      <c r="G370" s="43"/>
      <c r="H370" s="43"/>
      <c r="I370" s="43"/>
      <c r="J370" s="43"/>
      <c r="K370" s="43"/>
      <c r="L370" s="43"/>
      <c r="M370" s="43"/>
      <c r="N370" s="43"/>
      <c r="O370" s="43"/>
      <c r="P370" s="43"/>
      <c r="Q370" s="43"/>
      <c r="R370" s="43"/>
      <c r="S370" s="43"/>
      <c r="T370" s="43"/>
      <c r="U370" s="43"/>
      <c r="V370" s="43"/>
      <c r="W370" s="43"/>
      <c r="X370" s="43"/>
      <c r="Y370" s="43"/>
      <c r="Z370" s="43"/>
      <c r="AA370" s="43"/>
    </row>
    <row r="371">
      <c r="A371" s="43"/>
      <c r="B371" s="160"/>
      <c r="C371" s="160"/>
      <c r="D371" s="160"/>
      <c r="E371" s="43"/>
      <c r="F371" s="43"/>
      <c r="G371" s="43"/>
      <c r="H371" s="43"/>
      <c r="I371" s="43"/>
      <c r="J371" s="43"/>
      <c r="K371" s="43"/>
      <c r="L371" s="43"/>
      <c r="M371" s="43"/>
      <c r="N371" s="43"/>
      <c r="O371" s="43"/>
      <c r="P371" s="43"/>
      <c r="Q371" s="43"/>
      <c r="R371" s="43"/>
      <c r="S371" s="43"/>
      <c r="T371" s="43"/>
      <c r="U371" s="43"/>
      <c r="V371" s="43"/>
      <c r="W371" s="43"/>
      <c r="X371" s="43"/>
      <c r="Y371" s="43"/>
      <c r="Z371" s="43"/>
      <c r="AA371" s="43"/>
    </row>
    <row r="372">
      <c r="A372" s="43"/>
      <c r="B372" s="160"/>
      <c r="C372" s="160"/>
      <c r="D372" s="160"/>
      <c r="E372" s="43"/>
      <c r="F372" s="43"/>
      <c r="G372" s="43"/>
      <c r="H372" s="43"/>
      <c r="I372" s="43"/>
      <c r="J372" s="43"/>
      <c r="K372" s="43"/>
      <c r="L372" s="43"/>
      <c r="M372" s="43"/>
      <c r="N372" s="43"/>
      <c r="O372" s="43"/>
      <c r="P372" s="43"/>
      <c r="Q372" s="43"/>
      <c r="R372" s="43"/>
      <c r="S372" s="43"/>
      <c r="T372" s="43"/>
      <c r="U372" s="43"/>
      <c r="V372" s="43"/>
      <c r="W372" s="43"/>
      <c r="X372" s="43"/>
      <c r="Y372" s="43"/>
      <c r="Z372" s="43"/>
      <c r="AA372" s="43"/>
    </row>
    <row r="373">
      <c r="A373" s="43"/>
      <c r="B373" s="160"/>
      <c r="C373" s="160"/>
      <c r="D373" s="160"/>
      <c r="E373" s="43"/>
      <c r="F373" s="43"/>
      <c r="G373" s="43"/>
      <c r="H373" s="43"/>
      <c r="I373" s="43"/>
      <c r="J373" s="43"/>
      <c r="K373" s="43"/>
      <c r="L373" s="43"/>
      <c r="M373" s="43"/>
      <c r="N373" s="43"/>
      <c r="O373" s="43"/>
      <c r="P373" s="43"/>
      <c r="Q373" s="43"/>
      <c r="R373" s="43"/>
      <c r="S373" s="43"/>
      <c r="T373" s="43"/>
      <c r="U373" s="43"/>
      <c r="V373" s="43"/>
      <c r="W373" s="43"/>
      <c r="X373" s="43"/>
      <c r="Y373" s="43"/>
      <c r="Z373" s="43"/>
      <c r="AA373" s="43"/>
    </row>
    <row r="374">
      <c r="A374" s="43"/>
      <c r="B374" s="160"/>
      <c r="C374" s="160"/>
      <c r="D374" s="160"/>
      <c r="E374" s="43"/>
      <c r="F374" s="43"/>
      <c r="G374" s="43"/>
      <c r="H374" s="43"/>
      <c r="I374" s="43"/>
      <c r="J374" s="43"/>
      <c r="K374" s="43"/>
      <c r="L374" s="43"/>
      <c r="M374" s="43"/>
      <c r="N374" s="43"/>
      <c r="O374" s="43"/>
      <c r="P374" s="43"/>
      <c r="Q374" s="43"/>
      <c r="R374" s="43"/>
      <c r="S374" s="43"/>
      <c r="T374" s="43"/>
      <c r="U374" s="43"/>
      <c r="V374" s="43"/>
      <c r="W374" s="43"/>
      <c r="X374" s="43"/>
      <c r="Y374" s="43"/>
      <c r="Z374" s="43"/>
      <c r="AA374" s="43"/>
    </row>
    <row r="375">
      <c r="A375" s="43"/>
      <c r="B375" s="160"/>
      <c r="C375" s="160"/>
      <c r="D375" s="160"/>
      <c r="E375" s="43"/>
      <c r="F375" s="43"/>
      <c r="G375" s="43"/>
      <c r="H375" s="43"/>
      <c r="I375" s="43"/>
      <c r="J375" s="43"/>
      <c r="K375" s="43"/>
      <c r="L375" s="43"/>
      <c r="M375" s="43"/>
      <c r="N375" s="43"/>
      <c r="O375" s="43"/>
      <c r="P375" s="43"/>
      <c r="Q375" s="43"/>
      <c r="R375" s="43"/>
      <c r="S375" s="43"/>
      <c r="T375" s="43"/>
      <c r="U375" s="43"/>
      <c r="V375" s="43"/>
      <c r="W375" s="43"/>
      <c r="X375" s="43"/>
      <c r="Y375" s="43"/>
      <c r="Z375" s="43"/>
      <c r="AA375" s="43"/>
    </row>
    <row r="376">
      <c r="A376" s="43"/>
      <c r="B376" s="160"/>
      <c r="C376" s="160"/>
      <c r="D376" s="160"/>
      <c r="E376" s="43"/>
      <c r="F376" s="43"/>
      <c r="G376" s="43"/>
      <c r="H376" s="43"/>
      <c r="I376" s="43"/>
      <c r="J376" s="43"/>
      <c r="K376" s="43"/>
      <c r="L376" s="43"/>
      <c r="M376" s="43"/>
      <c r="N376" s="43"/>
      <c r="O376" s="43"/>
      <c r="P376" s="43"/>
      <c r="Q376" s="43"/>
      <c r="R376" s="43"/>
      <c r="S376" s="43"/>
      <c r="T376" s="43"/>
      <c r="U376" s="43"/>
      <c r="V376" s="43"/>
      <c r="W376" s="43"/>
      <c r="X376" s="43"/>
      <c r="Y376" s="43"/>
      <c r="Z376" s="43"/>
      <c r="AA376" s="43"/>
    </row>
    <row r="377">
      <c r="A377" s="43"/>
      <c r="B377" s="160"/>
      <c r="C377" s="160"/>
      <c r="D377" s="160"/>
      <c r="E377" s="43"/>
      <c r="F377" s="43"/>
      <c r="G377" s="43"/>
      <c r="H377" s="43"/>
      <c r="I377" s="43"/>
      <c r="J377" s="43"/>
      <c r="K377" s="43"/>
      <c r="L377" s="43"/>
      <c r="M377" s="43"/>
      <c r="N377" s="43"/>
      <c r="O377" s="43"/>
      <c r="P377" s="43"/>
      <c r="Q377" s="43"/>
      <c r="R377" s="43"/>
      <c r="S377" s="43"/>
      <c r="T377" s="43"/>
      <c r="U377" s="43"/>
      <c r="V377" s="43"/>
      <c r="W377" s="43"/>
      <c r="X377" s="43"/>
      <c r="Y377" s="43"/>
      <c r="Z377" s="43"/>
      <c r="AA377" s="43"/>
    </row>
    <row r="378">
      <c r="A378" s="43"/>
      <c r="B378" s="160"/>
      <c r="C378" s="160"/>
      <c r="D378" s="160"/>
      <c r="E378" s="43"/>
      <c r="F378" s="43"/>
      <c r="G378" s="43"/>
      <c r="H378" s="43"/>
      <c r="I378" s="43"/>
      <c r="J378" s="43"/>
      <c r="K378" s="43"/>
      <c r="L378" s="43"/>
      <c r="M378" s="43"/>
      <c r="N378" s="43"/>
      <c r="O378" s="43"/>
      <c r="P378" s="43"/>
      <c r="Q378" s="43"/>
      <c r="R378" s="43"/>
      <c r="S378" s="43"/>
      <c r="T378" s="43"/>
      <c r="U378" s="43"/>
      <c r="V378" s="43"/>
      <c r="W378" s="43"/>
      <c r="X378" s="43"/>
      <c r="Y378" s="43"/>
      <c r="Z378" s="43"/>
      <c r="AA378" s="43"/>
    </row>
    <row r="379">
      <c r="A379" s="43"/>
      <c r="B379" s="160"/>
      <c r="C379" s="160"/>
      <c r="D379" s="160"/>
      <c r="E379" s="43"/>
      <c r="F379" s="43"/>
      <c r="G379" s="43"/>
      <c r="H379" s="43"/>
      <c r="I379" s="43"/>
      <c r="J379" s="43"/>
      <c r="K379" s="43"/>
      <c r="L379" s="43"/>
      <c r="M379" s="43"/>
      <c r="N379" s="43"/>
      <c r="O379" s="43"/>
      <c r="P379" s="43"/>
      <c r="Q379" s="43"/>
      <c r="R379" s="43"/>
      <c r="S379" s="43"/>
      <c r="T379" s="43"/>
      <c r="U379" s="43"/>
      <c r="V379" s="43"/>
      <c r="W379" s="43"/>
      <c r="X379" s="43"/>
      <c r="Y379" s="43"/>
      <c r="Z379" s="43"/>
      <c r="AA379" s="43"/>
    </row>
    <row r="380">
      <c r="A380" s="43"/>
      <c r="B380" s="160"/>
      <c r="C380" s="160"/>
      <c r="D380" s="160"/>
      <c r="E380" s="43"/>
      <c r="F380" s="43"/>
      <c r="G380" s="43"/>
      <c r="H380" s="43"/>
      <c r="I380" s="43"/>
      <c r="J380" s="43"/>
      <c r="K380" s="43"/>
      <c r="L380" s="43"/>
      <c r="M380" s="43"/>
      <c r="N380" s="43"/>
      <c r="O380" s="43"/>
      <c r="P380" s="43"/>
      <c r="Q380" s="43"/>
      <c r="R380" s="43"/>
      <c r="S380" s="43"/>
      <c r="T380" s="43"/>
      <c r="U380" s="43"/>
      <c r="V380" s="43"/>
      <c r="W380" s="43"/>
      <c r="X380" s="43"/>
      <c r="Y380" s="43"/>
      <c r="Z380" s="43"/>
      <c r="AA380" s="43"/>
    </row>
    <row r="381">
      <c r="A381" s="43"/>
      <c r="B381" s="160"/>
      <c r="C381" s="160"/>
      <c r="D381" s="160"/>
      <c r="E381" s="43"/>
      <c r="F381" s="43"/>
      <c r="G381" s="43"/>
      <c r="H381" s="43"/>
      <c r="I381" s="43"/>
      <c r="J381" s="43"/>
      <c r="K381" s="43"/>
      <c r="L381" s="43"/>
      <c r="M381" s="43"/>
      <c r="N381" s="43"/>
      <c r="O381" s="43"/>
      <c r="P381" s="43"/>
      <c r="Q381" s="43"/>
      <c r="R381" s="43"/>
      <c r="S381" s="43"/>
      <c r="T381" s="43"/>
      <c r="U381" s="43"/>
      <c r="V381" s="43"/>
      <c r="W381" s="43"/>
      <c r="X381" s="43"/>
      <c r="Y381" s="43"/>
      <c r="Z381" s="43"/>
      <c r="AA381" s="43"/>
    </row>
    <row r="382">
      <c r="A382" s="43"/>
      <c r="B382" s="160"/>
      <c r="C382" s="160"/>
      <c r="D382" s="160"/>
      <c r="E382" s="43"/>
      <c r="F382" s="43"/>
      <c r="G382" s="43"/>
      <c r="H382" s="43"/>
      <c r="I382" s="43"/>
      <c r="J382" s="43"/>
      <c r="K382" s="43"/>
      <c r="L382" s="43"/>
      <c r="M382" s="43"/>
      <c r="N382" s="43"/>
      <c r="O382" s="43"/>
      <c r="P382" s="43"/>
      <c r="Q382" s="43"/>
      <c r="R382" s="43"/>
      <c r="S382" s="43"/>
      <c r="T382" s="43"/>
      <c r="U382" s="43"/>
      <c r="V382" s="43"/>
      <c r="W382" s="43"/>
      <c r="X382" s="43"/>
      <c r="Y382" s="43"/>
      <c r="Z382" s="43"/>
      <c r="AA382" s="43"/>
    </row>
    <row r="383">
      <c r="A383" s="43"/>
      <c r="B383" s="160"/>
      <c r="C383" s="160"/>
      <c r="D383" s="160"/>
      <c r="E383" s="43"/>
      <c r="F383" s="43"/>
      <c r="G383" s="43"/>
      <c r="H383" s="43"/>
      <c r="I383" s="43"/>
      <c r="J383" s="43"/>
      <c r="K383" s="43"/>
      <c r="L383" s="43"/>
      <c r="M383" s="43"/>
      <c r="N383" s="43"/>
      <c r="O383" s="43"/>
      <c r="P383" s="43"/>
      <c r="Q383" s="43"/>
      <c r="R383" s="43"/>
      <c r="S383" s="43"/>
      <c r="T383" s="43"/>
      <c r="U383" s="43"/>
      <c r="V383" s="43"/>
      <c r="W383" s="43"/>
      <c r="X383" s="43"/>
      <c r="Y383" s="43"/>
      <c r="Z383" s="43"/>
      <c r="AA383" s="43"/>
    </row>
    <row r="384">
      <c r="A384" s="43"/>
      <c r="B384" s="160"/>
      <c r="C384" s="160"/>
      <c r="D384" s="160"/>
      <c r="E384" s="43"/>
      <c r="F384" s="43"/>
      <c r="G384" s="43"/>
      <c r="H384" s="43"/>
      <c r="I384" s="43"/>
      <c r="J384" s="43"/>
      <c r="K384" s="43"/>
      <c r="L384" s="43"/>
      <c r="M384" s="43"/>
      <c r="N384" s="43"/>
      <c r="O384" s="43"/>
      <c r="P384" s="43"/>
      <c r="Q384" s="43"/>
      <c r="R384" s="43"/>
      <c r="S384" s="43"/>
      <c r="T384" s="43"/>
      <c r="U384" s="43"/>
      <c r="V384" s="43"/>
      <c r="W384" s="43"/>
      <c r="X384" s="43"/>
      <c r="Y384" s="43"/>
      <c r="Z384" s="43"/>
      <c r="AA384" s="43"/>
    </row>
    <row r="385">
      <c r="A385" s="43"/>
      <c r="B385" s="160"/>
      <c r="C385" s="160"/>
      <c r="D385" s="160"/>
      <c r="E385" s="43"/>
      <c r="F385" s="43"/>
      <c r="G385" s="43"/>
      <c r="H385" s="43"/>
      <c r="I385" s="43"/>
      <c r="J385" s="43"/>
      <c r="K385" s="43"/>
      <c r="L385" s="43"/>
      <c r="M385" s="43"/>
      <c r="N385" s="43"/>
      <c r="O385" s="43"/>
      <c r="P385" s="43"/>
      <c r="Q385" s="43"/>
      <c r="R385" s="43"/>
      <c r="S385" s="43"/>
      <c r="T385" s="43"/>
      <c r="U385" s="43"/>
      <c r="V385" s="43"/>
      <c r="W385" s="43"/>
      <c r="X385" s="43"/>
      <c r="Y385" s="43"/>
      <c r="Z385" s="43"/>
      <c r="AA385" s="43"/>
    </row>
    <row r="386">
      <c r="A386" s="43"/>
      <c r="B386" s="160"/>
      <c r="C386" s="160"/>
      <c r="D386" s="160"/>
      <c r="E386" s="43"/>
      <c r="F386" s="43"/>
      <c r="G386" s="43"/>
      <c r="H386" s="43"/>
      <c r="I386" s="43"/>
      <c r="J386" s="43"/>
      <c r="K386" s="43"/>
      <c r="L386" s="43"/>
      <c r="M386" s="43"/>
      <c r="N386" s="43"/>
      <c r="O386" s="43"/>
      <c r="P386" s="43"/>
      <c r="Q386" s="43"/>
      <c r="R386" s="43"/>
      <c r="S386" s="43"/>
      <c r="T386" s="43"/>
      <c r="U386" s="43"/>
      <c r="V386" s="43"/>
      <c r="W386" s="43"/>
      <c r="X386" s="43"/>
      <c r="Y386" s="43"/>
      <c r="Z386" s="43"/>
      <c r="AA386" s="43"/>
    </row>
    <row r="387">
      <c r="A387" s="43"/>
      <c r="B387" s="160"/>
      <c r="C387" s="160"/>
      <c r="D387" s="160"/>
      <c r="E387" s="43"/>
      <c r="F387" s="43"/>
      <c r="G387" s="43"/>
      <c r="H387" s="43"/>
      <c r="I387" s="43"/>
      <c r="J387" s="43"/>
      <c r="K387" s="43"/>
      <c r="L387" s="43"/>
      <c r="M387" s="43"/>
      <c r="N387" s="43"/>
      <c r="O387" s="43"/>
      <c r="P387" s="43"/>
      <c r="Q387" s="43"/>
      <c r="R387" s="43"/>
      <c r="S387" s="43"/>
      <c r="T387" s="43"/>
      <c r="U387" s="43"/>
      <c r="V387" s="43"/>
      <c r="W387" s="43"/>
      <c r="X387" s="43"/>
      <c r="Y387" s="43"/>
      <c r="Z387" s="43"/>
      <c r="AA387" s="43"/>
    </row>
    <row r="388">
      <c r="A388" s="43"/>
      <c r="B388" s="160"/>
      <c r="C388" s="160"/>
      <c r="D388" s="160"/>
      <c r="E388" s="43"/>
      <c r="F388" s="43"/>
      <c r="G388" s="43"/>
      <c r="H388" s="43"/>
      <c r="I388" s="43"/>
      <c r="J388" s="43"/>
      <c r="K388" s="43"/>
      <c r="L388" s="43"/>
      <c r="M388" s="43"/>
      <c r="N388" s="43"/>
      <c r="O388" s="43"/>
      <c r="P388" s="43"/>
      <c r="Q388" s="43"/>
      <c r="R388" s="43"/>
      <c r="S388" s="43"/>
      <c r="T388" s="43"/>
      <c r="U388" s="43"/>
      <c r="V388" s="43"/>
      <c r="W388" s="43"/>
      <c r="X388" s="43"/>
      <c r="Y388" s="43"/>
      <c r="Z388" s="43"/>
      <c r="AA388" s="43"/>
    </row>
    <row r="389">
      <c r="A389" s="43"/>
      <c r="B389" s="160"/>
      <c r="C389" s="160"/>
      <c r="D389" s="160"/>
      <c r="E389" s="43"/>
      <c r="F389" s="43"/>
      <c r="G389" s="43"/>
      <c r="H389" s="43"/>
      <c r="I389" s="43"/>
      <c r="J389" s="43"/>
      <c r="K389" s="43"/>
      <c r="L389" s="43"/>
      <c r="M389" s="43"/>
      <c r="N389" s="43"/>
      <c r="O389" s="43"/>
      <c r="P389" s="43"/>
      <c r="Q389" s="43"/>
      <c r="R389" s="43"/>
      <c r="S389" s="43"/>
      <c r="T389" s="43"/>
      <c r="U389" s="43"/>
      <c r="V389" s="43"/>
      <c r="W389" s="43"/>
      <c r="X389" s="43"/>
      <c r="Y389" s="43"/>
      <c r="Z389" s="43"/>
      <c r="AA389" s="43"/>
    </row>
    <row r="390">
      <c r="A390" s="43"/>
      <c r="B390" s="160"/>
      <c r="C390" s="160"/>
      <c r="D390" s="160"/>
      <c r="E390" s="43"/>
      <c r="F390" s="43"/>
      <c r="G390" s="43"/>
      <c r="H390" s="43"/>
      <c r="I390" s="43"/>
      <c r="J390" s="43"/>
      <c r="K390" s="43"/>
      <c r="L390" s="43"/>
      <c r="M390" s="43"/>
      <c r="N390" s="43"/>
      <c r="O390" s="43"/>
      <c r="P390" s="43"/>
      <c r="Q390" s="43"/>
      <c r="R390" s="43"/>
      <c r="S390" s="43"/>
      <c r="T390" s="43"/>
      <c r="U390" s="43"/>
      <c r="V390" s="43"/>
      <c r="W390" s="43"/>
      <c r="X390" s="43"/>
      <c r="Y390" s="43"/>
      <c r="Z390" s="43"/>
      <c r="AA390" s="43"/>
    </row>
    <row r="391">
      <c r="A391" s="43"/>
      <c r="B391" s="160"/>
      <c r="C391" s="160"/>
      <c r="D391" s="160"/>
      <c r="E391" s="43"/>
      <c r="F391" s="43"/>
      <c r="G391" s="43"/>
      <c r="H391" s="43"/>
      <c r="I391" s="43"/>
      <c r="J391" s="43"/>
      <c r="K391" s="43"/>
      <c r="L391" s="43"/>
      <c r="M391" s="43"/>
      <c r="N391" s="43"/>
      <c r="O391" s="43"/>
      <c r="P391" s="43"/>
      <c r="Q391" s="43"/>
      <c r="R391" s="43"/>
      <c r="S391" s="43"/>
      <c r="T391" s="43"/>
      <c r="U391" s="43"/>
      <c r="V391" s="43"/>
      <c r="W391" s="43"/>
      <c r="X391" s="43"/>
      <c r="Y391" s="43"/>
      <c r="Z391" s="43"/>
      <c r="AA391" s="43"/>
    </row>
    <row r="392">
      <c r="A392" s="43"/>
      <c r="B392" s="160"/>
      <c r="C392" s="160"/>
      <c r="D392" s="160"/>
      <c r="E392" s="43"/>
      <c r="F392" s="43"/>
      <c r="G392" s="43"/>
      <c r="H392" s="43"/>
      <c r="I392" s="43"/>
      <c r="J392" s="43"/>
      <c r="K392" s="43"/>
      <c r="L392" s="43"/>
      <c r="M392" s="43"/>
      <c r="N392" s="43"/>
      <c r="O392" s="43"/>
      <c r="P392" s="43"/>
      <c r="Q392" s="43"/>
      <c r="R392" s="43"/>
      <c r="S392" s="43"/>
      <c r="T392" s="43"/>
      <c r="U392" s="43"/>
      <c r="V392" s="43"/>
      <c r="W392" s="43"/>
      <c r="X392" s="43"/>
      <c r="Y392" s="43"/>
      <c r="Z392" s="43"/>
      <c r="AA392" s="43"/>
    </row>
    <row r="393">
      <c r="A393" s="43"/>
      <c r="B393" s="160"/>
      <c r="C393" s="160"/>
      <c r="D393" s="160"/>
      <c r="E393" s="43"/>
      <c r="F393" s="43"/>
      <c r="G393" s="43"/>
      <c r="H393" s="43"/>
      <c r="I393" s="43"/>
      <c r="J393" s="43"/>
      <c r="K393" s="43"/>
      <c r="L393" s="43"/>
      <c r="M393" s="43"/>
      <c r="N393" s="43"/>
      <c r="O393" s="43"/>
      <c r="P393" s="43"/>
      <c r="Q393" s="43"/>
      <c r="R393" s="43"/>
      <c r="S393" s="43"/>
      <c r="T393" s="43"/>
      <c r="U393" s="43"/>
      <c r="V393" s="43"/>
      <c r="W393" s="43"/>
      <c r="X393" s="43"/>
      <c r="Y393" s="43"/>
      <c r="Z393" s="43"/>
      <c r="AA393" s="43"/>
    </row>
    <row r="394">
      <c r="A394" s="43"/>
      <c r="B394" s="160"/>
      <c r="C394" s="160"/>
      <c r="D394" s="160"/>
      <c r="E394" s="43"/>
      <c r="F394" s="43"/>
      <c r="G394" s="43"/>
      <c r="H394" s="43"/>
      <c r="I394" s="43"/>
      <c r="J394" s="43"/>
      <c r="K394" s="43"/>
      <c r="L394" s="43"/>
      <c r="M394" s="43"/>
      <c r="N394" s="43"/>
      <c r="O394" s="43"/>
      <c r="P394" s="43"/>
      <c r="Q394" s="43"/>
      <c r="R394" s="43"/>
      <c r="S394" s="43"/>
      <c r="T394" s="43"/>
      <c r="U394" s="43"/>
      <c r="V394" s="43"/>
      <c r="W394" s="43"/>
      <c r="X394" s="43"/>
      <c r="Y394" s="43"/>
      <c r="Z394" s="43"/>
      <c r="AA394" s="43"/>
    </row>
    <row r="395">
      <c r="A395" s="43"/>
      <c r="B395" s="160"/>
      <c r="C395" s="160"/>
      <c r="D395" s="160"/>
      <c r="E395" s="43"/>
      <c r="F395" s="43"/>
      <c r="G395" s="43"/>
      <c r="H395" s="43"/>
      <c r="I395" s="43"/>
      <c r="J395" s="43"/>
      <c r="K395" s="43"/>
      <c r="L395" s="43"/>
      <c r="M395" s="43"/>
      <c r="N395" s="43"/>
      <c r="O395" s="43"/>
      <c r="P395" s="43"/>
      <c r="Q395" s="43"/>
      <c r="R395" s="43"/>
      <c r="S395" s="43"/>
      <c r="T395" s="43"/>
      <c r="U395" s="43"/>
      <c r="V395" s="43"/>
      <c r="W395" s="43"/>
      <c r="X395" s="43"/>
      <c r="Y395" s="43"/>
      <c r="Z395" s="43"/>
      <c r="AA395" s="43"/>
    </row>
    <row r="396">
      <c r="A396" s="43"/>
      <c r="B396" s="160"/>
      <c r="C396" s="160"/>
      <c r="D396" s="160"/>
      <c r="E396" s="43"/>
      <c r="F396" s="43"/>
      <c r="G396" s="43"/>
      <c r="H396" s="43"/>
      <c r="I396" s="43"/>
      <c r="J396" s="43"/>
      <c r="K396" s="43"/>
      <c r="L396" s="43"/>
      <c r="M396" s="43"/>
      <c r="N396" s="43"/>
      <c r="O396" s="43"/>
      <c r="P396" s="43"/>
      <c r="Q396" s="43"/>
      <c r="R396" s="43"/>
      <c r="S396" s="43"/>
      <c r="T396" s="43"/>
      <c r="U396" s="43"/>
      <c r="V396" s="43"/>
      <c r="W396" s="43"/>
      <c r="X396" s="43"/>
      <c r="Y396" s="43"/>
      <c r="Z396" s="43"/>
      <c r="AA396" s="43"/>
    </row>
    <row r="397">
      <c r="A397" s="43"/>
      <c r="B397" s="160"/>
      <c r="C397" s="160"/>
      <c r="D397" s="160"/>
      <c r="E397" s="43"/>
      <c r="F397" s="43"/>
      <c r="G397" s="43"/>
      <c r="H397" s="43"/>
      <c r="I397" s="43"/>
      <c r="J397" s="43"/>
      <c r="K397" s="43"/>
      <c r="L397" s="43"/>
      <c r="M397" s="43"/>
      <c r="N397" s="43"/>
      <c r="O397" s="43"/>
      <c r="P397" s="43"/>
      <c r="Q397" s="43"/>
      <c r="R397" s="43"/>
      <c r="S397" s="43"/>
      <c r="T397" s="43"/>
      <c r="U397" s="43"/>
      <c r="V397" s="43"/>
      <c r="W397" s="43"/>
      <c r="X397" s="43"/>
      <c r="Y397" s="43"/>
      <c r="Z397" s="43"/>
      <c r="AA397" s="43"/>
    </row>
    <row r="398">
      <c r="A398" s="43"/>
      <c r="B398" s="160"/>
      <c r="C398" s="160"/>
      <c r="D398" s="160"/>
      <c r="E398" s="43"/>
      <c r="F398" s="43"/>
      <c r="G398" s="43"/>
      <c r="H398" s="43"/>
      <c r="I398" s="43"/>
      <c r="J398" s="43"/>
      <c r="K398" s="43"/>
      <c r="L398" s="43"/>
      <c r="M398" s="43"/>
      <c r="N398" s="43"/>
      <c r="O398" s="43"/>
      <c r="P398" s="43"/>
      <c r="Q398" s="43"/>
      <c r="R398" s="43"/>
      <c r="S398" s="43"/>
      <c r="T398" s="43"/>
      <c r="U398" s="43"/>
      <c r="V398" s="43"/>
      <c r="W398" s="43"/>
      <c r="X398" s="43"/>
      <c r="Y398" s="43"/>
      <c r="Z398" s="43"/>
      <c r="AA398" s="43"/>
    </row>
    <row r="399">
      <c r="A399" s="43"/>
      <c r="B399" s="160"/>
      <c r="C399" s="160"/>
      <c r="D399" s="160"/>
      <c r="E399" s="43"/>
      <c r="F399" s="43"/>
      <c r="G399" s="43"/>
      <c r="H399" s="43"/>
      <c r="I399" s="43"/>
      <c r="J399" s="43"/>
      <c r="K399" s="43"/>
      <c r="L399" s="43"/>
      <c r="M399" s="43"/>
      <c r="N399" s="43"/>
      <c r="O399" s="43"/>
      <c r="P399" s="43"/>
      <c r="Q399" s="43"/>
      <c r="R399" s="43"/>
      <c r="S399" s="43"/>
      <c r="T399" s="43"/>
      <c r="U399" s="43"/>
      <c r="V399" s="43"/>
      <c r="W399" s="43"/>
      <c r="X399" s="43"/>
      <c r="Y399" s="43"/>
      <c r="Z399" s="43"/>
      <c r="AA399" s="43"/>
    </row>
    <row r="400">
      <c r="A400" s="43"/>
      <c r="B400" s="160"/>
      <c r="C400" s="160"/>
      <c r="D400" s="160"/>
      <c r="E400" s="43"/>
      <c r="F400" s="43"/>
      <c r="G400" s="43"/>
      <c r="H400" s="43"/>
      <c r="I400" s="43"/>
      <c r="J400" s="43"/>
      <c r="K400" s="43"/>
      <c r="L400" s="43"/>
      <c r="M400" s="43"/>
      <c r="N400" s="43"/>
      <c r="O400" s="43"/>
      <c r="P400" s="43"/>
      <c r="Q400" s="43"/>
      <c r="R400" s="43"/>
      <c r="S400" s="43"/>
      <c r="T400" s="43"/>
      <c r="U400" s="43"/>
      <c r="V400" s="43"/>
      <c r="W400" s="43"/>
      <c r="X400" s="43"/>
      <c r="Y400" s="43"/>
      <c r="Z400" s="43"/>
      <c r="AA400" s="43"/>
    </row>
    <row r="401">
      <c r="A401" s="43"/>
      <c r="B401" s="160"/>
      <c r="C401" s="160"/>
      <c r="D401" s="160"/>
      <c r="E401" s="43"/>
      <c r="F401" s="43"/>
      <c r="G401" s="43"/>
      <c r="H401" s="43"/>
      <c r="I401" s="43"/>
      <c r="J401" s="43"/>
      <c r="K401" s="43"/>
      <c r="L401" s="43"/>
      <c r="M401" s="43"/>
      <c r="N401" s="43"/>
      <c r="O401" s="43"/>
      <c r="P401" s="43"/>
      <c r="Q401" s="43"/>
      <c r="R401" s="43"/>
      <c r="S401" s="43"/>
      <c r="T401" s="43"/>
      <c r="U401" s="43"/>
      <c r="V401" s="43"/>
      <c r="W401" s="43"/>
      <c r="X401" s="43"/>
      <c r="Y401" s="43"/>
      <c r="Z401" s="43"/>
      <c r="AA401" s="43"/>
    </row>
    <row r="402">
      <c r="A402" s="43"/>
      <c r="B402" s="160"/>
      <c r="C402" s="160"/>
      <c r="D402" s="160"/>
      <c r="E402" s="43"/>
      <c r="F402" s="43"/>
      <c r="G402" s="43"/>
      <c r="H402" s="43"/>
      <c r="I402" s="43"/>
      <c r="J402" s="43"/>
      <c r="K402" s="43"/>
      <c r="L402" s="43"/>
      <c r="M402" s="43"/>
      <c r="N402" s="43"/>
      <c r="O402" s="43"/>
      <c r="P402" s="43"/>
      <c r="Q402" s="43"/>
      <c r="R402" s="43"/>
      <c r="S402" s="43"/>
      <c r="T402" s="43"/>
      <c r="U402" s="43"/>
      <c r="V402" s="43"/>
      <c r="W402" s="43"/>
      <c r="X402" s="43"/>
      <c r="Y402" s="43"/>
      <c r="Z402" s="43"/>
      <c r="AA402" s="43"/>
    </row>
    <row r="403">
      <c r="A403" s="43"/>
      <c r="B403" s="160"/>
      <c r="C403" s="160"/>
      <c r="D403" s="160"/>
      <c r="E403" s="43"/>
      <c r="F403" s="43"/>
      <c r="G403" s="43"/>
      <c r="H403" s="43"/>
      <c r="I403" s="43"/>
      <c r="J403" s="43"/>
      <c r="K403" s="43"/>
      <c r="L403" s="43"/>
      <c r="M403" s="43"/>
      <c r="N403" s="43"/>
      <c r="O403" s="43"/>
      <c r="P403" s="43"/>
      <c r="Q403" s="43"/>
      <c r="R403" s="43"/>
      <c r="S403" s="43"/>
      <c r="T403" s="43"/>
      <c r="U403" s="43"/>
      <c r="V403" s="43"/>
      <c r="W403" s="43"/>
      <c r="X403" s="43"/>
      <c r="Y403" s="43"/>
      <c r="Z403" s="43"/>
      <c r="AA403" s="43"/>
    </row>
    <row r="404">
      <c r="A404" s="43"/>
      <c r="B404" s="160"/>
      <c r="C404" s="160"/>
      <c r="D404" s="160"/>
      <c r="E404" s="43"/>
      <c r="F404" s="43"/>
      <c r="G404" s="43"/>
      <c r="H404" s="43"/>
      <c r="I404" s="43"/>
      <c r="J404" s="43"/>
      <c r="K404" s="43"/>
      <c r="L404" s="43"/>
      <c r="M404" s="43"/>
      <c r="N404" s="43"/>
      <c r="O404" s="43"/>
      <c r="P404" s="43"/>
      <c r="Q404" s="43"/>
      <c r="R404" s="43"/>
      <c r="S404" s="43"/>
      <c r="T404" s="43"/>
      <c r="U404" s="43"/>
      <c r="V404" s="43"/>
      <c r="W404" s="43"/>
      <c r="X404" s="43"/>
      <c r="Y404" s="43"/>
      <c r="Z404" s="43"/>
      <c r="AA404" s="43"/>
    </row>
    <row r="405">
      <c r="A405" s="43"/>
      <c r="B405" s="160"/>
      <c r="C405" s="160"/>
      <c r="D405" s="160"/>
      <c r="E405" s="43"/>
      <c r="F405" s="43"/>
      <c r="G405" s="43"/>
      <c r="H405" s="43"/>
      <c r="I405" s="43"/>
      <c r="J405" s="43"/>
      <c r="K405" s="43"/>
      <c r="L405" s="43"/>
      <c r="M405" s="43"/>
      <c r="N405" s="43"/>
      <c r="O405" s="43"/>
      <c r="P405" s="43"/>
      <c r="Q405" s="43"/>
      <c r="R405" s="43"/>
      <c r="S405" s="43"/>
      <c r="T405" s="43"/>
      <c r="U405" s="43"/>
      <c r="V405" s="43"/>
      <c r="W405" s="43"/>
      <c r="X405" s="43"/>
      <c r="Y405" s="43"/>
      <c r="Z405" s="43"/>
      <c r="AA405" s="43"/>
    </row>
    <row r="406">
      <c r="A406" s="43"/>
      <c r="B406" s="160"/>
      <c r="C406" s="160"/>
      <c r="D406" s="160"/>
      <c r="E406" s="43"/>
      <c r="F406" s="43"/>
      <c r="G406" s="43"/>
      <c r="H406" s="43"/>
      <c r="I406" s="43"/>
      <c r="J406" s="43"/>
      <c r="K406" s="43"/>
      <c r="L406" s="43"/>
      <c r="M406" s="43"/>
      <c r="N406" s="43"/>
      <c r="O406" s="43"/>
      <c r="P406" s="43"/>
      <c r="Q406" s="43"/>
      <c r="R406" s="43"/>
      <c r="S406" s="43"/>
      <c r="T406" s="43"/>
      <c r="U406" s="43"/>
      <c r="V406" s="43"/>
      <c r="W406" s="43"/>
      <c r="X406" s="43"/>
      <c r="Y406" s="43"/>
      <c r="Z406" s="43"/>
      <c r="AA406" s="43"/>
    </row>
    <row r="407">
      <c r="A407" s="43"/>
      <c r="B407" s="160"/>
      <c r="C407" s="160"/>
      <c r="D407" s="160"/>
      <c r="E407" s="43"/>
      <c r="F407" s="43"/>
      <c r="G407" s="43"/>
      <c r="H407" s="43"/>
      <c r="I407" s="43"/>
      <c r="J407" s="43"/>
      <c r="K407" s="43"/>
      <c r="L407" s="43"/>
      <c r="M407" s="43"/>
      <c r="N407" s="43"/>
      <c r="O407" s="43"/>
      <c r="P407" s="43"/>
      <c r="Q407" s="43"/>
      <c r="R407" s="43"/>
      <c r="S407" s="43"/>
      <c r="T407" s="43"/>
      <c r="U407" s="43"/>
      <c r="V407" s="43"/>
      <c r="W407" s="43"/>
      <c r="X407" s="43"/>
      <c r="Y407" s="43"/>
      <c r="Z407" s="43"/>
      <c r="AA407" s="43"/>
    </row>
    <row r="408">
      <c r="A408" s="43"/>
      <c r="B408" s="160"/>
      <c r="C408" s="160"/>
      <c r="D408" s="160"/>
      <c r="E408" s="43"/>
      <c r="F408" s="43"/>
      <c r="G408" s="43"/>
      <c r="H408" s="43"/>
      <c r="I408" s="43"/>
      <c r="J408" s="43"/>
      <c r="K408" s="43"/>
      <c r="L408" s="43"/>
      <c r="M408" s="43"/>
      <c r="N408" s="43"/>
      <c r="O408" s="43"/>
      <c r="P408" s="43"/>
      <c r="Q408" s="43"/>
      <c r="R408" s="43"/>
      <c r="S408" s="43"/>
      <c r="T408" s="43"/>
      <c r="U408" s="43"/>
      <c r="V408" s="43"/>
      <c r="W408" s="43"/>
      <c r="X408" s="43"/>
      <c r="Y408" s="43"/>
      <c r="Z408" s="43"/>
      <c r="AA408" s="43"/>
    </row>
    <row r="409">
      <c r="A409" s="43"/>
      <c r="B409" s="160"/>
      <c r="C409" s="160"/>
      <c r="D409" s="160"/>
      <c r="E409" s="43"/>
      <c r="F409" s="43"/>
      <c r="G409" s="43"/>
      <c r="H409" s="43"/>
      <c r="I409" s="43"/>
      <c r="J409" s="43"/>
      <c r="K409" s="43"/>
      <c r="L409" s="43"/>
      <c r="M409" s="43"/>
      <c r="N409" s="43"/>
      <c r="O409" s="43"/>
      <c r="P409" s="43"/>
      <c r="Q409" s="43"/>
      <c r="R409" s="43"/>
      <c r="S409" s="43"/>
      <c r="T409" s="43"/>
      <c r="U409" s="43"/>
      <c r="V409" s="43"/>
      <c r="W409" s="43"/>
      <c r="X409" s="43"/>
      <c r="Y409" s="43"/>
      <c r="Z409" s="43"/>
      <c r="AA409" s="43"/>
    </row>
    <row r="410">
      <c r="A410" s="43"/>
      <c r="B410" s="160"/>
      <c r="C410" s="160"/>
      <c r="D410" s="160"/>
      <c r="E410" s="43"/>
      <c r="F410" s="43"/>
      <c r="G410" s="43"/>
      <c r="H410" s="43"/>
      <c r="I410" s="43"/>
      <c r="J410" s="43"/>
      <c r="K410" s="43"/>
      <c r="L410" s="43"/>
      <c r="M410" s="43"/>
      <c r="N410" s="43"/>
      <c r="O410" s="43"/>
      <c r="P410" s="43"/>
      <c r="Q410" s="43"/>
      <c r="R410" s="43"/>
      <c r="S410" s="43"/>
      <c r="T410" s="43"/>
      <c r="U410" s="43"/>
      <c r="V410" s="43"/>
      <c r="W410" s="43"/>
      <c r="X410" s="43"/>
      <c r="Y410" s="43"/>
      <c r="Z410" s="43"/>
      <c r="AA410" s="43"/>
    </row>
    <row r="411">
      <c r="A411" s="43"/>
      <c r="B411" s="160"/>
      <c r="C411" s="160"/>
      <c r="D411" s="160"/>
      <c r="E411" s="43"/>
      <c r="F411" s="43"/>
      <c r="G411" s="43"/>
      <c r="H411" s="43"/>
      <c r="I411" s="43"/>
      <c r="J411" s="43"/>
      <c r="K411" s="43"/>
      <c r="L411" s="43"/>
      <c r="M411" s="43"/>
      <c r="N411" s="43"/>
      <c r="O411" s="43"/>
      <c r="P411" s="43"/>
      <c r="Q411" s="43"/>
      <c r="R411" s="43"/>
      <c r="S411" s="43"/>
      <c r="T411" s="43"/>
      <c r="U411" s="43"/>
      <c r="V411" s="43"/>
      <c r="W411" s="43"/>
      <c r="X411" s="43"/>
      <c r="Y411" s="43"/>
      <c r="Z411" s="43"/>
      <c r="AA411" s="43"/>
    </row>
    <row r="412">
      <c r="A412" s="43"/>
      <c r="B412" s="160"/>
      <c r="C412" s="160"/>
      <c r="D412" s="160"/>
      <c r="E412" s="43"/>
      <c r="F412" s="43"/>
      <c r="G412" s="43"/>
      <c r="H412" s="43"/>
      <c r="I412" s="43"/>
      <c r="J412" s="43"/>
      <c r="K412" s="43"/>
      <c r="L412" s="43"/>
      <c r="M412" s="43"/>
      <c r="N412" s="43"/>
      <c r="O412" s="43"/>
      <c r="P412" s="43"/>
      <c r="Q412" s="43"/>
      <c r="R412" s="43"/>
      <c r="S412" s="43"/>
      <c r="T412" s="43"/>
      <c r="U412" s="43"/>
      <c r="V412" s="43"/>
      <c r="W412" s="43"/>
      <c r="X412" s="43"/>
      <c r="Y412" s="43"/>
      <c r="Z412" s="43"/>
      <c r="AA412" s="43"/>
    </row>
    <row r="413">
      <c r="A413" s="43"/>
      <c r="B413" s="160"/>
      <c r="C413" s="160"/>
      <c r="D413" s="160"/>
      <c r="E413" s="43"/>
      <c r="F413" s="43"/>
      <c r="G413" s="43"/>
      <c r="H413" s="43"/>
      <c r="I413" s="43"/>
      <c r="J413" s="43"/>
      <c r="K413" s="43"/>
      <c r="L413" s="43"/>
      <c r="M413" s="43"/>
      <c r="N413" s="43"/>
      <c r="O413" s="43"/>
      <c r="P413" s="43"/>
      <c r="Q413" s="43"/>
      <c r="R413" s="43"/>
      <c r="S413" s="43"/>
      <c r="T413" s="43"/>
      <c r="U413" s="43"/>
      <c r="V413" s="43"/>
      <c r="W413" s="43"/>
      <c r="X413" s="43"/>
      <c r="Y413" s="43"/>
      <c r="Z413" s="43"/>
      <c r="AA413" s="43"/>
    </row>
    <row r="414">
      <c r="A414" s="43"/>
      <c r="B414" s="160"/>
      <c r="C414" s="160"/>
      <c r="D414" s="160"/>
      <c r="E414" s="43"/>
      <c r="F414" s="43"/>
      <c r="G414" s="43"/>
      <c r="H414" s="43"/>
      <c r="I414" s="43"/>
      <c r="J414" s="43"/>
      <c r="K414" s="43"/>
      <c r="L414" s="43"/>
      <c r="M414" s="43"/>
      <c r="N414" s="43"/>
      <c r="O414" s="43"/>
      <c r="P414" s="43"/>
      <c r="Q414" s="43"/>
      <c r="R414" s="43"/>
      <c r="S414" s="43"/>
      <c r="T414" s="43"/>
      <c r="U414" s="43"/>
      <c r="V414" s="43"/>
      <c r="W414" s="43"/>
      <c r="X414" s="43"/>
      <c r="Y414" s="43"/>
      <c r="Z414" s="43"/>
      <c r="AA414" s="43"/>
    </row>
    <row r="415">
      <c r="A415" s="43"/>
      <c r="B415" s="160"/>
      <c r="C415" s="160"/>
      <c r="D415" s="160"/>
      <c r="E415" s="43"/>
      <c r="F415" s="43"/>
      <c r="G415" s="43"/>
      <c r="H415" s="43"/>
      <c r="I415" s="43"/>
      <c r="J415" s="43"/>
      <c r="K415" s="43"/>
      <c r="L415" s="43"/>
      <c r="M415" s="43"/>
      <c r="N415" s="43"/>
      <c r="O415" s="43"/>
      <c r="P415" s="43"/>
      <c r="Q415" s="43"/>
      <c r="R415" s="43"/>
      <c r="S415" s="43"/>
      <c r="T415" s="43"/>
      <c r="U415" s="43"/>
      <c r="V415" s="43"/>
      <c r="W415" s="43"/>
      <c r="X415" s="43"/>
      <c r="Y415" s="43"/>
      <c r="Z415" s="43"/>
      <c r="AA415" s="43"/>
    </row>
    <row r="416">
      <c r="A416" s="43"/>
      <c r="B416" s="160"/>
      <c r="C416" s="160"/>
      <c r="D416" s="160"/>
      <c r="E416" s="43"/>
      <c r="F416" s="43"/>
      <c r="G416" s="43"/>
      <c r="H416" s="43"/>
      <c r="I416" s="43"/>
      <c r="J416" s="43"/>
      <c r="K416" s="43"/>
      <c r="L416" s="43"/>
      <c r="M416" s="43"/>
      <c r="N416" s="43"/>
      <c r="O416" s="43"/>
      <c r="P416" s="43"/>
      <c r="Q416" s="43"/>
      <c r="R416" s="43"/>
      <c r="S416" s="43"/>
      <c r="T416" s="43"/>
      <c r="U416" s="43"/>
      <c r="V416" s="43"/>
      <c r="W416" s="43"/>
      <c r="X416" s="43"/>
      <c r="Y416" s="43"/>
      <c r="Z416" s="43"/>
      <c r="AA416" s="43"/>
    </row>
    <row r="417">
      <c r="A417" s="43"/>
      <c r="B417" s="160"/>
      <c r="C417" s="160"/>
      <c r="D417" s="160"/>
      <c r="E417" s="43"/>
      <c r="F417" s="43"/>
      <c r="G417" s="43"/>
      <c r="H417" s="43"/>
      <c r="I417" s="43"/>
      <c r="J417" s="43"/>
      <c r="K417" s="43"/>
      <c r="L417" s="43"/>
      <c r="M417" s="43"/>
      <c r="N417" s="43"/>
      <c r="O417" s="43"/>
      <c r="P417" s="43"/>
      <c r="Q417" s="43"/>
      <c r="R417" s="43"/>
      <c r="S417" s="43"/>
      <c r="T417" s="43"/>
      <c r="U417" s="43"/>
      <c r="V417" s="43"/>
      <c r="W417" s="43"/>
      <c r="X417" s="43"/>
      <c r="Y417" s="43"/>
      <c r="Z417" s="43"/>
      <c r="AA417" s="43"/>
    </row>
    <row r="418">
      <c r="A418" s="43"/>
      <c r="B418" s="160"/>
      <c r="C418" s="160"/>
      <c r="D418" s="160"/>
      <c r="E418" s="43"/>
      <c r="F418" s="43"/>
      <c r="G418" s="43"/>
      <c r="H418" s="43"/>
      <c r="I418" s="43"/>
      <c r="J418" s="43"/>
      <c r="K418" s="43"/>
      <c r="L418" s="43"/>
      <c r="M418" s="43"/>
      <c r="N418" s="43"/>
      <c r="O418" s="43"/>
      <c r="P418" s="43"/>
      <c r="Q418" s="43"/>
      <c r="R418" s="43"/>
      <c r="S418" s="43"/>
      <c r="T418" s="43"/>
      <c r="U418" s="43"/>
      <c r="V418" s="43"/>
      <c r="W418" s="43"/>
      <c r="X418" s="43"/>
      <c r="Y418" s="43"/>
      <c r="Z418" s="43"/>
      <c r="AA418" s="43"/>
    </row>
    <row r="419">
      <c r="A419" s="43"/>
      <c r="B419" s="160"/>
      <c r="C419" s="160"/>
      <c r="D419" s="160"/>
      <c r="E419" s="43"/>
      <c r="F419" s="43"/>
      <c r="G419" s="43"/>
      <c r="H419" s="43"/>
      <c r="I419" s="43"/>
      <c r="J419" s="43"/>
      <c r="K419" s="43"/>
      <c r="L419" s="43"/>
      <c r="M419" s="43"/>
      <c r="N419" s="43"/>
      <c r="O419" s="43"/>
      <c r="P419" s="43"/>
      <c r="Q419" s="43"/>
      <c r="R419" s="43"/>
      <c r="S419" s="43"/>
      <c r="T419" s="43"/>
      <c r="U419" s="43"/>
      <c r="V419" s="43"/>
      <c r="W419" s="43"/>
      <c r="X419" s="43"/>
      <c r="Y419" s="43"/>
      <c r="Z419" s="43"/>
      <c r="AA419" s="43"/>
    </row>
    <row r="420">
      <c r="A420" s="43"/>
      <c r="B420" s="160"/>
      <c r="C420" s="160"/>
      <c r="D420" s="160"/>
      <c r="E420" s="43"/>
      <c r="F420" s="43"/>
      <c r="G420" s="43"/>
      <c r="H420" s="43"/>
      <c r="I420" s="43"/>
      <c r="J420" s="43"/>
      <c r="K420" s="43"/>
      <c r="L420" s="43"/>
      <c r="M420" s="43"/>
      <c r="N420" s="43"/>
      <c r="O420" s="43"/>
      <c r="P420" s="43"/>
      <c r="Q420" s="43"/>
      <c r="R420" s="43"/>
      <c r="S420" s="43"/>
      <c r="T420" s="43"/>
      <c r="U420" s="43"/>
      <c r="V420" s="43"/>
      <c r="W420" s="43"/>
      <c r="X420" s="43"/>
      <c r="Y420" s="43"/>
      <c r="Z420" s="43"/>
      <c r="AA420" s="43"/>
    </row>
    <row r="421">
      <c r="A421" s="43"/>
      <c r="B421" s="160"/>
      <c r="C421" s="160"/>
      <c r="D421" s="160"/>
      <c r="E421" s="43"/>
      <c r="F421" s="43"/>
      <c r="G421" s="43"/>
      <c r="H421" s="43"/>
      <c r="I421" s="43"/>
      <c r="J421" s="43"/>
      <c r="K421" s="43"/>
      <c r="L421" s="43"/>
      <c r="M421" s="43"/>
      <c r="N421" s="43"/>
      <c r="O421" s="43"/>
      <c r="P421" s="43"/>
      <c r="Q421" s="43"/>
      <c r="R421" s="43"/>
      <c r="S421" s="43"/>
      <c r="T421" s="43"/>
      <c r="U421" s="43"/>
      <c r="V421" s="43"/>
      <c r="W421" s="43"/>
      <c r="X421" s="43"/>
      <c r="Y421" s="43"/>
      <c r="Z421" s="43"/>
      <c r="AA421" s="43"/>
    </row>
    <row r="422">
      <c r="A422" s="43"/>
      <c r="B422" s="160"/>
      <c r="C422" s="160"/>
      <c r="D422" s="160"/>
      <c r="E422" s="43"/>
      <c r="F422" s="43"/>
      <c r="G422" s="43"/>
      <c r="H422" s="43"/>
      <c r="I422" s="43"/>
      <c r="J422" s="43"/>
      <c r="K422" s="43"/>
      <c r="L422" s="43"/>
      <c r="M422" s="43"/>
      <c r="N422" s="43"/>
      <c r="O422" s="43"/>
      <c r="P422" s="43"/>
      <c r="Q422" s="43"/>
      <c r="R422" s="43"/>
      <c r="S422" s="43"/>
      <c r="T422" s="43"/>
      <c r="U422" s="43"/>
      <c r="V422" s="43"/>
      <c r="W422" s="43"/>
      <c r="X422" s="43"/>
      <c r="Y422" s="43"/>
      <c r="Z422" s="43"/>
      <c r="AA422" s="43"/>
    </row>
    <row r="423">
      <c r="A423" s="43"/>
      <c r="B423" s="160"/>
      <c r="C423" s="160"/>
      <c r="D423" s="160"/>
      <c r="E423" s="43"/>
      <c r="F423" s="43"/>
      <c r="G423" s="43"/>
      <c r="H423" s="43"/>
      <c r="I423" s="43"/>
      <c r="J423" s="43"/>
      <c r="K423" s="43"/>
      <c r="L423" s="43"/>
      <c r="M423" s="43"/>
      <c r="N423" s="43"/>
      <c r="O423" s="43"/>
      <c r="P423" s="43"/>
      <c r="Q423" s="43"/>
      <c r="R423" s="43"/>
      <c r="S423" s="43"/>
      <c r="T423" s="43"/>
      <c r="U423" s="43"/>
      <c r="V423" s="43"/>
      <c r="W423" s="43"/>
      <c r="X423" s="43"/>
      <c r="Y423" s="43"/>
      <c r="Z423" s="43"/>
      <c r="AA423" s="43"/>
    </row>
    <row r="424">
      <c r="A424" s="43"/>
      <c r="B424" s="160"/>
      <c r="C424" s="160"/>
      <c r="D424" s="160"/>
      <c r="E424" s="43"/>
      <c r="F424" s="43"/>
      <c r="G424" s="43"/>
      <c r="H424" s="43"/>
      <c r="I424" s="43"/>
      <c r="J424" s="43"/>
      <c r="K424" s="43"/>
      <c r="L424" s="43"/>
      <c r="M424" s="43"/>
      <c r="N424" s="43"/>
      <c r="O424" s="43"/>
      <c r="P424" s="43"/>
      <c r="Q424" s="43"/>
      <c r="R424" s="43"/>
      <c r="S424" s="43"/>
      <c r="T424" s="43"/>
      <c r="U424" s="43"/>
      <c r="V424" s="43"/>
      <c r="W424" s="43"/>
      <c r="X424" s="43"/>
      <c r="Y424" s="43"/>
      <c r="Z424" s="43"/>
      <c r="AA424" s="43"/>
    </row>
    <row r="425">
      <c r="A425" s="43"/>
      <c r="B425" s="160"/>
      <c r="C425" s="160"/>
      <c r="D425" s="160"/>
      <c r="E425" s="43"/>
      <c r="F425" s="43"/>
      <c r="G425" s="43"/>
      <c r="H425" s="43"/>
      <c r="I425" s="43"/>
      <c r="J425" s="43"/>
      <c r="K425" s="43"/>
      <c r="L425" s="43"/>
      <c r="M425" s="43"/>
      <c r="N425" s="43"/>
      <c r="O425" s="43"/>
      <c r="P425" s="43"/>
      <c r="Q425" s="43"/>
      <c r="R425" s="43"/>
      <c r="S425" s="43"/>
      <c r="T425" s="43"/>
      <c r="U425" s="43"/>
      <c r="V425" s="43"/>
      <c r="W425" s="43"/>
      <c r="X425" s="43"/>
      <c r="Y425" s="43"/>
      <c r="Z425" s="43"/>
      <c r="AA425" s="43"/>
    </row>
    <row r="426">
      <c r="A426" s="43"/>
      <c r="B426" s="160"/>
      <c r="C426" s="160"/>
      <c r="D426" s="160"/>
      <c r="E426" s="43"/>
      <c r="F426" s="43"/>
      <c r="G426" s="43"/>
      <c r="H426" s="43"/>
      <c r="I426" s="43"/>
      <c r="J426" s="43"/>
      <c r="K426" s="43"/>
      <c r="L426" s="43"/>
      <c r="M426" s="43"/>
      <c r="N426" s="43"/>
      <c r="O426" s="43"/>
      <c r="P426" s="43"/>
      <c r="Q426" s="43"/>
      <c r="R426" s="43"/>
      <c r="S426" s="43"/>
      <c r="T426" s="43"/>
      <c r="U426" s="43"/>
      <c r="V426" s="43"/>
      <c r="W426" s="43"/>
      <c r="X426" s="43"/>
      <c r="Y426" s="43"/>
      <c r="Z426" s="43"/>
      <c r="AA426" s="43"/>
    </row>
    <row r="427">
      <c r="A427" s="43"/>
      <c r="B427" s="160"/>
      <c r="C427" s="160"/>
      <c r="D427" s="160"/>
      <c r="E427" s="43"/>
      <c r="F427" s="43"/>
      <c r="G427" s="43"/>
      <c r="H427" s="43"/>
      <c r="I427" s="43"/>
      <c r="J427" s="43"/>
      <c r="K427" s="43"/>
      <c r="L427" s="43"/>
      <c r="M427" s="43"/>
      <c r="N427" s="43"/>
      <c r="O427" s="43"/>
      <c r="P427" s="43"/>
      <c r="Q427" s="43"/>
      <c r="R427" s="43"/>
      <c r="S427" s="43"/>
      <c r="T427" s="43"/>
      <c r="U427" s="43"/>
      <c r="V427" s="43"/>
      <c r="W427" s="43"/>
      <c r="X427" s="43"/>
      <c r="Y427" s="43"/>
      <c r="Z427" s="43"/>
      <c r="AA427" s="43"/>
    </row>
    <row r="428">
      <c r="A428" s="43"/>
      <c r="B428" s="160"/>
      <c r="C428" s="160"/>
      <c r="D428" s="160"/>
      <c r="E428" s="43"/>
      <c r="F428" s="43"/>
      <c r="G428" s="43"/>
      <c r="H428" s="43"/>
      <c r="I428" s="43"/>
      <c r="J428" s="43"/>
      <c r="K428" s="43"/>
      <c r="L428" s="43"/>
      <c r="M428" s="43"/>
      <c r="N428" s="43"/>
      <c r="O428" s="43"/>
      <c r="P428" s="43"/>
      <c r="Q428" s="43"/>
      <c r="R428" s="43"/>
      <c r="S428" s="43"/>
      <c r="T428" s="43"/>
      <c r="U428" s="43"/>
      <c r="V428" s="43"/>
      <c r="W428" s="43"/>
      <c r="X428" s="43"/>
      <c r="Y428" s="43"/>
      <c r="Z428" s="43"/>
      <c r="AA428" s="43"/>
    </row>
    <row r="429">
      <c r="A429" s="43"/>
      <c r="B429" s="160"/>
      <c r="C429" s="160"/>
      <c r="D429" s="160"/>
      <c r="E429" s="43"/>
      <c r="F429" s="43"/>
      <c r="G429" s="43"/>
      <c r="H429" s="43"/>
      <c r="I429" s="43"/>
      <c r="J429" s="43"/>
      <c r="K429" s="43"/>
      <c r="L429" s="43"/>
      <c r="M429" s="43"/>
      <c r="N429" s="43"/>
      <c r="O429" s="43"/>
      <c r="P429" s="43"/>
      <c r="Q429" s="43"/>
      <c r="R429" s="43"/>
      <c r="S429" s="43"/>
      <c r="T429" s="43"/>
      <c r="U429" s="43"/>
      <c r="V429" s="43"/>
      <c r="W429" s="43"/>
      <c r="X429" s="43"/>
      <c r="Y429" s="43"/>
      <c r="Z429" s="43"/>
      <c r="AA429" s="43"/>
    </row>
    <row r="430">
      <c r="A430" s="43"/>
      <c r="B430" s="160"/>
      <c r="C430" s="160"/>
      <c r="D430" s="160"/>
      <c r="E430" s="43"/>
      <c r="F430" s="43"/>
      <c r="G430" s="43"/>
      <c r="H430" s="43"/>
      <c r="I430" s="43"/>
      <c r="J430" s="43"/>
      <c r="K430" s="43"/>
      <c r="L430" s="43"/>
      <c r="M430" s="43"/>
      <c r="N430" s="43"/>
      <c r="O430" s="43"/>
      <c r="P430" s="43"/>
      <c r="Q430" s="43"/>
      <c r="R430" s="43"/>
      <c r="S430" s="43"/>
      <c r="T430" s="43"/>
      <c r="U430" s="43"/>
      <c r="V430" s="43"/>
      <c r="W430" s="43"/>
      <c r="X430" s="43"/>
      <c r="Y430" s="43"/>
      <c r="Z430" s="43"/>
      <c r="AA430" s="43"/>
    </row>
    <row r="431">
      <c r="A431" s="43"/>
      <c r="B431" s="160"/>
      <c r="C431" s="160"/>
      <c r="D431" s="160"/>
      <c r="E431" s="43"/>
      <c r="F431" s="43"/>
      <c r="G431" s="43"/>
      <c r="H431" s="43"/>
      <c r="I431" s="43"/>
      <c r="J431" s="43"/>
      <c r="K431" s="43"/>
      <c r="L431" s="43"/>
      <c r="M431" s="43"/>
      <c r="N431" s="43"/>
      <c r="O431" s="43"/>
      <c r="P431" s="43"/>
      <c r="Q431" s="43"/>
      <c r="R431" s="43"/>
      <c r="S431" s="43"/>
      <c r="T431" s="43"/>
      <c r="U431" s="43"/>
      <c r="V431" s="43"/>
      <c r="W431" s="43"/>
      <c r="X431" s="43"/>
      <c r="Y431" s="43"/>
      <c r="Z431" s="43"/>
      <c r="AA431" s="43"/>
    </row>
    <row r="432">
      <c r="A432" s="43"/>
      <c r="B432" s="160"/>
      <c r="C432" s="160"/>
      <c r="D432" s="160"/>
      <c r="E432" s="43"/>
      <c r="F432" s="43"/>
      <c r="G432" s="43"/>
      <c r="H432" s="43"/>
      <c r="I432" s="43"/>
      <c r="J432" s="43"/>
      <c r="K432" s="43"/>
      <c r="L432" s="43"/>
      <c r="M432" s="43"/>
      <c r="N432" s="43"/>
      <c r="O432" s="43"/>
      <c r="P432" s="43"/>
      <c r="Q432" s="43"/>
      <c r="R432" s="43"/>
      <c r="S432" s="43"/>
      <c r="T432" s="43"/>
      <c r="U432" s="43"/>
      <c r="V432" s="43"/>
      <c r="W432" s="43"/>
      <c r="X432" s="43"/>
      <c r="Y432" s="43"/>
      <c r="Z432" s="43"/>
      <c r="AA432" s="43"/>
    </row>
    <row r="433">
      <c r="A433" s="43"/>
      <c r="B433" s="160"/>
      <c r="C433" s="160"/>
      <c r="D433" s="160"/>
      <c r="E433" s="43"/>
      <c r="F433" s="43"/>
      <c r="G433" s="43"/>
      <c r="H433" s="43"/>
      <c r="I433" s="43"/>
      <c r="J433" s="43"/>
      <c r="K433" s="43"/>
      <c r="L433" s="43"/>
      <c r="M433" s="43"/>
      <c r="N433" s="43"/>
      <c r="O433" s="43"/>
      <c r="P433" s="43"/>
      <c r="Q433" s="43"/>
      <c r="R433" s="43"/>
      <c r="S433" s="43"/>
      <c r="T433" s="43"/>
      <c r="U433" s="43"/>
      <c r="V433" s="43"/>
      <c r="W433" s="43"/>
      <c r="X433" s="43"/>
      <c r="Y433" s="43"/>
      <c r="Z433" s="43"/>
      <c r="AA433" s="43"/>
    </row>
    <row r="434">
      <c r="A434" s="43"/>
      <c r="B434" s="160"/>
      <c r="C434" s="160"/>
      <c r="D434" s="160"/>
      <c r="E434" s="43"/>
      <c r="F434" s="43"/>
      <c r="G434" s="43"/>
      <c r="H434" s="43"/>
      <c r="I434" s="43"/>
      <c r="J434" s="43"/>
      <c r="K434" s="43"/>
      <c r="L434" s="43"/>
      <c r="M434" s="43"/>
      <c r="N434" s="43"/>
      <c r="O434" s="43"/>
      <c r="P434" s="43"/>
      <c r="Q434" s="43"/>
      <c r="R434" s="43"/>
      <c r="S434" s="43"/>
      <c r="T434" s="43"/>
      <c r="U434" s="43"/>
      <c r="V434" s="43"/>
      <c r="W434" s="43"/>
      <c r="X434" s="43"/>
      <c r="Y434" s="43"/>
      <c r="Z434" s="43"/>
      <c r="AA434" s="43"/>
    </row>
    <row r="435">
      <c r="A435" s="43"/>
      <c r="B435" s="160"/>
      <c r="C435" s="160"/>
      <c r="D435" s="160"/>
      <c r="E435" s="43"/>
      <c r="F435" s="43"/>
      <c r="G435" s="43"/>
      <c r="H435" s="43"/>
      <c r="I435" s="43"/>
      <c r="J435" s="43"/>
      <c r="K435" s="43"/>
      <c r="L435" s="43"/>
      <c r="M435" s="43"/>
      <c r="N435" s="43"/>
      <c r="O435" s="43"/>
      <c r="P435" s="43"/>
      <c r="Q435" s="43"/>
      <c r="R435" s="43"/>
      <c r="S435" s="43"/>
      <c r="T435" s="43"/>
      <c r="U435" s="43"/>
      <c r="V435" s="43"/>
      <c r="W435" s="43"/>
      <c r="X435" s="43"/>
      <c r="Y435" s="43"/>
      <c r="Z435" s="43"/>
      <c r="AA435" s="43"/>
    </row>
    <row r="436">
      <c r="A436" s="43"/>
      <c r="B436" s="160"/>
      <c r="C436" s="160"/>
      <c r="D436" s="160"/>
      <c r="E436" s="43"/>
      <c r="F436" s="43"/>
      <c r="G436" s="43"/>
      <c r="H436" s="43"/>
      <c r="I436" s="43"/>
      <c r="J436" s="43"/>
      <c r="K436" s="43"/>
      <c r="L436" s="43"/>
      <c r="M436" s="43"/>
      <c r="N436" s="43"/>
      <c r="O436" s="43"/>
      <c r="P436" s="43"/>
      <c r="Q436" s="43"/>
      <c r="R436" s="43"/>
      <c r="S436" s="43"/>
      <c r="T436" s="43"/>
      <c r="U436" s="43"/>
      <c r="V436" s="43"/>
      <c r="W436" s="43"/>
      <c r="X436" s="43"/>
      <c r="Y436" s="43"/>
      <c r="Z436" s="43"/>
      <c r="AA436" s="43"/>
    </row>
    <row r="437">
      <c r="A437" s="43"/>
      <c r="B437" s="160"/>
      <c r="C437" s="160"/>
      <c r="D437" s="160"/>
      <c r="E437" s="43"/>
      <c r="F437" s="43"/>
      <c r="G437" s="43"/>
      <c r="H437" s="43"/>
      <c r="I437" s="43"/>
      <c r="J437" s="43"/>
      <c r="K437" s="43"/>
      <c r="L437" s="43"/>
      <c r="M437" s="43"/>
      <c r="N437" s="43"/>
      <c r="O437" s="43"/>
      <c r="P437" s="43"/>
      <c r="Q437" s="43"/>
      <c r="R437" s="43"/>
      <c r="S437" s="43"/>
      <c r="T437" s="43"/>
      <c r="U437" s="43"/>
      <c r="V437" s="43"/>
      <c r="W437" s="43"/>
      <c r="X437" s="43"/>
      <c r="Y437" s="43"/>
      <c r="Z437" s="43"/>
      <c r="AA437" s="43"/>
    </row>
    <row r="438">
      <c r="A438" s="43"/>
      <c r="B438" s="160"/>
      <c r="C438" s="160"/>
      <c r="D438" s="160"/>
      <c r="E438" s="43"/>
      <c r="F438" s="43"/>
      <c r="G438" s="43"/>
      <c r="H438" s="43"/>
      <c r="I438" s="43"/>
      <c r="J438" s="43"/>
      <c r="K438" s="43"/>
      <c r="L438" s="43"/>
      <c r="M438" s="43"/>
      <c r="N438" s="43"/>
      <c r="O438" s="43"/>
      <c r="P438" s="43"/>
      <c r="Q438" s="43"/>
      <c r="R438" s="43"/>
      <c r="S438" s="43"/>
      <c r="T438" s="43"/>
      <c r="U438" s="43"/>
      <c r="V438" s="43"/>
      <c r="W438" s="43"/>
      <c r="X438" s="43"/>
      <c r="Y438" s="43"/>
      <c r="Z438" s="43"/>
      <c r="AA438" s="43"/>
    </row>
    <row r="439">
      <c r="A439" s="43"/>
      <c r="B439" s="160"/>
      <c r="C439" s="160"/>
      <c r="D439" s="160"/>
      <c r="E439" s="43"/>
      <c r="F439" s="43"/>
      <c r="G439" s="43"/>
      <c r="H439" s="43"/>
      <c r="I439" s="43"/>
      <c r="J439" s="43"/>
      <c r="K439" s="43"/>
      <c r="L439" s="43"/>
      <c r="M439" s="43"/>
      <c r="N439" s="43"/>
      <c r="O439" s="43"/>
      <c r="P439" s="43"/>
      <c r="Q439" s="43"/>
      <c r="R439" s="43"/>
      <c r="S439" s="43"/>
      <c r="T439" s="43"/>
      <c r="U439" s="43"/>
      <c r="V439" s="43"/>
      <c r="W439" s="43"/>
      <c r="X439" s="43"/>
      <c r="Y439" s="43"/>
      <c r="Z439" s="43"/>
      <c r="AA439" s="43"/>
    </row>
    <row r="440">
      <c r="A440" s="43"/>
      <c r="B440" s="160"/>
      <c r="C440" s="160"/>
      <c r="D440" s="160"/>
      <c r="E440" s="43"/>
      <c r="F440" s="43"/>
      <c r="G440" s="43"/>
      <c r="H440" s="43"/>
      <c r="I440" s="43"/>
      <c r="J440" s="43"/>
      <c r="K440" s="43"/>
      <c r="L440" s="43"/>
      <c r="M440" s="43"/>
      <c r="N440" s="43"/>
      <c r="O440" s="43"/>
      <c r="P440" s="43"/>
      <c r="Q440" s="43"/>
      <c r="R440" s="43"/>
      <c r="S440" s="43"/>
      <c r="T440" s="43"/>
      <c r="U440" s="43"/>
      <c r="V440" s="43"/>
      <c r="W440" s="43"/>
      <c r="X440" s="43"/>
      <c r="Y440" s="43"/>
      <c r="Z440" s="43"/>
      <c r="AA440" s="43"/>
    </row>
    <row r="441">
      <c r="A441" s="43"/>
      <c r="B441" s="160"/>
      <c r="C441" s="160"/>
      <c r="D441" s="160"/>
      <c r="E441" s="43"/>
      <c r="F441" s="43"/>
      <c r="G441" s="43"/>
      <c r="H441" s="43"/>
      <c r="I441" s="43"/>
      <c r="J441" s="43"/>
      <c r="K441" s="43"/>
      <c r="L441" s="43"/>
      <c r="M441" s="43"/>
      <c r="N441" s="43"/>
      <c r="O441" s="43"/>
      <c r="P441" s="43"/>
      <c r="Q441" s="43"/>
      <c r="R441" s="43"/>
      <c r="S441" s="43"/>
      <c r="T441" s="43"/>
      <c r="U441" s="43"/>
      <c r="V441" s="43"/>
      <c r="W441" s="43"/>
      <c r="X441" s="43"/>
      <c r="Y441" s="43"/>
      <c r="Z441" s="43"/>
      <c r="AA441" s="43"/>
    </row>
    <row r="442">
      <c r="A442" s="43"/>
      <c r="B442" s="160"/>
      <c r="C442" s="160"/>
      <c r="D442" s="160"/>
      <c r="E442" s="43"/>
      <c r="F442" s="43"/>
      <c r="G442" s="43"/>
      <c r="H442" s="43"/>
      <c r="I442" s="43"/>
      <c r="J442" s="43"/>
      <c r="K442" s="43"/>
      <c r="L442" s="43"/>
      <c r="M442" s="43"/>
      <c r="N442" s="43"/>
      <c r="O442" s="43"/>
      <c r="P442" s="43"/>
      <c r="Q442" s="43"/>
      <c r="R442" s="43"/>
      <c r="S442" s="43"/>
      <c r="T442" s="43"/>
      <c r="U442" s="43"/>
      <c r="V442" s="43"/>
      <c r="W442" s="43"/>
      <c r="X442" s="43"/>
      <c r="Y442" s="43"/>
      <c r="Z442" s="43"/>
      <c r="AA442" s="43"/>
    </row>
    <row r="443">
      <c r="A443" s="43"/>
      <c r="B443" s="160"/>
      <c r="C443" s="160"/>
      <c r="D443" s="160"/>
      <c r="E443" s="43"/>
      <c r="F443" s="43"/>
      <c r="G443" s="43"/>
      <c r="H443" s="43"/>
      <c r="I443" s="43"/>
      <c r="J443" s="43"/>
      <c r="K443" s="43"/>
      <c r="L443" s="43"/>
      <c r="M443" s="43"/>
      <c r="N443" s="43"/>
      <c r="O443" s="43"/>
      <c r="P443" s="43"/>
      <c r="Q443" s="43"/>
      <c r="R443" s="43"/>
      <c r="S443" s="43"/>
      <c r="T443" s="43"/>
      <c r="U443" s="43"/>
      <c r="V443" s="43"/>
      <c r="W443" s="43"/>
      <c r="X443" s="43"/>
      <c r="Y443" s="43"/>
      <c r="Z443" s="43"/>
      <c r="AA443" s="43"/>
    </row>
    <row r="444">
      <c r="A444" s="43"/>
      <c r="B444" s="160"/>
      <c r="C444" s="160"/>
      <c r="D444" s="160"/>
      <c r="E444" s="43"/>
      <c r="F444" s="43"/>
      <c r="G444" s="43"/>
      <c r="H444" s="43"/>
      <c r="I444" s="43"/>
      <c r="J444" s="43"/>
      <c r="K444" s="43"/>
      <c r="L444" s="43"/>
      <c r="M444" s="43"/>
      <c r="N444" s="43"/>
      <c r="O444" s="43"/>
      <c r="P444" s="43"/>
      <c r="Q444" s="43"/>
      <c r="R444" s="43"/>
      <c r="S444" s="43"/>
      <c r="T444" s="43"/>
      <c r="U444" s="43"/>
      <c r="V444" s="43"/>
      <c r="W444" s="43"/>
      <c r="X444" s="43"/>
      <c r="Y444" s="43"/>
      <c r="Z444" s="43"/>
      <c r="AA444" s="43"/>
    </row>
    <row r="445">
      <c r="A445" s="43"/>
      <c r="B445" s="160"/>
      <c r="C445" s="160"/>
      <c r="D445" s="160"/>
      <c r="E445" s="43"/>
      <c r="F445" s="43"/>
      <c r="G445" s="43"/>
      <c r="H445" s="43"/>
      <c r="I445" s="43"/>
      <c r="J445" s="43"/>
      <c r="K445" s="43"/>
      <c r="L445" s="43"/>
      <c r="M445" s="43"/>
      <c r="N445" s="43"/>
      <c r="O445" s="43"/>
      <c r="P445" s="43"/>
      <c r="Q445" s="43"/>
      <c r="R445" s="43"/>
      <c r="S445" s="43"/>
      <c r="T445" s="43"/>
      <c r="U445" s="43"/>
      <c r="V445" s="43"/>
      <c r="W445" s="43"/>
      <c r="X445" s="43"/>
      <c r="Y445" s="43"/>
      <c r="Z445" s="43"/>
      <c r="AA445" s="43"/>
    </row>
    <row r="446">
      <c r="A446" s="43"/>
      <c r="B446" s="160"/>
      <c r="C446" s="160"/>
      <c r="D446" s="160"/>
      <c r="E446" s="43"/>
      <c r="F446" s="43"/>
      <c r="G446" s="43"/>
      <c r="H446" s="43"/>
      <c r="I446" s="43"/>
      <c r="J446" s="43"/>
      <c r="K446" s="43"/>
      <c r="L446" s="43"/>
      <c r="M446" s="43"/>
      <c r="N446" s="43"/>
      <c r="O446" s="43"/>
      <c r="P446" s="43"/>
      <c r="Q446" s="43"/>
      <c r="R446" s="43"/>
      <c r="S446" s="43"/>
      <c r="T446" s="43"/>
      <c r="U446" s="43"/>
      <c r="V446" s="43"/>
      <c r="W446" s="43"/>
      <c r="X446" s="43"/>
      <c r="Y446" s="43"/>
      <c r="Z446" s="43"/>
      <c r="AA446" s="43"/>
    </row>
    <row r="447">
      <c r="A447" s="43"/>
      <c r="B447" s="160"/>
      <c r="C447" s="160"/>
      <c r="D447" s="160"/>
      <c r="E447" s="43"/>
      <c r="F447" s="43"/>
      <c r="G447" s="43"/>
      <c r="H447" s="43"/>
      <c r="I447" s="43"/>
      <c r="J447" s="43"/>
      <c r="K447" s="43"/>
      <c r="L447" s="43"/>
      <c r="M447" s="43"/>
      <c r="N447" s="43"/>
      <c r="O447" s="43"/>
      <c r="P447" s="43"/>
      <c r="Q447" s="43"/>
      <c r="R447" s="43"/>
      <c r="S447" s="43"/>
      <c r="T447" s="43"/>
      <c r="U447" s="43"/>
      <c r="V447" s="43"/>
      <c r="W447" s="43"/>
      <c r="X447" s="43"/>
      <c r="Y447" s="43"/>
      <c r="Z447" s="43"/>
      <c r="AA447" s="43"/>
    </row>
    <row r="448">
      <c r="A448" s="43"/>
      <c r="B448" s="160"/>
      <c r="C448" s="160"/>
      <c r="D448" s="160"/>
      <c r="E448" s="43"/>
      <c r="F448" s="43"/>
      <c r="G448" s="43"/>
      <c r="H448" s="43"/>
      <c r="I448" s="43"/>
      <c r="J448" s="43"/>
      <c r="K448" s="43"/>
      <c r="L448" s="43"/>
      <c r="M448" s="43"/>
      <c r="N448" s="43"/>
      <c r="O448" s="43"/>
      <c r="P448" s="43"/>
      <c r="Q448" s="43"/>
      <c r="R448" s="43"/>
      <c r="S448" s="43"/>
      <c r="T448" s="43"/>
      <c r="U448" s="43"/>
      <c r="V448" s="43"/>
      <c r="W448" s="43"/>
      <c r="X448" s="43"/>
      <c r="Y448" s="43"/>
      <c r="Z448" s="43"/>
      <c r="AA448" s="43"/>
    </row>
    <row r="449">
      <c r="A449" s="43"/>
      <c r="B449" s="160"/>
      <c r="C449" s="160"/>
      <c r="D449" s="160"/>
      <c r="E449" s="43"/>
      <c r="F449" s="43"/>
      <c r="G449" s="43"/>
      <c r="H449" s="43"/>
      <c r="I449" s="43"/>
      <c r="J449" s="43"/>
      <c r="K449" s="43"/>
      <c r="L449" s="43"/>
      <c r="M449" s="43"/>
      <c r="N449" s="43"/>
      <c r="O449" s="43"/>
      <c r="P449" s="43"/>
      <c r="Q449" s="43"/>
      <c r="R449" s="43"/>
      <c r="S449" s="43"/>
      <c r="T449" s="43"/>
      <c r="U449" s="43"/>
      <c r="V449" s="43"/>
      <c r="W449" s="43"/>
      <c r="X449" s="43"/>
      <c r="Y449" s="43"/>
      <c r="Z449" s="43"/>
      <c r="AA449" s="43"/>
    </row>
    <row r="450">
      <c r="A450" s="43"/>
      <c r="B450" s="160"/>
      <c r="C450" s="160"/>
      <c r="D450" s="160"/>
      <c r="E450" s="43"/>
      <c r="F450" s="43"/>
      <c r="G450" s="43"/>
      <c r="H450" s="43"/>
      <c r="I450" s="43"/>
      <c r="J450" s="43"/>
      <c r="K450" s="43"/>
      <c r="L450" s="43"/>
      <c r="M450" s="43"/>
      <c r="N450" s="43"/>
      <c r="O450" s="43"/>
      <c r="P450" s="43"/>
      <c r="Q450" s="43"/>
      <c r="R450" s="43"/>
      <c r="S450" s="43"/>
      <c r="T450" s="43"/>
      <c r="U450" s="43"/>
      <c r="V450" s="43"/>
      <c r="W450" s="43"/>
      <c r="X450" s="43"/>
      <c r="Y450" s="43"/>
      <c r="Z450" s="43"/>
      <c r="AA450" s="43"/>
    </row>
    <row r="451">
      <c r="A451" s="43"/>
      <c r="B451" s="160"/>
      <c r="C451" s="160"/>
      <c r="D451" s="160"/>
      <c r="E451" s="43"/>
      <c r="F451" s="43"/>
      <c r="G451" s="43"/>
      <c r="H451" s="43"/>
      <c r="I451" s="43"/>
      <c r="J451" s="43"/>
      <c r="K451" s="43"/>
      <c r="L451" s="43"/>
      <c r="M451" s="43"/>
      <c r="N451" s="43"/>
      <c r="O451" s="43"/>
      <c r="P451" s="43"/>
      <c r="Q451" s="43"/>
      <c r="R451" s="43"/>
      <c r="S451" s="43"/>
      <c r="T451" s="43"/>
      <c r="U451" s="43"/>
      <c r="V451" s="43"/>
      <c r="W451" s="43"/>
      <c r="X451" s="43"/>
      <c r="Y451" s="43"/>
      <c r="Z451" s="43"/>
      <c r="AA451" s="43"/>
    </row>
    <row r="452">
      <c r="A452" s="43"/>
      <c r="B452" s="160"/>
      <c r="C452" s="160"/>
      <c r="D452" s="160"/>
      <c r="E452" s="43"/>
      <c r="F452" s="43"/>
      <c r="G452" s="43"/>
      <c r="H452" s="43"/>
      <c r="I452" s="43"/>
      <c r="J452" s="43"/>
      <c r="K452" s="43"/>
      <c r="L452" s="43"/>
      <c r="M452" s="43"/>
      <c r="N452" s="43"/>
      <c r="O452" s="43"/>
      <c r="P452" s="43"/>
      <c r="Q452" s="43"/>
      <c r="R452" s="43"/>
      <c r="S452" s="43"/>
      <c r="T452" s="43"/>
      <c r="U452" s="43"/>
      <c r="V452" s="43"/>
      <c r="W452" s="43"/>
      <c r="X452" s="43"/>
      <c r="Y452" s="43"/>
      <c r="Z452" s="43"/>
      <c r="AA452" s="43"/>
    </row>
    <row r="453">
      <c r="A453" s="43"/>
      <c r="B453" s="160"/>
      <c r="C453" s="160"/>
      <c r="D453" s="160"/>
      <c r="E453" s="43"/>
      <c r="F453" s="43"/>
      <c r="G453" s="43"/>
      <c r="H453" s="43"/>
      <c r="I453" s="43"/>
      <c r="J453" s="43"/>
      <c r="K453" s="43"/>
      <c r="L453" s="43"/>
      <c r="M453" s="43"/>
      <c r="N453" s="43"/>
      <c r="O453" s="43"/>
      <c r="P453" s="43"/>
      <c r="Q453" s="43"/>
      <c r="R453" s="43"/>
      <c r="S453" s="43"/>
      <c r="T453" s="43"/>
      <c r="U453" s="43"/>
      <c r="V453" s="43"/>
      <c r="W453" s="43"/>
      <c r="X453" s="43"/>
      <c r="Y453" s="43"/>
      <c r="Z453" s="43"/>
      <c r="AA453" s="43"/>
    </row>
    <row r="454">
      <c r="A454" s="43"/>
      <c r="B454" s="160"/>
      <c r="C454" s="160"/>
      <c r="D454" s="160"/>
      <c r="E454" s="43"/>
      <c r="F454" s="43"/>
      <c r="G454" s="43"/>
      <c r="H454" s="43"/>
      <c r="I454" s="43"/>
      <c r="J454" s="43"/>
      <c r="K454" s="43"/>
      <c r="L454" s="43"/>
      <c r="M454" s="43"/>
      <c r="N454" s="43"/>
      <c r="O454" s="43"/>
      <c r="P454" s="43"/>
      <c r="Q454" s="43"/>
      <c r="R454" s="43"/>
      <c r="S454" s="43"/>
      <c r="T454" s="43"/>
      <c r="U454" s="43"/>
      <c r="V454" s="43"/>
      <c r="W454" s="43"/>
      <c r="X454" s="43"/>
      <c r="Y454" s="43"/>
      <c r="Z454" s="43"/>
      <c r="AA454" s="43"/>
    </row>
    <row r="455">
      <c r="A455" s="43"/>
      <c r="B455" s="160"/>
      <c r="C455" s="160"/>
      <c r="D455" s="160"/>
      <c r="E455" s="43"/>
      <c r="F455" s="43"/>
      <c r="G455" s="43"/>
      <c r="H455" s="43"/>
      <c r="I455" s="43"/>
      <c r="J455" s="43"/>
      <c r="K455" s="43"/>
      <c r="L455" s="43"/>
      <c r="M455" s="43"/>
      <c r="N455" s="43"/>
      <c r="O455" s="43"/>
      <c r="P455" s="43"/>
      <c r="Q455" s="43"/>
      <c r="R455" s="43"/>
      <c r="S455" s="43"/>
      <c r="T455" s="43"/>
      <c r="U455" s="43"/>
      <c r="V455" s="43"/>
      <c r="W455" s="43"/>
      <c r="X455" s="43"/>
      <c r="Y455" s="43"/>
      <c r="Z455" s="43"/>
      <c r="AA455" s="43"/>
    </row>
    <row r="456">
      <c r="A456" s="43"/>
      <c r="B456" s="160"/>
      <c r="C456" s="160"/>
      <c r="D456" s="160"/>
      <c r="E456" s="43"/>
      <c r="F456" s="43"/>
      <c r="G456" s="43"/>
      <c r="H456" s="43"/>
      <c r="I456" s="43"/>
      <c r="J456" s="43"/>
      <c r="K456" s="43"/>
      <c r="L456" s="43"/>
      <c r="M456" s="43"/>
      <c r="N456" s="43"/>
      <c r="O456" s="43"/>
      <c r="P456" s="43"/>
      <c r="Q456" s="43"/>
      <c r="R456" s="43"/>
      <c r="S456" s="43"/>
      <c r="T456" s="43"/>
      <c r="U456" s="43"/>
      <c r="V456" s="43"/>
      <c r="W456" s="43"/>
      <c r="X456" s="43"/>
      <c r="Y456" s="43"/>
      <c r="Z456" s="43"/>
      <c r="AA456" s="43"/>
    </row>
    <row r="457">
      <c r="A457" s="43"/>
      <c r="B457" s="160"/>
      <c r="C457" s="160"/>
      <c r="D457" s="160"/>
      <c r="E457" s="43"/>
      <c r="F457" s="43"/>
      <c r="G457" s="43"/>
      <c r="H457" s="43"/>
      <c r="I457" s="43"/>
      <c r="J457" s="43"/>
      <c r="K457" s="43"/>
      <c r="L457" s="43"/>
      <c r="M457" s="43"/>
      <c r="N457" s="43"/>
      <c r="O457" s="43"/>
      <c r="P457" s="43"/>
      <c r="Q457" s="43"/>
      <c r="R457" s="43"/>
      <c r="S457" s="43"/>
      <c r="T457" s="43"/>
      <c r="U457" s="43"/>
      <c r="V457" s="43"/>
      <c r="W457" s="43"/>
      <c r="X457" s="43"/>
      <c r="Y457" s="43"/>
      <c r="Z457" s="43"/>
      <c r="AA457" s="43"/>
    </row>
    <row r="458">
      <c r="A458" s="43"/>
      <c r="B458" s="160"/>
      <c r="C458" s="160"/>
      <c r="D458" s="160"/>
      <c r="E458" s="43"/>
      <c r="F458" s="43"/>
      <c r="G458" s="43"/>
      <c r="H458" s="43"/>
      <c r="I458" s="43"/>
      <c r="J458" s="43"/>
      <c r="K458" s="43"/>
      <c r="L458" s="43"/>
      <c r="M458" s="43"/>
      <c r="N458" s="43"/>
      <c r="O458" s="43"/>
      <c r="P458" s="43"/>
      <c r="Q458" s="43"/>
      <c r="R458" s="43"/>
      <c r="S458" s="43"/>
      <c r="T458" s="43"/>
      <c r="U458" s="43"/>
      <c r="V458" s="43"/>
      <c r="W458" s="43"/>
      <c r="X458" s="43"/>
      <c r="Y458" s="43"/>
      <c r="Z458" s="43"/>
      <c r="AA458" s="43"/>
    </row>
    <row r="459">
      <c r="A459" s="43"/>
      <c r="B459" s="160"/>
      <c r="C459" s="160"/>
      <c r="D459" s="160"/>
      <c r="E459" s="43"/>
      <c r="F459" s="43"/>
      <c r="G459" s="43"/>
      <c r="H459" s="43"/>
      <c r="I459" s="43"/>
      <c r="J459" s="43"/>
      <c r="K459" s="43"/>
      <c r="L459" s="43"/>
      <c r="M459" s="43"/>
      <c r="N459" s="43"/>
      <c r="O459" s="43"/>
      <c r="P459" s="43"/>
      <c r="Q459" s="43"/>
      <c r="R459" s="43"/>
      <c r="S459" s="43"/>
      <c r="T459" s="43"/>
      <c r="U459" s="43"/>
      <c r="V459" s="43"/>
      <c r="W459" s="43"/>
      <c r="X459" s="43"/>
      <c r="Y459" s="43"/>
      <c r="Z459" s="43"/>
      <c r="AA459" s="43"/>
    </row>
    <row r="460">
      <c r="A460" s="43"/>
      <c r="B460" s="160"/>
      <c r="C460" s="160"/>
      <c r="D460" s="160"/>
      <c r="E460" s="43"/>
      <c r="F460" s="43"/>
      <c r="G460" s="43"/>
      <c r="H460" s="43"/>
      <c r="I460" s="43"/>
      <c r="J460" s="43"/>
      <c r="K460" s="43"/>
      <c r="L460" s="43"/>
      <c r="M460" s="43"/>
      <c r="N460" s="43"/>
      <c r="O460" s="43"/>
      <c r="P460" s="43"/>
      <c r="Q460" s="43"/>
      <c r="R460" s="43"/>
      <c r="S460" s="43"/>
      <c r="T460" s="43"/>
      <c r="U460" s="43"/>
      <c r="V460" s="43"/>
      <c r="W460" s="43"/>
      <c r="X460" s="43"/>
      <c r="Y460" s="43"/>
      <c r="Z460" s="43"/>
      <c r="AA460" s="43"/>
    </row>
    <row r="461">
      <c r="A461" s="43"/>
      <c r="B461" s="160"/>
      <c r="C461" s="160"/>
      <c r="D461" s="160"/>
      <c r="E461" s="43"/>
      <c r="F461" s="43"/>
      <c r="G461" s="43"/>
      <c r="H461" s="43"/>
      <c r="I461" s="43"/>
      <c r="J461" s="43"/>
      <c r="K461" s="43"/>
      <c r="L461" s="43"/>
      <c r="M461" s="43"/>
      <c r="N461" s="43"/>
      <c r="O461" s="43"/>
      <c r="P461" s="43"/>
      <c r="Q461" s="43"/>
      <c r="R461" s="43"/>
      <c r="S461" s="43"/>
      <c r="T461" s="43"/>
      <c r="U461" s="43"/>
      <c r="V461" s="43"/>
      <c r="W461" s="43"/>
      <c r="X461" s="43"/>
      <c r="Y461" s="43"/>
      <c r="Z461" s="43"/>
      <c r="AA461" s="43"/>
    </row>
    <row r="462">
      <c r="A462" s="43"/>
      <c r="B462" s="160"/>
      <c r="C462" s="160"/>
      <c r="D462" s="160"/>
      <c r="E462" s="43"/>
      <c r="F462" s="43"/>
      <c r="G462" s="43"/>
      <c r="H462" s="43"/>
      <c r="I462" s="43"/>
      <c r="J462" s="43"/>
      <c r="K462" s="43"/>
      <c r="L462" s="43"/>
      <c r="M462" s="43"/>
      <c r="N462" s="43"/>
      <c r="O462" s="43"/>
      <c r="P462" s="43"/>
      <c r="Q462" s="43"/>
      <c r="R462" s="43"/>
      <c r="S462" s="43"/>
      <c r="T462" s="43"/>
      <c r="U462" s="43"/>
      <c r="V462" s="43"/>
      <c r="W462" s="43"/>
      <c r="X462" s="43"/>
      <c r="Y462" s="43"/>
      <c r="Z462" s="43"/>
      <c r="AA462" s="43"/>
    </row>
    <row r="463">
      <c r="A463" s="43"/>
      <c r="B463" s="160"/>
      <c r="C463" s="160"/>
      <c r="D463" s="160"/>
      <c r="E463" s="43"/>
      <c r="F463" s="43"/>
      <c r="G463" s="43"/>
      <c r="H463" s="43"/>
      <c r="I463" s="43"/>
      <c r="J463" s="43"/>
      <c r="K463" s="43"/>
      <c r="L463" s="43"/>
      <c r="M463" s="43"/>
      <c r="N463" s="43"/>
      <c r="O463" s="43"/>
      <c r="P463" s="43"/>
      <c r="Q463" s="43"/>
      <c r="R463" s="43"/>
      <c r="S463" s="43"/>
      <c r="T463" s="43"/>
      <c r="U463" s="43"/>
      <c r="V463" s="43"/>
      <c r="W463" s="43"/>
      <c r="X463" s="43"/>
      <c r="Y463" s="43"/>
      <c r="Z463" s="43"/>
      <c r="AA463" s="43"/>
    </row>
    <row r="464">
      <c r="A464" s="43"/>
      <c r="B464" s="160"/>
      <c r="C464" s="160"/>
      <c r="D464" s="160"/>
      <c r="E464" s="43"/>
      <c r="F464" s="43"/>
      <c r="G464" s="43"/>
      <c r="H464" s="43"/>
      <c r="I464" s="43"/>
      <c r="J464" s="43"/>
      <c r="K464" s="43"/>
      <c r="L464" s="43"/>
      <c r="M464" s="43"/>
      <c r="N464" s="43"/>
      <c r="O464" s="43"/>
      <c r="P464" s="43"/>
      <c r="Q464" s="43"/>
      <c r="R464" s="43"/>
      <c r="S464" s="43"/>
      <c r="T464" s="43"/>
      <c r="U464" s="43"/>
      <c r="V464" s="43"/>
      <c r="W464" s="43"/>
      <c r="X464" s="43"/>
      <c r="Y464" s="43"/>
      <c r="Z464" s="43"/>
      <c r="AA464" s="43"/>
    </row>
    <row r="465">
      <c r="A465" s="43"/>
      <c r="B465" s="160"/>
      <c r="C465" s="160"/>
      <c r="D465" s="160"/>
      <c r="E465" s="43"/>
      <c r="F465" s="43"/>
      <c r="G465" s="43"/>
      <c r="H465" s="43"/>
      <c r="I465" s="43"/>
      <c r="J465" s="43"/>
      <c r="K465" s="43"/>
      <c r="L465" s="43"/>
      <c r="M465" s="43"/>
      <c r="N465" s="43"/>
      <c r="O465" s="43"/>
      <c r="P465" s="43"/>
      <c r="Q465" s="43"/>
      <c r="R465" s="43"/>
      <c r="S465" s="43"/>
      <c r="T465" s="43"/>
      <c r="U465" s="43"/>
      <c r="V465" s="43"/>
      <c r="W465" s="43"/>
      <c r="X465" s="43"/>
      <c r="Y465" s="43"/>
      <c r="Z465" s="43"/>
      <c r="AA465" s="43"/>
    </row>
    <row r="466">
      <c r="A466" s="43"/>
      <c r="B466" s="160"/>
      <c r="C466" s="160"/>
      <c r="D466" s="160"/>
      <c r="E466" s="43"/>
      <c r="F466" s="43"/>
      <c r="G466" s="43"/>
      <c r="H466" s="43"/>
      <c r="I466" s="43"/>
      <c r="J466" s="43"/>
      <c r="K466" s="43"/>
      <c r="L466" s="43"/>
      <c r="M466" s="43"/>
      <c r="N466" s="43"/>
      <c r="O466" s="43"/>
      <c r="P466" s="43"/>
      <c r="Q466" s="43"/>
      <c r="R466" s="43"/>
      <c r="S466" s="43"/>
      <c r="T466" s="43"/>
      <c r="U466" s="43"/>
      <c r="V466" s="43"/>
      <c r="W466" s="43"/>
      <c r="X466" s="43"/>
      <c r="Y466" s="43"/>
      <c r="Z466" s="43"/>
      <c r="AA466" s="43"/>
    </row>
    <row r="467">
      <c r="A467" s="43"/>
      <c r="B467" s="160"/>
      <c r="C467" s="160"/>
      <c r="D467" s="160"/>
      <c r="E467" s="43"/>
      <c r="F467" s="43"/>
      <c r="G467" s="43"/>
      <c r="H467" s="43"/>
      <c r="I467" s="43"/>
      <c r="J467" s="43"/>
      <c r="K467" s="43"/>
      <c r="L467" s="43"/>
      <c r="M467" s="43"/>
      <c r="N467" s="43"/>
      <c r="O467" s="43"/>
      <c r="P467" s="43"/>
      <c r="Q467" s="43"/>
      <c r="R467" s="43"/>
      <c r="S467" s="43"/>
      <c r="T467" s="43"/>
      <c r="U467" s="43"/>
      <c r="V467" s="43"/>
      <c r="W467" s="43"/>
      <c r="X467" s="43"/>
      <c r="Y467" s="43"/>
      <c r="Z467" s="43"/>
      <c r="AA467" s="43"/>
    </row>
    <row r="468">
      <c r="A468" s="43"/>
      <c r="B468" s="160"/>
      <c r="C468" s="160"/>
      <c r="D468" s="160"/>
      <c r="E468" s="43"/>
      <c r="F468" s="43"/>
      <c r="G468" s="43"/>
      <c r="H468" s="43"/>
      <c r="I468" s="43"/>
      <c r="J468" s="43"/>
      <c r="K468" s="43"/>
      <c r="L468" s="43"/>
      <c r="M468" s="43"/>
      <c r="N468" s="43"/>
      <c r="O468" s="43"/>
      <c r="P468" s="43"/>
      <c r="Q468" s="43"/>
      <c r="R468" s="43"/>
      <c r="S468" s="43"/>
      <c r="T468" s="43"/>
      <c r="U468" s="43"/>
      <c r="V468" s="43"/>
      <c r="W468" s="43"/>
      <c r="X468" s="43"/>
      <c r="Y468" s="43"/>
      <c r="Z468" s="43"/>
      <c r="AA468" s="43"/>
    </row>
    <row r="469">
      <c r="A469" s="43"/>
      <c r="B469" s="160"/>
      <c r="C469" s="160"/>
      <c r="D469" s="160"/>
      <c r="E469" s="43"/>
      <c r="F469" s="43"/>
      <c r="G469" s="43"/>
      <c r="H469" s="43"/>
      <c r="I469" s="43"/>
      <c r="J469" s="43"/>
      <c r="K469" s="43"/>
      <c r="L469" s="43"/>
      <c r="M469" s="43"/>
      <c r="N469" s="43"/>
      <c r="O469" s="43"/>
      <c r="P469" s="43"/>
      <c r="Q469" s="43"/>
      <c r="R469" s="43"/>
      <c r="S469" s="43"/>
      <c r="T469" s="43"/>
      <c r="U469" s="43"/>
      <c r="V469" s="43"/>
      <c r="W469" s="43"/>
      <c r="X469" s="43"/>
      <c r="Y469" s="43"/>
      <c r="Z469" s="43"/>
      <c r="AA469" s="43"/>
    </row>
    <row r="470">
      <c r="A470" s="43"/>
      <c r="B470" s="160"/>
      <c r="C470" s="160"/>
      <c r="D470" s="160"/>
      <c r="E470" s="43"/>
      <c r="F470" s="43"/>
      <c r="G470" s="43"/>
      <c r="H470" s="43"/>
      <c r="I470" s="43"/>
      <c r="J470" s="43"/>
      <c r="K470" s="43"/>
      <c r="L470" s="43"/>
      <c r="M470" s="43"/>
      <c r="N470" s="43"/>
      <c r="O470" s="43"/>
      <c r="P470" s="43"/>
      <c r="Q470" s="43"/>
      <c r="R470" s="43"/>
      <c r="S470" s="43"/>
      <c r="T470" s="43"/>
      <c r="U470" s="43"/>
      <c r="V470" s="43"/>
      <c r="W470" s="43"/>
      <c r="X470" s="43"/>
      <c r="Y470" s="43"/>
      <c r="Z470" s="43"/>
      <c r="AA470" s="43"/>
    </row>
    <row r="471">
      <c r="A471" s="43"/>
      <c r="B471" s="160"/>
      <c r="C471" s="160"/>
      <c r="D471" s="160"/>
      <c r="E471" s="43"/>
      <c r="F471" s="43"/>
      <c r="G471" s="43"/>
      <c r="H471" s="43"/>
      <c r="I471" s="43"/>
      <c r="J471" s="43"/>
      <c r="K471" s="43"/>
      <c r="L471" s="43"/>
      <c r="M471" s="43"/>
      <c r="N471" s="43"/>
      <c r="O471" s="43"/>
      <c r="P471" s="43"/>
      <c r="Q471" s="43"/>
      <c r="R471" s="43"/>
      <c r="S471" s="43"/>
      <c r="T471" s="43"/>
      <c r="U471" s="43"/>
      <c r="V471" s="43"/>
      <c r="W471" s="43"/>
      <c r="X471" s="43"/>
      <c r="Y471" s="43"/>
      <c r="Z471" s="43"/>
      <c r="AA471" s="43"/>
    </row>
    <row r="472">
      <c r="A472" s="43"/>
      <c r="B472" s="160"/>
      <c r="C472" s="160"/>
      <c r="D472" s="160"/>
      <c r="E472" s="43"/>
      <c r="F472" s="43"/>
      <c r="G472" s="43"/>
      <c r="H472" s="43"/>
      <c r="I472" s="43"/>
      <c r="J472" s="43"/>
      <c r="K472" s="43"/>
      <c r="L472" s="43"/>
      <c r="M472" s="43"/>
      <c r="N472" s="43"/>
      <c r="O472" s="43"/>
      <c r="P472" s="43"/>
      <c r="Q472" s="43"/>
      <c r="R472" s="43"/>
      <c r="S472" s="43"/>
      <c r="T472" s="43"/>
      <c r="U472" s="43"/>
      <c r="V472" s="43"/>
      <c r="W472" s="43"/>
      <c r="X472" s="43"/>
      <c r="Y472" s="43"/>
      <c r="Z472" s="43"/>
      <c r="AA472" s="43"/>
    </row>
    <row r="473">
      <c r="A473" s="43"/>
      <c r="B473" s="160"/>
      <c r="C473" s="160"/>
      <c r="D473" s="160"/>
      <c r="E473" s="43"/>
      <c r="F473" s="43"/>
      <c r="G473" s="43"/>
      <c r="H473" s="43"/>
      <c r="I473" s="43"/>
      <c r="J473" s="43"/>
      <c r="K473" s="43"/>
      <c r="L473" s="43"/>
      <c r="M473" s="43"/>
      <c r="N473" s="43"/>
      <c r="O473" s="43"/>
      <c r="P473" s="43"/>
      <c r="Q473" s="43"/>
      <c r="R473" s="43"/>
      <c r="S473" s="43"/>
      <c r="T473" s="43"/>
      <c r="U473" s="43"/>
      <c r="V473" s="43"/>
      <c r="W473" s="43"/>
      <c r="X473" s="43"/>
      <c r="Y473" s="43"/>
      <c r="Z473" s="43"/>
      <c r="AA473" s="43"/>
    </row>
    <row r="474">
      <c r="A474" s="43"/>
      <c r="B474" s="160"/>
      <c r="C474" s="160"/>
      <c r="D474" s="160"/>
      <c r="E474" s="43"/>
      <c r="F474" s="43"/>
      <c r="G474" s="43"/>
      <c r="H474" s="43"/>
      <c r="I474" s="43"/>
      <c r="J474" s="43"/>
      <c r="K474" s="43"/>
      <c r="L474" s="43"/>
      <c r="M474" s="43"/>
      <c r="N474" s="43"/>
      <c r="O474" s="43"/>
      <c r="P474" s="43"/>
      <c r="Q474" s="43"/>
      <c r="R474" s="43"/>
      <c r="S474" s="43"/>
      <c r="T474" s="43"/>
      <c r="U474" s="43"/>
      <c r="V474" s="43"/>
      <c r="W474" s="43"/>
      <c r="X474" s="43"/>
      <c r="Y474" s="43"/>
      <c r="Z474" s="43"/>
      <c r="AA474" s="43"/>
    </row>
    <row r="475">
      <c r="A475" s="43"/>
      <c r="B475" s="160"/>
      <c r="C475" s="160"/>
      <c r="D475" s="160"/>
      <c r="E475" s="43"/>
      <c r="F475" s="43"/>
      <c r="G475" s="43"/>
      <c r="H475" s="43"/>
      <c r="I475" s="43"/>
      <c r="J475" s="43"/>
      <c r="K475" s="43"/>
      <c r="L475" s="43"/>
      <c r="M475" s="43"/>
      <c r="N475" s="43"/>
      <c r="O475" s="43"/>
      <c r="P475" s="43"/>
      <c r="Q475" s="43"/>
      <c r="R475" s="43"/>
      <c r="S475" s="43"/>
      <c r="T475" s="43"/>
      <c r="U475" s="43"/>
      <c r="V475" s="43"/>
      <c r="W475" s="43"/>
      <c r="X475" s="43"/>
      <c r="Y475" s="43"/>
      <c r="Z475" s="43"/>
      <c r="AA475" s="43"/>
    </row>
    <row r="476">
      <c r="A476" s="43"/>
      <c r="B476" s="160"/>
      <c r="C476" s="160"/>
      <c r="D476" s="160"/>
      <c r="E476" s="43"/>
      <c r="F476" s="43"/>
      <c r="G476" s="43"/>
      <c r="H476" s="43"/>
      <c r="I476" s="43"/>
      <c r="J476" s="43"/>
      <c r="K476" s="43"/>
      <c r="L476" s="43"/>
      <c r="M476" s="43"/>
      <c r="N476" s="43"/>
      <c r="O476" s="43"/>
      <c r="P476" s="43"/>
      <c r="Q476" s="43"/>
      <c r="R476" s="43"/>
      <c r="S476" s="43"/>
      <c r="T476" s="43"/>
      <c r="U476" s="43"/>
      <c r="V476" s="43"/>
      <c r="W476" s="43"/>
      <c r="X476" s="43"/>
      <c r="Y476" s="43"/>
      <c r="Z476" s="43"/>
      <c r="AA476" s="43"/>
    </row>
    <row r="477">
      <c r="A477" s="43"/>
      <c r="B477" s="160"/>
      <c r="C477" s="160"/>
      <c r="D477" s="160"/>
      <c r="E477" s="43"/>
      <c r="F477" s="43"/>
      <c r="G477" s="43"/>
      <c r="H477" s="43"/>
      <c r="I477" s="43"/>
      <c r="J477" s="43"/>
      <c r="K477" s="43"/>
      <c r="L477" s="43"/>
      <c r="M477" s="43"/>
      <c r="N477" s="43"/>
      <c r="O477" s="43"/>
      <c r="P477" s="43"/>
      <c r="Q477" s="43"/>
      <c r="R477" s="43"/>
      <c r="S477" s="43"/>
      <c r="T477" s="43"/>
      <c r="U477" s="43"/>
      <c r="V477" s="43"/>
      <c r="W477" s="43"/>
      <c r="X477" s="43"/>
      <c r="Y477" s="43"/>
      <c r="Z477" s="43"/>
      <c r="AA477" s="43"/>
    </row>
    <row r="478">
      <c r="A478" s="43"/>
      <c r="B478" s="160"/>
      <c r="C478" s="160"/>
      <c r="D478" s="160"/>
      <c r="E478" s="43"/>
      <c r="F478" s="43"/>
      <c r="G478" s="43"/>
      <c r="H478" s="43"/>
      <c r="I478" s="43"/>
      <c r="J478" s="43"/>
      <c r="K478" s="43"/>
      <c r="L478" s="43"/>
      <c r="M478" s="43"/>
      <c r="N478" s="43"/>
      <c r="O478" s="43"/>
      <c r="P478" s="43"/>
      <c r="Q478" s="43"/>
      <c r="R478" s="43"/>
      <c r="S478" s="43"/>
      <c r="T478" s="43"/>
      <c r="U478" s="43"/>
      <c r="V478" s="43"/>
      <c r="W478" s="43"/>
      <c r="X478" s="43"/>
      <c r="Y478" s="43"/>
      <c r="Z478" s="43"/>
      <c r="AA478" s="43"/>
    </row>
    <row r="479">
      <c r="A479" s="43"/>
      <c r="B479" s="160"/>
      <c r="C479" s="160"/>
      <c r="D479" s="160"/>
      <c r="E479" s="43"/>
      <c r="F479" s="43"/>
      <c r="G479" s="43"/>
      <c r="H479" s="43"/>
      <c r="I479" s="43"/>
      <c r="J479" s="43"/>
      <c r="K479" s="43"/>
      <c r="L479" s="43"/>
      <c r="M479" s="43"/>
      <c r="N479" s="43"/>
      <c r="O479" s="43"/>
      <c r="P479" s="43"/>
      <c r="Q479" s="43"/>
      <c r="R479" s="43"/>
      <c r="S479" s="43"/>
      <c r="T479" s="43"/>
      <c r="U479" s="43"/>
      <c r="V479" s="43"/>
      <c r="W479" s="43"/>
      <c r="X479" s="43"/>
      <c r="Y479" s="43"/>
      <c r="Z479" s="43"/>
      <c r="AA479" s="43"/>
    </row>
    <row r="480">
      <c r="A480" s="43"/>
      <c r="B480" s="160"/>
      <c r="C480" s="160"/>
      <c r="D480" s="160"/>
      <c r="E480" s="43"/>
      <c r="F480" s="43"/>
      <c r="G480" s="43"/>
      <c r="H480" s="43"/>
      <c r="I480" s="43"/>
      <c r="J480" s="43"/>
      <c r="K480" s="43"/>
      <c r="L480" s="43"/>
      <c r="M480" s="43"/>
      <c r="N480" s="43"/>
      <c r="O480" s="43"/>
      <c r="P480" s="43"/>
      <c r="Q480" s="43"/>
      <c r="R480" s="43"/>
      <c r="S480" s="43"/>
      <c r="T480" s="43"/>
      <c r="U480" s="43"/>
      <c r="V480" s="43"/>
      <c r="W480" s="43"/>
      <c r="X480" s="43"/>
      <c r="Y480" s="43"/>
      <c r="Z480" s="43"/>
      <c r="AA480" s="43"/>
    </row>
    <row r="481">
      <c r="A481" s="43"/>
      <c r="B481" s="160"/>
      <c r="C481" s="160"/>
      <c r="D481" s="160"/>
      <c r="E481" s="43"/>
      <c r="F481" s="43"/>
      <c r="G481" s="43"/>
      <c r="H481" s="43"/>
      <c r="I481" s="43"/>
      <c r="J481" s="43"/>
      <c r="K481" s="43"/>
      <c r="L481" s="43"/>
      <c r="M481" s="43"/>
      <c r="N481" s="43"/>
      <c r="O481" s="43"/>
      <c r="P481" s="43"/>
      <c r="Q481" s="43"/>
      <c r="R481" s="43"/>
      <c r="S481" s="43"/>
      <c r="T481" s="43"/>
      <c r="U481" s="43"/>
      <c r="V481" s="43"/>
      <c r="W481" s="43"/>
      <c r="X481" s="43"/>
      <c r="Y481" s="43"/>
      <c r="Z481" s="43"/>
      <c r="AA481" s="43"/>
    </row>
    <row r="482">
      <c r="A482" s="43"/>
      <c r="B482" s="160"/>
      <c r="C482" s="160"/>
      <c r="D482" s="160"/>
      <c r="E482" s="43"/>
      <c r="F482" s="43"/>
      <c r="G482" s="43"/>
      <c r="H482" s="43"/>
      <c r="I482" s="43"/>
      <c r="J482" s="43"/>
      <c r="K482" s="43"/>
      <c r="L482" s="43"/>
      <c r="M482" s="43"/>
      <c r="N482" s="43"/>
      <c r="O482" s="43"/>
      <c r="P482" s="43"/>
      <c r="Q482" s="43"/>
      <c r="R482" s="43"/>
      <c r="S482" s="43"/>
      <c r="T482" s="43"/>
      <c r="U482" s="43"/>
      <c r="V482" s="43"/>
      <c r="W482" s="43"/>
      <c r="X482" s="43"/>
      <c r="Y482" s="43"/>
      <c r="Z482" s="43"/>
      <c r="AA482" s="43"/>
    </row>
    <row r="483">
      <c r="A483" s="43"/>
      <c r="B483" s="160"/>
      <c r="C483" s="160"/>
      <c r="D483" s="160"/>
      <c r="E483" s="43"/>
      <c r="F483" s="43"/>
      <c r="G483" s="43"/>
      <c r="H483" s="43"/>
      <c r="I483" s="43"/>
      <c r="J483" s="43"/>
      <c r="K483" s="43"/>
      <c r="L483" s="43"/>
      <c r="M483" s="43"/>
      <c r="N483" s="43"/>
      <c r="O483" s="43"/>
      <c r="P483" s="43"/>
      <c r="Q483" s="43"/>
      <c r="R483" s="43"/>
      <c r="S483" s="43"/>
      <c r="T483" s="43"/>
      <c r="U483" s="43"/>
      <c r="V483" s="43"/>
      <c r="W483" s="43"/>
      <c r="X483" s="43"/>
      <c r="Y483" s="43"/>
      <c r="Z483" s="43"/>
      <c r="AA483" s="43"/>
    </row>
    <row r="484">
      <c r="A484" s="43"/>
      <c r="B484" s="160"/>
      <c r="C484" s="160"/>
      <c r="D484" s="160"/>
      <c r="E484" s="43"/>
      <c r="F484" s="43"/>
      <c r="G484" s="43"/>
      <c r="H484" s="43"/>
      <c r="I484" s="43"/>
      <c r="J484" s="43"/>
      <c r="K484" s="43"/>
      <c r="L484" s="43"/>
      <c r="M484" s="43"/>
      <c r="N484" s="43"/>
      <c r="O484" s="43"/>
      <c r="P484" s="43"/>
      <c r="Q484" s="43"/>
      <c r="R484" s="43"/>
      <c r="S484" s="43"/>
      <c r="T484" s="43"/>
      <c r="U484" s="43"/>
      <c r="V484" s="43"/>
      <c r="W484" s="43"/>
      <c r="X484" s="43"/>
      <c r="Y484" s="43"/>
      <c r="Z484" s="43"/>
      <c r="AA484" s="43"/>
    </row>
    <row r="485">
      <c r="A485" s="43"/>
      <c r="B485" s="160"/>
      <c r="C485" s="160"/>
      <c r="D485" s="160"/>
      <c r="E485" s="43"/>
      <c r="F485" s="43"/>
      <c r="G485" s="43"/>
      <c r="H485" s="43"/>
      <c r="I485" s="43"/>
      <c r="J485" s="43"/>
      <c r="K485" s="43"/>
      <c r="L485" s="43"/>
      <c r="M485" s="43"/>
      <c r="N485" s="43"/>
      <c r="O485" s="43"/>
      <c r="P485" s="43"/>
      <c r="Q485" s="43"/>
      <c r="R485" s="43"/>
      <c r="S485" s="43"/>
      <c r="T485" s="43"/>
      <c r="U485" s="43"/>
      <c r="V485" s="43"/>
      <c r="W485" s="43"/>
      <c r="X485" s="43"/>
      <c r="Y485" s="43"/>
      <c r="Z485" s="43"/>
      <c r="AA485" s="43"/>
    </row>
    <row r="486">
      <c r="A486" s="43"/>
      <c r="B486" s="160"/>
      <c r="C486" s="160"/>
      <c r="D486" s="160"/>
      <c r="E486" s="43"/>
      <c r="F486" s="43"/>
      <c r="G486" s="43"/>
      <c r="H486" s="43"/>
      <c r="I486" s="43"/>
      <c r="J486" s="43"/>
      <c r="K486" s="43"/>
      <c r="L486" s="43"/>
      <c r="M486" s="43"/>
      <c r="N486" s="43"/>
      <c r="O486" s="43"/>
      <c r="P486" s="43"/>
      <c r="Q486" s="43"/>
      <c r="R486" s="43"/>
      <c r="S486" s="43"/>
      <c r="T486" s="43"/>
      <c r="U486" s="43"/>
      <c r="V486" s="43"/>
      <c r="W486" s="43"/>
      <c r="X486" s="43"/>
      <c r="Y486" s="43"/>
      <c r="Z486" s="43"/>
      <c r="AA486" s="43"/>
    </row>
    <row r="487">
      <c r="A487" s="43"/>
      <c r="B487" s="160"/>
      <c r="C487" s="160"/>
      <c r="D487" s="160"/>
      <c r="E487" s="43"/>
      <c r="F487" s="43"/>
      <c r="G487" s="43"/>
      <c r="H487" s="43"/>
      <c r="I487" s="43"/>
      <c r="J487" s="43"/>
      <c r="K487" s="43"/>
      <c r="L487" s="43"/>
      <c r="M487" s="43"/>
      <c r="N487" s="43"/>
      <c r="O487" s="43"/>
      <c r="P487" s="43"/>
      <c r="Q487" s="43"/>
      <c r="R487" s="43"/>
      <c r="S487" s="43"/>
      <c r="T487" s="43"/>
      <c r="U487" s="43"/>
      <c r="V487" s="43"/>
      <c r="W487" s="43"/>
      <c r="X487" s="43"/>
      <c r="Y487" s="43"/>
      <c r="Z487" s="43"/>
      <c r="AA487" s="43"/>
    </row>
    <row r="488">
      <c r="A488" s="43"/>
      <c r="B488" s="160"/>
      <c r="C488" s="160"/>
      <c r="D488" s="160"/>
      <c r="E488" s="43"/>
      <c r="F488" s="43"/>
      <c r="G488" s="43"/>
      <c r="H488" s="43"/>
      <c r="I488" s="43"/>
      <c r="J488" s="43"/>
      <c r="K488" s="43"/>
      <c r="L488" s="43"/>
      <c r="M488" s="43"/>
      <c r="N488" s="43"/>
      <c r="O488" s="43"/>
      <c r="P488" s="43"/>
      <c r="Q488" s="43"/>
      <c r="R488" s="43"/>
      <c r="S488" s="43"/>
      <c r="T488" s="43"/>
      <c r="U488" s="43"/>
      <c r="V488" s="43"/>
      <c r="W488" s="43"/>
      <c r="X488" s="43"/>
      <c r="Y488" s="43"/>
      <c r="Z488" s="43"/>
      <c r="AA488" s="43"/>
    </row>
    <row r="489">
      <c r="A489" s="43"/>
      <c r="B489" s="160"/>
      <c r="C489" s="160"/>
      <c r="D489" s="160"/>
      <c r="E489" s="43"/>
      <c r="F489" s="43"/>
      <c r="G489" s="43"/>
      <c r="H489" s="43"/>
      <c r="I489" s="43"/>
      <c r="J489" s="43"/>
      <c r="K489" s="43"/>
      <c r="L489" s="43"/>
      <c r="M489" s="43"/>
      <c r="N489" s="43"/>
      <c r="O489" s="43"/>
      <c r="P489" s="43"/>
      <c r="Q489" s="43"/>
      <c r="R489" s="43"/>
      <c r="S489" s="43"/>
      <c r="T489" s="43"/>
      <c r="U489" s="43"/>
      <c r="V489" s="43"/>
      <c r="W489" s="43"/>
      <c r="X489" s="43"/>
      <c r="Y489" s="43"/>
      <c r="Z489" s="43"/>
      <c r="AA489" s="43"/>
    </row>
    <row r="490">
      <c r="A490" s="43"/>
      <c r="B490" s="160"/>
      <c r="C490" s="160"/>
      <c r="D490" s="160"/>
      <c r="E490" s="43"/>
      <c r="F490" s="43"/>
      <c r="G490" s="43"/>
      <c r="H490" s="43"/>
      <c r="I490" s="43"/>
      <c r="J490" s="43"/>
      <c r="K490" s="43"/>
      <c r="L490" s="43"/>
      <c r="M490" s="43"/>
      <c r="N490" s="43"/>
      <c r="O490" s="43"/>
      <c r="P490" s="43"/>
      <c r="Q490" s="43"/>
      <c r="R490" s="43"/>
      <c r="S490" s="43"/>
      <c r="T490" s="43"/>
      <c r="U490" s="43"/>
      <c r="V490" s="43"/>
      <c r="W490" s="43"/>
      <c r="X490" s="43"/>
      <c r="Y490" s="43"/>
      <c r="Z490" s="43"/>
      <c r="AA490" s="43"/>
    </row>
    <row r="491">
      <c r="A491" s="43"/>
      <c r="B491" s="160"/>
      <c r="C491" s="160"/>
      <c r="D491" s="160"/>
      <c r="E491" s="43"/>
      <c r="F491" s="43"/>
      <c r="G491" s="43"/>
      <c r="H491" s="43"/>
      <c r="I491" s="43"/>
      <c r="J491" s="43"/>
      <c r="K491" s="43"/>
      <c r="L491" s="43"/>
      <c r="M491" s="43"/>
      <c r="N491" s="43"/>
      <c r="O491" s="43"/>
      <c r="P491" s="43"/>
      <c r="Q491" s="43"/>
      <c r="R491" s="43"/>
      <c r="S491" s="43"/>
      <c r="T491" s="43"/>
      <c r="U491" s="43"/>
      <c r="V491" s="43"/>
      <c r="W491" s="43"/>
      <c r="X491" s="43"/>
      <c r="Y491" s="43"/>
      <c r="Z491" s="43"/>
      <c r="AA491" s="43"/>
    </row>
    <row r="492">
      <c r="A492" s="43"/>
      <c r="B492" s="160"/>
      <c r="C492" s="160"/>
      <c r="D492" s="160"/>
      <c r="E492" s="43"/>
      <c r="F492" s="43"/>
      <c r="G492" s="43"/>
      <c r="H492" s="43"/>
      <c r="I492" s="43"/>
      <c r="J492" s="43"/>
      <c r="K492" s="43"/>
      <c r="L492" s="43"/>
      <c r="M492" s="43"/>
      <c r="N492" s="43"/>
      <c r="O492" s="43"/>
      <c r="P492" s="43"/>
      <c r="Q492" s="43"/>
      <c r="R492" s="43"/>
      <c r="S492" s="43"/>
      <c r="T492" s="43"/>
      <c r="U492" s="43"/>
      <c r="V492" s="43"/>
      <c r="W492" s="43"/>
      <c r="X492" s="43"/>
      <c r="Y492" s="43"/>
      <c r="Z492" s="43"/>
      <c r="AA492" s="43"/>
    </row>
    <row r="493">
      <c r="A493" s="43"/>
      <c r="B493" s="160"/>
      <c r="C493" s="160"/>
      <c r="D493" s="160"/>
      <c r="E493" s="43"/>
      <c r="F493" s="43"/>
      <c r="G493" s="43"/>
      <c r="H493" s="43"/>
      <c r="I493" s="43"/>
      <c r="J493" s="43"/>
      <c r="K493" s="43"/>
      <c r="L493" s="43"/>
      <c r="M493" s="43"/>
      <c r="N493" s="43"/>
      <c r="O493" s="43"/>
      <c r="P493" s="43"/>
      <c r="Q493" s="43"/>
      <c r="R493" s="43"/>
      <c r="S493" s="43"/>
      <c r="T493" s="43"/>
      <c r="U493" s="43"/>
      <c r="V493" s="43"/>
      <c r="W493" s="43"/>
      <c r="X493" s="43"/>
      <c r="Y493" s="43"/>
      <c r="Z493" s="43"/>
      <c r="AA493" s="43"/>
    </row>
    <row r="494">
      <c r="A494" s="43"/>
      <c r="B494" s="160"/>
      <c r="C494" s="160"/>
      <c r="D494" s="160"/>
      <c r="E494" s="43"/>
      <c r="F494" s="43"/>
      <c r="G494" s="43"/>
      <c r="H494" s="43"/>
      <c r="I494" s="43"/>
      <c r="J494" s="43"/>
      <c r="K494" s="43"/>
      <c r="L494" s="43"/>
      <c r="M494" s="43"/>
      <c r="N494" s="43"/>
      <c r="O494" s="43"/>
      <c r="P494" s="43"/>
      <c r="Q494" s="43"/>
      <c r="R494" s="43"/>
      <c r="S494" s="43"/>
      <c r="T494" s="43"/>
      <c r="U494" s="43"/>
      <c r="V494" s="43"/>
      <c r="W494" s="43"/>
      <c r="X494" s="43"/>
      <c r="Y494" s="43"/>
      <c r="Z494" s="43"/>
      <c r="AA494" s="43"/>
    </row>
    <row r="495">
      <c r="A495" s="43"/>
      <c r="B495" s="160"/>
      <c r="C495" s="160"/>
      <c r="D495" s="160"/>
      <c r="E495" s="43"/>
      <c r="F495" s="43"/>
      <c r="G495" s="43"/>
      <c r="H495" s="43"/>
      <c r="I495" s="43"/>
      <c r="J495" s="43"/>
      <c r="K495" s="43"/>
      <c r="L495" s="43"/>
      <c r="M495" s="43"/>
      <c r="N495" s="43"/>
      <c r="O495" s="43"/>
      <c r="P495" s="43"/>
      <c r="Q495" s="43"/>
      <c r="R495" s="43"/>
      <c r="S495" s="43"/>
      <c r="T495" s="43"/>
      <c r="U495" s="43"/>
      <c r="V495" s="43"/>
      <c r="W495" s="43"/>
      <c r="X495" s="43"/>
      <c r="Y495" s="43"/>
      <c r="Z495" s="43"/>
      <c r="AA495" s="43"/>
    </row>
    <row r="496">
      <c r="A496" s="43"/>
      <c r="B496" s="160"/>
      <c r="C496" s="160"/>
      <c r="D496" s="160"/>
      <c r="E496" s="43"/>
      <c r="F496" s="43"/>
      <c r="G496" s="43"/>
      <c r="H496" s="43"/>
      <c r="I496" s="43"/>
      <c r="J496" s="43"/>
      <c r="K496" s="43"/>
      <c r="L496" s="43"/>
      <c r="M496" s="43"/>
      <c r="N496" s="43"/>
      <c r="O496" s="43"/>
      <c r="P496" s="43"/>
      <c r="Q496" s="43"/>
      <c r="R496" s="43"/>
      <c r="S496" s="43"/>
      <c r="T496" s="43"/>
      <c r="U496" s="43"/>
      <c r="V496" s="43"/>
      <c r="W496" s="43"/>
      <c r="X496" s="43"/>
      <c r="Y496" s="43"/>
      <c r="Z496" s="43"/>
      <c r="AA496" s="43"/>
    </row>
    <row r="497">
      <c r="A497" s="43"/>
      <c r="B497" s="160"/>
      <c r="C497" s="160"/>
      <c r="D497" s="160"/>
      <c r="E497" s="43"/>
      <c r="F497" s="43"/>
      <c r="G497" s="43"/>
      <c r="H497" s="43"/>
      <c r="I497" s="43"/>
      <c r="J497" s="43"/>
      <c r="K497" s="43"/>
      <c r="L497" s="43"/>
      <c r="M497" s="43"/>
      <c r="N497" s="43"/>
      <c r="O497" s="43"/>
      <c r="P497" s="43"/>
      <c r="Q497" s="43"/>
      <c r="R497" s="43"/>
      <c r="S497" s="43"/>
      <c r="T497" s="43"/>
      <c r="U497" s="43"/>
      <c r="V497" s="43"/>
      <c r="W497" s="43"/>
      <c r="X497" s="43"/>
      <c r="Y497" s="43"/>
      <c r="Z497" s="43"/>
      <c r="AA497" s="43"/>
    </row>
    <row r="498">
      <c r="A498" s="43"/>
      <c r="B498" s="160"/>
      <c r="C498" s="160"/>
      <c r="D498" s="160"/>
      <c r="E498" s="43"/>
      <c r="F498" s="43"/>
      <c r="G498" s="43"/>
      <c r="H498" s="43"/>
      <c r="I498" s="43"/>
      <c r="J498" s="43"/>
      <c r="K498" s="43"/>
      <c r="L498" s="43"/>
      <c r="M498" s="43"/>
      <c r="N498" s="43"/>
      <c r="O498" s="43"/>
      <c r="P498" s="43"/>
      <c r="Q498" s="43"/>
      <c r="R498" s="43"/>
      <c r="S498" s="43"/>
      <c r="T498" s="43"/>
      <c r="U498" s="43"/>
      <c r="V498" s="43"/>
      <c r="W498" s="43"/>
      <c r="X498" s="43"/>
      <c r="Y498" s="43"/>
      <c r="Z498" s="43"/>
      <c r="AA498" s="43"/>
    </row>
    <row r="499">
      <c r="A499" s="43"/>
      <c r="B499" s="160"/>
      <c r="C499" s="160"/>
      <c r="D499" s="160"/>
      <c r="E499" s="43"/>
      <c r="F499" s="43"/>
      <c r="G499" s="43"/>
      <c r="H499" s="43"/>
      <c r="I499" s="43"/>
      <c r="J499" s="43"/>
      <c r="K499" s="43"/>
      <c r="L499" s="43"/>
      <c r="M499" s="43"/>
      <c r="N499" s="43"/>
      <c r="O499" s="43"/>
      <c r="P499" s="43"/>
      <c r="Q499" s="43"/>
      <c r="R499" s="43"/>
      <c r="S499" s="43"/>
      <c r="T499" s="43"/>
      <c r="U499" s="43"/>
      <c r="V499" s="43"/>
      <c r="W499" s="43"/>
      <c r="X499" s="43"/>
      <c r="Y499" s="43"/>
      <c r="Z499" s="43"/>
      <c r="AA499" s="43"/>
    </row>
    <row r="500">
      <c r="A500" s="43"/>
      <c r="B500" s="160"/>
      <c r="C500" s="160"/>
      <c r="D500" s="160"/>
      <c r="E500" s="43"/>
      <c r="F500" s="43"/>
      <c r="G500" s="43"/>
      <c r="H500" s="43"/>
      <c r="I500" s="43"/>
      <c r="J500" s="43"/>
      <c r="K500" s="43"/>
      <c r="L500" s="43"/>
      <c r="M500" s="43"/>
      <c r="N500" s="43"/>
      <c r="O500" s="43"/>
      <c r="P500" s="43"/>
      <c r="Q500" s="43"/>
      <c r="R500" s="43"/>
      <c r="S500" s="43"/>
      <c r="T500" s="43"/>
      <c r="U500" s="43"/>
      <c r="V500" s="43"/>
      <c r="W500" s="43"/>
      <c r="X500" s="43"/>
      <c r="Y500" s="43"/>
      <c r="Z500" s="43"/>
      <c r="AA500" s="43"/>
    </row>
    <row r="501">
      <c r="A501" s="43"/>
      <c r="B501" s="160"/>
      <c r="C501" s="160"/>
      <c r="D501" s="160"/>
      <c r="E501" s="43"/>
      <c r="F501" s="43"/>
      <c r="G501" s="43"/>
      <c r="H501" s="43"/>
      <c r="I501" s="43"/>
      <c r="J501" s="43"/>
      <c r="K501" s="43"/>
      <c r="L501" s="43"/>
      <c r="M501" s="43"/>
      <c r="N501" s="43"/>
      <c r="O501" s="43"/>
      <c r="P501" s="43"/>
      <c r="Q501" s="43"/>
      <c r="R501" s="43"/>
      <c r="S501" s="43"/>
      <c r="T501" s="43"/>
      <c r="U501" s="43"/>
      <c r="V501" s="43"/>
      <c r="W501" s="43"/>
      <c r="X501" s="43"/>
      <c r="Y501" s="43"/>
      <c r="Z501" s="43"/>
      <c r="AA501" s="43"/>
    </row>
    <row r="502">
      <c r="A502" s="43"/>
      <c r="B502" s="160"/>
      <c r="C502" s="160"/>
      <c r="D502" s="160"/>
      <c r="E502" s="43"/>
      <c r="F502" s="43"/>
      <c r="G502" s="43"/>
      <c r="H502" s="43"/>
      <c r="I502" s="43"/>
      <c r="J502" s="43"/>
      <c r="K502" s="43"/>
      <c r="L502" s="43"/>
      <c r="M502" s="43"/>
      <c r="N502" s="43"/>
      <c r="O502" s="43"/>
      <c r="P502" s="43"/>
      <c r="Q502" s="43"/>
      <c r="R502" s="43"/>
      <c r="S502" s="43"/>
      <c r="T502" s="43"/>
      <c r="U502" s="43"/>
      <c r="V502" s="43"/>
      <c r="W502" s="43"/>
      <c r="X502" s="43"/>
      <c r="Y502" s="43"/>
      <c r="Z502" s="43"/>
      <c r="AA502" s="43"/>
    </row>
    <row r="503">
      <c r="A503" s="43"/>
      <c r="B503" s="160"/>
      <c r="C503" s="160"/>
      <c r="D503" s="160"/>
      <c r="E503" s="43"/>
      <c r="F503" s="43"/>
      <c r="G503" s="43"/>
      <c r="H503" s="43"/>
      <c r="I503" s="43"/>
      <c r="J503" s="43"/>
      <c r="K503" s="43"/>
      <c r="L503" s="43"/>
      <c r="M503" s="43"/>
      <c r="N503" s="43"/>
      <c r="O503" s="43"/>
      <c r="P503" s="43"/>
      <c r="Q503" s="43"/>
      <c r="R503" s="43"/>
      <c r="S503" s="43"/>
      <c r="T503" s="43"/>
      <c r="U503" s="43"/>
      <c r="V503" s="43"/>
      <c r="W503" s="43"/>
      <c r="X503" s="43"/>
      <c r="Y503" s="43"/>
      <c r="Z503" s="43"/>
      <c r="AA503" s="43"/>
    </row>
    <row r="504">
      <c r="A504" s="43"/>
      <c r="B504" s="160"/>
      <c r="C504" s="160"/>
      <c r="D504" s="160"/>
      <c r="E504" s="43"/>
      <c r="F504" s="43"/>
      <c r="G504" s="43"/>
      <c r="H504" s="43"/>
      <c r="I504" s="43"/>
      <c r="J504" s="43"/>
      <c r="K504" s="43"/>
      <c r="L504" s="43"/>
      <c r="M504" s="43"/>
      <c r="N504" s="43"/>
      <c r="O504" s="43"/>
      <c r="P504" s="43"/>
      <c r="Q504" s="43"/>
      <c r="R504" s="43"/>
      <c r="S504" s="43"/>
      <c r="T504" s="43"/>
      <c r="U504" s="43"/>
      <c r="V504" s="43"/>
      <c r="W504" s="43"/>
      <c r="X504" s="43"/>
      <c r="Y504" s="43"/>
      <c r="Z504" s="43"/>
      <c r="AA504" s="43"/>
    </row>
    <row r="505">
      <c r="A505" s="43"/>
      <c r="B505" s="160"/>
      <c r="C505" s="160"/>
      <c r="D505" s="160"/>
      <c r="E505" s="43"/>
      <c r="F505" s="43"/>
      <c r="G505" s="43"/>
      <c r="H505" s="43"/>
      <c r="I505" s="43"/>
      <c r="J505" s="43"/>
      <c r="K505" s="43"/>
      <c r="L505" s="43"/>
      <c r="M505" s="43"/>
      <c r="N505" s="43"/>
      <c r="O505" s="43"/>
      <c r="P505" s="43"/>
      <c r="Q505" s="43"/>
      <c r="R505" s="43"/>
      <c r="S505" s="43"/>
      <c r="T505" s="43"/>
      <c r="U505" s="43"/>
      <c r="V505" s="43"/>
      <c r="W505" s="43"/>
      <c r="X505" s="43"/>
      <c r="Y505" s="43"/>
      <c r="Z505" s="43"/>
      <c r="AA505" s="43"/>
    </row>
    <row r="506">
      <c r="A506" s="43"/>
      <c r="B506" s="160"/>
      <c r="C506" s="160"/>
      <c r="D506" s="160"/>
      <c r="E506" s="43"/>
      <c r="F506" s="43"/>
      <c r="G506" s="43"/>
      <c r="H506" s="43"/>
      <c r="I506" s="43"/>
      <c r="J506" s="43"/>
      <c r="K506" s="43"/>
      <c r="L506" s="43"/>
      <c r="M506" s="43"/>
      <c r="N506" s="43"/>
      <c r="O506" s="43"/>
      <c r="P506" s="43"/>
      <c r="Q506" s="43"/>
      <c r="R506" s="43"/>
      <c r="S506" s="43"/>
      <c r="T506" s="43"/>
      <c r="U506" s="43"/>
      <c r="V506" s="43"/>
      <c r="W506" s="43"/>
      <c r="X506" s="43"/>
      <c r="Y506" s="43"/>
      <c r="Z506" s="43"/>
      <c r="AA506" s="43"/>
    </row>
    <row r="507">
      <c r="A507" s="43"/>
      <c r="B507" s="160"/>
      <c r="C507" s="160"/>
      <c r="D507" s="160"/>
      <c r="E507" s="43"/>
      <c r="F507" s="43"/>
      <c r="G507" s="43"/>
      <c r="H507" s="43"/>
      <c r="I507" s="43"/>
      <c r="J507" s="43"/>
      <c r="K507" s="43"/>
      <c r="L507" s="43"/>
      <c r="M507" s="43"/>
      <c r="N507" s="43"/>
      <c r="O507" s="43"/>
      <c r="P507" s="43"/>
      <c r="Q507" s="43"/>
      <c r="R507" s="43"/>
      <c r="S507" s="43"/>
      <c r="T507" s="43"/>
      <c r="U507" s="43"/>
      <c r="V507" s="43"/>
      <c r="W507" s="43"/>
      <c r="X507" s="43"/>
      <c r="Y507" s="43"/>
      <c r="Z507" s="43"/>
      <c r="AA507" s="43"/>
    </row>
    <row r="508">
      <c r="A508" s="43"/>
      <c r="B508" s="160"/>
      <c r="C508" s="160"/>
      <c r="D508" s="160"/>
      <c r="E508" s="43"/>
      <c r="F508" s="43"/>
      <c r="G508" s="43"/>
      <c r="H508" s="43"/>
      <c r="I508" s="43"/>
      <c r="J508" s="43"/>
      <c r="K508" s="43"/>
      <c r="L508" s="43"/>
      <c r="M508" s="43"/>
      <c r="N508" s="43"/>
      <c r="O508" s="43"/>
      <c r="P508" s="43"/>
      <c r="Q508" s="43"/>
      <c r="R508" s="43"/>
      <c r="S508" s="43"/>
      <c r="T508" s="43"/>
      <c r="U508" s="43"/>
      <c r="V508" s="43"/>
      <c r="W508" s="43"/>
      <c r="X508" s="43"/>
      <c r="Y508" s="43"/>
      <c r="Z508" s="43"/>
      <c r="AA508" s="43"/>
    </row>
    <row r="509">
      <c r="A509" s="43"/>
      <c r="B509" s="160"/>
      <c r="C509" s="160"/>
      <c r="D509" s="160"/>
      <c r="E509" s="43"/>
      <c r="F509" s="43"/>
      <c r="G509" s="43"/>
      <c r="H509" s="43"/>
      <c r="I509" s="43"/>
      <c r="J509" s="43"/>
      <c r="K509" s="43"/>
      <c r="L509" s="43"/>
      <c r="M509" s="43"/>
      <c r="N509" s="43"/>
      <c r="O509" s="43"/>
      <c r="P509" s="43"/>
      <c r="Q509" s="43"/>
      <c r="R509" s="43"/>
      <c r="S509" s="43"/>
      <c r="T509" s="43"/>
      <c r="U509" s="43"/>
      <c r="V509" s="43"/>
      <c r="W509" s="43"/>
      <c r="X509" s="43"/>
      <c r="Y509" s="43"/>
      <c r="Z509" s="43"/>
      <c r="AA509" s="43"/>
    </row>
    <row r="510">
      <c r="A510" s="43"/>
      <c r="B510" s="160"/>
      <c r="C510" s="160"/>
      <c r="D510" s="160"/>
      <c r="E510" s="43"/>
      <c r="F510" s="43"/>
      <c r="G510" s="43"/>
      <c r="H510" s="43"/>
      <c r="I510" s="43"/>
      <c r="J510" s="43"/>
      <c r="K510" s="43"/>
      <c r="L510" s="43"/>
      <c r="M510" s="43"/>
      <c r="N510" s="43"/>
      <c r="O510" s="43"/>
      <c r="P510" s="43"/>
      <c r="Q510" s="43"/>
      <c r="R510" s="43"/>
      <c r="S510" s="43"/>
      <c r="T510" s="43"/>
      <c r="U510" s="43"/>
      <c r="V510" s="43"/>
      <c r="W510" s="43"/>
      <c r="X510" s="43"/>
      <c r="Y510" s="43"/>
      <c r="Z510" s="43"/>
      <c r="AA510" s="43"/>
    </row>
    <row r="511">
      <c r="A511" s="43"/>
      <c r="B511" s="160"/>
      <c r="C511" s="160"/>
      <c r="D511" s="160"/>
      <c r="E511" s="43"/>
      <c r="F511" s="43"/>
      <c r="G511" s="43"/>
      <c r="H511" s="43"/>
      <c r="I511" s="43"/>
      <c r="J511" s="43"/>
      <c r="K511" s="43"/>
      <c r="L511" s="43"/>
      <c r="M511" s="43"/>
      <c r="N511" s="43"/>
      <c r="O511" s="43"/>
      <c r="P511" s="43"/>
      <c r="Q511" s="43"/>
      <c r="R511" s="43"/>
      <c r="S511" s="43"/>
      <c r="T511" s="43"/>
      <c r="U511" s="43"/>
      <c r="V511" s="43"/>
      <c r="W511" s="43"/>
      <c r="X511" s="43"/>
      <c r="Y511" s="43"/>
      <c r="Z511" s="43"/>
      <c r="AA511" s="43"/>
    </row>
    <row r="512">
      <c r="A512" s="43"/>
      <c r="B512" s="160"/>
      <c r="C512" s="160"/>
      <c r="D512" s="160"/>
      <c r="E512" s="43"/>
      <c r="F512" s="43"/>
      <c r="G512" s="43"/>
      <c r="H512" s="43"/>
      <c r="I512" s="43"/>
      <c r="J512" s="43"/>
      <c r="K512" s="43"/>
      <c r="L512" s="43"/>
      <c r="M512" s="43"/>
      <c r="N512" s="43"/>
      <c r="O512" s="43"/>
      <c r="P512" s="43"/>
      <c r="Q512" s="43"/>
      <c r="R512" s="43"/>
      <c r="S512" s="43"/>
      <c r="T512" s="43"/>
      <c r="U512" s="43"/>
      <c r="V512" s="43"/>
      <c r="W512" s="43"/>
      <c r="X512" s="43"/>
      <c r="Y512" s="43"/>
      <c r="Z512" s="43"/>
      <c r="AA512" s="43"/>
    </row>
    <row r="513">
      <c r="A513" s="43"/>
      <c r="B513" s="160"/>
      <c r="C513" s="160"/>
      <c r="D513" s="160"/>
      <c r="E513" s="43"/>
      <c r="F513" s="43"/>
      <c r="G513" s="43"/>
      <c r="H513" s="43"/>
      <c r="I513" s="43"/>
      <c r="J513" s="43"/>
      <c r="K513" s="43"/>
      <c r="L513" s="43"/>
      <c r="M513" s="43"/>
      <c r="N513" s="43"/>
      <c r="O513" s="43"/>
      <c r="P513" s="43"/>
      <c r="Q513" s="43"/>
      <c r="R513" s="43"/>
      <c r="S513" s="43"/>
      <c r="T513" s="43"/>
      <c r="U513" s="43"/>
      <c r="V513" s="43"/>
      <c r="W513" s="43"/>
      <c r="X513" s="43"/>
      <c r="Y513" s="43"/>
      <c r="Z513" s="43"/>
      <c r="AA513" s="43"/>
    </row>
    <row r="514">
      <c r="A514" s="43"/>
      <c r="B514" s="160"/>
      <c r="C514" s="160"/>
      <c r="D514" s="160"/>
      <c r="E514" s="43"/>
      <c r="F514" s="43"/>
      <c r="G514" s="43"/>
      <c r="H514" s="43"/>
      <c r="I514" s="43"/>
      <c r="J514" s="43"/>
      <c r="K514" s="43"/>
      <c r="L514" s="43"/>
      <c r="M514" s="43"/>
      <c r="N514" s="43"/>
      <c r="O514" s="43"/>
      <c r="P514" s="43"/>
      <c r="Q514" s="43"/>
      <c r="R514" s="43"/>
      <c r="S514" s="43"/>
      <c r="T514" s="43"/>
      <c r="U514" s="43"/>
      <c r="V514" s="43"/>
      <c r="W514" s="43"/>
      <c r="X514" s="43"/>
      <c r="Y514" s="43"/>
      <c r="Z514" s="43"/>
      <c r="AA514" s="43"/>
    </row>
    <row r="515">
      <c r="A515" s="43"/>
      <c r="B515" s="160"/>
      <c r="C515" s="160"/>
      <c r="D515" s="160"/>
      <c r="E515" s="43"/>
      <c r="F515" s="43"/>
      <c r="G515" s="43"/>
      <c r="H515" s="43"/>
      <c r="I515" s="43"/>
      <c r="J515" s="43"/>
      <c r="K515" s="43"/>
      <c r="L515" s="43"/>
      <c r="M515" s="43"/>
      <c r="N515" s="43"/>
      <c r="O515" s="43"/>
      <c r="P515" s="43"/>
      <c r="Q515" s="43"/>
      <c r="R515" s="43"/>
      <c r="S515" s="43"/>
      <c r="T515" s="43"/>
      <c r="U515" s="43"/>
      <c r="V515" s="43"/>
      <c r="W515" s="43"/>
      <c r="X515" s="43"/>
      <c r="Y515" s="43"/>
      <c r="Z515" s="43"/>
      <c r="AA515" s="43"/>
    </row>
    <row r="516">
      <c r="A516" s="43"/>
      <c r="B516" s="160"/>
      <c r="C516" s="160"/>
      <c r="D516" s="160"/>
      <c r="E516" s="43"/>
      <c r="F516" s="43"/>
      <c r="G516" s="43"/>
      <c r="H516" s="43"/>
      <c r="I516" s="43"/>
      <c r="J516" s="43"/>
      <c r="K516" s="43"/>
      <c r="L516" s="43"/>
      <c r="M516" s="43"/>
      <c r="N516" s="43"/>
      <c r="O516" s="43"/>
      <c r="P516" s="43"/>
      <c r="Q516" s="43"/>
      <c r="R516" s="43"/>
      <c r="S516" s="43"/>
      <c r="T516" s="43"/>
      <c r="U516" s="43"/>
      <c r="V516" s="43"/>
      <c r="W516" s="43"/>
      <c r="X516" s="43"/>
      <c r="Y516" s="43"/>
      <c r="Z516" s="43"/>
      <c r="AA516" s="43"/>
    </row>
    <row r="517">
      <c r="A517" s="43"/>
      <c r="B517" s="160"/>
      <c r="C517" s="160"/>
      <c r="D517" s="160"/>
      <c r="E517" s="43"/>
      <c r="F517" s="43"/>
      <c r="G517" s="43"/>
      <c r="H517" s="43"/>
      <c r="I517" s="43"/>
      <c r="J517" s="43"/>
      <c r="K517" s="43"/>
      <c r="L517" s="43"/>
      <c r="M517" s="43"/>
      <c r="N517" s="43"/>
      <c r="O517" s="43"/>
      <c r="P517" s="43"/>
      <c r="Q517" s="43"/>
      <c r="R517" s="43"/>
      <c r="S517" s="43"/>
      <c r="T517" s="43"/>
      <c r="U517" s="43"/>
      <c r="V517" s="43"/>
      <c r="W517" s="43"/>
      <c r="X517" s="43"/>
      <c r="Y517" s="43"/>
      <c r="Z517" s="43"/>
      <c r="AA517" s="43"/>
    </row>
    <row r="518">
      <c r="A518" s="43"/>
      <c r="B518" s="160"/>
      <c r="C518" s="160"/>
      <c r="D518" s="160"/>
      <c r="E518" s="43"/>
      <c r="F518" s="43"/>
      <c r="G518" s="43"/>
      <c r="H518" s="43"/>
      <c r="I518" s="43"/>
      <c r="J518" s="43"/>
      <c r="K518" s="43"/>
      <c r="L518" s="43"/>
      <c r="M518" s="43"/>
      <c r="N518" s="43"/>
      <c r="O518" s="43"/>
      <c r="P518" s="43"/>
      <c r="Q518" s="43"/>
      <c r="R518" s="43"/>
      <c r="S518" s="43"/>
      <c r="T518" s="43"/>
      <c r="U518" s="43"/>
      <c r="V518" s="43"/>
      <c r="W518" s="43"/>
      <c r="X518" s="43"/>
      <c r="Y518" s="43"/>
      <c r="Z518" s="43"/>
      <c r="AA518" s="43"/>
    </row>
    <row r="519">
      <c r="A519" s="43"/>
      <c r="B519" s="160"/>
      <c r="C519" s="160"/>
      <c r="D519" s="160"/>
      <c r="E519" s="43"/>
      <c r="F519" s="43"/>
      <c r="G519" s="43"/>
      <c r="H519" s="43"/>
      <c r="I519" s="43"/>
      <c r="J519" s="43"/>
      <c r="K519" s="43"/>
      <c r="L519" s="43"/>
      <c r="M519" s="43"/>
      <c r="N519" s="43"/>
      <c r="O519" s="43"/>
      <c r="P519" s="43"/>
      <c r="Q519" s="43"/>
      <c r="R519" s="43"/>
      <c r="S519" s="43"/>
      <c r="T519" s="43"/>
      <c r="U519" s="43"/>
      <c r="V519" s="43"/>
      <c r="W519" s="43"/>
      <c r="X519" s="43"/>
      <c r="Y519" s="43"/>
      <c r="Z519" s="43"/>
      <c r="AA519" s="43"/>
    </row>
    <row r="520">
      <c r="A520" s="43"/>
      <c r="B520" s="160"/>
      <c r="C520" s="160"/>
      <c r="D520" s="160"/>
      <c r="E520" s="43"/>
      <c r="F520" s="43"/>
      <c r="G520" s="43"/>
      <c r="H520" s="43"/>
      <c r="I520" s="43"/>
      <c r="J520" s="43"/>
      <c r="K520" s="43"/>
      <c r="L520" s="43"/>
      <c r="M520" s="43"/>
      <c r="N520" s="43"/>
      <c r="O520" s="43"/>
      <c r="P520" s="43"/>
      <c r="Q520" s="43"/>
      <c r="R520" s="43"/>
      <c r="S520" s="43"/>
      <c r="T520" s="43"/>
      <c r="U520" s="43"/>
      <c r="V520" s="43"/>
      <c r="W520" s="43"/>
      <c r="X520" s="43"/>
      <c r="Y520" s="43"/>
      <c r="Z520" s="43"/>
      <c r="AA520" s="43"/>
    </row>
    <row r="521">
      <c r="A521" s="43"/>
      <c r="B521" s="160"/>
      <c r="C521" s="160"/>
      <c r="D521" s="160"/>
      <c r="E521" s="43"/>
      <c r="F521" s="43"/>
      <c r="G521" s="43"/>
      <c r="H521" s="43"/>
      <c r="I521" s="43"/>
      <c r="J521" s="43"/>
      <c r="K521" s="43"/>
      <c r="L521" s="43"/>
      <c r="M521" s="43"/>
      <c r="N521" s="43"/>
      <c r="O521" s="43"/>
      <c r="P521" s="43"/>
      <c r="Q521" s="43"/>
      <c r="R521" s="43"/>
      <c r="S521" s="43"/>
      <c r="T521" s="43"/>
      <c r="U521" s="43"/>
      <c r="V521" s="43"/>
      <c r="W521" s="43"/>
      <c r="X521" s="43"/>
      <c r="Y521" s="43"/>
      <c r="Z521" s="43"/>
      <c r="AA521" s="43"/>
    </row>
    <row r="522">
      <c r="A522" s="43"/>
      <c r="B522" s="160"/>
      <c r="C522" s="160"/>
      <c r="D522" s="160"/>
      <c r="E522" s="43"/>
      <c r="F522" s="43"/>
      <c r="G522" s="43"/>
      <c r="H522" s="43"/>
      <c r="I522" s="43"/>
      <c r="J522" s="43"/>
      <c r="K522" s="43"/>
      <c r="L522" s="43"/>
      <c r="M522" s="43"/>
      <c r="N522" s="43"/>
      <c r="O522" s="43"/>
      <c r="P522" s="43"/>
      <c r="Q522" s="43"/>
      <c r="R522" s="43"/>
      <c r="S522" s="43"/>
      <c r="T522" s="43"/>
      <c r="U522" s="43"/>
      <c r="V522" s="43"/>
      <c r="W522" s="43"/>
      <c r="X522" s="43"/>
      <c r="Y522" s="43"/>
      <c r="Z522" s="43"/>
      <c r="AA522" s="43"/>
    </row>
    <row r="523">
      <c r="A523" s="43"/>
      <c r="B523" s="160"/>
      <c r="C523" s="160"/>
      <c r="D523" s="160"/>
      <c r="E523" s="43"/>
      <c r="F523" s="43"/>
      <c r="G523" s="43"/>
      <c r="H523" s="43"/>
      <c r="I523" s="43"/>
      <c r="J523" s="43"/>
      <c r="K523" s="43"/>
      <c r="L523" s="43"/>
      <c r="M523" s="43"/>
      <c r="N523" s="43"/>
      <c r="O523" s="43"/>
      <c r="P523" s="43"/>
      <c r="Q523" s="43"/>
      <c r="R523" s="43"/>
      <c r="S523" s="43"/>
      <c r="T523" s="43"/>
      <c r="U523" s="43"/>
      <c r="V523" s="43"/>
      <c r="W523" s="43"/>
      <c r="X523" s="43"/>
      <c r="Y523" s="43"/>
      <c r="Z523" s="43"/>
      <c r="AA523" s="43"/>
    </row>
    <row r="524">
      <c r="A524" s="43"/>
      <c r="B524" s="160"/>
      <c r="C524" s="160"/>
      <c r="D524" s="160"/>
      <c r="E524" s="43"/>
      <c r="F524" s="43"/>
      <c r="G524" s="43"/>
      <c r="H524" s="43"/>
      <c r="I524" s="43"/>
      <c r="J524" s="43"/>
      <c r="K524" s="43"/>
      <c r="L524" s="43"/>
      <c r="M524" s="43"/>
      <c r="N524" s="43"/>
      <c r="O524" s="43"/>
      <c r="P524" s="43"/>
      <c r="Q524" s="43"/>
      <c r="R524" s="43"/>
      <c r="S524" s="43"/>
      <c r="T524" s="43"/>
      <c r="U524" s="43"/>
      <c r="V524" s="43"/>
      <c r="W524" s="43"/>
      <c r="X524" s="43"/>
      <c r="Y524" s="43"/>
      <c r="Z524" s="43"/>
      <c r="AA524" s="43"/>
    </row>
    <row r="525">
      <c r="A525" s="43"/>
      <c r="B525" s="160"/>
      <c r="C525" s="160"/>
      <c r="D525" s="160"/>
      <c r="E525" s="43"/>
      <c r="F525" s="43"/>
      <c r="G525" s="43"/>
      <c r="H525" s="43"/>
      <c r="I525" s="43"/>
      <c r="J525" s="43"/>
      <c r="K525" s="43"/>
      <c r="L525" s="43"/>
      <c r="M525" s="43"/>
      <c r="N525" s="43"/>
      <c r="O525" s="43"/>
      <c r="P525" s="43"/>
      <c r="Q525" s="43"/>
      <c r="R525" s="43"/>
      <c r="S525" s="43"/>
      <c r="T525" s="43"/>
      <c r="U525" s="43"/>
      <c r="V525" s="43"/>
      <c r="W525" s="43"/>
      <c r="X525" s="43"/>
      <c r="Y525" s="43"/>
      <c r="Z525" s="43"/>
      <c r="AA525" s="43"/>
    </row>
    <row r="526">
      <c r="A526" s="43"/>
      <c r="B526" s="160"/>
      <c r="C526" s="160"/>
      <c r="D526" s="160"/>
      <c r="E526" s="43"/>
      <c r="F526" s="43"/>
      <c r="G526" s="43"/>
      <c r="H526" s="43"/>
      <c r="I526" s="43"/>
      <c r="J526" s="43"/>
      <c r="K526" s="43"/>
      <c r="L526" s="43"/>
      <c r="M526" s="43"/>
      <c r="N526" s="43"/>
      <c r="O526" s="43"/>
      <c r="P526" s="43"/>
      <c r="Q526" s="43"/>
      <c r="R526" s="43"/>
      <c r="S526" s="43"/>
      <c r="T526" s="43"/>
      <c r="U526" s="43"/>
      <c r="V526" s="43"/>
      <c r="W526" s="43"/>
      <c r="X526" s="43"/>
      <c r="Y526" s="43"/>
      <c r="Z526" s="43"/>
      <c r="AA526" s="43"/>
    </row>
    <row r="527">
      <c r="A527" s="43"/>
      <c r="B527" s="160"/>
      <c r="C527" s="160"/>
      <c r="D527" s="160"/>
      <c r="E527" s="43"/>
      <c r="F527" s="43"/>
      <c r="G527" s="43"/>
      <c r="H527" s="43"/>
      <c r="I527" s="43"/>
      <c r="J527" s="43"/>
      <c r="K527" s="43"/>
      <c r="L527" s="43"/>
      <c r="M527" s="43"/>
      <c r="N527" s="43"/>
      <c r="O527" s="43"/>
      <c r="P527" s="43"/>
      <c r="Q527" s="43"/>
      <c r="R527" s="43"/>
      <c r="S527" s="43"/>
      <c r="T527" s="43"/>
      <c r="U527" s="43"/>
      <c r="V527" s="43"/>
      <c r="W527" s="43"/>
      <c r="X527" s="43"/>
      <c r="Y527" s="43"/>
      <c r="Z527" s="43"/>
      <c r="AA527" s="43"/>
    </row>
    <row r="528">
      <c r="A528" s="43"/>
      <c r="B528" s="160"/>
      <c r="C528" s="160"/>
      <c r="D528" s="160"/>
      <c r="E528" s="43"/>
      <c r="F528" s="43"/>
      <c r="G528" s="43"/>
      <c r="H528" s="43"/>
      <c r="I528" s="43"/>
      <c r="J528" s="43"/>
      <c r="K528" s="43"/>
      <c r="L528" s="43"/>
      <c r="M528" s="43"/>
      <c r="N528" s="43"/>
      <c r="O528" s="43"/>
      <c r="P528" s="43"/>
      <c r="Q528" s="43"/>
      <c r="R528" s="43"/>
      <c r="S528" s="43"/>
      <c r="T528" s="43"/>
      <c r="U528" s="43"/>
      <c r="V528" s="43"/>
      <c r="W528" s="43"/>
      <c r="X528" s="43"/>
      <c r="Y528" s="43"/>
      <c r="Z528" s="43"/>
      <c r="AA528" s="43"/>
    </row>
    <row r="529">
      <c r="A529" s="43"/>
      <c r="B529" s="160"/>
      <c r="C529" s="160"/>
      <c r="D529" s="160"/>
      <c r="E529" s="43"/>
      <c r="F529" s="43"/>
      <c r="G529" s="43"/>
      <c r="H529" s="43"/>
      <c r="I529" s="43"/>
      <c r="J529" s="43"/>
      <c r="K529" s="43"/>
      <c r="L529" s="43"/>
      <c r="M529" s="43"/>
      <c r="N529" s="43"/>
      <c r="O529" s="43"/>
      <c r="P529" s="43"/>
      <c r="Q529" s="43"/>
      <c r="R529" s="43"/>
      <c r="S529" s="43"/>
      <c r="T529" s="43"/>
      <c r="U529" s="43"/>
      <c r="V529" s="43"/>
      <c r="W529" s="43"/>
      <c r="X529" s="43"/>
      <c r="Y529" s="43"/>
      <c r="Z529" s="43"/>
      <c r="AA529" s="43"/>
    </row>
    <row r="530">
      <c r="A530" s="43"/>
      <c r="B530" s="160"/>
      <c r="C530" s="160"/>
      <c r="D530" s="160"/>
      <c r="E530" s="43"/>
      <c r="F530" s="43"/>
      <c r="G530" s="43"/>
      <c r="H530" s="43"/>
      <c r="I530" s="43"/>
      <c r="J530" s="43"/>
      <c r="K530" s="43"/>
      <c r="L530" s="43"/>
      <c r="M530" s="43"/>
      <c r="N530" s="43"/>
      <c r="O530" s="43"/>
      <c r="P530" s="43"/>
      <c r="Q530" s="43"/>
      <c r="R530" s="43"/>
      <c r="S530" s="43"/>
      <c r="T530" s="43"/>
      <c r="U530" s="43"/>
      <c r="V530" s="43"/>
      <c r="W530" s="43"/>
      <c r="X530" s="43"/>
      <c r="Y530" s="43"/>
      <c r="Z530" s="43"/>
      <c r="AA530" s="43"/>
    </row>
    <row r="531">
      <c r="A531" s="43"/>
      <c r="B531" s="160"/>
      <c r="C531" s="160"/>
      <c r="D531" s="160"/>
      <c r="E531" s="43"/>
      <c r="F531" s="43"/>
      <c r="G531" s="43"/>
      <c r="H531" s="43"/>
      <c r="I531" s="43"/>
      <c r="J531" s="43"/>
      <c r="K531" s="43"/>
      <c r="L531" s="43"/>
      <c r="M531" s="43"/>
      <c r="N531" s="43"/>
      <c r="O531" s="43"/>
      <c r="P531" s="43"/>
      <c r="Q531" s="43"/>
      <c r="R531" s="43"/>
      <c r="S531" s="43"/>
      <c r="T531" s="43"/>
      <c r="U531" s="43"/>
      <c r="V531" s="43"/>
      <c r="W531" s="43"/>
      <c r="X531" s="43"/>
      <c r="Y531" s="43"/>
      <c r="Z531" s="43"/>
      <c r="AA531" s="43"/>
    </row>
    <row r="532">
      <c r="A532" s="43"/>
      <c r="B532" s="160"/>
      <c r="C532" s="160"/>
      <c r="D532" s="160"/>
      <c r="E532" s="43"/>
      <c r="F532" s="43"/>
      <c r="G532" s="43"/>
      <c r="H532" s="43"/>
      <c r="I532" s="43"/>
      <c r="J532" s="43"/>
      <c r="K532" s="43"/>
      <c r="L532" s="43"/>
      <c r="M532" s="43"/>
      <c r="N532" s="43"/>
      <c r="O532" s="43"/>
      <c r="P532" s="43"/>
      <c r="Q532" s="43"/>
      <c r="R532" s="43"/>
      <c r="S532" s="43"/>
      <c r="T532" s="43"/>
      <c r="U532" s="43"/>
      <c r="V532" s="43"/>
      <c r="W532" s="43"/>
      <c r="X532" s="43"/>
      <c r="Y532" s="43"/>
      <c r="Z532" s="43"/>
      <c r="AA532" s="43"/>
    </row>
    <row r="533">
      <c r="A533" s="43"/>
      <c r="B533" s="160"/>
      <c r="C533" s="160"/>
      <c r="D533" s="160"/>
      <c r="E533" s="43"/>
      <c r="F533" s="43"/>
      <c r="G533" s="43"/>
      <c r="H533" s="43"/>
      <c r="I533" s="43"/>
      <c r="J533" s="43"/>
      <c r="K533" s="43"/>
      <c r="L533" s="43"/>
      <c r="M533" s="43"/>
      <c r="N533" s="43"/>
      <c r="O533" s="43"/>
      <c r="P533" s="43"/>
      <c r="Q533" s="43"/>
      <c r="R533" s="43"/>
      <c r="S533" s="43"/>
      <c r="T533" s="43"/>
      <c r="U533" s="43"/>
      <c r="V533" s="43"/>
      <c r="W533" s="43"/>
      <c r="X533" s="43"/>
      <c r="Y533" s="43"/>
      <c r="Z533" s="43"/>
      <c r="AA533" s="43"/>
    </row>
    <row r="534">
      <c r="A534" s="43"/>
      <c r="B534" s="160"/>
      <c r="C534" s="160"/>
      <c r="D534" s="160"/>
      <c r="E534" s="43"/>
      <c r="F534" s="43"/>
      <c r="G534" s="43"/>
      <c r="H534" s="43"/>
      <c r="I534" s="43"/>
      <c r="J534" s="43"/>
      <c r="K534" s="43"/>
      <c r="L534" s="43"/>
      <c r="M534" s="43"/>
      <c r="N534" s="43"/>
      <c r="O534" s="43"/>
      <c r="P534" s="43"/>
      <c r="Q534" s="43"/>
      <c r="R534" s="43"/>
      <c r="S534" s="43"/>
      <c r="T534" s="43"/>
      <c r="U534" s="43"/>
      <c r="V534" s="43"/>
      <c r="W534" s="43"/>
      <c r="X534" s="43"/>
      <c r="Y534" s="43"/>
      <c r="Z534" s="43"/>
      <c r="AA534" s="43"/>
    </row>
    <row r="535">
      <c r="A535" s="43"/>
      <c r="B535" s="160"/>
      <c r="C535" s="160"/>
      <c r="D535" s="160"/>
      <c r="E535" s="43"/>
      <c r="F535" s="43"/>
      <c r="G535" s="43"/>
      <c r="H535" s="43"/>
      <c r="I535" s="43"/>
      <c r="J535" s="43"/>
      <c r="K535" s="43"/>
      <c r="L535" s="43"/>
      <c r="M535" s="43"/>
      <c r="N535" s="43"/>
      <c r="O535" s="43"/>
      <c r="P535" s="43"/>
      <c r="Q535" s="43"/>
      <c r="R535" s="43"/>
      <c r="S535" s="43"/>
      <c r="T535" s="43"/>
      <c r="U535" s="43"/>
      <c r="V535" s="43"/>
      <c r="W535" s="43"/>
      <c r="X535" s="43"/>
      <c r="Y535" s="43"/>
      <c r="Z535" s="43"/>
      <c r="AA535" s="43"/>
    </row>
    <row r="536">
      <c r="A536" s="43"/>
      <c r="B536" s="160"/>
      <c r="C536" s="160"/>
      <c r="D536" s="160"/>
      <c r="E536" s="43"/>
      <c r="F536" s="43"/>
      <c r="G536" s="43"/>
      <c r="H536" s="43"/>
      <c r="I536" s="43"/>
      <c r="J536" s="43"/>
      <c r="K536" s="43"/>
      <c r="L536" s="43"/>
      <c r="M536" s="43"/>
      <c r="N536" s="43"/>
      <c r="O536" s="43"/>
      <c r="P536" s="43"/>
      <c r="Q536" s="43"/>
      <c r="R536" s="43"/>
      <c r="S536" s="43"/>
      <c r="T536" s="43"/>
      <c r="U536" s="43"/>
      <c r="V536" s="43"/>
      <c r="W536" s="43"/>
      <c r="X536" s="43"/>
      <c r="Y536" s="43"/>
      <c r="Z536" s="43"/>
      <c r="AA536" s="43"/>
    </row>
    <row r="537">
      <c r="A537" s="43"/>
      <c r="B537" s="160"/>
      <c r="C537" s="160"/>
      <c r="D537" s="160"/>
      <c r="E537" s="43"/>
      <c r="F537" s="43"/>
      <c r="G537" s="43"/>
      <c r="H537" s="43"/>
      <c r="I537" s="43"/>
      <c r="J537" s="43"/>
      <c r="K537" s="43"/>
      <c r="L537" s="43"/>
      <c r="M537" s="43"/>
      <c r="N537" s="43"/>
      <c r="O537" s="43"/>
      <c r="P537" s="43"/>
      <c r="Q537" s="43"/>
      <c r="R537" s="43"/>
      <c r="S537" s="43"/>
      <c r="T537" s="43"/>
      <c r="U537" s="43"/>
      <c r="V537" s="43"/>
      <c r="W537" s="43"/>
      <c r="X537" s="43"/>
      <c r="Y537" s="43"/>
      <c r="Z537" s="43"/>
      <c r="AA537" s="43"/>
    </row>
    <row r="538">
      <c r="A538" s="43"/>
      <c r="B538" s="160"/>
      <c r="C538" s="160"/>
      <c r="D538" s="160"/>
      <c r="E538" s="43"/>
      <c r="F538" s="43"/>
      <c r="G538" s="43"/>
      <c r="H538" s="43"/>
      <c r="I538" s="43"/>
      <c r="J538" s="43"/>
      <c r="K538" s="43"/>
      <c r="L538" s="43"/>
      <c r="M538" s="43"/>
      <c r="N538" s="43"/>
      <c r="O538" s="43"/>
      <c r="P538" s="43"/>
      <c r="Q538" s="43"/>
      <c r="R538" s="43"/>
      <c r="S538" s="43"/>
      <c r="T538" s="43"/>
      <c r="U538" s="43"/>
      <c r="V538" s="43"/>
      <c r="W538" s="43"/>
      <c r="X538" s="43"/>
      <c r="Y538" s="43"/>
      <c r="Z538" s="43"/>
      <c r="AA538" s="43"/>
    </row>
    <row r="539">
      <c r="A539" s="43"/>
      <c r="B539" s="160"/>
      <c r="C539" s="160"/>
      <c r="D539" s="160"/>
      <c r="E539" s="43"/>
      <c r="F539" s="43"/>
      <c r="G539" s="43"/>
      <c r="H539" s="43"/>
      <c r="I539" s="43"/>
      <c r="J539" s="43"/>
      <c r="K539" s="43"/>
      <c r="L539" s="43"/>
      <c r="M539" s="43"/>
      <c r="N539" s="43"/>
      <c r="O539" s="43"/>
      <c r="P539" s="43"/>
      <c r="Q539" s="43"/>
      <c r="R539" s="43"/>
      <c r="S539" s="43"/>
      <c r="T539" s="43"/>
      <c r="U539" s="43"/>
      <c r="V539" s="43"/>
      <c r="W539" s="43"/>
      <c r="X539" s="43"/>
      <c r="Y539" s="43"/>
      <c r="Z539" s="43"/>
      <c r="AA539" s="43"/>
    </row>
    <row r="540">
      <c r="A540" s="43"/>
      <c r="B540" s="160"/>
      <c r="C540" s="160"/>
      <c r="D540" s="160"/>
      <c r="E540" s="43"/>
      <c r="F540" s="43"/>
      <c r="G540" s="43"/>
      <c r="H540" s="43"/>
      <c r="I540" s="43"/>
      <c r="J540" s="43"/>
      <c r="K540" s="43"/>
      <c r="L540" s="43"/>
      <c r="M540" s="43"/>
      <c r="N540" s="43"/>
      <c r="O540" s="43"/>
      <c r="P540" s="43"/>
      <c r="Q540" s="43"/>
      <c r="R540" s="43"/>
      <c r="S540" s="43"/>
      <c r="T540" s="43"/>
      <c r="U540" s="43"/>
      <c r="V540" s="43"/>
      <c r="W540" s="43"/>
      <c r="X540" s="43"/>
      <c r="Y540" s="43"/>
      <c r="Z540" s="43"/>
      <c r="AA540" s="43"/>
    </row>
    <row r="541">
      <c r="A541" s="43"/>
      <c r="B541" s="160"/>
      <c r="C541" s="160"/>
      <c r="D541" s="160"/>
      <c r="E541" s="43"/>
      <c r="F541" s="43"/>
      <c r="G541" s="43"/>
      <c r="H541" s="43"/>
      <c r="I541" s="43"/>
      <c r="J541" s="43"/>
      <c r="K541" s="43"/>
      <c r="L541" s="43"/>
      <c r="M541" s="43"/>
      <c r="N541" s="43"/>
      <c r="O541" s="43"/>
      <c r="P541" s="43"/>
      <c r="Q541" s="43"/>
      <c r="R541" s="43"/>
      <c r="S541" s="43"/>
      <c r="T541" s="43"/>
      <c r="U541" s="43"/>
      <c r="V541" s="43"/>
      <c r="W541" s="43"/>
      <c r="X541" s="43"/>
      <c r="Y541" s="43"/>
      <c r="Z541" s="43"/>
      <c r="AA541" s="43"/>
    </row>
    <row r="542">
      <c r="A542" s="43"/>
      <c r="B542" s="160"/>
      <c r="C542" s="160"/>
      <c r="D542" s="160"/>
      <c r="E542" s="43"/>
      <c r="F542" s="43"/>
      <c r="G542" s="43"/>
      <c r="H542" s="43"/>
      <c r="I542" s="43"/>
      <c r="J542" s="43"/>
      <c r="K542" s="43"/>
      <c r="L542" s="43"/>
      <c r="M542" s="43"/>
      <c r="N542" s="43"/>
      <c r="O542" s="43"/>
      <c r="P542" s="43"/>
      <c r="Q542" s="43"/>
      <c r="R542" s="43"/>
      <c r="S542" s="43"/>
      <c r="T542" s="43"/>
      <c r="U542" s="43"/>
      <c r="V542" s="43"/>
      <c r="W542" s="43"/>
      <c r="X542" s="43"/>
      <c r="Y542" s="43"/>
      <c r="Z542" s="43"/>
      <c r="AA542" s="43"/>
    </row>
    <row r="543">
      <c r="A543" s="43"/>
      <c r="B543" s="160"/>
      <c r="C543" s="160"/>
      <c r="D543" s="160"/>
      <c r="E543" s="43"/>
      <c r="F543" s="43"/>
      <c r="G543" s="43"/>
      <c r="H543" s="43"/>
      <c r="I543" s="43"/>
      <c r="J543" s="43"/>
      <c r="K543" s="43"/>
      <c r="L543" s="43"/>
      <c r="M543" s="43"/>
      <c r="N543" s="43"/>
      <c r="O543" s="43"/>
      <c r="P543" s="43"/>
      <c r="Q543" s="43"/>
      <c r="R543" s="43"/>
      <c r="S543" s="43"/>
      <c r="T543" s="43"/>
      <c r="U543" s="43"/>
      <c r="V543" s="43"/>
      <c r="W543" s="43"/>
      <c r="X543" s="43"/>
      <c r="Y543" s="43"/>
      <c r="Z543" s="43"/>
      <c r="AA543" s="43"/>
    </row>
    <row r="544">
      <c r="A544" s="43"/>
      <c r="B544" s="160"/>
      <c r="C544" s="160"/>
      <c r="D544" s="160"/>
      <c r="E544" s="43"/>
      <c r="F544" s="43"/>
      <c r="G544" s="43"/>
      <c r="H544" s="43"/>
      <c r="I544" s="43"/>
      <c r="J544" s="43"/>
      <c r="K544" s="43"/>
      <c r="L544" s="43"/>
      <c r="M544" s="43"/>
      <c r="N544" s="43"/>
      <c r="O544" s="43"/>
      <c r="P544" s="43"/>
      <c r="Q544" s="43"/>
      <c r="R544" s="43"/>
      <c r="S544" s="43"/>
      <c r="T544" s="43"/>
      <c r="U544" s="43"/>
      <c r="V544" s="43"/>
      <c r="W544" s="43"/>
      <c r="X544" s="43"/>
      <c r="Y544" s="43"/>
      <c r="Z544" s="43"/>
      <c r="AA544" s="43"/>
    </row>
    <row r="545">
      <c r="A545" s="43"/>
      <c r="B545" s="160"/>
      <c r="C545" s="160"/>
      <c r="D545" s="160"/>
      <c r="E545" s="43"/>
      <c r="F545" s="43"/>
      <c r="G545" s="43"/>
      <c r="H545" s="43"/>
      <c r="I545" s="43"/>
      <c r="J545" s="43"/>
      <c r="K545" s="43"/>
      <c r="L545" s="43"/>
      <c r="M545" s="43"/>
      <c r="N545" s="43"/>
      <c r="O545" s="43"/>
      <c r="P545" s="43"/>
      <c r="Q545" s="43"/>
      <c r="R545" s="43"/>
      <c r="S545" s="43"/>
      <c r="T545" s="43"/>
      <c r="U545" s="43"/>
      <c r="V545" s="43"/>
      <c r="W545" s="43"/>
      <c r="X545" s="43"/>
      <c r="Y545" s="43"/>
      <c r="Z545" s="43"/>
      <c r="AA545" s="43"/>
    </row>
    <row r="546">
      <c r="A546" s="43"/>
      <c r="B546" s="160"/>
      <c r="C546" s="160"/>
      <c r="D546" s="160"/>
      <c r="E546" s="43"/>
      <c r="F546" s="43"/>
      <c r="G546" s="43"/>
      <c r="H546" s="43"/>
      <c r="I546" s="43"/>
      <c r="J546" s="43"/>
      <c r="K546" s="43"/>
      <c r="L546" s="43"/>
      <c r="M546" s="43"/>
      <c r="N546" s="43"/>
      <c r="O546" s="43"/>
      <c r="P546" s="43"/>
      <c r="Q546" s="43"/>
      <c r="R546" s="43"/>
      <c r="S546" s="43"/>
      <c r="T546" s="43"/>
      <c r="U546" s="43"/>
      <c r="V546" s="43"/>
      <c r="W546" s="43"/>
      <c r="X546" s="43"/>
      <c r="Y546" s="43"/>
      <c r="Z546" s="43"/>
      <c r="AA546" s="43"/>
    </row>
    <row r="547">
      <c r="A547" s="43"/>
      <c r="B547" s="160"/>
      <c r="C547" s="160"/>
      <c r="D547" s="160"/>
      <c r="E547" s="43"/>
      <c r="F547" s="43"/>
      <c r="G547" s="43"/>
      <c r="H547" s="43"/>
      <c r="I547" s="43"/>
      <c r="J547" s="43"/>
      <c r="K547" s="43"/>
      <c r="L547" s="43"/>
      <c r="M547" s="43"/>
      <c r="N547" s="43"/>
      <c r="O547" s="43"/>
      <c r="P547" s="43"/>
      <c r="Q547" s="43"/>
      <c r="R547" s="43"/>
      <c r="S547" s="43"/>
      <c r="T547" s="43"/>
      <c r="U547" s="43"/>
      <c r="V547" s="43"/>
      <c r="W547" s="43"/>
      <c r="X547" s="43"/>
      <c r="Y547" s="43"/>
      <c r="Z547" s="43"/>
      <c r="AA547" s="43"/>
    </row>
    <row r="548">
      <c r="A548" s="43"/>
      <c r="B548" s="160"/>
      <c r="C548" s="160"/>
      <c r="D548" s="160"/>
      <c r="E548" s="43"/>
      <c r="F548" s="43"/>
      <c r="G548" s="43"/>
      <c r="H548" s="43"/>
      <c r="I548" s="43"/>
      <c r="J548" s="43"/>
      <c r="K548" s="43"/>
      <c r="L548" s="43"/>
      <c r="M548" s="43"/>
      <c r="N548" s="43"/>
      <c r="O548" s="43"/>
      <c r="P548" s="43"/>
      <c r="Q548" s="43"/>
      <c r="R548" s="43"/>
      <c r="S548" s="43"/>
      <c r="T548" s="43"/>
      <c r="U548" s="43"/>
      <c r="V548" s="43"/>
      <c r="W548" s="43"/>
      <c r="X548" s="43"/>
      <c r="Y548" s="43"/>
      <c r="Z548" s="43"/>
      <c r="AA548" s="43"/>
    </row>
    <row r="549">
      <c r="A549" s="43"/>
      <c r="B549" s="160"/>
      <c r="C549" s="160"/>
      <c r="D549" s="160"/>
      <c r="E549" s="43"/>
      <c r="F549" s="43"/>
      <c r="G549" s="43"/>
      <c r="H549" s="43"/>
      <c r="I549" s="43"/>
      <c r="J549" s="43"/>
      <c r="K549" s="43"/>
      <c r="L549" s="43"/>
      <c r="M549" s="43"/>
      <c r="N549" s="43"/>
      <c r="O549" s="43"/>
      <c r="P549" s="43"/>
      <c r="Q549" s="43"/>
      <c r="R549" s="43"/>
      <c r="S549" s="43"/>
      <c r="T549" s="43"/>
      <c r="U549" s="43"/>
      <c r="V549" s="43"/>
      <c r="W549" s="43"/>
      <c r="X549" s="43"/>
      <c r="Y549" s="43"/>
      <c r="Z549" s="43"/>
      <c r="AA549" s="43"/>
    </row>
    <row r="550">
      <c r="A550" s="43"/>
      <c r="B550" s="160"/>
      <c r="C550" s="160"/>
      <c r="D550" s="160"/>
      <c r="E550" s="43"/>
      <c r="F550" s="43"/>
      <c r="G550" s="43"/>
      <c r="H550" s="43"/>
      <c r="I550" s="43"/>
      <c r="J550" s="43"/>
      <c r="K550" s="43"/>
      <c r="L550" s="43"/>
      <c r="M550" s="43"/>
      <c r="N550" s="43"/>
      <c r="O550" s="43"/>
      <c r="P550" s="43"/>
      <c r="Q550" s="43"/>
      <c r="R550" s="43"/>
      <c r="S550" s="43"/>
      <c r="T550" s="43"/>
      <c r="U550" s="43"/>
      <c r="V550" s="43"/>
      <c r="W550" s="43"/>
      <c r="X550" s="43"/>
      <c r="Y550" s="43"/>
      <c r="Z550" s="43"/>
      <c r="AA550" s="43"/>
    </row>
    <row r="551">
      <c r="A551" s="43"/>
      <c r="B551" s="160"/>
      <c r="C551" s="160"/>
      <c r="D551" s="160"/>
      <c r="E551" s="43"/>
      <c r="F551" s="43"/>
      <c r="G551" s="43"/>
      <c r="H551" s="43"/>
      <c r="I551" s="43"/>
      <c r="J551" s="43"/>
      <c r="K551" s="43"/>
      <c r="L551" s="43"/>
      <c r="M551" s="43"/>
      <c r="N551" s="43"/>
      <c r="O551" s="43"/>
      <c r="P551" s="43"/>
      <c r="Q551" s="43"/>
      <c r="R551" s="43"/>
      <c r="S551" s="43"/>
      <c r="T551" s="43"/>
      <c r="U551" s="43"/>
      <c r="V551" s="43"/>
      <c r="W551" s="43"/>
      <c r="X551" s="43"/>
      <c r="Y551" s="43"/>
      <c r="Z551" s="43"/>
      <c r="AA551" s="43"/>
    </row>
    <row r="552">
      <c r="A552" s="43"/>
      <c r="B552" s="160"/>
      <c r="C552" s="160"/>
      <c r="D552" s="160"/>
      <c r="E552" s="43"/>
      <c r="F552" s="43"/>
      <c r="G552" s="43"/>
      <c r="H552" s="43"/>
      <c r="I552" s="43"/>
      <c r="J552" s="43"/>
      <c r="K552" s="43"/>
      <c r="L552" s="43"/>
      <c r="M552" s="43"/>
      <c r="N552" s="43"/>
      <c r="O552" s="43"/>
      <c r="P552" s="43"/>
      <c r="Q552" s="43"/>
      <c r="R552" s="43"/>
      <c r="S552" s="43"/>
      <c r="T552" s="43"/>
      <c r="U552" s="43"/>
      <c r="V552" s="43"/>
      <c r="W552" s="43"/>
      <c r="X552" s="43"/>
      <c r="Y552" s="43"/>
      <c r="Z552" s="43"/>
      <c r="AA552" s="43"/>
    </row>
    <row r="553">
      <c r="A553" s="43"/>
      <c r="B553" s="160"/>
      <c r="C553" s="160"/>
      <c r="D553" s="160"/>
      <c r="E553" s="43"/>
      <c r="F553" s="43"/>
      <c r="G553" s="43"/>
      <c r="H553" s="43"/>
      <c r="I553" s="43"/>
      <c r="J553" s="43"/>
      <c r="K553" s="43"/>
      <c r="L553" s="43"/>
      <c r="M553" s="43"/>
      <c r="N553" s="43"/>
      <c r="O553" s="43"/>
      <c r="P553" s="43"/>
      <c r="Q553" s="43"/>
      <c r="R553" s="43"/>
      <c r="S553" s="43"/>
      <c r="T553" s="43"/>
      <c r="U553" s="43"/>
      <c r="V553" s="43"/>
      <c r="W553" s="43"/>
      <c r="X553" s="43"/>
      <c r="Y553" s="43"/>
      <c r="Z553" s="43"/>
      <c r="AA553" s="43"/>
    </row>
    <row r="554">
      <c r="A554" s="43"/>
      <c r="B554" s="160"/>
      <c r="C554" s="160"/>
      <c r="D554" s="160"/>
      <c r="E554" s="43"/>
      <c r="F554" s="43"/>
      <c r="G554" s="43"/>
      <c r="H554" s="43"/>
      <c r="I554" s="43"/>
      <c r="J554" s="43"/>
      <c r="K554" s="43"/>
      <c r="L554" s="43"/>
      <c r="M554" s="43"/>
      <c r="N554" s="43"/>
      <c r="O554" s="43"/>
      <c r="P554" s="43"/>
      <c r="Q554" s="43"/>
      <c r="R554" s="43"/>
      <c r="S554" s="43"/>
      <c r="T554" s="43"/>
      <c r="U554" s="43"/>
      <c r="V554" s="43"/>
      <c r="W554" s="43"/>
      <c r="X554" s="43"/>
      <c r="Y554" s="43"/>
      <c r="Z554" s="43"/>
      <c r="AA554" s="43"/>
    </row>
    <row r="555">
      <c r="A555" s="43"/>
      <c r="B555" s="160"/>
      <c r="C555" s="160"/>
      <c r="D555" s="160"/>
      <c r="E555" s="43"/>
      <c r="F555" s="43"/>
      <c r="G555" s="43"/>
      <c r="H555" s="43"/>
      <c r="I555" s="43"/>
      <c r="J555" s="43"/>
      <c r="K555" s="43"/>
      <c r="L555" s="43"/>
      <c r="M555" s="43"/>
      <c r="N555" s="43"/>
      <c r="O555" s="43"/>
      <c r="P555" s="43"/>
      <c r="Q555" s="43"/>
      <c r="R555" s="43"/>
      <c r="S555" s="43"/>
      <c r="T555" s="43"/>
      <c r="U555" s="43"/>
      <c r="V555" s="43"/>
      <c r="W555" s="43"/>
      <c r="X555" s="43"/>
      <c r="Y555" s="43"/>
      <c r="Z555" s="43"/>
      <c r="AA555" s="43"/>
    </row>
    <row r="556">
      <c r="A556" s="43"/>
      <c r="B556" s="160"/>
      <c r="C556" s="160"/>
      <c r="D556" s="160"/>
      <c r="E556" s="43"/>
      <c r="F556" s="43"/>
      <c r="G556" s="43"/>
      <c r="H556" s="43"/>
      <c r="I556" s="43"/>
      <c r="J556" s="43"/>
      <c r="K556" s="43"/>
      <c r="L556" s="43"/>
      <c r="M556" s="43"/>
      <c r="N556" s="43"/>
      <c r="O556" s="43"/>
      <c r="P556" s="43"/>
      <c r="Q556" s="43"/>
      <c r="R556" s="43"/>
      <c r="S556" s="43"/>
      <c r="T556" s="43"/>
      <c r="U556" s="43"/>
      <c r="V556" s="43"/>
      <c r="W556" s="43"/>
      <c r="X556" s="43"/>
      <c r="Y556" s="43"/>
      <c r="Z556" s="43"/>
      <c r="AA556" s="43"/>
    </row>
    <row r="557">
      <c r="A557" s="43"/>
      <c r="B557" s="160"/>
      <c r="C557" s="160"/>
      <c r="D557" s="160"/>
      <c r="E557" s="43"/>
      <c r="F557" s="43"/>
      <c r="G557" s="43"/>
      <c r="H557" s="43"/>
      <c r="I557" s="43"/>
      <c r="J557" s="43"/>
      <c r="K557" s="43"/>
      <c r="L557" s="43"/>
      <c r="M557" s="43"/>
      <c r="N557" s="43"/>
      <c r="O557" s="43"/>
      <c r="P557" s="43"/>
      <c r="Q557" s="43"/>
      <c r="R557" s="43"/>
      <c r="S557" s="43"/>
      <c r="T557" s="43"/>
      <c r="U557" s="43"/>
      <c r="V557" s="43"/>
      <c r="W557" s="43"/>
      <c r="X557" s="43"/>
      <c r="Y557" s="43"/>
      <c r="Z557" s="43"/>
      <c r="AA557" s="43"/>
    </row>
    <row r="558">
      <c r="A558" s="43"/>
      <c r="B558" s="160"/>
      <c r="C558" s="160"/>
      <c r="D558" s="160"/>
      <c r="E558" s="43"/>
      <c r="F558" s="43"/>
      <c r="G558" s="43"/>
      <c r="H558" s="43"/>
      <c r="I558" s="43"/>
      <c r="J558" s="43"/>
      <c r="K558" s="43"/>
      <c r="L558" s="43"/>
      <c r="M558" s="43"/>
      <c r="N558" s="43"/>
      <c r="O558" s="43"/>
      <c r="P558" s="43"/>
      <c r="Q558" s="43"/>
      <c r="R558" s="43"/>
      <c r="S558" s="43"/>
      <c r="T558" s="43"/>
      <c r="U558" s="43"/>
      <c r="V558" s="43"/>
      <c r="W558" s="43"/>
      <c r="X558" s="43"/>
      <c r="Y558" s="43"/>
      <c r="Z558" s="43"/>
      <c r="AA558" s="43"/>
    </row>
    <row r="559">
      <c r="A559" s="43"/>
      <c r="B559" s="160"/>
      <c r="C559" s="160"/>
      <c r="D559" s="160"/>
      <c r="E559" s="43"/>
      <c r="F559" s="43"/>
      <c r="G559" s="43"/>
      <c r="H559" s="43"/>
      <c r="I559" s="43"/>
      <c r="J559" s="43"/>
      <c r="K559" s="43"/>
      <c r="L559" s="43"/>
      <c r="M559" s="43"/>
      <c r="N559" s="43"/>
      <c r="O559" s="43"/>
      <c r="P559" s="43"/>
      <c r="Q559" s="43"/>
      <c r="R559" s="43"/>
      <c r="S559" s="43"/>
      <c r="T559" s="43"/>
      <c r="U559" s="43"/>
      <c r="V559" s="43"/>
      <c r="W559" s="43"/>
      <c r="X559" s="43"/>
      <c r="Y559" s="43"/>
      <c r="Z559" s="43"/>
      <c r="AA559" s="43"/>
    </row>
    <row r="560">
      <c r="A560" s="43"/>
      <c r="B560" s="160"/>
      <c r="C560" s="160"/>
      <c r="D560" s="160"/>
      <c r="E560" s="43"/>
      <c r="F560" s="43"/>
      <c r="G560" s="43"/>
      <c r="H560" s="43"/>
      <c r="I560" s="43"/>
      <c r="J560" s="43"/>
      <c r="K560" s="43"/>
      <c r="L560" s="43"/>
      <c r="M560" s="43"/>
      <c r="N560" s="43"/>
      <c r="O560" s="43"/>
      <c r="P560" s="43"/>
      <c r="Q560" s="43"/>
      <c r="R560" s="43"/>
      <c r="S560" s="43"/>
      <c r="T560" s="43"/>
      <c r="U560" s="43"/>
      <c r="V560" s="43"/>
      <c r="W560" s="43"/>
      <c r="X560" s="43"/>
      <c r="Y560" s="43"/>
      <c r="Z560" s="43"/>
      <c r="AA560" s="43"/>
    </row>
    <row r="561">
      <c r="A561" s="43"/>
      <c r="B561" s="160"/>
      <c r="C561" s="160"/>
      <c r="D561" s="160"/>
      <c r="E561" s="43"/>
      <c r="F561" s="43"/>
      <c r="G561" s="43"/>
      <c r="H561" s="43"/>
      <c r="I561" s="43"/>
      <c r="J561" s="43"/>
      <c r="K561" s="43"/>
      <c r="L561" s="43"/>
      <c r="M561" s="43"/>
      <c r="N561" s="43"/>
      <c r="O561" s="43"/>
      <c r="P561" s="43"/>
      <c r="Q561" s="43"/>
      <c r="R561" s="43"/>
      <c r="S561" s="43"/>
      <c r="T561" s="43"/>
      <c r="U561" s="43"/>
      <c r="V561" s="43"/>
      <c r="W561" s="43"/>
      <c r="X561" s="43"/>
      <c r="Y561" s="43"/>
      <c r="Z561" s="43"/>
      <c r="AA561" s="43"/>
    </row>
    <row r="562">
      <c r="A562" s="43"/>
      <c r="B562" s="160"/>
      <c r="C562" s="160"/>
      <c r="D562" s="160"/>
      <c r="E562" s="43"/>
      <c r="F562" s="43"/>
      <c r="G562" s="43"/>
      <c r="H562" s="43"/>
      <c r="I562" s="43"/>
      <c r="J562" s="43"/>
      <c r="K562" s="43"/>
      <c r="L562" s="43"/>
      <c r="M562" s="43"/>
      <c r="N562" s="43"/>
      <c r="O562" s="43"/>
      <c r="P562" s="43"/>
      <c r="Q562" s="43"/>
      <c r="R562" s="43"/>
      <c r="S562" s="43"/>
      <c r="T562" s="43"/>
      <c r="U562" s="43"/>
      <c r="V562" s="43"/>
      <c r="W562" s="43"/>
      <c r="X562" s="43"/>
      <c r="Y562" s="43"/>
      <c r="Z562" s="43"/>
      <c r="AA562" s="43"/>
    </row>
    <row r="563">
      <c r="A563" s="43"/>
      <c r="B563" s="160"/>
      <c r="C563" s="160"/>
      <c r="D563" s="160"/>
      <c r="E563" s="43"/>
      <c r="F563" s="43"/>
      <c r="G563" s="43"/>
      <c r="H563" s="43"/>
      <c r="I563" s="43"/>
      <c r="J563" s="43"/>
      <c r="K563" s="43"/>
      <c r="L563" s="43"/>
      <c r="M563" s="43"/>
      <c r="N563" s="43"/>
      <c r="O563" s="43"/>
      <c r="P563" s="43"/>
      <c r="Q563" s="43"/>
      <c r="R563" s="43"/>
      <c r="S563" s="43"/>
      <c r="T563" s="43"/>
      <c r="U563" s="43"/>
      <c r="V563" s="43"/>
      <c r="W563" s="43"/>
      <c r="X563" s="43"/>
      <c r="Y563" s="43"/>
      <c r="Z563" s="43"/>
      <c r="AA563" s="43"/>
    </row>
    <row r="564">
      <c r="A564" s="43"/>
      <c r="B564" s="160"/>
      <c r="C564" s="160"/>
      <c r="D564" s="160"/>
      <c r="E564" s="43"/>
      <c r="F564" s="43"/>
      <c r="G564" s="43"/>
      <c r="H564" s="43"/>
      <c r="I564" s="43"/>
      <c r="J564" s="43"/>
      <c r="K564" s="43"/>
      <c r="L564" s="43"/>
      <c r="M564" s="43"/>
      <c r="N564" s="43"/>
      <c r="O564" s="43"/>
      <c r="P564" s="43"/>
      <c r="Q564" s="43"/>
      <c r="R564" s="43"/>
      <c r="S564" s="43"/>
      <c r="T564" s="43"/>
      <c r="U564" s="43"/>
      <c r="V564" s="43"/>
      <c r="W564" s="43"/>
      <c r="X564" s="43"/>
      <c r="Y564" s="43"/>
      <c r="Z564" s="43"/>
      <c r="AA564" s="43"/>
    </row>
    <row r="565">
      <c r="A565" s="43"/>
      <c r="B565" s="160"/>
      <c r="C565" s="160"/>
      <c r="D565" s="160"/>
      <c r="E565" s="43"/>
      <c r="F565" s="43"/>
      <c r="G565" s="43"/>
      <c r="H565" s="43"/>
      <c r="I565" s="43"/>
      <c r="J565" s="43"/>
      <c r="K565" s="43"/>
      <c r="L565" s="43"/>
      <c r="M565" s="43"/>
      <c r="N565" s="43"/>
      <c r="O565" s="43"/>
      <c r="P565" s="43"/>
      <c r="Q565" s="43"/>
      <c r="R565" s="43"/>
      <c r="S565" s="43"/>
      <c r="T565" s="43"/>
      <c r="U565" s="43"/>
      <c r="V565" s="43"/>
      <c r="W565" s="43"/>
      <c r="X565" s="43"/>
      <c r="Y565" s="43"/>
      <c r="Z565" s="43"/>
      <c r="AA565" s="43"/>
    </row>
    <row r="566">
      <c r="A566" s="43"/>
      <c r="B566" s="160"/>
      <c r="C566" s="160"/>
      <c r="D566" s="160"/>
      <c r="E566" s="43"/>
      <c r="F566" s="43"/>
      <c r="G566" s="43"/>
      <c r="H566" s="43"/>
      <c r="I566" s="43"/>
      <c r="J566" s="43"/>
      <c r="K566" s="43"/>
      <c r="L566" s="43"/>
      <c r="M566" s="43"/>
      <c r="N566" s="43"/>
      <c r="O566" s="43"/>
      <c r="P566" s="43"/>
      <c r="Q566" s="43"/>
      <c r="R566" s="43"/>
      <c r="S566" s="43"/>
      <c r="T566" s="43"/>
      <c r="U566" s="43"/>
      <c r="V566" s="43"/>
      <c r="W566" s="43"/>
      <c r="X566" s="43"/>
      <c r="Y566" s="43"/>
      <c r="Z566" s="43"/>
      <c r="AA566" s="43"/>
    </row>
    <row r="567">
      <c r="A567" s="43"/>
      <c r="B567" s="160"/>
      <c r="C567" s="160"/>
      <c r="D567" s="160"/>
      <c r="E567" s="43"/>
      <c r="F567" s="43"/>
      <c r="G567" s="43"/>
      <c r="H567" s="43"/>
      <c r="I567" s="43"/>
      <c r="J567" s="43"/>
      <c r="K567" s="43"/>
      <c r="L567" s="43"/>
      <c r="M567" s="43"/>
      <c r="N567" s="43"/>
      <c r="O567" s="43"/>
      <c r="P567" s="43"/>
      <c r="Q567" s="43"/>
      <c r="R567" s="43"/>
      <c r="S567" s="43"/>
      <c r="T567" s="43"/>
      <c r="U567" s="43"/>
      <c r="V567" s="43"/>
      <c r="W567" s="43"/>
      <c r="X567" s="43"/>
      <c r="Y567" s="43"/>
      <c r="Z567" s="43"/>
      <c r="AA567" s="43"/>
    </row>
    <row r="568">
      <c r="A568" s="43"/>
      <c r="B568" s="160"/>
      <c r="C568" s="160"/>
      <c r="D568" s="160"/>
      <c r="E568" s="43"/>
      <c r="F568" s="43"/>
      <c r="G568" s="43"/>
      <c r="H568" s="43"/>
      <c r="I568" s="43"/>
      <c r="J568" s="43"/>
      <c r="K568" s="43"/>
      <c r="L568" s="43"/>
      <c r="M568" s="43"/>
      <c r="N568" s="43"/>
      <c r="O568" s="43"/>
      <c r="P568" s="43"/>
      <c r="Q568" s="43"/>
      <c r="R568" s="43"/>
      <c r="S568" s="43"/>
      <c r="T568" s="43"/>
      <c r="U568" s="43"/>
      <c r="V568" s="43"/>
      <c r="W568" s="43"/>
      <c r="X568" s="43"/>
      <c r="Y568" s="43"/>
      <c r="Z568" s="43"/>
      <c r="AA568" s="43"/>
    </row>
    <row r="569">
      <c r="A569" s="43"/>
      <c r="B569" s="160"/>
      <c r="C569" s="160"/>
      <c r="D569" s="160"/>
      <c r="E569" s="43"/>
      <c r="F569" s="43"/>
      <c r="G569" s="43"/>
      <c r="H569" s="43"/>
      <c r="I569" s="43"/>
      <c r="J569" s="43"/>
      <c r="K569" s="43"/>
      <c r="L569" s="43"/>
      <c r="M569" s="43"/>
      <c r="N569" s="43"/>
      <c r="O569" s="43"/>
      <c r="P569" s="43"/>
      <c r="Q569" s="43"/>
      <c r="R569" s="43"/>
      <c r="S569" s="43"/>
      <c r="T569" s="43"/>
      <c r="U569" s="43"/>
      <c r="V569" s="43"/>
      <c r="W569" s="43"/>
      <c r="X569" s="43"/>
      <c r="Y569" s="43"/>
      <c r="Z569" s="43"/>
      <c r="AA569" s="43"/>
    </row>
    <row r="570">
      <c r="A570" s="43"/>
      <c r="B570" s="160"/>
      <c r="C570" s="160"/>
      <c r="D570" s="160"/>
      <c r="E570" s="43"/>
      <c r="F570" s="43"/>
      <c r="G570" s="43"/>
      <c r="H570" s="43"/>
      <c r="I570" s="43"/>
      <c r="J570" s="43"/>
      <c r="K570" s="43"/>
      <c r="L570" s="43"/>
      <c r="M570" s="43"/>
      <c r="N570" s="43"/>
      <c r="O570" s="43"/>
      <c r="P570" s="43"/>
      <c r="Q570" s="43"/>
      <c r="R570" s="43"/>
      <c r="S570" s="43"/>
      <c r="T570" s="43"/>
      <c r="U570" s="43"/>
      <c r="V570" s="43"/>
      <c r="W570" s="43"/>
      <c r="X570" s="43"/>
      <c r="Y570" s="43"/>
      <c r="Z570" s="43"/>
      <c r="AA570" s="43"/>
    </row>
    <row r="571">
      <c r="A571" s="43"/>
      <c r="B571" s="160"/>
      <c r="C571" s="160"/>
      <c r="D571" s="160"/>
      <c r="E571" s="43"/>
      <c r="F571" s="43"/>
      <c r="G571" s="43"/>
      <c r="H571" s="43"/>
      <c r="I571" s="43"/>
      <c r="J571" s="43"/>
      <c r="K571" s="43"/>
      <c r="L571" s="43"/>
      <c r="M571" s="43"/>
      <c r="N571" s="43"/>
      <c r="O571" s="43"/>
      <c r="P571" s="43"/>
      <c r="Q571" s="43"/>
      <c r="R571" s="43"/>
      <c r="S571" s="43"/>
      <c r="T571" s="43"/>
      <c r="U571" s="43"/>
      <c r="V571" s="43"/>
      <c r="W571" s="43"/>
      <c r="X571" s="43"/>
      <c r="Y571" s="43"/>
      <c r="Z571" s="43"/>
      <c r="AA571" s="43"/>
    </row>
    <row r="572">
      <c r="A572" s="43"/>
      <c r="B572" s="160"/>
      <c r="C572" s="160"/>
      <c r="D572" s="160"/>
      <c r="E572" s="43"/>
      <c r="F572" s="43"/>
      <c r="G572" s="43"/>
      <c r="H572" s="43"/>
      <c r="I572" s="43"/>
      <c r="J572" s="43"/>
      <c r="K572" s="43"/>
      <c r="L572" s="43"/>
      <c r="M572" s="43"/>
      <c r="N572" s="43"/>
      <c r="O572" s="43"/>
      <c r="P572" s="43"/>
      <c r="Q572" s="43"/>
      <c r="R572" s="43"/>
      <c r="S572" s="43"/>
      <c r="T572" s="43"/>
      <c r="U572" s="43"/>
      <c r="V572" s="43"/>
      <c r="W572" s="43"/>
      <c r="X572" s="43"/>
      <c r="Y572" s="43"/>
      <c r="Z572" s="43"/>
      <c r="AA572" s="43"/>
    </row>
    <row r="573">
      <c r="A573" s="43"/>
      <c r="B573" s="160"/>
      <c r="C573" s="160"/>
      <c r="D573" s="160"/>
      <c r="E573" s="43"/>
      <c r="F573" s="43"/>
      <c r="G573" s="43"/>
      <c r="H573" s="43"/>
      <c r="I573" s="43"/>
      <c r="J573" s="43"/>
      <c r="K573" s="43"/>
      <c r="L573" s="43"/>
      <c r="M573" s="43"/>
      <c r="N573" s="43"/>
      <c r="O573" s="43"/>
      <c r="P573" s="43"/>
      <c r="Q573" s="43"/>
      <c r="R573" s="43"/>
      <c r="S573" s="43"/>
      <c r="T573" s="43"/>
      <c r="U573" s="43"/>
      <c r="V573" s="43"/>
      <c r="W573" s="43"/>
      <c r="X573" s="43"/>
      <c r="Y573" s="43"/>
      <c r="Z573" s="43"/>
      <c r="AA573" s="43"/>
    </row>
    <row r="574">
      <c r="A574" s="43"/>
      <c r="B574" s="160"/>
      <c r="C574" s="160"/>
      <c r="D574" s="160"/>
      <c r="E574" s="43"/>
      <c r="F574" s="43"/>
      <c r="G574" s="43"/>
      <c r="H574" s="43"/>
      <c r="I574" s="43"/>
      <c r="J574" s="43"/>
      <c r="K574" s="43"/>
      <c r="L574" s="43"/>
      <c r="M574" s="43"/>
      <c r="N574" s="43"/>
      <c r="O574" s="43"/>
      <c r="P574" s="43"/>
      <c r="Q574" s="43"/>
      <c r="R574" s="43"/>
      <c r="S574" s="43"/>
      <c r="T574" s="43"/>
      <c r="U574" s="43"/>
      <c r="V574" s="43"/>
      <c r="W574" s="43"/>
      <c r="X574" s="43"/>
      <c r="Y574" s="43"/>
      <c r="Z574" s="43"/>
      <c r="AA574" s="43"/>
    </row>
    <row r="575">
      <c r="A575" s="43"/>
      <c r="B575" s="160"/>
      <c r="C575" s="160"/>
      <c r="D575" s="160"/>
      <c r="E575" s="43"/>
      <c r="F575" s="43"/>
      <c r="G575" s="43"/>
      <c r="H575" s="43"/>
      <c r="I575" s="43"/>
      <c r="J575" s="43"/>
      <c r="K575" s="43"/>
      <c r="L575" s="43"/>
      <c r="M575" s="43"/>
      <c r="N575" s="43"/>
      <c r="O575" s="43"/>
      <c r="P575" s="43"/>
      <c r="Q575" s="43"/>
      <c r="R575" s="43"/>
      <c r="S575" s="43"/>
      <c r="T575" s="43"/>
      <c r="U575" s="43"/>
      <c r="V575" s="43"/>
      <c r="W575" s="43"/>
      <c r="X575" s="43"/>
      <c r="Y575" s="43"/>
      <c r="Z575" s="43"/>
      <c r="AA575" s="43"/>
    </row>
    <row r="576">
      <c r="A576" s="43"/>
      <c r="B576" s="160"/>
      <c r="C576" s="160"/>
      <c r="D576" s="160"/>
      <c r="E576" s="43"/>
      <c r="F576" s="43"/>
      <c r="G576" s="43"/>
      <c r="H576" s="43"/>
      <c r="I576" s="43"/>
      <c r="J576" s="43"/>
      <c r="K576" s="43"/>
      <c r="L576" s="43"/>
      <c r="M576" s="43"/>
      <c r="N576" s="43"/>
      <c r="O576" s="43"/>
      <c r="P576" s="43"/>
      <c r="Q576" s="43"/>
      <c r="R576" s="43"/>
      <c r="S576" s="43"/>
      <c r="T576" s="43"/>
      <c r="U576" s="43"/>
      <c r="V576" s="43"/>
      <c r="W576" s="43"/>
      <c r="X576" s="43"/>
      <c r="Y576" s="43"/>
      <c r="Z576" s="43"/>
      <c r="AA576" s="43"/>
    </row>
    <row r="577">
      <c r="A577" s="43"/>
      <c r="B577" s="160"/>
      <c r="C577" s="160"/>
      <c r="D577" s="160"/>
      <c r="E577" s="43"/>
      <c r="F577" s="43"/>
      <c r="G577" s="43"/>
      <c r="H577" s="43"/>
      <c r="I577" s="43"/>
      <c r="J577" s="43"/>
      <c r="K577" s="43"/>
      <c r="L577" s="43"/>
      <c r="M577" s="43"/>
      <c r="N577" s="43"/>
      <c r="O577" s="43"/>
      <c r="P577" s="43"/>
      <c r="Q577" s="43"/>
      <c r="R577" s="43"/>
      <c r="S577" s="43"/>
      <c r="T577" s="43"/>
      <c r="U577" s="43"/>
      <c r="V577" s="43"/>
      <c r="W577" s="43"/>
      <c r="X577" s="43"/>
      <c r="Y577" s="43"/>
      <c r="Z577" s="43"/>
      <c r="AA577" s="43"/>
    </row>
    <row r="578">
      <c r="A578" s="43"/>
      <c r="B578" s="160"/>
      <c r="C578" s="160"/>
      <c r="D578" s="160"/>
      <c r="E578" s="43"/>
      <c r="F578" s="43"/>
      <c r="G578" s="43"/>
      <c r="H578" s="43"/>
      <c r="I578" s="43"/>
      <c r="J578" s="43"/>
      <c r="K578" s="43"/>
      <c r="L578" s="43"/>
      <c r="M578" s="43"/>
      <c r="N578" s="43"/>
      <c r="O578" s="43"/>
      <c r="P578" s="43"/>
      <c r="Q578" s="43"/>
      <c r="R578" s="43"/>
      <c r="S578" s="43"/>
      <c r="T578" s="43"/>
      <c r="U578" s="43"/>
      <c r="V578" s="43"/>
      <c r="W578" s="43"/>
      <c r="X578" s="43"/>
      <c r="Y578" s="43"/>
      <c r="Z578" s="43"/>
      <c r="AA578" s="43"/>
    </row>
    <row r="579">
      <c r="A579" s="43"/>
      <c r="B579" s="160"/>
      <c r="C579" s="160"/>
      <c r="D579" s="160"/>
      <c r="E579" s="43"/>
      <c r="F579" s="43"/>
      <c r="G579" s="43"/>
      <c r="H579" s="43"/>
      <c r="I579" s="43"/>
      <c r="J579" s="43"/>
      <c r="K579" s="43"/>
      <c r="L579" s="43"/>
      <c r="M579" s="43"/>
      <c r="N579" s="43"/>
      <c r="O579" s="43"/>
      <c r="P579" s="43"/>
      <c r="Q579" s="43"/>
      <c r="R579" s="43"/>
      <c r="S579" s="43"/>
      <c r="T579" s="43"/>
      <c r="U579" s="43"/>
      <c r="V579" s="43"/>
      <c r="W579" s="43"/>
      <c r="X579" s="43"/>
      <c r="Y579" s="43"/>
      <c r="Z579" s="43"/>
      <c r="AA579" s="43"/>
    </row>
    <row r="580">
      <c r="A580" s="43"/>
      <c r="B580" s="160"/>
      <c r="C580" s="160"/>
      <c r="D580" s="160"/>
      <c r="E580" s="43"/>
      <c r="F580" s="43"/>
      <c r="G580" s="43"/>
      <c r="H580" s="43"/>
      <c r="I580" s="43"/>
      <c r="J580" s="43"/>
      <c r="K580" s="43"/>
      <c r="L580" s="43"/>
      <c r="M580" s="43"/>
      <c r="N580" s="43"/>
      <c r="O580" s="43"/>
      <c r="P580" s="43"/>
      <c r="Q580" s="43"/>
      <c r="R580" s="43"/>
      <c r="S580" s="43"/>
      <c r="T580" s="43"/>
      <c r="U580" s="43"/>
      <c r="V580" s="43"/>
      <c r="W580" s="43"/>
      <c r="X580" s="43"/>
      <c r="Y580" s="43"/>
      <c r="Z580" s="43"/>
      <c r="AA580" s="43"/>
    </row>
    <row r="581">
      <c r="A581" s="43"/>
      <c r="B581" s="160"/>
      <c r="C581" s="160"/>
      <c r="D581" s="160"/>
      <c r="E581" s="43"/>
      <c r="F581" s="43"/>
      <c r="G581" s="43"/>
      <c r="H581" s="43"/>
      <c r="I581" s="43"/>
      <c r="J581" s="43"/>
      <c r="K581" s="43"/>
      <c r="L581" s="43"/>
      <c r="M581" s="43"/>
      <c r="N581" s="43"/>
      <c r="O581" s="43"/>
      <c r="P581" s="43"/>
      <c r="Q581" s="43"/>
      <c r="R581" s="43"/>
      <c r="S581" s="43"/>
      <c r="T581" s="43"/>
      <c r="U581" s="43"/>
      <c r="V581" s="43"/>
      <c r="W581" s="43"/>
      <c r="X581" s="43"/>
      <c r="Y581" s="43"/>
      <c r="Z581" s="43"/>
      <c r="AA581" s="43"/>
    </row>
    <row r="582">
      <c r="A582" s="43"/>
      <c r="B582" s="160"/>
      <c r="C582" s="160"/>
      <c r="D582" s="160"/>
      <c r="E582" s="43"/>
      <c r="F582" s="43"/>
      <c r="G582" s="43"/>
      <c r="H582" s="43"/>
      <c r="I582" s="43"/>
      <c r="J582" s="43"/>
      <c r="K582" s="43"/>
      <c r="L582" s="43"/>
      <c r="M582" s="43"/>
      <c r="N582" s="43"/>
      <c r="O582" s="43"/>
      <c r="P582" s="43"/>
      <c r="Q582" s="43"/>
      <c r="R582" s="43"/>
      <c r="S582" s="43"/>
      <c r="T582" s="43"/>
      <c r="U582" s="43"/>
      <c r="V582" s="43"/>
      <c r="W582" s="43"/>
      <c r="X582" s="43"/>
      <c r="Y582" s="43"/>
      <c r="Z582" s="43"/>
      <c r="AA582" s="43"/>
    </row>
    <row r="583">
      <c r="A583" s="43"/>
      <c r="B583" s="160"/>
      <c r="C583" s="160"/>
      <c r="D583" s="160"/>
      <c r="E583" s="43"/>
      <c r="F583" s="43"/>
      <c r="G583" s="43"/>
      <c r="H583" s="43"/>
      <c r="I583" s="43"/>
      <c r="J583" s="43"/>
      <c r="K583" s="43"/>
      <c r="L583" s="43"/>
      <c r="M583" s="43"/>
      <c r="N583" s="43"/>
      <c r="O583" s="43"/>
      <c r="P583" s="43"/>
      <c r="Q583" s="43"/>
      <c r="R583" s="43"/>
      <c r="S583" s="43"/>
      <c r="T583" s="43"/>
      <c r="U583" s="43"/>
      <c r="V583" s="43"/>
      <c r="W583" s="43"/>
      <c r="X583" s="43"/>
      <c r="Y583" s="43"/>
      <c r="Z583" s="43"/>
      <c r="AA583" s="43"/>
    </row>
    <row r="584">
      <c r="A584" s="43"/>
      <c r="B584" s="160"/>
      <c r="C584" s="160"/>
      <c r="D584" s="160"/>
      <c r="E584" s="43"/>
      <c r="F584" s="43"/>
      <c r="G584" s="43"/>
      <c r="H584" s="43"/>
      <c r="I584" s="43"/>
      <c r="J584" s="43"/>
      <c r="K584" s="43"/>
      <c r="L584" s="43"/>
      <c r="M584" s="43"/>
      <c r="N584" s="43"/>
      <c r="O584" s="43"/>
      <c r="P584" s="43"/>
      <c r="Q584" s="43"/>
      <c r="R584" s="43"/>
      <c r="S584" s="43"/>
      <c r="T584" s="43"/>
      <c r="U584" s="43"/>
      <c r="V584" s="43"/>
      <c r="W584" s="43"/>
      <c r="X584" s="43"/>
      <c r="Y584" s="43"/>
      <c r="Z584" s="43"/>
      <c r="AA584" s="43"/>
    </row>
    <row r="585">
      <c r="A585" s="43"/>
      <c r="B585" s="160"/>
      <c r="C585" s="160"/>
      <c r="D585" s="160"/>
      <c r="E585" s="43"/>
      <c r="F585" s="43"/>
      <c r="G585" s="43"/>
      <c r="H585" s="43"/>
      <c r="I585" s="43"/>
      <c r="J585" s="43"/>
      <c r="K585" s="43"/>
      <c r="L585" s="43"/>
      <c r="M585" s="43"/>
      <c r="N585" s="43"/>
      <c r="O585" s="43"/>
      <c r="P585" s="43"/>
      <c r="Q585" s="43"/>
      <c r="R585" s="43"/>
      <c r="S585" s="43"/>
      <c r="T585" s="43"/>
      <c r="U585" s="43"/>
      <c r="V585" s="43"/>
      <c r="W585" s="43"/>
      <c r="X585" s="43"/>
      <c r="Y585" s="43"/>
      <c r="Z585" s="43"/>
      <c r="AA585" s="43"/>
    </row>
    <row r="586">
      <c r="A586" s="43"/>
      <c r="B586" s="160"/>
      <c r="C586" s="160"/>
      <c r="D586" s="160"/>
      <c r="E586" s="43"/>
      <c r="F586" s="43"/>
      <c r="G586" s="43"/>
      <c r="H586" s="43"/>
      <c r="I586" s="43"/>
      <c r="J586" s="43"/>
      <c r="K586" s="43"/>
      <c r="L586" s="43"/>
      <c r="M586" s="43"/>
      <c r="N586" s="43"/>
      <c r="O586" s="43"/>
      <c r="P586" s="43"/>
      <c r="Q586" s="43"/>
      <c r="R586" s="43"/>
      <c r="S586" s="43"/>
      <c r="T586" s="43"/>
      <c r="U586" s="43"/>
      <c r="V586" s="43"/>
      <c r="W586" s="43"/>
      <c r="X586" s="43"/>
      <c r="Y586" s="43"/>
      <c r="Z586" s="43"/>
      <c r="AA586" s="43"/>
    </row>
    <row r="587">
      <c r="A587" s="43"/>
      <c r="B587" s="160"/>
      <c r="C587" s="160"/>
      <c r="D587" s="160"/>
      <c r="E587" s="43"/>
      <c r="F587" s="43"/>
      <c r="G587" s="43"/>
      <c r="H587" s="43"/>
      <c r="I587" s="43"/>
      <c r="J587" s="43"/>
      <c r="K587" s="43"/>
      <c r="L587" s="43"/>
      <c r="M587" s="43"/>
      <c r="N587" s="43"/>
      <c r="O587" s="43"/>
      <c r="P587" s="43"/>
      <c r="Q587" s="43"/>
      <c r="R587" s="43"/>
      <c r="S587" s="43"/>
      <c r="T587" s="43"/>
      <c r="U587" s="43"/>
      <c r="V587" s="43"/>
      <c r="W587" s="43"/>
      <c r="X587" s="43"/>
      <c r="Y587" s="43"/>
      <c r="Z587" s="43"/>
      <c r="AA587" s="43"/>
    </row>
    <row r="588">
      <c r="A588" s="43"/>
      <c r="B588" s="160"/>
      <c r="C588" s="160"/>
      <c r="D588" s="160"/>
      <c r="E588" s="43"/>
      <c r="F588" s="43"/>
      <c r="G588" s="43"/>
      <c r="H588" s="43"/>
      <c r="I588" s="43"/>
      <c r="J588" s="43"/>
      <c r="K588" s="43"/>
      <c r="L588" s="43"/>
      <c r="M588" s="43"/>
      <c r="N588" s="43"/>
      <c r="O588" s="43"/>
      <c r="P588" s="43"/>
      <c r="Q588" s="43"/>
      <c r="R588" s="43"/>
      <c r="S588" s="43"/>
      <c r="T588" s="43"/>
      <c r="U588" s="43"/>
      <c r="V588" s="43"/>
      <c r="W588" s="43"/>
      <c r="X588" s="43"/>
      <c r="Y588" s="43"/>
      <c r="Z588" s="43"/>
      <c r="AA588" s="43"/>
    </row>
    <row r="589">
      <c r="A589" s="43"/>
      <c r="B589" s="160"/>
      <c r="C589" s="160"/>
      <c r="D589" s="160"/>
      <c r="E589" s="43"/>
      <c r="F589" s="43"/>
      <c r="G589" s="43"/>
      <c r="H589" s="43"/>
      <c r="I589" s="43"/>
      <c r="J589" s="43"/>
      <c r="K589" s="43"/>
      <c r="L589" s="43"/>
      <c r="M589" s="43"/>
      <c r="N589" s="43"/>
      <c r="O589" s="43"/>
      <c r="P589" s="43"/>
      <c r="Q589" s="43"/>
      <c r="R589" s="43"/>
      <c r="S589" s="43"/>
      <c r="T589" s="43"/>
      <c r="U589" s="43"/>
      <c r="V589" s="43"/>
      <c r="W589" s="43"/>
      <c r="X589" s="43"/>
      <c r="Y589" s="43"/>
      <c r="Z589" s="43"/>
      <c r="AA589" s="43"/>
    </row>
    <row r="590">
      <c r="A590" s="43"/>
      <c r="B590" s="160"/>
      <c r="C590" s="160"/>
      <c r="D590" s="160"/>
      <c r="E590" s="43"/>
      <c r="F590" s="43"/>
      <c r="G590" s="43"/>
      <c r="H590" s="43"/>
      <c r="I590" s="43"/>
      <c r="J590" s="43"/>
      <c r="K590" s="43"/>
      <c r="L590" s="43"/>
      <c r="M590" s="43"/>
      <c r="N590" s="43"/>
      <c r="O590" s="43"/>
      <c r="P590" s="43"/>
      <c r="Q590" s="43"/>
      <c r="R590" s="43"/>
      <c r="S590" s="43"/>
      <c r="T590" s="43"/>
      <c r="U590" s="43"/>
      <c r="V590" s="43"/>
      <c r="W590" s="43"/>
      <c r="X590" s="43"/>
      <c r="Y590" s="43"/>
      <c r="Z590" s="43"/>
      <c r="AA590" s="43"/>
    </row>
    <row r="591">
      <c r="A591" s="43"/>
      <c r="B591" s="160"/>
      <c r="C591" s="160"/>
      <c r="D591" s="160"/>
      <c r="E591" s="43"/>
      <c r="F591" s="43"/>
      <c r="G591" s="43"/>
      <c r="H591" s="43"/>
      <c r="I591" s="43"/>
      <c r="J591" s="43"/>
      <c r="K591" s="43"/>
      <c r="L591" s="43"/>
      <c r="M591" s="43"/>
      <c r="N591" s="43"/>
      <c r="O591" s="43"/>
      <c r="P591" s="43"/>
      <c r="Q591" s="43"/>
      <c r="R591" s="43"/>
      <c r="S591" s="43"/>
      <c r="T591" s="43"/>
      <c r="U591" s="43"/>
      <c r="V591" s="43"/>
      <c r="W591" s="43"/>
      <c r="X591" s="43"/>
      <c r="Y591" s="43"/>
      <c r="Z591" s="43"/>
      <c r="AA591" s="43"/>
    </row>
    <row r="592">
      <c r="A592" s="43"/>
      <c r="B592" s="160"/>
      <c r="C592" s="160"/>
      <c r="D592" s="160"/>
      <c r="E592" s="43"/>
      <c r="F592" s="43"/>
      <c r="G592" s="43"/>
      <c r="H592" s="43"/>
      <c r="I592" s="43"/>
      <c r="J592" s="43"/>
      <c r="K592" s="43"/>
      <c r="L592" s="43"/>
      <c r="M592" s="43"/>
      <c r="N592" s="43"/>
      <c r="O592" s="43"/>
      <c r="P592" s="43"/>
      <c r="Q592" s="43"/>
      <c r="R592" s="43"/>
      <c r="S592" s="43"/>
      <c r="T592" s="43"/>
      <c r="U592" s="43"/>
      <c r="V592" s="43"/>
      <c r="W592" s="43"/>
      <c r="X592" s="43"/>
      <c r="Y592" s="43"/>
      <c r="Z592" s="43"/>
      <c r="AA592" s="43"/>
    </row>
    <row r="593">
      <c r="A593" s="43"/>
      <c r="B593" s="160"/>
      <c r="C593" s="160"/>
      <c r="D593" s="160"/>
      <c r="E593" s="43"/>
      <c r="F593" s="43"/>
      <c r="G593" s="43"/>
      <c r="H593" s="43"/>
      <c r="I593" s="43"/>
      <c r="J593" s="43"/>
      <c r="K593" s="43"/>
      <c r="L593" s="43"/>
      <c r="M593" s="43"/>
      <c r="N593" s="43"/>
      <c r="O593" s="43"/>
      <c r="P593" s="43"/>
      <c r="Q593" s="43"/>
      <c r="R593" s="43"/>
      <c r="S593" s="43"/>
      <c r="T593" s="43"/>
      <c r="U593" s="43"/>
      <c r="V593" s="43"/>
      <c r="W593" s="43"/>
      <c r="X593" s="43"/>
      <c r="Y593" s="43"/>
      <c r="Z593" s="43"/>
      <c r="AA593" s="43"/>
    </row>
    <row r="594">
      <c r="A594" s="43"/>
      <c r="B594" s="160"/>
      <c r="C594" s="160"/>
      <c r="D594" s="160"/>
      <c r="E594" s="43"/>
      <c r="F594" s="43"/>
      <c r="G594" s="43"/>
      <c r="H594" s="43"/>
      <c r="I594" s="43"/>
      <c r="J594" s="43"/>
      <c r="K594" s="43"/>
      <c r="L594" s="43"/>
      <c r="M594" s="43"/>
      <c r="N594" s="43"/>
      <c r="O594" s="43"/>
      <c r="P594" s="43"/>
      <c r="Q594" s="43"/>
      <c r="R594" s="43"/>
      <c r="S594" s="43"/>
      <c r="T594" s="43"/>
      <c r="U594" s="43"/>
      <c r="V594" s="43"/>
      <c r="W594" s="43"/>
      <c r="X594" s="43"/>
      <c r="Y594" s="43"/>
      <c r="Z594" s="43"/>
      <c r="AA594" s="43"/>
    </row>
    <row r="595">
      <c r="A595" s="43"/>
      <c r="B595" s="160"/>
      <c r="C595" s="160"/>
      <c r="D595" s="160"/>
      <c r="E595" s="43"/>
      <c r="F595" s="43"/>
      <c r="G595" s="43"/>
      <c r="H595" s="43"/>
      <c r="I595" s="43"/>
      <c r="J595" s="43"/>
      <c r="K595" s="43"/>
      <c r="L595" s="43"/>
      <c r="M595" s="43"/>
      <c r="N595" s="43"/>
      <c r="O595" s="43"/>
      <c r="P595" s="43"/>
      <c r="Q595" s="43"/>
      <c r="R595" s="43"/>
      <c r="S595" s="43"/>
      <c r="T595" s="43"/>
      <c r="U595" s="43"/>
      <c r="V595" s="43"/>
      <c r="W595" s="43"/>
      <c r="X595" s="43"/>
      <c r="Y595" s="43"/>
      <c r="Z595" s="43"/>
      <c r="AA595" s="43"/>
    </row>
    <row r="596">
      <c r="A596" s="43"/>
      <c r="B596" s="160"/>
      <c r="C596" s="160"/>
      <c r="D596" s="160"/>
      <c r="E596" s="43"/>
      <c r="F596" s="43"/>
      <c r="G596" s="43"/>
      <c r="H596" s="43"/>
      <c r="I596" s="43"/>
      <c r="J596" s="43"/>
      <c r="K596" s="43"/>
      <c r="L596" s="43"/>
      <c r="M596" s="43"/>
      <c r="N596" s="43"/>
      <c r="O596" s="43"/>
      <c r="P596" s="43"/>
      <c r="Q596" s="43"/>
      <c r="R596" s="43"/>
      <c r="S596" s="43"/>
      <c r="T596" s="43"/>
      <c r="U596" s="43"/>
      <c r="V596" s="43"/>
      <c r="W596" s="43"/>
      <c r="X596" s="43"/>
      <c r="Y596" s="43"/>
      <c r="Z596" s="43"/>
      <c r="AA596" s="43"/>
    </row>
    <row r="597">
      <c r="A597" s="43"/>
      <c r="B597" s="160"/>
      <c r="C597" s="160"/>
      <c r="D597" s="160"/>
      <c r="E597" s="43"/>
      <c r="F597" s="43"/>
      <c r="G597" s="43"/>
      <c r="H597" s="43"/>
      <c r="I597" s="43"/>
      <c r="J597" s="43"/>
      <c r="K597" s="43"/>
      <c r="L597" s="43"/>
      <c r="M597" s="43"/>
      <c r="N597" s="43"/>
      <c r="O597" s="43"/>
      <c r="P597" s="43"/>
      <c r="Q597" s="43"/>
      <c r="R597" s="43"/>
      <c r="S597" s="43"/>
      <c r="T597" s="43"/>
      <c r="U597" s="43"/>
      <c r="V597" s="43"/>
      <c r="W597" s="43"/>
      <c r="X597" s="43"/>
      <c r="Y597" s="43"/>
      <c r="Z597" s="43"/>
      <c r="AA597" s="43"/>
    </row>
    <row r="598">
      <c r="A598" s="43"/>
      <c r="B598" s="160"/>
      <c r="C598" s="160"/>
      <c r="D598" s="160"/>
      <c r="E598" s="43"/>
      <c r="F598" s="43"/>
      <c r="G598" s="43"/>
      <c r="H598" s="43"/>
      <c r="I598" s="43"/>
      <c r="J598" s="43"/>
      <c r="K598" s="43"/>
      <c r="L598" s="43"/>
      <c r="M598" s="43"/>
      <c r="N598" s="43"/>
      <c r="O598" s="43"/>
      <c r="P598" s="43"/>
      <c r="Q598" s="43"/>
      <c r="R598" s="43"/>
      <c r="S598" s="43"/>
      <c r="T598" s="43"/>
      <c r="U598" s="43"/>
      <c r="V598" s="43"/>
      <c r="W598" s="43"/>
      <c r="X598" s="43"/>
      <c r="Y598" s="43"/>
      <c r="Z598" s="43"/>
      <c r="AA598" s="43"/>
    </row>
    <row r="599">
      <c r="A599" s="43"/>
      <c r="B599" s="160"/>
      <c r="C599" s="160"/>
      <c r="D599" s="160"/>
      <c r="E599" s="43"/>
      <c r="F599" s="43"/>
      <c r="G599" s="43"/>
      <c r="H599" s="43"/>
      <c r="I599" s="43"/>
      <c r="J599" s="43"/>
      <c r="K599" s="43"/>
      <c r="L599" s="43"/>
      <c r="M599" s="43"/>
      <c r="N599" s="43"/>
      <c r="O599" s="43"/>
      <c r="P599" s="43"/>
      <c r="Q599" s="43"/>
      <c r="R599" s="43"/>
      <c r="S599" s="43"/>
      <c r="T599" s="43"/>
      <c r="U599" s="43"/>
      <c r="V599" s="43"/>
      <c r="W599" s="43"/>
      <c r="X599" s="43"/>
      <c r="Y599" s="43"/>
      <c r="Z599" s="43"/>
      <c r="AA599" s="43"/>
    </row>
    <row r="600">
      <c r="A600" s="43"/>
      <c r="B600" s="160"/>
      <c r="C600" s="160"/>
      <c r="D600" s="160"/>
      <c r="E600" s="43"/>
      <c r="F600" s="43"/>
      <c r="G600" s="43"/>
      <c r="H600" s="43"/>
      <c r="I600" s="43"/>
      <c r="J600" s="43"/>
      <c r="K600" s="43"/>
      <c r="L600" s="43"/>
      <c r="M600" s="43"/>
      <c r="N600" s="43"/>
      <c r="O600" s="43"/>
      <c r="P600" s="43"/>
      <c r="Q600" s="43"/>
      <c r="R600" s="43"/>
      <c r="S600" s="43"/>
      <c r="T600" s="43"/>
      <c r="U600" s="43"/>
      <c r="V600" s="43"/>
      <c r="W600" s="43"/>
      <c r="X600" s="43"/>
      <c r="Y600" s="43"/>
      <c r="Z600" s="43"/>
      <c r="AA600" s="43"/>
    </row>
    <row r="601">
      <c r="A601" s="43"/>
      <c r="B601" s="160"/>
      <c r="C601" s="160"/>
      <c r="D601" s="160"/>
      <c r="E601" s="43"/>
      <c r="F601" s="43"/>
      <c r="G601" s="43"/>
      <c r="H601" s="43"/>
      <c r="I601" s="43"/>
      <c r="J601" s="43"/>
      <c r="K601" s="43"/>
      <c r="L601" s="43"/>
      <c r="M601" s="43"/>
      <c r="N601" s="43"/>
      <c r="O601" s="43"/>
      <c r="P601" s="43"/>
      <c r="Q601" s="43"/>
      <c r="R601" s="43"/>
      <c r="S601" s="43"/>
      <c r="T601" s="43"/>
      <c r="U601" s="43"/>
      <c r="V601" s="43"/>
      <c r="W601" s="43"/>
      <c r="X601" s="43"/>
      <c r="Y601" s="43"/>
      <c r="Z601" s="43"/>
      <c r="AA601" s="43"/>
    </row>
    <row r="602">
      <c r="A602" s="43"/>
      <c r="B602" s="160"/>
      <c r="C602" s="160"/>
      <c r="D602" s="160"/>
      <c r="E602" s="43"/>
      <c r="F602" s="43"/>
      <c r="G602" s="43"/>
      <c r="H602" s="43"/>
      <c r="I602" s="43"/>
      <c r="J602" s="43"/>
      <c r="K602" s="43"/>
      <c r="L602" s="43"/>
      <c r="M602" s="43"/>
      <c r="N602" s="43"/>
      <c r="O602" s="43"/>
      <c r="P602" s="43"/>
      <c r="Q602" s="43"/>
      <c r="R602" s="43"/>
      <c r="S602" s="43"/>
      <c r="T602" s="43"/>
      <c r="U602" s="43"/>
      <c r="V602" s="43"/>
      <c r="W602" s="43"/>
      <c r="X602" s="43"/>
      <c r="Y602" s="43"/>
      <c r="Z602" s="43"/>
      <c r="AA602" s="43"/>
    </row>
    <row r="603">
      <c r="A603" s="43"/>
      <c r="B603" s="160"/>
      <c r="C603" s="160"/>
      <c r="D603" s="160"/>
      <c r="E603" s="43"/>
      <c r="F603" s="43"/>
      <c r="G603" s="43"/>
      <c r="H603" s="43"/>
      <c r="I603" s="43"/>
      <c r="J603" s="43"/>
      <c r="K603" s="43"/>
      <c r="L603" s="43"/>
      <c r="M603" s="43"/>
      <c r="N603" s="43"/>
      <c r="O603" s="43"/>
      <c r="P603" s="43"/>
      <c r="Q603" s="43"/>
      <c r="R603" s="43"/>
      <c r="S603" s="43"/>
      <c r="T603" s="43"/>
      <c r="U603" s="43"/>
      <c r="V603" s="43"/>
      <c r="W603" s="43"/>
      <c r="X603" s="43"/>
      <c r="Y603" s="43"/>
      <c r="Z603" s="43"/>
      <c r="AA603" s="43"/>
    </row>
    <row r="604">
      <c r="A604" s="43"/>
      <c r="B604" s="160"/>
      <c r="C604" s="160"/>
      <c r="D604" s="160"/>
      <c r="E604" s="43"/>
      <c r="F604" s="43"/>
      <c r="G604" s="43"/>
      <c r="H604" s="43"/>
      <c r="I604" s="43"/>
      <c r="J604" s="43"/>
      <c r="K604" s="43"/>
      <c r="L604" s="43"/>
      <c r="M604" s="43"/>
      <c r="N604" s="43"/>
      <c r="O604" s="43"/>
      <c r="P604" s="43"/>
      <c r="Q604" s="43"/>
      <c r="R604" s="43"/>
      <c r="S604" s="43"/>
      <c r="T604" s="43"/>
      <c r="U604" s="43"/>
      <c r="V604" s="43"/>
      <c r="W604" s="43"/>
      <c r="X604" s="43"/>
      <c r="Y604" s="43"/>
      <c r="Z604" s="43"/>
      <c r="AA604" s="43"/>
    </row>
    <row r="605">
      <c r="A605" s="43"/>
      <c r="B605" s="160"/>
      <c r="C605" s="160"/>
      <c r="D605" s="160"/>
      <c r="E605" s="43"/>
      <c r="F605" s="43"/>
      <c r="G605" s="43"/>
      <c r="H605" s="43"/>
      <c r="I605" s="43"/>
      <c r="J605" s="43"/>
      <c r="K605" s="43"/>
      <c r="L605" s="43"/>
      <c r="M605" s="43"/>
      <c r="N605" s="43"/>
      <c r="O605" s="43"/>
      <c r="P605" s="43"/>
      <c r="Q605" s="43"/>
      <c r="R605" s="43"/>
      <c r="S605" s="43"/>
      <c r="T605" s="43"/>
      <c r="U605" s="43"/>
      <c r="V605" s="43"/>
      <c r="W605" s="43"/>
      <c r="X605" s="43"/>
      <c r="Y605" s="43"/>
      <c r="Z605" s="43"/>
      <c r="AA605" s="43"/>
    </row>
    <row r="606">
      <c r="A606" s="43"/>
      <c r="B606" s="160"/>
      <c r="C606" s="160"/>
      <c r="D606" s="160"/>
      <c r="E606" s="43"/>
      <c r="F606" s="43"/>
      <c r="G606" s="43"/>
      <c r="H606" s="43"/>
      <c r="I606" s="43"/>
      <c r="J606" s="43"/>
      <c r="K606" s="43"/>
      <c r="L606" s="43"/>
      <c r="M606" s="43"/>
      <c r="N606" s="43"/>
      <c r="O606" s="43"/>
      <c r="P606" s="43"/>
      <c r="Q606" s="43"/>
      <c r="R606" s="43"/>
      <c r="S606" s="43"/>
      <c r="T606" s="43"/>
      <c r="U606" s="43"/>
      <c r="V606" s="43"/>
      <c r="W606" s="43"/>
      <c r="X606" s="43"/>
      <c r="Y606" s="43"/>
      <c r="Z606" s="43"/>
      <c r="AA606" s="43"/>
    </row>
    <row r="607">
      <c r="A607" s="43"/>
      <c r="B607" s="160"/>
      <c r="C607" s="160"/>
      <c r="D607" s="160"/>
      <c r="E607" s="43"/>
      <c r="F607" s="43"/>
      <c r="G607" s="43"/>
      <c r="H607" s="43"/>
      <c r="I607" s="43"/>
      <c r="J607" s="43"/>
      <c r="K607" s="43"/>
      <c r="L607" s="43"/>
      <c r="M607" s="43"/>
      <c r="N607" s="43"/>
      <c r="O607" s="43"/>
      <c r="P607" s="43"/>
      <c r="Q607" s="43"/>
      <c r="R607" s="43"/>
      <c r="S607" s="43"/>
      <c r="T607" s="43"/>
      <c r="U607" s="43"/>
      <c r="V607" s="43"/>
      <c r="W607" s="43"/>
      <c r="X607" s="43"/>
      <c r="Y607" s="43"/>
      <c r="Z607" s="43"/>
      <c r="AA607" s="43"/>
    </row>
    <row r="608">
      <c r="A608" s="43"/>
      <c r="B608" s="160"/>
      <c r="C608" s="160"/>
      <c r="D608" s="160"/>
      <c r="E608" s="43"/>
      <c r="F608" s="43"/>
      <c r="G608" s="43"/>
      <c r="H608" s="43"/>
      <c r="I608" s="43"/>
      <c r="J608" s="43"/>
      <c r="K608" s="43"/>
      <c r="L608" s="43"/>
      <c r="M608" s="43"/>
      <c r="N608" s="43"/>
      <c r="O608" s="43"/>
      <c r="P608" s="43"/>
      <c r="Q608" s="43"/>
      <c r="R608" s="43"/>
      <c r="S608" s="43"/>
      <c r="T608" s="43"/>
      <c r="U608" s="43"/>
      <c r="V608" s="43"/>
      <c r="W608" s="43"/>
      <c r="X608" s="43"/>
      <c r="Y608" s="43"/>
      <c r="Z608" s="43"/>
      <c r="AA608" s="43"/>
    </row>
    <row r="609">
      <c r="A609" s="43"/>
      <c r="B609" s="160"/>
      <c r="C609" s="160"/>
      <c r="D609" s="160"/>
      <c r="E609" s="43"/>
      <c r="F609" s="43"/>
      <c r="G609" s="43"/>
      <c r="H609" s="43"/>
      <c r="I609" s="43"/>
      <c r="J609" s="43"/>
      <c r="K609" s="43"/>
      <c r="L609" s="43"/>
      <c r="M609" s="43"/>
      <c r="N609" s="43"/>
      <c r="O609" s="43"/>
      <c r="P609" s="43"/>
      <c r="Q609" s="43"/>
      <c r="R609" s="43"/>
      <c r="S609" s="43"/>
      <c r="T609" s="43"/>
      <c r="U609" s="43"/>
      <c r="V609" s="43"/>
      <c r="W609" s="43"/>
      <c r="X609" s="43"/>
      <c r="Y609" s="43"/>
      <c r="Z609" s="43"/>
      <c r="AA609" s="43"/>
    </row>
    <row r="610">
      <c r="A610" s="43"/>
      <c r="B610" s="160"/>
      <c r="C610" s="160"/>
      <c r="D610" s="160"/>
      <c r="E610" s="43"/>
      <c r="F610" s="43"/>
      <c r="G610" s="43"/>
      <c r="H610" s="43"/>
      <c r="I610" s="43"/>
      <c r="J610" s="43"/>
      <c r="K610" s="43"/>
      <c r="L610" s="43"/>
      <c r="M610" s="43"/>
      <c r="N610" s="43"/>
      <c r="O610" s="43"/>
      <c r="P610" s="43"/>
      <c r="Q610" s="43"/>
      <c r="R610" s="43"/>
      <c r="S610" s="43"/>
      <c r="T610" s="43"/>
      <c r="U610" s="43"/>
      <c r="V610" s="43"/>
      <c r="W610" s="43"/>
      <c r="X610" s="43"/>
      <c r="Y610" s="43"/>
      <c r="Z610" s="43"/>
      <c r="AA610" s="43"/>
    </row>
    <row r="611">
      <c r="A611" s="43"/>
      <c r="B611" s="160"/>
      <c r="C611" s="160"/>
      <c r="D611" s="160"/>
      <c r="E611" s="43"/>
      <c r="F611" s="43"/>
      <c r="G611" s="43"/>
      <c r="H611" s="43"/>
      <c r="I611" s="43"/>
      <c r="J611" s="43"/>
      <c r="K611" s="43"/>
      <c r="L611" s="43"/>
      <c r="M611" s="43"/>
      <c r="N611" s="43"/>
      <c r="O611" s="43"/>
      <c r="P611" s="43"/>
      <c r="Q611" s="43"/>
      <c r="R611" s="43"/>
      <c r="S611" s="43"/>
      <c r="T611" s="43"/>
      <c r="U611" s="43"/>
      <c r="V611" s="43"/>
      <c r="W611" s="43"/>
      <c r="X611" s="43"/>
      <c r="Y611" s="43"/>
      <c r="Z611" s="43"/>
      <c r="AA611" s="43"/>
    </row>
    <row r="612">
      <c r="A612" s="43"/>
      <c r="B612" s="160"/>
      <c r="C612" s="160"/>
      <c r="D612" s="160"/>
      <c r="E612" s="43"/>
      <c r="F612" s="43"/>
      <c r="G612" s="43"/>
      <c r="H612" s="43"/>
      <c r="I612" s="43"/>
      <c r="J612" s="43"/>
      <c r="K612" s="43"/>
      <c r="L612" s="43"/>
      <c r="M612" s="43"/>
      <c r="N612" s="43"/>
      <c r="O612" s="43"/>
      <c r="P612" s="43"/>
      <c r="Q612" s="43"/>
      <c r="R612" s="43"/>
      <c r="S612" s="43"/>
      <c r="T612" s="43"/>
      <c r="U612" s="43"/>
      <c r="V612" s="43"/>
      <c r="W612" s="43"/>
      <c r="X612" s="43"/>
      <c r="Y612" s="43"/>
      <c r="Z612" s="43"/>
      <c r="AA612" s="43"/>
    </row>
    <row r="613">
      <c r="A613" s="43"/>
      <c r="B613" s="160"/>
      <c r="C613" s="160"/>
      <c r="D613" s="160"/>
      <c r="E613" s="43"/>
      <c r="F613" s="43"/>
      <c r="G613" s="43"/>
      <c r="H613" s="43"/>
      <c r="I613" s="43"/>
      <c r="J613" s="43"/>
      <c r="K613" s="43"/>
      <c r="L613" s="43"/>
      <c r="M613" s="43"/>
      <c r="N613" s="43"/>
      <c r="O613" s="43"/>
      <c r="P613" s="43"/>
      <c r="Q613" s="43"/>
      <c r="R613" s="43"/>
      <c r="S613" s="43"/>
      <c r="T613" s="43"/>
      <c r="U613" s="43"/>
      <c r="V613" s="43"/>
      <c r="W613" s="43"/>
      <c r="X613" s="43"/>
      <c r="Y613" s="43"/>
      <c r="Z613" s="43"/>
      <c r="AA613" s="43"/>
    </row>
    <row r="614">
      <c r="A614" s="43"/>
      <c r="B614" s="160"/>
      <c r="C614" s="160"/>
      <c r="D614" s="160"/>
      <c r="E614" s="43"/>
      <c r="F614" s="43"/>
      <c r="G614" s="43"/>
      <c r="H614" s="43"/>
      <c r="I614" s="43"/>
      <c r="J614" s="43"/>
      <c r="K614" s="43"/>
      <c r="L614" s="43"/>
      <c r="M614" s="43"/>
      <c r="N614" s="43"/>
      <c r="O614" s="43"/>
      <c r="P614" s="43"/>
      <c r="Q614" s="43"/>
      <c r="R614" s="43"/>
      <c r="S614" s="43"/>
      <c r="T614" s="43"/>
      <c r="U614" s="43"/>
      <c r="V614" s="43"/>
      <c r="W614" s="43"/>
      <c r="X614" s="43"/>
      <c r="Y614" s="43"/>
      <c r="Z614" s="43"/>
      <c r="AA614" s="43"/>
    </row>
    <row r="615">
      <c r="A615" s="43"/>
      <c r="B615" s="160"/>
      <c r="C615" s="160"/>
      <c r="D615" s="160"/>
      <c r="E615" s="43"/>
      <c r="F615" s="43"/>
      <c r="G615" s="43"/>
      <c r="H615" s="43"/>
      <c r="I615" s="43"/>
      <c r="J615" s="43"/>
      <c r="K615" s="43"/>
      <c r="L615" s="43"/>
      <c r="M615" s="43"/>
      <c r="N615" s="43"/>
      <c r="O615" s="43"/>
      <c r="P615" s="43"/>
      <c r="Q615" s="43"/>
      <c r="R615" s="43"/>
      <c r="S615" s="43"/>
      <c r="T615" s="43"/>
      <c r="U615" s="43"/>
      <c r="V615" s="43"/>
      <c r="W615" s="43"/>
      <c r="X615" s="43"/>
      <c r="Y615" s="43"/>
      <c r="Z615" s="43"/>
      <c r="AA615" s="43"/>
    </row>
    <row r="616">
      <c r="A616" s="43"/>
      <c r="B616" s="160"/>
      <c r="C616" s="160"/>
      <c r="D616" s="160"/>
      <c r="E616" s="43"/>
      <c r="F616" s="43"/>
      <c r="G616" s="43"/>
      <c r="H616" s="43"/>
      <c r="I616" s="43"/>
      <c r="J616" s="43"/>
      <c r="K616" s="43"/>
      <c r="L616" s="43"/>
      <c r="M616" s="43"/>
      <c r="N616" s="43"/>
      <c r="O616" s="43"/>
      <c r="P616" s="43"/>
      <c r="Q616" s="43"/>
      <c r="R616" s="43"/>
      <c r="S616" s="43"/>
      <c r="T616" s="43"/>
      <c r="U616" s="43"/>
      <c r="V616" s="43"/>
      <c r="W616" s="43"/>
      <c r="X616" s="43"/>
      <c r="Y616" s="43"/>
      <c r="Z616" s="43"/>
      <c r="AA616" s="43"/>
    </row>
    <row r="617">
      <c r="A617" s="43"/>
      <c r="B617" s="160"/>
      <c r="C617" s="160"/>
      <c r="D617" s="160"/>
      <c r="E617" s="43"/>
      <c r="F617" s="43"/>
      <c r="G617" s="43"/>
      <c r="H617" s="43"/>
      <c r="I617" s="43"/>
      <c r="J617" s="43"/>
      <c r="K617" s="43"/>
      <c r="L617" s="43"/>
      <c r="M617" s="43"/>
      <c r="N617" s="43"/>
      <c r="O617" s="43"/>
      <c r="P617" s="43"/>
      <c r="Q617" s="43"/>
      <c r="R617" s="43"/>
      <c r="S617" s="43"/>
      <c r="T617" s="43"/>
      <c r="U617" s="43"/>
      <c r="V617" s="43"/>
      <c r="W617" s="43"/>
      <c r="X617" s="43"/>
      <c r="Y617" s="43"/>
      <c r="Z617" s="43"/>
      <c r="AA617" s="43"/>
    </row>
    <row r="618">
      <c r="A618" s="43"/>
      <c r="B618" s="160"/>
      <c r="C618" s="160"/>
      <c r="D618" s="160"/>
      <c r="E618" s="43"/>
      <c r="F618" s="43"/>
      <c r="G618" s="43"/>
      <c r="H618" s="43"/>
      <c r="I618" s="43"/>
      <c r="J618" s="43"/>
      <c r="K618" s="43"/>
      <c r="L618" s="43"/>
      <c r="M618" s="43"/>
      <c r="N618" s="43"/>
      <c r="O618" s="43"/>
      <c r="P618" s="43"/>
      <c r="Q618" s="43"/>
      <c r="R618" s="43"/>
      <c r="S618" s="43"/>
      <c r="T618" s="43"/>
      <c r="U618" s="43"/>
      <c r="V618" s="43"/>
      <c r="W618" s="43"/>
      <c r="X618" s="43"/>
      <c r="Y618" s="43"/>
      <c r="Z618" s="43"/>
      <c r="AA618" s="43"/>
    </row>
    <row r="619">
      <c r="A619" s="43"/>
      <c r="B619" s="160"/>
      <c r="C619" s="160"/>
      <c r="D619" s="160"/>
      <c r="E619" s="43"/>
      <c r="F619" s="43"/>
      <c r="G619" s="43"/>
      <c r="H619" s="43"/>
      <c r="I619" s="43"/>
      <c r="J619" s="43"/>
      <c r="K619" s="43"/>
      <c r="L619" s="43"/>
      <c r="M619" s="43"/>
      <c r="N619" s="43"/>
      <c r="O619" s="43"/>
      <c r="P619" s="43"/>
      <c r="Q619" s="43"/>
      <c r="R619" s="43"/>
      <c r="S619" s="43"/>
      <c r="T619" s="43"/>
      <c r="U619" s="43"/>
      <c r="V619" s="43"/>
      <c r="W619" s="43"/>
      <c r="X619" s="43"/>
      <c r="Y619" s="43"/>
      <c r="Z619" s="43"/>
      <c r="AA619" s="43"/>
    </row>
    <row r="620">
      <c r="A620" s="43"/>
      <c r="B620" s="160"/>
      <c r="C620" s="160"/>
      <c r="D620" s="160"/>
      <c r="E620" s="43"/>
      <c r="F620" s="43"/>
      <c r="G620" s="43"/>
      <c r="H620" s="43"/>
      <c r="I620" s="43"/>
      <c r="J620" s="43"/>
      <c r="K620" s="43"/>
      <c r="L620" s="43"/>
      <c r="M620" s="43"/>
      <c r="N620" s="43"/>
      <c r="O620" s="43"/>
      <c r="P620" s="43"/>
      <c r="Q620" s="43"/>
      <c r="R620" s="43"/>
      <c r="S620" s="43"/>
      <c r="T620" s="43"/>
      <c r="U620" s="43"/>
      <c r="V620" s="43"/>
      <c r="W620" s="43"/>
      <c r="X620" s="43"/>
      <c r="Y620" s="43"/>
      <c r="Z620" s="43"/>
      <c r="AA620" s="43"/>
    </row>
    <row r="621">
      <c r="A621" s="43"/>
      <c r="B621" s="160"/>
      <c r="C621" s="160"/>
      <c r="D621" s="160"/>
      <c r="E621" s="43"/>
      <c r="F621" s="43"/>
      <c r="G621" s="43"/>
      <c r="H621" s="43"/>
      <c r="I621" s="43"/>
      <c r="J621" s="43"/>
      <c r="K621" s="43"/>
      <c r="L621" s="43"/>
      <c r="M621" s="43"/>
      <c r="N621" s="43"/>
      <c r="O621" s="43"/>
      <c r="P621" s="43"/>
      <c r="Q621" s="43"/>
      <c r="R621" s="43"/>
      <c r="S621" s="43"/>
      <c r="T621" s="43"/>
      <c r="U621" s="43"/>
      <c r="V621" s="43"/>
      <c r="W621" s="43"/>
      <c r="X621" s="43"/>
      <c r="Y621" s="43"/>
      <c r="Z621" s="43"/>
      <c r="AA621" s="43"/>
    </row>
    <row r="622">
      <c r="A622" s="43"/>
      <c r="B622" s="160"/>
      <c r="C622" s="160"/>
      <c r="D622" s="160"/>
      <c r="E622" s="43"/>
      <c r="F622" s="43"/>
      <c r="G622" s="43"/>
      <c r="H622" s="43"/>
      <c r="I622" s="43"/>
      <c r="J622" s="43"/>
      <c r="K622" s="43"/>
      <c r="L622" s="43"/>
      <c r="M622" s="43"/>
      <c r="N622" s="43"/>
      <c r="O622" s="43"/>
      <c r="P622" s="43"/>
      <c r="Q622" s="43"/>
      <c r="R622" s="43"/>
      <c r="S622" s="43"/>
      <c r="T622" s="43"/>
      <c r="U622" s="43"/>
      <c r="V622" s="43"/>
      <c r="W622" s="43"/>
      <c r="X622" s="43"/>
      <c r="Y622" s="43"/>
      <c r="Z622" s="43"/>
      <c r="AA622" s="43"/>
    </row>
    <row r="623">
      <c r="A623" s="43"/>
      <c r="B623" s="160"/>
      <c r="C623" s="160"/>
      <c r="D623" s="160"/>
      <c r="E623" s="43"/>
      <c r="F623" s="43"/>
      <c r="G623" s="43"/>
      <c r="H623" s="43"/>
      <c r="I623" s="43"/>
      <c r="J623" s="43"/>
      <c r="K623" s="43"/>
      <c r="L623" s="43"/>
      <c r="M623" s="43"/>
      <c r="N623" s="43"/>
      <c r="O623" s="43"/>
      <c r="P623" s="43"/>
      <c r="Q623" s="43"/>
      <c r="R623" s="43"/>
      <c r="S623" s="43"/>
      <c r="T623" s="43"/>
      <c r="U623" s="43"/>
      <c r="V623" s="43"/>
      <c r="W623" s="43"/>
      <c r="X623" s="43"/>
      <c r="Y623" s="43"/>
      <c r="Z623" s="43"/>
      <c r="AA623" s="43"/>
    </row>
    <row r="624">
      <c r="A624" s="43"/>
      <c r="B624" s="160"/>
      <c r="C624" s="160"/>
      <c r="D624" s="160"/>
      <c r="E624" s="43"/>
      <c r="F624" s="43"/>
      <c r="G624" s="43"/>
      <c r="H624" s="43"/>
      <c r="I624" s="43"/>
      <c r="J624" s="43"/>
      <c r="K624" s="43"/>
      <c r="L624" s="43"/>
      <c r="M624" s="43"/>
      <c r="N624" s="43"/>
      <c r="O624" s="43"/>
      <c r="P624" s="43"/>
      <c r="Q624" s="43"/>
      <c r="R624" s="43"/>
      <c r="S624" s="43"/>
      <c r="T624" s="43"/>
      <c r="U624" s="43"/>
      <c r="V624" s="43"/>
      <c r="W624" s="43"/>
      <c r="X624" s="43"/>
      <c r="Y624" s="43"/>
      <c r="Z624" s="43"/>
      <c r="AA624" s="43"/>
    </row>
    <row r="625">
      <c r="A625" s="43"/>
      <c r="B625" s="160"/>
      <c r="C625" s="160"/>
      <c r="D625" s="160"/>
      <c r="E625" s="43"/>
      <c r="F625" s="43"/>
      <c r="G625" s="43"/>
      <c r="H625" s="43"/>
      <c r="I625" s="43"/>
      <c r="J625" s="43"/>
      <c r="K625" s="43"/>
      <c r="L625" s="43"/>
      <c r="M625" s="43"/>
      <c r="N625" s="43"/>
      <c r="O625" s="43"/>
      <c r="P625" s="43"/>
      <c r="Q625" s="43"/>
      <c r="R625" s="43"/>
      <c r="S625" s="43"/>
      <c r="T625" s="43"/>
      <c r="U625" s="43"/>
      <c r="V625" s="43"/>
      <c r="W625" s="43"/>
      <c r="X625" s="43"/>
      <c r="Y625" s="43"/>
      <c r="Z625" s="43"/>
      <c r="AA625" s="43"/>
    </row>
    <row r="626">
      <c r="A626" s="43"/>
      <c r="B626" s="160"/>
      <c r="C626" s="160"/>
      <c r="D626" s="160"/>
      <c r="E626" s="43"/>
      <c r="F626" s="43"/>
      <c r="G626" s="43"/>
      <c r="H626" s="43"/>
      <c r="I626" s="43"/>
      <c r="J626" s="43"/>
      <c r="K626" s="43"/>
      <c r="L626" s="43"/>
      <c r="M626" s="43"/>
      <c r="N626" s="43"/>
      <c r="O626" s="43"/>
      <c r="P626" s="43"/>
      <c r="Q626" s="43"/>
      <c r="R626" s="43"/>
      <c r="S626" s="43"/>
      <c r="T626" s="43"/>
      <c r="U626" s="43"/>
      <c r="V626" s="43"/>
      <c r="W626" s="43"/>
      <c r="X626" s="43"/>
      <c r="Y626" s="43"/>
      <c r="Z626" s="43"/>
      <c r="AA626" s="43"/>
    </row>
    <row r="627">
      <c r="A627" s="43"/>
      <c r="B627" s="160"/>
      <c r="C627" s="160"/>
      <c r="D627" s="160"/>
      <c r="E627" s="43"/>
      <c r="F627" s="43"/>
      <c r="G627" s="43"/>
      <c r="H627" s="43"/>
      <c r="I627" s="43"/>
      <c r="J627" s="43"/>
      <c r="K627" s="43"/>
      <c r="L627" s="43"/>
      <c r="M627" s="43"/>
      <c r="N627" s="43"/>
      <c r="O627" s="43"/>
      <c r="P627" s="43"/>
      <c r="Q627" s="43"/>
      <c r="R627" s="43"/>
      <c r="S627" s="43"/>
      <c r="T627" s="43"/>
      <c r="U627" s="43"/>
      <c r="V627" s="43"/>
      <c r="W627" s="43"/>
      <c r="X627" s="43"/>
      <c r="Y627" s="43"/>
      <c r="Z627" s="43"/>
      <c r="AA627" s="43"/>
    </row>
    <row r="628">
      <c r="A628" s="43"/>
      <c r="B628" s="160"/>
      <c r="C628" s="160"/>
      <c r="D628" s="160"/>
      <c r="E628" s="43"/>
      <c r="F628" s="43"/>
      <c r="G628" s="43"/>
      <c r="H628" s="43"/>
      <c r="I628" s="43"/>
      <c r="J628" s="43"/>
      <c r="K628" s="43"/>
      <c r="L628" s="43"/>
      <c r="M628" s="43"/>
      <c r="N628" s="43"/>
      <c r="O628" s="43"/>
      <c r="P628" s="43"/>
      <c r="Q628" s="43"/>
      <c r="R628" s="43"/>
      <c r="S628" s="43"/>
      <c r="T628" s="43"/>
      <c r="U628" s="43"/>
      <c r="V628" s="43"/>
      <c r="W628" s="43"/>
      <c r="X628" s="43"/>
      <c r="Y628" s="43"/>
      <c r="Z628" s="43"/>
      <c r="AA628" s="43"/>
    </row>
    <row r="629">
      <c r="A629" s="43"/>
      <c r="B629" s="160"/>
      <c r="C629" s="160"/>
      <c r="D629" s="160"/>
      <c r="E629" s="43"/>
      <c r="F629" s="43"/>
      <c r="G629" s="43"/>
      <c r="H629" s="43"/>
      <c r="I629" s="43"/>
      <c r="J629" s="43"/>
      <c r="K629" s="43"/>
      <c r="L629" s="43"/>
      <c r="M629" s="43"/>
      <c r="N629" s="43"/>
      <c r="O629" s="43"/>
      <c r="P629" s="43"/>
      <c r="Q629" s="43"/>
      <c r="R629" s="43"/>
      <c r="S629" s="43"/>
      <c r="T629" s="43"/>
      <c r="U629" s="43"/>
      <c r="V629" s="43"/>
      <c r="W629" s="43"/>
      <c r="X629" s="43"/>
      <c r="Y629" s="43"/>
      <c r="Z629" s="43"/>
      <c r="AA629" s="43"/>
    </row>
    <row r="630">
      <c r="A630" s="43"/>
      <c r="B630" s="160"/>
      <c r="C630" s="160"/>
      <c r="D630" s="160"/>
      <c r="E630" s="43"/>
      <c r="F630" s="43"/>
      <c r="G630" s="43"/>
      <c r="H630" s="43"/>
      <c r="I630" s="43"/>
      <c r="J630" s="43"/>
      <c r="K630" s="43"/>
      <c r="L630" s="43"/>
      <c r="M630" s="43"/>
      <c r="N630" s="43"/>
      <c r="O630" s="43"/>
      <c r="P630" s="43"/>
      <c r="Q630" s="43"/>
      <c r="R630" s="43"/>
      <c r="S630" s="43"/>
      <c r="T630" s="43"/>
      <c r="U630" s="43"/>
      <c r="V630" s="43"/>
      <c r="W630" s="43"/>
      <c r="X630" s="43"/>
      <c r="Y630" s="43"/>
      <c r="Z630" s="43"/>
      <c r="AA630" s="43"/>
    </row>
    <row r="631">
      <c r="A631" s="43"/>
      <c r="B631" s="160"/>
      <c r="C631" s="160"/>
      <c r="D631" s="160"/>
      <c r="E631" s="43"/>
      <c r="F631" s="43"/>
      <c r="G631" s="43"/>
      <c r="H631" s="43"/>
      <c r="I631" s="43"/>
      <c r="J631" s="43"/>
      <c r="K631" s="43"/>
      <c r="L631" s="43"/>
      <c r="M631" s="43"/>
      <c r="N631" s="43"/>
      <c r="O631" s="43"/>
      <c r="P631" s="43"/>
      <c r="Q631" s="43"/>
      <c r="R631" s="43"/>
      <c r="S631" s="43"/>
      <c r="T631" s="43"/>
      <c r="U631" s="43"/>
      <c r="V631" s="43"/>
      <c r="W631" s="43"/>
      <c r="X631" s="43"/>
      <c r="Y631" s="43"/>
      <c r="Z631" s="43"/>
      <c r="AA631" s="43"/>
    </row>
    <row r="632">
      <c r="A632" s="43"/>
      <c r="B632" s="160"/>
      <c r="C632" s="160"/>
      <c r="D632" s="160"/>
      <c r="E632" s="43"/>
      <c r="F632" s="43"/>
      <c r="G632" s="43"/>
      <c r="H632" s="43"/>
      <c r="I632" s="43"/>
      <c r="J632" s="43"/>
      <c r="K632" s="43"/>
      <c r="L632" s="43"/>
      <c r="M632" s="43"/>
      <c r="N632" s="43"/>
      <c r="O632" s="43"/>
      <c r="P632" s="43"/>
      <c r="Q632" s="43"/>
      <c r="R632" s="43"/>
      <c r="S632" s="43"/>
      <c r="T632" s="43"/>
      <c r="U632" s="43"/>
      <c r="V632" s="43"/>
      <c r="W632" s="43"/>
      <c r="X632" s="43"/>
      <c r="Y632" s="43"/>
      <c r="Z632" s="43"/>
      <c r="AA632" s="43"/>
    </row>
    <row r="633">
      <c r="A633" s="43"/>
      <c r="B633" s="160"/>
      <c r="C633" s="160"/>
      <c r="D633" s="160"/>
      <c r="E633" s="43"/>
      <c r="F633" s="43"/>
      <c r="G633" s="43"/>
      <c r="H633" s="43"/>
      <c r="I633" s="43"/>
      <c r="J633" s="43"/>
      <c r="K633" s="43"/>
      <c r="L633" s="43"/>
      <c r="M633" s="43"/>
      <c r="N633" s="43"/>
      <c r="O633" s="43"/>
      <c r="P633" s="43"/>
      <c r="Q633" s="43"/>
      <c r="R633" s="43"/>
      <c r="S633" s="43"/>
      <c r="T633" s="43"/>
      <c r="U633" s="43"/>
      <c r="V633" s="43"/>
      <c r="W633" s="43"/>
      <c r="X633" s="43"/>
      <c r="Y633" s="43"/>
      <c r="Z633" s="43"/>
      <c r="AA633" s="43"/>
    </row>
    <row r="634">
      <c r="A634" s="43"/>
      <c r="B634" s="160"/>
      <c r="C634" s="160"/>
      <c r="D634" s="160"/>
      <c r="E634" s="43"/>
      <c r="F634" s="43"/>
      <c r="G634" s="43"/>
      <c r="H634" s="43"/>
      <c r="I634" s="43"/>
      <c r="J634" s="43"/>
      <c r="K634" s="43"/>
      <c r="L634" s="43"/>
      <c r="M634" s="43"/>
      <c r="N634" s="43"/>
      <c r="O634" s="43"/>
      <c r="P634" s="43"/>
      <c r="Q634" s="43"/>
      <c r="R634" s="43"/>
      <c r="S634" s="43"/>
      <c r="T634" s="43"/>
      <c r="U634" s="43"/>
      <c r="V634" s="43"/>
      <c r="W634" s="43"/>
      <c r="X634" s="43"/>
      <c r="Y634" s="43"/>
      <c r="Z634" s="43"/>
      <c r="AA634" s="43"/>
    </row>
    <row r="635">
      <c r="A635" s="43"/>
      <c r="B635" s="160"/>
      <c r="C635" s="160"/>
      <c r="D635" s="160"/>
      <c r="E635" s="43"/>
      <c r="F635" s="43"/>
      <c r="G635" s="43"/>
      <c r="H635" s="43"/>
      <c r="I635" s="43"/>
      <c r="J635" s="43"/>
      <c r="K635" s="43"/>
      <c r="L635" s="43"/>
      <c r="M635" s="43"/>
      <c r="N635" s="43"/>
      <c r="O635" s="43"/>
      <c r="P635" s="43"/>
      <c r="Q635" s="43"/>
      <c r="R635" s="43"/>
      <c r="S635" s="43"/>
      <c r="T635" s="43"/>
      <c r="U635" s="43"/>
      <c r="V635" s="43"/>
      <c r="W635" s="43"/>
      <c r="X635" s="43"/>
      <c r="Y635" s="43"/>
      <c r="Z635" s="43"/>
      <c r="AA635" s="43"/>
    </row>
    <row r="636">
      <c r="A636" s="43"/>
      <c r="B636" s="160"/>
      <c r="C636" s="160"/>
      <c r="D636" s="160"/>
      <c r="E636" s="43"/>
      <c r="F636" s="43"/>
      <c r="G636" s="43"/>
      <c r="H636" s="43"/>
      <c r="I636" s="43"/>
      <c r="J636" s="43"/>
      <c r="K636" s="43"/>
      <c r="L636" s="43"/>
      <c r="M636" s="43"/>
      <c r="N636" s="43"/>
      <c r="O636" s="43"/>
      <c r="P636" s="43"/>
      <c r="Q636" s="43"/>
      <c r="R636" s="43"/>
      <c r="S636" s="43"/>
      <c r="T636" s="43"/>
      <c r="U636" s="43"/>
      <c r="V636" s="43"/>
      <c r="W636" s="43"/>
      <c r="X636" s="43"/>
      <c r="Y636" s="43"/>
      <c r="Z636" s="43"/>
      <c r="AA636" s="43"/>
    </row>
    <row r="637">
      <c r="A637" s="43"/>
      <c r="B637" s="160"/>
      <c r="C637" s="160"/>
      <c r="D637" s="160"/>
      <c r="E637" s="43"/>
      <c r="F637" s="43"/>
      <c r="G637" s="43"/>
      <c r="H637" s="43"/>
      <c r="I637" s="43"/>
      <c r="J637" s="43"/>
      <c r="K637" s="43"/>
      <c r="L637" s="43"/>
      <c r="M637" s="43"/>
      <c r="N637" s="43"/>
      <c r="O637" s="43"/>
      <c r="P637" s="43"/>
      <c r="Q637" s="43"/>
      <c r="R637" s="43"/>
      <c r="S637" s="43"/>
      <c r="T637" s="43"/>
      <c r="U637" s="43"/>
      <c r="V637" s="43"/>
      <c r="W637" s="43"/>
      <c r="X637" s="43"/>
      <c r="Y637" s="43"/>
      <c r="Z637" s="43"/>
      <c r="AA637" s="43"/>
    </row>
    <row r="638">
      <c r="A638" s="43"/>
      <c r="B638" s="160"/>
      <c r="C638" s="160"/>
      <c r="D638" s="160"/>
      <c r="E638" s="43"/>
      <c r="F638" s="43"/>
      <c r="G638" s="43"/>
      <c r="H638" s="43"/>
      <c r="I638" s="43"/>
      <c r="J638" s="43"/>
      <c r="K638" s="43"/>
      <c r="L638" s="43"/>
      <c r="M638" s="43"/>
      <c r="N638" s="43"/>
      <c r="O638" s="43"/>
      <c r="P638" s="43"/>
      <c r="Q638" s="43"/>
      <c r="R638" s="43"/>
      <c r="S638" s="43"/>
      <c r="T638" s="43"/>
      <c r="U638" s="43"/>
      <c r="V638" s="43"/>
      <c r="W638" s="43"/>
      <c r="X638" s="43"/>
      <c r="Y638" s="43"/>
      <c r="Z638" s="43"/>
      <c r="AA638" s="43"/>
    </row>
    <row r="639">
      <c r="A639" s="43"/>
      <c r="B639" s="160"/>
      <c r="C639" s="160"/>
      <c r="D639" s="160"/>
      <c r="E639" s="43"/>
      <c r="F639" s="43"/>
      <c r="G639" s="43"/>
      <c r="H639" s="43"/>
      <c r="I639" s="43"/>
      <c r="J639" s="43"/>
      <c r="K639" s="43"/>
      <c r="L639" s="43"/>
      <c r="M639" s="43"/>
      <c r="N639" s="43"/>
      <c r="O639" s="43"/>
      <c r="P639" s="43"/>
      <c r="Q639" s="43"/>
      <c r="R639" s="43"/>
      <c r="S639" s="43"/>
      <c r="T639" s="43"/>
      <c r="U639" s="43"/>
      <c r="V639" s="43"/>
      <c r="W639" s="43"/>
      <c r="X639" s="43"/>
      <c r="Y639" s="43"/>
      <c r="Z639" s="43"/>
      <c r="AA639" s="43"/>
    </row>
    <row r="640">
      <c r="A640" s="43"/>
      <c r="B640" s="160"/>
      <c r="C640" s="160"/>
      <c r="D640" s="160"/>
      <c r="E640" s="43"/>
      <c r="F640" s="43"/>
      <c r="G640" s="43"/>
      <c r="H640" s="43"/>
      <c r="I640" s="43"/>
      <c r="J640" s="43"/>
      <c r="K640" s="43"/>
      <c r="L640" s="43"/>
      <c r="M640" s="43"/>
      <c r="N640" s="43"/>
      <c r="O640" s="43"/>
      <c r="P640" s="43"/>
      <c r="Q640" s="43"/>
      <c r="R640" s="43"/>
      <c r="S640" s="43"/>
      <c r="T640" s="43"/>
      <c r="U640" s="43"/>
      <c r="V640" s="43"/>
      <c r="W640" s="43"/>
      <c r="X640" s="43"/>
      <c r="Y640" s="43"/>
      <c r="Z640" s="43"/>
      <c r="AA640" s="43"/>
    </row>
    <row r="641">
      <c r="A641" s="43"/>
      <c r="B641" s="160"/>
      <c r="C641" s="160"/>
      <c r="D641" s="160"/>
      <c r="E641" s="43"/>
      <c r="F641" s="43"/>
      <c r="G641" s="43"/>
      <c r="H641" s="43"/>
      <c r="I641" s="43"/>
      <c r="J641" s="43"/>
      <c r="K641" s="43"/>
      <c r="L641" s="43"/>
      <c r="M641" s="43"/>
      <c r="N641" s="43"/>
      <c r="O641" s="43"/>
      <c r="P641" s="43"/>
      <c r="Q641" s="43"/>
      <c r="R641" s="43"/>
      <c r="S641" s="43"/>
      <c r="T641" s="43"/>
      <c r="U641" s="43"/>
      <c r="V641" s="43"/>
      <c r="W641" s="43"/>
      <c r="X641" s="43"/>
      <c r="Y641" s="43"/>
      <c r="Z641" s="43"/>
      <c r="AA641" s="43"/>
    </row>
    <row r="642">
      <c r="A642" s="43"/>
      <c r="B642" s="160"/>
      <c r="C642" s="160"/>
      <c r="D642" s="160"/>
      <c r="E642" s="43"/>
      <c r="F642" s="43"/>
      <c r="G642" s="43"/>
      <c r="H642" s="43"/>
      <c r="I642" s="43"/>
      <c r="J642" s="43"/>
      <c r="K642" s="43"/>
      <c r="L642" s="43"/>
      <c r="M642" s="43"/>
      <c r="N642" s="43"/>
      <c r="O642" s="43"/>
      <c r="P642" s="43"/>
      <c r="Q642" s="43"/>
      <c r="R642" s="43"/>
      <c r="S642" s="43"/>
      <c r="T642" s="43"/>
      <c r="U642" s="43"/>
      <c r="V642" s="43"/>
      <c r="W642" s="43"/>
      <c r="X642" s="43"/>
      <c r="Y642" s="43"/>
      <c r="Z642" s="43"/>
      <c r="AA642" s="43"/>
    </row>
    <row r="643">
      <c r="A643" s="43"/>
      <c r="B643" s="160"/>
      <c r="C643" s="160"/>
      <c r="D643" s="160"/>
      <c r="E643" s="43"/>
      <c r="F643" s="43"/>
      <c r="G643" s="43"/>
      <c r="H643" s="43"/>
      <c r="I643" s="43"/>
      <c r="J643" s="43"/>
      <c r="K643" s="43"/>
      <c r="L643" s="43"/>
      <c r="M643" s="43"/>
      <c r="N643" s="43"/>
      <c r="O643" s="43"/>
      <c r="P643" s="43"/>
      <c r="Q643" s="43"/>
      <c r="R643" s="43"/>
      <c r="S643" s="43"/>
      <c r="T643" s="43"/>
      <c r="U643" s="43"/>
      <c r="V643" s="43"/>
      <c r="W643" s="43"/>
      <c r="X643" s="43"/>
      <c r="Y643" s="43"/>
      <c r="Z643" s="43"/>
      <c r="AA643" s="43"/>
    </row>
    <row r="644">
      <c r="A644" s="43"/>
      <c r="B644" s="160"/>
      <c r="C644" s="160"/>
      <c r="D644" s="160"/>
      <c r="E644" s="43"/>
      <c r="F644" s="43"/>
      <c r="G644" s="43"/>
      <c r="H644" s="43"/>
      <c r="I644" s="43"/>
      <c r="J644" s="43"/>
      <c r="K644" s="43"/>
      <c r="L644" s="43"/>
      <c r="M644" s="43"/>
      <c r="N644" s="43"/>
      <c r="O644" s="43"/>
      <c r="P644" s="43"/>
      <c r="Q644" s="43"/>
      <c r="R644" s="43"/>
      <c r="S644" s="43"/>
      <c r="T644" s="43"/>
      <c r="U644" s="43"/>
      <c r="V644" s="43"/>
      <c r="W644" s="43"/>
      <c r="X644" s="43"/>
      <c r="Y644" s="43"/>
      <c r="Z644" s="43"/>
      <c r="AA644" s="43"/>
    </row>
    <row r="645">
      <c r="A645" s="43"/>
      <c r="B645" s="160"/>
      <c r="C645" s="160"/>
      <c r="D645" s="160"/>
      <c r="E645" s="43"/>
      <c r="F645" s="43"/>
      <c r="G645" s="43"/>
      <c r="H645" s="43"/>
      <c r="I645" s="43"/>
      <c r="J645" s="43"/>
      <c r="K645" s="43"/>
      <c r="L645" s="43"/>
      <c r="M645" s="43"/>
      <c r="N645" s="43"/>
      <c r="O645" s="43"/>
      <c r="P645" s="43"/>
      <c r="Q645" s="43"/>
      <c r="R645" s="43"/>
      <c r="S645" s="43"/>
      <c r="T645" s="43"/>
      <c r="U645" s="43"/>
      <c r="V645" s="43"/>
      <c r="W645" s="43"/>
      <c r="X645" s="43"/>
      <c r="Y645" s="43"/>
      <c r="Z645" s="43"/>
      <c r="AA645" s="43"/>
    </row>
    <row r="646">
      <c r="A646" s="43"/>
      <c r="B646" s="160"/>
      <c r="C646" s="160"/>
      <c r="D646" s="160"/>
      <c r="E646" s="43"/>
      <c r="F646" s="43"/>
      <c r="G646" s="43"/>
      <c r="H646" s="43"/>
      <c r="I646" s="43"/>
      <c r="J646" s="43"/>
      <c r="K646" s="43"/>
      <c r="L646" s="43"/>
      <c r="M646" s="43"/>
      <c r="N646" s="43"/>
      <c r="O646" s="43"/>
      <c r="P646" s="43"/>
      <c r="Q646" s="43"/>
      <c r="R646" s="43"/>
      <c r="S646" s="43"/>
      <c r="T646" s="43"/>
      <c r="U646" s="43"/>
      <c r="V646" s="43"/>
      <c r="W646" s="43"/>
      <c r="X646" s="43"/>
      <c r="Y646" s="43"/>
      <c r="Z646" s="43"/>
      <c r="AA646" s="43"/>
    </row>
    <row r="647">
      <c r="A647" s="43"/>
      <c r="B647" s="160"/>
      <c r="C647" s="160"/>
      <c r="D647" s="160"/>
      <c r="E647" s="43"/>
      <c r="F647" s="43"/>
      <c r="G647" s="43"/>
      <c r="H647" s="43"/>
      <c r="I647" s="43"/>
      <c r="J647" s="43"/>
      <c r="K647" s="43"/>
      <c r="L647" s="43"/>
      <c r="M647" s="43"/>
      <c r="N647" s="43"/>
      <c r="O647" s="43"/>
      <c r="P647" s="43"/>
      <c r="Q647" s="43"/>
      <c r="R647" s="43"/>
      <c r="S647" s="43"/>
      <c r="T647" s="43"/>
      <c r="U647" s="43"/>
      <c r="V647" s="43"/>
      <c r="W647" s="43"/>
      <c r="X647" s="43"/>
      <c r="Y647" s="43"/>
      <c r="Z647" s="43"/>
      <c r="AA647" s="43"/>
    </row>
    <row r="648">
      <c r="A648" s="43"/>
      <c r="B648" s="160"/>
      <c r="C648" s="160"/>
      <c r="D648" s="160"/>
      <c r="E648" s="43"/>
      <c r="F648" s="43"/>
      <c r="G648" s="43"/>
      <c r="H648" s="43"/>
      <c r="I648" s="43"/>
      <c r="J648" s="43"/>
      <c r="K648" s="43"/>
      <c r="L648" s="43"/>
      <c r="M648" s="43"/>
      <c r="N648" s="43"/>
      <c r="O648" s="43"/>
      <c r="P648" s="43"/>
      <c r="Q648" s="43"/>
      <c r="R648" s="43"/>
      <c r="S648" s="43"/>
      <c r="T648" s="43"/>
      <c r="U648" s="43"/>
      <c r="V648" s="43"/>
      <c r="W648" s="43"/>
      <c r="X648" s="43"/>
      <c r="Y648" s="43"/>
      <c r="Z648" s="43"/>
      <c r="AA648" s="43"/>
    </row>
    <row r="649">
      <c r="A649" s="43"/>
      <c r="B649" s="160"/>
      <c r="C649" s="160"/>
      <c r="D649" s="160"/>
      <c r="E649" s="43"/>
      <c r="F649" s="43"/>
      <c r="G649" s="43"/>
      <c r="H649" s="43"/>
      <c r="I649" s="43"/>
      <c r="J649" s="43"/>
      <c r="K649" s="43"/>
      <c r="L649" s="43"/>
      <c r="M649" s="43"/>
      <c r="N649" s="43"/>
      <c r="O649" s="43"/>
      <c r="P649" s="43"/>
      <c r="Q649" s="43"/>
      <c r="R649" s="43"/>
      <c r="S649" s="43"/>
      <c r="T649" s="43"/>
      <c r="U649" s="43"/>
      <c r="V649" s="43"/>
      <c r="W649" s="43"/>
      <c r="X649" s="43"/>
      <c r="Y649" s="43"/>
      <c r="Z649" s="43"/>
      <c r="AA649" s="43"/>
    </row>
    <row r="650">
      <c r="A650" s="43"/>
      <c r="B650" s="160"/>
      <c r="C650" s="160"/>
      <c r="D650" s="160"/>
      <c r="E650" s="43"/>
      <c r="F650" s="43"/>
      <c r="G650" s="43"/>
      <c r="H650" s="43"/>
      <c r="I650" s="43"/>
      <c r="J650" s="43"/>
      <c r="K650" s="43"/>
      <c r="L650" s="43"/>
      <c r="M650" s="43"/>
      <c r="N650" s="43"/>
      <c r="O650" s="43"/>
      <c r="P650" s="43"/>
      <c r="Q650" s="43"/>
      <c r="R650" s="43"/>
      <c r="S650" s="43"/>
      <c r="T650" s="43"/>
      <c r="U650" s="43"/>
      <c r="V650" s="43"/>
      <c r="W650" s="43"/>
      <c r="X650" s="43"/>
      <c r="Y650" s="43"/>
      <c r="Z650" s="43"/>
      <c r="AA650" s="43"/>
    </row>
    <row r="651">
      <c r="A651" s="43"/>
      <c r="B651" s="160"/>
      <c r="C651" s="160"/>
      <c r="D651" s="160"/>
      <c r="E651" s="43"/>
      <c r="F651" s="43"/>
      <c r="G651" s="43"/>
      <c r="H651" s="43"/>
      <c r="I651" s="43"/>
      <c r="J651" s="43"/>
      <c r="K651" s="43"/>
      <c r="L651" s="43"/>
      <c r="M651" s="43"/>
      <c r="N651" s="43"/>
      <c r="O651" s="43"/>
      <c r="P651" s="43"/>
      <c r="Q651" s="43"/>
      <c r="R651" s="43"/>
      <c r="S651" s="43"/>
      <c r="T651" s="43"/>
      <c r="U651" s="43"/>
      <c r="V651" s="43"/>
      <c r="W651" s="43"/>
      <c r="X651" s="43"/>
      <c r="Y651" s="43"/>
      <c r="Z651" s="43"/>
      <c r="AA651" s="43"/>
    </row>
    <row r="652">
      <c r="A652" s="43"/>
      <c r="B652" s="160"/>
      <c r="C652" s="160"/>
      <c r="D652" s="160"/>
      <c r="E652" s="43"/>
      <c r="F652" s="43"/>
      <c r="G652" s="43"/>
      <c r="H652" s="43"/>
      <c r="I652" s="43"/>
      <c r="J652" s="43"/>
      <c r="K652" s="43"/>
      <c r="L652" s="43"/>
      <c r="M652" s="43"/>
      <c r="N652" s="43"/>
      <c r="O652" s="43"/>
      <c r="P652" s="43"/>
      <c r="Q652" s="43"/>
      <c r="R652" s="43"/>
      <c r="S652" s="43"/>
      <c r="T652" s="43"/>
      <c r="U652" s="43"/>
      <c r="V652" s="43"/>
      <c r="W652" s="43"/>
      <c r="X652" s="43"/>
      <c r="Y652" s="43"/>
      <c r="Z652" s="43"/>
      <c r="AA652" s="43"/>
    </row>
    <row r="653">
      <c r="A653" s="43"/>
      <c r="B653" s="160"/>
      <c r="C653" s="160"/>
      <c r="D653" s="160"/>
      <c r="E653" s="43"/>
      <c r="F653" s="43"/>
      <c r="G653" s="43"/>
      <c r="H653" s="43"/>
      <c r="I653" s="43"/>
      <c r="J653" s="43"/>
      <c r="K653" s="43"/>
      <c r="L653" s="43"/>
      <c r="M653" s="43"/>
      <c r="N653" s="43"/>
      <c r="O653" s="43"/>
      <c r="P653" s="43"/>
      <c r="Q653" s="43"/>
      <c r="R653" s="43"/>
      <c r="S653" s="43"/>
      <c r="T653" s="43"/>
      <c r="U653" s="43"/>
      <c r="V653" s="43"/>
      <c r="W653" s="43"/>
      <c r="X653" s="43"/>
      <c r="Y653" s="43"/>
      <c r="Z653" s="43"/>
      <c r="AA653" s="43"/>
    </row>
    <row r="654">
      <c r="A654" s="43"/>
      <c r="B654" s="160"/>
      <c r="C654" s="160"/>
      <c r="D654" s="160"/>
      <c r="E654" s="43"/>
      <c r="F654" s="43"/>
      <c r="G654" s="43"/>
      <c r="H654" s="43"/>
      <c r="I654" s="43"/>
      <c r="J654" s="43"/>
      <c r="K654" s="43"/>
      <c r="L654" s="43"/>
      <c r="M654" s="43"/>
      <c r="N654" s="43"/>
      <c r="O654" s="43"/>
      <c r="P654" s="43"/>
      <c r="Q654" s="43"/>
      <c r="R654" s="43"/>
      <c r="S654" s="43"/>
      <c r="T654" s="43"/>
      <c r="U654" s="43"/>
      <c r="V654" s="43"/>
      <c r="W654" s="43"/>
      <c r="X654" s="43"/>
      <c r="Y654" s="43"/>
      <c r="Z654" s="43"/>
      <c r="AA654" s="43"/>
    </row>
    <row r="655">
      <c r="A655" s="43"/>
      <c r="B655" s="160"/>
      <c r="C655" s="160"/>
      <c r="D655" s="160"/>
      <c r="E655" s="43"/>
      <c r="F655" s="43"/>
      <c r="G655" s="43"/>
      <c r="H655" s="43"/>
      <c r="I655" s="43"/>
      <c r="J655" s="43"/>
      <c r="K655" s="43"/>
      <c r="L655" s="43"/>
      <c r="M655" s="43"/>
      <c r="N655" s="43"/>
      <c r="O655" s="43"/>
      <c r="P655" s="43"/>
      <c r="Q655" s="43"/>
      <c r="R655" s="43"/>
      <c r="S655" s="43"/>
      <c r="T655" s="43"/>
      <c r="U655" s="43"/>
      <c r="V655" s="43"/>
      <c r="W655" s="43"/>
      <c r="X655" s="43"/>
      <c r="Y655" s="43"/>
      <c r="Z655" s="43"/>
      <c r="AA655" s="43"/>
    </row>
    <row r="656">
      <c r="A656" s="43"/>
      <c r="B656" s="160"/>
      <c r="C656" s="160"/>
      <c r="D656" s="160"/>
      <c r="E656" s="43"/>
      <c r="F656" s="43"/>
      <c r="G656" s="43"/>
      <c r="H656" s="43"/>
      <c r="I656" s="43"/>
      <c r="J656" s="43"/>
      <c r="K656" s="43"/>
      <c r="L656" s="43"/>
      <c r="M656" s="43"/>
      <c r="N656" s="43"/>
      <c r="O656" s="43"/>
      <c r="P656" s="43"/>
      <c r="Q656" s="43"/>
      <c r="R656" s="43"/>
      <c r="S656" s="43"/>
      <c r="T656" s="43"/>
      <c r="U656" s="43"/>
      <c r="V656" s="43"/>
      <c r="W656" s="43"/>
      <c r="X656" s="43"/>
      <c r="Y656" s="43"/>
      <c r="Z656" s="43"/>
      <c r="AA656" s="43"/>
    </row>
    <row r="657">
      <c r="A657" s="43"/>
      <c r="B657" s="160"/>
      <c r="C657" s="160"/>
      <c r="D657" s="160"/>
      <c r="E657" s="43"/>
      <c r="F657" s="43"/>
      <c r="G657" s="43"/>
      <c r="H657" s="43"/>
      <c r="I657" s="43"/>
      <c r="J657" s="43"/>
      <c r="K657" s="43"/>
      <c r="L657" s="43"/>
      <c r="M657" s="43"/>
      <c r="N657" s="43"/>
      <c r="O657" s="43"/>
      <c r="P657" s="43"/>
      <c r="Q657" s="43"/>
      <c r="R657" s="43"/>
      <c r="S657" s="43"/>
      <c r="T657" s="43"/>
      <c r="U657" s="43"/>
      <c r="V657" s="43"/>
      <c r="W657" s="43"/>
      <c r="X657" s="43"/>
      <c r="Y657" s="43"/>
      <c r="Z657" s="43"/>
      <c r="AA657" s="43"/>
    </row>
    <row r="658">
      <c r="A658" s="43"/>
      <c r="B658" s="160"/>
      <c r="C658" s="160"/>
      <c r="D658" s="160"/>
      <c r="E658" s="43"/>
      <c r="F658" s="43"/>
      <c r="G658" s="43"/>
      <c r="H658" s="43"/>
      <c r="I658" s="43"/>
      <c r="J658" s="43"/>
      <c r="K658" s="43"/>
      <c r="L658" s="43"/>
      <c r="M658" s="43"/>
      <c r="N658" s="43"/>
      <c r="O658" s="43"/>
      <c r="P658" s="43"/>
      <c r="Q658" s="43"/>
      <c r="R658" s="43"/>
      <c r="S658" s="43"/>
      <c r="T658" s="43"/>
      <c r="U658" s="43"/>
      <c r="V658" s="43"/>
      <c r="W658" s="43"/>
      <c r="X658" s="43"/>
      <c r="Y658" s="43"/>
      <c r="Z658" s="43"/>
      <c r="AA658" s="43"/>
    </row>
    <row r="659">
      <c r="A659" s="43"/>
      <c r="B659" s="160"/>
      <c r="C659" s="160"/>
      <c r="D659" s="160"/>
      <c r="E659" s="43"/>
      <c r="F659" s="43"/>
      <c r="G659" s="43"/>
      <c r="H659" s="43"/>
      <c r="I659" s="43"/>
      <c r="J659" s="43"/>
      <c r="K659" s="43"/>
      <c r="L659" s="43"/>
      <c r="M659" s="43"/>
      <c r="N659" s="43"/>
      <c r="O659" s="43"/>
      <c r="P659" s="43"/>
      <c r="Q659" s="43"/>
      <c r="R659" s="43"/>
      <c r="S659" s="43"/>
      <c r="T659" s="43"/>
      <c r="U659" s="43"/>
      <c r="V659" s="43"/>
      <c r="W659" s="43"/>
      <c r="X659" s="43"/>
      <c r="Y659" s="43"/>
      <c r="Z659" s="43"/>
      <c r="AA659" s="43"/>
    </row>
    <row r="660">
      <c r="A660" s="43"/>
      <c r="B660" s="160"/>
      <c r="C660" s="160"/>
      <c r="D660" s="160"/>
      <c r="E660" s="43"/>
      <c r="F660" s="43"/>
      <c r="G660" s="43"/>
      <c r="H660" s="43"/>
      <c r="I660" s="43"/>
      <c r="J660" s="43"/>
      <c r="K660" s="43"/>
      <c r="L660" s="43"/>
      <c r="M660" s="43"/>
      <c r="N660" s="43"/>
      <c r="O660" s="43"/>
      <c r="P660" s="43"/>
      <c r="Q660" s="43"/>
      <c r="R660" s="43"/>
      <c r="S660" s="43"/>
      <c r="T660" s="43"/>
      <c r="U660" s="43"/>
      <c r="V660" s="43"/>
      <c r="W660" s="43"/>
      <c r="X660" s="43"/>
      <c r="Y660" s="43"/>
      <c r="Z660" s="43"/>
      <c r="AA660" s="43"/>
    </row>
    <row r="661">
      <c r="A661" s="43"/>
      <c r="B661" s="160"/>
      <c r="C661" s="160"/>
      <c r="D661" s="160"/>
      <c r="E661" s="43"/>
      <c r="F661" s="43"/>
      <c r="G661" s="43"/>
      <c r="H661" s="43"/>
      <c r="I661" s="43"/>
      <c r="J661" s="43"/>
      <c r="K661" s="43"/>
      <c r="L661" s="43"/>
      <c r="M661" s="43"/>
      <c r="N661" s="43"/>
      <c r="O661" s="43"/>
      <c r="P661" s="43"/>
      <c r="Q661" s="43"/>
      <c r="R661" s="43"/>
      <c r="S661" s="43"/>
      <c r="T661" s="43"/>
      <c r="U661" s="43"/>
      <c r="V661" s="43"/>
      <c r="W661" s="43"/>
      <c r="X661" s="43"/>
      <c r="Y661" s="43"/>
      <c r="Z661" s="43"/>
      <c r="AA661" s="43"/>
    </row>
    <row r="662">
      <c r="A662" s="43"/>
      <c r="B662" s="160"/>
      <c r="C662" s="160"/>
      <c r="D662" s="160"/>
      <c r="E662" s="43"/>
      <c r="F662" s="43"/>
      <c r="G662" s="43"/>
      <c r="H662" s="43"/>
      <c r="I662" s="43"/>
      <c r="J662" s="43"/>
      <c r="K662" s="43"/>
      <c r="L662" s="43"/>
      <c r="M662" s="43"/>
      <c r="N662" s="43"/>
      <c r="O662" s="43"/>
      <c r="P662" s="43"/>
      <c r="Q662" s="43"/>
      <c r="R662" s="43"/>
      <c r="S662" s="43"/>
      <c r="T662" s="43"/>
      <c r="U662" s="43"/>
      <c r="V662" s="43"/>
      <c r="W662" s="43"/>
      <c r="X662" s="43"/>
      <c r="Y662" s="43"/>
      <c r="Z662" s="43"/>
      <c r="AA662" s="43"/>
    </row>
    <row r="663">
      <c r="A663" s="43"/>
      <c r="B663" s="160"/>
      <c r="C663" s="160"/>
      <c r="D663" s="160"/>
      <c r="E663" s="43"/>
      <c r="F663" s="43"/>
      <c r="G663" s="43"/>
      <c r="H663" s="43"/>
      <c r="I663" s="43"/>
      <c r="J663" s="43"/>
      <c r="K663" s="43"/>
      <c r="L663" s="43"/>
      <c r="M663" s="43"/>
      <c r="N663" s="43"/>
      <c r="O663" s="43"/>
      <c r="P663" s="43"/>
      <c r="Q663" s="43"/>
      <c r="R663" s="43"/>
      <c r="S663" s="43"/>
      <c r="T663" s="43"/>
      <c r="U663" s="43"/>
      <c r="V663" s="43"/>
      <c r="W663" s="43"/>
      <c r="X663" s="43"/>
      <c r="Y663" s="43"/>
      <c r="Z663" s="43"/>
      <c r="AA663" s="43"/>
    </row>
    <row r="664">
      <c r="A664" s="43"/>
      <c r="B664" s="160"/>
      <c r="C664" s="160"/>
      <c r="D664" s="160"/>
      <c r="E664" s="43"/>
      <c r="F664" s="43"/>
      <c r="G664" s="43"/>
      <c r="H664" s="43"/>
      <c r="I664" s="43"/>
      <c r="J664" s="43"/>
      <c r="K664" s="43"/>
      <c r="L664" s="43"/>
      <c r="M664" s="43"/>
      <c r="N664" s="43"/>
      <c r="O664" s="43"/>
      <c r="P664" s="43"/>
      <c r="Q664" s="43"/>
      <c r="R664" s="43"/>
      <c r="S664" s="43"/>
      <c r="T664" s="43"/>
      <c r="U664" s="43"/>
      <c r="V664" s="43"/>
      <c r="W664" s="43"/>
      <c r="X664" s="43"/>
      <c r="Y664" s="43"/>
      <c r="Z664" s="43"/>
      <c r="AA664" s="43"/>
    </row>
    <row r="665">
      <c r="A665" s="43"/>
      <c r="B665" s="160"/>
      <c r="C665" s="160"/>
      <c r="D665" s="160"/>
      <c r="E665" s="43"/>
      <c r="F665" s="43"/>
      <c r="G665" s="43"/>
      <c r="H665" s="43"/>
      <c r="I665" s="43"/>
      <c r="J665" s="43"/>
      <c r="K665" s="43"/>
      <c r="L665" s="43"/>
      <c r="M665" s="43"/>
      <c r="N665" s="43"/>
      <c r="O665" s="43"/>
      <c r="P665" s="43"/>
      <c r="Q665" s="43"/>
      <c r="R665" s="43"/>
      <c r="S665" s="43"/>
      <c r="T665" s="43"/>
      <c r="U665" s="43"/>
      <c r="V665" s="43"/>
      <c r="W665" s="43"/>
      <c r="X665" s="43"/>
      <c r="Y665" s="43"/>
      <c r="Z665" s="43"/>
      <c r="AA665" s="43"/>
    </row>
    <row r="666">
      <c r="A666" s="43"/>
      <c r="B666" s="160"/>
      <c r="C666" s="160"/>
      <c r="D666" s="160"/>
      <c r="E666" s="43"/>
      <c r="F666" s="43"/>
      <c r="G666" s="43"/>
      <c r="H666" s="43"/>
      <c r="I666" s="43"/>
      <c r="J666" s="43"/>
      <c r="K666" s="43"/>
      <c r="L666" s="43"/>
      <c r="M666" s="43"/>
      <c r="N666" s="43"/>
      <c r="O666" s="43"/>
      <c r="P666" s="43"/>
      <c r="Q666" s="43"/>
      <c r="R666" s="43"/>
      <c r="S666" s="43"/>
      <c r="T666" s="43"/>
      <c r="U666" s="43"/>
      <c r="V666" s="43"/>
      <c r="W666" s="43"/>
      <c r="X666" s="43"/>
      <c r="Y666" s="43"/>
      <c r="Z666" s="43"/>
      <c r="AA666" s="43"/>
    </row>
    <row r="667">
      <c r="A667" s="43"/>
      <c r="B667" s="160"/>
      <c r="C667" s="160"/>
      <c r="D667" s="160"/>
      <c r="E667" s="43"/>
      <c r="F667" s="43"/>
      <c r="G667" s="43"/>
      <c r="H667" s="43"/>
      <c r="I667" s="43"/>
      <c r="J667" s="43"/>
      <c r="K667" s="43"/>
      <c r="L667" s="43"/>
      <c r="M667" s="43"/>
      <c r="N667" s="43"/>
      <c r="O667" s="43"/>
      <c r="P667" s="43"/>
      <c r="Q667" s="43"/>
      <c r="R667" s="43"/>
      <c r="S667" s="43"/>
      <c r="T667" s="43"/>
      <c r="U667" s="43"/>
      <c r="V667" s="43"/>
      <c r="W667" s="43"/>
      <c r="X667" s="43"/>
      <c r="Y667" s="43"/>
      <c r="Z667" s="43"/>
      <c r="AA667" s="43"/>
    </row>
    <row r="668">
      <c r="A668" s="43"/>
      <c r="B668" s="160"/>
      <c r="C668" s="160"/>
      <c r="D668" s="160"/>
      <c r="E668" s="43"/>
      <c r="F668" s="43"/>
      <c r="G668" s="43"/>
      <c r="H668" s="43"/>
      <c r="I668" s="43"/>
      <c r="J668" s="43"/>
      <c r="K668" s="43"/>
      <c r="L668" s="43"/>
      <c r="M668" s="43"/>
      <c r="N668" s="43"/>
      <c r="O668" s="43"/>
      <c r="P668" s="43"/>
      <c r="Q668" s="43"/>
      <c r="R668" s="43"/>
      <c r="S668" s="43"/>
      <c r="T668" s="43"/>
      <c r="U668" s="43"/>
      <c r="V668" s="43"/>
      <c r="W668" s="43"/>
      <c r="X668" s="43"/>
      <c r="Y668" s="43"/>
      <c r="Z668" s="43"/>
      <c r="AA668" s="43"/>
    </row>
    <row r="669">
      <c r="A669" s="43"/>
      <c r="B669" s="160"/>
      <c r="C669" s="160"/>
      <c r="D669" s="160"/>
      <c r="E669" s="43"/>
      <c r="F669" s="43"/>
      <c r="G669" s="43"/>
      <c r="H669" s="43"/>
      <c r="I669" s="43"/>
      <c r="J669" s="43"/>
      <c r="K669" s="43"/>
      <c r="L669" s="43"/>
      <c r="M669" s="43"/>
      <c r="N669" s="43"/>
      <c r="O669" s="43"/>
      <c r="P669" s="43"/>
      <c r="Q669" s="43"/>
      <c r="R669" s="43"/>
      <c r="S669" s="43"/>
      <c r="T669" s="43"/>
      <c r="U669" s="43"/>
      <c r="V669" s="43"/>
      <c r="W669" s="43"/>
      <c r="X669" s="43"/>
      <c r="Y669" s="43"/>
      <c r="Z669" s="43"/>
      <c r="AA669" s="43"/>
    </row>
    <row r="670">
      <c r="A670" s="43"/>
      <c r="B670" s="160"/>
      <c r="C670" s="160"/>
      <c r="D670" s="160"/>
      <c r="E670" s="43"/>
      <c r="F670" s="43"/>
      <c r="G670" s="43"/>
      <c r="H670" s="43"/>
      <c r="I670" s="43"/>
      <c r="J670" s="43"/>
      <c r="K670" s="43"/>
      <c r="L670" s="43"/>
      <c r="M670" s="43"/>
      <c r="N670" s="43"/>
      <c r="O670" s="43"/>
      <c r="P670" s="43"/>
      <c r="Q670" s="43"/>
      <c r="R670" s="43"/>
      <c r="S670" s="43"/>
      <c r="T670" s="43"/>
      <c r="U670" s="43"/>
      <c r="V670" s="43"/>
      <c r="W670" s="43"/>
      <c r="X670" s="43"/>
      <c r="Y670" s="43"/>
      <c r="Z670" s="43"/>
      <c r="AA670" s="43"/>
    </row>
    <row r="671">
      <c r="A671" s="43"/>
      <c r="B671" s="160"/>
      <c r="C671" s="160"/>
      <c r="D671" s="160"/>
      <c r="E671" s="43"/>
      <c r="F671" s="43"/>
      <c r="G671" s="43"/>
      <c r="H671" s="43"/>
      <c r="I671" s="43"/>
      <c r="J671" s="43"/>
      <c r="K671" s="43"/>
      <c r="L671" s="43"/>
      <c r="M671" s="43"/>
      <c r="N671" s="43"/>
      <c r="O671" s="43"/>
      <c r="P671" s="43"/>
      <c r="Q671" s="43"/>
      <c r="R671" s="43"/>
      <c r="S671" s="43"/>
      <c r="T671" s="43"/>
      <c r="U671" s="43"/>
      <c r="V671" s="43"/>
      <c r="W671" s="43"/>
      <c r="X671" s="43"/>
      <c r="Y671" s="43"/>
      <c r="Z671" s="43"/>
      <c r="AA671" s="43"/>
    </row>
    <row r="672">
      <c r="A672" s="43"/>
      <c r="B672" s="160"/>
      <c r="C672" s="160"/>
      <c r="D672" s="160"/>
      <c r="E672" s="43"/>
      <c r="F672" s="43"/>
      <c r="G672" s="43"/>
      <c r="H672" s="43"/>
      <c r="I672" s="43"/>
      <c r="J672" s="43"/>
      <c r="K672" s="43"/>
      <c r="L672" s="43"/>
      <c r="M672" s="43"/>
      <c r="N672" s="43"/>
      <c r="O672" s="43"/>
      <c r="P672" s="43"/>
      <c r="Q672" s="43"/>
      <c r="R672" s="43"/>
      <c r="S672" s="43"/>
      <c r="T672" s="43"/>
      <c r="U672" s="43"/>
      <c r="V672" s="43"/>
      <c r="W672" s="43"/>
      <c r="X672" s="43"/>
      <c r="Y672" s="43"/>
      <c r="Z672" s="43"/>
      <c r="AA672" s="43"/>
    </row>
    <row r="673">
      <c r="A673" s="43"/>
      <c r="B673" s="160"/>
      <c r="C673" s="160"/>
      <c r="D673" s="160"/>
      <c r="E673" s="43"/>
      <c r="F673" s="43"/>
      <c r="G673" s="43"/>
      <c r="H673" s="43"/>
      <c r="I673" s="43"/>
      <c r="J673" s="43"/>
      <c r="K673" s="43"/>
      <c r="L673" s="43"/>
      <c r="M673" s="43"/>
      <c r="N673" s="43"/>
      <c r="O673" s="43"/>
      <c r="P673" s="43"/>
      <c r="Q673" s="43"/>
      <c r="R673" s="43"/>
      <c r="S673" s="43"/>
      <c r="T673" s="43"/>
      <c r="U673" s="43"/>
      <c r="V673" s="43"/>
      <c r="W673" s="43"/>
      <c r="X673" s="43"/>
      <c r="Y673" s="43"/>
      <c r="Z673" s="43"/>
      <c r="AA673" s="43"/>
    </row>
    <row r="674">
      <c r="A674" s="43"/>
      <c r="B674" s="160"/>
      <c r="C674" s="160"/>
      <c r="D674" s="160"/>
      <c r="E674" s="43"/>
      <c r="F674" s="43"/>
      <c r="G674" s="43"/>
      <c r="H674" s="43"/>
      <c r="I674" s="43"/>
      <c r="J674" s="43"/>
      <c r="K674" s="43"/>
      <c r="L674" s="43"/>
      <c r="M674" s="43"/>
      <c r="N674" s="43"/>
      <c r="O674" s="43"/>
      <c r="P674" s="43"/>
      <c r="Q674" s="43"/>
      <c r="R674" s="43"/>
      <c r="S674" s="43"/>
      <c r="T674" s="43"/>
      <c r="U674" s="43"/>
      <c r="V674" s="43"/>
      <c r="W674" s="43"/>
      <c r="X674" s="43"/>
      <c r="Y674" s="43"/>
      <c r="Z674" s="43"/>
      <c r="AA674" s="43"/>
    </row>
    <row r="675">
      <c r="A675" s="43"/>
      <c r="B675" s="160"/>
      <c r="C675" s="160"/>
      <c r="D675" s="160"/>
      <c r="E675" s="43"/>
      <c r="F675" s="43"/>
      <c r="G675" s="43"/>
      <c r="H675" s="43"/>
      <c r="I675" s="43"/>
      <c r="J675" s="43"/>
      <c r="K675" s="43"/>
      <c r="L675" s="43"/>
      <c r="M675" s="43"/>
      <c r="N675" s="43"/>
      <c r="O675" s="43"/>
      <c r="P675" s="43"/>
      <c r="Q675" s="43"/>
      <c r="R675" s="43"/>
      <c r="S675" s="43"/>
      <c r="T675" s="43"/>
      <c r="U675" s="43"/>
      <c r="V675" s="43"/>
      <c r="W675" s="43"/>
      <c r="X675" s="43"/>
      <c r="Y675" s="43"/>
      <c r="Z675" s="43"/>
      <c r="AA675" s="43"/>
    </row>
    <row r="676">
      <c r="A676" s="43"/>
      <c r="B676" s="160"/>
      <c r="C676" s="160"/>
      <c r="D676" s="160"/>
      <c r="E676" s="43"/>
      <c r="F676" s="43"/>
      <c r="G676" s="43"/>
      <c r="H676" s="43"/>
      <c r="I676" s="43"/>
      <c r="J676" s="43"/>
      <c r="K676" s="43"/>
      <c r="L676" s="43"/>
      <c r="M676" s="43"/>
      <c r="N676" s="43"/>
      <c r="O676" s="43"/>
      <c r="P676" s="43"/>
      <c r="Q676" s="43"/>
      <c r="R676" s="43"/>
      <c r="S676" s="43"/>
      <c r="T676" s="43"/>
      <c r="U676" s="43"/>
      <c r="V676" s="43"/>
      <c r="W676" s="43"/>
      <c r="X676" s="43"/>
      <c r="Y676" s="43"/>
      <c r="Z676" s="43"/>
      <c r="AA676" s="43"/>
    </row>
    <row r="677">
      <c r="A677" s="43"/>
      <c r="B677" s="160"/>
      <c r="C677" s="160"/>
      <c r="D677" s="160"/>
      <c r="E677" s="43"/>
      <c r="F677" s="43"/>
      <c r="G677" s="43"/>
      <c r="H677" s="43"/>
      <c r="I677" s="43"/>
      <c r="J677" s="43"/>
      <c r="K677" s="43"/>
      <c r="L677" s="43"/>
      <c r="M677" s="43"/>
      <c r="N677" s="43"/>
      <c r="O677" s="43"/>
      <c r="P677" s="43"/>
      <c r="Q677" s="43"/>
      <c r="R677" s="43"/>
      <c r="S677" s="43"/>
      <c r="T677" s="43"/>
      <c r="U677" s="43"/>
      <c r="V677" s="43"/>
      <c r="W677" s="43"/>
      <c r="X677" s="43"/>
      <c r="Y677" s="43"/>
      <c r="Z677" s="43"/>
      <c r="AA677" s="43"/>
    </row>
    <row r="678">
      <c r="A678" s="43"/>
      <c r="B678" s="160"/>
      <c r="C678" s="160"/>
      <c r="D678" s="160"/>
      <c r="E678" s="43"/>
      <c r="F678" s="43"/>
      <c r="G678" s="43"/>
      <c r="H678" s="43"/>
      <c r="I678" s="43"/>
      <c r="J678" s="43"/>
      <c r="K678" s="43"/>
      <c r="L678" s="43"/>
      <c r="M678" s="43"/>
      <c r="N678" s="43"/>
      <c r="O678" s="43"/>
      <c r="P678" s="43"/>
      <c r="Q678" s="43"/>
      <c r="R678" s="43"/>
      <c r="S678" s="43"/>
      <c r="T678" s="43"/>
      <c r="U678" s="43"/>
      <c r="V678" s="43"/>
      <c r="W678" s="43"/>
      <c r="X678" s="43"/>
      <c r="Y678" s="43"/>
      <c r="Z678" s="43"/>
      <c r="AA678" s="43"/>
    </row>
    <row r="679">
      <c r="A679" s="43"/>
      <c r="B679" s="160"/>
      <c r="C679" s="160"/>
      <c r="D679" s="160"/>
      <c r="E679" s="43"/>
      <c r="F679" s="43"/>
      <c r="G679" s="43"/>
      <c r="H679" s="43"/>
      <c r="I679" s="43"/>
      <c r="J679" s="43"/>
      <c r="K679" s="43"/>
      <c r="L679" s="43"/>
      <c r="M679" s="43"/>
      <c r="N679" s="43"/>
      <c r="O679" s="43"/>
      <c r="P679" s="43"/>
      <c r="Q679" s="43"/>
      <c r="R679" s="43"/>
      <c r="S679" s="43"/>
      <c r="T679" s="43"/>
      <c r="U679" s="43"/>
      <c r="V679" s="43"/>
      <c r="W679" s="43"/>
      <c r="X679" s="43"/>
      <c r="Y679" s="43"/>
      <c r="Z679" s="43"/>
      <c r="AA679" s="43"/>
    </row>
    <row r="680">
      <c r="A680" s="43"/>
      <c r="B680" s="160"/>
      <c r="C680" s="160"/>
      <c r="D680" s="160"/>
      <c r="E680" s="43"/>
      <c r="F680" s="43"/>
      <c r="G680" s="43"/>
      <c r="H680" s="43"/>
      <c r="I680" s="43"/>
      <c r="J680" s="43"/>
      <c r="K680" s="43"/>
      <c r="L680" s="43"/>
      <c r="M680" s="43"/>
      <c r="N680" s="43"/>
      <c r="O680" s="43"/>
      <c r="P680" s="43"/>
      <c r="Q680" s="43"/>
      <c r="R680" s="43"/>
      <c r="S680" s="43"/>
      <c r="T680" s="43"/>
      <c r="U680" s="43"/>
      <c r="V680" s="43"/>
      <c r="W680" s="43"/>
      <c r="X680" s="43"/>
      <c r="Y680" s="43"/>
      <c r="Z680" s="43"/>
      <c r="AA680" s="43"/>
    </row>
    <row r="681">
      <c r="A681" s="43"/>
      <c r="B681" s="160"/>
      <c r="C681" s="160"/>
      <c r="D681" s="160"/>
      <c r="E681" s="43"/>
      <c r="F681" s="43"/>
      <c r="G681" s="43"/>
      <c r="H681" s="43"/>
      <c r="I681" s="43"/>
      <c r="J681" s="43"/>
      <c r="K681" s="43"/>
      <c r="L681" s="43"/>
      <c r="M681" s="43"/>
      <c r="N681" s="43"/>
      <c r="O681" s="43"/>
      <c r="P681" s="43"/>
      <c r="Q681" s="43"/>
      <c r="R681" s="43"/>
      <c r="S681" s="43"/>
      <c r="T681" s="43"/>
      <c r="U681" s="43"/>
      <c r="V681" s="43"/>
      <c r="W681" s="43"/>
      <c r="X681" s="43"/>
      <c r="Y681" s="43"/>
      <c r="Z681" s="43"/>
      <c r="AA681" s="43"/>
    </row>
    <row r="682">
      <c r="A682" s="43"/>
      <c r="B682" s="160"/>
      <c r="C682" s="160"/>
      <c r="D682" s="160"/>
      <c r="E682" s="43"/>
      <c r="F682" s="43"/>
      <c r="G682" s="43"/>
      <c r="H682" s="43"/>
      <c r="I682" s="43"/>
      <c r="J682" s="43"/>
      <c r="K682" s="43"/>
      <c r="L682" s="43"/>
      <c r="M682" s="43"/>
      <c r="N682" s="43"/>
      <c r="O682" s="43"/>
      <c r="P682" s="43"/>
      <c r="Q682" s="43"/>
      <c r="R682" s="43"/>
      <c r="S682" s="43"/>
      <c r="T682" s="43"/>
      <c r="U682" s="43"/>
      <c r="V682" s="43"/>
      <c r="W682" s="43"/>
      <c r="X682" s="43"/>
      <c r="Y682" s="43"/>
      <c r="Z682" s="43"/>
      <c r="AA682" s="43"/>
    </row>
    <row r="683">
      <c r="A683" s="43"/>
      <c r="B683" s="160"/>
      <c r="C683" s="160"/>
      <c r="D683" s="160"/>
      <c r="E683" s="43"/>
      <c r="F683" s="43"/>
      <c r="G683" s="43"/>
      <c r="H683" s="43"/>
      <c r="I683" s="43"/>
      <c r="J683" s="43"/>
      <c r="K683" s="43"/>
      <c r="L683" s="43"/>
      <c r="M683" s="43"/>
      <c r="N683" s="43"/>
      <c r="O683" s="43"/>
      <c r="P683" s="43"/>
      <c r="Q683" s="43"/>
      <c r="R683" s="43"/>
      <c r="S683" s="43"/>
      <c r="T683" s="43"/>
      <c r="U683" s="43"/>
      <c r="V683" s="43"/>
      <c r="W683" s="43"/>
      <c r="X683" s="43"/>
      <c r="Y683" s="43"/>
      <c r="Z683" s="43"/>
      <c r="AA683" s="43"/>
    </row>
    <row r="684">
      <c r="A684" s="43"/>
      <c r="B684" s="160"/>
      <c r="C684" s="160"/>
      <c r="D684" s="160"/>
      <c r="E684" s="43"/>
      <c r="F684" s="43"/>
      <c r="G684" s="43"/>
      <c r="H684" s="43"/>
      <c r="I684" s="43"/>
      <c r="J684" s="43"/>
      <c r="K684" s="43"/>
      <c r="L684" s="43"/>
      <c r="M684" s="43"/>
      <c r="N684" s="43"/>
      <c r="O684" s="43"/>
      <c r="P684" s="43"/>
      <c r="Q684" s="43"/>
      <c r="R684" s="43"/>
      <c r="S684" s="43"/>
      <c r="T684" s="43"/>
      <c r="U684" s="43"/>
      <c r="V684" s="43"/>
      <c r="W684" s="43"/>
      <c r="X684" s="43"/>
      <c r="Y684" s="43"/>
      <c r="Z684" s="43"/>
      <c r="AA684" s="43"/>
    </row>
    <row r="685">
      <c r="A685" s="43"/>
      <c r="B685" s="160"/>
      <c r="C685" s="160"/>
      <c r="D685" s="160"/>
      <c r="E685" s="43"/>
      <c r="F685" s="43"/>
      <c r="G685" s="43"/>
      <c r="H685" s="43"/>
      <c r="I685" s="43"/>
      <c r="J685" s="43"/>
      <c r="K685" s="43"/>
      <c r="L685" s="43"/>
      <c r="M685" s="43"/>
      <c r="N685" s="43"/>
      <c r="O685" s="43"/>
      <c r="P685" s="43"/>
      <c r="Q685" s="43"/>
      <c r="R685" s="43"/>
      <c r="S685" s="43"/>
      <c r="T685" s="43"/>
      <c r="U685" s="43"/>
      <c r="V685" s="43"/>
      <c r="W685" s="43"/>
      <c r="X685" s="43"/>
      <c r="Y685" s="43"/>
      <c r="Z685" s="43"/>
      <c r="AA685" s="43"/>
    </row>
    <row r="686">
      <c r="A686" s="43"/>
      <c r="B686" s="160"/>
      <c r="C686" s="160"/>
      <c r="D686" s="160"/>
      <c r="E686" s="43"/>
      <c r="F686" s="43"/>
      <c r="G686" s="43"/>
      <c r="H686" s="43"/>
      <c r="I686" s="43"/>
      <c r="J686" s="43"/>
      <c r="K686" s="43"/>
      <c r="L686" s="43"/>
      <c r="M686" s="43"/>
      <c r="N686" s="43"/>
      <c r="O686" s="43"/>
      <c r="P686" s="43"/>
      <c r="Q686" s="43"/>
      <c r="R686" s="43"/>
      <c r="S686" s="43"/>
      <c r="T686" s="43"/>
      <c r="U686" s="43"/>
      <c r="V686" s="43"/>
      <c r="W686" s="43"/>
      <c r="X686" s="43"/>
      <c r="Y686" s="43"/>
      <c r="Z686" s="43"/>
      <c r="AA686" s="43"/>
    </row>
    <row r="687">
      <c r="A687" s="43"/>
      <c r="B687" s="160"/>
      <c r="C687" s="160"/>
      <c r="D687" s="160"/>
      <c r="E687" s="43"/>
      <c r="F687" s="43"/>
      <c r="G687" s="43"/>
      <c r="H687" s="43"/>
      <c r="I687" s="43"/>
      <c r="J687" s="43"/>
      <c r="K687" s="43"/>
      <c r="L687" s="43"/>
      <c r="M687" s="43"/>
      <c r="N687" s="43"/>
      <c r="O687" s="43"/>
      <c r="P687" s="43"/>
      <c r="Q687" s="43"/>
      <c r="R687" s="43"/>
      <c r="S687" s="43"/>
      <c r="T687" s="43"/>
      <c r="U687" s="43"/>
      <c r="V687" s="43"/>
      <c r="W687" s="43"/>
      <c r="X687" s="43"/>
      <c r="Y687" s="43"/>
      <c r="Z687" s="43"/>
      <c r="AA687" s="43"/>
    </row>
    <row r="688">
      <c r="A688" s="43"/>
      <c r="B688" s="160"/>
      <c r="C688" s="160"/>
      <c r="D688" s="160"/>
      <c r="E688" s="43"/>
      <c r="F688" s="43"/>
      <c r="G688" s="43"/>
      <c r="H688" s="43"/>
      <c r="I688" s="43"/>
      <c r="J688" s="43"/>
      <c r="K688" s="43"/>
      <c r="L688" s="43"/>
      <c r="M688" s="43"/>
      <c r="N688" s="43"/>
      <c r="O688" s="43"/>
      <c r="P688" s="43"/>
      <c r="Q688" s="43"/>
      <c r="R688" s="43"/>
      <c r="S688" s="43"/>
      <c r="T688" s="43"/>
      <c r="U688" s="43"/>
      <c r="V688" s="43"/>
      <c r="W688" s="43"/>
      <c r="X688" s="43"/>
      <c r="Y688" s="43"/>
      <c r="Z688" s="43"/>
      <c r="AA688" s="43"/>
    </row>
    <row r="689">
      <c r="A689" s="43"/>
      <c r="B689" s="160"/>
      <c r="C689" s="160"/>
      <c r="D689" s="160"/>
      <c r="E689" s="43"/>
      <c r="F689" s="43"/>
      <c r="G689" s="43"/>
      <c r="H689" s="43"/>
      <c r="I689" s="43"/>
      <c r="J689" s="43"/>
      <c r="K689" s="43"/>
      <c r="L689" s="43"/>
      <c r="M689" s="43"/>
      <c r="N689" s="43"/>
      <c r="O689" s="43"/>
      <c r="P689" s="43"/>
      <c r="Q689" s="43"/>
      <c r="R689" s="43"/>
      <c r="S689" s="43"/>
      <c r="T689" s="43"/>
      <c r="U689" s="43"/>
      <c r="V689" s="43"/>
      <c r="W689" s="43"/>
      <c r="X689" s="43"/>
      <c r="Y689" s="43"/>
      <c r="Z689" s="43"/>
      <c r="AA689" s="43"/>
    </row>
    <row r="690">
      <c r="A690" s="43"/>
      <c r="B690" s="160"/>
      <c r="C690" s="160"/>
      <c r="D690" s="160"/>
      <c r="E690" s="43"/>
      <c r="F690" s="43"/>
      <c r="G690" s="43"/>
      <c r="H690" s="43"/>
      <c r="I690" s="43"/>
      <c r="J690" s="43"/>
      <c r="K690" s="43"/>
      <c r="L690" s="43"/>
      <c r="M690" s="43"/>
      <c r="N690" s="43"/>
      <c r="O690" s="43"/>
      <c r="P690" s="43"/>
      <c r="Q690" s="43"/>
      <c r="R690" s="43"/>
      <c r="S690" s="43"/>
      <c r="T690" s="43"/>
      <c r="U690" s="43"/>
      <c r="V690" s="43"/>
      <c r="W690" s="43"/>
      <c r="X690" s="43"/>
      <c r="Y690" s="43"/>
      <c r="Z690" s="43"/>
      <c r="AA690" s="43"/>
    </row>
    <row r="691">
      <c r="A691" s="43"/>
      <c r="B691" s="160"/>
      <c r="C691" s="160"/>
      <c r="D691" s="160"/>
      <c r="E691" s="43"/>
      <c r="F691" s="43"/>
      <c r="G691" s="43"/>
      <c r="H691" s="43"/>
      <c r="I691" s="43"/>
      <c r="J691" s="43"/>
      <c r="K691" s="43"/>
      <c r="L691" s="43"/>
      <c r="M691" s="43"/>
      <c r="N691" s="43"/>
      <c r="O691" s="43"/>
      <c r="P691" s="43"/>
      <c r="Q691" s="43"/>
      <c r="R691" s="43"/>
      <c r="S691" s="43"/>
      <c r="T691" s="43"/>
      <c r="U691" s="43"/>
      <c r="V691" s="43"/>
      <c r="W691" s="43"/>
      <c r="X691" s="43"/>
      <c r="Y691" s="43"/>
      <c r="Z691" s="43"/>
      <c r="AA691" s="43"/>
    </row>
    <row r="692">
      <c r="A692" s="43"/>
      <c r="B692" s="160"/>
      <c r="C692" s="160"/>
      <c r="D692" s="160"/>
      <c r="E692" s="43"/>
      <c r="F692" s="43"/>
      <c r="G692" s="43"/>
      <c r="H692" s="43"/>
      <c r="I692" s="43"/>
      <c r="J692" s="43"/>
      <c r="K692" s="43"/>
      <c r="L692" s="43"/>
      <c r="M692" s="43"/>
      <c r="N692" s="43"/>
      <c r="O692" s="43"/>
      <c r="P692" s="43"/>
      <c r="Q692" s="43"/>
      <c r="R692" s="43"/>
      <c r="S692" s="43"/>
      <c r="T692" s="43"/>
      <c r="U692" s="43"/>
      <c r="V692" s="43"/>
      <c r="W692" s="43"/>
      <c r="X692" s="43"/>
      <c r="Y692" s="43"/>
      <c r="Z692" s="43"/>
      <c r="AA692" s="43"/>
    </row>
    <row r="693">
      <c r="A693" s="43"/>
      <c r="B693" s="160"/>
      <c r="C693" s="160"/>
      <c r="D693" s="160"/>
      <c r="E693" s="43"/>
      <c r="F693" s="43"/>
      <c r="G693" s="43"/>
      <c r="H693" s="43"/>
      <c r="I693" s="43"/>
      <c r="J693" s="43"/>
      <c r="K693" s="43"/>
      <c r="L693" s="43"/>
      <c r="M693" s="43"/>
      <c r="N693" s="43"/>
      <c r="O693" s="43"/>
      <c r="P693" s="43"/>
      <c r="Q693" s="43"/>
      <c r="R693" s="43"/>
      <c r="S693" s="43"/>
      <c r="T693" s="43"/>
      <c r="U693" s="43"/>
      <c r="V693" s="43"/>
      <c r="W693" s="43"/>
      <c r="X693" s="43"/>
      <c r="Y693" s="43"/>
      <c r="Z693" s="43"/>
      <c r="AA693" s="43"/>
    </row>
    <row r="694">
      <c r="A694" s="43"/>
      <c r="B694" s="160"/>
      <c r="C694" s="160"/>
      <c r="D694" s="160"/>
      <c r="E694" s="43"/>
      <c r="F694" s="43"/>
      <c r="G694" s="43"/>
      <c r="H694" s="43"/>
      <c r="I694" s="43"/>
      <c r="J694" s="43"/>
      <c r="K694" s="43"/>
      <c r="L694" s="43"/>
      <c r="M694" s="43"/>
      <c r="N694" s="43"/>
      <c r="O694" s="43"/>
      <c r="P694" s="43"/>
      <c r="Q694" s="43"/>
      <c r="R694" s="43"/>
      <c r="S694" s="43"/>
      <c r="T694" s="43"/>
      <c r="U694" s="43"/>
      <c r="V694" s="43"/>
      <c r="W694" s="43"/>
      <c r="X694" s="43"/>
      <c r="Y694" s="43"/>
      <c r="Z694" s="43"/>
      <c r="AA694" s="43"/>
    </row>
    <row r="695">
      <c r="A695" s="43"/>
      <c r="B695" s="160"/>
      <c r="C695" s="160"/>
      <c r="D695" s="160"/>
      <c r="E695" s="43"/>
      <c r="F695" s="43"/>
      <c r="G695" s="43"/>
      <c r="H695" s="43"/>
      <c r="I695" s="43"/>
      <c r="J695" s="43"/>
      <c r="K695" s="43"/>
      <c r="L695" s="43"/>
      <c r="M695" s="43"/>
      <c r="N695" s="43"/>
      <c r="O695" s="43"/>
      <c r="P695" s="43"/>
      <c r="Q695" s="43"/>
      <c r="R695" s="43"/>
      <c r="S695" s="43"/>
      <c r="T695" s="43"/>
      <c r="U695" s="43"/>
      <c r="V695" s="43"/>
      <c r="W695" s="43"/>
      <c r="X695" s="43"/>
      <c r="Y695" s="43"/>
      <c r="Z695" s="43"/>
      <c r="AA695" s="43"/>
    </row>
    <row r="696">
      <c r="A696" s="43"/>
      <c r="B696" s="160"/>
      <c r="C696" s="160"/>
      <c r="D696" s="160"/>
      <c r="E696" s="43"/>
      <c r="F696" s="43"/>
      <c r="G696" s="43"/>
      <c r="H696" s="43"/>
      <c r="I696" s="43"/>
      <c r="J696" s="43"/>
      <c r="K696" s="43"/>
      <c r="L696" s="43"/>
      <c r="M696" s="43"/>
      <c r="N696" s="43"/>
      <c r="O696" s="43"/>
      <c r="P696" s="43"/>
      <c r="Q696" s="43"/>
      <c r="R696" s="43"/>
      <c r="S696" s="43"/>
      <c r="T696" s="43"/>
      <c r="U696" s="43"/>
      <c r="V696" s="43"/>
      <c r="W696" s="43"/>
      <c r="X696" s="43"/>
      <c r="Y696" s="43"/>
      <c r="Z696" s="43"/>
      <c r="AA696" s="43"/>
    </row>
    <row r="697">
      <c r="A697" s="43"/>
      <c r="B697" s="160"/>
      <c r="C697" s="160"/>
      <c r="D697" s="160"/>
      <c r="E697" s="43"/>
      <c r="F697" s="43"/>
      <c r="G697" s="43"/>
      <c r="H697" s="43"/>
      <c r="I697" s="43"/>
      <c r="J697" s="43"/>
      <c r="K697" s="43"/>
      <c r="L697" s="43"/>
      <c r="M697" s="43"/>
      <c r="N697" s="43"/>
      <c r="O697" s="43"/>
      <c r="P697" s="43"/>
      <c r="Q697" s="43"/>
      <c r="R697" s="43"/>
      <c r="S697" s="43"/>
      <c r="T697" s="43"/>
      <c r="U697" s="43"/>
      <c r="V697" s="43"/>
      <c r="W697" s="43"/>
      <c r="X697" s="43"/>
      <c r="Y697" s="43"/>
      <c r="Z697" s="43"/>
      <c r="AA697" s="43"/>
    </row>
    <row r="698">
      <c r="A698" s="43"/>
      <c r="B698" s="160"/>
      <c r="C698" s="160"/>
      <c r="D698" s="160"/>
      <c r="E698" s="43"/>
      <c r="F698" s="43"/>
      <c r="G698" s="43"/>
      <c r="H698" s="43"/>
      <c r="I698" s="43"/>
      <c r="J698" s="43"/>
      <c r="K698" s="43"/>
      <c r="L698" s="43"/>
      <c r="M698" s="43"/>
      <c r="N698" s="43"/>
      <c r="O698" s="43"/>
      <c r="P698" s="43"/>
      <c r="Q698" s="43"/>
      <c r="R698" s="43"/>
      <c r="S698" s="43"/>
      <c r="T698" s="43"/>
      <c r="U698" s="43"/>
      <c r="V698" s="43"/>
      <c r="W698" s="43"/>
      <c r="X698" s="43"/>
      <c r="Y698" s="43"/>
      <c r="Z698" s="43"/>
      <c r="AA698" s="43"/>
    </row>
    <row r="699">
      <c r="A699" s="43"/>
      <c r="B699" s="160"/>
      <c r="C699" s="160"/>
      <c r="D699" s="160"/>
      <c r="E699" s="43"/>
      <c r="F699" s="43"/>
      <c r="G699" s="43"/>
      <c r="H699" s="43"/>
      <c r="I699" s="43"/>
      <c r="J699" s="43"/>
      <c r="K699" s="43"/>
      <c r="L699" s="43"/>
      <c r="M699" s="43"/>
      <c r="N699" s="43"/>
      <c r="O699" s="43"/>
      <c r="P699" s="43"/>
      <c r="Q699" s="43"/>
      <c r="R699" s="43"/>
      <c r="S699" s="43"/>
      <c r="T699" s="43"/>
      <c r="U699" s="43"/>
      <c r="V699" s="43"/>
      <c r="W699" s="43"/>
      <c r="X699" s="43"/>
      <c r="Y699" s="43"/>
      <c r="Z699" s="43"/>
      <c r="AA699" s="43"/>
    </row>
    <row r="700">
      <c r="A700" s="43"/>
      <c r="B700" s="160"/>
      <c r="C700" s="160"/>
      <c r="D700" s="160"/>
      <c r="E700" s="43"/>
      <c r="F700" s="43"/>
      <c r="G700" s="43"/>
      <c r="H700" s="43"/>
      <c r="I700" s="43"/>
      <c r="J700" s="43"/>
      <c r="K700" s="43"/>
      <c r="L700" s="43"/>
      <c r="M700" s="43"/>
      <c r="N700" s="43"/>
      <c r="O700" s="43"/>
      <c r="P700" s="43"/>
      <c r="Q700" s="43"/>
      <c r="R700" s="43"/>
      <c r="S700" s="43"/>
      <c r="T700" s="43"/>
      <c r="U700" s="43"/>
      <c r="V700" s="43"/>
      <c r="W700" s="43"/>
      <c r="X700" s="43"/>
      <c r="Y700" s="43"/>
      <c r="Z700" s="43"/>
      <c r="AA700" s="43"/>
    </row>
    <row r="701">
      <c r="A701" s="43"/>
      <c r="B701" s="160"/>
      <c r="C701" s="160"/>
      <c r="D701" s="160"/>
      <c r="E701" s="43"/>
      <c r="F701" s="43"/>
      <c r="G701" s="43"/>
      <c r="H701" s="43"/>
      <c r="I701" s="43"/>
      <c r="J701" s="43"/>
      <c r="K701" s="43"/>
      <c r="L701" s="43"/>
      <c r="M701" s="43"/>
      <c r="N701" s="43"/>
      <c r="O701" s="43"/>
      <c r="P701" s="43"/>
      <c r="Q701" s="43"/>
      <c r="R701" s="43"/>
      <c r="S701" s="43"/>
      <c r="T701" s="43"/>
      <c r="U701" s="43"/>
      <c r="V701" s="43"/>
      <c r="W701" s="43"/>
      <c r="X701" s="43"/>
      <c r="Y701" s="43"/>
      <c r="Z701" s="43"/>
      <c r="AA701" s="43"/>
    </row>
    <row r="702">
      <c r="A702" s="43"/>
      <c r="B702" s="160"/>
      <c r="C702" s="160"/>
      <c r="D702" s="160"/>
      <c r="E702" s="43"/>
      <c r="F702" s="43"/>
      <c r="G702" s="43"/>
      <c r="H702" s="43"/>
      <c r="I702" s="43"/>
      <c r="J702" s="43"/>
      <c r="K702" s="43"/>
      <c r="L702" s="43"/>
      <c r="M702" s="43"/>
      <c r="N702" s="43"/>
      <c r="O702" s="43"/>
      <c r="P702" s="43"/>
      <c r="Q702" s="43"/>
      <c r="R702" s="43"/>
      <c r="S702" s="43"/>
      <c r="T702" s="43"/>
      <c r="U702" s="43"/>
      <c r="V702" s="43"/>
      <c r="W702" s="43"/>
      <c r="X702" s="43"/>
      <c r="Y702" s="43"/>
      <c r="Z702" s="43"/>
      <c r="AA702" s="43"/>
    </row>
    <row r="703">
      <c r="A703" s="43"/>
      <c r="B703" s="160"/>
      <c r="C703" s="160"/>
      <c r="D703" s="160"/>
      <c r="E703" s="43"/>
      <c r="F703" s="43"/>
      <c r="G703" s="43"/>
      <c r="H703" s="43"/>
      <c r="I703" s="43"/>
      <c r="J703" s="43"/>
      <c r="K703" s="43"/>
      <c r="L703" s="43"/>
      <c r="M703" s="43"/>
      <c r="N703" s="43"/>
      <c r="O703" s="43"/>
      <c r="P703" s="43"/>
      <c r="Q703" s="43"/>
      <c r="R703" s="43"/>
      <c r="S703" s="43"/>
      <c r="T703" s="43"/>
      <c r="U703" s="43"/>
      <c r="V703" s="43"/>
      <c r="W703" s="43"/>
      <c r="X703" s="43"/>
      <c r="Y703" s="43"/>
      <c r="Z703" s="43"/>
      <c r="AA703" s="43"/>
    </row>
    <row r="704">
      <c r="A704" s="43"/>
      <c r="B704" s="160"/>
      <c r="C704" s="160"/>
      <c r="D704" s="160"/>
      <c r="E704" s="43"/>
      <c r="F704" s="43"/>
      <c r="G704" s="43"/>
      <c r="H704" s="43"/>
      <c r="I704" s="43"/>
      <c r="J704" s="43"/>
      <c r="K704" s="43"/>
      <c r="L704" s="43"/>
      <c r="M704" s="43"/>
      <c r="N704" s="43"/>
      <c r="O704" s="43"/>
      <c r="P704" s="43"/>
      <c r="Q704" s="43"/>
      <c r="R704" s="43"/>
      <c r="S704" s="43"/>
      <c r="T704" s="43"/>
      <c r="U704" s="43"/>
      <c r="V704" s="43"/>
      <c r="W704" s="43"/>
      <c r="X704" s="43"/>
      <c r="Y704" s="43"/>
      <c r="Z704" s="43"/>
      <c r="AA704" s="43"/>
    </row>
    <row r="705">
      <c r="A705" s="43"/>
      <c r="B705" s="160"/>
      <c r="C705" s="160"/>
      <c r="D705" s="160"/>
      <c r="E705" s="43"/>
      <c r="F705" s="43"/>
      <c r="G705" s="43"/>
      <c r="H705" s="43"/>
      <c r="I705" s="43"/>
      <c r="J705" s="43"/>
      <c r="K705" s="43"/>
      <c r="L705" s="43"/>
      <c r="M705" s="43"/>
      <c r="N705" s="43"/>
      <c r="O705" s="43"/>
      <c r="P705" s="43"/>
      <c r="Q705" s="43"/>
      <c r="R705" s="43"/>
      <c r="S705" s="43"/>
      <c r="T705" s="43"/>
      <c r="U705" s="43"/>
      <c r="V705" s="43"/>
      <c r="W705" s="43"/>
      <c r="X705" s="43"/>
      <c r="Y705" s="43"/>
      <c r="Z705" s="43"/>
      <c r="AA705" s="43"/>
    </row>
    <row r="706">
      <c r="A706" s="43"/>
      <c r="B706" s="160"/>
      <c r="C706" s="160"/>
      <c r="D706" s="160"/>
      <c r="E706" s="43"/>
      <c r="F706" s="43"/>
      <c r="G706" s="43"/>
      <c r="H706" s="43"/>
      <c r="I706" s="43"/>
      <c r="J706" s="43"/>
      <c r="K706" s="43"/>
      <c r="L706" s="43"/>
      <c r="M706" s="43"/>
      <c r="N706" s="43"/>
      <c r="O706" s="43"/>
      <c r="P706" s="43"/>
      <c r="Q706" s="43"/>
      <c r="R706" s="43"/>
      <c r="S706" s="43"/>
      <c r="T706" s="43"/>
      <c r="U706" s="43"/>
      <c r="V706" s="43"/>
      <c r="W706" s="43"/>
      <c r="X706" s="43"/>
      <c r="Y706" s="43"/>
      <c r="Z706" s="43"/>
      <c r="AA706" s="43"/>
    </row>
    <row r="707">
      <c r="A707" s="43"/>
      <c r="B707" s="160"/>
      <c r="C707" s="160"/>
      <c r="D707" s="160"/>
      <c r="E707" s="43"/>
      <c r="F707" s="43"/>
      <c r="G707" s="43"/>
      <c r="H707" s="43"/>
      <c r="I707" s="43"/>
      <c r="J707" s="43"/>
      <c r="K707" s="43"/>
      <c r="L707" s="43"/>
      <c r="M707" s="43"/>
      <c r="N707" s="43"/>
      <c r="O707" s="43"/>
      <c r="P707" s="43"/>
      <c r="Q707" s="43"/>
      <c r="R707" s="43"/>
      <c r="S707" s="43"/>
      <c r="T707" s="43"/>
      <c r="U707" s="43"/>
      <c r="V707" s="43"/>
      <c r="W707" s="43"/>
      <c r="X707" s="43"/>
      <c r="Y707" s="43"/>
      <c r="Z707" s="43"/>
      <c r="AA707" s="43"/>
    </row>
    <row r="708">
      <c r="A708" s="43"/>
      <c r="B708" s="160"/>
      <c r="C708" s="160"/>
      <c r="D708" s="160"/>
      <c r="E708" s="43"/>
      <c r="F708" s="43"/>
      <c r="G708" s="43"/>
      <c r="H708" s="43"/>
      <c r="I708" s="43"/>
      <c r="J708" s="43"/>
      <c r="K708" s="43"/>
      <c r="L708" s="43"/>
      <c r="M708" s="43"/>
      <c r="N708" s="43"/>
      <c r="O708" s="43"/>
      <c r="P708" s="43"/>
      <c r="Q708" s="43"/>
      <c r="R708" s="43"/>
      <c r="S708" s="43"/>
      <c r="T708" s="43"/>
      <c r="U708" s="43"/>
      <c r="V708" s="43"/>
      <c r="W708" s="43"/>
      <c r="X708" s="43"/>
      <c r="Y708" s="43"/>
      <c r="Z708" s="43"/>
      <c r="AA708" s="43"/>
    </row>
    <row r="709">
      <c r="A709" s="43"/>
      <c r="B709" s="160"/>
      <c r="C709" s="160"/>
      <c r="D709" s="160"/>
      <c r="E709" s="43"/>
      <c r="F709" s="43"/>
      <c r="G709" s="43"/>
      <c r="H709" s="43"/>
      <c r="I709" s="43"/>
      <c r="J709" s="43"/>
      <c r="K709" s="43"/>
      <c r="L709" s="43"/>
      <c r="M709" s="43"/>
      <c r="N709" s="43"/>
      <c r="O709" s="43"/>
      <c r="P709" s="43"/>
      <c r="Q709" s="43"/>
      <c r="R709" s="43"/>
      <c r="S709" s="43"/>
      <c r="T709" s="43"/>
      <c r="U709" s="43"/>
      <c r="V709" s="43"/>
      <c r="W709" s="43"/>
      <c r="X709" s="43"/>
      <c r="Y709" s="43"/>
      <c r="Z709" s="43"/>
      <c r="AA709" s="43"/>
    </row>
    <row r="710">
      <c r="A710" s="43"/>
      <c r="B710" s="160"/>
      <c r="C710" s="160"/>
      <c r="D710" s="160"/>
      <c r="E710" s="43"/>
      <c r="F710" s="43"/>
      <c r="G710" s="43"/>
      <c r="H710" s="43"/>
      <c r="I710" s="43"/>
      <c r="J710" s="43"/>
      <c r="K710" s="43"/>
      <c r="L710" s="43"/>
      <c r="M710" s="43"/>
      <c r="N710" s="43"/>
      <c r="O710" s="43"/>
      <c r="P710" s="43"/>
      <c r="Q710" s="43"/>
      <c r="R710" s="43"/>
      <c r="S710" s="43"/>
      <c r="T710" s="43"/>
      <c r="U710" s="43"/>
      <c r="V710" s="43"/>
      <c r="W710" s="43"/>
      <c r="X710" s="43"/>
      <c r="Y710" s="43"/>
      <c r="Z710" s="43"/>
      <c r="AA710" s="43"/>
    </row>
    <row r="711">
      <c r="A711" s="43"/>
      <c r="B711" s="160"/>
      <c r="C711" s="160"/>
      <c r="D711" s="160"/>
      <c r="E711" s="43"/>
      <c r="F711" s="43"/>
      <c r="G711" s="43"/>
      <c r="H711" s="43"/>
      <c r="I711" s="43"/>
      <c r="J711" s="43"/>
      <c r="K711" s="43"/>
      <c r="L711" s="43"/>
      <c r="M711" s="43"/>
      <c r="N711" s="43"/>
      <c r="O711" s="43"/>
      <c r="P711" s="43"/>
      <c r="Q711" s="43"/>
      <c r="R711" s="43"/>
      <c r="S711" s="43"/>
      <c r="T711" s="43"/>
      <c r="U711" s="43"/>
      <c r="V711" s="43"/>
      <c r="W711" s="43"/>
      <c r="X711" s="43"/>
      <c r="Y711" s="43"/>
      <c r="Z711" s="43"/>
      <c r="AA711" s="43"/>
    </row>
    <row r="712">
      <c r="A712" s="43"/>
      <c r="B712" s="160"/>
      <c r="C712" s="160"/>
      <c r="D712" s="160"/>
      <c r="E712" s="43"/>
      <c r="F712" s="43"/>
      <c r="G712" s="43"/>
      <c r="H712" s="43"/>
      <c r="I712" s="43"/>
      <c r="J712" s="43"/>
      <c r="K712" s="43"/>
      <c r="L712" s="43"/>
      <c r="M712" s="43"/>
      <c r="N712" s="43"/>
      <c r="O712" s="43"/>
      <c r="P712" s="43"/>
      <c r="Q712" s="43"/>
      <c r="R712" s="43"/>
      <c r="S712" s="43"/>
      <c r="T712" s="43"/>
      <c r="U712" s="43"/>
      <c r="V712" s="43"/>
      <c r="W712" s="43"/>
      <c r="X712" s="43"/>
      <c r="Y712" s="43"/>
      <c r="Z712" s="43"/>
      <c r="AA712" s="43"/>
    </row>
    <row r="713">
      <c r="A713" s="43"/>
      <c r="B713" s="160"/>
      <c r="C713" s="160"/>
      <c r="D713" s="160"/>
      <c r="E713" s="43"/>
      <c r="F713" s="43"/>
      <c r="G713" s="43"/>
      <c r="H713" s="43"/>
      <c r="I713" s="43"/>
      <c r="J713" s="43"/>
      <c r="K713" s="43"/>
      <c r="L713" s="43"/>
      <c r="M713" s="43"/>
      <c r="N713" s="43"/>
      <c r="O713" s="43"/>
      <c r="P713" s="43"/>
      <c r="Q713" s="43"/>
      <c r="R713" s="43"/>
      <c r="S713" s="43"/>
      <c r="T713" s="43"/>
      <c r="U713" s="43"/>
      <c r="V713" s="43"/>
      <c r="W713" s="43"/>
      <c r="X713" s="43"/>
      <c r="Y713" s="43"/>
      <c r="Z713" s="43"/>
      <c r="AA713" s="43"/>
    </row>
    <row r="714">
      <c r="A714" s="43"/>
      <c r="B714" s="160"/>
      <c r="C714" s="160"/>
      <c r="D714" s="160"/>
      <c r="E714" s="43"/>
      <c r="F714" s="43"/>
      <c r="G714" s="43"/>
      <c r="H714" s="43"/>
      <c r="I714" s="43"/>
      <c r="J714" s="43"/>
      <c r="K714" s="43"/>
      <c r="L714" s="43"/>
      <c r="M714" s="43"/>
      <c r="N714" s="43"/>
      <c r="O714" s="43"/>
      <c r="P714" s="43"/>
      <c r="Q714" s="43"/>
      <c r="R714" s="43"/>
      <c r="S714" s="43"/>
      <c r="T714" s="43"/>
      <c r="U714" s="43"/>
      <c r="V714" s="43"/>
      <c r="W714" s="43"/>
      <c r="X714" s="43"/>
      <c r="Y714" s="43"/>
      <c r="Z714" s="43"/>
      <c r="AA714" s="43"/>
    </row>
    <row r="715">
      <c r="A715" s="43"/>
      <c r="B715" s="160"/>
      <c r="C715" s="160"/>
      <c r="D715" s="160"/>
      <c r="E715" s="43"/>
      <c r="F715" s="43"/>
      <c r="G715" s="43"/>
      <c r="H715" s="43"/>
      <c r="I715" s="43"/>
      <c r="J715" s="43"/>
      <c r="K715" s="43"/>
      <c r="L715" s="43"/>
      <c r="M715" s="43"/>
      <c r="N715" s="43"/>
      <c r="O715" s="43"/>
      <c r="P715" s="43"/>
      <c r="Q715" s="43"/>
      <c r="R715" s="43"/>
      <c r="S715" s="43"/>
      <c r="T715" s="43"/>
      <c r="U715" s="43"/>
      <c r="V715" s="43"/>
      <c r="W715" s="43"/>
      <c r="X715" s="43"/>
      <c r="Y715" s="43"/>
      <c r="Z715" s="43"/>
      <c r="AA715" s="43"/>
    </row>
    <row r="716">
      <c r="A716" s="43"/>
      <c r="B716" s="160"/>
      <c r="C716" s="160"/>
      <c r="D716" s="160"/>
      <c r="E716" s="43"/>
      <c r="F716" s="43"/>
      <c r="G716" s="43"/>
      <c r="H716" s="43"/>
      <c r="I716" s="43"/>
      <c r="J716" s="43"/>
      <c r="K716" s="43"/>
      <c r="L716" s="43"/>
      <c r="M716" s="43"/>
      <c r="N716" s="43"/>
      <c r="O716" s="43"/>
      <c r="P716" s="43"/>
      <c r="Q716" s="43"/>
      <c r="R716" s="43"/>
      <c r="S716" s="43"/>
      <c r="T716" s="43"/>
      <c r="U716" s="43"/>
      <c r="V716" s="43"/>
      <c r="W716" s="43"/>
      <c r="X716" s="43"/>
      <c r="Y716" s="43"/>
      <c r="Z716" s="43"/>
      <c r="AA716" s="43"/>
    </row>
    <row r="717">
      <c r="A717" s="43"/>
      <c r="B717" s="160"/>
      <c r="C717" s="160"/>
      <c r="D717" s="160"/>
      <c r="E717" s="43"/>
      <c r="F717" s="43"/>
      <c r="G717" s="43"/>
      <c r="H717" s="43"/>
      <c r="I717" s="43"/>
      <c r="J717" s="43"/>
      <c r="K717" s="43"/>
      <c r="L717" s="43"/>
      <c r="M717" s="43"/>
      <c r="N717" s="43"/>
      <c r="O717" s="43"/>
      <c r="P717" s="43"/>
      <c r="Q717" s="43"/>
      <c r="R717" s="43"/>
      <c r="S717" s="43"/>
      <c r="T717" s="43"/>
      <c r="U717" s="43"/>
      <c r="V717" s="43"/>
      <c r="W717" s="43"/>
      <c r="X717" s="43"/>
      <c r="Y717" s="43"/>
      <c r="Z717" s="43"/>
      <c r="AA717" s="43"/>
    </row>
    <row r="718">
      <c r="A718" s="43"/>
      <c r="B718" s="160"/>
      <c r="C718" s="160"/>
      <c r="D718" s="160"/>
      <c r="E718" s="43"/>
      <c r="F718" s="43"/>
      <c r="G718" s="43"/>
      <c r="H718" s="43"/>
      <c r="I718" s="43"/>
      <c r="J718" s="43"/>
      <c r="K718" s="43"/>
      <c r="L718" s="43"/>
      <c r="M718" s="43"/>
      <c r="N718" s="43"/>
      <c r="O718" s="43"/>
      <c r="P718" s="43"/>
      <c r="Q718" s="43"/>
      <c r="R718" s="43"/>
      <c r="S718" s="43"/>
      <c r="T718" s="43"/>
      <c r="U718" s="43"/>
      <c r="V718" s="43"/>
      <c r="W718" s="43"/>
      <c r="X718" s="43"/>
      <c r="Y718" s="43"/>
      <c r="Z718" s="43"/>
      <c r="AA718" s="43"/>
    </row>
    <row r="719">
      <c r="A719" s="43"/>
      <c r="B719" s="160"/>
      <c r="C719" s="160"/>
      <c r="D719" s="160"/>
      <c r="E719" s="43"/>
      <c r="F719" s="43"/>
      <c r="G719" s="43"/>
      <c r="H719" s="43"/>
      <c r="I719" s="43"/>
      <c r="J719" s="43"/>
      <c r="K719" s="43"/>
      <c r="L719" s="43"/>
      <c r="M719" s="43"/>
      <c r="N719" s="43"/>
      <c r="O719" s="43"/>
      <c r="P719" s="43"/>
      <c r="Q719" s="43"/>
      <c r="R719" s="43"/>
      <c r="S719" s="43"/>
      <c r="T719" s="43"/>
      <c r="U719" s="43"/>
      <c r="V719" s="43"/>
      <c r="W719" s="43"/>
      <c r="X719" s="43"/>
      <c r="Y719" s="43"/>
      <c r="Z719" s="43"/>
      <c r="AA719" s="43"/>
    </row>
    <row r="720">
      <c r="A720" s="43"/>
      <c r="B720" s="160"/>
      <c r="C720" s="160"/>
      <c r="D720" s="160"/>
      <c r="E720" s="43"/>
      <c r="F720" s="43"/>
      <c r="G720" s="43"/>
      <c r="H720" s="43"/>
      <c r="I720" s="43"/>
      <c r="J720" s="43"/>
      <c r="K720" s="43"/>
      <c r="L720" s="43"/>
      <c r="M720" s="43"/>
      <c r="N720" s="43"/>
      <c r="O720" s="43"/>
      <c r="P720" s="43"/>
      <c r="Q720" s="43"/>
      <c r="R720" s="43"/>
      <c r="S720" s="43"/>
      <c r="T720" s="43"/>
      <c r="U720" s="43"/>
      <c r="V720" s="43"/>
      <c r="W720" s="43"/>
      <c r="X720" s="43"/>
      <c r="Y720" s="43"/>
      <c r="Z720" s="43"/>
      <c r="AA720" s="43"/>
    </row>
    <row r="721">
      <c r="A721" s="43"/>
      <c r="B721" s="160"/>
      <c r="C721" s="160"/>
      <c r="D721" s="160"/>
      <c r="E721" s="43"/>
      <c r="F721" s="43"/>
      <c r="G721" s="43"/>
      <c r="H721" s="43"/>
      <c r="I721" s="43"/>
      <c r="J721" s="43"/>
      <c r="K721" s="43"/>
      <c r="L721" s="43"/>
      <c r="M721" s="43"/>
      <c r="N721" s="43"/>
      <c r="O721" s="43"/>
      <c r="P721" s="43"/>
      <c r="Q721" s="43"/>
      <c r="R721" s="43"/>
      <c r="S721" s="43"/>
      <c r="T721" s="43"/>
      <c r="U721" s="43"/>
      <c r="V721" s="43"/>
      <c r="W721" s="43"/>
      <c r="X721" s="43"/>
      <c r="Y721" s="43"/>
      <c r="Z721" s="43"/>
      <c r="AA721" s="43"/>
    </row>
    <row r="722">
      <c r="A722" s="43"/>
      <c r="B722" s="160"/>
      <c r="C722" s="160"/>
      <c r="D722" s="160"/>
      <c r="E722" s="43"/>
      <c r="F722" s="43"/>
      <c r="G722" s="43"/>
      <c r="H722" s="43"/>
      <c r="I722" s="43"/>
      <c r="J722" s="43"/>
      <c r="K722" s="43"/>
      <c r="L722" s="43"/>
      <c r="M722" s="43"/>
      <c r="N722" s="43"/>
      <c r="O722" s="43"/>
      <c r="P722" s="43"/>
      <c r="Q722" s="43"/>
      <c r="R722" s="43"/>
      <c r="S722" s="43"/>
      <c r="T722" s="43"/>
      <c r="U722" s="43"/>
      <c r="V722" s="43"/>
      <c r="W722" s="43"/>
      <c r="X722" s="43"/>
      <c r="Y722" s="43"/>
      <c r="Z722" s="43"/>
      <c r="AA722" s="43"/>
    </row>
    <row r="723">
      <c r="A723" s="43"/>
      <c r="B723" s="160"/>
      <c r="C723" s="160"/>
      <c r="D723" s="160"/>
      <c r="E723" s="43"/>
      <c r="F723" s="43"/>
      <c r="G723" s="43"/>
      <c r="H723" s="43"/>
      <c r="I723" s="43"/>
      <c r="J723" s="43"/>
      <c r="K723" s="43"/>
      <c r="L723" s="43"/>
      <c r="M723" s="43"/>
      <c r="N723" s="43"/>
      <c r="O723" s="43"/>
      <c r="P723" s="43"/>
      <c r="Q723" s="43"/>
      <c r="R723" s="43"/>
      <c r="S723" s="43"/>
      <c r="T723" s="43"/>
      <c r="U723" s="43"/>
      <c r="V723" s="43"/>
      <c r="W723" s="43"/>
      <c r="X723" s="43"/>
      <c r="Y723" s="43"/>
      <c r="Z723" s="43"/>
      <c r="AA723" s="43"/>
    </row>
    <row r="724">
      <c r="A724" s="43"/>
      <c r="B724" s="160"/>
      <c r="C724" s="160"/>
      <c r="D724" s="160"/>
      <c r="E724" s="43"/>
      <c r="F724" s="43"/>
      <c r="G724" s="43"/>
      <c r="H724" s="43"/>
      <c r="I724" s="43"/>
      <c r="J724" s="43"/>
      <c r="K724" s="43"/>
      <c r="L724" s="43"/>
      <c r="M724" s="43"/>
      <c r="N724" s="43"/>
      <c r="O724" s="43"/>
      <c r="P724" s="43"/>
      <c r="Q724" s="43"/>
      <c r="R724" s="43"/>
      <c r="S724" s="43"/>
      <c r="T724" s="43"/>
      <c r="U724" s="43"/>
      <c r="V724" s="43"/>
      <c r="W724" s="43"/>
      <c r="X724" s="43"/>
      <c r="Y724" s="43"/>
      <c r="Z724" s="43"/>
      <c r="AA724" s="43"/>
    </row>
    <row r="725">
      <c r="A725" s="43"/>
      <c r="B725" s="160"/>
      <c r="C725" s="160"/>
      <c r="D725" s="160"/>
      <c r="E725" s="43"/>
      <c r="F725" s="43"/>
      <c r="G725" s="43"/>
      <c r="H725" s="43"/>
      <c r="I725" s="43"/>
      <c r="J725" s="43"/>
      <c r="K725" s="43"/>
      <c r="L725" s="43"/>
      <c r="M725" s="43"/>
      <c r="N725" s="43"/>
      <c r="O725" s="43"/>
      <c r="P725" s="43"/>
      <c r="Q725" s="43"/>
      <c r="R725" s="43"/>
      <c r="S725" s="43"/>
      <c r="T725" s="43"/>
      <c r="U725" s="43"/>
      <c r="V725" s="43"/>
      <c r="W725" s="43"/>
      <c r="X725" s="43"/>
      <c r="Y725" s="43"/>
      <c r="Z725" s="43"/>
      <c r="AA725" s="43"/>
    </row>
    <row r="726">
      <c r="A726" s="43"/>
      <c r="B726" s="160"/>
      <c r="C726" s="160"/>
      <c r="D726" s="160"/>
      <c r="E726" s="43"/>
      <c r="F726" s="43"/>
      <c r="G726" s="43"/>
      <c r="H726" s="43"/>
      <c r="I726" s="43"/>
      <c r="J726" s="43"/>
      <c r="K726" s="43"/>
      <c r="L726" s="43"/>
      <c r="M726" s="43"/>
      <c r="N726" s="43"/>
      <c r="O726" s="43"/>
      <c r="P726" s="43"/>
      <c r="Q726" s="43"/>
      <c r="R726" s="43"/>
      <c r="S726" s="43"/>
      <c r="T726" s="43"/>
      <c r="U726" s="43"/>
      <c r="V726" s="43"/>
      <c r="W726" s="43"/>
      <c r="X726" s="43"/>
      <c r="Y726" s="43"/>
      <c r="Z726" s="43"/>
      <c r="AA726" s="43"/>
    </row>
    <row r="727">
      <c r="A727" s="43"/>
      <c r="B727" s="160"/>
      <c r="C727" s="160"/>
      <c r="D727" s="160"/>
      <c r="E727" s="43"/>
      <c r="F727" s="43"/>
      <c r="G727" s="43"/>
      <c r="H727" s="43"/>
      <c r="I727" s="43"/>
      <c r="J727" s="43"/>
      <c r="K727" s="43"/>
      <c r="L727" s="43"/>
      <c r="M727" s="43"/>
      <c r="N727" s="43"/>
      <c r="O727" s="43"/>
      <c r="P727" s="43"/>
      <c r="Q727" s="43"/>
      <c r="R727" s="43"/>
      <c r="S727" s="43"/>
      <c r="T727" s="43"/>
      <c r="U727" s="43"/>
      <c r="V727" s="43"/>
      <c r="W727" s="43"/>
      <c r="X727" s="43"/>
      <c r="Y727" s="43"/>
      <c r="Z727" s="43"/>
      <c r="AA727" s="43"/>
    </row>
    <row r="728">
      <c r="A728" s="43"/>
      <c r="B728" s="160"/>
      <c r="C728" s="160"/>
      <c r="D728" s="160"/>
      <c r="E728" s="43"/>
      <c r="F728" s="43"/>
      <c r="G728" s="43"/>
      <c r="H728" s="43"/>
      <c r="I728" s="43"/>
      <c r="J728" s="43"/>
      <c r="K728" s="43"/>
      <c r="L728" s="43"/>
      <c r="M728" s="43"/>
      <c r="N728" s="43"/>
      <c r="O728" s="43"/>
      <c r="P728" s="43"/>
      <c r="Q728" s="43"/>
      <c r="R728" s="43"/>
      <c r="S728" s="43"/>
      <c r="T728" s="43"/>
      <c r="U728" s="43"/>
      <c r="V728" s="43"/>
      <c r="W728" s="43"/>
      <c r="X728" s="43"/>
      <c r="Y728" s="43"/>
      <c r="Z728" s="43"/>
      <c r="AA728" s="43"/>
    </row>
    <row r="729">
      <c r="A729" s="43"/>
      <c r="B729" s="160"/>
      <c r="C729" s="160"/>
      <c r="D729" s="160"/>
      <c r="E729" s="43"/>
      <c r="F729" s="43"/>
      <c r="G729" s="43"/>
      <c r="H729" s="43"/>
      <c r="I729" s="43"/>
      <c r="J729" s="43"/>
      <c r="K729" s="43"/>
      <c r="L729" s="43"/>
      <c r="M729" s="43"/>
      <c r="N729" s="43"/>
      <c r="O729" s="43"/>
      <c r="P729" s="43"/>
      <c r="Q729" s="43"/>
      <c r="R729" s="43"/>
      <c r="S729" s="43"/>
      <c r="T729" s="43"/>
      <c r="U729" s="43"/>
      <c r="V729" s="43"/>
      <c r="W729" s="43"/>
      <c r="X729" s="43"/>
      <c r="Y729" s="43"/>
      <c r="Z729" s="43"/>
      <c r="AA729" s="43"/>
    </row>
    <row r="730">
      <c r="A730" s="43"/>
      <c r="B730" s="160"/>
      <c r="C730" s="160"/>
      <c r="D730" s="160"/>
      <c r="E730" s="43"/>
      <c r="F730" s="43"/>
      <c r="G730" s="43"/>
      <c r="H730" s="43"/>
      <c r="I730" s="43"/>
      <c r="J730" s="43"/>
      <c r="K730" s="43"/>
      <c r="L730" s="43"/>
      <c r="M730" s="43"/>
      <c r="N730" s="43"/>
      <c r="O730" s="43"/>
      <c r="P730" s="43"/>
      <c r="Q730" s="43"/>
      <c r="R730" s="43"/>
      <c r="S730" s="43"/>
      <c r="T730" s="43"/>
      <c r="U730" s="43"/>
      <c r="V730" s="43"/>
      <c r="W730" s="43"/>
      <c r="X730" s="43"/>
      <c r="Y730" s="43"/>
      <c r="Z730" s="43"/>
      <c r="AA730" s="43"/>
    </row>
    <row r="731">
      <c r="A731" s="43"/>
      <c r="B731" s="160"/>
      <c r="C731" s="160"/>
      <c r="D731" s="160"/>
      <c r="E731" s="43"/>
      <c r="F731" s="43"/>
      <c r="G731" s="43"/>
      <c r="H731" s="43"/>
      <c r="I731" s="43"/>
      <c r="J731" s="43"/>
      <c r="K731" s="43"/>
      <c r="L731" s="43"/>
      <c r="M731" s="43"/>
      <c r="N731" s="43"/>
      <c r="O731" s="43"/>
      <c r="P731" s="43"/>
      <c r="Q731" s="43"/>
      <c r="R731" s="43"/>
      <c r="S731" s="43"/>
      <c r="T731" s="43"/>
      <c r="U731" s="43"/>
      <c r="V731" s="43"/>
      <c r="W731" s="43"/>
      <c r="X731" s="43"/>
      <c r="Y731" s="43"/>
      <c r="Z731" s="43"/>
      <c r="AA731" s="43"/>
    </row>
    <row r="732">
      <c r="A732" s="43"/>
      <c r="B732" s="160"/>
      <c r="C732" s="160"/>
      <c r="D732" s="160"/>
      <c r="E732" s="43"/>
      <c r="F732" s="43"/>
      <c r="G732" s="43"/>
      <c r="H732" s="43"/>
      <c r="I732" s="43"/>
      <c r="J732" s="43"/>
      <c r="K732" s="43"/>
      <c r="L732" s="43"/>
      <c r="M732" s="43"/>
      <c r="N732" s="43"/>
      <c r="O732" s="43"/>
      <c r="P732" s="43"/>
      <c r="Q732" s="43"/>
      <c r="R732" s="43"/>
      <c r="S732" s="43"/>
      <c r="T732" s="43"/>
      <c r="U732" s="43"/>
      <c r="V732" s="43"/>
      <c r="W732" s="43"/>
      <c r="X732" s="43"/>
      <c r="Y732" s="43"/>
      <c r="Z732" s="43"/>
      <c r="AA732" s="43"/>
    </row>
    <row r="733">
      <c r="A733" s="43"/>
      <c r="B733" s="160"/>
      <c r="C733" s="160"/>
      <c r="D733" s="160"/>
      <c r="E733" s="43"/>
      <c r="F733" s="43"/>
      <c r="G733" s="43"/>
      <c r="H733" s="43"/>
      <c r="I733" s="43"/>
      <c r="J733" s="43"/>
      <c r="K733" s="43"/>
      <c r="L733" s="43"/>
      <c r="M733" s="43"/>
      <c r="N733" s="43"/>
      <c r="O733" s="43"/>
      <c r="P733" s="43"/>
      <c r="Q733" s="43"/>
      <c r="R733" s="43"/>
      <c r="S733" s="43"/>
      <c r="T733" s="43"/>
      <c r="U733" s="43"/>
      <c r="V733" s="43"/>
      <c r="W733" s="43"/>
      <c r="X733" s="43"/>
      <c r="Y733" s="43"/>
      <c r="Z733" s="43"/>
      <c r="AA733" s="43"/>
    </row>
    <row r="734">
      <c r="A734" s="43"/>
      <c r="B734" s="160"/>
      <c r="C734" s="160"/>
      <c r="D734" s="160"/>
      <c r="E734" s="43"/>
      <c r="F734" s="43"/>
      <c r="G734" s="43"/>
      <c r="H734" s="43"/>
      <c r="I734" s="43"/>
      <c r="J734" s="43"/>
      <c r="K734" s="43"/>
      <c r="L734" s="43"/>
      <c r="M734" s="43"/>
      <c r="N734" s="43"/>
      <c r="O734" s="43"/>
      <c r="P734" s="43"/>
      <c r="Q734" s="43"/>
      <c r="R734" s="43"/>
      <c r="S734" s="43"/>
      <c r="T734" s="43"/>
      <c r="U734" s="43"/>
      <c r="V734" s="43"/>
      <c r="W734" s="43"/>
      <c r="X734" s="43"/>
      <c r="Y734" s="43"/>
      <c r="Z734" s="43"/>
      <c r="AA734" s="43"/>
    </row>
    <row r="735">
      <c r="A735" s="43"/>
      <c r="B735" s="160"/>
      <c r="C735" s="160"/>
      <c r="D735" s="160"/>
      <c r="E735" s="43"/>
      <c r="F735" s="43"/>
      <c r="G735" s="43"/>
      <c r="H735" s="43"/>
      <c r="I735" s="43"/>
      <c r="J735" s="43"/>
      <c r="K735" s="43"/>
      <c r="L735" s="43"/>
      <c r="M735" s="43"/>
      <c r="N735" s="43"/>
      <c r="O735" s="43"/>
      <c r="P735" s="43"/>
      <c r="Q735" s="43"/>
      <c r="R735" s="43"/>
      <c r="S735" s="43"/>
      <c r="T735" s="43"/>
      <c r="U735" s="43"/>
      <c r="V735" s="43"/>
      <c r="W735" s="43"/>
      <c r="X735" s="43"/>
      <c r="Y735" s="43"/>
      <c r="Z735" s="43"/>
      <c r="AA735" s="43"/>
    </row>
    <row r="736">
      <c r="A736" s="43"/>
      <c r="B736" s="160"/>
      <c r="C736" s="160"/>
      <c r="D736" s="160"/>
      <c r="E736" s="43"/>
      <c r="F736" s="43"/>
      <c r="G736" s="43"/>
      <c r="H736" s="43"/>
      <c r="I736" s="43"/>
      <c r="J736" s="43"/>
      <c r="K736" s="43"/>
      <c r="L736" s="43"/>
      <c r="M736" s="43"/>
      <c r="N736" s="43"/>
      <c r="O736" s="43"/>
      <c r="P736" s="43"/>
      <c r="Q736" s="43"/>
      <c r="R736" s="43"/>
      <c r="S736" s="43"/>
      <c r="T736" s="43"/>
      <c r="U736" s="43"/>
      <c r="V736" s="43"/>
      <c r="W736" s="43"/>
      <c r="X736" s="43"/>
      <c r="Y736" s="43"/>
      <c r="Z736" s="43"/>
      <c r="AA736" s="43"/>
    </row>
    <row r="737">
      <c r="A737" s="43"/>
      <c r="B737" s="160"/>
      <c r="C737" s="160"/>
      <c r="D737" s="160"/>
      <c r="E737" s="43"/>
      <c r="F737" s="43"/>
      <c r="G737" s="43"/>
      <c r="H737" s="43"/>
      <c r="I737" s="43"/>
      <c r="J737" s="43"/>
      <c r="K737" s="43"/>
      <c r="L737" s="43"/>
      <c r="M737" s="43"/>
      <c r="N737" s="43"/>
      <c r="O737" s="43"/>
      <c r="P737" s="43"/>
      <c r="Q737" s="43"/>
      <c r="R737" s="43"/>
      <c r="S737" s="43"/>
      <c r="T737" s="43"/>
      <c r="U737" s="43"/>
      <c r="V737" s="43"/>
      <c r="W737" s="43"/>
      <c r="X737" s="43"/>
      <c r="Y737" s="43"/>
      <c r="Z737" s="43"/>
      <c r="AA737" s="43"/>
    </row>
    <row r="738">
      <c r="A738" s="43"/>
      <c r="B738" s="160"/>
      <c r="C738" s="160"/>
      <c r="D738" s="160"/>
      <c r="E738" s="43"/>
      <c r="F738" s="43"/>
      <c r="G738" s="43"/>
      <c r="H738" s="43"/>
      <c r="I738" s="43"/>
      <c r="J738" s="43"/>
      <c r="K738" s="43"/>
      <c r="L738" s="43"/>
      <c r="M738" s="43"/>
      <c r="N738" s="43"/>
      <c r="O738" s="43"/>
      <c r="P738" s="43"/>
      <c r="Q738" s="43"/>
      <c r="R738" s="43"/>
      <c r="S738" s="43"/>
      <c r="T738" s="43"/>
      <c r="U738" s="43"/>
      <c r="V738" s="43"/>
      <c r="W738" s="43"/>
      <c r="X738" s="43"/>
      <c r="Y738" s="43"/>
      <c r="Z738" s="43"/>
      <c r="AA738" s="43"/>
    </row>
    <row r="739">
      <c r="A739" s="43"/>
      <c r="B739" s="160"/>
      <c r="C739" s="160"/>
      <c r="D739" s="160"/>
      <c r="E739" s="43"/>
      <c r="F739" s="43"/>
      <c r="G739" s="43"/>
      <c r="H739" s="43"/>
      <c r="I739" s="43"/>
      <c r="J739" s="43"/>
      <c r="K739" s="43"/>
      <c r="L739" s="43"/>
      <c r="M739" s="43"/>
      <c r="N739" s="43"/>
      <c r="O739" s="43"/>
      <c r="P739" s="43"/>
      <c r="Q739" s="43"/>
      <c r="R739" s="43"/>
      <c r="S739" s="43"/>
      <c r="T739" s="43"/>
      <c r="U739" s="43"/>
      <c r="V739" s="43"/>
      <c r="W739" s="43"/>
      <c r="X739" s="43"/>
      <c r="Y739" s="43"/>
      <c r="Z739" s="43"/>
      <c r="AA739" s="43"/>
    </row>
    <row r="740">
      <c r="A740" s="43"/>
      <c r="B740" s="160"/>
      <c r="C740" s="160"/>
      <c r="D740" s="160"/>
      <c r="E740" s="43"/>
      <c r="F740" s="43"/>
      <c r="G740" s="43"/>
      <c r="H740" s="43"/>
      <c r="I740" s="43"/>
      <c r="J740" s="43"/>
      <c r="K740" s="43"/>
      <c r="L740" s="43"/>
      <c r="M740" s="43"/>
      <c r="N740" s="43"/>
      <c r="O740" s="43"/>
      <c r="P740" s="43"/>
      <c r="Q740" s="43"/>
      <c r="R740" s="43"/>
      <c r="S740" s="43"/>
      <c r="T740" s="43"/>
      <c r="U740" s="43"/>
      <c r="V740" s="43"/>
      <c r="W740" s="43"/>
      <c r="X740" s="43"/>
      <c r="Y740" s="43"/>
      <c r="Z740" s="43"/>
      <c r="AA740" s="43"/>
    </row>
    <row r="741">
      <c r="A741" s="43"/>
      <c r="B741" s="160"/>
      <c r="C741" s="160"/>
      <c r="D741" s="160"/>
      <c r="E741" s="43"/>
      <c r="F741" s="43"/>
      <c r="G741" s="43"/>
      <c r="H741" s="43"/>
      <c r="I741" s="43"/>
      <c r="J741" s="43"/>
      <c r="K741" s="43"/>
      <c r="L741" s="43"/>
      <c r="M741" s="43"/>
      <c r="N741" s="43"/>
      <c r="O741" s="43"/>
      <c r="P741" s="43"/>
      <c r="Q741" s="43"/>
      <c r="R741" s="43"/>
      <c r="S741" s="43"/>
      <c r="T741" s="43"/>
      <c r="U741" s="43"/>
      <c r="V741" s="43"/>
      <c r="W741" s="43"/>
      <c r="X741" s="43"/>
      <c r="Y741" s="43"/>
      <c r="Z741" s="43"/>
      <c r="AA741" s="43"/>
    </row>
    <row r="742">
      <c r="A742" s="43"/>
      <c r="B742" s="160"/>
      <c r="C742" s="160"/>
      <c r="D742" s="160"/>
      <c r="E742" s="43"/>
      <c r="F742" s="43"/>
      <c r="G742" s="43"/>
      <c r="H742" s="43"/>
      <c r="I742" s="43"/>
      <c r="J742" s="43"/>
      <c r="K742" s="43"/>
      <c r="L742" s="43"/>
      <c r="M742" s="43"/>
      <c r="N742" s="43"/>
      <c r="O742" s="43"/>
      <c r="P742" s="43"/>
      <c r="Q742" s="43"/>
      <c r="R742" s="43"/>
      <c r="S742" s="43"/>
      <c r="T742" s="43"/>
      <c r="U742" s="43"/>
      <c r="V742" s="43"/>
      <c r="W742" s="43"/>
      <c r="X742" s="43"/>
      <c r="Y742" s="43"/>
      <c r="Z742" s="43"/>
      <c r="AA742" s="43"/>
    </row>
    <row r="743">
      <c r="A743" s="43"/>
      <c r="B743" s="160"/>
      <c r="C743" s="160"/>
      <c r="D743" s="160"/>
      <c r="E743" s="43"/>
      <c r="F743" s="43"/>
      <c r="G743" s="43"/>
      <c r="H743" s="43"/>
      <c r="I743" s="43"/>
      <c r="J743" s="43"/>
      <c r="K743" s="43"/>
      <c r="L743" s="43"/>
      <c r="M743" s="43"/>
      <c r="N743" s="43"/>
      <c r="O743" s="43"/>
      <c r="P743" s="43"/>
      <c r="Q743" s="43"/>
      <c r="R743" s="43"/>
      <c r="S743" s="43"/>
      <c r="T743" s="43"/>
      <c r="U743" s="43"/>
      <c r="V743" s="43"/>
      <c r="W743" s="43"/>
      <c r="X743" s="43"/>
      <c r="Y743" s="43"/>
      <c r="Z743" s="43"/>
      <c r="AA743" s="43"/>
    </row>
    <row r="744">
      <c r="A744" s="43"/>
      <c r="B744" s="160"/>
      <c r="C744" s="160"/>
      <c r="D744" s="160"/>
      <c r="E744" s="43"/>
      <c r="F744" s="43"/>
      <c r="G744" s="43"/>
      <c r="H744" s="43"/>
      <c r="I744" s="43"/>
      <c r="J744" s="43"/>
      <c r="K744" s="43"/>
      <c r="L744" s="43"/>
      <c r="M744" s="43"/>
      <c r="N744" s="43"/>
      <c r="O744" s="43"/>
      <c r="P744" s="43"/>
      <c r="Q744" s="43"/>
      <c r="R744" s="43"/>
      <c r="S744" s="43"/>
      <c r="T744" s="43"/>
      <c r="U744" s="43"/>
      <c r="V744" s="43"/>
      <c r="W744" s="43"/>
      <c r="X744" s="43"/>
      <c r="Y744" s="43"/>
      <c r="Z744" s="43"/>
      <c r="AA744" s="43"/>
    </row>
    <row r="745">
      <c r="A745" s="43"/>
      <c r="B745" s="160"/>
      <c r="C745" s="160"/>
      <c r="D745" s="160"/>
      <c r="E745" s="43"/>
      <c r="F745" s="43"/>
      <c r="G745" s="43"/>
      <c r="H745" s="43"/>
      <c r="I745" s="43"/>
      <c r="J745" s="43"/>
      <c r="K745" s="43"/>
      <c r="L745" s="43"/>
      <c r="M745" s="43"/>
      <c r="N745" s="43"/>
      <c r="O745" s="43"/>
      <c r="P745" s="43"/>
      <c r="Q745" s="43"/>
      <c r="R745" s="43"/>
      <c r="S745" s="43"/>
      <c r="T745" s="43"/>
      <c r="U745" s="43"/>
      <c r="V745" s="43"/>
      <c r="W745" s="43"/>
      <c r="X745" s="43"/>
      <c r="Y745" s="43"/>
      <c r="Z745" s="43"/>
      <c r="AA745" s="43"/>
    </row>
    <row r="746">
      <c r="A746" s="43"/>
      <c r="B746" s="160"/>
      <c r="C746" s="160"/>
      <c r="D746" s="160"/>
      <c r="E746" s="43"/>
      <c r="F746" s="43"/>
      <c r="G746" s="43"/>
      <c r="H746" s="43"/>
      <c r="I746" s="43"/>
      <c r="J746" s="43"/>
      <c r="K746" s="43"/>
      <c r="L746" s="43"/>
      <c r="M746" s="43"/>
      <c r="N746" s="43"/>
      <c r="O746" s="43"/>
      <c r="P746" s="43"/>
      <c r="Q746" s="43"/>
      <c r="R746" s="43"/>
      <c r="S746" s="43"/>
      <c r="T746" s="43"/>
      <c r="U746" s="43"/>
      <c r="V746" s="43"/>
      <c r="W746" s="43"/>
      <c r="X746" s="43"/>
      <c r="Y746" s="43"/>
      <c r="Z746" s="43"/>
      <c r="AA746" s="43"/>
    </row>
    <row r="747">
      <c r="A747" s="43"/>
      <c r="B747" s="160"/>
      <c r="C747" s="160"/>
      <c r="D747" s="160"/>
      <c r="E747" s="43"/>
      <c r="F747" s="43"/>
      <c r="G747" s="43"/>
      <c r="H747" s="43"/>
      <c r="I747" s="43"/>
      <c r="J747" s="43"/>
      <c r="K747" s="43"/>
      <c r="L747" s="43"/>
      <c r="M747" s="43"/>
      <c r="N747" s="43"/>
      <c r="O747" s="43"/>
      <c r="P747" s="43"/>
      <c r="Q747" s="43"/>
      <c r="R747" s="43"/>
      <c r="S747" s="43"/>
      <c r="T747" s="43"/>
      <c r="U747" s="43"/>
      <c r="V747" s="43"/>
      <c r="W747" s="43"/>
      <c r="X747" s="43"/>
      <c r="Y747" s="43"/>
      <c r="Z747" s="43"/>
      <c r="AA747" s="43"/>
    </row>
    <row r="748">
      <c r="A748" s="43"/>
      <c r="B748" s="160"/>
      <c r="C748" s="160"/>
      <c r="D748" s="160"/>
      <c r="E748" s="43"/>
      <c r="F748" s="43"/>
      <c r="G748" s="43"/>
      <c r="H748" s="43"/>
      <c r="I748" s="43"/>
      <c r="J748" s="43"/>
      <c r="K748" s="43"/>
      <c r="L748" s="43"/>
      <c r="M748" s="43"/>
      <c r="N748" s="43"/>
      <c r="O748" s="43"/>
      <c r="P748" s="43"/>
      <c r="Q748" s="43"/>
      <c r="R748" s="43"/>
      <c r="S748" s="43"/>
      <c r="T748" s="43"/>
      <c r="U748" s="43"/>
      <c r="V748" s="43"/>
      <c r="W748" s="43"/>
      <c r="X748" s="43"/>
      <c r="Y748" s="43"/>
      <c r="Z748" s="43"/>
      <c r="AA748" s="43"/>
    </row>
    <row r="749">
      <c r="A749" s="43"/>
      <c r="B749" s="160"/>
      <c r="C749" s="160"/>
      <c r="D749" s="160"/>
      <c r="E749" s="43"/>
      <c r="F749" s="43"/>
      <c r="G749" s="43"/>
      <c r="H749" s="43"/>
      <c r="I749" s="43"/>
      <c r="J749" s="43"/>
      <c r="K749" s="43"/>
      <c r="L749" s="43"/>
      <c r="M749" s="43"/>
      <c r="N749" s="43"/>
      <c r="O749" s="43"/>
      <c r="P749" s="43"/>
      <c r="Q749" s="43"/>
      <c r="R749" s="43"/>
      <c r="S749" s="43"/>
      <c r="T749" s="43"/>
      <c r="U749" s="43"/>
      <c r="V749" s="43"/>
      <c r="W749" s="43"/>
      <c r="X749" s="43"/>
      <c r="Y749" s="43"/>
      <c r="Z749" s="43"/>
      <c r="AA749" s="43"/>
    </row>
    <row r="750">
      <c r="A750" s="43"/>
      <c r="B750" s="160"/>
      <c r="C750" s="160"/>
      <c r="D750" s="160"/>
      <c r="E750" s="43"/>
      <c r="F750" s="43"/>
      <c r="G750" s="43"/>
      <c r="H750" s="43"/>
      <c r="I750" s="43"/>
      <c r="J750" s="43"/>
      <c r="K750" s="43"/>
      <c r="L750" s="43"/>
      <c r="M750" s="43"/>
      <c r="N750" s="43"/>
      <c r="O750" s="43"/>
      <c r="P750" s="43"/>
      <c r="Q750" s="43"/>
      <c r="R750" s="43"/>
      <c r="S750" s="43"/>
      <c r="T750" s="43"/>
      <c r="U750" s="43"/>
      <c r="V750" s="43"/>
      <c r="W750" s="43"/>
      <c r="X750" s="43"/>
      <c r="Y750" s="43"/>
      <c r="Z750" s="43"/>
      <c r="AA750" s="43"/>
    </row>
    <row r="751">
      <c r="A751" s="43"/>
      <c r="B751" s="160"/>
      <c r="C751" s="160"/>
      <c r="D751" s="160"/>
      <c r="E751" s="43"/>
      <c r="F751" s="43"/>
      <c r="G751" s="43"/>
      <c r="H751" s="43"/>
      <c r="I751" s="43"/>
      <c r="J751" s="43"/>
      <c r="K751" s="43"/>
      <c r="L751" s="43"/>
      <c r="M751" s="43"/>
      <c r="N751" s="43"/>
      <c r="O751" s="43"/>
      <c r="P751" s="43"/>
      <c r="Q751" s="43"/>
      <c r="R751" s="43"/>
      <c r="S751" s="43"/>
      <c r="T751" s="43"/>
      <c r="U751" s="43"/>
      <c r="V751" s="43"/>
      <c r="W751" s="43"/>
      <c r="X751" s="43"/>
      <c r="Y751" s="43"/>
      <c r="Z751" s="43"/>
      <c r="AA751" s="43"/>
    </row>
    <row r="752">
      <c r="A752" s="43"/>
      <c r="B752" s="160"/>
      <c r="C752" s="160"/>
      <c r="D752" s="160"/>
      <c r="E752" s="43"/>
      <c r="F752" s="43"/>
      <c r="G752" s="43"/>
      <c r="H752" s="43"/>
      <c r="I752" s="43"/>
      <c r="J752" s="43"/>
      <c r="K752" s="43"/>
      <c r="L752" s="43"/>
      <c r="M752" s="43"/>
      <c r="N752" s="43"/>
      <c r="O752" s="43"/>
      <c r="P752" s="43"/>
      <c r="Q752" s="43"/>
      <c r="R752" s="43"/>
      <c r="S752" s="43"/>
      <c r="T752" s="43"/>
      <c r="U752" s="43"/>
      <c r="V752" s="43"/>
      <c r="W752" s="43"/>
      <c r="X752" s="43"/>
      <c r="Y752" s="43"/>
      <c r="Z752" s="43"/>
      <c r="AA752" s="43"/>
    </row>
    <row r="753">
      <c r="A753" s="43"/>
      <c r="B753" s="160"/>
      <c r="C753" s="160"/>
      <c r="D753" s="160"/>
      <c r="E753" s="43"/>
      <c r="F753" s="43"/>
      <c r="G753" s="43"/>
      <c r="H753" s="43"/>
      <c r="I753" s="43"/>
      <c r="J753" s="43"/>
      <c r="K753" s="43"/>
      <c r="L753" s="43"/>
      <c r="M753" s="43"/>
      <c r="N753" s="43"/>
      <c r="O753" s="43"/>
      <c r="P753" s="43"/>
      <c r="Q753" s="43"/>
      <c r="R753" s="43"/>
      <c r="S753" s="43"/>
      <c r="T753" s="43"/>
      <c r="U753" s="43"/>
      <c r="V753" s="43"/>
      <c r="W753" s="43"/>
      <c r="X753" s="43"/>
      <c r="Y753" s="43"/>
      <c r="Z753" s="43"/>
      <c r="AA753" s="43"/>
    </row>
    <row r="754">
      <c r="A754" s="43"/>
      <c r="B754" s="160"/>
      <c r="C754" s="160"/>
      <c r="D754" s="160"/>
      <c r="E754" s="43"/>
      <c r="F754" s="43"/>
      <c r="G754" s="43"/>
      <c r="H754" s="43"/>
      <c r="I754" s="43"/>
      <c r="J754" s="43"/>
      <c r="K754" s="43"/>
      <c r="L754" s="43"/>
      <c r="M754" s="43"/>
      <c r="N754" s="43"/>
      <c r="O754" s="43"/>
      <c r="P754" s="43"/>
      <c r="Q754" s="43"/>
      <c r="R754" s="43"/>
      <c r="S754" s="43"/>
      <c r="T754" s="43"/>
      <c r="U754" s="43"/>
      <c r="V754" s="43"/>
      <c r="W754" s="43"/>
      <c r="X754" s="43"/>
      <c r="Y754" s="43"/>
      <c r="Z754" s="43"/>
      <c r="AA754" s="43"/>
    </row>
    <row r="755">
      <c r="A755" s="43"/>
      <c r="B755" s="160"/>
      <c r="C755" s="160"/>
      <c r="D755" s="160"/>
      <c r="E755" s="43"/>
      <c r="F755" s="43"/>
      <c r="G755" s="43"/>
      <c r="H755" s="43"/>
      <c r="I755" s="43"/>
      <c r="J755" s="43"/>
      <c r="K755" s="43"/>
      <c r="L755" s="43"/>
      <c r="M755" s="43"/>
      <c r="N755" s="43"/>
      <c r="O755" s="43"/>
      <c r="P755" s="43"/>
      <c r="Q755" s="43"/>
      <c r="R755" s="43"/>
      <c r="S755" s="43"/>
      <c r="T755" s="43"/>
      <c r="U755" s="43"/>
      <c r="V755" s="43"/>
      <c r="W755" s="43"/>
      <c r="X755" s="43"/>
      <c r="Y755" s="43"/>
      <c r="Z755" s="43"/>
      <c r="AA755" s="43"/>
    </row>
    <row r="756">
      <c r="A756" s="43"/>
      <c r="B756" s="160"/>
      <c r="C756" s="160"/>
      <c r="D756" s="160"/>
      <c r="E756" s="43"/>
      <c r="F756" s="43"/>
      <c r="G756" s="43"/>
      <c r="H756" s="43"/>
      <c r="I756" s="43"/>
      <c r="J756" s="43"/>
      <c r="K756" s="43"/>
      <c r="L756" s="43"/>
      <c r="M756" s="43"/>
      <c r="N756" s="43"/>
      <c r="O756" s="43"/>
      <c r="P756" s="43"/>
      <c r="Q756" s="43"/>
      <c r="R756" s="43"/>
      <c r="S756" s="43"/>
      <c r="T756" s="43"/>
      <c r="U756" s="43"/>
      <c r="V756" s="43"/>
      <c r="W756" s="43"/>
      <c r="X756" s="43"/>
      <c r="Y756" s="43"/>
      <c r="Z756" s="43"/>
      <c r="AA756" s="43"/>
    </row>
    <row r="757">
      <c r="A757" s="43"/>
      <c r="B757" s="160"/>
      <c r="C757" s="160"/>
      <c r="D757" s="160"/>
      <c r="E757" s="43"/>
      <c r="F757" s="43"/>
      <c r="G757" s="43"/>
      <c r="H757" s="43"/>
      <c r="I757" s="43"/>
      <c r="J757" s="43"/>
      <c r="K757" s="43"/>
      <c r="L757" s="43"/>
      <c r="M757" s="43"/>
      <c r="N757" s="43"/>
      <c r="O757" s="43"/>
      <c r="P757" s="43"/>
      <c r="Q757" s="43"/>
      <c r="R757" s="43"/>
      <c r="S757" s="43"/>
      <c r="T757" s="43"/>
      <c r="U757" s="43"/>
      <c r="V757" s="43"/>
      <c r="W757" s="43"/>
      <c r="X757" s="43"/>
      <c r="Y757" s="43"/>
      <c r="Z757" s="43"/>
      <c r="AA757" s="43"/>
    </row>
    <row r="758">
      <c r="A758" s="43"/>
      <c r="B758" s="160"/>
      <c r="C758" s="160"/>
      <c r="D758" s="160"/>
      <c r="E758" s="43"/>
      <c r="F758" s="43"/>
      <c r="G758" s="43"/>
      <c r="H758" s="43"/>
      <c r="I758" s="43"/>
      <c r="J758" s="43"/>
      <c r="K758" s="43"/>
      <c r="L758" s="43"/>
      <c r="M758" s="43"/>
      <c r="N758" s="43"/>
      <c r="O758" s="43"/>
      <c r="P758" s="43"/>
      <c r="Q758" s="43"/>
      <c r="R758" s="43"/>
      <c r="S758" s="43"/>
      <c r="T758" s="43"/>
      <c r="U758" s="43"/>
      <c r="V758" s="43"/>
      <c r="W758" s="43"/>
      <c r="X758" s="43"/>
      <c r="Y758" s="43"/>
      <c r="Z758" s="43"/>
      <c r="AA758" s="43"/>
    </row>
    <row r="759">
      <c r="A759" s="43"/>
      <c r="B759" s="160"/>
      <c r="C759" s="160"/>
      <c r="D759" s="160"/>
      <c r="E759" s="43"/>
      <c r="F759" s="43"/>
      <c r="G759" s="43"/>
      <c r="H759" s="43"/>
      <c r="I759" s="43"/>
      <c r="J759" s="43"/>
      <c r="K759" s="43"/>
      <c r="L759" s="43"/>
      <c r="M759" s="43"/>
      <c r="N759" s="43"/>
      <c r="O759" s="43"/>
      <c r="P759" s="43"/>
      <c r="Q759" s="43"/>
      <c r="R759" s="43"/>
      <c r="S759" s="43"/>
      <c r="T759" s="43"/>
      <c r="U759" s="43"/>
      <c r="V759" s="43"/>
      <c r="W759" s="43"/>
      <c r="X759" s="43"/>
      <c r="Y759" s="43"/>
      <c r="Z759" s="43"/>
      <c r="AA759" s="43"/>
    </row>
    <row r="760">
      <c r="A760" s="43"/>
      <c r="B760" s="160"/>
      <c r="C760" s="160"/>
      <c r="D760" s="160"/>
      <c r="E760" s="43"/>
      <c r="F760" s="43"/>
      <c r="G760" s="43"/>
      <c r="H760" s="43"/>
      <c r="I760" s="43"/>
      <c r="J760" s="43"/>
      <c r="K760" s="43"/>
      <c r="L760" s="43"/>
      <c r="M760" s="43"/>
      <c r="N760" s="43"/>
      <c r="O760" s="43"/>
      <c r="P760" s="43"/>
      <c r="Q760" s="43"/>
      <c r="R760" s="43"/>
      <c r="S760" s="43"/>
      <c r="T760" s="43"/>
      <c r="U760" s="43"/>
      <c r="V760" s="43"/>
      <c r="W760" s="43"/>
      <c r="X760" s="43"/>
      <c r="Y760" s="43"/>
      <c r="Z760" s="43"/>
      <c r="AA760" s="43"/>
    </row>
    <row r="761">
      <c r="A761" s="43"/>
      <c r="B761" s="160"/>
      <c r="C761" s="160"/>
      <c r="D761" s="160"/>
      <c r="E761" s="43"/>
      <c r="F761" s="43"/>
      <c r="G761" s="43"/>
      <c r="H761" s="43"/>
      <c r="I761" s="43"/>
      <c r="J761" s="43"/>
      <c r="K761" s="43"/>
      <c r="L761" s="43"/>
      <c r="M761" s="43"/>
      <c r="N761" s="43"/>
      <c r="O761" s="43"/>
      <c r="P761" s="43"/>
      <c r="Q761" s="43"/>
      <c r="R761" s="43"/>
      <c r="S761" s="43"/>
      <c r="T761" s="43"/>
      <c r="U761" s="43"/>
      <c r="V761" s="43"/>
      <c r="W761" s="43"/>
      <c r="X761" s="43"/>
      <c r="Y761" s="43"/>
      <c r="Z761" s="43"/>
      <c r="AA761" s="43"/>
    </row>
    <row r="762">
      <c r="A762" s="43"/>
      <c r="B762" s="160"/>
      <c r="C762" s="160"/>
      <c r="D762" s="160"/>
      <c r="E762" s="43"/>
      <c r="F762" s="43"/>
      <c r="G762" s="43"/>
      <c r="H762" s="43"/>
      <c r="I762" s="43"/>
      <c r="J762" s="43"/>
      <c r="K762" s="43"/>
      <c r="L762" s="43"/>
      <c r="M762" s="43"/>
      <c r="N762" s="43"/>
      <c r="O762" s="43"/>
      <c r="P762" s="43"/>
      <c r="Q762" s="43"/>
      <c r="R762" s="43"/>
      <c r="S762" s="43"/>
      <c r="T762" s="43"/>
      <c r="U762" s="43"/>
      <c r="V762" s="43"/>
      <c r="W762" s="43"/>
      <c r="X762" s="43"/>
      <c r="Y762" s="43"/>
      <c r="Z762" s="43"/>
      <c r="AA762" s="43"/>
    </row>
    <row r="763">
      <c r="A763" s="43"/>
      <c r="B763" s="160"/>
      <c r="C763" s="160"/>
      <c r="D763" s="160"/>
      <c r="E763" s="43"/>
      <c r="F763" s="43"/>
      <c r="G763" s="43"/>
      <c r="H763" s="43"/>
      <c r="I763" s="43"/>
      <c r="J763" s="43"/>
      <c r="K763" s="43"/>
      <c r="L763" s="43"/>
      <c r="M763" s="43"/>
      <c r="N763" s="43"/>
      <c r="O763" s="43"/>
      <c r="P763" s="43"/>
      <c r="Q763" s="43"/>
      <c r="R763" s="43"/>
      <c r="S763" s="43"/>
      <c r="T763" s="43"/>
      <c r="U763" s="43"/>
      <c r="V763" s="43"/>
      <c r="W763" s="43"/>
      <c r="X763" s="43"/>
      <c r="Y763" s="43"/>
      <c r="Z763" s="43"/>
      <c r="AA763" s="43"/>
    </row>
    <row r="764">
      <c r="A764" s="43"/>
      <c r="B764" s="160"/>
      <c r="C764" s="160"/>
      <c r="D764" s="160"/>
      <c r="E764" s="43"/>
      <c r="F764" s="43"/>
      <c r="G764" s="43"/>
      <c r="H764" s="43"/>
      <c r="I764" s="43"/>
      <c r="J764" s="43"/>
      <c r="K764" s="43"/>
      <c r="L764" s="43"/>
      <c r="M764" s="43"/>
      <c r="N764" s="43"/>
      <c r="O764" s="43"/>
      <c r="P764" s="43"/>
      <c r="Q764" s="43"/>
      <c r="R764" s="43"/>
      <c r="S764" s="43"/>
      <c r="T764" s="43"/>
      <c r="U764" s="43"/>
      <c r="V764" s="43"/>
      <c r="W764" s="43"/>
      <c r="X764" s="43"/>
      <c r="Y764" s="43"/>
      <c r="Z764" s="43"/>
      <c r="AA764" s="43"/>
    </row>
    <row r="765">
      <c r="A765" s="43"/>
      <c r="B765" s="160"/>
      <c r="C765" s="160"/>
      <c r="D765" s="160"/>
      <c r="E765" s="43"/>
      <c r="F765" s="43"/>
      <c r="G765" s="43"/>
      <c r="H765" s="43"/>
      <c r="I765" s="43"/>
      <c r="J765" s="43"/>
      <c r="K765" s="43"/>
      <c r="L765" s="43"/>
      <c r="M765" s="43"/>
      <c r="N765" s="43"/>
      <c r="O765" s="43"/>
      <c r="P765" s="43"/>
      <c r="Q765" s="43"/>
      <c r="R765" s="43"/>
      <c r="S765" s="43"/>
      <c r="T765" s="43"/>
      <c r="U765" s="43"/>
      <c r="V765" s="43"/>
      <c r="W765" s="43"/>
      <c r="X765" s="43"/>
      <c r="Y765" s="43"/>
      <c r="Z765" s="43"/>
      <c r="AA765" s="43"/>
    </row>
    <row r="766">
      <c r="A766" s="43"/>
      <c r="B766" s="160"/>
      <c r="C766" s="160"/>
      <c r="D766" s="160"/>
      <c r="E766" s="43"/>
      <c r="F766" s="43"/>
      <c r="G766" s="43"/>
      <c r="H766" s="43"/>
      <c r="I766" s="43"/>
      <c r="J766" s="43"/>
      <c r="K766" s="43"/>
      <c r="L766" s="43"/>
      <c r="M766" s="43"/>
      <c r="N766" s="43"/>
      <c r="O766" s="43"/>
      <c r="P766" s="43"/>
      <c r="Q766" s="43"/>
      <c r="R766" s="43"/>
      <c r="S766" s="43"/>
      <c r="T766" s="43"/>
      <c r="U766" s="43"/>
      <c r="V766" s="43"/>
      <c r="W766" s="43"/>
      <c r="X766" s="43"/>
      <c r="Y766" s="43"/>
      <c r="Z766" s="43"/>
      <c r="AA766" s="43"/>
    </row>
    <row r="767">
      <c r="A767" s="43"/>
      <c r="B767" s="160"/>
      <c r="C767" s="160"/>
      <c r="D767" s="160"/>
      <c r="E767" s="43"/>
      <c r="F767" s="43"/>
      <c r="G767" s="43"/>
      <c r="H767" s="43"/>
      <c r="I767" s="43"/>
      <c r="J767" s="43"/>
      <c r="K767" s="43"/>
      <c r="L767" s="43"/>
      <c r="M767" s="43"/>
      <c r="N767" s="43"/>
      <c r="O767" s="43"/>
      <c r="P767" s="43"/>
      <c r="Q767" s="43"/>
      <c r="R767" s="43"/>
      <c r="S767" s="43"/>
      <c r="T767" s="43"/>
      <c r="U767" s="43"/>
      <c r="V767" s="43"/>
      <c r="W767" s="43"/>
      <c r="X767" s="43"/>
      <c r="Y767" s="43"/>
      <c r="Z767" s="43"/>
      <c r="AA767" s="43"/>
    </row>
    <row r="768">
      <c r="A768" s="43"/>
      <c r="B768" s="160"/>
      <c r="C768" s="160"/>
      <c r="D768" s="160"/>
      <c r="E768" s="43"/>
      <c r="F768" s="43"/>
      <c r="G768" s="43"/>
      <c r="H768" s="43"/>
      <c r="I768" s="43"/>
      <c r="J768" s="43"/>
      <c r="K768" s="43"/>
      <c r="L768" s="43"/>
      <c r="M768" s="43"/>
      <c r="N768" s="43"/>
      <c r="O768" s="43"/>
      <c r="P768" s="43"/>
      <c r="Q768" s="43"/>
      <c r="R768" s="43"/>
      <c r="S768" s="43"/>
      <c r="T768" s="43"/>
      <c r="U768" s="43"/>
      <c r="V768" s="43"/>
      <c r="W768" s="43"/>
      <c r="X768" s="43"/>
      <c r="Y768" s="43"/>
      <c r="Z768" s="43"/>
      <c r="AA768" s="43"/>
    </row>
    <row r="769">
      <c r="A769" s="43"/>
      <c r="B769" s="160"/>
      <c r="C769" s="160"/>
      <c r="D769" s="160"/>
      <c r="E769" s="43"/>
      <c r="F769" s="43"/>
      <c r="G769" s="43"/>
      <c r="H769" s="43"/>
      <c r="I769" s="43"/>
      <c r="J769" s="43"/>
      <c r="K769" s="43"/>
      <c r="L769" s="43"/>
      <c r="M769" s="43"/>
      <c r="N769" s="43"/>
      <c r="O769" s="43"/>
      <c r="P769" s="43"/>
      <c r="Q769" s="43"/>
      <c r="R769" s="43"/>
      <c r="S769" s="43"/>
      <c r="T769" s="43"/>
      <c r="U769" s="43"/>
      <c r="V769" s="43"/>
      <c r="W769" s="43"/>
      <c r="X769" s="43"/>
      <c r="Y769" s="43"/>
      <c r="Z769" s="43"/>
      <c r="AA769" s="43"/>
    </row>
    <row r="770">
      <c r="A770" s="43"/>
      <c r="B770" s="160"/>
      <c r="C770" s="160"/>
      <c r="D770" s="160"/>
      <c r="E770" s="43"/>
      <c r="F770" s="43"/>
      <c r="G770" s="43"/>
      <c r="H770" s="43"/>
      <c r="I770" s="43"/>
      <c r="J770" s="43"/>
      <c r="K770" s="43"/>
      <c r="L770" s="43"/>
      <c r="M770" s="43"/>
      <c r="N770" s="43"/>
      <c r="O770" s="43"/>
      <c r="P770" s="43"/>
      <c r="Q770" s="43"/>
      <c r="R770" s="43"/>
      <c r="S770" s="43"/>
      <c r="T770" s="43"/>
      <c r="U770" s="43"/>
      <c r="V770" s="43"/>
      <c r="W770" s="43"/>
      <c r="X770" s="43"/>
      <c r="Y770" s="43"/>
      <c r="Z770" s="43"/>
      <c r="AA770" s="43"/>
    </row>
    <row r="771">
      <c r="A771" s="43"/>
      <c r="B771" s="160"/>
      <c r="C771" s="160"/>
      <c r="D771" s="160"/>
      <c r="E771" s="43"/>
      <c r="F771" s="43"/>
      <c r="G771" s="43"/>
      <c r="H771" s="43"/>
      <c r="I771" s="43"/>
      <c r="J771" s="43"/>
      <c r="K771" s="43"/>
      <c r="L771" s="43"/>
      <c r="M771" s="43"/>
      <c r="N771" s="43"/>
      <c r="O771" s="43"/>
      <c r="P771" s="43"/>
      <c r="Q771" s="43"/>
      <c r="R771" s="43"/>
      <c r="S771" s="43"/>
      <c r="T771" s="43"/>
      <c r="U771" s="43"/>
      <c r="V771" s="43"/>
      <c r="W771" s="43"/>
      <c r="X771" s="43"/>
      <c r="Y771" s="43"/>
      <c r="Z771" s="43"/>
      <c r="AA771" s="43"/>
    </row>
    <row r="772">
      <c r="A772" s="43"/>
      <c r="B772" s="160"/>
      <c r="C772" s="160"/>
      <c r="D772" s="160"/>
      <c r="E772" s="43"/>
      <c r="F772" s="43"/>
      <c r="G772" s="43"/>
      <c r="H772" s="43"/>
      <c r="I772" s="43"/>
      <c r="J772" s="43"/>
      <c r="K772" s="43"/>
      <c r="L772" s="43"/>
      <c r="M772" s="43"/>
      <c r="N772" s="43"/>
      <c r="O772" s="43"/>
      <c r="P772" s="43"/>
      <c r="Q772" s="43"/>
      <c r="R772" s="43"/>
      <c r="S772" s="43"/>
      <c r="T772" s="43"/>
      <c r="U772" s="43"/>
      <c r="V772" s="43"/>
      <c r="W772" s="43"/>
      <c r="X772" s="43"/>
      <c r="Y772" s="43"/>
      <c r="Z772" s="43"/>
      <c r="AA772" s="43"/>
    </row>
    <row r="773">
      <c r="A773" s="43"/>
      <c r="B773" s="160"/>
      <c r="C773" s="160"/>
      <c r="D773" s="160"/>
      <c r="E773" s="43"/>
      <c r="F773" s="43"/>
      <c r="G773" s="43"/>
      <c r="H773" s="43"/>
      <c r="I773" s="43"/>
      <c r="J773" s="43"/>
      <c r="K773" s="43"/>
      <c r="L773" s="43"/>
      <c r="M773" s="43"/>
      <c r="N773" s="43"/>
      <c r="O773" s="43"/>
      <c r="P773" s="43"/>
      <c r="Q773" s="43"/>
      <c r="R773" s="43"/>
      <c r="S773" s="43"/>
      <c r="T773" s="43"/>
      <c r="U773" s="43"/>
      <c r="V773" s="43"/>
      <c r="W773" s="43"/>
      <c r="X773" s="43"/>
      <c r="Y773" s="43"/>
      <c r="Z773" s="43"/>
      <c r="AA773" s="43"/>
    </row>
    <row r="774">
      <c r="A774" s="43"/>
      <c r="B774" s="160"/>
      <c r="C774" s="160"/>
      <c r="D774" s="160"/>
      <c r="E774" s="43"/>
      <c r="F774" s="43"/>
      <c r="G774" s="43"/>
      <c r="H774" s="43"/>
      <c r="I774" s="43"/>
      <c r="J774" s="43"/>
      <c r="K774" s="43"/>
      <c r="L774" s="43"/>
      <c r="M774" s="43"/>
      <c r="N774" s="43"/>
      <c r="O774" s="43"/>
      <c r="P774" s="43"/>
      <c r="Q774" s="43"/>
      <c r="R774" s="43"/>
      <c r="S774" s="43"/>
      <c r="T774" s="43"/>
      <c r="U774" s="43"/>
      <c r="V774" s="43"/>
      <c r="W774" s="43"/>
      <c r="X774" s="43"/>
      <c r="Y774" s="43"/>
      <c r="Z774" s="43"/>
      <c r="AA774" s="43"/>
    </row>
    <row r="775">
      <c r="A775" s="43"/>
      <c r="B775" s="160"/>
      <c r="C775" s="160"/>
      <c r="D775" s="160"/>
      <c r="E775" s="43"/>
      <c r="F775" s="43"/>
      <c r="G775" s="43"/>
      <c r="H775" s="43"/>
      <c r="I775" s="43"/>
      <c r="J775" s="43"/>
      <c r="K775" s="43"/>
      <c r="L775" s="43"/>
      <c r="M775" s="43"/>
      <c r="N775" s="43"/>
      <c r="O775" s="43"/>
      <c r="P775" s="43"/>
      <c r="Q775" s="43"/>
      <c r="R775" s="43"/>
      <c r="S775" s="43"/>
      <c r="T775" s="43"/>
      <c r="U775" s="43"/>
      <c r="V775" s="43"/>
      <c r="W775" s="43"/>
      <c r="X775" s="43"/>
      <c r="Y775" s="43"/>
      <c r="Z775" s="43"/>
      <c r="AA775" s="43"/>
    </row>
    <row r="776">
      <c r="A776" s="43"/>
      <c r="B776" s="160"/>
      <c r="C776" s="160"/>
      <c r="D776" s="160"/>
      <c r="E776" s="43"/>
      <c r="F776" s="43"/>
      <c r="G776" s="43"/>
      <c r="H776" s="43"/>
      <c r="I776" s="43"/>
      <c r="J776" s="43"/>
      <c r="K776" s="43"/>
      <c r="L776" s="43"/>
      <c r="M776" s="43"/>
      <c r="N776" s="43"/>
      <c r="O776" s="43"/>
      <c r="P776" s="43"/>
      <c r="Q776" s="43"/>
      <c r="R776" s="43"/>
      <c r="S776" s="43"/>
      <c r="T776" s="43"/>
      <c r="U776" s="43"/>
      <c r="V776" s="43"/>
      <c r="W776" s="43"/>
      <c r="X776" s="43"/>
      <c r="Y776" s="43"/>
      <c r="Z776" s="43"/>
      <c r="AA776" s="43"/>
    </row>
    <row r="777">
      <c r="A777" s="43"/>
      <c r="B777" s="160"/>
      <c r="C777" s="160"/>
      <c r="D777" s="160"/>
      <c r="E777" s="43"/>
      <c r="F777" s="43"/>
      <c r="G777" s="43"/>
      <c r="H777" s="43"/>
      <c r="I777" s="43"/>
      <c r="J777" s="43"/>
      <c r="K777" s="43"/>
      <c r="L777" s="43"/>
      <c r="M777" s="43"/>
      <c r="N777" s="43"/>
      <c r="O777" s="43"/>
      <c r="P777" s="43"/>
      <c r="Q777" s="43"/>
      <c r="R777" s="43"/>
      <c r="S777" s="43"/>
      <c r="T777" s="43"/>
      <c r="U777" s="43"/>
      <c r="V777" s="43"/>
      <c r="W777" s="43"/>
      <c r="X777" s="43"/>
      <c r="Y777" s="43"/>
      <c r="Z777" s="43"/>
      <c r="AA777" s="43"/>
    </row>
    <row r="778">
      <c r="A778" s="43"/>
      <c r="B778" s="160"/>
      <c r="C778" s="160"/>
      <c r="D778" s="160"/>
      <c r="E778" s="43"/>
      <c r="F778" s="43"/>
      <c r="G778" s="43"/>
      <c r="H778" s="43"/>
      <c r="I778" s="43"/>
      <c r="J778" s="43"/>
      <c r="K778" s="43"/>
      <c r="L778" s="43"/>
      <c r="M778" s="43"/>
      <c r="N778" s="43"/>
      <c r="O778" s="43"/>
      <c r="P778" s="43"/>
      <c r="Q778" s="43"/>
      <c r="R778" s="43"/>
      <c r="S778" s="43"/>
      <c r="T778" s="43"/>
      <c r="U778" s="43"/>
      <c r="V778" s="43"/>
      <c r="W778" s="43"/>
      <c r="X778" s="43"/>
      <c r="Y778" s="43"/>
      <c r="Z778" s="43"/>
      <c r="AA778" s="43"/>
    </row>
    <row r="779">
      <c r="A779" s="43"/>
      <c r="B779" s="160"/>
      <c r="C779" s="160"/>
      <c r="D779" s="160"/>
      <c r="E779" s="43"/>
      <c r="F779" s="43"/>
      <c r="G779" s="43"/>
      <c r="H779" s="43"/>
      <c r="I779" s="43"/>
      <c r="J779" s="43"/>
      <c r="K779" s="43"/>
      <c r="L779" s="43"/>
      <c r="M779" s="43"/>
      <c r="N779" s="43"/>
      <c r="O779" s="43"/>
      <c r="P779" s="43"/>
      <c r="Q779" s="43"/>
      <c r="R779" s="43"/>
      <c r="S779" s="43"/>
      <c r="T779" s="43"/>
      <c r="U779" s="43"/>
      <c r="V779" s="43"/>
      <c r="W779" s="43"/>
      <c r="X779" s="43"/>
      <c r="Y779" s="43"/>
      <c r="Z779" s="43"/>
      <c r="AA779" s="43"/>
    </row>
    <row r="780">
      <c r="A780" s="43"/>
      <c r="B780" s="160"/>
      <c r="C780" s="160"/>
      <c r="D780" s="160"/>
      <c r="E780" s="43"/>
      <c r="F780" s="43"/>
      <c r="G780" s="43"/>
      <c r="H780" s="43"/>
      <c r="I780" s="43"/>
      <c r="J780" s="43"/>
      <c r="K780" s="43"/>
      <c r="L780" s="43"/>
      <c r="M780" s="43"/>
      <c r="N780" s="43"/>
      <c r="O780" s="43"/>
      <c r="P780" s="43"/>
      <c r="Q780" s="43"/>
      <c r="R780" s="43"/>
      <c r="S780" s="43"/>
      <c r="T780" s="43"/>
      <c r="U780" s="43"/>
      <c r="V780" s="43"/>
      <c r="W780" s="43"/>
      <c r="X780" s="43"/>
      <c r="Y780" s="43"/>
      <c r="Z780" s="43"/>
      <c r="AA780" s="43"/>
    </row>
    <row r="781">
      <c r="A781" s="43"/>
      <c r="B781" s="160"/>
      <c r="C781" s="160"/>
      <c r="D781" s="160"/>
      <c r="E781" s="43"/>
      <c r="F781" s="43"/>
      <c r="G781" s="43"/>
      <c r="H781" s="43"/>
      <c r="I781" s="43"/>
      <c r="J781" s="43"/>
      <c r="K781" s="43"/>
      <c r="L781" s="43"/>
      <c r="M781" s="43"/>
      <c r="N781" s="43"/>
      <c r="O781" s="43"/>
      <c r="P781" s="43"/>
      <c r="Q781" s="43"/>
      <c r="R781" s="43"/>
      <c r="S781" s="43"/>
      <c r="T781" s="43"/>
      <c r="U781" s="43"/>
      <c r="V781" s="43"/>
      <c r="W781" s="43"/>
      <c r="X781" s="43"/>
      <c r="Y781" s="43"/>
      <c r="Z781" s="43"/>
      <c r="AA781" s="43"/>
    </row>
    <row r="782">
      <c r="A782" s="43"/>
      <c r="B782" s="160"/>
      <c r="C782" s="160"/>
      <c r="D782" s="160"/>
      <c r="E782" s="43"/>
      <c r="F782" s="43"/>
      <c r="G782" s="43"/>
      <c r="H782" s="43"/>
      <c r="I782" s="43"/>
      <c r="J782" s="43"/>
      <c r="K782" s="43"/>
      <c r="L782" s="43"/>
      <c r="M782" s="43"/>
      <c r="N782" s="43"/>
      <c r="O782" s="43"/>
      <c r="P782" s="43"/>
      <c r="Q782" s="43"/>
      <c r="R782" s="43"/>
      <c r="S782" s="43"/>
      <c r="T782" s="43"/>
      <c r="U782" s="43"/>
      <c r="V782" s="43"/>
      <c r="W782" s="43"/>
      <c r="X782" s="43"/>
      <c r="Y782" s="43"/>
      <c r="Z782" s="43"/>
      <c r="AA782" s="43"/>
    </row>
    <row r="783">
      <c r="A783" s="43"/>
      <c r="B783" s="160"/>
      <c r="C783" s="160"/>
      <c r="D783" s="160"/>
      <c r="E783" s="43"/>
      <c r="F783" s="43"/>
      <c r="G783" s="43"/>
      <c r="H783" s="43"/>
      <c r="I783" s="43"/>
      <c r="J783" s="43"/>
      <c r="K783" s="43"/>
      <c r="L783" s="43"/>
      <c r="M783" s="43"/>
      <c r="N783" s="43"/>
      <c r="O783" s="43"/>
      <c r="P783" s="43"/>
      <c r="Q783" s="43"/>
      <c r="R783" s="43"/>
      <c r="S783" s="43"/>
      <c r="T783" s="43"/>
      <c r="U783" s="43"/>
      <c r="V783" s="43"/>
      <c r="W783" s="43"/>
      <c r="X783" s="43"/>
      <c r="Y783" s="43"/>
      <c r="Z783" s="43"/>
      <c r="AA783" s="43"/>
    </row>
    <row r="784">
      <c r="A784" s="43"/>
      <c r="B784" s="160"/>
      <c r="C784" s="160"/>
      <c r="D784" s="160"/>
      <c r="E784" s="43"/>
      <c r="F784" s="43"/>
      <c r="G784" s="43"/>
      <c r="H784" s="43"/>
      <c r="I784" s="43"/>
      <c r="J784" s="43"/>
      <c r="K784" s="43"/>
      <c r="L784" s="43"/>
      <c r="M784" s="43"/>
      <c r="N784" s="43"/>
      <c r="O784" s="43"/>
      <c r="P784" s="43"/>
      <c r="Q784" s="43"/>
      <c r="R784" s="43"/>
      <c r="S784" s="43"/>
      <c r="T784" s="43"/>
      <c r="U784" s="43"/>
      <c r="V784" s="43"/>
      <c r="W784" s="43"/>
      <c r="X784" s="43"/>
      <c r="Y784" s="43"/>
      <c r="Z784" s="43"/>
      <c r="AA784" s="43"/>
    </row>
    <row r="785">
      <c r="A785" s="43"/>
      <c r="B785" s="160"/>
      <c r="C785" s="160"/>
      <c r="D785" s="160"/>
      <c r="E785" s="43"/>
      <c r="F785" s="43"/>
      <c r="G785" s="43"/>
      <c r="H785" s="43"/>
      <c r="I785" s="43"/>
      <c r="J785" s="43"/>
      <c r="K785" s="43"/>
      <c r="L785" s="43"/>
      <c r="M785" s="43"/>
      <c r="N785" s="43"/>
      <c r="O785" s="43"/>
      <c r="P785" s="43"/>
      <c r="Q785" s="43"/>
      <c r="R785" s="43"/>
      <c r="S785" s="43"/>
      <c r="T785" s="43"/>
      <c r="U785" s="43"/>
      <c r="V785" s="43"/>
      <c r="W785" s="43"/>
      <c r="X785" s="43"/>
      <c r="Y785" s="43"/>
      <c r="Z785" s="43"/>
      <c r="AA785" s="43"/>
    </row>
    <row r="786">
      <c r="A786" s="43"/>
      <c r="B786" s="160"/>
      <c r="C786" s="160"/>
      <c r="D786" s="160"/>
      <c r="E786" s="43"/>
      <c r="F786" s="43"/>
      <c r="G786" s="43"/>
      <c r="H786" s="43"/>
      <c r="I786" s="43"/>
      <c r="J786" s="43"/>
      <c r="K786" s="43"/>
      <c r="L786" s="43"/>
      <c r="M786" s="43"/>
      <c r="N786" s="43"/>
      <c r="O786" s="43"/>
      <c r="P786" s="43"/>
      <c r="Q786" s="43"/>
      <c r="R786" s="43"/>
      <c r="S786" s="43"/>
      <c r="T786" s="43"/>
      <c r="U786" s="43"/>
      <c r="V786" s="43"/>
      <c r="W786" s="43"/>
      <c r="X786" s="43"/>
      <c r="Y786" s="43"/>
      <c r="Z786" s="43"/>
      <c r="AA786" s="43"/>
    </row>
    <row r="787">
      <c r="A787" s="43"/>
      <c r="B787" s="160"/>
      <c r="C787" s="160"/>
      <c r="D787" s="160"/>
      <c r="E787" s="43"/>
      <c r="F787" s="43"/>
      <c r="G787" s="43"/>
      <c r="H787" s="43"/>
      <c r="I787" s="43"/>
      <c r="J787" s="43"/>
      <c r="K787" s="43"/>
      <c r="L787" s="43"/>
      <c r="M787" s="43"/>
      <c r="N787" s="43"/>
      <c r="O787" s="43"/>
      <c r="P787" s="43"/>
      <c r="Q787" s="43"/>
      <c r="R787" s="43"/>
      <c r="S787" s="43"/>
      <c r="T787" s="43"/>
      <c r="U787" s="43"/>
      <c r="V787" s="43"/>
      <c r="W787" s="43"/>
      <c r="X787" s="43"/>
      <c r="Y787" s="43"/>
      <c r="Z787" s="43"/>
      <c r="AA787" s="43"/>
    </row>
    <row r="788">
      <c r="A788" s="43"/>
      <c r="B788" s="160"/>
      <c r="C788" s="160"/>
      <c r="D788" s="160"/>
      <c r="E788" s="43"/>
      <c r="F788" s="43"/>
      <c r="G788" s="43"/>
      <c r="H788" s="43"/>
      <c r="I788" s="43"/>
      <c r="J788" s="43"/>
      <c r="K788" s="43"/>
      <c r="L788" s="43"/>
      <c r="M788" s="43"/>
      <c r="N788" s="43"/>
      <c r="O788" s="43"/>
      <c r="P788" s="43"/>
      <c r="Q788" s="43"/>
      <c r="R788" s="43"/>
      <c r="S788" s="43"/>
      <c r="T788" s="43"/>
      <c r="U788" s="43"/>
      <c r="V788" s="43"/>
      <c r="W788" s="43"/>
      <c r="X788" s="43"/>
      <c r="Y788" s="43"/>
      <c r="Z788" s="43"/>
      <c r="AA788" s="43"/>
    </row>
    <row r="789">
      <c r="A789" s="43"/>
      <c r="B789" s="160"/>
      <c r="C789" s="160"/>
      <c r="D789" s="160"/>
      <c r="E789" s="43"/>
      <c r="F789" s="43"/>
      <c r="G789" s="43"/>
      <c r="H789" s="43"/>
      <c r="I789" s="43"/>
      <c r="J789" s="43"/>
      <c r="K789" s="43"/>
      <c r="L789" s="43"/>
      <c r="M789" s="43"/>
      <c r="N789" s="43"/>
      <c r="O789" s="43"/>
      <c r="P789" s="43"/>
      <c r="Q789" s="43"/>
      <c r="R789" s="43"/>
      <c r="S789" s="43"/>
      <c r="T789" s="43"/>
      <c r="U789" s="43"/>
      <c r="V789" s="43"/>
      <c r="W789" s="43"/>
      <c r="X789" s="43"/>
      <c r="Y789" s="43"/>
      <c r="Z789" s="43"/>
      <c r="AA789" s="43"/>
    </row>
    <row r="790">
      <c r="A790" s="43"/>
      <c r="B790" s="160"/>
      <c r="C790" s="160"/>
      <c r="D790" s="160"/>
      <c r="E790" s="43"/>
      <c r="F790" s="43"/>
      <c r="G790" s="43"/>
      <c r="H790" s="43"/>
      <c r="I790" s="43"/>
      <c r="J790" s="43"/>
      <c r="K790" s="43"/>
      <c r="L790" s="43"/>
      <c r="M790" s="43"/>
      <c r="N790" s="43"/>
      <c r="O790" s="43"/>
      <c r="P790" s="43"/>
      <c r="Q790" s="43"/>
      <c r="R790" s="43"/>
      <c r="S790" s="43"/>
      <c r="T790" s="43"/>
      <c r="U790" s="43"/>
      <c r="V790" s="43"/>
      <c r="W790" s="43"/>
      <c r="X790" s="43"/>
      <c r="Y790" s="43"/>
      <c r="Z790" s="43"/>
      <c r="AA790" s="43"/>
    </row>
    <row r="791">
      <c r="A791" s="43"/>
      <c r="B791" s="160"/>
      <c r="C791" s="160"/>
      <c r="D791" s="160"/>
      <c r="E791" s="43"/>
      <c r="F791" s="43"/>
      <c r="G791" s="43"/>
      <c r="H791" s="43"/>
      <c r="I791" s="43"/>
      <c r="J791" s="43"/>
      <c r="K791" s="43"/>
      <c r="L791" s="43"/>
      <c r="M791" s="43"/>
      <c r="N791" s="43"/>
      <c r="O791" s="43"/>
      <c r="P791" s="43"/>
      <c r="Q791" s="43"/>
      <c r="R791" s="43"/>
      <c r="S791" s="43"/>
      <c r="T791" s="43"/>
      <c r="U791" s="43"/>
      <c r="V791" s="43"/>
      <c r="W791" s="43"/>
      <c r="X791" s="43"/>
      <c r="Y791" s="43"/>
      <c r="Z791" s="43"/>
      <c r="AA791" s="43"/>
    </row>
    <row r="792">
      <c r="A792" s="43"/>
      <c r="B792" s="160"/>
      <c r="C792" s="160"/>
      <c r="D792" s="160"/>
      <c r="E792" s="43"/>
      <c r="F792" s="43"/>
      <c r="G792" s="43"/>
      <c r="H792" s="43"/>
      <c r="I792" s="43"/>
      <c r="J792" s="43"/>
      <c r="K792" s="43"/>
      <c r="L792" s="43"/>
      <c r="M792" s="43"/>
      <c r="N792" s="43"/>
      <c r="O792" s="43"/>
      <c r="P792" s="43"/>
      <c r="Q792" s="43"/>
      <c r="R792" s="43"/>
      <c r="S792" s="43"/>
      <c r="T792" s="43"/>
      <c r="U792" s="43"/>
      <c r="V792" s="43"/>
      <c r="W792" s="43"/>
      <c r="X792" s="43"/>
      <c r="Y792" s="43"/>
      <c r="Z792" s="43"/>
      <c r="AA792" s="43"/>
    </row>
    <row r="793">
      <c r="A793" s="43"/>
      <c r="B793" s="160"/>
      <c r="C793" s="160"/>
      <c r="D793" s="160"/>
      <c r="E793" s="43"/>
      <c r="F793" s="43"/>
      <c r="G793" s="43"/>
      <c r="H793" s="43"/>
      <c r="I793" s="43"/>
      <c r="J793" s="43"/>
      <c r="K793" s="43"/>
      <c r="L793" s="43"/>
      <c r="M793" s="43"/>
      <c r="N793" s="43"/>
      <c r="O793" s="43"/>
      <c r="P793" s="43"/>
      <c r="Q793" s="43"/>
      <c r="R793" s="43"/>
      <c r="S793" s="43"/>
      <c r="T793" s="43"/>
      <c r="U793" s="43"/>
      <c r="V793" s="43"/>
      <c r="W793" s="43"/>
      <c r="X793" s="43"/>
      <c r="Y793" s="43"/>
      <c r="Z793" s="43"/>
      <c r="AA793" s="43"/>
    </row>
    <row r="794">
      <c r="A794" s="43"/>
      <c r="B794" s="160"/>
      <c r="C794" s="160"/>
      <c r="D794" s="160"/>
      <c r="E794" s="43"/>
      <c r="F794" s="43"/>
      <c r="G794" s="43"/>
      <c r="H794" s="43"/>
      <c r="I794" s="43"/>
      <c r="J794" s="43"/>
      <c r="K794" s="43"/>
      <c r="L794" s="43"/>
      <c r="M794" s="43"/>
      <c r="N794" s="43"/>
      <c r="O794" s="43"/>
      <c r="P794" s="43"/>
      <c r="Q794" s="43"/>
      <c r="R794" s="43"/>
      <c r="S794" s="43"/>
      <c r="T794" s="43"/>
      <c r="U794" s="43"/>
      <c r="V794" s="43"/>
      <c r="W794" s="43"/>
      <c r="X794" s="43"/>
      <c r="Y794" s="43"/>
      <c r="Z794" s="43"/>
      <c r="AA794" s="43"/>
    </row>
    <row r="795">
      <c r="A795" s="43"/>
      <c r="B795" s="160"/>
      <c r="C795" s="160"/>
      <c r="D795" s="160"/>
      <c r="E795" s="43"/>
      <c r="F795" s="43"/>
      <c r="G795" s="43"/>
      <c r="H795" s="43"/>
      <c r="I795" s="43"/>
      <c r="J795" s="43"/>
      <c r="K795" s="43"/>
      <c r="L795" s="43"/>
      <c r="M795" s="43"/>
      <c r="N795" s="43"/>
      <c r="O795" s="43"/>
      <c r="P795" s="43"/>
      <c r="Q795" s="43"/>
      <c r="R795" s="43"/>
      <c r="S795" s="43"/>
      <c r="T795" s="43"/>
      <c r="U795" s="43"/>
      <c r="V795" s="43"/>
      <c r="W795" s="43"/>
      <c r="X795" s="43"/>
      <c r="Y795" s="43"/>
      <c r="Z795" s="43"/>
      <c r="AA795" s="43"/>
    </row>
    <row r="796">
      <c r="A796" s="43"/>
      <c r="B796" s="160"/>
      <c r="C796" s="160"/>
      <c r="D796" s="160"/>
      <c r="E796" s="43"/>
      <c r="F796" s="43"/>
      <c r="G796" s="43"/>
      <c r="H796" s="43"/>
      <c r="I796" s="43"/>
      <c r="J796" s="43"/>
      <c r="K796" s="43"/>
      <c r="L796" s="43"/>
      <c r="M796" s="43"/>
      <c r="N796" s="43"/>
      <c r="O796" s="43"/>
      <c r="P796" s="43"/>
      <c r="Q796" s="43"/>
      <c r="R796" s="43"/>
      <c r="S796" s="43"/>
      <c r="T796" s="43"/>
      <c r="U796" s="43"/>
      <c r="V796" s="43"/>
      <c r="W796" s="43"/>
      <c r="X796" s="43"/>
      <c r="Y796" s="43"/>
      <c r="Z796" s="43"/>
      <c r="AA796" s="43"/>
    </row>
    <row r="797">
      <c r="A797" s="43"/>
      <c r="B797" s="160"/>
      <c r="C797" s="160"/>
      <c r="D797" s="160"/>
      <c r="E797" s="43"/>
      <c r="F797" s="43"/>
      <c r="G797" s="43"/>
      <c r="H797" s="43"/>
      <c r="I797" s="43"/>
      <c r="J797" s="43"/>
      <c r="K797" s="43"/>
      <c r="L797" s="43"/>
      <c r="M797" s="43"/>
      <c r="N797" s="43"/>
      <c r="O797" s="43"/>
      <c r="P797" s="43"/>
      <c r="Q797" s="43"/>
      <c r="R797" s="43"/>
      <c r="S797" s="43"/>
      <c r="T797" s="43"/>
      <c r="U797" s="43"/>
      <c r="V797" s="43"/>
      <c r="W797" s="43"/>
      <c r="X797" s="43"/>
      <c r="Y797" s="43"/>
      <c r="Z797" s="43"/>
      <c r="AA797" s="43"/>
    </row>
    <row r="798">
      <c r="A798" s="43"/>
      <c r="B798" s="160"/>
      <c r="C798" s="160"/>
      <c r="D798" s="160"/>
      <c r="E798" s="43"/>
      <c r="F798" s="43"/>
      <c r="G798" s="43"/>
      <c r="H798" s="43"/>
      <c r="I798" s="43"/>
      <c r="J798" s="43"/>
      <c r="K798" s="43"/>
      <c r="L798" s="43"/>
      <c r="M798" s="43"/>
      <c r="N798" s="43"/>
      <c r="O798" s="43"/>
      <c r="P798" s="43"/>
      <c r="Q798" s="43"/>
      <c r="R798" s="43"/>
      <c r="S798" s="43"/>
      <c r="T798" s="43"/>
      <c r="U798" s="43"/>
      <c r="V798" s="43"/>
      <c r="W798" s="43"/>
      <c r="X798" s="43"/>
      <c r="Y798" s="43"/>
      <c r="Z798" s="43"/>
      <c r="AA798" s="43"/>
    </row>
    <row r="799">
      <c r="A799" s="43"/>
      <c r="B799" s="160"/>
      <c r="C799" s="160"/>
      <c r="D799" s="160"/>
      <c r="E799" s="43"/>
      <c r="F799" s="43"/>
      <c r="G799" s="43"/>
      <c r="H799" s="43"/>
      <c r="I799" s="43"/>
      <c r="J799" s="43"/>
      <c r="K799" s="43"/>
      <c r="L799" s="43"/>
      <c r="M799" s="43"/>
      <c r="N799" s="43"/>
      <c r="O799" s="43"/>
      <c r="P799" s="43"/>
      <c r="Q799" s="43"/>
      <c r="R799" s="43"/>
      <c r="S799" s="43"/>
      <c r="T799" s="43"/>
      <c r="U799" s="43"/>
      <c r="V799" s="43"/>
      <c r="W799" s="43"/>
      <c r="X799" s="43"/>
      <c r="Y799" s="43"/>
      <c r="Z799" s="43"/>
      <c r="AA799" s="43"/>
    </row>
    <row r="800">
      <c r="A800" s="43"/>
      <c r="B800" s="160"/>
      <c r="C800" s="160"/>
      <c r="D800" s="160"/>
      <c r="E800" s="43"/>
      <c r="F800" s="43"/>
      <c r="G800" s="43"/>
      <c r="H800" s="43"/>
      <c r="I800" s="43"/>
      <c r="J800" s="43"/>
      <c r="K800" s="43"/>
      <c r="L800" s="43"/>
      <c r="M800" s="43"/>
      <c r="N800" s="43"/>
      <c r="O800" s="43"/>
      <c r="P800" s="43"/>
      <c r="Q800" s="43"/>
      <c r="R800" s="43"/>
      <c r="S800" s="43"/>
      <c r="T800" s="43"/>
      <c r="U800" s="43"/>
      <c r="V800" s="43"/>
      <c r="W800" s="43"/>
      <c r="X800" s="43"/>
      <c r="Y800" s="43"/>
      <c r="Z800" s="43"/>
      <c r="AA800" s="43"/>
    </row>
    <row r="801">
      <c r="A801" s="43"/>
      <c r="B801" s="160"/>
      <c r="C801" s="160"/>
      <c r="D801" s="160"/>
      <c r="E801" s="43"/>
      <c r="F801" s="43"/>
      <c r="G801" s="43"/>
      <c r="H801" s="43"/>
      <c r="I801" s="43"/>
      <c r="J801" s="43"/>
      <c r="K801" s="43"/>
      <c r="L801" s="43"/>
      <c r="M801" s="43"/>
      <c r="N801" s="43"/>
      <c r="O801" s="43"/>
      <c r="P801" s="43"/>
      <c r="Q801" s="43"/>
      <c r="R801" s="43"/>
      <c r="S801" s="43"/>
      <c r="T801" s="43"/>
      <c r="U801" s="43"/>
      <c r="V801" s="43"/>
      <c r="W801" s="43"/>
      <c r="X801" s="43"/>
      <c r="Y801" s="43"/>
      <c r="Z801" s="43"/>
      <c r="AA801" s="43"/>
    </row>
    <row r="802">
      <c r="A802" s="43"/>
      <c r="B802" s="160"/>
      <c r="C802" s="160"/>
      <c r="D802" s="160"/>
      <c r="E802" s="43"/>
      <c r="F802" s="43"/>
      <c r="G802" s="43"/>
      <c r="H802" s="43"/>
      <c r="I802" s="43"/>
      <c r="J802" s="43"/>
      <c r="K802" s="43"/>
      <c r="L802" s="43"/>
      <c r="M802" s="43"/>
      <c r="N802" s="43"/>
      <c r="O802" s="43"/>
      <c r="P802" s="43"/>
      <c r="Q802" s="43"/>
      <c r="R802" s="43"/>
      <c r="S802" s="43"/>
      <c r="T802" s="43"/>
      <c r="U802" s="43"/>
      <c r="V802" s="43"/>
      <c r="W802" s="43"/>
      <c r="X802" s="43"/>
      <c r="Y802" s="43"/>
      <c r="Z802" s="43"/>
      <c r="AA802" s="43"/>
    </row>
    <row r="803">
      <c r="A803" s="43"/>
      <c r="B803" s="160"/>
      <c r="C803" s="160"/>
      <c r="D803" s="160"/>
      <c r="E803" s="43"/>
      <c r="F803" s="43"/>
      <c r="G803" s="43"/>
      <c r="H803" s="43"/>
      <c r="I803" s="43"/>
      <c r="J803" s="43"/>
      <c r="K803" s="43"/>
      <c r="L803" s="43"/>
      <c r="M803" s="43"/>
      <c r="N803" s="43"/>
      <c r="O803" s="43"/>
      <c r="P803" s="43"/>
      <c r="Q803" s="43"/>
      <c r="R803" s="43"/>
      <c r="S803" s="43"/>
      <c r="T803" s="43"/>
      <c r="U803" s="43"/>
      <c r="V803" s="43"/>
      <c r="W803" s="43"/>
      <c r="X803" s="43"/>
      <c r="Y803" s="43"/>
      <c r="Z803" s="43"/>
      <c r="AA803" s="43"/>
    </row>
    <row r="804">
      <c r="A804" s="43"/>
      <c r="B804" s="160"/>
      <c r="C804" s="160"/>
      <c r="D804" s="160"/>
      <c r="E804" s="43"/>
      <c r="F804" s="43"/>
      <c r="G804" s="43"/>
      <c r="H804" s="43"/>
      <c r="I804" s="43"/>
      <c r="J804" s="43"/>
      <c r="K804" s="43"/>
      <c r="L804" s="43"/>
      <c r="M804" s="43"/>
      <c r="N804" s="43"/>
      <c r="O804" s="43"/>
      <c r="P804" s="43"/>
      <c r="Q804" s="43"/>
      <c r="R804" s="43"/>
      <c r="S804" s="43"/>
      <c r="T804" s="43"/>
      <c r="U804" s="43"/>
      <c r="V804" s="43"/>
      <c r="W804" s="43"/>
      <c r="X804" s="43"/>
      <c r="Y804" s="43"/>
      <c r="Z804" s="43"/>
      <c r="AA804" s="43"/>
    </row>
    <row r="805">
      <c r="A805" s="43"/>
      <c r="B805" s="160"/>
      <c r="C805" s="160"/>
      <c r="D805" s="160"/>
      <c r="E805" s="43"/>
      <c r="F805" s="43"/>
      <c r="G805" s="43"/>
      <c r="H805" s="43"/>
      <c r="I805" s="43"/>
      <c r="J805" s="43"/>
      <c r="K805" s="43"/>
      <c r="L805" s="43"/>
      <c r="M805" s="43"/>
      <c r="N805" s="43"/>
      <c r="O805" s="43"/>
      <c r="P805" s="43"/>
      <c r="Q805" s="43"/>
      <c r="R805" s="43"/>
      <c r="S805" s="43"/>
      <c r="T805" s="43"/>
      <c r="U805" s="43"/>
      <c r="V805" s="43"/>
      <c r="W805" s="43"/>
      <c r="X805" s="43"/>
      <c r="Y805" s="43"/>
      <c r="Z805" s="43"/>
      <c r="AA805" s="43"/>
    </row>
    <row r="806">
      <c r="A806" s="43"/>
      <c r="B806" s="160"/>
      <c r="C806" s="160"/>
      <c r="D806" s="160"/>
      <c r="E806" s="43"/>
      <c r="F806" s="43"/>
      <c r="G806" s="43"/>
      <c r="H806" s="43"/>
      <c r="I806" s="43"/>
      <c r="J806" s="43"/>
      <c r="K806" s="43"/>
      <c r="L806" s="43"/>
      <c r="M806" s="43"/>
      <c r="N806" s="43"/>
      <c r="O806" s="43"/>
      <c r="P806" s="43"/>
      <c r="Q806" s="43"/>
      <c r="R806" s="43"/>
      <c r="S806" s="43"/>
      <c r="T806" s="43"/>
      <c r="U806" s="43"/>
      <c r="V806" s="43"/>
      <c r="W806" s="43"/>
      <c r="X806" s="43"/>
      <c r="Y806" s="43"/>
      <c r="Z806" s="43"/>
      <c r="AA806" s="43"/>
    </row>
    <row r="807">
      <c r="A807" s="43"/>
      <c r="B807" s="160"/>
      <c r="C807" s="160"/>
      <c r="D807" s="160"/>
      <c r="E807" s="43"/>
      <c r="F807" s="43"/>
      <c r="G807" s="43"/>
      <c r="H807" s="43"/>
      <c r="I807" s="43"/>
      <c r="J807" s="43"/>
      <c r="K807" s="43"/>
      <c r="L807" s="43"/>
      <c r="M807" s="43"/>
      <c r="N807" s="43"/>
      <c r="O807" s="43"/>
      <c r="P807" s="43"/>
      <c r="Q807" s="43"/>
      <c r="R807" s="43"/>
      <c r="S807" s="43"/>
      <c r="T807" s="43"/>
      <c r="U807" s="43"/>
      <c r="V807" s="43"/>
      <c r="W807" s="43"/>
      <c r="X807" s="43"/>
      <c r="Y807" s="43"/>
      <c r="Z807" s="43"/>
      <c r="AA807" s="43"/>
    </row>
    <row r="808">
      <c r="A808" s="43"/>
      <c r="B808" s="160"/>
      <c r="C808" s="160"/>
      <c r="D808" s="160"/>
      <c r="E808" s="43"/>
      <c r="F808" s="43"/>
      <c r="G808" s="43"/>
      <c r="H808" s="43"/>
      <c r="I808" s="43"/>
      <c r="J808" s="43"/>
      <c r="K808" s="43"/>
      <c r="L808" s="43"/>
      <c r="M808" s="43"/>
      <c r="N808" s="43"/>
      <c r="O808" s="43"/>
      <c r="P808" s="43"/>
      <c r="Q808" s="43"/>
      <c r="R808" s="43"/>
      <c r="S808" s="43"/>
      <c r="T808" s="43"/>
      <c r="U808" s="43"/>
      <c r="V808" s="43"/>
      <c r="W808" s="43"/>
      <c r="X808" s="43"/>
      <c r="Y808" s="43"/>
      <c r="Z808" s="43"/>
      <c r="AA808" s="43"/>
    </row>
    <row r="809">
      <c r="A809" s="43"/>
      <c r="B809" s="160"/>
      <c r="C809" s="160"/>
      <c r="D809" s="160"/>
      <c r="E809" s="43"/>
      <c r="F809" s="43"/>
      <c r="G809" s="43"/>
      <c r="H809" s="43"/>
      <c r="I809" s="43"/>
      <c r="J809" s="43"/>
      <c r="K809" s="43"/>
      <c r="L809" s="43"/>
      <c r="M809" s="43"/>
      <c r="N809" s="43"/>
      <c r="O809" s="43"/>
      <c r="P809" s="43"/>
      <c r="Q809" s="43"/>
      <c r="R809" s="43"/>
      <c r="S809" s="43"/>
      <c r="T809" s="43"/>
      <c r="U809" s="43"/>
      <c r="V809" s="43"/>
      <c r="W809" s="43"/>
      <c r="X809" s="43"/>
      <c r="Y809" s="43"/>
      <c r="Z809" s="43"/>
      <c r="AA809" s="43"/>
    </row>
    <row r="810">
      <c r="A810" s="43"/>
      <c r="B810" s="160"/>
      <c r="C810" s="160"/>
      <c r="D810" s="160"/>
      <c r="E810" s="43"/>
      <c r="F810" s="43"/>
      <c r="G810" s="43"/>
      <c r="H810" s="43"/>
      <c r="I810" s="43"/>
      <c r="J810" s="43"/>
      <c r="K810" s="43"/>
      <c r="L810" s="43"/>
      <c r="M810" s="43"/>
      <c r="N810" s="43"/>
      <c r="O810" s="43"/>
      <c r="P810" s="43"/>
      <c r="Q810" s="43"/>
      <c r="R810" s="43"/>
      <c r="S810" s="43"/>
      <c r="T810" s="43"/>
      <c r="U810" s="43"/>
      <c r="V810" s="43"/>
      <c r="W810" s="43"/>
      <c r="X810" s="43"/>
      <c r="Y810" s="43"/>
      <c r="Z810" s="43"/>
      <c r="AA810" s="43"/>
    </row>
    <row r="811">
      <c r="A811" s="43"/>
      <c r="B811" s="160"/>
      <c r="C811" s="160"/>
      <c r="D811" s="160"/>
      <c r="E811" s="43"/>
      <c r="F811" s="43"/>
      <c r="G811" s="43"/>
      <c r="H811" s="43"/>
      <c r="I811" s="43"/>
      <c r="J811" s="43"/>
      <c r="K811" s="43"/>
      <c r="L811" s="43"/>
      <c r="M811" s="43"/>
      <c r="N811" s="43"/>
      <c r="O811" s="43"/>
      <c r="P811" s="43"/>
      <c r="Q811" s="43"/>
      <c r="R811" s="43"/>
      <c r="S811" s="43"/>
      <c r="T811" s="43"/>
      <c r="U811" s="43"/>
      <c r="V811" s="43"/>
      <c r="W811" s="43"/>
      <c r="X811" s="43"/>
      <c r="Y811" s="43"/>
      <c r="Z811" s="43"/>
      <c r="AA811" s="43"/>
    </row>
    <row r="812">
      <c r="A812" s="43"/>
      <c r="B812" s="160"/>
      <c r="C812" s="160"/>
      <c r="D812" s="160"/>
      <c r="E812" s="43"/>
      <c r="F812" s="43"/>
      <c r="G812" s="43"/>
      <c r="H812" s="43"/>
      <c r="I812" s="43"/>
      <c r="J812" s="43"/>
      <c r="K812" s="43"/>
      <c r="L812" s="43"/>
      <c r="M812" s="43"/>
      <c r="N812" s="43"/>
      <c r="O812" s="43"/>
      <c r="P812" s="43"/>
      <c r="Q812" s="43"/>
      <c r="R812" s="43"/>
      <c r="S812" s="43"/>
      <c r="T812" s="43"/>
      <c r="U812" s="43"/>
      <c r="V812" s="43"/>
      <c r="W812" s="43"/>
      <c r="X812" s="43"/>
      <c r="Y812" s="43"/>
      <c r="Z812" s="43"/>
      <c r="AA812" s="43"/>
    </row>
    <row r="813">
      <c r="A813" s="43"/>
      <c r="B813" s="160"/>
      <c r="C813" s="160"/>
      <c r="D813" s="160"/>
      <c r="E813" s="43"/>
      <c r="F813" s="43"/>
      <c r="G813" s="43"/>
      <c r="H813" s="43"/>
      <c r="I813" s="43"/>
      <c r="J813" s="43"/>
      <c r="K813" s="43"/>
      <c r="L813" s="43"/>
      <c r="M813" s="43"/>
      <c r="N813" s="43"/>
      <c r="O813" s="43"/>
      <c r="P813" s="43"/>
      <c r="Q813" s="43"/>
      <c r="R813" s="43"/>
      <c r="S813" s="43"/>
      <c r="T813" s="43"/>
      <c r="U813" s="43"/>
      <c r="V813" s="43"/>
      <c r="W813" s="43"/>
      <c r="X813" s="43"/>
      <c r="Y813" s="43"/>
      <c r="Z813" s="43"/>
      <c r="AA813" s="43"/>
    </row>
    <row r="814">
      <c r="A814" s="43"/>
      <c r="B814" s="160"/>
      <c r="C814" s="160"/>
      <c r="D814" s="160"/>
      <c r="E814" s="43"/>
      <c r="F814" s="43"/>
      <c r="G814" s="43"/>
      <c r="H814" s="43"/>
      <c r="I814" s="43"/>
      <c r="J814" s="43"/>
      <c r="K814" s="43"/>
      <c r="L814" s="43"/>
      <c r="M814" s="43"/>
      <c r="N814" s="43"/>
      <c r="O814" s="43"/>
      <c r="P814" s="43"/>
      <c r="Q814" s="43"/>
      <c r="R814" s="43"/>
      <c r="S814" s="43"/>
      <c r="T814" s="43"/>
      <c r="U814" s="43"/>
      <c r="V814" s="43"/>
      <c r="W814" s="43"/>
      <c r="X814" s="43"/>
      <c r="Y814" s="43"/>
      <c r="Z814" s="43"/>
      <c r="AA814" s="43"/>
    </row>
    <row r="815">
      <c r="A815" s="43"/>
      <c r="B815" s="160"/>
      <c r="C815" s="160"/>
      <c r="D815" s="160"/>
      <c r="E815" s="43"/>
      <c r="F815" s="43"/>
      <c r="G815" s="43"/>
      <c r="H815" s="43"/>
      <c r="I815" s="43"/>
      <c r="J815" s="43"/>
      <c r="K815" s="43"/>
      <c r="L815" s="43"/>
      <c r="M815" s="43"/>
      <c r="N815" s="43"/>
      <c r="O815" s="43"/>
      <c r="P815" s="43"/>
      <c r="Q815" s="43"/>
      <c r="R815" s="43"/>
      <c r="S815" s="43"/>
      <c r="T815" s="43"/>
      <c r="U815" s="43"/>
      <c r="V815" s="43"/>
      <c r="W815" s="43"/>
      <c r="X815" s="43"/>
      <c r="Y815" s="43"/>
      <c r="Z815" s="43"/>
      <c r="AA815" s="43"/>
    </row>
    <row r="816">
      <c r="A816" s="43"/>
      <c r="B816" s="160"/>
      <c r="C816" s="160"/>
      <c r="D816" s="160"/>
      <c r="E816" s="43"/>
      <c r="F816" s="43"/>
      <c r="G816" s="43"/>
      <c r="H816" s="43"/>
      <c r="I816" s="43"/>
      <c r="J816" s="43"/>
      <c r="K816" s="43"/>
      <c r="L816" s="43"/>
      <c r="M816" s="43"/>
      <c r="N816" s="43"/>
      <c r="O816" s="43"/>
      <c r="P816" s="43"/>
      <c r="Q816" s="43"/>
      <c r="R816" s="43"/>
      <c r="S816" s="43"/>
      <c r="T816" s="43"/>
      <c r="U816" s="43"/>
      <c r="V816" s="43"/>
      <c r="W816" s="43"/>
      <c r="X816" s="43"/>
      <c r="Y816" s="43"/>
      <c r="Z816" s="43"/>
      <c r="AA816" s="43"/>
    </row>
    <row r="817">
      <c r="A817" s="43"/>
      <c r="B817" s="160"/>
      <c r="C817" s="160"/>
      <c r="D817" s="160"/>
      <c r="E817" s="43"/>
      <c r="F817" s="43"/>
      <c r="G817" s="43"/>
      <c r="H817" s="43"/>
      <c r="I817" s="43"/>
      <c r="J817" s="43"/>
      <c r="K817" s="43"/>
      <c r="L817" s="43"/>
      <c r="M817" s="43"/>
      <c r="N817" s="43"/>
      <c r="O817" s="43"/>
      <c r="P817" s="43"/>
      <c r="Q817" s="43"/>
      <c r="R817" s="43"/>
      <c r="S817" s="43"/>
      <c r="T817" s="43"/>
      <c r="U817" s="43"/>
      <c r="V817" s="43"/>
      <c r="W817" s="43"/>
      <c r="X817" s="43"/>
      <c r="Y817" s="43"/>
      <c r="Z817" s="43"/>
      <c r="AA817" s="43"/>
    </row>
    <row r="818">
      <c r="A818" s="43"/>
      <c r="B818" s="160"/>
      <c r="C818" s="160"/>
      <c r="D818" s="160"/>
      <c r="E818" s="43"/>
      <c r="F818" s="43"/>
      <c r="G818" s="43"/>
      <c r="H818" s="43"/>
      <c r="I818" s="43"/>
      <c r="J818" s="43"/>
      <c r="K818" s="43"/>
      <c r="L818" s="43"/>
      <c r="M818" s="43"/>
      <c r="N818" s="43"/>
      <c r="O818" s="43"/>
      <c r="P818" s="43"/>
      <c r="Q818" s="43"/>
      <c r="R818" s="43"/>
      <c r="S818" s="43"/>
      <c r="T818" s="43"/>
      <c r="U818" s="43"/>
      <c r="V818" s="43"/>
      <c r="W818" s="43"/>
      <c r="X818" s="43"/>
      <c r="Y818" s="43"/>
      <c r="Z818" s="43"/>
      <c r="AA818" s="43"/>
    </row>
    <row r="819">
      <c r="A819" s="43"/>
      <c r="B819" s="160"/>
      <c r="C819" s="160"/>
      <c r="D819" s="160"/>
      <c r="E819" s="43"/>
      <c r="F819" s="43"/>
      <c r="G819" s="43"/>
      <c r="H819" s="43"/>
      <c r="I819" s="43"/>
      <c r="J819" s="43"/>
      <c r="K819" s="43"/>
      <c r="L819" s="43"/>
      <c r="M819" s="43"/>
      <c r="N819" s="43"/>
      <c r="O819" s="43"/>
      <c r="P819" s="43"/>
      <c r="Q819" s="43"/>
      <c r="R819" s="43"/>
      <c r="S819" s="43"/>
      <c r="T819" s="43"/>
      <c r="U819" s="43"/>
      <c r="V819" s="43"/>
      <c r="W819" s="43"/>
      <c r="X819" s="43"/>
      <c r="Y819" s="43"/>
      <c r="Z819" s="43"/>
      <c r="AA819" s="43"/>
    </row>
    <row r="820">
      <c r="A820" s="43"/>
      <c r="B820" s="160"/>
      <c r="C820" s="160"/>
      <c r="D820" s="160"/>
      <c r="E820" s="43"/>
      <c r="F820" s="43"/>
      <c r="G820" s="43"/>
      <c r="H820" s="43"/>
      <c r="I820" s="43"/>
      <c r="J820" s="43"/>
      <c r="K820" s="43"/>
      <c r="L820" s="43"/>
      <c r="M820" s="43"/>
      <c r="N820" s="43"/>
      <c r="O820" s="43"/>
      <c r="P820" s="43"/>
      <c r="Q820" s="43"/>
      <c r="R820" s="43"/>
      <c r="S820" s="43"/>
      <c r="T820" s="43"/>
      <c r="U820" s="43"/>
      <c r="V820" s="43"/>
      <c r="W820" s="43"/>
      <c r="X820" s="43"/>
      <c r="Y820" s="43"/>
      <c r="Z820" s="43"/>
      <c r="AA820" s="43"/>
    </row>
    <row r="821">
      <c r="A821" s="43"/>
      <c r="B821" s="160"/>
      <c r="C821" s="160"/>
      <c r="D821" s="160"/>
      <c r="E821" s="43"/>
      <c r="F821" s="43"/>
      <c r="G821" s="43"/>
      <c r="H821" s="43"/>
      <c r="I821" s="43"/>
      <c r="J821" s="43"/>
      <c r="K821" s="43"/>
      <c r="L821" s="43"/>
      <c r="M821" s="43"/>
      <c r="N821" s="43"/>
      <c r="O821" s="43"/>
      <c r="P821" s="43"/>
      <c r="Q821" s="43"/>
      <c r="R821" s="43"/>
      <c r="S821" s="43"/>
      <c r="T821" s="43"/>
      <c r="U821" s="43"/>
      <c r="V821" s="43"/>
      <c r="W821" s="43"/>
      <c r="X821" s="43"/>
      <c r="Y821" s="43"/>
      <c r="Z821" s="43"/>
      <c r="AA821" s="43"/>
    </row>
    <row r="822">
      <c r="A822" s="43"/>
      <c r="B822" s="160"/>
      <c r="C822" s="160"/>
      <c r="D822" s="160"/>
      <c r="E822" s="43"/>
      <c r="F822" s="43"/>
      <c r="G822" s="43"/>
      <c r="H822" s="43"/>
      <c r="I822" s="43"/>
      <c r="J822" s="43"/>
      <c r="K822" s="43"/>
      <c r="L822" s="43"/>
      <c r="M822" s="43"/>
      <c r="N822" s="43"/>
      <c r="O822" s="43"/>
      <c r="P822" s="43"/>
      <c r="Q822" s="43"/>
      <c r="R822" s="43"/>
      <c r="S822" s="43"/>
      <c r="T822" s="43"/>
      <c r="U822" s="43"/>
      <c r="V822" s="43"/>
      <c r="W822" s="43"/>
      <c r="X822" s="43"/>
      <c r="Y822" s="43"/>
      <c r="Z822" s="43"/>
      <c r="AA822" s="43"/>
    </row>
    <row r="823">
      <c r="A823" s="43"/>
      <c r="B823" s="160"/>
      <c r="C823" s="160"/>
      <c r="D823" s="160"/>
      <c r="E823" s="43"/>
      <c r="F823" s="43"/>
      <c r="G823" s="43"/>
      <c r="H823" s="43"/>
      <c r="I823" s="43"/>
      <c r="J823" s="43"/>
      <c r="K823" s="43"/>
      <c r="L823" s="43"/>
      <c r="M823" s="43"/>
      <c r="N823" s="43"/>
      <c r="O823" s="43"/>
      <c r="P823" s="43"/>
      <c r="Q823" s="43"/>
      <c r="R823" s="43"/>
      <c r="S823" s="43"/>
      <c r="T823" s="43"/>
      <c r="U823" s="43"/>
      <c r="V823" s="43"/>
      <c r="W823" s="43"/>
      <c r="X823" s="43"/>
      <c r="Y823" s="43"/>
      <c r="Z823" s="43"/>
      <c r="AA823" s="43"/>
    </row>
    <row r="824">
      <c r="A824" s="43"/>
      <c r="B824" s="160"/>
      <c r="C824" s="160"/>
      <c r="D824" s="160"/>
      <c r="E824" s="43"/>
      <c r="F824" s="43"/>
      <c r="G824" s="43"/>
      <c r="H824" s="43"/>
      <c r="I824" s="43"/>
      <c r="J824" s="43"/>
      <c r="K824" s="43"/>
      <c r="L824" s="43"/>
      <c r="M824" s="43"/>
      <c r="N824" s="43"/>
      <c r="O824" s="43"/>
      <c r="P824" s="43"/>
      <c r="Q824" s="43"/>
      <c r="R824" s="43"/>
      <c r="S824" s="43"/>
      <c r="T824" s="43"/>
      <c r="U824" s="43"/>
      <c r="V824" s="43"/>
      <c r="W824" s="43"/>
      <c r="X824" s="43"/>
      <c r="Y824" s="43"/>
      <c r="Z824" s="43"/>
      <c r="AA824" s="43"/>
    </row>
    <row r="825">
      <c r="A825" s="43"/>
      <c r="B825" s="160"/>
      <c r="C825" s="160"/>
      <c r="D825" s="160"/>
      <c r="E825" s="43"/>
      <c r="F825" s="43"/>
      <c r="G825" s="43"/>
      <c r="H825" s="43"/>
      <c r="I825" s="43"/>
      <c r="J825" s="43"/>
      <c r="K825" s="43"/>
      <c r="L825" s="43"/>
      <c r="M825" s="43"/>
      <c r="N825" s="43"/>
      <c r="O825" s="43"/>
      <c r="P825" s="43"/>
      <c r="Q825" s="43"/>
      <c r="R825" s="43"/>
      <c r="S825" s="43"/>
      <c r="T825" s="43"/>
      <c r="U825" s="43"/>
      <c r="V825" s="43"/>
      <c r="W825" s="43"/>
      <c r="X825" s="43"/>
      <c r="Y825" s="43"/>
      <c r="Z825" s="43"/>
      <c r="AA825" s="43"/>
    </row>
    <row r="826">
      <c r="A826" s="43"/>
      <c r="B826" s="160"/>
      <c r="C826" s="160"/>
      <c r="D826" s="160"/>
      <c r="E826" s="43"/>
      <c r="F826" s="43"/>
      <c r="G826" s="43"/>
      <c r="H826" s="43"/>
      <c r="I826" s="43"/>
      <c r="J826" s="43"/>
      <c r="K826" s="43"/>
      <c r="L826" s="43"/>
      <c r="M826" s="43"/>
      <c r="N826" s="43"/>
      <c r="O826" s="43"/>
      <c r="P826" s="43"/>
      <c r="Q826" s="43"/>
      <c r="R826" s="43"/>
      <c r="S826" s="43"/>
      <c r="T826" s="43"/>
      <c r="U826" s="43"/>
      <c r="V826" s="43"/>
      <c r="W826" s="43"/>
      <c r="X826" s="43"/>
      <c r="Y826" s="43"/>
      <c r="Z826" s="43"/>
      <c r="AA826" s="43"/>
    </row>
    <row r="827">
      <c r="A827" s="43"/>
      <c r="B827" s="160"/>
      <c r="C827" s="160"/>
      <c r="D827" s="160"/>
      <c r="E827" s="43"/>
      <c r="F827" s="43"/>
      <c r="G827" s="43"/>
      <c r="H827" s="43"/>
      <c r="I827" s="43"/>
      <c r="J827" s="43"/>
      <c r="K827" s="43"/>
      <c r="L827" s="43"/>
      <c r="M827" s="43"/>
      <c r="N827" s="43"/>
      <c r="O827" s="43"/>
      <c r="P827" s="43"/>
      <c r="Q827" s="43"/>
      <c r="R827" s="43"/>
      <c r="S827" s="43"/>
      <c r="T827" s="43"/>
      <c r="U827" s="43"/>
      <c r="V827" s="43"/>
      <c r="W827" s="43"/>
      <c r="X827" s="43"/>
      <c r="Y827" s="43"/>
      <c r="Z827" s="43"/>
      <c r="AA827" s="43"/>
    </row>
    <row r="828">
      <c r="A828" s="43"/>
      <c r="B828" s="160"/>
      <c r="C828" s="160"/>
      <c r="D828" s="160"/>
      <c r="E828" s="43"/>
      <c r="F828" s="43"/>
      <c r="G828" s="43"/>
      <c r="H828" s="43"/>
      <c r="I828" s="43"/>
      <c r="J828" s="43"/>
      <c r="K828" s="43"/>
      <c r="L828" s="43"/>
      <c r="M828" s="43"/>
      <c r="N828" s="43"/>
      <c r="O828" s="43"/>
      <c r="P828" s="43"/>
      <c r="Q828" s="43"/>
      <c r="R828" s="43"/>
      <c r="S828" s="43"/>
      <c r="T828" s="43"/>
      <c r="U828" s="43"/>
      <c r="V828" s="43"/>
      <c r="W828" s="43"/>
      <c r="X828" s="43"/>
      <c r="Y828" s="43"/>
      <c r="Z828" s="43"/>
      <c r="AA828" s="43"/>
    </row>
    <row r="829">
      <c r="A829" s="43"/>
      <c r="B829" s="160"/>
      <c r="C829" s="160"/>
      <c r="D829" s="160"/>
      <c r="E829" s="43"/>
      <c r="F829" s="43"/>
      <c r="G829" s="43"/>
      <c r="H829" s="43"/>
      <c r="I829" s="43"/>
      <c r="J829" s="43"/>
      <c r="K829" s="43"/>
      <c r="L829" s="43"/>
      <c r="M829" s="43"/>
      <c r="N829" s="43"/>
      <c r="O829" s="43"/>
      <c r="P829" s="43"/>
      <c r="Q829" s="43"/>
      <c r="R829" s="43"/>
      <c r="S829" s="43"/>
      <c r="T829" s="43"/>
      <c r="U829" s="43"/>
      <c r="V829" s="43"/>
      <c r="W829" s="43"/>
      <c r="X829" s="43"/>
      <c r="Y829" s="43"/>
      <c r="Z829" s="43"/>
      <c r="AA829" s="43"/>
    </row>
    <row r="830">
      <c r="A830" s="43"/>
      <c r="B830" s="160"/>
      <c r="C830" s="160"/>
      <c r="D830" s="160"/>
      <c r="E830" s="43"/>
      <c r="F830" s="43"/>
      <c r="G830" s="43"/>
      <c r="H830" s="43"/>
      <c r="I830" s="43"/>
      <c r="J830" s="43"/>
      <c r="K830" s="43"/>
      <c r="L830" s="43"/>
      <c r="M830" s="43"/>
      <c r="N830" s="43"/>
      <c r="O830" s="43"/>
      <c r="P830" s="43"/>
      <c r="Q830" s="43"/>
      <c r="R830" s="43"/>
      <c r="S830" s="43"/>
      <c r="T830" s="43"/>
      <c r="U830" s="43"/>
      <c r="V830" s="43"/>
      <c r="W830" s="43"/>
      <c r="X830" s="43"/>
      <c r="Y830" s="43"/>
      <c r="Z830" s="43"/>
      <c r="AA830" s="43"/>
    </row>
    <row r="831">
      <c r="A831" s="43"/>
      <c r="B831" s="160"/>
      <c r="C831" s="160"/>
      <c r="D831" s="160"/>
      <c r="E831" s="43"/>
      <c r="F831" s="43"/>
      <c r="G831" s="43"/>
      <c r="H831" s="43"/>
      <c r="I831" s="43"/>
      <c r="J831" s="43"/>
      <c r="K831" s="43"/>
      <c r="L831" s="43"/>
      <c r="M831" s="43"/>
      <c r="N831" s="43"/>
      <c r="O831" s="43"/>
      <c r="P831" s="43"/>
      <c r="Q831" s="43"/>
      <c r="R831" s="43"/>
      <c r="S831" s="43"/>
      <c r="T831" s="43"/>
      <c r="U831" s="43"/>
      <c r="V831" s="43"/>
      <c r="W831" s="43"/>
      <c r="X831" s="43"/>
      <c r="Y831" s="43"/>
      <c r="Z831" s="43"/>
      <c r="AA831" s="43"/>
    </row>
    <row r="832">
      <c r="A832" s="43"/>
      <c r="B832" s="160"/>
      <c r="C832" s="160"/>
      <c r="D832" s="160"/>
      <c r="E832" s="43"/>
      <c r="F832" s="43"/>
      <c r="G832" s="43"/>
      <c r="H832" s="43"/>
      <c r="I832" s="43"/>
      <c r="J832" s="43"/>
      <c r="K832" s="43"/>
      <c r="L832" s="43"/>
      <c r="M832" s="43"/>
      <c r="N832" s="43"/>
      <c r="O832" s="43"/>
      <c r="P832" s="43"/>
      <c r="Q832" s="43"/>
      <c r="R832" s="43"/>
      <c r="S832" s="43"/>
      <c r="T832" s="43"/>
      <c r="U832" s="43"/>
      <c r="V832" s="43"/>
      <c r="W832" s="43"/>
      <c r="X832" s="43"/>
      <c r="Y832" s="43"/>
      <c r="Z832" s="43"/>
      <c r="AA832" s="43"/>
    </row>
    <row r="833">
      <c r="A833" s="43"/>
      <c r="B833" s="160"/>
      <c r="C833" s="160"/>
      <c r="D833" s="160"/>
      <c r="E833" s="43"/>
      <c r="F833" s="43"/>
      <c r="G833" s="43"/>
      <c r="H833" s="43"/>
      <c r="I833" s="43"/>
      <c r="J833" s="43"/>
      <c r="K833" s="43"/>
      <c r="L833" s="43"/>
      <c r="M833" s="43"/>
      <c r="N833" s="43"/>
      <c r="O833" s="43"/>
      <c r="P833" s="43"/>
      <c r="Q833" s="43"/>
      <c r="R833" s="43"/>
      <c r="S833" s="43"/>
      <c r="T833" s="43"/>
      <c r="U833" s="43"/>
      <c r="V833" s="43"/>
      <c r="W833" s="43"/>
      <c r="X833" s="43"/>
      <c r="Y833" s="43"/>
      <c r="Z833" s="43"/>
      <c r="AA833" s="43"/>
    </row>
    <row r="834">
      <c r="A834" s="43"/>
      <c r="B834" s="160"/>
      <c r="C834" s="160"/>
      <c r="D834" s="160"/>
      <c r="E834" s="43"/>
      <c r="F834" s="43"/>
      <c r="G834" s="43"/>
      <c r="H834" s="43"/>
      <c r="I834" s="43"/>
      <c r="J834" s="43"/>
      <c r="K834" s="43"/>
      <c r="L834" s="43"/>
      <c r="M834" s="43"/>
      <c r="N834" s="43"/>
      <c r="O834" s="43"/>
      <c r="P834" s="43"/>
      <c r="Q834" s="43"/>
      <c r="R834" s="43"/>
      <c r="S834" s="43"/>
      <c r="T834" s="43"/>
      <c r="U834" s="43"/>
      <c r="V834" s="43"/>
      <c r="W834" s="43"/>
      <c r="X834" s="43"/>
      <c r="Y834" s="43"/>
      <c r="Z834" s="43"/>
      <c r="AA834" s="43"/>
    </row>
    <row r="835">
      <c r="A835" s="43"/>
      <c r="B835" s="160"/>
      <c r="C835" s="160"/>
      <c r="D835" s="160"/>
      <c r="E835" s="43"/>
      <c r="F835" s="43"/>
      <c r="G835" s="43"/>
      <c r="H835" s="43"/>
      <c r="I835" s="43"/>
      <c r="J835" s="43"/>
      <c r="K835" s="43"/>
      <c r="L835" s="43"/>
      <c r="M835" s="43"/>
      <c r="N835" s="43"/>
      <c r="O835" s="43"/>
      <c r="P835" s="43"/>
      <c r="Q835" s="43"/>
      <c r="R835" s="43"/>
      <c r="S835" s="43"/>
      <c r="T835" s="43"/>
      <c r="U835" s="43"/>
      <c r="V835" s="43"/>
      <c r="W835" s="43"/>
      <c r="X835" s="43"/>
      <c r="Y835" s="43"/>
      <c r="Z835" s="43"/>
      <c r="AA835" s="43"/>
    </row>
    <row r="836">
      <c r="A836" s="43"/>
      <c r="B836" s="160"/>
      <c r="C836" s="160"/>
      <c r="D836" s="160"/>
      <c r="E836" s="43"/>
      <c r="F836" s="43"/>
      <c r="G836" s="43"/>
      <c r="H836" s="43"/>
      <c r="I836" s="43"/>
      <c r="J836" s="43"/>
      <c r="K836" s="43"/>
      <c r="L836" s="43"/>
      <c r="M836" s="43"/>
      <c r="N836" s="43"/>
      <c r="O836" s="43"/>
      <c r="P836" s="43"/>
      <c r="Q836" s="43"/>
      <c r="R836" s="43"/>
      <c r="S836" s="43"/>
      <c r="T836" s="43"/>
      <c r="U836" s="43"/>
      <c r="V836" s="43"/>
      <c r="W836" s="43"/>
      <c r="X836" s="43"/>
      <c r="Y836" s="43"/>
      <c r="Z836" s="43"/>
      <c r="AA836" s="43"/>
    </row>
    <row r="837">
      <c r="A837" s="43"/>
      <c r="B837" s="160"/>
      <c r="C837" s="160"/>
      <c r="D837" s="160"/>
      <c r="E837" s="43"/>
      <c r="F837" s="43"/>
      <c r="G837" s="43"/>
      <c r="H837" s="43"/>
      <c r="I837" s="43"/>
      <c r="J837" s="43"/>
      <c r="K837" s="43"/>
      <c r="L837" s="43"/>
      <c r="M837" s="43"/>
      <c r="N837" s="43"/>
      <c r="O837" s="43"/>
      <c r="P837" s="43"/>
      <c r="Q837" s="43"/>
      <c r="R837" s="43"/>
      <c r="S837" s="43"/>
      <c r="T837" s="43"/>
      <c r="U837" s="43"/>
      <c r="V837" s="43"/>
      <c r="W837" s="43"/>
      <c r="X837" s="43"/>
      <c r="Y837" s="43"/>
      <c r="Z837" s="43"/>
      <c r="AA837" s="43"/>
    </row>
    <row r="838">
      <c r="A838" s="43"/>
      <c r="B838" s="160"/>
      <c r="C838" s="160"/>
      <c r="D838" s="160"/>
      <c r="E838" s="43"/>
      <c r="F838" s="43"/>
      <c r="G838" s="43"/>
      <c r="H838" s="43"/>
      <c r="I838" s="43"/>
      <c r="J838" s="43"/>
      <c r="K838" s="43"/>
      <c r="L838" s="43"/>
      <c r="M838" s="43"/>
      <c r="N838" s="43"/>
      <c r="O838" s="43"/>
      <c r="P838" s="43"/>
      <c r="Q838" s="43"/>
      <c r="R838" s="43"/>
      <c r="S838" s="43"/>
      <c r="T838" s="43"/>
      <c r="U838" s="43"/>
      <c r="V838" s="43"/>
      <c r="W838" s="43"/>
      <c r="X838" s="43"/>
      <c r="Y838" s="43"/>
      <c r="Z838" s="43"/>
      <c r="AA838" s="43"/>
    </row>
    <row r="839">
      <c r="A839" s="43"/>
      <c r="B839" s="160"/>
      <c r="C839" s="160"/>
      <c r="D839" s="160"/>
      <c r="E839" s="43"/>
      <c r="F839" s="43"/>
      <c r="G839" s="43"/>
      <c r="H839" s="43"/>
      <c r="I839" s="43"/>
      <c r="J839" s="43"/>
      <c r="K839" s="43"/>
      <c r="L839" s="43"/>
      <c r="M839" s="43"/>
      <c r="N839" s="43"/>
      <c r="O839" s="43"/>
      <c r="P839" s="43"/>
      <c r="Q839" s="43"/>
      <c r="R839" s="43"/>
      <c r="S839" s="43"/>
      <c r="T839" s="43"/>
      <c r="U839" s="43"/>
      <c r="V839" s="43"/>
      <c r="W839" s="43"/>
      <c r="X839" s="43"/>
      <c r="Y839" s="43"/>
      <c r="Z839" s="43"/>
      <c r="AA839" s="43"/>
    </row>
    <row r="840">
      <c r="A840" s="43"/>
      <c r="B840" s="160"/>
      <c r="C840" s="160"/>
      <c r="D840" s="160"/>
      <c r="E840" s="43"/>
      <c r="F840" s="43"/>
      <c r="G840" s="43"/>
      <c r="H840" s="43"/>
      <c r="I840" s="43"/>
      <c r="J840" s="43"/>
      <c r="K840" s="43"/>
      <c r="L840" s="43"/>
      <c r="M840" s="43"/>
      <c r="N840" s="43"/>
      <c r="O840" s="43"/>
      <c r="P840" s="43"/>
      <c r="Q840" s="43"/>
      <c r="R840" s="43"/>
      <c r="S840" s="43"/>
      <c r="T840" s="43"/>
      <c r="U840" s="43"/>
      <c r="V840" s="43"/>
      <c r="W840" s="43"/>
      <c r="X840" s="43"/>
      <c r="Y840" s="43"/>
      <c r="Z840" s="43"/>
      <c r="AA840" s="43"/>
    </row>
    <row r="841">
      <c r="A841" s="43"/>
      <c r="B841" s="160"/>
      <c r="C841" s="160"/>
      <c r="D841" s="160"/>
      <c r="E841" s="43"/>
      <c r="F841" s="43"/>
      <c r="G841" s="43"/>
      <c r="H841" s="43"/>
      <c r="I841" s="43"/>
      <c r="J841" s="43"/>
      <c r="K841" s="43"/>
      <c r="L841" s="43"/>
      <c r="M841" s="43"/>
      <c r="N841" s="43"/>
      <c r="O841" s="43"/>
      <c r="P841" s="43"/>
      <c r="Q841" s="43"/>
      <c r="R841" s="43"/>
      <c r="S841" s="43"/>
      <c r="T841" s="43"/>
      <c r="U841" s="43"/>
      <c r="V841" s="43"/>
      <c r="W841" s="43"/>
      <c r="X841" s="43"/>
      <c r="Y841" s="43"/>
      <c r="Z841" s="43"/>
      <c r="AA841" s="43"/>
    </row>
    <row r="842">
      <c r="A842" s="43"/>
      <c r="B842" s="160"/>
      <c r="C842" s="160"/>
      <c r="D842" s="160"/>
      <c r="E842" s="43"/>
      <c r="F842" s="43"/>
      <c r="G842" s="43"/>
      <c r="H842" s="43"/>
      <c r="I842" s="43"/>
      <c r="J842" s="43"/>
      <c r="K842" s="43"/>
      <c r="L842" s="43"/>
      <c r="M842" s="43"/>
      <c r="N842" s="43"/>
      <c r="O842" s="43"/>
      <c r="P842" s="43"/>
      <c r="Q842" s="43"/>
      <c r="R842" s="43"/>
      <c r="S842" s="43"/>
      <c r="T842" s="43"/>
      <c r="U842" s="43"/>
      <c r="V842" s="43"/>
      <c r="W842" s="43"/>
      <c r="X842" s="43"/>
      <c r="Y842" s="43"/>
      <c r="Z842" s="43"/>
      <c r="AA842" s="43"/>
    </row>
    <row r="843">
      <c r="A843" s="43"/>
      <c r="B843" s="160"/>
      <c r="C843" s="160"/>
      <c r="D843" s="160"/>
      <c r="E843" s="43"/>
      <c r="F843" s="43"/>
      <c r="G843" s="43"/>
      <c r="H843" s="43"/>
      <c r="I843" s="43"/>
      <c r="J843" s="43"/>
      <c r="K843" s="43"/>
      <c r="L843" s="43"/>
      <c r="M843" s="43"/>
      <c r="N843" s="43"/>
      <c r="O843" s="43"/>
      <c r="P843" s="43"/>
      <c r="Q843" s="43"/>
      <c r="R843" s="43"/>
      <c r="S843" s="43"/>
      <c r="T843" s="43"/>
      <c r="U843" s="43"/>
      <c r="V843" s="43"/>
      <c r="W843" s="43"/>
      <c r="X843" s="43"/>
      <c r="Y843" s="43"/>
      <c r="Z843" s="43"/>
      <c r="AA843" s="43"/>
    </row>
    <row r="844">
      <c r="A844" s="43"/>
      <c r="B844" s="160"/>
      <c r="C844" s="160"/>
      <c r="D844" s="160"/>
      <c r="E844" s="43"/>
      <c r="F844" s="43"/>
      <c r="G844" s="43"/>
      <c r="H844" s="43"/>
      <c r="I844" s="43"/>
      <c r="J844" s="43"/>
      <c r="K844" s="43"/>
      <c r="L844" s="43"/>
      <c r="M844" s="43"/>
      <c r="N844" s="43"/>
      <c r="O844" s="43"/>
      <c r="P844" s="43"/>
      <c r="Q844" s="43"/>
      <c r="R844" s="43"/>
      <c r="S844" s="43"/>
      <c r="T844" s="43"/>
      <c r="U844" s="43"/>
      <c r="V844" s="43"/>
      <c r="W844" s="43"/>
      <c r="X844" s="43"/>
      <c r="Y844" s="43"/>
      <c r="Z844" s="43"/>
      <c r="AA844" s="43"/>
    </row>
    <row r="845">
      <c r="A845" s="43"/>
      <c r="B845" s="160"/>
      <c r="C845" s="160"/>
      <c r="D845" s="160"/>
      <c r="E845" s="43"/>
      <c r="F845" s="43"/>
      <c r="G845" s="43"/>
      <c r="H845" s="43"/>
      <c r="I845" s="43"/>
      <c r="J845" s="43"/>
      <c r="K845" s="43"/>
      <c r="L845" s="43"/>
      <c r="M845" s="43"/>
      <c r="N845" s="43"/>
      <c r="O845" s="43"/>
      <c r="P845" s="43"/>
      <c r="Q845" s="43"/>
      <c r="R845" s="43"/>
      <c r="S845" s="43"/>
      <c r="T845" s="43"/>
      <c r="U845" s="43"/>
      <c r="V845" s="43"/>
      <c r="W845" s="43"/>
      <c r="X845" s="43"/>
      <c r="Y845" s="43"/>
      <c r="Z845" s="43"/>
      <c r="AA845" s="43"/>
    </row>
    <row r="846">
      <c r="A846" s="43"/>
      <c r="B846" s="160"/>
      <c r="C846" s="160"/>
      <c r="D846" s="160"/>
      <c r="E846" s="43"/>
      <c r="F846" s="43"/>
      <c r="G846" s="43"/>
      <c r="H846" s="43"/>
      <c r="I846" s="43"/>
      <c r="J846" s="43"/>
      <c r="K846" s="43"/>
      <c r="L846" s="43"/>
      <c r="M846" s="43"/>
      <c r="N846" s="43"/>
      <c r="O846" s="43"/>
      <c r="P846" s="43"/>
      <c r="Q846" s="43"/>
      <c r="R846" s="43"/>
      <c r="S846" s="43"/>
      <c r="T846" s="43"/>
      <c r="U846" s="43"/>
      <c r="V846" s="43"/>
      <c r="W846" s="43"/>
      <c r="X846" s="43"/>
      <c r="Y846" s="43"/>
      <c r="Z846" s="43"/>
      <c r="AA846" s="43"/>
    </row>
    <row r="847">
      <c r="A847" s="43"/>
      <c r="B847" s="160"/>
      <c r="C847" s="160"/>
      <c r="D847" s="160"/>
      <c r="E847" s="43"/>
      <c r="F847" s="43"/>
      <c r="G847" s="43"/>
      <c r="H847" s="43"/>
      <c r="I847" s="43"/>
      <c r="J847" s="43"/>
      <c r="K847" s="43"/>
      <c r="L847" s="43"/>
      <c r="M847" s="43"/>
      <c r="N847" s="43"/>
      <c r="O847" s="43"/>
      <c r="P847" s="43"/>
      <c r="Q847" s="43"/>
      <c r="R847" s="43"/>
      <c r="S847" s="43"/>
      <c r="T847" s="43"/>
      <c r="U847" s="43"/>
      <c r="V847" s="43"/>
      <c r="W847" s="43"/>
      <c r="X847" s="43"/>
      <c r="Y847" s="43"/>
      <c r="Z847" s="43"/>
      <c r="AA847" s="43"/>
    </row>
    <row r="848">
      <c r="A848" s="43"/>
      <c r="B848" s="160"/>
      <c r="C848" s="160"/>
      <c r="D848" s="160"/>
      <c r="E848" s="43"/>
      <c r="F848" s="43"/>
      <c r="G848" s="43"/>
      <c r="H848" s="43"/>
      <c r="I848" s="43"/>
      <c r="J848" s="43"/>
      <c r="K848" s="43"/>
      <c r="L848" s="43"/>
      <c r="M848" s="43"/>
      <c r="N848" s="43"/>
      <c r="O848" s="43"/>
      <c r="P848" s="43"/>
      <c r="Q848" s="43"/>
      <c r="R848" s="43"/>
      <c r="S848" s="43"/>
      <c r="T848" s="43"/>
      <c r="U848" s="43"/>
      <c r="V848" s="43"/>
      <c r="W848" s="43"/>
      <c r="X848" s="43"/>
      <c r="Y848" s="43"/>
      <c r="Z848" s="43"/>
      <c r="AA848" s="43"/>
    </row>
    <row r="849">
      <c r="A849" s="43"/>
      <c r="B849" s="160"/>
      <c r="C849" s="160"/>
      <c r="D849" s="160"/>
      <c r="E849" s="43"/>
      <c r="F849" s="43"/>
      <c r="G849" s="43"/>
      <c r="H849" s="43"/>
      <c r="I849" s="43"/>
      <c r="J849" s="43"/>
      <c r="K849" s="43"/>
      <c r="L849" s="43"/>
      <c r="M849" s="43"/>
      <c r="N849" s="43"/>
      <c r="O849" s="43"/>
      <c r="P849" s="43"/>
      <c r="Q849" s="43"/>
      <c r="R849" s="43"/>
      <c r="S849" s="43"/>
      <c r="T849" s="43"/>
      <c r="U849" s="43"/>
      <c r="V849" s="43"/>
      <c r="W849" s="43"/>
      <c r="X849" s="43"/>
      <c r="Y849" s="43"/>
      <c r="Z849" s="43"/>
      <c r="AA849" s="43"/>
    </row>
    <row r="850">
      <c r="A850" s="43"/>
      <c r="B850" s="160"/>
      <c r="C850" s="160"/>
      <c r="D850" s="160"/>
      <c r="E850" s="43"/>
      <c r="F850" s="43"/>
      <c r="G850" s="43"/>
      <c r="H850" s="43"/>
      <c r="I850" s="43"/>
      <c r="J850" s="43"/>
      <c r="K850" s="43"/>
      <c r="L850" s="43"/>
      <c r="M850" s="43"/>
      <c r="N850" s="43"/>
      <c r="O850" s="43"/>
      <c r="P850" s="43"/>
      <c r="Q850" s="43"/>
      <c r="R850" s="43"/>
      <c r="S850" s="43"/>
      <c r="T850" s="43"/>
      <c r="U850" s="43"/>
      <c r="V850" s="43"/>
      <c r="W850" s="43"/>
      <c r="X850" s="43"/>
      <c r="Y850" s="43"/>
      <c r="Z850" s="43"/>
      <c r="AA850" s="43"/>
    </row>
    <row r="851">
      <c r="A851" s="43"/>
      <c r="B851" s="160"/>
      <c r="C851" s="160"/>
      <c r="D851" s="160"/>
      <c r="E851" s="43"/>
      <c r="F851" s="43"/>
      <c r="G851" s="43"/>
      <c r="H851" s="43"/>
      <c r="I851" s="43"/>
      <c r="J851" s="43"/>
      <c r="K851" s="43"/>
      <c r="L851" s="43"/>
      <c r="M851" s="43"/>
      <c r="N851" s="43"/>
      <c r="O851" s="43"/>
      <c r="P851" s="43"/>
      <c r="Q851" s="43"/>
      <c r="R851" s="43"/>
      <c r="S851" s="43"/>
      <c r="T851" s="43"/>
      <c r="U851" s="43"/>
      <c r="V851" s="43"/>
      <c r="W851" s="43"/>
      <c r="X851" s="43"/>
      <c r="Y851" s="43"/>
      <c r="Z851" s="43"/>
      <c r="AA851" s="43"/>
    </row>
    <row r="852">
      <c r="A852" s="43"/>
      <c r="B852" s="160"/>
      <c r="C852" s="160"/>
      <c r="D852" s="160"/>
      <c r="E852" s="43"/>
      <c r="F852" s="43"/>
      <c r="G852" s="43"/>
      <c r="H852" s="43"/>
      <c r="I852" s="43"/>
      <c r="J852" s="43"/>
      <c r="K852" s="43"/>
      <c r="L852" s="43"/>
      <c r="M852" s="43"/>
      <c r="N852" s="43"/>
      <c r="O852" s="43"/>
      <c r="P852" s="43"/>
      <c r="Q852" s="43"/>
      <c r="R852" s="43"/>
      <c r="S852" s="43"/>
      <c r="T852" s="43"/>
      <c r="U852" s="43"/>
      <c r="V852" s="43"/>
      <c r="W852" s="43"/>
      <c r="X852" s="43"/>
      <c r="Y852" s="43"/>
      <c r="Z852" s="43"/>
      <c r="AA852" s="43"/>
    </row>
    <row r="853">
      <c r="A853" s="43"/>
      <c r="B853" s="160"/>
      <c r="C853" s="160"/>
      <c r="D853" s="160"/>
      <c r="E853" s="43"/>
      <c r="F853" s="43"/>
      <c r="G853" s="43"/>
      <c r="H853" s="43"/>
      <c r="I853" s="43"/>
      <c r="J853" s="43"/>
      <c r="K853" s="43"/>
      <c r="L853" s="43"/>
      <c r="M853" s="43"/>
      <c r="N853" s="43"/>
      <c r="O853" s="43"/>
      <c r="P853" s="43"/>
      <c r="Q853" s="43"/>
      <c r="R853" s="43"/>
      <c r="S853" s="43"/>
      <c r="T853" s="43"/>
      <c r="U853" s="43"/>
      <c r="V853" s="43"/>
      <c r="W853" s="43"/>
      <c r="X853" s="43"/>
      <c r="Y853" s="43"/>
      <c r="Z853" s="43"/>
      <c r="AA853" s="43"/>
    </row>
    <row r="854">
      <c r="A854" s="43"/>
      <c r="B854" s="160"/>
      <c r="C854" s="160"/>
      <c r="D854" s="160"/>
      <c r="E854" s="43"/>
      <c r="F854" s="43"/>
      <c r="G854" s="43"/>
      <c r="H854" s="43"/>
      <c r="I854" s="43"/>
      <c r="J854" s="43"/>
      <c r="K854" s="43"/>
      <c r="L854" s="43"/>
      <c r="M854" s="43"/>
      <c r="N854" s="43"/>
      <c r="O854" s="43"/>
      <c r="P854" s="43"/>
      <c r="Q854" s="43"/>
      <c r="R854" s="43"/>
      <c r="S854" s="43"/>
      <c r="T854" s="43"/>
      <c r="U854" s="43"/>
      <c r="V854" s="43"/>
      <c r="W854" s="43"/>
      <c r="X854" s="43"/>
      <c r="Y854" s="43"/>
      <c r="Z854" s="43"/>
      <c r="AA854" s="43"/>
    </row>
    <row r="855">
      <c r="A855" s="43"/>
      <c r="B855" s="160"/>
      <c r="C855" s="160"/>
      <c r="D855" s="160"/>
      <c r="E855" s="43"/>
      <c r="F855" s="43"/>
      <c r="G855" s="43"/>
      <c r="H855" s="43"/>
      <c r="I855" s="43"/>
      <c r="J855" s="43"/>
      <c r="K855" s="43"/>
      <c r="L855" s="43"/>
      <c r="M855" s="43"/>
      <c r="N855" s="43"/>
      <c r="O855" s="43"/>
      <c r="P855" s="43"/>
      <c r="Q855" s="43"/>
      <c r="R855" s="43"/>
      <c r="S855" s="43"/>
      <c r="T855" s="43"/>
      <c r="U855" s="43"/>
      <c r="V855" s="43"/>
      <c r="W855" s="43"/>
      <c r="X855" s="43"/>
      <c r="Y855" s="43"/>
      <c r="Z855" s="43"/>
      <c r="AA855" s="43"/>
    </row>
    <row r="856">
      <c r="A856" s="43"/>
      <c r="B856" s="160"/>
      <c r="C856" s="160"/>
      <c r="D856" s="160"/>
      <c r="E856" s="43"/>
      <c r="F856" s="43"/>
      <c r="G856" s="43"/>
      <c r="H856" s="43"/>
      <c r="I856" s="43"/>
      <c r="J856" s="43"/>
      <c r="K856" s="43"/>
      <c r="L856" s="43"/>
      <c r="M856" s="43"/>
      <c r="N856" s="43"/>
      <c r="O856" s="43"/>
      <c r="P856" s="43"/>
      <c r="Q856" s="43"/>
      <c r="R856" s="43"/>
      <c r="S856" s="43"/>
      <c r="T856" s="43"/>
      <c r="U856" s="43"/>
      <c r="V856" s="43"/>
      <c r="W856" s="43"/>
      <c r="X856" s="43"/>
      <c r="Y856" s="43"/>
      <c r="Z856" s="43"/>
      <c r="AA856" s="43"/>
    </row>
    <row r="857">
      <c r="A857" s="43"/>
      <c r="B857" s="160"/>
      <c r="C857" s="160"/>
      <c r="D857" s="160"/>
      <c r="E857" s="43"/>
      <c r="F857" s="43"/>
      <c r="G857" s="43"/>
      <c r="H857" s="43"/>
      <c r="I857" s="43"/>
      <c r="J857" s="43"/>
      <c r="K857" s="43"/>
      <c r="L857" s="43"/>
      <c r="M857" s="43"/>
      <c r="N857" s="43"/>
      <c r="O857" s="43"/>
      <c r="P857" s="43"/>
      <c r="Q857" s="43"/>
      <c r="R857" s="43"/>
      <c r="S857" s="43"/>
      <c r="T857" s="43"/>
      <c r="U857" s="43"/>
      <c r="V857" s="43"/>
      <c r="W857" s="43"/>
      <c r="X857" s="43"/>
      <c r="Y857" s="43"/>
      <c r="Z857" s="43"/>
      <c r="AA857" s="43"/>
    </row>
    <row r="858">
      <c r="A858" s="43"/>
      <c r="B858" s="160"/>
      <c r="C858" s="160"/>
      <c r="D858" s="160"/>
      <c r="E858" s="43"/>
      <c r="F858" s="43"/>
      <c r="G858" s="43"/>
      <c r="H858" s="43"/>
      <c r="I858" s="43"/>
      <c r="J858" s="43"/>
      <c r="K858" s="43"/>
      <c r="L858" s="43"/>
      <c r="M858" s="43"/>
      <c r="N858" s="43"/>
      <c r="O858" s="43"/>
      <c r="P858" s="43"/>
      <c r="Q858" s="43"/>
      <c r="R858" s="43"/>
      <c r="S858" s="43"/>
      <c r="T858" s="43"/>
      <c r="U858" s="43"/>
      <c r="V858" s="43"/>
      <c r="W858" s="43"/>
      <c r="X858" s="43"/>
      <c r="Y858" s="43"/>
      <c r="Z858" s="43"/>
      <c r="AA858" s="43"/>
    </row>
    <row r="859">
      <c r="A859" s="43"/>
      <c r="B859" s="160"/>
      <c r="C859" s="160"/>
      <c r="D859" s="160"/>
      <c r="E859" s="43"/>
      <c r="F859" s="43"/>
      <c r="G859" s="43"/>
      <c r="H859" s="43"/>
      <c r="I859" s="43"/>
      <c r="J859" s="43"/>
      <c r="K859" s="43"/>
      <c r="L859" s="43"/>
      <c r="M859" s="43"/>
      <c r="N859" s="43"/>
      <c r="O859" s="43"/>
      <c r="P859" s="43"/>
      <c r="Q859" s="43"/>
      <c r="R859" s="43"/>
      <c r="S859" s="43"/>
      <c r="T859" s="43"/>
      <c r="U859" s="43"/>
      <c r="V859" s="43"/>
      <c r="W859" s="43"/>
      <c r="X859" s="43"/>
      <c r="Y859" s="43"/>
      <c r="Z859" s="43"/>
      <c r="AA859" s="43"/>
    </row>
    <row r="860">
      <c r="A860" s="43"/>
      <c r="B860" s="160"/>
      <c r="C860" s="160"/>
      <c r="D860" s="160"/>
      <c r="E860" s="43"/>
      <c r="F860" s="43"/>
      <c r="G860" s="43"/>
      <c r="H860" s="43"/>
      <c r="I860" s="43"/>
      <c r="J860" s="43"/>
      <c r="K860" s="43"/>
      <c r="L860" s="43"/>
      <c r="M860" s="43"/>
      <c r="N860" s="43"/>
      <c r="O860" s="43"/>
      <c r="P860" s="43"/>
      <c r="Q860" s="43"/>
      <c r="R860" s="43"/>
      <c r="S860" s="43"/>
      <c r="T860" s="43"/>
      <c r="U860" s="43"/>
      <c r="V860" s="43"/>
      <c r="W860" s="43"/>
      <c r="X860" s="43"/>
      <c r="Y860" s="43"/>
      <c r="Z860" s="43"/>
      <c r="AA860" s="43"/>
    </row>
    <row r="861">
      <c r="A861" s="43"/>
      <c r="B861" s="160"/>
      <c r="C861" s="160"/>
      <c r="D861" s="160"/>
      <c r="E861" s="43"/>
      <c r="F861" s="43"/>
      <c r="G861" s="43"/>
      <c r="H861" s="43"/>
      <c r="I861" s="43"/>
      <c r="J861" s="43"/>
      <c r="K861" s="43"/>
      <c r="L861" s="43"/>
      <c r="M861" s="43"/>
      <c r="N861" s="43"/>
      <c r="O861" s="43"/>
      <c r="P861" s="43"/>
      <c r="Q861" s="43"/>
      <c r="R861" s="43"/>
      <c r="S861" s="43"/>
      <c r="T861" s="43"/>
      <c r="U861" s="43"/>
      <c r="V861" s="43"/>
      <c r="W861" s="43"/>
      <c r="X861" s="43"/>
      <c r="Y861" s="43"/>
      <c r="Z861" s="43"/>
      <c r="AA861" s="43"/>
    </row>
    <row r="862">
      <c r="A862" s="43"/>
      <c r="B862" s="160"/>
      <c r="C862" s="160"/>
      <c r="D862" s="160"/>
      <c r="E862" s="43"/>
      <c r="F862" s="43"/>
      <c r="G862" s="43"/>
      <c r="H862" s="43"/>
      <c r="I862" s="43"/>
      <c r="J862" s="43"/>
      <c r="K862" s="43"/>
      <c r="L862" s="43"/>
      <c r="M862" s="43"/>
      <c r="N862" s="43"/>
      <c r="O862" s="43"/>
      <c r="P862" s="43"/>
      <c r="Q862" s="43"/>
      <c r="R862" s="43"/>
      <c r="S862" s="43"/>
      <c r="T862" s="43"/>
      <c r="U862" s="43"/>
      <c r="V862" s="43"/>
      <c r="W862" s="43"/>
      <c r="X862" s="43"/>
      <c r="Y862" s="43"/>
      <c r="Z862" s="43"/>
      <c r="AA862" s="43"/>
    </row>
    <row r="863">
      <c r="A863" s="43"/>
      <c r="B863" s="160"/>
      <c r="C863" s="160"/>
      <c r="D863" s="160"/>
      <c r="E863" s="43"/>
      <c r="F863" s="43"/>
      <c r="G863" s="43"/>
      <c r="H863" s="43"/>
      <c r="I863" s="43"/>
      <c r="J863" s="43"/>
      <c r="K863" s="43"/>
      <c r="L863" s="43"/>
      <c r="M863" s="43"/>
      <c r="N863" s="43"/>
      <c r="O863" s="43"/>
      <c r="P863" s="43"/>
      <c r="Q863" s="43"/>
      <c r="R863" s="43"/>
      <c r="S863" s="43"/>
      <c r="T863" s="43"/>
      <c r="U863" s="43"/>
      <c r="V863" s="43"/>
      <c r="W863" s="43"/>
      <c r="X863" s="43"/>
      <c r="Y863" s="43"/>
      <c r="Z863" s="43"/>
      <c r="AA863" s="43"/>
    </row>
    <row r="864">
      <c r="A864" s="43"/>
      <c r="B864" s="160"/>
      <c r="C864" s="160"/>
      <c r="D864" s="160"/>
      <c r="E864" s="43"/>
      <c r="F864" s="43"/>
      <c r="G864" s="43"/>
      <c r="H864" s="43"/>
      <c r="I864" s="43"/>
      <c r="J864" s="43"/>
      <c r="K864" s="43"/>
      <c r="L864" s="43"/>
      <c r="M864" s="43"/>
      <c r="N864" s="43"/>
      <c r="O864" s="43"/>
      <c r="P864" s="43"/>
      <c r="Q864" s="43"/>
      <c r="R864" s="43"/>
      <c r="S864" s="43"/>
      <c r="T864" s="43"/>
      <c r="U864" s="43"/>
      <c r="V864" s="43"/>
      <c r="W864" s="43"/>
      <c r="X864" s="43"/>
      <c r="Y864" s="43"/>
      <c r="Z864" s="43"/>
      <c r="AA864" s="43"/>
    </row>
    <row r="865">
      <c r="A865" s="43"/>
      <c r="B865" s="160"/>
      <c r="C865" s="160"/>
      <c r="D865" s="160"/>
      <c r="E865" s="43"/>
      <c r="F865" s="43"/>
      <c r="G865" s="43"/>
      <c r="H865" s="43"/>
      <c r="I865" s="43"/>
      <c r="J865" s="43"/>
      <c r="K865" s="43"/>
      <c r="L865" s="43"/>
      <c r="M865" s="43"/>
      <c r="N865" s="43"/>
      <c r="O865" s="43"/>
      <c r="P865" s="43"/>
      <c r="Q865" s="43"/>
      <c r="R865" s="43"/>
      <c r="S865" s="43"/>
      <c r="T865" s="43"/>
      <c r="U865" s="43"/>
      <c r="V865" s="43"/>
      <c r="W865" s="43"/>
      <c r="X865" s="43"/>
      <c r="Y865" s="43"/>
      <c r="Z865" s="43"/>
      <c r="AA865" s="43"/>
    </row>
    <row r="866">
      <c r="A866" s="43"/>
      <c r="B866" s="160"/>
      <c r="C866" s="160"/>
      <c r="D866" s="160"/>
      <c r="E866" s="43"/>
      <c r="F866" s="43"/>
      <c r="G866" s="43"/>
      <c r="H866" s="43"/>
      <c r="I866" s="43"/>
      <c r="J866" s="43"/>
      <c r="K866" s="43"/>
      <c r="L866" s="43"/>
      <c r="M866" s="43"/>
      <c r="N866" s="43"/>
      <c r="O866" s="43"/>
      <c r="P866" s="43"/>
      <c r="Q866" s="43"/>
      <c r="R866" s="43"/>
      <c r="S866" s="43"/>
      <c r="T866" s="43"/>
      <c r="U866" s="43"/>
      <c r="V866" s="43"/>
      <c r="W866" s="43"/>
      <c r="X866" s="43"/>
      <c r="Y866" s="43"/>
      <c r="Z866" s="43"/>
      <c r="AA866" s="43"/>
    </row>
    <row r="867">
      <c r="A867" s="43"/>
      <c r="B867" s="160"/>
      <c r="C867" s="160"/>
      <c r="D867" s="160"/>
      <c r="E867" s="43"/>
      <c r="F867" s="43"/>
      <c r="G867" s="43"/>
      <c r="H867" s="43"/>
      <c r="I867" s="43"/>
      <c r="J867" s="43"/>
      <c r="K867" s="43"/>
      <c r="L867" s="43"/>
      <c r="M867" s="43"/>
      <c r="N867" s="43"/>
      <c r="O867" s="43"/>
      <c r="P867" s="43"/>
      <c r="Q867" s="43"/>
      <c r="R867" s="43"/>
      <c r="S867" s="43"/>
      <c r="T867" s="43"/>
      <c r="U867" s="43"/>
      <c r="V867" s="43"/>
      <c r="W867" s="43"/>
      <c r="X867" s="43"/>
      <c r="Y867" s="43"/>
      <c r="Z867" s="43"/>
      <c r="AA867" s="43"/>
    </row>
    <row r="868">
      <c r="A868" s="43"/>
      <c r="B868" s="160"/>
      <c r="C868" s="160"/>
      <c r="D868" s="160"/>
      <c r="E868" s="43"/>
      <c r="F868" s="43"/>
      <c r="G868" s="43"/>
      <c r="H868" s="43"/>
      <c r="I868" s="43"/>
      <c r="J868" s="43"/>
      <c r="K868" s="43"/>
      <c r="L868" s="43"/>
      <c r="M868" s="43"/>
      <c r="N868" s="43"/>
      <c r="O868" s="43"/>
      <c r="P868" s="43"/>
      <c r="Q868" s="43"/>
      <c r="R868" s="43"/>
      <c r="S868" s="43"/>
      <c r="T868" s="43"/>
      <c r="U868" s="43"/>
      <c r="V868" s="43"/>
      <c r="W868" s="43"/>
      <c r="X868" s="43"/>
      <c r="Y868" s="43"/>
      <c r="Z868" s="43"/>
      <c r="AA868" s="43"/>
    </row>
    <row r="869">
      <c r="A869" s="43"/>
      <c r="B869" s="160"/>
      <c r="C869" s="160"/>
      <c r="D869" s="160"/>
      <c r="E869" s="43"/>
      <c r="F869" s="43"/>
      <c r="G869" s="43"/>
      <c r="H869" s="43"/>
      <c r="I869" s="43"/>
      <c r="J869" s="43"/>
      <c r="K869" s="43"/>
      <c r="L869" s="43"/>
      <c r="M869" s="43"/>
      <c r="N869" s="43"/>
      <c r="O869" s="43"/>
      <c r="P869" s="43"/>
      <c r="Q869" s="43"/>
      <c r="R869" s="43"/>
      <c r="S869" s="43"/>
      <c r="T869" s="43"/>
      <c r="U869" s="43"/>
      <c r="V869" s="43"/>
      <c r="W869" s="43"/>
      <c r="X869" s="43"/>
      <c r="Y869" s="43"/>
      <c r="Z869" s="43"/>
      <c r="AA869" s="43"/>
    </row>
    <row r="870">
      <c r="A870" s="43"/>
      <c r="B870" s="160"/>
      <c r="C870" s="160"/>
      <c r="D870" s="160"/>
      <c r="E870" s="43"/>
      <c r="F870" s="43"/>
      <c r="G870" s="43"/>
      <c r="H870" s="43"/>
      <c r="I870" s="43"/>
      <c r="J870" s="43"/>
      <c r="K870" s="43"/>
      <c r="L870" s="43"/>
      <c r="M870" s="43"/>
      <c r="N870" s="43"/>
      <c r="O870" s="43"/>
      <c r="P870" s="43"/>
      <c r="Q870" s="43"/>
      <c r="R870" s="43"/>
      <c r="S870" s="43"/>
      <c r="T870" s="43"/>
      <c r="U870" s="43"/>
      <c r="V870" s="43"/>
      <c r="W870" s="43"/>
      <c r="X870" s="43"/>
      <c r="Y870" s="43"/>
      <c r="Z870" s="43"/>
      <c r="AA870" s="43"/>
    </row>
    <row r="871">
      <c r="A871" s="43"/>
      <c r="B871" s="160"/>
      <c r="C871" s="160"/>
      <c r="D871" s="160"/>
      <c r="E871" s="43"/>
      <c r="F871" s="43"/>
      <c r="G871" s="43"/>
      <c r="H871" s="43"/>
      <c r="I871" s="43"/>
      <c r="J871" s="43"/>
      <c r="K871" s="43"/>
      <c r="L871" s="43"/>
      <c r="M871" s="43"/>
      <c r="N871" s="43"/>
      <c r="O871" s="43"/>
      <c r="P871" s="43"/>
      <c r="Q871" s="43"/>
      <c r="R871" s="43"/>
      <c r="S871" s="43"/>
      <c r="T871" s="43"/>
      <c r="U871" s="43"/>
      <c r="V871" s="43"/>
      <c r="W871" s="43"/>
      <c r="X871" s="43"/>
      <c r="Y871" s="43"/>
      <c r="Z871" s="43"/>
      <c r="AA871" s="43"/>
    </row>
    <row r="872">
      <c r="A872" s="43"/>
      <c r="B872" s="160"/>
      <c r="C872" s="160"/>
      <c r="D872" s="160"/>
      <c r="E872" s="43"/>
      <c r="F872" s="43"/>
      <c r="G872" s="43"/>
      <c r="H872" s="43"/>
      <c r="I872" s="43"/>
      <c r="J872" s="43"/>
      <c r="K872" s="43"/>
      <c r="L872" s="43"/>
      <c r="M872" s="43"/>
      <c r="N872" s="43"/>
      <c r="O872" s="43"/>
      <c r="P872" s="43"/>
      <c r="Q872" s="43"/>
      <c r="R872" s="43"/>
      <c r="S872" s="43"/>
      <c r="T872" s="43"/>
      <c r="U872" s="43"/>
      <c r="V872" s="43"/>
      <c r="W872" s="43"/>
      <c r="X872" s="43"/>
      <c r="Y872" s="43"/>
      <c r="Z872" s="43"/>
      <c r="AA872" s="43"/>
    </row>
    <row r="873">
      <c r="A873" s="43"/>
      <c r="B873" s="160"/>
      <c r="C873" s="160"/>
      <c r="D873" s="160"/>
      <c r="E873" s="43"/>
      <c r="F873" s="43"/>
      <c r="G873" s="43"/>
      <c r="H873" s="43"/>
      <c r="I873" s="43"/>
      <c r="J873" s="43"/>
      <c r="K873" s="43"/>
      <c r="L873" s="43"/>
      <c r="M873" s="43"/>
      <c r="N873" s="43"/>
      <c r="O873" s="43"/>
      <c r="P873" s="43"/>
      <c r="Q873" s="43"/>
      <c r="R873" s="43"/>
      <c r="S873" s="43"/>
      <c r="T873" s="43"/>
      <c r="U873" s="43"/>
      <c r="V873" s="43"/>
      <c r="W873" s="43"/>
      <c r="X873" s="43"/>
      <c r="Y873" s="43"/>
      <c r="Z873" s="43"/>
      <c r="AA873" s="43"/>
    </row>
    <row r="874">
      <c r="A874" s="43"/>
      <c r="B874" s="160"/>
      <c r="C874" s="160"/>
      <c r="D874" s="160"/>
      <c r="E874" s="43"/>
      <c r="F874" s="43"/>
      <c r="G874" s="43"/>
      <c r="H874" s="43"/>
      <c r="I874" s="43"/>
      <c r="J874" s="43"/>
      <c r="K874" s="43"/>
      <c r="L874" s="43"/>
      <c r="M874" s="43"/>
      <c r="N874" s="43"/>
      <c r="O874" s="43"/>
      <c r="P874" s="43"/>
      <c r="Q874" s="43"/>
      <c r="R874" s="43"/>
      <c r="S874" s="43"/>
      <c r="T874" s="43"/>
      <c r="U874" s="43"/>
      <c r="V874" s="43"/>
      <c r="W874" s="43"/>
      <c r="X874" s="43"/>
      <c r="Y874" s="43"/>
      <c r="Z874" s="43"/>
      <c r="AA874" s="43"/>
    </row>
    <row r="875">
      <c r="A875" s="43"/>
      <c r="B875" s="160"/>
      <c r="C875" s="160"/>
      <c r="D875" s="160"/>
      <c r="E875" s="43"/>
      <c r="F875" s="43"/>
      <c r="G875" s="43"/>
      <c r="H875" s="43"/>
      <c r="I875" s="43"/>
      <c r="J875" s="43"/>
      <c r="K875" s="43"/>
      <c r="L875" s="43"/>
      <c r="M875" s="43"/>
      <c r="N875" s="43"/>
      <c r="O875" s="43"/>
      <c r="P875" s="43"/>
      <c r="Q875" s="43"/>
      <c r="R875" s="43"/>
      <c r="S875" s="43"/>
      <c r="T875" s="43"/>
      <c r="U875" s="43"/>
      <c r="V875" s="43"/>
      <c r="W875" s="43"/>
      <c r="X875" s="43"/>
      <c r="Y875" s="43"/>
      <c r="Z875" s="43"/>
      <c r="AA875" s="43"/>
    </row>
    <row r="876">
      <c r="A876" s="43"/>
      <c r="B876" s="160"/>
      <c r="C876" s="160"/>
      <c r="D876" s="160"/>
      <c r="E876" s="43"/>
      <c r="F876" s="43"/>
      <c r="G876" s="43"/>
      <c r="H876" s="43"/>
      <c r="I876" s="43"/>
      <c r="J876" s="43"/>
      <c r="K876" s="43"/>
      <c r="L876" s="43"/>
      <c r="M876" s="43"/>
      <c r="N876" s="43"/>
      <c r="O876" s="43"/>
      <c r="P876" s="43"/>
      <c r="Q876" s="43"/>
      <c r="R876" s="43"/>
      <c r="S876" s="43"/>
      <c r="T876" s="43"/>
      <c r="U876" s="43"/>
      <c r="V876" s="43"/>
      <c r="W876" s="43"/>
      <c r="X876" s="43"/>
      <c r="Y876" s="43"/>
      <c r="Z876" s="43"/>
      <c r="AA876" s="43"/>
    </row>
    <row r="877">
      <c r="A877" s="43"/>
      <c r="B877" s="160"/>
      <c r="C877" s="160"/>
      <c r="D877" s="160"/>
      <c r="E877" s="43"/>
      <c r="F877" s="43"/>
      <c r="G877" s="43"/>
      <c r="H877" s="43"/>
      <c r="I877" s="43"/>
      <c r="J877" s="43"/>
      <c r="K877" s="43"/>
      <c r="L877" s="43"/>
      <c r="M877" s="43"/>
      <c r="N877" s="43"/>
      <c r="O877" s="43"/>
      <c r="P877" s="43"/>
      <c r="Q877" s="43"/>
      <c r="R877" s="43"/>
      <c r="S877" s="43"/>
      <c r="T877" s="43"/>
      <c r="U877" s="43"/>
      <c r="V877" s="43"/>
      <c r="W877" s="43"/>
      <c r="X877" s="43"/>
      <c r="Y877" s="43"/>
      <c r="Z877" s="43"/>
      <c r="AA877" s="43"/>
    </row>
    <row r="878">
      <c r="A878" s="43"/>
      <c r="B878" s="160"/>
      <c r="C878" s="160"/>
      <c r="D878" s="160"/>
      <c r="E878" s="43"/>
      <c r="F878" s="43"/>
      <c r="G878" s="43"/>
      <c r="H878" s="43"/>
      <c r="I878" s="43"/>
      <c r="J878" s="43"/>
      <c r="K878" s="43"/>
      <c r="L878" s="43"/>
      <c r="M878" s="43"/>
      <c r="N878" s="43"/>
      <c r="O878" s="43"/>
      <c r="P878" s="43"/>
      <c r="Q878" s="43"/>
      <c r="R878" s="43"/>
      <c r="S878" s="43"/>
      <c r="T878" s="43"/>
      <c r="U878" s="43"/>
      <c r="V878" s="43"/>
      <c r="W878" s="43"/>
      <c r="X878" s="43"/>
      <c r="Y878" s="43"/>
      <c r="Z878" s="43"/>
      <c r="AA878" s="43"/>
    </row>
    <row r="879">
      <c r="A879" s="43"/>
      <c r="B879" s="160"/>
      <c r="C879" s="160"/>
      <c r="D879" s="160"/>
      <c r="E879" s="43"/>
      <c r="F879" s="43"/>
      <c r="G879" s="43"/>
      <c r="H879" s="43"/>
      <c r="I879" s="43"/>
      <c r="J879" s="43"/>
      <c r="K879" s="43"/>
      <c r="L879" s="43"/>
      <c r="M879" s="43"/>
      <c r="N879" s="43"/>
      <c r="O879" s="43"/>
      <c r="P879" s="43"/>
      <c r="Q879" s="43"/>
      <c r="R879" s="43"/>
      <c r="S879" s="43"/>
      <c r="T879" s="43"/>
      <c r="U879" s="43"/>
      <c r="V879" s="43"/>
      <c r="W879" s="43"/>
      <c r="X879" s="43"/>
      <c r="Y879" s="43"/>
      <c r="Z879" s="43"/>
      <c r="AA879" s="43"/>
    </row>
    <row r="880">
      <c r="A880" s="43"/>
      <c r="B880" s="160"/>
      <c r="C880" s="160"/>
      <c r="D880" s="160"/>
      <c r="E880" s="43"/>
      <c r="F880" s="43"/>
      <c r="G880" s="43"/>
      <c r="H880" s="43"/>
      <c r="I880" s="43"/>
      <c r="J880" s="43"/>
      <c r="K880" s="43"/>
      <c r="L880" s="43"/>
      <c r="M880" s="43"/>
      <c r="N880" s="43"/>
      <c r="O880" s="43"/>
      <c r="P880" s="43"/>
      <c r="Q880" s="43"/>
      <c r="R880" s="43"/>
      <c r="S880" s="43"/>
      <c r="T880" s="43"/>
      <c r="U880" s="43"/>
      <c r="V880" s="43"/>
      <c r="W880" s="43"/>
      <c r="X880" s="43"/>
      <c r="Y880" s="43"/>
      <c r="Z880" s="43"/>
      <c r="AA880" s="43"/>
    </row>
    <row r="881">
      <c r="A881" s="43"/>
      <c r="B881" s="160"/>
      <c r="C881" s="160"/>
      <c r="D881" s="160"/>
      <c r="E881" s="43"/>
      <c r="F881" s="43"/>
      <c r="G881" s="43"/>
      <c r="H881" s="43"/>
      <c r="I881" s="43"/>
      <c r="J881" s="43"/>
      <c r="K881" s="43"/>
      <c r="L881" s="43"/>
      <c r="M881" s="43"/>
      <c r="N881" s="43"/>
      <c r="O881" s="43"/>
      <c r="P881" s="43"/>
      <c r="Q881" s="43"/>
      <c r="R881" s="43"/>
      <c r="S881" s="43"/>
      <c r="T881" s="43"/>
      <c r="U881" s="43"/>
      <c r="V881" s="43"/>
      <c r="W881" s="43"/>
      <c r="X881" s="43"/>
      <c r="Y881" s="43"/>
      <c r="Z881" s="43"/>
      <c r="AA881" s="43"/>
    </row>
    <row r="882">
      <c r="A882" s="43"/>
      <c r="B882" s="160"/>
      <c r="C882" s="160"/>
      <c r="D882" s="160"/>
      <c r="E882" s="43"/>
      <c r="F882" s="43"/>
      <c r="G882" s="43"/>
      <c r="H882" s="43"/>
      <c r="I882" s="43"/>
      <c r="J882" s="43"/>
      <c r="K882" s="43"/>
      <c r="L882" s="43"/>
      <c r="M882" s="43"/>
      <c r="N882" s="43"/>
      <c r="O882" s="43"/>
      <c r="P882" s="43"/>
      <c r="Q882" s="43"/>
      <c r="R882" s="43"/>
      <c r="S882" s="43"/>
      <c r="T882" s="43"/>
      <c r="U882" s="43"/>
      <c r="V882" s="43"/>
      <c r="W882" s="43"/>
      <c r="X882" s="43"/>
      <c r="Y882" s="43"/>
      <c r="Z882" s="43"/>
      <c r="AA882" s="43"/>
    </row>
    <row r="883">
      <c r="A883" s="43"/>
      <c r="B883" s="160"/>
      <c r="C883" s="160"/>
      <c r="D883" s="160"/>
      <c r="E883" s="43"/>
      <c r="F883" s="43"/>
      <c r="G883" s="43"/>
      <c r="H883" s="43"/>
      <c r="I883" s="43"/>
      <c r="J883" s="43"/>
      <c r="K883" s="43"/>
      <c r="L883" s="43"/>
      <c r="M883" s="43"/>
      <c r="N883" s="43"/>
      <c r="O883" s="43"/>
      <c r="P883" s="43"/>
      <c r="Q883" s="43"/>
      <c r="R883" s="43"/>
      <c r="S883" s="43"/>
      <c r="T883" s="43"/>
      <c r="U883" s="43"/>
      <c r="V883" s="43"/>
      <c r="W883" s="43"/>
      <c r="X883" s="43"/>
      <c r="Y883" s="43"/>
      <c r="Z883" s="43"/>
      <c r="AA883" s="43"/>
    </row>
    <row r="884">
      <c r="A884" s="43"/>
      <c r="B884" s="160"/>
      <c r="C884" s="160"/>
      <c r="D884" s="160"/>
      <c r="E884" s="43"/>
      <c r="F884" s="43"/>
      <c r="G884" s="43"/>
      <c r="H884" s="43"/>
      <c r="I884" s="43"/>
      <c r="J884" s="43"/>
      <c r="K884" s="43"/>
      <c r="L884" s="43"/>
      <c r="M884" s="43"/>
      <c r="N884" s="43"/>
      <c r="O884" s="43"/>
      <c r="P884" s="43"/>
      <c r="Q884" s="43"/>
      <c r="R884" s="43"/>
      <c r="S884" s="43"/>
      <c r="T884" s="43"/>
      <c r="U884" s="43"/>
      <c r="V884" s="43"/>
      <c r="W884" s="43"/>
      <c r="X884" s="43"/>
      <c r="Y884" s="43"/>
      <c r="Z884" s="43"/>
      <c r="AA884" s="43"/>
    </row>
    <row r="885">
      <c r="A885" s="43"/>
      <c r="B885" s="160"/>
      <c r="C885" s="160"/>
      <c r="D885" s="160"/>
      <c r="E885" s="43"/>
      <c r="F885" s="43"/>
      <c r="G885" s="43"/>
      <c r="H885" s="43"/>
      <c r="I885" s="43"/>
      <c r="J885" s="43"/>
      <c r="K885" s="43"/>
      <c r="L885" s="43"/>
      <c r="M885" s="43"/>
      <c r="N885" s="43"/>
      <c r="O885" s="43"/>
      <c r="P885" s="43"/>
      <c r="Q885" s="43"/>
      <c r="R885" s="43"/>
      <c r="S885" s="43"/>
      <c r="T885" s="43"/>
      <c r="U885" s="43"/>
      <c r="V885" s="43"/>
      <c r="W885" s="43"/>
      <c r="X885" s="43"/>
      <c r="Y885" s="43"/>
      <c r="Z885" s="43"/>
      <c r="AA885" s="43"/>
    </row>
    <row r="886">
      <c r="A886" s="43"/>
      <c r="B886" s="160"/>
      <c r="C886" s="160"/>
      <c r="D886" s="160"/>
      <c r="E886" s="43"/>
      <c r="F886" s="43"/>
      <c r="G886" s="43"/>
      <c r="H886" s="43"/>
      <c r="I886" s="43"/>
      <c r="J886" s="43"/>
      <c r="K886" s="43"/>
      <c r="L886" s="43"/>
      <c r="M886" s="43"/>
      <c r="N886" s="43"/>
      <c r="O886" s="43"/>
      <c r="P886" s="43"/>
      <c r="Q886" s="43"/>
      <c r="R886" s="43"/>
      <c r="S886" s="43"/>
      <c r="T886" s="43"/>
      <c r="U886" s="43"/>
      <c r="V886" s="43"/>
      <c r="W886" s="43"/>
      <c r="X886" s="43"/>
      <c r="Y886" s="43"/>
      <c r="Z886" s="43"/>
      <c r="AA886" s="43"/>
    </row>
    <row r="887">
      <c r="A887" s="43"/>
      <c r="B887" s="160"/>
      <c r="C887" s="160"/>
      <c r="D887" s="160"/>
      <c r="E887" s="43"/>
      <c r="F887" s="43"/>
      <c r="G887" s="43"/>
      <c r="H887" s="43"/>
      <c r="I887" s="43"/>
      <c r="J887" s="43"/>
      <c r="K887" s="43"/>
      <c r="L887" s="43"/>
      <c r="M887" s="43"/>
      <c r="N887" s="43"/>
      <c r="O887" s="43"/>
      <c r="P887" s="43"/>
      <c r="Q887" s="43"/>
      <c r="R887" s="43"/>
      <c r="S887" s="43"/>
      <c r="T887" s="43"/>
      <c r="U887" s="43"/>
      <c r="V887" s="43"/>
      <c r="W887" s="43"/>
      <c r="X887" s="43"/>
      <c r="Y887" s="43"/>
      <c r="Z887" s="43"/>
      <c r="AA887" s="43"/>
    </row>
    <row r="888">
      <c r="A888" s="43"/>
      <c r="B888" s="160"/>
      <c r="C888" s="160"/>
      <c r="D888" s="160"/>
      <c r="E888" s="43"/>
      <c r="F888" s="43"/>
      <c r="G888" s="43"/>
      <c r="H888" s="43"/>
      <c r="I888" s="43"/>
      <c r="J888" s="43"/>
      <c r="K888" s="43"/>
      <c r="L888" s="43"/>
      <c r="M888" s="43"/>
      <c r="N888" s="43"/>
      <c r="O888" s="43"/>
      <c r="P888" s="43"/>
      <c r="Q888" s="43"/>
      <c r="R888" s="43"/>
      <c r="S888" s="43"/>
      <c r="T888" s="43"/>
      <c r="U888" s="43"/>
      <c r="V888" s="43"/>
      <c r="W888" s="43"/>
      <c r="X888" s="43"/>
      <c r="Y888" s="43"/>
      <c r="Z888" s="43"/>
      <c r="AA888" s="43"/>
    </row>
    <row r="889">
      <c r="A889" s="43"/>
      <c r="B889" s="160"/>
      <c r="C889" s="160"/>
      <c r="D889" s="160"/>
      <c r="E889" s="43"/>
      <c r="F889" s="43"/>
      <c r="G889" s="43"/>
      <c r="H889" s="43"/>
      <c r="I889" s="43"/>
      <c r="J889" s="43"/>
      <c r="K889" s="43"/>
      <c r="L889" s="43"/>
      <c r="M889" s="43"/>
      <c r="N889" s="43"/>
      <c r="O889" s="43"/>
      <c r="P889" s="43"/>
      <c r="Q889" s="43"/>
      <c r="R889" s="43"/>
      <c r="S889" s="43"/>
      <c r="T889" s="43"/>
      <c r="U889" s="43"/>
      <c r="V889" s="43"/>
      <c r="W889" s="43"/>
      <c r="X889" s="43"/>
      <c r="Y889" s="43"/>
      <c r="Z889" s="43"/>
      <c r="AA889" s="43"/>
    </row>
    <row r="890">
      <c r="A890" s="43"/>
      <c r="B890" s="160"/>
      <c r="C890" s="160"/>
      <c r="D890" s="160"/>
      <c r="E890" s="43"/>
      <c r="F890" s="43"/>
      <c r="G890" s="43"/>
      <c r="H890" s="43"/>
      <c r="I890" s="43"/>
      <c r="J890" s="43"/>
      <c r="K890" s="43"/>
      <c r="L890" s="43"/>
      <c r="M890" s="43"/>
      <c r="N890" s="43"/>
      <c r="O890" s="43"/>
      <c r="P890" s="43"/>
      <c r="Q890" s="43"/>
      <c r="R890" s="43"/>
      <c r="S890" s="43"/>
      <c r="T890" s="43"/>
      <c r="U890" s="43"/>
      <c r="V890" s="43"/>
      <c r="W890" s="43"/>
      <c r="X890" s="43"/>
      <c r="Y890" s="43"/>
      <c r="Z890" s="43"/>
      <c r="AA890" s="43"/>
    </row>
    <row r="891">
      <c r="A891" s="43"/>
      <c r="B891" s="160"/>
      <c r="C891" s="160"/>
      <c r="D891" s="160"/>
      <c r="E891" s="43"/>
      <c r="F891" s="43"/>
      <c r="G891" s="43"/>
      <c r="H891" s="43"/>
      <c r="I891" s="43"/>
      <c r="J891" s="43"/>
      <c r="K891" s="43"/>
      <c r="L891" s="43"/>
      <c r="M891" s="43"/>
      <c r="N891" s="43"/>
      <c r="O891" s="43"/>
      <c r="P891" s="43"/>
      <c r="Q891" s="43"/>
      <c r="R891" s="43"/>
      <c r="S891" s="43"/>
      <c r="T891" s="43"/>
      <c r="U891" s="43"/>
      <c r="V891" s="43"/>
      <c r="W891" s="43"/>
      <c r="X891" s="43"/>
      <c r="Y891" s="43"/>
      <c r="Z891" s="43"/>
      <c r="AA891" s="43"/>
    </row>
    <row r="892">
      <c r="A892" s="43"/>
      <c r="B892" s="160"/>
      <c r="C892" s="160"/>
      <c r="D892" s="160"/>
      <c r="E892" s="43"/>
      <c r="F892" s="43"/>
      <c r="G892" s="43"/>
      <c r="H892" s="43"/>
      <c r="I892" s="43"/>
      <c r="J892" s="43"/>
      <c r="K892" s="43"/>
      <c r="L892" s="43"/>
      <c r="M892" s="43"/>
      <c r="N892" s="43"/>
      <c r="O892" s="43"/>
      <c r="P892" s="43"/>
      <c r="Q892" s="43"/>
      <c r="R892" s="43"/>
      <c r="S892" s="43"/>
      <c r="T892" s="43"/>
      <c r="U892" s="43"/>
      <c r="V892" s="43"/>
      <c r="W892" s="43"/>
      <c r="X892" s="43"/>
      <c r="Y892" s="43"/>
      <c r="Z892" s="43"/>
      <c r="AA892" s="43"/>
    </row>
    <row r="893">
      <c r="A893" s="43"/>
      <c r="B893" s="160"/>
      <c r="C893" s="160"/>
      <c r="D893" s="160"/>
      <c r="E893" s="43"/>
      <c r="F893" s="43"/>
      <c r="G893" s="43"/>
      <c r="H893" s="43"/>
      <c r="I893" s="43"/>
      <c r="J893" s="43"/>
      <c r="K893" s="43"/>
      <c r="L893" s="43"/>
      <c r="M893" s="43"/>
      <c r="N893" s="43"/>
      <c r="O893" s="43"/>
      <c r="P893" s="43"/>
      <c r="Q893" s="43"/>
      <c r="R893" s="43"/>
      <c r="S893" s="43"/>
      <c r="T893" s="43"/>
      <c r="U893" s="43"/>
      <c r="V893" s="43"/>
      <c r="W893" s="43"/>
      <c r="X893" s="43"/>
      <c r="Y893" s="43"/>
      <c r="Z893" s="43"/>
      <c r="AA893" s="43"/>
    </row>
    <row r="894">
      <c r="A894" s="43"/>
      <c r="B894" s="160"/>
      <c r="C894" s="160"/>
      <c r="D894" s="160"/>
      <c r="E894" s="43"/>
      <c r="F894" s="43"/>
      <c r="G894" s="43"/>
      <c r="H894" s="43"/>
      <c r="I894" s="43"/>
      <c r="J894" s="43"/>
      <c r="K894" s="43"/>
      <c r="L894" s="43"/>
      <c r="M894" s="43"/>
      <c r="N894" s="43"/>
      <c r="O894" s="43"/>
      <c r="P894" s="43"/>
      <c r="Q894" s="43"/>
      <c r="R894" s="43"/>
      <c r="S894" s="43"/>
      <c r="T894" s="43"/>
      <c r="U894" s="43"/>
      <c r="V894" s="43"/>
      <c r="W894" s="43"/>
      <c r="X894" s="43"/>
      <c r="Y894" s="43"/>
      <c r="Z894" s="43"/>
      <c r="AA894" s="43"/>
    </row>
    <row r="895">
      <c r="A895" s="43"/>
      <c r="B895" s="160"/>
      <c r="C895" s="160"/>
      <c r="D895" s="160"/>
      <c r="E895" s="43"/>
      <c r="F895" s="43"/>
      <c r="G895" s="43"/>
      <c r="H895" s="43"/>
      <c r="I895" s="43"/>
      <c r="J895" s="43"/>
      <c r="K895" s="43"/>
      <c r="L895" s="43"/>
      <c r="M895" s="43"/>
      <c r="N895" s="43"/>
      <c r="O895" s="43"/>
      <c r="P895" s="43"/>
      <c r="Q895" s="43"/>
      <c r="R895" s="43"/>
      <c r="S895" s="43"/>
      <c r="T895" s="43"/>
      <c r="U895" s="43"/>
      <c r="V895" s="43"/>
      <c r="W895" s="43"/>
      <c r="X895" s="43"/>
      <c r="Y895" s="43"/>
      <c r="Z895" s="43"/>
      <c r="AA895" s="43"/>
    </row>
    <row r="896">
      <c r="A896" s="43"/>
      <c r="B896" s="160"/>
      <c r="C896" s="160"/>
      <c r="D896" s="160"/>
      <c r="E896" s="43"/>
      <c r="F896" s="43"/>
      <c r="G896" s="43"/>
      <c r="H896" s="43"/>
      <c r="I896" s="43"/>
      <c r="J896" s="43"/>
      <c r="K896" s="43"/>
      <c r="L896" s="43"/>
      <c r="M896" s="43"/>
      <c r="N896" s="43"/>
      <c r="O896" s="43"/>
      <c r="P896" s="43"/>
      <c r="Q896" s="43"/>
      <c r="R896" s="43"/>
      <c r="S896" s="43"/>
      <c r="T896" s="43"/>
      <c r="U896" s="43"/>
      <c r="V896" s="43"/>
      <c r="W896" s="43"/>
      <c r="X896" s="43"/>
      <c r="Y896" s="43"/>
      <c r="Z896" s="43"/>
      <c r="AA896" s="43"/>
    </row>
    <row r="897">
      <c r="A897" s="43"/>
      <c r="B897" s="160"/>
      <c r="C897" s="160"/>
      <c r="D897" s="160"/>
      <c r="E897" s="43"/>
      <c r="F897" s="43"/>
      <c r="G897" s="43"/>
      <c r="H897" s="43"/>
      <c r="I897" s="43"/>
      <c r="J897" s="43"/>
      <c r="K897" s="43"/>
      <c r="L897" s="43"/>
      <c r="M897" s="43"/>
      <c r="N897" s="43"/>
      <c r="O897" s="43"/>
      <c r="P897" s="43"/>
      <c r="Q897" s="43"/>
      <c r="R897" s="43"/>
      <c r="S897" s="43"/>
      <c r="T897" s="43"/>
      <c r="U897" s="43"/>
      <c r="V897" s="43"/>
      <c r="W897" s="43"/>
      <c r="X897" s="43"/>
      <c r="Y897" s="43"/>
      <c r="Z897" s="43"/>
      <c r="AA897" s="43"/>
    </row>
    <row r="898">
      <c r="A898" s="43"/>
      <c r="B898" s="160"/>
      <c r="C898" s="160"/>
      <c r="D898" s="160"/>
      <c r="E898" s="43"/>
      <c r="F898" s="43"/>
      <c r="G898" s="43"/>
      <c r="H898" s="43"/>
      <c r="I898" s="43"/>
      <c r="J898" s="43"/>
      <c r="K898" s="43"/>
      <c r="L898" s="43"/>
      <c r="M898" s="43"/>
      <c r="N898" s="43"/>
      <c r="O898" s="43"/>
      <c r="P898" s="43"/>
      <c r="Q898" s="43"/>
      <c r="R898" s="43"/>
      <c r="S898" s="43"/>
      <c r="T898" s="43"/>
      <c r="U898" s="43"/>
      <c r="V898" s="43"/>
      <c r="W898" s="43"/>
      <c r="X898" s="43"/>
      <c r="Y898" s="43"/>
      <c r="Z898" s="43"/>
      <c r="AA898" s="43"/>
    </row>
    <row r="899">
      <c r="A899" s="43"/>
      <c r="B899" s="160"/>
      <c r="C899" s="160"/>
      <c r="D899" s="160"/>
      <c r="E899" s="43"/>
      <c r="F899" s="43"/>
      <c r="G899" s="43"/>
      <c r="H899" s="43"/>
      <c r="I899" s="43"/>
      <c r="J899" s="43"/>
      <c r="K899" s="43"/>
      <c r="L899" s="43"/>
      <c r="M899" s="43"/>
      <c r="N899" s="43"/>
      <c r="O899" s="43"/>
      <c r="P899" s="43"/>
      <c r="Q899" s="43"/>
      <c r="R899" s="43"/>
      <c r="S899" s="43"/>
      <c r="T899" s="43"/>
      <c r="U899" s="43"/>
      <c r="V899" s="43"/>
      <c r="W899" s="43"/>
      <c r="X899" s="43"/>
      <c r="Y899" s="43"/>
      <c r="Z899" s="43"/>
      <c r="AA899" s="43"/>
    </row>
    <row r="900">
      <c r="A900" s="43"/>
      <c r="B900" s="160"/>
      <c r="C900" s="160"/>
      <c r="D900" s="160"/>
      <c r="E900" s="43"/>
      <c r="F900" s="43"/>
      <c r="G900" s="43"/>
      <c r="H900" s="43"/>
      <c r="I900" s="43"/>
      <c r="J900" s="43"/>
      <c r="K900" s="43"/>
      <c r="L900" s="43"/>
      <c r="M900" s="43"/>
      <c r="N900" s="43"/>
      <c r="O900" s="43"/>
      <c r="P900" s="43"/>
      <c r="Q900" s="43"/>
      <c r="R900" s="43"/>
      <c r="S900" s="43"/>
      <c r="T900" s="43"/>
      <c r="U900" s="43"/>
      <c r="V900" s="43"/>
      <c r="W900" s="43"/>
      <c r="X900" s="43"/>
      <c r="Y900" s="43"/>
      <c r="Z900" s="43"/>
      <c r="AA900" s="43"/>
    </row>
    <row r="901">
      <c r="A901" s="43"/>
      <c r="B901" s="160"/>
      <c r="C901" s="160"/>
      <c r="D901" s="160"/>
      <c r="E901" s="43"/>
      <c r="F901" s="43"/>
      <c r="G901" s="43"/>
      <c r="H901" s="43"/>
      <c r="I901" s="43"/>
      <c r="J901" s="43"/>
      <c r="K901" s="43"/>
      <c r="L901" s="43"/>
      <c r="M901" s="43"/>
      <c r="N901" s="43"/>
      <c r="O901" s="43"/>
      <c r="P901" s="43"/>
      <c r="Q901" s="43"/>
      <c r="R901" s="43"/>
      <c r="S901" s="43"/>
      <c r="T901" s="43"/>
      <c r="U901" s="43"/>
      <c r="V901" s="43"/>
      <c r="W901" s="43"/>
      <c r="X901" s="43"/>
      <c r="Y901" s="43"/>
      <c r="Z901" s="43"/>
      <c r="AA901" s="43"/>
    </row>
    <row r="902">
      <c r="A902" s="43"/>
      <c r="B902" s="160"/>
      <c r="C902" s="160"/>
      <c r="D902" s="160"/>
      <c r="E902" s="43"/>
      <c r="F902" s="43"/>
      <c r="G902" s="43"/>
      <c r="H902" s="43"/>
      <c r="I902" s="43"/>
      <c r="J902" s="43"/>
      <c r="K902" s="43"/>
      <c r="L902" s="43"/>
      <c r="M902" s="43"/>
      <c r="N902" s="43"/>
      <c r="O902" s="43"/>
      <c r="P902" s="43"/>
      <c r="Q902" s="43"/>
      <c r="R902" s="43"/>
      <c r="S902" s="43"/>
      <c r="T902" s="43"/>
      <c r="U902" s="43"/>
      <c r="V902" s="43"/>
      <c r="W902" s="43"/>
      <c r="X902" s="43"/>
      <c r="Y902" s="43"/>
      <c r="Z902" s="43"/>
      <c r="AA902" s="43"/>
    </row>
    <row r="903">
      <c r="A903" s="43"/>
      <c r="B903" s="160"/>
      <c r="C903" s="160"/>
      <c r="D903" s="160"/>
      <c r="E903" s="43"/>
      <c r="F903" s="43"/>
      <c r="G903" s="43"/>
      <c r="H903" s="43"/>
      <c r="I903" s="43"/>
      <c r="J903" s="43"/>
      <c r="K903" s="43"/>
      <c r="L903" s="43"/>
      <c r="M903" s="43"/>
      <c r="N903" s="43"/>
      <c r="O903" s="43"/>
      <c r="P903" s="43"/>
      <c r="Q903" s="43"/>
      <c r="R903" s="43"/>
      <c r="S903" s="43"/>
      <c r="T903" s="43"/>
      <c r="U903" s="43"/>
      <c r="V903" s="43"/>
      <c r="W903" s="43"/>
      <c r="X903" s="43"/>
      <c r="Y903" s="43"/>
      <c r="Z903" s="43"/>
      <c r="AA903" s="43"/>
    </row>
    <row r="904">
      <c r="A904" s="43"/>
      <c r="B904" s="160"/>
      <c r="C904" s="160"/>
      <c r="D904" s="160"/>
      <c r="E904" s="43"/>
      <c r="F904" s="43"/>
      <c r="G904" s="43"/>
      <c r="H904" s="43"/>
      <c r="I904" s="43"/>
      <c r="J904" s="43"/>
      <c r="K904" s="43"/>
      <c r="L904" s="43"/>
      <c r="M904" s="43"/>
      <c r="N904" s="43"/>
      <c r="O904" s="43"/>
      <c r="P904" s="43"/>
      <c r="Q904" s="43"/>
      <c r="R904" s="43"/>
      <c r="S904" s="43"/>
      <c r="T904" s="43"/>
      <c r="U904" s="43"/>
      <c r="V904" s="43"/>
      <c r="W904" s="43"/>
      <c r="X904" s="43"/>
      <c r="Y904" s="43"/>
      <c r="Z904" s="43"/>
      <c r="AA904" s="43"/>
    </row>
    <row r="905">
      <c r="A905" s="43"/>
      <c r="B905" s="160"/>
      <c r="C905" s="160"/>
      <c r="D905" s="160"/>
      <c r="E905" s="43"/>
      <c r="F905" s="43"/>
      <c r="G905" s="43"/>
      <c r="H905" s="43"/>
      <c r="I905" s="43"/>
      <c r="J905" s="43"/>
      <c r="K905" s="43"/>
      <c r="L905" s="43"/>
      <c r="M905" s="43"/>
      <c r="N905" s="43"/>
      <c r="O905" s="43"/>
      <c r="P905" s="43"/>
      <c r="Q905" s="43"/>
      <c r="R905" s="43"/>
      <c r="S905" s="43"/>
      <c r="T905" s="43"/>
      <c r="U905" s="43"/>
      <c r="V905" s="43"/>
      <c r="W905" s="43"/>
      <c r="X905" s="43"/>
      <c r="Y905" s="43"/>
      <c r="Z905" s="43"/>
      <c r="AA905" s="43"/>
    </row>
    <row r="906">
      <c r="A906" s="43"/>
      <c r="B906" s="160"/>
      <c r="C906" s="160"/>
      <c r="D906" s="160"/>
      <c r="E906" s="43"/>
      <c r="F906" s="43"/>
      <c r="G906" s="43"/>
      <c r="H906" s="43"/>
      <c r="I906" s="43"/>
      <c r="J906" s="43"/>
      <c r="K906" s="43"/>
      <c r="L906" s="43"/>
      <c r="M906" s="43"/>
      <c r="N906" s="43"/>
      <c r="O906" s="43"/>
      <c r="P906" s="43"/>
      <c r="Q906" s="43"/>
      <c r="R906" s="43"/>
      <c r="S906" s="43"/>
      <c r="T906" s="43"/>
      <c r="U906" s="43"/>
      <c r="V906" s="43"/>
      <c r="W906" s="43"/>
      <c r="X906" s="43"/>
      <c r="Y906" s="43"/>
      <c r="Z906" s="43"/>
      <c r="AA906" s="43"/>
    </row>
    <row r="907">
      <c r="A907" s="43"/>
      <c r="B907" s="160"/>
      <c r="C907" s="160"/>
      <c r="D907" s="160"/>
      <c r="E907" s="43"/>
      <c r="F907" s="43"/>
      <c r="G907" s="43"/>
      <c r="H907" s="43"/>
      <c r="I907" s="43"/>
      <c r="J907" s="43"/>
      <c r="K907" s="43"/>
      <c r="L907" s="43"/>
      <c r="M907" s="43"/>
      <c r="N907" s="43"/>
      <c r="O907" s="43"/>
      <c r="P907" s="43"/>
      <c r="Q907" s="43"/>
      <c r="R907" s="43"/>
      <c r="S907" s="43"/>
      <c r="T907" s="43"/>
      <c r="U907" s="43"/>
      <c r="V907" s="43"/>
      <c r="W907" s="43"/>
      <c r="X907" s="43"/>
      <c r="Y907" s="43"/>
      <c r="Z907" s="43"/>
      <c r="AA907" s="43"/>
    </row>
    <row r="908">
      <c r="A908" s="43"/>
      <c r="B908" s="160"/>
      <c r="C908" s="160"/>
      <c r="D908" s="160"/>
      <c r="E908" s="43"/>
      <c r="F908" s="43"/>
      <c r="G908" s="43"/>
      <c r="H908" s="43"/>
      <c r="I908" s="43"/>
      <c r="J908" s="43"/>
      <c r="K908" s="43"/>
      <c r="L908" s="43"/>
      <c r="M908" s="43"/>
      <c r="N908" s="43"/>
      <c r="O908" s="43"/>
      <c r="P908" s="43"/>
      <c r="Q908" s="43"/>
      <c r="R908" s="43"/>
      <c r="S908" s="43"/>
      <c r="T908" s="43"/>
      <c r="U908" s="43"/>
      <c r="V908" s="43"/>
      <c r="W908" s="43"/>
      <c r="X908" s="43"/>
      <c r="Y908" s="43"/>
      <c r="Z908" s="43"/>
      <c r="AA908" s="43"/>
    </row>
    <row r="909">
      <c r="A909" s="43"/>
      <c r="B909" s="160"/>
      <c r="C909" s="160"/>
      <c r="D909" s="160"/>
      <c r="E909" s="43"/>
      <c r="F909" s="43"/>
      <c r="G909" s="43"/>
      <c r="H909" s="43"/>
      <c r="I909" s="43"/>
      <c r="J909" s="43"/>
      <c r="K909" s="43"/>
      <c r="L909" s="43"/>
      <c r="M909" s="43"/>
      <c r="N909" s="43"/>
      <c r="O909" s="43"/>
      <c r="P909" s="43"/>
      <c r="Q909" s="43"/>
      <c r="R909" s="43"/>
      <c r="S909" s="43"/>
      <c r="T909" s="43"/>
      <c r="U909" s="43"/>
      <c r="V909" s="43"/>
      <c r="W909" s="43"/>
      <c r="X909" s="43"/>
      <c r="Y909" s="43"/>
      <c r="Z909" s="43"/>
      <c r="AA909" s="43"/>
    </row>
    <row r="910">
      <c r="A910" s="43"/>
      <c r="B910" s="160"/>
      <c r="C910" s="160"/>
      <c r="D910" s="160"/>
      <c r="E910" s="43"/>
      <c r="F910" s="43"/>
      <c r="G910" s="43"/>
      <c r="H910" s="43"/>
      <c r="I910" s="43"/>
      <c r="J910" s="43"/>
      <c r="K910" s="43"/>
      <c r="L910" s="43"/>
      <c r="M910" s="43"/>
      <c r="N910" s="43"/>
      <c r="O910" s="43"/>
      <c r="P910" s="43"/>
      <c r="Q910" s="43"/>
      <c r="R910" s="43"/>
      <c r="S910" s="43"/>
      <c r="T910" s="43"/>
      <c r="U910" s="43"/>
      <c r="V910" s="43"/>
      <c r="W910" s="43"/>
      <c r="X910" s="43"/>
      <c r="Y910" s="43"/>
      <c r="Z910" s="43"/>
      <c r="AA910" s="43"/>
    </row>
    <row r="911">
      <c r="A911" s="43"/>
      <c r="B911" s="160"/>
      <c r="C911" s="160"/>
      <c r="D911" s="160"/>
      <c r="E911" s="43"/>
      <c r="F911" s="43"/>
      <c r="G911" s="43"/>
      <c r="H911" s="43"/>
      <c r="I911" s="43"/>
      <c r="J911" s="43"/>
      <c r="K911" s="43"/>
      <c r="L911" s="43"/>
      <c r="M911" s="43"/>
      <c r="N911" s="43"/>
      <c r="O911" s="43"/>
      <c r="P911" s="43"/>
      <c r="Q911" s="43"/>
      <c r="R911" s="43"/>
      <c r="S911" s="43"/>
      <c r="T911" s="43"/>
      <c r="U911" s="43"/>
      <c r="V911" s="43"/>
      <c r="W911" s="43"/>
      <c r="X911" s="43"/>
      <c r="Y911" s="43"/>
      <c r="Z911" s="43"/>
      <c r="AA911" s="43"/>
    </row>
    <row r="912">
      <c r="A912" s="43"/>
      <c r="B912" s="160"/>
      <c r="C912" s="160"/>
      <c r="D912" s="160"/>
      <c r="E912" s="43"/>
      <c r="F912" s="43"/>
      <c r="G912" s="43"/>
      <c r="H912" s="43"/>
      <c r="I912" s="43"/>
      <c r="J912" s="43"/>
      <c r="K912" s="43"/>
      <c r="L912" s="43"/>
      <c r="M912" s="43"/>
      <c r="N912" s="43"/>
      <c r="O912" s="43"/>
      <c r="P912" s="43"/>
      <c r="Q912" s="43"/>
      <c r="R912" s="43"/>
      <c r="S912" s="43"/>
      <c r="T912" s="43"/>
      <c r="U912" s="43"/>
      <c r="V912" s="43"/>
      <c r="W912" s="43"/>
      <c r="X912" s="43"/>
      <c r="Y912" s="43"/>
      <c r="Z912" s="43"/>
      <c r="AA912" s="43"/>
    </row>
    <row r="913">
      <c r="A913" s="43"/>
      <c r="B913" s="160"/>
      <c r="C913" s="160"/>
      <c r="D913" s="160"/>
      <c r="E913" s="43"/>
      <c r="F913" s="43"/>
      <c r="G913" s="43"/>
      <c r="H913" s="43"/>
      <c r="I913" s="43"/>
      <c r="J913" s="43"/>
      <c r="K913" s="43"/>
      <c r="L913" s="43"/>
      <c r="M913" s="43"/>
      <c r="N913" s="43"/>
      <c r="O913" s="43"/>
      <c r="P913" s="43"/>
      <c r="Q913" s="43"/>
      <c r="R913" s="43"/>
      <c r="S913" s="43"/>
      <c r="T913" s="43"/>
      <c r="U913" s="43"/>
      <c r="V913" s="43"/>
      <c r="W913" s="43"/>
      <c r="X913" s="43"/>
      <c r="Y913" s="43"/>
      <c r="Z913" s="43"/>
      <c r="AA913" s="43"/>
    </row>
    <row r="914">
      <c r="A914" s="43"/>
      <c r="B914" s="160"/>
      <c r="C914" s="160"/>
      <c r="D914" s="160"/>
      <c r="E914" s="43"/>
      <c r="F914" s="43"/>
      <c r="G914" s="43"/>
      <c r="H914" s="43"/>
      <c r="I914" s="43"/>
      <c r="J914" s="43"/>
      <c r="K914" s="43"/>
      <c r="L914" s="43"/>
      <c r="M914" s="43"/>
      <c r="N914" s="43"/>
      <c r="O914" s="43"/>
      <c r="P914" s="43"/>
      <c r="Q914" s="43"/>
      <c r="R914" s="43"/>
      <c r="S914" s="43"/>
      <c r="T914" s="43"/>
      <c r="U914" s="43"/>
      <c r="V914" s="43"/>
      <c r="W914" s="43"/>
      <c r="X914" s="43"/>
      <c r="Y914" s="43"/>
      <c r="Z914" s="43"/>
      <c r="AA914" s="43"/>
    </row>
    <row r="915">
      <c r="A915" s="43"/>
      <c r="B915" s="160"/>
      <c r="C915" s="160"/>
      <c r="D915" s="160"/>
      <c r="E915" s="43"/>
      <c r="F915" s="43"/>
      <c r="G915" s="43"/>
      <c r="H915" s="43"/>
      <c r="I915" s="43"/>
      <c r="J915" s="43"/>
      <c r="K915" s="43"/>
      <c r="L915" s="43"/>
      <c r="M915" s="43"/>
      <c r="N915" s="43"/>
      <c r="O915" s="43"/>
      <c r="P915" s="43"/>
      <c r="Q915" s="43"/>
      <c r="R915" s="43"/>
      <c r="S915" s="43"/>
      <c r="T915" s="43"/>
      <c r="U915" s="43"/>
      <c r="V915" s="43"/>
      <c r="W915" s="43"/>
      <c r="X915" s="43"/>
      <c r="Y915" s="43"/>
      <c r="Z915" s="43"/>
      <c r="AA915" s="43"/>
    </row>
    <row r="916">
      <c r="A916" s="43"/>
      <c r="B916" s="160"/>
      <c r="C916" s="160"/>
      <c r="D916" s="160"/>
      <c r="E916" s="43"/>
      <c r="F916" s="43"/>
      <c r="G916" s="43"/>
      <c r="H916" s="43"/>
      <c r="I916" s="43"/>
      <c r="J916" s="43"/>
      <c r="K916" s="43"/>
      <c r="L916" s="43"/>
      <c r="M916" s="43"/>
      <c r="N916" s="43"/>
      <c r="O916" s="43"/>
      <c r="P916" s="43"/>
      <c r="Q916" s="43"/>
      <c r="R916" s="43"/>
      <c r="S916" s="43"/>
      <c r="T916" s="43"/>
      <c r="U916" s="43"/>
      <c r="V916" s="43"/>
      <c r="W916" s="43"/>
      <c r="X916" s="43"/>
      <c r="Y916" s="43"/>
      <c r="Z916" s="43"/>
      <c r="AA916" s="43"/>
    </row>
    <row r="917">
      <c r="A917" s="43"/>
      <c r="B917" s="160"/>
      <c r="C917" s="160"/>
      <c r="D917" s="160"/>
      <c r="E917" s="43"/>
      <c r="F917" s="43"/>
      <c r="G917" s="43"/>
      <c r="H917" s="43"/>
      <c r="I917" s="43"/>
      <c r="J917" s="43"/>
      <c r="K917" s="43"/>
      <c r="L917" s="43"/>
      <c r="M917" s="43"/>
      <c r="N917" s="43"/>
      <c r="O917" s="43"/>
      <c r="P917" s="43"/>
      <c r="Q917" s="43"/>
      <c r="R917" s="43"/>
      <c r="S917" s="43"/>
      <c r="T917" s="43"/>
      <c r="U917" s="43"/>
      <c r="V917" s="43"/>
      <c r="W917" s="43"/>
      <c r="X917" s="43"/>
      <c r="Y917" s="43"/>
      <c r="Z917" s="43"/>
      <c r="AA917" s="43"/>
    </row>
    <row r="918">
      <c r="A918" s="43"/>
      <c r="B918" s="160"/>
      <c r="C918" s="160"/>
      <c r="D918" s="160"/>
      <c r="E918" s="43"/>
      <c r="F918" s="43"/>
      <c r="G918" s="43"/>
      <c r="H918" s="43"/>
      <c r="I918" s="43"/>
      <c r="J918" s="43"/>
      <c r="K918" s="43"/>
      <c r="L918" s="43"/>
      <c r="M918" s="43"/>
      <c r="N918" s="43"/>
      <c r="O918" s="43"/>
      <c r="P918" s="43"/>
      <c r="Q918" s="43"/>
      <c r="R918" s="43"/>
      <c r="S918" s="43"/>
      <c r="T918" s="43"/>
      <c r="U918" s="43"/>
      <c r="V918" s="43"/>
      <c r="W918" s="43"/>
      <c r="X918" s="43"/>
      <c r="Y918" s="43"/>
      <c r="Z918" s="43"/>
      <c r="AA918" s="43"/>
    </row>
    <row r="919">
      <c r="A919" s="43"/>
      <c r="B919" s="160"/>
      <c r="C919" s="160"/>
      <c r="D919" s="160"/>
      <c r="E919" s="43"/>
      <c r="F919" s="43"/>
      <c r="G919" s="43"/>
      <c r="H919" s="43"/>
      <c r="I919" s="43"/>
      <c r="J919" s="43"/>
      <c r="K919" s="43"/>
      <c r="L919" s="43"/>
      <c r="M919" s="43"/>
      <c r="N919" s="43"/>
      <c r="O919" s="43"/>
      <c r="P919" s="43"/>
      <c r="Q919" s="43"/>
      <c r="R919" s="43"/>
      <c r="S919" s="43"/>
      <c r="T919" s="43"/>
      <c r="U919" s="43"/>
      <c r="V919" s="43"/>
      <c r="W919" s="43"/>
      <c r="X919" s="43"/>
      <c r="Y919" s="43"/>
      <c r="Z919" s="43"/>
      <c r="AA919" s="43"/>
    </row>
    <row r="920">
      <c r="A920" s="43"/>
      <c r="B920" s="160"/>
      <c r="C920" s="160"/>
      <c r="D920" s="160"/>
      <c r="E920" s="43"/>
      <c r="F920" s="43"/>
      <c r="G920" s="43"/>
      <c r="H920" s="43"/>
      <c r="I920" s="43"/>
      <c r="J920" s="43"/>
      <c r="K920" s="43"/>
      <c r="L920" s="43"/>
      <c r="M920" s="43"/>
      <c r="N920" s="43"/>
      <c r="O920" s="43"/>
      <c r="P920" s="43"/>
      <c r="Q920" s="43"/>
      <c r="R920" s="43"/>
      <c r="S920" s="43"/>
      <c r="T920" s="43"/>
      <c r="U920" s="43"/>
      <c r="V920" s="43"/>
      <c r="W920" s="43"/>
      <c r="X920" s="43"/>
      <c r="Y920" s="43"/>
      <c r="Z920" s="43"/>
      <c r="AA920" s="43"/>
    </row>
    <row r="921">
      <c r="A921" s="43"/>
      <c r="B921" s="160"/>
      <c r="C921" s="160"/>
      <c r="D921" s="160"/>
      <c r="E921" s="43"/>
      <c r="F921" s="43"/>
      <c r="G921" s="43"/>
      <c r="H921" s="43"/>
      <c r="I921" s="43"/>
      <c r="J921" s="43"/>
      <c r="K921" s="43"/>
      <c r="L921" s="43"/>
      <c r="M921" s="43"/>
      <c r="N921" s="43"/>
      <c r="O921" s="43"/>
      <c r="P921" s="43"/>
      <c r="Q921" s="43"/>
      <c r="R921" s="43"/>
      <c r="S921" s="43"/>
      <c r="T921" s="43"/>
      <c r="U921" s="43"/>
      <c r="V921" s="43"/>
      <c r="W921" s="43"/>
      <c r="X921" s="43"/>
      <c r="Y921" s="43"/>
      <c r="Z921" s="43"/>
      <c r="AA921" s="43"/>
    </row>
    <row r="922">
      <c r="A922" s="43"/>
      <c r="B922" s="160"/>
      <c r="C922" s="160"/>
      <c r="D922" s="160"/>
      <c r="E922" s="43"/>
      <c r="F922" s="43"/>
      <c r="G922" s="43"/>
      <c r="H922" s="43"/>
      <c r="I922" s="43"/>
      <c r="J922" s="43"/>
      <c r="K922" s="43"/>
      <c r="L922" s="43"/>
      <c r="M922" s="43"/>
      <c r="N922" s="43"/>
      <c r="O922" s="43"/>
      <c r="P922" s="43"/>
      <c r="Q922" s="43"/>
      <c r="R922" s="43"/>
      <c r="S922" s="43"/>
      <c r="T922" s="43"/>
      <c r="U922" s="43"/>
      <c r="V922" s="43"/>
      <c r="W922" s="43"/>
      <c r="X922" s="43"/>
      <c r="Y922" s="43"/>
      <c r="Z922" s="43"/>
      <c r="AA922" s="43"/>
    </row>
    <row r="923">
      <c r="A923" s="43"/>
      <c r="B923" s="160"/>
      <c r="C923" s="160"/>
      <c r="D923" s="160"/>
      <c r="E923" s="43"/>
      <c r="F923" s="43"/>
      <c r="G923" s="43"/>
      <c r="H923" s="43"/>
      <c r="I923" s="43"/>
      <c r="J923" s="43"/>
      <c r="K923" s="43"/>
      <c r="L923" s="43"/>
      <c r="M923" s="43"/>
      <c r="N923" s="43"/>
      <c r="O923" s="43"/>
      <c r="P923" s="43"/>
      <c r="Q923" s="43"/>
      <c r="R923" s="43"/>
      <c r="S923" s="43"/>
      <c r="T923" s="43"/>
      <c r="U923" s="43"/>
      <c r="V923" s="43"/>
      <c r="W923" s="43"/>
      <c r="X923" s="43"/>
      <c r="Y923" s="43"/>
      <c r="Z923" s="43"/>
      <c r="AA923" s="43"/>
    </row>
    <row r="924">
      <c r="A924" s="43"/>
      <c r="B924" s="160"/>
      <c r="C924" s="160"/>
      <c r="D924" s="160"/>
      <c r="E924" s="43"/>
      <c r="F924" s="43"/>
      <c r="G924" s="43"/>
      <c r="H924" s="43"/>
      <c r="I924" s="43"/>
      <c r="J924" s="43"/>
      <c r="K924" s="43"/>
      <c r="L924" s="43"/>
      <c r="M924" s="43"/>
      <c r="N924" s="43"/>
      <c r="O924" s="43"/>
      <c r="P924" s="43"/>
      <c r="Q924" s="43"/>
      <c r="R924" s="43"/>
      <c r="S924" s="43"/>
      <c r="T924" s="43"/>
      <c r="U924" s="43"/>
      <c r="V924" s="43"/>
      <c r="W924" s="43"/>
      <c r="X924" s="43"/>
      <c r="Y924" s="43"/>
      <c r="Z924" s="43"/>
      <c r="AA924" s="43"/>
    </row>
    <row r="925">
      <c r="A925" s="43"/>
      <c r="B925" s="160"/>
      <c r="C925" s="160"/>
      <c r="D925" s="160"/>
      <c r="E925" s="43"/>
      <c r="F925" s="43"/>
      <c r="G925" s="43"/>
      <c r="H925" s="43"/>
      <c r="I925" s="43"/>
      <c r="J925" s="43"/>
      <c r="K925" s="43"/>
      <c r="L925" s="43"/>
      <c r="M925" s="43"/>
      <c r="N925" s="43"/>
      <c r="O925" s="43"/>
      <c r="P925" s="43"/>
      <c r="Q925" s="43"/>
      <c r="R925" s="43"/>
      <c r="S925" s="43"/>
      <c r="T925" s="43"/>
      <c r="U925" s="43"/>
      <c r="V925" s="43"/>
      <c r="W925" s="43"/>
      <c r="X925" s="43"/>
      <c r="Y925" s="43"/>
      <c r="Z925" s="43"/>
      <c r="AA925" s="43"/>
    </row>
    <row r="926">
      <c r="A926" s="43"/>
      <c r="B926" s="160"/>
      <c r="C926" s="160"/>
      <c r="D926" s="160"/>
      <c r="E926" s="43"/>
      <c r="F926" s="43"/>
      <c r="G926" s="43"/>
      <c r="H926" s="43"/>
      <c r="I926" s="43"/>
      <c r="J926" s="43"/>
      <c r="K926" s="43"/>
      <c r="L926" s="43"/>
      <c r="M926" s="43"/>
      <c r="N926" s="43"/>
      <c r="O926" s="43"/>
      <c r="P926" s="43"/>
      <c r="Q926" s="43"/>
      <c r="R926" s="43"/>
      <c r="S926" s="43"/>
      <c r="T926" s="43"/>
      <c r="U926" s="43"/>
      <c r="V926" s="43"/>
      <c r="W926" s="43"/>
      <c r="X926" s="43"/>
      <c r="Y926" s="43"/>
      <c r="Z926" s="43"/>
      <c r="AA926" s="43"/>
    </row>
    <row r="927">
      <c r="A927" s="43"/>
      <c r="B927" s="160"/>
      <c r="C927" s="160"/>
      <c r="D927" s="160"/>
      <c r="E927" s="43"/>
      <c r="F927" s="43"/>
      <c r="G927" s="43"/>
      <c r="H927" s="43"/>
      <c r="I927" s="43"/>
      <c r="J927" s="43"/>
      <c r="K927" s="43"/>
      <c r="L927" s="43"/>
      <c r="M927" s="43"/>
      <c r="N927" s="43"/>
      <c r="O927" s="43"/>
      <c r="P927" s="43"/>
      <c r="Q927" s="43"/>
      <c r="R927" s="43"/>
      <c r="S927" s="43"/>
      <c r="T927" s="43"/>
      <c r="U927" s="43"/>
      <c r="V927" s="43"/>
      <c r="W927" s="43"/>
      <c r="X927" s="43"/>
      <c r="Y927" s="43"/>
      <c r="Z927" s="43"/>
      <c r="AA927" s="43"/>
    </row>
    <row r="928">
      <c r="A928" s="43"/>
      <c r="B928" s="160"/>
      <c r="C928" s="160"/>
      <c r="D928" s="160"/>
      <c r="E928" s="43"/>
      <c r="F928" s="43"/>
      <c r="G928" s="43"/>
      <c r="H928" s="43"/>
      <c r="I928" s="43"/>
      <c r="J928" s="43"/>
      <c r="K928" s="43"/>
      <c r="L928" s="43"/>
      <c r="M928" s="43"/>
      <c r="N928" s="43"/>
      <c r="O928" s="43"/>
      <c r="P928" s="43"/>
      <c r="Q928" s="43"/>
      <c r="R928" s="43"/>
      <c r="S928" s="43"/>
      <c r="T928" s="43"/>
      <c r="U928" s="43"/>
      <c r="V928" s="43"/>
      <c r="W928" s="43"/>
      <c r="X928" s="43"/>
      <c r="Y928" s="43"/>
      <c r="Z928" s="43"/>
      <c r="AA928" s="43"/>
    </row>
    <row r="929">
      <c r="A929" s="43"/>
      <c r="B929" s="160"/>
      <c r="C929" s="160"/>
      <c r="D929" s="160"/>
      <c r="E929" s="43"/>
      <c r="F929" s="43"/>
      <c r="G929" s="43"/>
      <c r="H929" s="43"/>
      <c r="I929" s="43"/>
      <c r="J929" s="43"/>
      <c r="K929" s="43"/>
      <c r="L929" s="43"/>
      <c r="M929" s="43"/>
      <c r="N929" s="43"/>
      <c r="O929" s="43"/>
      <c r="P929" s="43"/>
      <c r="Q929" s="43"/>
      <c r="R929" s="43"/>
      <c r="S929" s="43"/>
      <c r="T929" s="43"/>
      <c r="U929" s="43"/>
      <c r="V929" s="43"/>
      <c r="W929" s="43"/>
      <c r="X929" s="43"/>
      <c r="Y929" s="43"/>
      <c r="Z929" s="43"/>
      <c r="AA929" s="43"/>
    </row>
    <row r="930">
      <c r="A930" s="43"/>
      <c r="B930" s="160"/>
      <c r="C930" s="160"/>
      <c r="D930" s="160"/>
      <c r="E930" s="43"/>
      <c r="F930" s="43"/>
      <c r="G930" s="43"/>
      <c r="H930" s="43"/>
      <c r="I930" s="43"/>
      <c r="J930" s="43"/>
      <c r="K930" s="43"/>
      <c r="L930" s="43"/>
      <c r="M930" s="43"/>
      <c r="N930" s="43"/>
      <c r="O930" s="43"/>
      <c r="P930" s="43"/>
      <c r="Q930" s="43"/>
      <c r="R930" s="43"/>
      <c r="S930" s="43"/>
      <c r="T930" s="43"/>
      <c r="U930" s="43"/>
      <c r="V930" s="43"/>
      <c r="W930" s="43"/>
      <c r="X930" s="43"/>
      <c r="Y930" s="43"/>
      <c r="Z930" s="43"/>
      <c r="AA930" s="43"/>
    </row>
    <row r="931">
      <c r="A931" s="43"/>
      <c r="B931" s="160"/>
      <c r="C931" s="160"/>
      <c r="D931" s="160"/>
      <c r="E931" s="43"/>
      <c r="F931" s="43"/>
      <c r="G931" s="43"/>
      <c r="H931" s="43"/>
      <c r="I931" s="43"/>
      <c r="J931" s="43"/>
      <c r="K931" s="43"/>
      <c r="L931" s="43"/>
      <c r="M931" s="43"/>
      <c r="N931" s="43"/>
      <c r="O931" s="43"/>
      <c r="P931" s="43"/>
      <c r="Q931" s="43"/>
      <c r="R931" s="43"/>
      <c r="S931" s="43"/>
      <c r="T931" s="43"/>
      <c r="U931" s="43"/>
      <c r="V931" s="43"/>
      <c r="W931" s="43"/>
      <c r="X931" s="43"/>
      <c r="Y931" s="43"/>
      <c r="Z931" s="43"/>
      <c r="AA931" s="43"/>
    </row>
    <row r="932">
      <c r="A932" s="43"/>
      <c r="B932" s="160"/>
      <c r="C932" s="160"/>
      <c r="D932" s="160"/>
      <c r="E932" s="43"/>
      <c r="F932" s="43"/>
      <c r="G932" s="43"/>
      <c r="H932" s="43"/>
      <c r="I932" s="43"/>
      <c r="J932" s="43"/>
      <c r="K932" s="43"/>
      <c r="L932" s="43"/>
      <c r="M932" s="43"/>
      <c r="N932" s="43"/>
      <c r="O932" s="43"/>
      <c r="P932" s="43"/>
      <c r="Q932" s="43"/>
      <c r="R932" s="43"/>
      <c r="S932" s="43"/>
      <c r="T932" s="43"/>
      <c r="U932" s="43"/>
      <c r="V932" s="43"/>
      <c r="W932" s="43"/>
      <c r="X932" s="43"/>
      <c r="Y932" s="43"/>
      <c r="Z932" s="43"/>
      <c r="AA932" s="43"/>
    </row>
    <row r="933">
      <c r="A933" s="43"/>
      <c r="B933" s="160"/>
      <c r="C933" s="160"/>
      <c r="D933" s="160"/>
      <c r="E933" s="43"/>
      <c r="F933" s="43"/>
      <c r="G933" s="43"/>
      <c r="H933" s="43"/>
      <c r="I933" s="43"/>
      <c r="J933" s="43"/>
      <c r="K933" s="43"/>
      <c r="L933" s="43"/>
      <c r="M933" s="43"/>
      <c r="N933" s="43"/>
      <c r="O933" s="43"/>
      <c r="P933" s="43"/>
      <c r="Q933" s="43"/>
      <c r="R933" s="43"/>
      <c r="S933" s="43"/>
      <c r="T933" s="43"/>
      <c r="U933" s="43"/>
      <c r="V933" s="43"/>
      <c r="W933" s="43"/>
      <c r="X933" s="43"/>
      <c r="Y933" s="43"/>
      <c r="Z933" s="43"/>
      <c r="AA933" s="43"/>
    </row>
    <row r="934">
      <c r="A934" s="43"/>
      <c r="B934" s="160"/>
      <c r="C934" s="160"/>
      <c r="D934" s="160"/>
      <c r="E934" s="43"/>
      <c r="F934" s="43"/>
      <c r="G934" s="43"/>
      <c r="H934" s="43"/>
      <c r="I934" s="43"/>
      <c r="J934" s="43"/>
      <c r="K934" s="43"/>
      <c r="L934" s="43"/>
      <c r="M934" s="43"/>
      <c r="N934" s="43"/>
      <c r="O934" s="43"/>
      <c r="P934" s="43"/>
      <c r="Q934" s="43"/>
      <c r="R934" s="43"/>
      <c r="S934" s="43"/>
      <c r="T934" s="43"/>
      <c r="U934" s="43"/>
      <c r="V934" s="43"/>
      <c r="W934" s="43"/>
      <c r="X934" s="43"/>
      <c r="Y934" s="43"/>
      <c r="Z934" s="43"/>
      <c r="AA934" s="43"/>
    </row>
    <row r="935">
      <c r="A935" s="43"/>
      <c r="B935" s="160"/>
      <c r="C935" s="160"/>
      <c r="D935" s="160"/>
      <c r="E935" s="43"/>
      <c r="F935" s="43"/>
      <c r="G935" s="43"/>
      <c r="H935" s="43"/>
      <c r="I935" s="43"/>
      <c r="J935" s="43"/>
      <c r="K935" s="43"/>
      <c r="L935" s="43"/>
      <c r="M935" s="43"/>
      <c r="N935" s="43"/>
      <c r="O935" s="43"/>
      <c r="P935" s="43"/>
      <c r="Q935" s="43"/>
      <c r="R935" s="43"/>
      <c r="S935" s="43"/>
      <c r="T935" s="43"/>
      <c r="U935" s="43"/>
      <c r="V935" s="43"/>
      <c r="W935" s="43"/>
      <c r="X935" s="43"/>
      <c r="Y935" s="43"/>
      <c r="Z935" s="43"/>
      <c r="AA935" s="43"/>
    </row>
    <row r="936">
      <c r="A936" s="43"/>
      <c r="B936" s="160"/>
      <c r="C936" s="160"/>
      <c r="D936" s="160"/>
      <c r="E936" s="43"/>
      <c r="F936" s="43"/>
      <c r="G936" s="43"/>
      <c r="H936" s="43"/>
      <c r="I936" s="43"/>
      <c r="J936" s="43"/>
      <c r="K936" s="43"/>
      <c r="L936" s="43"/>
      <c r="M936" s="43"/>
      <c r="N936" s="43"/>
      <c r="O936" s="43"/>
      <c r="P936" s="43"/>
      <c r="Q936" s="43"/>
      <c r="R936" s="43"/>
      <c r="S936" s="43"/>
      <c r="T936" s="43"/>
      <c r="U936" s="43"/>
      <c r="V936" s="43"/>
      <c r="W936" s="43"/>
      <c r="X936" s="43"/>
      <c r="Y936" s="43"/>
      <c r="Z936" s="43"/>
      <c r="AA936" s="43"/>
    </row>
    <row r="937">
      <c r="A937" s="43"/>
      <c r="B937" s="160"/>
      <c r="C937" s="160"/>
      <c r="D937" s="160"/>
      <c r="E937" s="43"/>
      <c r="F937" s="43"/>
      <c r="G937" s="43"/>
      <c r="H937" s="43"/>
      <c r="I937" s="43"/>
      <c r="J937" s="43"/>
      <c r="K937" s="43"/>
      <c r="L937" s="43"/>
      <c r="M937" s="43"/>
      <c r="N937" s="43"/>
      <c r="O937" s="43"/>
      <c r="P937" s="43"/>
      <c r="Q937" s="43"/>
      <c r="R937" s="43"/>
      <c r="S937" s="43"/>
      <c r="T937" s="43"/>
      <c r="U937" s="43"/>
      <c r="V937" s="43"/>
      <c r="W937" s="43"/>
      <c r="X937" s="43"/>
      <c r="Y937" s="43"/>
      <c r="Z937" s="43"/>
      <c r="AA937" s="43"/>
    </row>
    <row r="938">
      <c r="A938" s="43"/>
      <c r="B938" s="160"/>
      <c r="C938" s="160"/>
      <c r="D938" s="160"/>
      <c r="E938" s="43"/>
      <c r="F938" s="43"/>
      <c r="G938" s="43"/>
      <c r="H938" s="43"/>
      <c r="I938" s="43"/>
      <c r="J938" s="43"/>
      <c r="K938" s="43"/>
      <c r="L938" s="43"/>
      <c r="M938" s="43"/>
      <c r="N938" s="43"/>
      <c r="O938" s="43"/>
      <c r="P938" s="43"/>
      <c r="Q938" s="43"/>
      <c r="R938" s="43"/>
      <c r="S938" s="43"/>
      <c r="T938" s="43"/>
      <c r="U938" s="43"/>
      <c r="V938" s="43"/>
      <c r="W938" s="43"/>
      <c r="X938" s="43"/>
      <c r="Y938" s="43"/>
      <c r="Z938" s="43"/>
      <c r="AA938" s="43"/>
    </row>
    <row r="939">
      <c r="A939" s="43"/>
      <c r="B939" s="160"/>
      <c r="C939" s="160"/>
      <c r="D939" s="160"/>
      <c r="E939" s="43"/>
      <c r="F939" s="43"/>
      <c r="G939" s="43"/>
      <c r="H939" s="43"/>
      <c r="I939" s="43"/>
      <c r="J939" s="43"/>
      <c r="K939" s="43"/>
      <c r="L939" s="43"/>
      <c r="M939" s="43"/>
      <c r="N939" s="43"/>
      <c r="O939" s="43"/>
      <c r="P939" s="43"/>
      <c r="Q939" s="43"/>
      <c r="R939" s="43"/>
      <c r="S939" s="43"/>
      <c r="T939" s="43"/>
      <c r="U939" s="43"/>
      <c r="V939" s="43"/>
      <c r="W939" s="43"/>
      <c r="X939" s="43"/>
      <c r="Y939" s="43"/>
      <c r="Z939" s="43"/>
      <c r="AA939" s="43"/>
    </row>
    <row r="940">
      <c r="A940" s="43"/>
      <c r="B940" s="160"/>
      <c r="C940" s="160"/>
      <c r="D940" s="160"/>
      <c r="E940" s="43"/>
      <c r="F940" s="43"/>
      <c r="G940" s="43"/>
      <c r="H940" s="43"/>
      <c r="I940" s="43"/>
      <c r="J940" s="43"/>
      <c r="K940" s="43"/>
      <c r="L940" s="43"/>
      <c r="M940" s="43"/>
      <c r="N940" s="43"/>
      <c r="O940" s="43"/>
      <c r="P940" s="43"/>
      <c r="Q940" s="43"/>
      <c r="R940" s="43"/>
      <c r="S940" s="43"/>
      <c r="T940" s="43"/>
      <c r="U940" s="43"/>
      <c r="V940" s="43"/>
      <c r="W940" s="43"/>
      <c r="X940" s="43"/>
      <c r="Y940" s="43"/>
      <c r="Z940" s="43"/>
      <c r="AA940" s="43"/>
    </row>
    <row r="941">
      <c r="A941" s="43"/>
      <c r="B941" s="160"/>
      <c r="C941" s="160"/>
      <c r="D941" s="160"/>
      <c r="E941" s="43"/>
      <c r="F941" s="43"/>
      <c r="G941" s="43"/>
      <c r="H941" s="43"/>
      <c r="I941" s="43"/>
      <c r="J941" s="43"/>
      <c r="K941" s="43"/>
      <c r="L941" s="43"/>
      <c r="M941" s="43"/>
      <c r="N941" s="43"/>
      <c r="O941" s="43"/>
      <c r="P941" s="43"/>
      <c r="Q941" s="43"/>
      <c r="R941" s="43"/>
      <c r="S941" s="43"/>
      <c r="T941" s="43"/>
      <c r="U941" s="43"/>
      <c r="V941" s="43"/>
      <c r="W941" s="43"/>
      <c r="X941" s="43"/>
      <c r="Y941" s="43"/>
      <c r="Z941" s="43"/>
      <c r="AA941" s="43"/>
    </row>
    <row r="942">
      <c r="A942" s="43"/>
      <c r="B942" s="160"/>
      <c r="C942" s="160"/>
      <c r="D942" s="160"/>
      <c r="E942" s="43"/>
      <c r="F942" s="43"/>
      <c r="G942" s="43"/>
      <c r="H942" s="43"/>
      <c r="I942" s="43"/>
      <c r="J942" s="43"/>
      <c r="K942" s="43"/>
      <c r="L942" s="43"/>
      <c r="M942" s="43"/>
      <c r="N942" s="43"/>
      <c r="O942" s="43"/>
      <c r="P942" s="43"/>
      <c r="Q942" s="43"/>
      <c r="R942" s="43"/>
      <c r="S942" s="43"/>
      <c r="T942" s="43"/>
      <c r="U942" s="43"/>
      <c r="V942" s="43"/>
      <c r="W942" s="43"/>
      <c r="X942" s="43"/>
      <c r="Y942" s="43"/>
      <c r="Z942" s="43"/>
      <c r="AA942" s="43"/>
    </row>
    <row r="943">
      <c r="A943" s="43"/>
      <c r="B943" s="160"/>
      <c r="C943" s="160"/>
      <c r="D943" s="160"/>
      <c r="E943" s="43"/>
      <c r="F943" s="43"/>
      <c r="G943" s="43"/>
      <c r="H943" s="43"/>
      <c r="I943" s="43"/>
      <c r="J943" s="43"/>
      <c r="K943" s="43"/>
      <c r="L943" s="43"/>
      <c r="M943" s="43"/>
      <c r="N943" s="43"/>
      <c r="O943" s="43"/>
      <c r="P943" s="43"/>
      <c r="Q943" s="43"/>
      <c r="R943" s="43"/>
      <c r="S943" s="43"/>
      <c r="T943" s="43"/>
      <c r="U943" s="43"/>
      <c r="V943" s="43"/>
      <c r="W943" s="43"/>
      <c r="X943" s="43"/>
      <c r="Y943" s="43"/>
      <c r="Z943" s="43"/>
      <c r="AA943" s="43"/>
    </row>
    <row r="944">
      <c r="A944" s="43"/>
      <c r="B944" s="160"/>
      <c r="C944" s="160"/>
      <c r="D944" s="160"/>
      <c r="E944" s="43"/>
      <c r="F944" s="43"/>
      <c r="G944" s="43"/>
      <c r="H944" s="43"/>
      <c r="I944" s="43"/>
      <c r="J944" s="43"/>
      <c r="K944" s="43"/>
      <c r="L944" s="43"/>
      <c r="M944" s="43"/>
      <c r="N944" s="43"/>
      <c r="O944" s="43"/>
      <c r="P944" s="43"/>
      <c r="Q944" s="43"/>
      <c r="R944" s="43"/>
      <c r="S944" s="43"/>
      <c r="T944" s="43"/>
      <c r="U944" s="43"/>
      <c r="V944" s="43"/>
      <c r="W944" s="43"/>
      <c r="X944" s="43"/>
      <c r="Y944" s="43"/>
      <c r="Z944" s="43"/>
      <c r="AA944" s="43"/>
    </row>
    <row r="945">
      <c r="A945" s="43"/>
      <c r="B945" s="160"/>
      <c r="C945" s="160"/>
      <c r="D945" s="160"/>
      <c r="E945" s="43"/>
      <c r="F945" s="43"/>
      <c r="G945" s="43"/>
      <c r="H945" s="43"/>
      <c r="I945" s="43"/>
      <c r="J945" s="43"/>
      <c r="K945" s="43"/>
      <c r="L945" s="43"/>
      <c r="M945" s="43"/>
      <c r="N945" s="43"/>
      <c r="O945" s="43"/>
      <c r="P945" s="43"/>
      <c r="Q945" s="43"/>
      <c r="R945" s="43"/>
      <c r="S945" s="43"/>
      <c r="T945" s="43"/>
      <c r="U945" s="43"/>
      <c r="V945" s="43"/>
      <c r="W945" s="43"/>
      <c r="X945" s="43"/>
      <c r="Y945" s="43"/>
      <c r="Z945" s="43"/>
      <c r="AA945" s="43"/>
    </row>
    <row r="946">
      <c r="A946" s="43"/>
      <c r="B946" s="160"/>
      <c r="C946" s="160"/>
      <c r="D946" s="160"/>
      <c r="E946" s="43"/>
      <c r="F946" s="43"/>
      <c r="G946" s="43"/>
      <c r="H946" s="43"/>
      <c r="I946" s="43"/>
      <c r="J946" s="43"/>
      <c r="K946" s="43"/>
      <c r="L946" s="43"/>
      <c r="M946" s="43"/>
      <c r="N946" s="43"/>
      <c r="O946" s="43"/>
      <c r="P946" s="43"/>
      <c r="Q946" s="43"/>
      <c r="R946" s="43"/>
      <c r="S946" s="43"/>
      <c r="T946" s="43"/>
      <c r="U946" s="43"/>
      <c r="V946" s="43"/>
      <c r="W946" s="43"/>
      <c r="X946" s="43"/>
      <c r="Y946" s="43"/>
      <c r="Z946" s="43"/>
      <c r="AA946" s="43"/>
    </row>
    <row r="947">
      <c r="A947" s="43"/>
      <c r="B947" s="160"/>
      <c r="C947" s="160"/>
      <c r="D947" s="160"/>
      <c r="E947" s="43"/>
      <c r="F947" s="43"/>
      <c r="G947" s="43"/>
      <c r="H947" s="43"/>
      <c r="I947" s="43"/>
      <c r="J947" s="43"/>
      <c r="K947" s="43"/>
      <c r="L947" s="43"/>
      <c r="M947" s="43"/>
      <c r="N947" s="43"/>
      <c r="O947" s="43"/>
      <c r="P947" s="43"/>
      <c r="Q947" s="43"/>
      <c r="R947" s="43"/>
      <c r="S947" s="43"/>
      <c r="T947" s="43"/>
      <c r="U947" s="43"/>
      <c r="V947" s="43"/>
      <c r="W947" s="43"/>
      <c r="X947" s="43"/>
      <c r="Y947" s="43"/>
      <c r="Z947" s="43"/>
      <c r="AA947" s="43"/>
    </row>
    <row r="948">
      <c r="A948" s="43"/>
      <c r="B948" s="160"/>
      <c r="C948" s="160"/>
      <c r="D948" s="160"/>
      <c r="E948" s="43"/>
      <c r="F948" s="43"/>
      <c r="G948" s="43"/>
      <c r="H948" s="43"/>
      <c r="I948" s="43"/>
      <c r="J948" s="43"/>
      <c r="K948" s="43"/>
      <c r="L948" s="43"/>
      <c r="M948" s="43"/>
      <c r="N948" s="43"/>
      <c r="O948" s="43"/>
      <c r="P948" s="43"/>
      <c r="Q948" s="43"/>
      <c r="R948" s="43"/>
      <c r="S948" s="43"/>
      <c r="T948" s="43"/>
      <c r="U948" s="43"/>
      <c r="V948" s="43"/>
      <c r="W948" s="43"/>
      <c r="X948" s="43"/>
      <c r="Y948" s="43"/>
      <c r="Z948" s="43"/>
      <c r="AA948" s="43"/>
    </row>
    <row r="949">
      <c r="A949" s="43"/>
      <c r="B949" s="160"/>
      <c r="C949" s="160"/>
      <c r="D949" s="160"/>
      <c r="E949" s="43"/>
      <c r="F949" s="43"/>
      <c r="G949" s="43"/>
      <c r="H949" s="43"/>
      <c r="I949" s="43"/>
      <c r="J949" s="43"/>
      <c r="K949" s="43"/>
      <c r="L949" s="43"/>
      <c r="M949" s="43"/>
      <c r="N949" s="43"/>
      <c r="O949" s="43"/>
      <c r="P949" s="43"/>
      <c r="Q949" s="43"/>
      <c r="R949" s="43"/>
      <c r="S949" s="43"/>
      <c r="T949" s="43"/>
      <c r="U949" s="43"/>
      <c r="V949" s="43"/>
      <c r="W949" s="43"/>
      <c r="X949" s="43"/>
      <c r="Y949" s="43"/>
      <c r="Z949" s="43"/>
      <c r="AA949" s="43"/>
    </row>
    <row r="950">
      <c r="A950" s="43"/>
      <c r="B950" s="160"/>
      <c r="C950" s="160"/>
      <c r="D950" s="160"/>
      <c r="E950" s="43"/>
      <c r="F950" s="43"/>
      <c r="G950" s="43"/>
      <c r="H950" s="43"/>
      <c r="I950" s="43"/>
      <c r="J950" s="43"/>
      <c r="K950" s="43"/>
      <c r="L950" s="43"/>
      <c r="M950" s="43"/>
      <c r="N950" s="43"/>
      <c r="O950" s="43"/>
      <c r="P950" s="43"/>
      <c r="Q950" s="43"/>
      <c r="R950" s="43"/>
      <c r="S950" s="43"/>
      <c r="T950" s="43"/>
      <c r="U950" s="43"/>
      <c r="V950" s="43"/>
      <c r="W950" s="43"/>
      <c r="X950" s="43"/>
      <c r="Y950" s="43"/>
      <c r="Z950" s="43"/>
      <c r="AA950" s="43"/>
    </row>
    <row r="951">
      <c r="A951" s="43"/>
      <c r="B951" s="160"/>
      <c r="C951" s="160"/>
      <c r="D951" s="160"/>
      <c r="E951" s="43"/>
      <c r="F951" s="43"/>
      <c r="G951" s="43"/>
      <c r="H951" s="43"/>
      <c r="I951" s="43"/>
      <c r="J951" s="43"/>
      <c r="K951" s="43"/>
      <c r="L951" s="43"/>
      <c r="M951" s="43"/>
      <c r="N951" s="43"/>
      <c r="O951" s="43"/>
      <c r="P951" s="43"/>
      <c r="Q951" s="43"/>
      <c r="R951" s="43"/>
      <c r="S951" s="43"/>
      <c r="T951" s="43"/>
      <c r="U951" s="43"/>
      <c r="V951" s="43"/>
      <c r="W951" s="43"/>
      <c r="X951" s="43"/>
      <c r="Y951" s="43"/>
      <c r="Z951" s="43"/>
      <c r="AA951" s="43"/>
    </row>
    <row r="952">
      <c r="A952" s="43"/>
      <c r="B952" s="160"/>
      <c r="C952" s="160"/>
      <c r="D952" s="160"/>
      <c r="E952" s="43"/>
      <c r="F952" s="43"/>
      <c r="G952" s="43"/>
      <c r="H952" s="43"/>
      <c r="I952" s="43"/>
      <c r="J952" s="43"/>
      <c r="K952" s="43"/>
      <c r="L952" s="43"/>
      <c r="M952" s="43"/>
      <c r="N952" s="43"/>
      <c r="O952" s="43"/>
      <c r="P952" s="43"/>
      <c r="Q952" s="43"/>
      <c r="R952" s="43"/>
      <c r="S952" s="43"/>
      <c r="T952" s="43"/>
      <c r="U952" s="43"/>
      <c r="V952" s="43"/>
      <c r="W952" s="43"/>
      <c r="X952" s="43"/>
      <c r="Y952" s="43"/>
      <c r="Z952" s="43"/>
      <c r="AA952" s="43"/>
    </row>
    <row r="953">
      <c r="A953" s="43"/>
      <c r="B953" s="160"/>
      <c r="C953" s="160"/>
      <c r="D953" s="160"/>
      <c r="E953" s="43"/>
      <c r="F953" s="43"/>
      <c r="G953" s="43"/>
      <c r="H953" s="43"/>
      <c r="I953" s="43"/>
      <c r="J953" s="43"/>
      <c r="K953" s="43"/>
      <c r="L953" s="43"/>
      <c r="M953" s="43"/>
      <c r="N953" s="43"/>
      <c r="O953" s="43"/>
      <c r="P953" s="43"/>
      <c r="Q953" s="43"/>
      <c r="R953" s="43"/>
      <c r="S953" s="43"/>
      <c r="T953" s="43"/>
      <c r="U953" s="43"/>
      <c r="V953" s="43"/>
      <c r="W953" s="43"/>
      <c r="X953" s="43"/>
      <c r="Y953" s="43"/>
      <c r="Z953" s="43"/>
      <c r="AA953" s="43"/>
    </row>
    <row r="954">
      <c r="A954" s="43"/>
      <c r="B954" s="160"/>
      <c r="C954" s="160"/>
      <c r="D954" s="160"/>
      <c r="E954" s="43"/>
      <c r="F954" s="43"/>
      <c r="G954" s="43"/>
      <c r="H954" s="43"/>
      <c r="I954" s="43"/>
      <c r="J954" s="43"/>
      <c r="K954" s="43"/>
      <c r="L954" s="43"/>
      <c r="M954" s="43"/>
      <c r="N954" s="43"/>
      <c r="O954" s="43"/>
      <c r="P954" s="43"/>
      <c r="Q954" s="43"/>
      <c r="R954" s="43"/>
      <c r="S954" s="43"/>
      <c r="T954" s="43"/>
      <c r="U954" s="43"/>
      <c r="V954" s="43"/>
      <c r="W954" s="43"/>
      <c r="X954" s="43"/>
      <c r="Y954" s="43"/>
      <c r="Z954" s="43"/>
      <c r="AA954" s="43"/>
    </row>
    <row r="955">
      <c r="A955" s="43"/>
      <c r="B955" s="160"/>
      <c r="C955" s="160"/>
      <c r="D955" s="160"/>
      <c r="E955" s="43"/>
      <c r="F955" s="43"/>
      <c r="G955" s="43"/>
      <c r="H955" s="43"/>
      <c r="I955" s="43"/>
      <c r="J955" s="43"/>
      <c r="K955" s="43"/>
      <c r="L955" s="43"/>
      <c r="M955" s="43"/>
      <c r="N955" s="43"/>
      <c r="O955" s="43"/>
      <c r="P955" s="43"/>
      <c r="Q955" s="43"/>
      <c r="R955" s="43"/>
      <c r="S955" s="43"/>
      <c r="T955" s="43"/>
      <c r="U955" s="43"/>
      <c r="V955" s="43"/>
      <c r="W955" s="43"/>
      <c r="X955" s="43"/>
      <c r="Y955" s="43"/>
      <c r="Z955" s="43"/>
      <c r="AA955" s="43"/>
    </row>
    <row r="956">
      <c r="A956" s="43"/>
      <c r="B956" s="160"/>
      <c r="C956" s="160"/>
      <c r="D956" s="160"/>
      <c r="E956" s="43"/>
      <c r="F956" s="43"/>
      <c r="G956" s="43"/>
      <c r="H956" s="43"/>
      <c r="I956" s="43"/>
      <c r="J956" s="43"/>
      <c r="K956" s="43"/>
      <c r="L956" s="43"/>
      <c r="M956" s="43"/>
      <c r="N956" s="43"/>
      <c r="O956" s="43"/>
      <c r="P956" s="43"/>
      <c r="Q956" s="43"/>
      <c r="R956" s="43"/>
      <c r="S956" s="43"/>
      <c r="T956" s="43"/>
      <c r="U956" s="43"/>
      <c r="V956" s="43"/>
      <c r="W956" s="43"/>
      <c r="X956" s="43"/>
      <c r="Y956" s="43"/>
      <c r="Z956" s="43"/>
      <c r="AA956" s="43"/>
    </row>
    <row r="957">
      <c r="A957" s="43"/>
      <c r="B957" s="160"/>
      <c r="C957" s="160"/>
      <c r="D957" s="160"/>
      <c r="E957" s="43"/>
      <c r="F957" s="43"/>
      <c r="G957" s="43"/>
      <c r="H957" s="43"/>
      <c r="I957" s="43"/>
      <c r="J957" s="43"/>
      <c r="K957" s="43"/>
      <c r="L957" s="43"/>
      <c r="M957" s="43"/>
      <c r="N957" s="43"/>
      <c r="O957" s="43"/>
      <c r="P957" s="43"/>
      <c r="Q957" s="43"/>
      <c r="R957" s="43"/>
      <c r="S957" s="43"/>
      <c r="T957" s="43"/>
      <c r="U957" s="43"/>
      <c r="V957" s="43"/>
      <c r="W957" s="43"/>
      <c r="X957" s="43"/>
      <c r="Y957" s="43"/>
      <c r="Z957" s="43"/>
      <c r="AA957" s="43"/>
    </row>
    <row r="958">
      <c r="A958" s="43"/>
      <c r="B958" s="160"/>
      <c r="C958" s="160"/>
      <c r="D958" s="160"/>
      <c r="E958" s="43"/>
      <c r="F958" s="43"/>
      <c r="G958" s="43"/>
      <c r="H958" s="43"/>
      <c r="I958" s="43"/>
      <c r="J958" s="43"/>
      <c r="K958" s="43"/>
      <c r="L958" s="43"/>
      <c r="M958" s="43"/>
      <c r="N958" s="43"/>
      <c r="O958" s="43"/>
      <c r="P958" s="43"/>
      <c r="Q958" s="43"/>
      <c r="R958" s="43"/>
      <c r="S958" s="43"/>
      <c r="T958" s="43"/>
      <c r="U958" s="43"/>
      <c r="V958" s="43"/>
      <c r="W958" s="43"/>
      <c r="X958" s="43"/>
      <c r="Y958" s="43"/>
      <c r="Z958" s="43"/>
      <c r="AA958" s="43"/>
    </row>
    <row r="959">
      <c r="A959" s="43"/>
      <c r="B959" s="160"/>
      <c r="C959" s="160"/>
      <c r="D959" s="160"/>
      <c r="E959" s="43"/>
      <c r="F959" s="43"/>
      <c r="G959" s="43"/>
      <c r="H959" s="43"/>
      <c r="I959" s="43"/>
      <c r="J959" s="43"/>
      <c r="K959" s="43"/>
      <c r="L959" s="43"/>
      <c r="M959" s="43"/>
      <c r="N959" s="43"/>
      <c r="O959" s="43"/>
      <c r="P959" s="43"/>
      <c r="Q959" s="43"/>
      <c r="R959" s="43"/>
      <c r="S959" s="43"/>
      <c r="T959" s="43"/>
      <c r="U959" s="43"/>
      <c r="V959" s="43"/>
      <c r="W959" s="43"/>
      <c r="X959" s="43"/>
      <c r="Y959" s="43"/>
      <c r="Z959" s="43"/>
      <c r="AA959" s="43"/>
    </row>
    <row r="960">
      <c r="A960" s="43"/>
      <c r="B960" s="160"/>
      <c r="C960" s="160"/>
      <c r="D960" s="160"/>
      <c r="E960" s="43"/>
      <c r="F960" s="43"/>
      <c r="G960" s="43"/>
      <c r="H960" s="43"/>
      <c r="I960" s="43"/>
      <c r="J960" s="43"/>
      <c r="K960" s="43"/>
      <c r="L960" s="43"/>
      <c r="M960" s="43"/>
      <c r="N960" s="43"/>
      <c r="O960" s="43"/>
      <c r="P960" s="43"/>
      <c r="Q960" s="43"/>
      <c r="R960" s="43"/>
      <c r="S960" s="43"/>
      <c r="T960" s="43"/>
      <c r="U960" s="43"/>
      <c r="V960" s="43"/>
      <c r="W960" s="43"/>
      <c r="X960" s="43"/>
      <c r="Y960" s="43"/>
      <c r="Z960" s="43"/>
      <c r="AA960" s="43"/>
    </row>
    <row r="961">
      <c r="A961" s="43"/>
      <c r="B961" s="160"/>
      <c r="C961" s="160"/>
      <c r="D961" s="160"/>
      <c r="E961" s="43"/>
      <c r="F961" s="43"/>
      <c r="G961" s="43"/>
      <c r="H961" s="43"/>
      <c r="I961" s="43"/>
      <c r="J961" s="43"/>
      <c r="K961" s="43"/>
      <c r="L961" s="43"/>
      <c r="M961" s="43"/>
      <c r="N961" s="43"/>
      <c r="O961" s="43"/>
      <c r="P961" s="43"/>
      <c r="Q961" s="43"/>
      <c r="R961" s="43"/>
      <c r="S961" s="43"/>
      <c r="T961" s="43"/>
      <c r="U961" s="43"/>
      <c r="V961" s="43"/>
      <c r="W961" s="43"/>
      <c r="X961" s="43"/>
      <c r="Y961" s="43"/>
      <c r="Z961" s="43"/>
      <c r="AA961" s="43"/>
    </row>
    <row r="962">
      <c r="A962" s="43"/>
      <c r="B962" s="160"/>
      <c r="C962" s="160"/>
      <c r="D962" s="160"/>
      <c r="E962" s="43"/>
      <c r="F962" s="43"/>
      <c r="G962" s="43"/>
      <c r="H962" s="43"/>
      <c r="I962" s="43"/>
      <c r="J962" s="43"/>
      <c r="K962" s="43"/>
      <c r="L962" s="43"/>
      <c r="M962" s="43"/>
      <c r="N962" s="43"/>
      <c r="O962" s="43"/>
      <c r="P962" s="43"/>
      <c r="Q962" s="43"/>
      <c r="R962" s="43"/>
      <c r="S962" s="43"/>
      <c r="T962" s="43"/>
      <c r="U962" s="43"/>
      <c r="V962" s="43"/>
      <c r="W962" s="43"/>
      <c r="X962" s="43"/>
      <c r="Y962" s="43"/>
      <c r="Z962" s="43"/>
      <c r="AA962" s="43"/>
    </row>
    <row r="963">
      <c r="A963" s="43"/>
      <c r="B963" s="160"/>
      <c r="C963" s="160"/>
      <c r="D963" s="160"/>
      <c r="E963" s="43"/>
      <c r="F963" s="43"/>
      <c r="G963" s="43"/>
      <c r="H963" s="43"/>
      <c r="I963" s="43"/>
      <c r="J963" s="43"/>
      <c r="K963" s="43"/>
      <c r="L963" s="43"/>
      <c r="M963" s="43"/>
      <c r="N963" s="43"/>
      <c r="O963" s="43"/>
      <c r="P963" s="43"/>
      <c r="Q963" s="43"/>
      <c r="R963" s="43"/>
      <c r="S963" s="43"/>
      <c r="T963" s="43"/>
      <c r="U963" s="43"/>
      <c r="V963" s="43"/>
      <c r="W963" s="43"/>
      <c r="X963" s="43"/>
      <c r="Y963" s="43"/>
      <c r="Z963" s="43"/>
      <c r="AA963" s="43"/>
    </row>
    <row r="964">
      <c r="A964" s="43"/>
      <c r="B964" s="160"/>
      <c r="C964" s="160"/>
      <c r="D964" s="160"/>
      <c r="E964" s="43"/>
      <c r="F964" s="43"/>
      <c r="G964" s="43"/>
      <c r="H964" s="43"/>
      <c r="I964" s="43"/>
      <c r="J964" s="43"/>
      <c r="K964" s="43"/>
      <c r="L964" s="43"/>
      <c r="M964" s="43"/>
      <c r="N964" s="43"/>
      <c r="O964" s="43"/>
      <c r="P964" s="43"/>
      <c r="Q964" s="43"/>
      <c r="R964" s="43"/>
      <c r="S964" s="43"/>
      <c r="T964" s="43"/>
      <c r="U964" s="43"/>
      <c r="V964" s="43"/>
      <c r="W964" s="43"/>
      <c r="X964" s="43"/>
      <c r="Y964" s="43"/>
      <c r="Z964" s="43"/>
      <c r="AA964" s="43"/>
    </row>
    <row r="965">
      <c r="A965" s="43"/>
      <c r="B965" s="160"/>
      <c r="C965" s="160"/>
      <c r="D965" s="160"/>
      <c r="E965" s="43"/>
      <c r="F965" s="43"/>
      <c r="G965" s="43"/>
      <c r="H965" s="43"/>
      <c r="I965" s="43"/>
      <c r="J965" s="43"/>
      <c r="K965" s="43"/>
      <c r="L965" s="43"/>
      <c r="M965" s="43"/>
      <c r="N965" s="43"/>
      <c r="O965" s="43"/>
      <c r="P965" s="43"/>
      <c r="Q965" s="43"/>
      <c r="R965" s="43"/>
      <c r="S965" s="43"/>
      <c r="T965" s="43"/>
      <c r="U965" s="43"/>
      <c r="V965" s="43"/>
      <c r="W965" s="43"/>
      <c r="X965" s="43"/>
      <c r="Y965" s="43"/>
      <c r="Z965" s="43"/>
      <c r="AA965" s="43"/>
    </row>
    <row r="966">
      <c r="A966" s="43"/>
      <c r="B966" s="160"/>
      <c r="C966" s="160"/>
      <c r="D966" s="160"/>
      <c r="E966" s="43"/>
      <c r="F966" s="43"/>
      <c r="G966" s="43"/>
      <c r="H966" s="43"/>
      <c r="I966" s="43"/>
      <c r="J966" s="43"/>
      <c r="K966" s="43"/>
      <c r="L966" s="43"/>
      <c r="M966" s="43"/>
      <c r="N966" s="43"/>
      <c r="O966" s="43"/>
      <c r="P966" s="43"/>
      <c r="Q966" s="43"/>
      <c r="R966" s="43"/>
      <c r="S966" s="43"/>
      <c r="T966" s="43"/>
      <c r="U966" s="43"/>
      <c r="V966" s="43"/>
      <c r="W966" s="43"/>
      <c r="X966" s="43"/>
      <c r="Y966" s="43"/>
      <c r="Z966" s="43"/>
      <c r="AA966" s="43"/>
    </row>
    <row r="967">
      <c r="A967" s="43"/>
      <c r="B967" s="160"/>
      <c r="C967" s="160"/>
      <c r="D967" s="160"/>
      <c r="E967" s="43"/>
      <c r="F967" s="43"/>
      <c r="G967" s="43"/>
      <c r="H967" s="43"/>
      <c r="I967" s="43"/>
      <c r="J967" s="43"/>
      <c r="K967" s="43"/>
      <c r="L967" s="43"/>
      <c r="M967" s="43"/>
      <c r="N967" s="43"/>
      <c r="O967" s="43"/>
      <c r="P967" s="43"/>
      <c r="Q967" s="43"/>
      <c r="R967" s="43"/>
      <c r="S967" s="43"/>
      <c r="T967" s="43"/>
      <c r="U967" s="43"/>
      <c r="V967" s="43"/>
      <c r="W967" s="43"/>
      <c r="X967" s="43"/>
      <c r="Y967" s="43"/>
      <c r="Z967" s="43"/>
      <c r="AA967" s="43"/>
    </row>
    <row r="968">
      <c r="A968" s="43"/>
      <c r="B968" s="160"/>
      <c r="C968" s="160"/>
      <c r="D968" s="160"/>
      <c r="E968" s="43"/>
      <c r="F968" s="43"/>
      <c r="G968" s="43"/>
      <c r="H968" s="43"/>
      <c r="I968" s="43"/>
      <c r="J968" s="43"/>
      <c r="K968" s="43"/>
      <c r="L968" s="43"/>
      <c r="M968" s="43"/>
      <c r="N968" s="43"/>
      <c r="O968" s="43"/>
      <c r="P968" s="43"/>
      <c r="Q968" s="43"/>
      <c r="R968" s="43"/>
      <c r="S968" s="43"/>
      <c r="T968" s="43"/>
      <c r="U968" s="43"/>
      <c r="V968" s="43"/>
      <c r="W968" s="43"/>
      <c r="X968" s="43"/>
      <c r="Y968" s="43"/>
      <c r="Z968" s="43"/>
      <c r="AA968" s="43"/>
    </row>
    <row r="969">
      <c r="A969" s="43"/>
      <c r="B969" s="160"/>
      <c r="C969" s="160"/>
      <c r="D969" s="160"/>
      <c r="E969" s="43"/>
      <c r="F969" s="43"/>
      <c r="G969" s="43"/>
      <c r="H969" s="43"/>
      <c r="I969" s="43"/>
      <c r="J969" s="43"/>
      <c r="K969" s="43"/>
      <c r="L969" s="43"/>
      <c r="M969" s="43"/>
      <c r="N969" s="43"/>
      <c r="O969" s="43"/>
      <c r="P969" s="43"/>
      <c r="Q969" s="43"/>
      <c r="R969" s="43"/>
      <c r="S969" s="43"/>
      <c r="T969" s="43"/>
      <c r="U969" s="43"/>
      <c r="V969" s="43"/>
      <c r="W969" s="43"/>
      <c r="X969" s="43"/>
      <c r="Y969" s="43"/>
      <c r="Z969" s="43"/>
      <c r="AA969" s="43"/>
    </row>
    <row r="970">
      <c r="A970" s="43"/>
      <c r="B970" s="160"/>
      <c r="C970" s="160"/>
      <c r="D970" s="160"/>
      <c r="E970" s="43"/>
      <c r="F970" s="43"/>
      <c r="G970" s="43"/>
      <c r="H970" s="43"/>
      <c r="I970" s="43"/>
      <c r="J970" s="43"/>
      <c r="K970" s="43"/>
      <c r="L970" s="43"/>
      <c r="M970" s="43"/>
      <c r="N970" s="43"/>
      <c r="O970" s="43"/>
      <c r="P970" s="43"/>
      <c r="Q970" s="43"/>
      <c r="R970" s="43"/>
      <c r="S970" s="43"/>
      <c r="T970" s="43"/>
      <c r="U970" s="43"/>
      <c r="V970" s="43"/>
      <c r="W970" s="43"/>
      <c r="X970" s="43"/>
      <c r="Y970" s="43"/>
      <c r="Z970" s="43"/>
      <c r="AA970" s="43"/>
    </row>
    <row r="971">
      <c r="A971" s="43"/>
      <c r="B971" s="160"/>
      <c r="C971" s="160"/>
      <c r="D971" s="160"/>
      <c r="E971" s="43"/>
      <c r="F971" s="43"/>
      <c r="G971" s="43"/>
      <c r="H971" s="43"/>
      <c r="I971" s="43"/>
      <c r="J971" s="43"/>
      <c r="K971" s="43"/>
      <c r="L971" s="43"/>
      <c r="M971" s="43"/>
      <c r="N971" s="43"/>
      <c r="O971" s="43"/>
      <c r="P971" s="43"/>
      <c r="Q971" s="43"/>
      <c r="R971" s="43"/>
      <c r="S971" s="43"/>
      <c r="T971" s="43"/>
      <c r="U971" s="43"/>
      <c r="V971" s="43"/>
      <c r="W971" s="43"/>
      <c r="X971" s="43"/>
      <c r="Y971" s="43"/>
      <c r="Z971" s="43"/>
      <c r="AA971" s="43"/>
    </row>
    <row r="972">
      <c r="A972" s="43"/>
      <c r="B972" s="160"/>
      <c r="C972" s="160"/>
      <c r="D972" s="160"/>
      <c r="E972" s="43"/>
      <c r="F972" s="43"/>
      <c r="G972" s="43"/>
      <c r="H972" s="43"/>
      <c r="I972" s="43"/>
      <c r="J972" s="43"/>
      <c r="K972" s="43"/>
      <c r="L972" s="43"/>
      <c r="M972" s="43"/>
      <c r="N972" s="43"/>
      <c r="O972" s="43"/>
      <c r="P972" s="43"/>
      <c r="Q972" s="43"/>
      <c r="R972" s="43"/>
      <c r="S972" s="43"/>
      <c r="T972" s="43"/>
      <c r="U972" s="43"/>
      <c r="V972" s="43"/>
      <c r="W972" s="43"/>
      <c r="X972" s="43"/>
      <c r="Y972" s="43"/>
      <c r="Z972" s="43"/>
      <c r="AA972" s="43"/>
    </row>
    <row r="973">
      <c r="A973" s="43"/>
      <c r="B973" s="160"/>
      <c r="C973" s="160"/>
      <c r="D973" s="160"/>
      <c r="E973" s="43"/>
      <c r="F973" s="43"/>
      <c r="G973" s="43"/>
      <c r="H973" s="43"/>
      <c r="I973" s="43"/>
      <c r="J973" s="43"/>
      <c r="K973" s="43"/>
      <c r="L973" s="43"/>
      <c r="M973" s="43"/>
      <c r="N973" s="43"/>
      <c r="O973" s="43"/>
      <c r="P973" s="43"/>
      <c r="Q973" s="43"/>
      <c r="R973" s="43"/>
      <c r="S973" s="43"/>
      <c r="T973" s="43"/>
      <c r="U973" s="43"/>
      <c r="V973" s="43"/>
      <c r="W973" s="43"/>
      <c r="X973" s="43"/>
      <c r="Y973" s="43"/>
      <c r="Z973" s="43"/>
      <c r="AA973" s="43"/>
    </row>
    <row r="974">
      <c r="A974" s="43"/>
      <c r="B974" s="160"/>
      <c r="C974" s="160"/>
      <c r="D974" s="160"/>
      <c r="E974" s="43"/>
      <c r="F974" s="43"/>
      <c r="G974" s="43"/>
      <c r="H974" s="43"/>
      <c r="I974" s="43"/>
      <c r="J974" s="43"/>
      <c r="K974" s="43"/>
      <c r="L974" s="43"/>
      <c r="M974" s="43"/>
      <c r="N974" s="43"/>
      <c r="O974" s="43"/>
      <c r="P974" s="43"/>
      <c r="Q974" s="43"/>
      <c r="R974" s="43"/>
      <c r="S974" s="43"/>
      <c r="T974" s="43"/>
      <c r="U974" s="43"/>
      <c r="V974" s="43"/>
      <c r="W974" s="43"/>
      <c r="X974" s="43"/>
      <c r="Y974" s="43"/>
      <c r="Z974" s="43"/>
      <c r="AA974" s="43"/>
    </row>
    <row r="975">
      <c r="A975" s="43"/>
      <c r="B975" s="160"/>
      <c r="C975" s="160"/>
      <c r="D975" s="160"/>
      <c r="E975" s="43"/>
      <c r="F975" s="43"/>
      <c r="G975" s="43"/>
      <c r="H975" s="43"/>
      <c r="I975" s="43"/>
      <c r="J975" s="43"/>
      <c r="K975" s="43"/>
      <c r="L975" s="43"/>
      <c r="M975" s="43"/>
      <c r="N975" s="43"/>
      <c r="O975" s="43"/>
      <c r="P975" s="43"/>
      <c r="Q975" s="43"/>
      <c r="R975" s="43"/>
      <c r="S975" s="43"/>
      <c r="T975" s="43"/>
      <c r="U975" s="43"/>
      <c r="V975" s="43"/>
      <c r="W975" s="43"/>
      <c r="X975" s="43"/>
      <c r="Y975" s="43"/>
      <c r="Z975" s="43"/>
      <c r="AA975" s="43"/>
    </row>
    <row r="976">
      <c r="A976" s="43"/>
      <c r="B976" s="160"/>
      <c r="C976" s="160"/>
      <c r="D976" s="160"/>
      <c r="E976" s="43"/>
      <c r="F976" s="43"/>
      <c r="G976" s="43"/>
      <c r="H976" s="43"/>
      <c r="I976" s="43"/>
      <c r="J976" s="43"/>
      <c r="K976" s="43"/>
      <c r="L976" s="43"/>
      <c r="M976" s="43"/>
      <c r="N976" s="43"/>
      <c r="O976" s="43"/>
      <c r="P976" s="43"/>
      <c r="Q976" s="43"/>
      <c r="R976" s="43"/>
      <c r="S976" s="43"/>
      <c r="T976" s="43"/>
      <c r="U976" s="43"/>
      <c r="V976" s="43"/>
      <c r="W976" s="43"/>
      <c r="X976" s="43"/>
      <c r="Y976" s="43"/>
      <c r="Z976" s="43"/>
      <c r="AA976" s="43"/>
    </row>
    <row r="977">
      <c r="A977" s="43"/>
      <c r="B977" s="160"/>
      <c r="C977" s="160"/>
      <c r="D977" s="160"/>
      <c r="E977" s="43"/>
      <c r="F977" s="43"/>
      <c r="G977" s="43"/>
      <c r="H977" s="43"/>
      <c r="I977" s="43"/>
      <c r="J977" s="43"/>
      <c r="K977" s="43"/>
      <c r="L977" s="43"/>
      <c r="M977" s="43"/>
      <c r="N977" s="43"/>
      <c r="O977" s="43"/>
      <c r="P977" s="43"/>
      <c r="Q977" s="43"/>
      <c r="R977" s="43"/>
      <c r="S977" s="43"/>
      <c r="T977" s="43"/>
      <c r="U977" s="43"/>
      <c r="V977" s="43"/>
      <c r="W977" s="43"/>
      <c r="X977" s="43"/>
      <c r="Y977" s="43"/>
      <c r="Z977" s="43"/>
      <c r="AA977" s="43"/>
    </row>
    <row r="978">
      <c r="A978" s="43"/>
      <c r="B978" s="160"/>
      <c r="C978" s="160"/>
      <c r="D978" s="160"/>
      <c r="E978" s="43"/>
      <c r="F978" s="43"/>
      <c r="G978" s="43"/>
      <c r="H978" s="43"/>
      <c r="I978" s="43"/>
      <c r="J978" s="43"/>
      <c r="K978" s="43"/>
      <c r="L978" s="43"/>
      <c r="M978" s="43"/>
      <c r="N978" s="43"/>
      <c r="O978" s="43"/>
      <c r="P978" s="43"/>
      <c r="Q978" s="43"/>
      <c r="R978" s="43"/>
      <c r="S978" s="43"/>
      <c r="T978" s="43"/>
      <c r="U978" s="43"/>
      <c r="V978" s="43"/>
      <c r="W978" s="43"/>
      <c r="X978" s="43"/>
      <c r="Y978" s="43"/>
      <c r="Z978" s="43"/>
      <c r="AA978" s="43"/>
    </row>
    <row r="979">
      <c r="A979" s="43"/>
      <c r="B979" s="160"/>
      <c r="C979" s="160"/>
      <c r="D979" s="160"/>
      <c r="E979" s="43"/>
      <c r="F979" s="43"/>
      <c r="G979" s="43"/>
      <c r="H979" s="43"/>
      <c r="I979" s="43"/>
      <c r="J979" s="43"/>
      <c r="K979" s="43"/>
      <c r="L979" s="43"/>
      <c r="M979" s="43"/>
      <c r="N979" s="43"/>
      <c r="O979" s="43"/>
      <c r="P979" s="43"/>
      <c r="Q979" s="43"/>
      <c r="R979" s="43"/>
      <c r="S979" s="43"/>
      <c r="T979" s="43"/>
      <c r="U979" s="43"/>
      <c r="V979" s="43"/>
      <c r="W979" s="43"/>
      <c r="X979" s="43"/>
      <c r="Y979" s="43"/>
      <c r="Z979" s="43"/>
      <c r="AA979" s="43"/>
    </row>
    <row r="980">
      <c r="A980" s="43"/>
      <c r="B980" s="160"/>
      <c r="C980" s="160"/>
      <c r="D980" s="160"/>
      <c r="E980" s="43"/>
      <c r="F980" s="43"/>
      <c r="G980" s="43"/>
      <c r="H980" s="43"/>
      <c r="I980" s="43"/>
      <c r="J980" s="43"/>
      <c r="K980" s="43"/>
      <c r="L980" s="43"/>
      <c r="M980" s="43"/>
      <c r="N980" s="43"/>
      <c r="O980" s="43"/>
      <c r="P980" s="43"/>
      <c r="Q980" s="43"/>
      <c r="R980" s="43"/>
      <c r="S980" s="43"/>
      <c r="T980" s="43"/>
      <c r="U980" s="43"/>
      <c r="V980" s="43"/>
      <c r="W980" s="43"/>
      <c r="X980" s="43"/>
      <c r="Y980" s="43"/>
      <c r="Z980" s="43"/>
      <c r="AA980" s="43"/>
    </row>
    <row r="981">
      <c r="A981" s="43"/>
      <c r="B981" s="160"/>
      <c r="C981" s="160"/>
      <c r="D981" s="160"/>
      <c r="E981" s="43"/>
      <c r="F981" s="43"/>
      <c r="G981" s="43"/>
      <c r="H981" s="43"/>
      <c r="I981" s="43"/>
      <c r="J981" s="43"/>
      <c r="K981" s="43"/>
      <c r="L981" s="43"/>
      <c r="M981" s="43"/>
      <c r="N981" s="43"/>
      <c r="O981" s="43"/>
      <c r="P981" s="43"/>
      <c r="Q981" s="43"/>
      <c r="R981" s="43"/>
      <c r="S981" s="43"/>
      <c r="T981" s="43"/>
      <c r="U981" s="43"/>
      <c r="V981" s="43"/>
      <c r="W981" s="43"/>
      <c r="X981" s="43"/>
      <c r="Y981" s="43"/>
      <c r="Z981" s="43"/>
      <c r="AA981" s="43"/>
    </row>
    <row r="982">
      <c r="A982" s="43"/>
      <c r="B982" s="160"/>
      <c r="C982" s="160"/>
      <c r="D982" s="160"/>
      <c r="E982" s="43"/>
      <c r="F982" s="43"/>
      <c r="G982" s="43"/>
      <c r="H982" s="43"/>
      <c r="I982" s="43"/>
      <c r="J982" s="43"/>
      <c r="K982" s="43"/>
      <c r="L982" s="43"/>
      <c r="M982" s="43"/>
      <c r="N982" s="43"/>
      <c r="O982" s="43"/>
      <c r="P982" s="43"/>
      <c r="Q982" s="43"/>
      <c r="R982" s="43"/>
      <c r="S982" s="43"/>
      <c r="T982" s="43"/>
      <c r="U982" s="43"/>
      <c r="V982" s="43"/>
      <c r="W982" s="43"/>
      <c r="X982" s="43"/>
      <c r="Y982" s="43"/>
      <c r="Z982" s="43"/>
      <c r="AA982" s="43"/>
    </row>
    <row r="983">
      <c r="A983" s="43"/>
      <c r="B983" s="160"/>
      <c r="C983" s="160"/>
      <c r="D983" s="160"/>
      <c r="E983" s="43"/>
      <c r="F983" s="43"/>
      <c r="G983" s="43"/>
      <c r="H983" s="43"/>
      <c r="I983" s="43"/>
      <c r="J983" s="43"/>
      <c r="K983" s="43"/>
      <c r="L983" s="43"/>
      <c r="M983" s="43"/>
      <c r="N983" s="43"/>
      <c r="O983" s="43"/>
      <c r="P983" s="43"/>
      <c r="Q983" s="43"/>
      <c r="R983" s="43"/>
      <c r="S983" s="43"/>
      <c r="T983" s="43"/>
      <c r="U983" s="43"/>
      <c r="V983" s="43"/>
      <c r="W983" s="43"/>
      <c r="X983" s="43"/>
      <c r="Y983" s="43"/>
      <c r="Z983" s="43"/>
      <c r="AA983" s="43"/>
    </row>
    <row r="984">
      <c r="A984" s="43"/>
      <c r="B984" s="160"/>
      <c r="C984" s="160"/>
      <c r="D984" s="160"/>
      <c r="E984" s="43"/>
      <c r="F984" s="43"/>
      <c r="G984" s="43"/>
      <c r="H984" s="43"/>
      <c r="I984" s="43"/>
      <c r="J984" s="43"/>
      <c r="K984" s="43"/>
      <c r="L984" s="43"/>
      <c r="M984" s="43"/>
      <c r="N984" s="43"/>
      <c r="O984" s="43"/>
      <c r="P984" s="43"/>
      <c r="Q984" s="43"/>
      <c r="R984" s="43"/>
      <c r="S984" s="43"/>
      <c r="T984" s="43"/>
      <c r="U984" s="43"/>
      <c r="V984" s="43"/>
      <c r="W984" s="43"/>
      <c r="X984" s="43"/>
      <c r="Y984" s="43"/>
      <c r="Z984" s="43"/>
      <c r="AA984" s="43"/>
    </row>
    <row r="985">
      <c r="A985" s="43"/>
      <c r="B985" s="160"/>
      <c r="C985" s="160"/>
      <c r="D985" s="160"/>
      <c r="E985" s="43"/>
      <c r="F985" s="43"/>
      <c r="G985" s="43"/>
      <c r="H985" s="43"/>
      <c r="I985" s="43"/>
      <c r="J985" s="43"/>
      <c r="K985" s="43"/>
      <c r="L985" s="43"/>
      <c r="M985" s="43"/>
      <c r="N985" s="43"/>
      <c r="O985" s="43"/>
      <c r="P985" s="43"/>
      <c r="Q985" s="43"/>
      <c r="R985" s="43"/>
      <c r="S985" s="43"/>
      <c r="T985" s="43"/>
      <c r="U985" s="43"/>
      <c r="V985" s="43"/>
      <c r="W985" s="43"/>
      <c r="X985" s="43"/>
      <c r="Y985" s="43"/>
      <c r="Z985" s="43"/>
      <c r="AA985" s="43"/>
    </row>
    <row r="986">
      <c r="A986" s="43"/>
      <c r="B986" s="160"/>
      <c r="C986" s="160"/>
      <c r="D986" s="160"/>
      <c r="E986" s="43"/>
      <c r="F986" s="43"/>
      <c r="G986" s="43"/>
      <c r="H986" s="43"/>
      <c r="I986" s="43"/>
      <c r="J986" s="43"/>
      <c r="K986" s="43"/>
      <c r="L986" s="43"/>
      <c r="M986" s="43"/>
      <c r="N986" s="43"/>
      <c r="O986" s="43"/>
      <c r="P986" s="43"/>
      <c r="Q986" s="43"/>
      <c r="R986" s="43"/>
      <c r="S986" s="43"/>
      <c r="T986" s="43"/>
      <c r="U986" s="43"/>
      <c r="V986" s="43"/>
      <c r="W986" s="43"/>
      <c r="X986" s="43"/>
      <c r="Y986" s="43"/>
      <c r="Z986" s="43"/>
      <c r="AA986" s="43"/>
    </row>
    <row r="987">
      <c r="A987" s="43"/>
      <c r="B987" s="160"/>
      <c r="C987" s="160"/>
      <c r="D987" s="160"/>
      <c r="E987" s="43"/>
      <c r="F987" s="43"/>
      <c r="G987" s="43"/>
      <c r="H987" s="43"/>
      <c r="I987" s="43"/>
      <c r="J987" s="43"/>
      <c r="K987" s="43"/>
      <c r="L987" s="43"/>
      <c r="M987" s="43"/>
      <c r="N987" s="43"/>
      <c r="O987" s="43"/>
      <c r="P987" s="43"/>
      <c r="Q987" s="43"/>
      <c r="R987" s="43"/>
      <c r="S987" s="43"/>
      <c r="T987" s="43"/>
      <c r="U987" s="43"/>
      <c r="V987" s="43"/>
      <c r="W987" s="43"/>
      <c r="X987" s="43"/>
      <c r="Y987" s="43"/>
      <c r="Z987" s="43"/>
      <c r="AA987" s="43"/>
    </row>
    <row r="988">
      <c r="A988" s="43"/>
      <c r="B988" s="160"/>
      <c r="C988" s="160"/>
      <c r="D988" s="160"/>
      <c r="E988" s="43"/>
      <c r="F988" s="43"/>
      <c r="G988" s="43"/>
      <c r="H988" s="43"/>
      <c r="I988" s="43"/>
      <c r="J988" s="43"/>
      <c r="K988" s="43"/>
      <c r="L988" s="43"/>
      <c r="M988" s="43"/>
      <c r="N988" s="43"/>
      <c r="O988" s="43"/>
      <c r="P988" s="43"/>
      <c r="Q988" s="43"/>
      <c r="R988" s="43"/>
      <c r="S988" s="43"/>
      <c r="T988" s="43"/>
      <c r="U988" s="43"/>
      <c r="V988" s="43"/>
      <c r="W988" s="43"/>
      <c r="X988" s="43"/>
      <c r="Y988" s="43"/>
      <c r="Z988" s="43"/>
      <c r="AA988" s="43"/>
    </row>
    <row r="989">
      <c r="A989" s="43"/>
      <c r="B989" s="160"/>
      <c r="C989" s="160"/>
      <c r="D989" s="160"/>
      <c r="E989" s="43"/>
      <c r="F989" s="43"/>
      <c r="G989" s="43"/>
      <c r="H989" s="43"/>
      <c r="I989" s="43"/>
      <c r="J989" s="43"/>
      <c r="K989" s="43"/>
      <c r="L989" s="43"/>
      <c r="M989" s="43"/>
      <c r="N989" s="43"/>
      <c r="O989" s="43"/>
      <c r="P989" s="43"/>
      <c r="Q989" s="43"/>
      <c r="R989" s="43"/>
      <c r="S989" s="43"/>
      <c r="T989" s="43"/>
      <c r="U989" s="43"/>
      <c r="V989" s="43"/>
      <c r="W989" s="43"/>
      <c r="X989" s="43"/>
      <c r="Y989" s="43"/>
      <c r="Z989" s="43"/>
      <c r="AA989" s="43"/>
    </row>
    <row r="990">
      <c r="A990" s="43"/>
      <c r="B990" s="160"/>
      <c r="C990" s="160"/>
      <c r="D990" s="160"/>
      <c r="E990" s="43"/>
      <c r="F990" s="43"/>
      <c r="G990" s="43"/>
      <c r="H990" s="43"/>
      <c r="I990" s="43"/>
      <c r="J990" s="43"/>
      <c r="K990" s="43"/>
      <c r="L990" s="43"/>
      <c r="M990" s="43"/>
      <c r="N990" s="43"/>
      <c r="O990" s="43"/>
      <c r="P990" s="43"/>
      <c r="Q990" s="43"/>
      <c r="R990" s="43"/>
      <c r="S990" s="43"/>
      <c r="T990" s="43"/>
      <c r="U990" s="43"/>
      <c r="V990" s="43"/>
      <c r="W990" s="43"/>
      <c r="X990" s="43"/>
      <c r="Y990" s="43"/>
      <c r="Z990" s="43"/>
      <c r="AA990" s="43"/>
    </row>
    <row r="991">
      <c r="A991" s="43"/>
      <c r="B991" s="160"/>
      <c r="C991" s="160"/>
      <c r="D991" s="160"/>
      <c r="E991" s="43"/>
      <c r="F991" s="43"/>
      <c r="G991" s="43"/>
      <c r="H991" s="43"/>
      <c r="I991" s="43"/>
      <c r="J991" s="43"/>
      <c r="K991" s="43"/>
      <c r="L991" s="43"/>
      <c r="M991" s="43"/>
      <c r="N991" s="43"/>
      <c r="O991" s="43"/>
      <c r="P991" s="43"/>
      <c r="Q991" s="43"/>
      <c r="R991" s="43"/>
      <c r="S991" s="43"/>
      <c r="T991" s="43"/>
      <c r="U991" s="43"/>
      <c r="V991" s="43"/>
      <c r="W991" s="43"/>
      <c r="X991" s="43"/>
      <c r="Y991" s="43"/>
      <c r="Z991" s="43"/>
      <c r="AA991" s="43"/>
    </row>
    <row r="992">
      <c r="A992" s="43"/>
      <c r="B992" s="160"/>
      <c r="C992" s="160"/>
      <c r="D992" s="160"/>
      <c r="E992" s="43"/>
      <c r="F992" s="43"/>
      <c r="G992" s="43"/>
      <c r="H992" s="43"/>
      <c r="I992" s="43"/>
      <c r="J992" s="43"/>
      <c r="K992" s="43"/>
      <c r="L992" s="43"/>
      <c r="M992" s="43"/>
      <c r="N992" s="43"/>
      <c r="O992" s="43"/>
      <c r="P992" s="43"/>
      <c r="Q992" s="43"/>
      <c r="R992" s="43"/>
      <c r="S992" s="43"/>
      <c r="T992" s="43"/>
      <c r="U992" s="43"/>
      <c r="V992" s="43"/>
      <c r="W992" s="43"/>
      <c r="X992" s="43"/>
      <c r="Y992" s="43"/>
      <c r="Z992" s="43"/>
      <c r="AA992" s="43"/>
    </row>
    <row r="993">
      <c r="A993" s="43"/>
      <c r="B993" s="160"/>
      <c r="C993" s="160"/>
      <c r="D993" s="160"/>
      <c r="E993" s="43"/>
      <c r="F993" s="43"/>
      <c r="G993" s="43"/>
      <c r="H993" s="43"/>
      <c r="I993" s="43"/>
      <c r="J993" s="43"/>
      <c r="K993" s="43"/>
      <c r="L993" s="43"/>
      <c r="M993" s="43"/>
      <c r="N993" s="43"/>
      <c r="O993" s="43"/>
      <c r="P993" s="43"/>
      <c r="Q993" s="43"/>
      <c r="R993" s="43"/>
      <c r="S993" s="43"/>
      <c r="T993" s="43"/>
      <c r="U993" s="43"/>
      <c r="V993" s="43"/>
      <c r="W993" s="43"/>
      <c r="X993" s="43"/>
      <c r="Y993" s="43"/>
      <c r="Z993" s="43"/>
      <c r="AA993" s="43"/>
    </row>
    <row r="994">
      <c r="A994" s="43"/>
      <c r="B994" s="160"/>
      <c r="C994" s="160"/>
      <c r="D994" s="160"/>
      <c r="E994" s="43"/>
      <c r="F994" s="43"/>
      <c r="G994" s="43"/>
      <c r="H994" s="43"/>
      <c r="I994" s="43"/>
      <c r="J994" s="43"/>
      <c r="K994" s="43"/>
      <c r="L994" s="43"/>
      <c r="M994" s="43"/>
      <c r="N994" s="43"/>
      <c r="O994" s="43"/>
      <c r="P994" s="43"/>
      <c r="Q994" s="43"/>
      <c r="R994" s="43"/>
      <c r="S994" s="43"/>
      <c r="T994" s="43"/>
      <c r="U994" s="43"/>
      <c r="V994" s="43"/>
      <c r="W994" s="43"/>
      <c r="X994" s="43"/>
      <c r="Y994" s="43"/>
      <c r="Z994" s="43"/>
      <c r="AA994" s="43"/>
    </row>
    <row r="995">
      <c r="A995" s="43"/>
      <c r="B995" s="160"/>
      <c r="C995" s="160"/>
      <c r="D995" s="160"/>
      <c r="E995" s="43"/>
      <c r="F995" s="43"/>
      <c r="G995" s="43"/>
      <c r="H995" s="43"/>
      <c r="I995" s="43"/>
      <c r="J995" s="43"/>
      <c r="K995" s="43"/>
      <c r="L995" s="43"/>
      <c r="M995" s="43"/>
      <c r="N995" s="43"/>
      <c r="O995" s="43"/>
      <c r="P995" s="43"/>
      <c r="Q995" s="43"/>
      <c r="R995" s="43"/>
      <c r="S995" s="43"/>
      <c r="T995" s="43"/>
      <c r="U995" s="43"/>
      <c r="V995" s="43"/>
      <c r="W995" s="43"/>
      <c r="X995" s="43"/>
      <c r="Y995" s="43"/>
      <c r="Z995" s="43"/>
      <c r="AA995" s="43"/>
    </row>
    <row r="996">
      <c r="A996" s="43"/>
      <c r="B996" s="160"/>
      <c r="C996" s="160"/>
      <c r="D996" s="160"/>
      <c r="E996" s="43"/>
      <c r="F996" s="43"/>
      <c r="G996" s="43"/>
      <c r="H996" s="43"/>
      <c r="I996" s="43"/>
      <c r="J996" s="43"/>
      <c r="K996" s="43"/>
      <c r="L996" s="43"/>
      <c r="M996" s="43"/>
      <c r="N996" s="43"/>
      <c r="O996" s="43"/>
      <c r="P996" s="43"/>
      <c r="Q996" s="43"/>
      <c r="R996" s="43"/>
      <c r="S996" s="43"/>
      <c r="T996" s="43"/>
      <c r="U996" s="43"/>
      <c r="V996" s="43"/>
      <c r="W996" s="43"/>
      <c r="X996" s="43"/>
      <c r="Y996" s="43"/>
      <c r="Z996" s="43"/>
      <c r="AA996" s="43"/>
    </row>
    <row r="997">
      <c r="A997" s="43"/>
      <c r="B997" s="160"/>
      <c r="C997" s="160"/>
      <c r="D997" s="160"/>
      <c r="E997" s="43"/>
      <c r="F997" s="43"/>
      <c r="G997" s="43"/>
      <c r="H997" s="43"/>
      <c r="I997" s="43"/>
      <c r="J997" s="43"/>
      <c r="K997" s="43"/>
      <c r="L997" s="43"/>
      <c r="M997" s="43"/>
      <c r="N997" s="43"/>
      <c r="O997" s="43"/>
      <c r="P997" s="43"/>
      <c r="Q997" s="43"/>
      <c r="R997" s="43"/>
      <c r="S997" s="43"/>
      <c r="T997" s="43"/>
      <c r="U997" s="43"/>
      <c r="V997" s="43"/>
      <c r="W997" s="43"/>
      <c r="X997" s="43"/>
      <c r="Y997" s="43"/>
      <c r="Z997" s="43"/>
      <c r="AA997" s="43"/>
    </row>
    <row r="998">
      <c r="A998" s="43"/>
      <c r="B998" s="160"/>
      <c r="C998" s="160"/>
      <c r="D998" s="160"/>
      <c r="E998" s="43"/>
      <c r="F998" s="43"/>
      <c r="G998" s="43"/>
      <c r="H998" s="43"/>
      <c r="I998" s="43"/>
      <c r="J998" s="43"/>
      <c r="K998" s="43"/>
      <c r="L998" s="43"/>
      <c r="M998" s="43"/>
      <c r="N998" s="43"/>
      <c r="O998" s="43"/>
      <c r="P998" s="43"/>
      <c r="Q998" s="43"/>
      <c r="R998" s="43"/>
      <c r="S998" s="43"/>
      <c r="T998" s="43"/>
      <c r="U998" s="43"/>
      <c r="V998" s="43"/>
      <c r="W998" s="43"/>
      <c r="X998" s="43"/>
      <c r="Y998" s="43"/>
      <c r="Z998" s="43"/>
      <c r="AA998" s="43"/>
    </row>
    <row r="999">
      <c r="A999" s="43"/>
      <c r="B999" s="160"/>
      <c r="C999" s="160"/>
      <c r="D999" s="160"/>
      <c r="E999" s="43"/>
      <c r="F999" s="43"/>
      <c r="G999" s="43"/>
      <c r="H999" s="43"/>
      <c r="I999" s="43"/>
      <c r="J999" s="43"/>
      <c r="K999" s="43"/>
      <c r="L999" s="43"/>
      <c r="M999" s="43"/>
      <c r="N999" s="43"/>
      <c r="O999" s="43"/>
      <c r="P999" s="43"/>
      <c r="Q999" s="43"/>
      <c r="R999" s="43"/>
      <c r="S999" s="43"/>
      <c r="T999" s="43"/>
      <c r="U999" s="43"/>
      <c r="V999" s="43"/>
      <c r="W999" s="43"/>
      <c r="X999" s="43"/>
      <c r="Y999" s="43"/>
      <c r="Z999" s="43"/>
      <c r="AA999" s="43"/>
    </row>
    <row r="1000">
      <c r="A1000" s="43"/>
      <c r="B1000" s="160"/>
      <c r="C1000" s="160"/>
      <c r="D1000" s="160"/>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c r="AA1000" s="43"/>
    </row>
    <row r="1001">
      <c r="A1001" s="43"/>
      <c r="B1001" s="160"/>
      <c r="C1001" s="160"/>
      <c r="D1001" s="160"/>
      <c r="E1001" s="43"/>
      <c r="F1001" s="43"/>
      <c r="G1001" s="43"/>
      <c r="H1001" s="43"/>
      <c r="I1001" s="43"/>
      <c r="J1001" s="43"/>
      <c r="K1001" s="43"/>
      <c r="L1001" s="43"/>
      <c r="M1001" s="43"/>
      <c r="N1001" s="43"/>
      <c r="O1001" s="43"/>
      <c r="P1001" s="43"/>
      <c r="Q1001" s="43"/>
      <c r="R1001" s="43"/>
      <c r="S1001" s="43"/>
      <c r="T1001" s="43"/>
      <c r="U1001" s="43"/>
      <c r="V1001" s="43"/>
      <c r="W1001" s="43"/>
      <c r="X1001" s="43"/>
      <c r="Y1001" s="43"/>
      <c r="Z1001" s="43"/>
      <c r="AA1001" s="43"/>
    </row>
  </sheetData>
  <mergeCells count="2">
    <mergeCell ref="B1:C1"/>
    <mergeCell ref="D1:E1"/>
  </mergeCells>
  <dataValidations>
    <dataValidation type="list" allowBlank="1" showErrorMessage="1" sqref="D1">
      <formula1>"Completed (no continuation),Discontinued mid-course"</formula1>
    </dataValidation>
  </dataValidations>
  <drawing r:id="rId1"/>
</worksheet>
</file>